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N:\JPG\Investor Reporting\Paragon Finance\PM15\"/>
    </mc:Choice>
  </mc:AlternateContent>
  <xr:revisionPtr revIDLastSave="0" documentId="13_ncr:1_{801720A5-F07A-4091-B0B3-488BDE77F960}" xr6:coauthVersionLast="45" xr6:coauthVersionMax="45" xr10:uidLastSave="{00000000-0000-0000-0000-000000000000}"/>
  <bookViews>
    <workbookView xWindow="-120" yWindow="-120" windowWidth="25440" windowHeight="15390" firstSheet="43" activeTab="52" xr2:uid="{00000000-000D-0000-FFFF-FFFF00000000}"/>
  </bookViews>
  <sheets>
    <sheet name="Nov 07" sheetId="1" r:id="rId1"/>
    <sheet name="Feb 08" sheetId="2" r:id="rId2"/>
    <sheet name="May 08" sheetId="3" r:id="rId3"/>
    <sheet name="Aug 08" sheetId="4" r:id="rId4"/>
    <sheet name="Nov 08" sheetId="5" r:id="rId5"/>
    <sheet name="Feb 09" sheetId="6" r:id="rId6"/>
    <sheet name="May 09" sheetId="7" r:id="rId7"/>
    <sheet name="Aug 09" sheetId="8" r:id="rId8"/>
    <sheet name="Nov 09" sheetId="9" r:id="rId9"/>
    <sheet name="Feb 10" sheetId="10" r:id="rId10"/>
    <sheet name="May 10" sheetId="11" r:id="rId11"/>
    <sheet name="Aug 10" sheetId="12" r:id="rId12"/>
    <sheet name="Nov 10" sheetId="13" r:id="rId13"/>
    <sheet name="Feb 11" sheetId="14" r:id="rId14"/>
    <sheet name="May 11" sheetId="15" r:id="rId15"/>
    <sheet name="Aug 11" sheetId="16" r:id="rId16"/>
    <sheet name="Nov 11" sheetId="17" r:id="rId17"/>
    <sheet name="Feb 12" sheetId="18" r:id="rId18"/>
    <sheet name="May 12" sheetId="19" r:id="rId19"/>
    <sheet name="Aug 12" sheetId="20" r:id="rId20"/>
    <sheet name="Nov 12" sheetId="21" r:id="rId21"/>
    <sheet name="Feb 13" sheetId="22" r:id="rId22"/>
    <sheet name="May 13" sheetId="23" r:id="rId23"/>
    <sheet name="Aug 13" sheetId="24" r:id="rId24"/>
    <sheet name="Nov 13" sheetId="25" r:id="rId25"/>
    <sheet name="Feb 14" sheetId="26" r:id="rId26"/>
    <sheet name="May 14" sheetId="27" r:id="rId27"/>
    <sheet name="Aug 14" sheetId="28" r:id="rId28"/>
    <sheet name="Nov 14" sheetId="29" r:id="rId29"/>
    <sheet name="Feb 15" sheetId="30" r:id="rId30"/>
    <sheet name="May 15" sheetId="31" r:id="rId31"/>
    <sheet name="Aug 15" sheetId="32" r:id="rId32"/>
    <sheet name="Nov 15" sheetId="33" r:id="rId33"/>
    <sheet name="Feb 16" sheetId="34" r:id="rId34"/>
    <sheet name="May 16" sheetId="35" r:id="rId35"/>
    <sheet name="Aug 16" sheetId="36" r:id="rId36"/>
    <sheet name="Nov 16" sheetId="37" r:id="rId37"/>
    <sheet name="Feb 17" sheetId="38" r:id="rId38"/>
    <sheet name="May 17" sheetId="39" r:id="rId39"/>
    <sheet name="Aug 17" sheetId="40" r:id="rId40"/>
    <sheet name="Nov 17" sheetId="41" r:id="rId41"/>
    <sheet name="Feb 18" sheetId="42" r:id="rId42"/>
    <sheet name="May 18" sheetId="43" r:id="rId43"/>
    <sheet name="Aug 18" sheetId="44" r:id="rId44"/>
    <sheet name="Nov 18" sheetId="45" r:id="rId45"/>
    <sheet name="Feb 19" sheetId="46" r:id="rId46"/>
    <sheet name="May 19" sheetId="47" r:id="rId47"/>
    <sheet name="Aug 19" sheetId="48" r:id="rId48"/>
    <sheet name="Nov 19" sheetId="49" r:id="rId49"/>
    <sheet name="Feb 20" sheetId="50" r:id="rId50"/>
    <sheet name="May 20" sheetId="51" r:id="rId51"/>
    <sheet name="Aug 20" sheetId="52" r:id="rId52"/>
    <sheet name="Nov 20" sheetId="53" r:id="rId53"/>
  </sheets>
  <definedNames>
    <definedName name="_100PAGE_4">'Nov 07'!$A$201:$W$284</definedName>
    <definedName name="_10PAGE_1" localSheetId="13">'Feb 11'!$A$1:$W$64</definedName>
    <definedName name="_11PAGE_1" localSheetId="17">'Feb 12'!$A$1:$W$64</definedName>
    <definedName name="_12PAGE_1" localSheetId="21">'Feb 13'!$A$1:$W$64</definedName>
    <definedName name="_13PAGE_1" localSheetId="2">'May 08'!$A$1:$W$64</definedName>
    <definedName name="_14PAGE_1" localSheetId="6">'May 09'!$A$1:$W$64</definedName>
    <definedName name="_15PAGE_1" localSheetId="10">'May 10'!$A$1:$W$64</definedName>
    <definedName name="_16PAGE_1" localSheetId="14">'May 11'!$A$1:$W$64</definedName>
    <definedName name="_17PAGE_1" localSheetId="18">'May 12'!$A$1:$W$64</definedName>
    <definedName name="_18PAGE_1" localSheetId="22">'May 13'!$A$1:$W$64</definedName>
    <definedName name="_19PAGE_1" localSheetId="4">'Nov 08'!$A$1:$W$64</definedName>
    <definedName name="_1PAGE_1" localSheetId="3">'Aug 08'!$A$1:$W$64</definedName>
    <definedName name="_20PAGE_1" localSheetId="8">'Nov 09'!$A$1:$W$64</definedName>
    <definedName name="_21PAGE_1" localSheetId="12">'Nov 10'!$A$1:$W$64</definedName>
    <definedName name="_22PAGE_1" localSheetId="16">'Nov 11'!$A$1:$W$64</definedName>
    <definedName name="_23PAGE_1" localSheetId="20">'Nov 12'!$A$1:$W$64</definedName>
    <definedName name="_24PAGE_1" localSheetId="27">'Aug 14'!$A$1:$W$64</definedName>
    <definedName name="_24PAGE_1" localSheetId="31">'Aug 15'!$A$1:$W$64</definedName>
    <definedName name="_24PAGE_1" localSheetId="35">'Aug 16'!$A$1:$W$64</definedName>
    <definedName name="_24PAGE_1" localSheetId="39">'Aug 17'!$A$1:$W$64</definedName>
    <definedName name="_24PAGE_1" localSheetId="43">'Aug 18'!$A$1:$W$64</definedName>
    <definedName name="_24PAGE_1" localSheetId="47">'Aug 19'!$A$1:$W$64</definedName>
    <definedName name="_24PAGE_1" localSheetId="51">'Aug 20'!$A$1:$W$64</definedName>
    <definedName name="_24PAGE_1" localSheetId="25">'Feb 14'!$A$1:$W$64</definedName>
    <definedName name="_24PAGE_1" localSheetId="29">'Feb 15'!$A$1:$W$64</definedName>
    <definedName name="_24PAGE_1" localSheetId="33">'Feb 16'!$A$1:$W$64</definedName>
    <definedName name="_24PAGE_1" localSheetId="37">'Feb 17'!$A$1:$W$64</definedName>
    <definedName name="_24PAGE_1" localSheetId="41">'Feb 18'!$A$1:$W$64</definedName>
    <definedName name="_24PAGE_1" localSheetId="45">'Feb 19'!$A$1:$W$64</definedName>
    <definedName name="_24PAGE_1" localSheetId="49">'Feb 20'!$A$1:$W$64</definedName>
    <definedName name="_24PAGE_1" localSheetId="26">'May 14'!$A$1:$W$64</definedName>
    <definedName name="_24PAGE_1" localSheetId="30">'May 15'!$A$1:$W$64</definedName>
    <definedName name="_24PAGE_1" localSheetId="34">'May 16'!$A$1:$W$64</definedName>
    <definedName name="_24PAGE_1" localSheetId="38">'May 17'!$A$1:$W$64</definedName>
    <definedName name="_24PAGE_1" localSheetId="42">'May 18'!$A$1:$W$64</definedName>
    <definedName name="_24PAGE_1" localSheetId="46">'May 19'!$A$1:$W$64</definedName>
    <definedName name="_24PAGE_1" localSheetId="50">'May 20'!$A$1:$W$64</definedName>
    <definedName name="_24PAGE_1" localSheetId="24">'Nov 13'!$A$1:$W$64</definedName>
    <definedName name="_24PAGE_1" localSheetId="28">'Nov 14'!$A$1:$W$64</definedName>
    <definedName name="_24PAGE_1" localSheetId="32">'Nov 15'!$A$1:$W$64</definedName>
    <definedName name="_24PAGE_1" localSheetId="36">'Nov 16'!$A$1:$W$64</definedName>
    <definedName name="_24PAGE_1" localSheetId="40">'Nov 17'!$A$1:$W$64</definedName>
    <definedName name="_24PAGE_1" localSheetId="44">'Nov 18'!$A$1:$W$64</definedName>
    <definedName name="_24PAGE_1" localSheetId="48">'Nov 19'!$A$1:$W$64</definedName>
    <definedName name="_24PAGE_1" localSheetId="52">'Nov 20'!$A$1:$W$64</definedName>
    <definedName name="_25PAGE_1">'Nov 07'!$A$1:$W$64</definedName>
    <definedName name="_26PAGE_2" localSheetId="3">'Aug 08'!$A$65:$W$135</definedName>
    <definedName name="_27PAGE_2" localSheetId="7">'Aug 09'!$A$65:$W$135</definedName>
    <definedName name="_28PAGE_2" localSheetId="11">'Aug 10'!$A$65:$W$134</definedName>
    <definedName name="_29PAGE_2" localSheetId="15">'Aug 11'!$A$65:$W$134</definedName>
    <definedName name="_2PAGE_1" localSheetId="7">'Aug 09'!$A$1:$W$64</definedName>
    <definedName name="_30PAGE_2" localSheetId="19">'Aug 12'!$A$65:$W$134</definedName>
    <definedName name="_31PAGE_2" localSheetId="23">'Aug 13'!$A$65:$W$135</definedName>
    <definedName name="_32PAGE_2" localSheetId="1">'Feb 08'!$A$65:$W$135</definedName>
    <definedName name="_33PAGE_2" localSheetId="5">'Feb 09'!$A$65:$W$135</definedName>
    <definedName name="_34PAGE_2" localSheetId="9">'Feb 10'!$A$65:$W$135</definedName>
    <definedName name="_35PAGE_2" localSheetId="13">'Feb 11'!$A$65:$W$134</definedName>
    <definedName name="_36PAGE_2" localSheetId="17">'Feb 12'!$A$65:$W$134</definedName>
    <definedName name="_37PAGE_2" localSheetId="21">'Feb 13'!$A$65:$W$135</definedName>
    <definedName name="_38PAGE_2" localSheetId="2">'May 08'!$A$65:$W$135</definedName>
    <definedName name="_39PAGE_2" localSheetId="6">'May 09'!$A$65:$W$135</definedName>
    <definedName name="_3PAGE_1" localSheetId="11">'Aug 10'!$A$1:$W$64</definedName>
    <definedName name="_40PAGE_2" localSheetId="10">'May 10'!$A$65:$W$134</definedName>
    <definedName name="_41PAGE_2" localSheetId="14">'May 11'!$A$65:$W$134</definedName>
    <definedName name="_42PAGE_2" localSheetId="18">'May 12'!$A$65:$W$134</definedName>
    <definedName name="_43PAGE_2" localSheetId="22">'May 13'!$A$65:$W$135</definedName>
    <definedName name="_44PAGE_2" localSheetId="4">'Nov 08'!$A$65:$W$135</definedName>
    <definedName name="_45PAGE_2" localSheetId="8">'Nov 09'!$A$65:$W$135</definedName>
    <definedName name="_46PAGE_2" localSheetId="12">'Nov 10'!$A$65:$W$134</definedName>
    <definedName name="_47PAGE_2" localSheetId="16">'Nov 11'!$A$65:$W$134</definedName>
    <definedName name="_48PAGE_2" localSheetId="20">'Nov 12'!$A$65:$W$134</definedName>
    <definedName name="_49PAGE_2" localSheetId="27">'Aug 14'!$A$65:$W$135</definedName>
    <definedName name="_49PAGE_2" localSheetId="31">'Aug 15'!$A$65:$W$135</definedName>
    <definedName name="_49PAGE_2" localSheetId="35">'Aug 16'!$A$65:$W$135</definedName>
    <definedName name="_49PAGE_2" localSheetId="39">'Aug 17'!$A$65:$W$135</definedName>
    <definedName name="_49PAGE_2" localSheetId="43">'Aug 18'!$A$65:$W$135</definedName>
    <definedName name="_49PAGE_2" localSheetId="47">'Aug 19'!$A$65:$W$138</definedName>
    <definedName name="_49PAGE_2" localSheetId="51">'Aug 20'!$A$65:$W$138</definedName>
    <definedName name="_49PAGE_2" localSheetId="25">'Feb 14'!$A$65:$W$135</definedName>
    <definedName name="_49PAGE_2" localSheetId="29">'Feb 15'!$A$65:$W$135</definedName>
    <definedName name="_49PAGE_2" localSheetId="33">'Feb 16'!$A$65:$W$135</definedName>
    <definedName name="_49PAGE_2" localSheetId="37">'Feb 17'!$A$65:$W$135</definedName>
    <definedName name="_49PAGE_2" localSheetId="41">'Feb 18'!$A$65:$W$135</definedName>
    <definedName name="_49PAGE_2" localSheetId="45">'Feb 19'!$A$65:$W$135</definedName>
    <definedName name="_49PAGE_2" localSheetId="49">'Feb 20'!$A$65:$W$138</definedName>
    <definedName name="_49PAGE_2" localSheetId="26">'May 14'!$A$65:$W$135</definedName>
    <definedName name="_49PAGE_2" localSheetId="30">'May 15'!$A$65:$W$135</definedName>
    <definedName name="_49PAGE_2" localSheetId="34">'May 16'!$A$65:$W$135</definedName>
    <definedName name="_49PAGE_2" localSheetId="38">'May 17'!$A$65:$W$135</definedName>
    <definedName name="_49PAGE_2" localSheetId="42">'May 18'!$A$65:$W$135</definedName>
    <definedName name="_49PAGE_2" localSheetId="46">'May 19'!$A$65:$W$135</definedName>
    <definedName name="_49PAGE_2" localSheetId="50">'May 20'!$A$65:$W$138</definedName>
    <definedName name="_49PAGE_2" localSheetId="24">'Nov 13'!$A$65:$W$135</definedName>
    <definedName name="_49PAGE_2" localSheetId="28">'Nov 14'!$A$65:$W$135</definedName>
    <definedName name="_49PAGE_2" localSheetId="32">'Nov 15'!$A$65:$W$135</definedName>
    <definedName name="_49PAGE_2" localSheetId="36">'Nov 16'!$A$65:$W$135</definedName>
    <definedName name="_49PAGE_2" localSheetId="40">'Nov 17'!$A$65:$W$135</definedName>
    <definedName name="_49PAGE_2" localSheetId="44">'Nov 18'!$A$65:$W$135</definedName>
    <definedName name="_49PAGE_2" localSheetId="48">'Nov 19'!$A$65:$W$138</definedName>
    <definedName name="_49PAGE_2" localSheetId="52">'Nov 20'!$A$65:$W$139</definedName>
    <definedName name="_4PAGE_1" localSheetId="15">'Aug 11'!$A$1:$W$64</definedName>
    <definedName name="_50PAGE_2">'Nov 07'!$A$65:$W$135</definedName>
    <definedName name="_51PAGE_3" localSheetId="3">'Aug 08'!$A$136:$W$200</definedName>
    <definedName name="_52PAGE_3" localSheetId="7">'Aug 09'!$A$136:$W$200</definedName>
    <definedName name="_53PAGE_3" localSheetId="11">'Aug 10'!$A$135:$W$200</definedName>
    <definedName name="_54PAGE_3" localSheetId="15">'Aug 11'!$A$135:$W$200</definedName>
    <definedName name="_55PAGE_3" localSheetId="19">'Aug 12'!$A$135:$W$200</definedName>
    <definedName name="_56PAGE_3" localSheetId="23">'Aug 13'!$A$136:$W$201</definedName>
    <definedName name="_57PAGE_3" localSheetId="1">'Feb 08'!$A$136:$W$200</definedName>
    <definedName name="_58PAGE_3" localSheetId="5">'Feb 09'!$A$136:$W$200</definedName>
    <definedName name="_59PAGE_3" localSheetId="9">'Feb 10'!$A$136:$W$201</definedName>
    <definedName name="_5PAGE_1" localSheetId="19">'Aug 12'!$A$1:$W$64</definedName>
    <definedName name="_60PAGE_3" localSheetId="13">'Feb 11'!$A$135:$W$200</definedName>
    <definedName name="_61PAGE_3" localSheetId="17">'Feb 12'!$A$135:$W$200</definedName>
    <definedName name="_62PAGE_3" localSheetId="21">'Feb 13'!$A$136:$W$201</definedName>
    <definedName name="_63PAGE_3" localSheetId="2">'May 08'!$A$136:$W$200</definedName>
    <definedName name="_64PAGE_3" localSheetId="6">'May 09'!$A$136:$W$200</definedName>
    <definedName name="_65PAGE_3" localSheetId="10">'May 10'!$A$135:$W$200</definedName>
    <definedName name="_66PAGE_3" localSheetId="14">'May 11'!$A$135:$W$200</definedName>
    <definedName name="_67PAGE_3" localSheetId="18">'May 12'!$A$135:$W$200</definedName>
    <definedName name="_68PAGE_3" localSheetId="22">'May 13'!$A$136:$W$201</definedName>
    <definedName name="_69PAGE_3" localSheetId="4">'Nov 08'!$A$136:$W$200</definedName>
    <definedName name="_6PAGE_1" localSheetId="23">'Aug 13'!$A$1:$W$64</definedName>
    <definedName name="_70PAGE_3" localSheetId="8">'Nov 09'!$A$136:$W$201</definedName>
    <definedName name="_71PAGE_3" localSheetId="12">'Nov 10'!$A$135:$W$200</definedName>
    <definedName name="_72PAGE_3" localSheetId="16">'Nov 11'!$A$135:$W$200</definedName>
    <definedName name="_73PAGE_3" localSheetId="20">'Nov 12'!$A$135:$W$200</definedName>
    <definedName name="_74PAGE_3" localSheetId="27">'Aug 14'!$A$136:$W$201</definedName>
    <definedName name="_74PAGE_3" localSheetId="31">'Aug 15'!$A$136:$W$201</definedName>
    <definedName name="_74PAGE_3" localSheetId="35">'Aug 16'!$A$136:$W$201</definedName>
    <definedName name="_74PAGE_3" localSheetId="39">'Aug 17'!$A$136:$W$201</definedName>
    <definedName name="_74PAGE_3" localSheetId="43">'Aug 18'!$A$136:$W$201</definedName>
    <definedName name="_74PAGE_3" localSheetId="47">'Aug 19'!$A$139:$W$204</definedName>
    <definedName name="_74PAGE_3" localSheetId="51">'Aug 20'!$A$139:$W$204</definedName>
    <definedName name="_74PAGE_3" localSheetId="25">'Feb 14'!$A$136:$W$201</definedName>
    <definedName name="_74PAGE_3" localSheetId="29">'Feb 15'!$A$136:$W$201</definedName>
    <definedName name="_74PAGE_3" localSheetId="33">'Feb 16'!$A$136:$W$201</definedName>
    <definedName name="_74PAGE_3" localSheetId="37">'Feb 17'!$A$136:$W$201</definedName>
    <definedName name="_74PAGE_3" localSheetId="41">'Feb 18'!$A$136:$W$201</definedName>
    <definedName name="_74PAGE_3" localSheetId="45">'Feb 19'!$A$136:$W$201</definedName>
    <definedName name="_74PAGE_3" localSheetId="49">'Feb 20'!$A$139:$W$204</definedName>
    <definedName name="_74PAGE_3" localSheetId="26">'May 14'!$A$136:$W$201</definedName>
    <definedName name="_74PAGE_3" localSheetId="30">'May 15'!$A$136:$W$201</definedName>
    <definedName name="_74PAGE_3" localSheetId="34">'May 16'!$A$136:$W$201</definedName>
    <definedName name="_74PAGE_3" localSheetId="38">'May 17'!$A$136:$W$201</definedName>
    <definedName name="_74PAGE_3" localSheetId="42">'May 18'!$A$136:$W$201</definedName>
    <definedName name="_74PAGE_3" localSheetId="46">'May 19'!$A$136:$W$201</definedName>
    <definedName name="_74PAGE_3" localSheetId="50">'May 20'!$A$139:$W$204</definedName>
    <definedName name="_74PAGE_3" localSheetId="24">'Nov 13'!$A$136:$W$201</definedName>
    <definedName name="_74PAGE_3" localSheetId="28">'Nov 14'!$A$136:$W$201</definedName>
    <definedName name="_74PAGE_3" localSheetId="32">'Nov 15'!$A$136:$W$201</definedName>
    <definedName name="_74PAGE_3" localSheetId="36">'Nov 16'!$A$136:$W$201</definedName>
    <definedName name="_74PAGE_3" localSheetId="40">'Nov 17'!$A$136:$W$201</definedName>
    <definedName name="_74PAGE_3" localSheetId="44">'Nov 18'!$A$136:$W$201</definedName>
    <definedName name="_74PAGE_3" localSheetId="48">'Nov 19'!$A$139:$W$204</definedName>
    <definedName name="_74PAGE_3" localSheetId="52">'Nov 20'!$A$140:$W$205</definedName>
    <definedName name="_75PAGE_3">'Nov 07'!$A$136:$W$200</definedName>
    <definedName name="_76PAGE_4" localSheetId="3">'Aug 08'!$A$201:$W$284</definedName>
    <definedName name="_77PAGE_4" localSheetId="7">'Aug 09'!$A$201:$W$284</definedName>
    <definedName name="_78PAGE_4" localSheetId="11">'Aug 10'!$A$201:$W$296</definedName>
    <definedName name="_79PAGE_4" localSheetId="15">'Aug 11'!$A$201:$W$296</definedName>
    <definedName name="_7PAGE_1" localSheetId="1">'Feb 08'!$A$1:$W$64</definedName>
    <definedName name="_80PAGE_4" localSheetId="19">'Aug 12'!$A$201:$W$296</definedName>
    <definedName name="_81PAGE_4" localSheetId="23">'Aug 13'!$A$202:$W$297</definedName>
    <definedName name="_82PAGE_4" localSheetId="1">'Feb 08'!$A$201:$W$284</definedName>
    <definedName name="_83PAGE_4" localSheetId="5">'Feb 09'!$A$201:$W$284</definedName>
    <definedName name="_84PAGE_4" localSheetId="9">'Feb 10'!$A$202:$W$285</definedName>
    <definedName name="_85PAGE_4" localSheetId="13">'Feb 11'!$A$201:$W$296</definedName>
    <definedName name="_86PAGE_4" localSheetId="17">'Feb 12'!$A$201:$W$296</definedName>
    <definedName name="_87PAGE_4" localSheetId="21">'Feb 13'!$A$202:$W$297</definedName>
    <definedName name="_88PAGE_4" localSheetId="2">'May 08'!$A$201:$W$284</definedName>
    <definedName name="_89PAGE_4" localSheetId="6">'May 09'!$A$201:$W$284</definedName>
    <definedName name="_8PAGE_1" localSheetId="5">'Feb 09'!$A$1:$W$64</definedName>
    <definedName name="_90PAGE_4" localSheetId="10">'May 10'!$A$201:$W$284</definedName>
    <definedName name="_91PAGE_4" localSheetId="14">'May 11'!$A$201:$W$296</definedName>
    <definedName name="_92PAGE_4" localSheetId="18">'May 12'!$A$201:$W$296</definedName>
    <definedName name="_93PAGE_4" localSheetId="22">'May 13'!$A$202:$W$297</definedName>
    <definedName name="_94PAGE_4" localSheetId="4">'Nov 08'!$A$201:$W$284</definedName>
    <definedName name="_95PAGE_4" localSheetId="8">'Nov 09'!$A$202:$W$285</definedName>
    <definedName name="_96PAGE_4" localSheetId="12">'Nov 10'!$A$201:$W$296</definedName>
    <definedName name="_97PAGE_4" localSheetId="16">'Nov 11'!$A$201:$W$296</definedName>
    <definedName name="_98PAGE_4" localSheetId="20">'Nov 12'!$A$201:$W$296</definedName>
    <definedName name="_99PAGE_4" localSheetId="27">'Aug 14'!$A$202:$W$297</definedName>
    <definedName name="_99PAGE_4" localSheetId="31">'Aug 15'!$A$202:$W$297</definedName>
    <definedName name="_99PAGE_4" localSheetId="35">'Aug 16'!$A$202:$W$297</definedName>
    <definedName name="_99PAGE_4" localSheetId="39">'Aug 17'!$A$202:$W$296</definedName>
    <definedName name="_99PAGE_4" localSheetId="43">'Aug 18'!$A$202:$W$296</definedName>
    <definedName name="_99PAGE_4" localSheetId="47">'Aug 19'!$A$205:$W$299</definedName>
    <definedName name="_99PAGE_4" localSheetId="51">'Aug 20'!$A$205:$W$327</definedName>
    <definedName name="_99PAGE_4" localSheetId="25">'Feb 14'!$A$202:$W$297</definedName>
    <definedName name="_99PAGE_4" localSheetId="29">'Feb 15'!$A$202:$W$297</definedName>
    <definedName name="_99PAGE_4" localSheetId="33">'Feb 16'!$A$202:$W$297</definedName>
    <definedName name="_99PAGE_4" localSheetId="37">'Feb 17'!$A$202:$W$296</definedName>
    <definedName name="_99PAGE_4" localSheetId="41">'Feb 18'!$A$202:$W$296</definedName>
    <definedName name="_99PAGE_4" localSheetId="45">'Feb 19'!$A$202:$W$296</definedName>
    <definedName name="_99PAGE_4" localSheetId="49">'Feb 20'!$A$205:$W$299</definedName>
    <definedName name="_99PAGE_4" localSheetId="26">'May 14'!$A$202:$W$297</definedName>
    <definedName name="_99PAGE_4" localSheetId="30">'May 15'!$A$202:$W$297</definedName>
    <definedName name="_99PAGE_4" localSheetId="34">'May 16'!$A$202:$W$297</definedName>
    <definedName name="_99PAGE_4" localSheetId="38">'May 17'!$A$202:$W$296</definedName>
    <definedName name="_99PAGE_4" localSheetId="42">'May 18'!$A$202:$W$296</definedName>
    <definedName name="_99PAGE_4" localSheetId="46">'May 19'!$A$202:$W$296</definedName>
    <definedName name="_99PAGE_4" localSheetId="50">'May 20'!$A$205:$W$324</definedName>
    <definedName name="_99PAGE_4" localSheetId="24">'Nov 13'!$A$202:$W$297</definedName>
    <definedName name="_99PAGE_4" localSheetId="28">'Nov 14'!$A$202:$W$297</definedName>
    <definedName name="_99PAGE_4" localSheetId="32">'Nov 15'!$A$202:$W$297</definedName>
    <definedName name="_99PAGE_4" localSheetId="36">'Nov 16'!$A$202:$W$297</definedName>
    <definedName name="_99PAGE_4" localSheetId="40">'Nov 17'!$A$202:$W$296</definedName>
    <definedName name="_99PAGE_4" localSheetId="44">'Nov 18'!$A$202:$W$296</definedName>
    <definedName name="_99PAGE_4" localSheetId="48">'Nov 19'!$A$205:$W$299</definedName>
    <definedName name="_99PAGE_4" localSheetId="52">'Nov 20'!$A$206:$W$328</definedName>
    <definedName name="_9PAGE_1" localSheetId="9">'Feb 10'!$A$1:$W$64</definedName>
    <definedName name="_xlnm.Print_Area" localSheetId="3">'Aug 08'!$A$1:$X$285</definedName>
    <definedName name="_xlnm.Print_Area" localSheetId="7">'Aug 09'!$A$1:$X$285</definedName>
    <definedName name="_xlnm.Print_Area" localSheetId="11">'Aug 10'!$A$1:$X$297</definedName>
    <definedName name="_xlnm.Print_Area" localSheetId="15">'Aug 11'!$A$1:$X$297</definedName>
    <definedName name="_xlnm.Print_Area" localSheetId="19">'Aug 12'!$A$1:$X$297</definedName>
    <definedName name="_xlnm.Print_Area" localSheetId="23">'Aug 13'!$A$1:$X$298</definedName>
    <definedName name="_xlnm.Print_Area" localSheetId="27">'Aug 14'!$A$1:$X$298</definedName>
    <definedName name="_xlnm.Print_Area" localSheetId="31">'Aug 15'!$A$1:$X$298</definedName>
    <definedName name="_xlnm.Print_Area" localSheetId="35">'Aug 16'!$A$1:$X$298</definedName>
    <definedName name="_xlnm.Print_Area" localSheetId="39">'Aug 17'!$A$1:$X$297</definedName>
    <definedName name="_xlnm.Print_Area" localSheetId="43">'Aug 18'!$A$1:$X$297</definedName>
    <definedName name="_xlnm.Print_Area" localSheetId="47">'Aug 19'!$A$1:$X$300</definedName>
    <definedName name="_xlnm.Print_Area" localSheetId="51">'Aug 20'!$A$1:$X$328</definedName>
    <definedName name="_xlnm.Print_Area" localSheetId="1">'Feb 08'!$A$1:$X$285</definedName>
    <definedName name="_xlnm.Print_Area" localSheetId="5">'Feb 09'!$A$1:$X$285</definedName>
    <definedName name="_xlnm.Print_Area" localSheetId="9">'Feb 10'!$A$1:$X$286</definedName>
    <definedName name="_xlnm.Print_Area" localSheetId="13">'Feb 11'!$A$1:$X$297</definedName>
    <definedName name="_xlnm.Print_Area" localSheetId="17">'Feb 12'!$A$1:$X$297</definedName>
    <definedName name="_xlnm.Print_Area" localSheetId="21">'Feb 13'!$A$1:$X$298</definedName>
    <definedName name="_xlnm.Print_Area" localSheetId="25">'Feb 14'!$A$1:$X$298</definedName>
    <definedName name="_xlnm.Print_Area" localSheetId="29">'Feb 15'!$A$1:$X$298</definedName>
    <definedName name="_xlnm.Print_Area" localSheetId="33">'Feb 16'!$A$1:$X$298</definedName>
    <definedName name="_xlnm.Print_Area" localSheetId="37">'Feb 17'!$A$1:$X$297</definedName>
    <definedName name="_xlnm.Print_Area" localSheetId="41">'Feb 18'!$A$1:$X$297</definedName>
    <definedName name="_xlnm.Print_Area" localSheetId="45">'Feb 19'!$A$1:$X$297</definedName>
    <definedName name="_xlnm.Print_Area" localSheetId="49">'Feb 20'!$A$1:$X$300</definedName>
    <definedName name="_xlnm.Print_Area" localSheetId="2">'May 08'!$A$1:$X$285</definedName>
    <definedName name="_xlnm.Print_Area" localSheetId="6">'May 09'!$A$1:$X$285</definedName>
    <definedName name="_xlnm.Print_Area" localSheetId="10">'May 10'!$A$1:$X$285</definedName>
    <definedName name="_xlnm.Print_Area" localSheetId="14">'May 11'!$A$1:$X$297</definedName>
    <definedName name="_xlnm.Print_Area" localSheetId="18">'May 12'!$A$1:$X$297</definedName>
    <definedName name="_xlnm.Print_Area" localSheetId="22">'May 13'!$A$1:$X$298</definedName>
    <definedName name="_xlnm.Print_Area" localSheetId="26">'May 14'!$A$1:$X$298</definedName>
    <definedName name="_xlnm.Print_Area" localSheetId="30">'May 15'!$A$1:$X$298</definedName>
    <definedName name="_xlnm.Print_Area" localSheetId="34">'May 16'!$A$1:$X$298</definedName>
    <definedName name="_xlnm.Print_Area" localSheetId="38">'May 17'!$A$1:$X$297</definedName>
    <definedName name="_xlnm.Print_Area" localSheetId="42">'May 18'!$A$1:$X$297</definedName>
    <definedName name="_xlnm.Print_Area" localSheetId="46">'May 19'!$A$1:$X$297</definedName>
    <definedName name="_xlnm.Print_Area" localSheetId="50">'May 20'!$A$1:$X$325</definedName>
    <definedName name="_xlnm.Print_Area" localSheetId="0">'Nov 07'!$A$1:$X$285</definedName>
    <definedName name="_xlnm.Print_Area" localSheetId="4">'Nov 08'!$A$1:$X$285</definedName>
    <definedName name="_xlnm.Print_Area" localSheetId="8">'Nov 09'!$A$1:$X$286</definedName>
    <definedName name="_xlnm.Print_Area" localSheetId="12">'Nov 10'!$A$1:$X$297</definedName>
    <definedName name="_xlnm.Print_Area" localSheetId="16">'Nov 11'!$A$1:$X$297</definedName>
    <definedName name="_xlnm.Print_Area" localSheetId="20">'Nov 12'!$A$1:$X$297</definedName>
    <definedName name="_xlnm.Print_Area" localSheetId="24">'Nov 13'!$A$1:$X$298</definedName>
    <definedName name="_xlnm.Print_Area" localSheetId="28">'Nov 14'!$A$1:$X$298</definedName>
    <definedName name="_xlnm.Print_Area" localSheetId="32">'Nov 15'!$A$1:$X$298</definedName>
    <definedName name="_xlnm.Print_Area" localSheetId="36">'Nov 16'!$A$1:$X$298</definedName>
    <definedName name="_xlnm.Print_Area" localSheetId="40">'Nov 17'!$A$1:$X$297</definedName>
    <definedName name="_xlnm.Print_Area" localSheetId="44">'Nov 18'!$A$1:$X$297</definedName>
    <definedName name="_xlnm.Print_Area" localSheetId="48">'Nov 19'!$A$1:$X$300</definedName>
    <definedName name="_xlnm.Print_Area" localSheetId="52">'Nov 20'!$A$1:$X$329</definedName>
    <definedName name="_xlnm.Print_Area">'Nov 07'!$A$1:$W$64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108" i="53" l="1"/>
  <c r="V106" i="53"/>
  <c r="V91" i="53"/>
  <c r="V90" i="53"/>
  <c r="T89" i="53"/>
  <c r="L44" i="53" l="1"/>
  <c r="F44" i="53"/>
  <c r="V98" i="53" l="1"/>
  <c r="T189" i="53" l="1"/>
  <c r="S189" i="53"/>
  <c r="S191" i="53" s="1"/>
  <c r="T313" i="53"/>
  <c r="R313" i="53"/>
  <c r="U299" i="53"/>
  <c r="T299" i="53"/>
  <c r="T226" i="53" s="1"/>
  <c r="S299" i="53"/>
  <c r="R299" i="53"/>
  <c r="T287" i="53"/>
  <c r="R287" i="53"/>
  <c r="T277" i="53"/>
  <c r="R277" i="53"/>
  <c r="S225" i="53" s="1"/>
  <c r="T265" i="53"/>
  <c r="R265" i="53"/>
  <c r="T251" i="53"/>
  <c r="R251" i="53"/>
  <c r="T250" i="53"/>
  <c r="R250" i="53"/>
  <c r="T249" i="53"/>
  <c r="R249" i="53"/>
  <c r="T248" i="53"/>
  <c r="R248" i="53"/>
  <c r="T247" i="53"/>
  <c r="R247" i="53"/>
  <c r="T246" i="53"/>
  <c r="R246" i="53"/>
  <c r="T245" i="53"/>
  <c r="R245" i="53"/>
  <c r="T244" i="53"/>
  <c r="R244" i="53"/>
  <c r="T230" i="53"/>
  <c r="T231" i="53" s="1"/>
  <c r="T228" i="53"/>
  <c r="T210" i="53"/>
  <c r="V190" i="53"/>
  <c r="V177" i="53"/>
  <c r="V176" i="53"/>
  <c r="V170" i="53"/>
  <c r="V169" i="53"/>
  <c r="V152" i="53"/>
  <c r="V143" i="53"/>
  <c r="B139" i="53"/>
  <c r="B205" i="53" s="1"/>
  <c r="B328" i="53" s="1"/>
  <c r="T127" i="53"/>
  <c r="T125" i="53"/>
  <c r="T135" i="53" s="1"/>
  <c r="T115" i="53"/>
  <c r="A115" i="53"/>
  <c r="A116" i="53" s="1"/>
  <c r="A117" i="53" s="1"/>
  <c r="A118" i="53" s="1"/>
  <c r="A119" i="53" s="1"/>
  <c r="A120" i="53" s="1"/>
  <c r="A121" i="53" s="1"/>
  <c r="A122" i="53" s="1"/>
  <c r="A123" i="53" s="1"/>
  <c r="A105" i="53"/>
  <c r="A106" i="53" s="1"/>
  <c r="T100" i="53"/>
  <c r="T99" i="53"/>
  <c r="V102" i="53"/>
  <c r="T98" i="53"/>
  <c r="N87" i="53"/>
  <c r="V82" i="53"/>
  <c r="V81" i="53"/>
  <c r="T71" i="53"/>
  <c r="R71" i="53"/>
  <c r="P71" i="53"/>
  <c r="N71" i="53"/>
  <c r="N84" i="53" s="1"/>
  <c r="L71" i="53"/>
  <c r="L84" i="53" s="1"/>
  <c r="V69" i="53"/>
  <c r="V68" i="53"/>
  <c r="R58" i="53"/>
  <c r="R57" i="53"/>
  <c r="V50" i="53"/>
  <c r="L43" i="53"/>
  <c r="F43" i="53"/>
  <c r="P36" i="53"/>
  <c r="N36" i="53"/>
  <c r="L36" i="53"/>
  <c r="J36" i="53"/>
  <c r="H36" i="53"/>
  <c r="F36" i="53"/>
  <c r="D36" i="53"/>
  <c r="P35" i="53"/>
  <c r="N35" i="53"/>
  <c r="L35" i="53"/>
  <c r="J35" i="53"/>
  <c r="H35" i="53"/>
  <c r="F35" i="53"/>
  <c r="D35" i="53"/>
  <c r="V34" i="53"/>
  <c r="S188" i="53" s="1"/>
  <c r="P33" i="53"/>
  <c r="N33" i="53"/>
  <c r="L33" i="53"/>
  <c r="J33" i="53"/>
  <c r="H33" i="53"/>
  <c r="F33" i="53"/>
  <c r="D33" i="53"/>
  <c r="P32" i="53"/>
  <c r="N32" i="53"/>
  <c r="L32" i="53"/>
  <c r="J32" i="53"/>
  <c r="H32" i="53"/>
  <c r="F32" i="53"/>
  <c r="D32" i="53"/>
  <c r="T102" i="53" l="1"/>
  <c r="V35" i="53"/>
  <c r="V136" i="53"/>
  <c r="V178" i="53"/>
  <c r="V189" i="53"/>
  <c r="V171" i="53"/>
  <c r="V71" i="53"/>
  <c r="V84" i="53" s="1"/>
  <c r="V184" i="53" s="1"/>
  <c r="V36" i="53"/>
  <c r="V43" i="53"/>
  <c r="R253" i="53"/>
  <c r="S265" i="53"/>
  <c r="T225" i="53"/>
  <c r="S277" i="53"/>
  <c r="R301" i="53"/>
  <c r="S226" i="53"/>
  <c r="T301" i="53"/>
  <c r="U313" i="53"/>
  <c r="T136" i="53"/>
  <c r="V123" i="53"/>
  <c r="V135" i="53" s="1"/>
  <c r="T191" i="53"/>
  <c r="S192" i="53" s="1"/>
  <c r="T253" i="53"/>
  <c r="S313" i="53"/>
  <c r="V107" i="52"/>
  <c r="V105" i="52"/>
  <c r="V91" i="52"/>
  <c r="V90" i="52"/>
  <c r="T89" i="52"/>
  <c r="V183" i="53" l="1"/>
  <c r="U265" i="53"/>
  <c r="U277" i="53"/>
  <c r="S287" i="53"/>
  <c r="U287" i="53"/>
  <c r="S253" i="53"/>
  <c r="V191" i="53"/>
  <c r="V35" i="52"/>
  <c r="V36" i="52"/>
  <c r="U253" i="53" l="1"/>
  <c r="L44" i="52"/>
  <c r="F44" i="52"/>
  <c r="S313" i="52" l="1"/>
  <c r="U315" i="52" l="1"/>
  <c r="S315" i="52"/>
  <c r="U314" i="52"/>
  <c r="S314" i="52"/>
  <c r="T312" i="52" l="1"/>
  <c r="U309" i="52" s="1"/>
  <c r="R312" i="52"/>
  <c r="S309" i="52" s="1"/>
  <c r="U298" i="52"/>
  <c r="T298" i="52"/>
  <c r="T225" i="52" s="1"/>
  <c r="S298" i="52"/>
  <c r="R298" i="52"/>
  <c r="T286" i="52"/>
  <c r="U284" i="52" s="1"/>
  <c r="R286" i="52"/>
  <c r="S284" i="52" s="1"/>
  <c r="S283" i="52"/>
  <c r="S282" i="52"/>
  <c r="S281" i="52"/>
  <c r="S280" i="52"/>
  <c r="T276" i="52"/>
  <c r="U274" i="52" s="1"/>
  <c r="R276" i="52"/>
  <c r="S274" i="52" s="1"/>
  <c r="T264" i="52"/>
  <c r="R264" i="52"/>
  <c r="S261" i="52" s="1"/>
  <c r="T250" i="52"/>
  <c r="R250" i="52"/>
  <c r="T249" i="52"/>
  <c r="R249" i="52"/>
  <c r="T248" i="52"/>
  <c r="R248" i="52"/>
  <c r="T247" i="52"/>
  <c r="R247" i="52"/>
  <c r="T246" i="52"/>
  <c r="R246" i="52"/>
  <c r="T245" i="52"/>
  <c r="R245" i="52"/>
  <c r="T244" i="52"/>
  <c r="R244" i="52"/>
  <c r="T243" i="52"/>
  <c r="R243" i="52"/>
  <c r="T229" i="52"/>
  <c r="T227" i="52"/>
  <c r="S225" i="52"/>
  <c r="T219" i="52"/>
  <c r="T209" i="52"/>
  <c r="V189" i="52"/>
  <c r="V176" i="52"/>
  <c r="V169" i="52"/>
  <c r="V168" i="52"/>
  <c r="V151" i="52"/>
  <c r="B138" i="52"/>
  <c r="B204" i="52" s="1"/>
  <c r="B327" i="52" s="1"/>
  <c r="T134" i="52"/>
  <c r="T126" i="52"/>
  <c r="T124" i="52"/>
  <c r="A115" i="52"/>
  <c r="A116" i="52" s="1"/>
  <c r="A117" i="52" s="1"/>
  <c r="A118" i="52" s="1"/>
  <c r="A119" i="52" s="1"/>
  <c r="A120" i="52" s="1"/>
  <c r="A121" i="52" s="1"/>
  <c r="A122" i="52" s="1"/>
  <c r="T114" i="52"/>
  <c r="A114" i="52"/>
  <c r="A105" i="52"/>
  <c r="A104" i="52"/>
  <c r="T99" i="52"/>
  <c r="T98" i="52"/>
  <c r="T97" i="52"/>
  <c r="T101" i="52" s="1"/>
  <c r="N87" i="52"/>
  <c r="V82" i="52"/>
  <c r="V81" i="52"/>
  <c r="T71" i="52"/>
  <c r="R71" i="52"/>
  <c r="P71" i="52"/>
  <c r="N71" i="52"/>
  <c r="N84" i="52" s="1"/>
  <c r="L71" i="52"/>
  <c r="L84" i="52" s="1"/>
  <c r="V69" i="52"/>
  <c r="V68" i="52"/>
  <c r="R58" i="52"/>
  <c r="R57" i="52"/>
  <c r="V50" i="52"/>
  <c r="L43" i="52"/>
  <c r="F43" i="52"/>
  <c r="P36" i="52"/>
  <c r="N36" i="52"/>
  <c r="L36" i="52"/>
  <c r="J36" i="52"/>
  <c r="H36" i="52"/>
  <c r="F36" i="52"/>
  <c r="D36" i="52"/>
  <c r="P35" i="52"/>
  <c r="N35" i="52"/>
  <c r="L35" i="52"/>
  <c r="J35" i="52"/>
  <c r="H35" i="52"/>
  <c r="F35" i="52"/>
  <c r="D35" i="52"/>
  <c r="V34" i="52"/>
  <c r="S187" i="52" s="1"/>
  <c r="P33" i="52"/>
  <c r="N33" i="52"/>
  <c r="L33" i="52"/>
  <c r="J33" i="52"/>
  <c r="H33" i="52"/>
  <c r="F33" i="52"/>
  <c r="D33" i="52"/>
  <c r="P32" i="52"/>
  <c r="N32" i="52"/>
  <c r="L32" i="52"/>
  <c r="J32" i="52"/>
  <c r="H32" i="52"/>
  <c r="F32" i="52"/>
  <c r="D32" i="52"/>
  <c r="U262" i="52" l="1"/>
  <c r="T300" i="52"/>
  <c r="U313" i="52" s="1"/>
  <c r="T135" i="52"/>
  <c r="V170" i="52"/>
  <c r="U279" i="52"/>
  <c r="U281" i="52"/>
  <c r="U283" i="52"/>
  <c r="S279" i="52"/>
  <c r="S286" i="52" s="1"/>
  <c r="U303" i="52"/>
  <c r="U305" i="52"/>
  <c r="U307" i="52"/>
  <c r="S303" i="52"/>
  <c r="S304" i="52"/>
  <c r="S308" i="52"/>
  <c r="S307" i="52"/>
  <c r="S305" i="52"/>
  <c r="S310" i="52"/>
  <c r="S306" i="52"/>
  <c r="U269" i="52"/>
  <c r="U267" i="52"/>
  <c r="T224" i="52"/>
  <c r="U271" i="52"/>
  <c r="U273" i="52"/>
  <c r="S271" i="52"/>
  <c r="S267" i="52"/>
  <c r="S224" i="52"/>
  <c r="S273" i="52"/>
  <c r="S269" i="52"/>
  <c r="U255" i="52"/>
  <c r="U260" i="52"/>
  <c r="U259" i="52"/>
  <c r="U256" i="52"/>
  <c r="U261" i="52"/>
  <c r="U257" i="52"/>
  <c r="U258" i="52"/>
  <c r="S260" i="52"/>
  <c r="S262" i="52"/>
  <c r="S258" i="52"/>
  <c r="S256" i="52"/>
  <c r="V142" i="52"/>
  <c r="R252" i="52"/>
  <c r="S249" i="52" s="1"/>
  <c r="S255" i="52"/>
  <c r="S257" i="52"/>
  <c r="S259" i="52"/>
  <c r="S268" i="52"/>
  <c r="S270" i="52"/>
  <c r="S272" i="52"/>
  <c r="U280" i="52"/>
  <c r="U282" i="52"/>
  <c r="R300" i="52"/>
  <c r="U304" i="52"/>
  <c r="U306" i="52"/>
  <c r="U308" i="52"/>
  <c r="U310" i="52"/>
  <c r="V43" i="52"/>
  <c r="T211" i="52" s="1"/>
  <c r="T212" i="52" s="1"/>
  <c r="V51" i="52"/>
  <c r="V71" i="52"/>
  <c r="V84" i="52" s="1"/>
  <c r="V183" i="52" s="1"/>
  <c r="V97" i="52"/>
  <c r="V101" i="52" s="1"/>
  <c r="V197" i="52" s="1"/>
  <c r="U268" i="52"/>
  <c r="U270" i="52"/>
  <c r="U272" i="52"/>
  <c r="T252" i="52"/>
  <c r="U248" i="52" s="1"/>
  <c r="U264" i="52" l="1"/>
  <c r="T213" i="52"/>
  <c r="V199" i="52"/>
  <c r="V122" i="52"/>
  <c r="V134" i="52" s="1"/>
  <c r="V135" i="52" s="1"/>
  <c r="V195" i="52"/>
  <c r="U286" i="52"/>
  <c r="S312" i="52"/>
  <c r="U276" i="52"/>
  <c r="S276" i="52"/>
  <c r="S248" i="52"/>
  <c r="S245" i="52"/>
  <c r="S250" i="52"/>
  <c r="S243" i="52"/>
  <c r="S264" i="52"/>
  <c r="S244" i="52"/>
  <c r="S246" i="52"/>
  <c r="V182" i="52"/>
  <c r="U312" i="52"/>
  <c r="S247" i="52"/>
  <c r="U245" i="52"/>
  <c r="U243" i="52"/>
  <c r="U244" i="52"/>
  <c r="U249" i="52"/>
  <c r="U250" i="52"/>
  <c r="U246" i="52"/>
  <c r="U247" i="52"/>
  <c r="S252" i="52" l="1"/>
  <c r="U252" i="52"/>
  <c r="T89" i="51"/>
  <c r="V90" i="51" l="1"/>
  <c r="V107" i="51"/>
  <c r="V105" i="51"/>
  <c r="V91" i="51"/>
  <c r="L44" i="51"/>
  <c r="F44" i="51"/>
  <c r="T286" i="51" l="1"/>
  <c r="U284" i="51" s="1"/>
  <c r="R286" i="51"/>
  <c r="S282" i="51" l="1"/>
  <c r="S279" i="51"/>
  <c r="S283" i="51"/>
  <c r="U281" i="51"/>
  <c r="S280" i="51"/>
  <c r="S284" i="51"/>
  <c r="U282" i="51"/>
  <c r="S281" i="51"/>
  <c r="U279" i="51"/>
  <c r="U283" i="51"/>
  <c r="U280" i="51"/>
  <c r="S286" i="51"/>
  <c r="T312" i="51"/>
  <c r="R312" i="51"/>
  <c r="U298" i="51"/>
  <c r="T298" i="51"/>
  <c r="S298" i="51"/>
  <c r="R298" i="51"/>
  <c r="S225" i="51" s="1"/>
  <c r="T276" i="51"/>
  <c r="U273" i="51" s="1"/>
  <c r="R276" i="51"/>
  <c r="S274" i="51" s="1"/>
  <c r="T264" i="51"/>
  <c r="U262" i="51" s="1"/>
  <c r="R264" i="51"/>
  <c r="S261" i="51" s="1"/>
  <c r="T250" i="51"/>
  <c r="R250" i="51"/>
  <c r="T249" i="51"/>
  <c r="R249" i="51"/>
  <c r="T248" i="51"/>
  <c r="R248" i="51"/>
  <c r="T247" i="51"/>
  <c r="R247" i="51"/>
  <c r="T246" i="51"/>
  <c r="R246" i="51"/>
  <c r="T245" i="51"/>
  <c r="R245" i="51"/>
  <c r="T244" i="51"/>
  <c r="R244" i="51"/>
  <c r="T243" i="51"/>
  <c r="R243" i="51"/>
  <c r="T229" i="51"/>
  <c r="T227" i="51"/>
  <c r="T219" i="51"/>
  <c r="T209" i="51"/>
  <c r="V189" i="51"/>
  <c r="V176" i="51"/>
  <c r="V169" i="51"/>
  <c r="V168" i="51"/>
  <c r="V151" i="51"/>
  <c r="B138" i="51"/>
  <c r="B204" i="51" s="1"/>
  <c r="B324" i="51" s="1"/>
  <c r="T126" i="51"/>
  <c r="T124" i="51"/>
  <c r="T114" i="51"/>
  <c r="A114" i="51"/>
  <c r="A115" i="51" s="1"/>
  <c r="A116" i="51" s="1"/>
  <c r="A117" i="51" s="1"/>
  <c r="A118" i="51" s="1"/>
  <c r="A119" i="51" s="1"/>
  <c r="A120" i="51" s="1"/>
  <c r="A121" i="51" s="1"/>
  <c r="A122" i="51" s="1"/>
  <c r="A104" i="51"/>
  <c r="A105" i="51" s="1"/>
  <c r="T99" i="51"/>
  <c r="T98" i="51"/>
  <c r="V97" i="51"/>
  <c r="V101" i="51" s="1"/>
  <c r="T97" i="51"/>
  <c r="N87" i="51"/>
  <c r="V82" i="51"/>
  <c r="V81" i="51"/>
  <c r="T71" i="51"/>
  <c r="R71" i="51"/>
  <c r="P71" i="51"/>
  <c r="N71" i="51"/>
  <c r="N84" i="51" s="1"/>
  <c r="L71" i="51"/>
  <c r="L84" i="51" s="1"/>
  <c r="V69" i="51"/>
  <c r="V68" i="51"/>
  <c r="R58" i="51"/>
  <c r="R57" i="51"/>
  <c r="V50" i="51"/>
  <c r="L43" i="51"/>
  <c r="F43" i="51"/>
  <c r="P36" i="51"/>
  <c r="N36" i="51"/>
  <c r="L36" i="51"/>
  <c r="J36" i="51"/>
  <c r="H36" i="51"/>
  <c r="F36" i="51"/>
  <c r="D36" i="51"/>
  <c r="P35" i="51"/>
  <c r="N35" i="51"/>
  <c r="L35" i="51"/>
  <c r="J35" i="51"/>
  <c r="H35" i="51"/>
  <c r="F35" i="51"/>
  <c r="D35" i="51"/>
  <c r="V34" i="51"/>
  <c r="V142" i="51" s="1"/>
  <c r="P33" i="51"/>
  <c r="N33" i="51"/>
  <c r="L33" i="51"/>
  <c r="J33" i="51"/>
  <c r="H33" i="51"/>
  <c r="F33" i="51"/>
  <c r="D33" i="51"/>
  <c r="P32" i="51"/>
  <c r="N32" i="51"/>
  <c r="L32" i="51"/>
  <c r="J32" i="51"/>
  <c r="H32" i="51"/>
  <c r="F32" i="51"/>
  <c r="D32" i="51"/>
  <c r="V36" i="51" l="1"/>
  <c r="S307" i="51"/>
  <c r="R313" i="51"/>
  <c r="T134" i="51"/>
  <c r="U303" i="51"/>
  <c r="T313" i="51"/>
  <c r="U286" i="51"/>
  <c r="S304" i="51"/>
  <c r="S308" i="51"/>
  <c r="U304" i="51"/>
  <c r="U267" i="51"/>
  <c r="U271" i="51"/>
  <c r="U268" i="51"/>
  <c r="U272" i="51"/>
  <c r="U270" i="51"/>
  <c r="U274" i="51"/>
  <c r="T224" i="51"/>
  <c r="U269" i="51"/>
  <c r="S224" i="51"/>
  <c r="S269" i="51"/>
  <c r="S267" i="51"/>
  <c r="T252" i="51"/>
  <c r="U244" i="51" s="1"/>
  <c r="U255" i="51"/>
  <c r="S262" i="51"/>
  <c r="S255" i="51"/>
  <c r="S258" i="51"/>
  <c r="S259" i="51"/>
  <c r="S256" i="51"/>
  <c r="S260" i="51"/>
  <c r="S257" i="51"/>
  <c r="U261" i="51"/>
  <c r="T300" i="51"/>
  <c r="V51" i="51"/>
  <c r="U259" i="51"/>
  <c r="S273" i="51"/>
  <c r="V71" i="51"/>
  <c r="V182" i="51" s="1"/>
  <c r="U257" i="51"/>
  <c r="S271" i="51"/>
  <c r="U308" i="51"/>
  <c r="V35" i="51"/>
  <c r="T101" i="51"/>
  <c r="U256" i="51"/>
  <c r="U258" i="51"/>
  <c r="U260" i="51"/>
  <c r="S305" i="51"/>
  <c r="S309" i="51"/>
  <c r="U305" i="51"/>
  <c r="U309" i="51"/>
  <c r="S306" i="51"/>
  <c r="S310" i="51"/>
  <c r="U306" i="51"/>
  <c r="U310" i="51"/>
  <c r="S268" i="51"/>
  <c r="S270" i="51"/>
  <c r="S272" i="51"/>
  <c r="R300" i="51"/>
  <c r="V170" i="51"/>
  <c r="S187" i="51"/>
  <c r="T225" i="51"/>
  <c r="S303" i="51"/>
  <c r="U307" i="51"/>
  <c r="V199" i="51"/>
  <c r="V197" i="51"/>
  <c r="V122" i="51"/>
  <c r="V134" i="51" s="1"/>
  <c r="V135" i="51" s="1"/>
  <c r="V195" i="51"/>
  <c r="T213" i="51"/>
  <c r="R252" i="51"/>
  <c r="S243" i="51" s="1"/>
  <c r="V107" i="50"/>
  <c r="V105" i="50"/>
  <c r="V91" i="50"/>
  <c r="V90" i="50"/>
  <c r="T89" i="50"/>
  <c r="L44" i="50"/>
  <c r="F44" i="50"/>
  <c r="T135" i="51" l="1"/>
  <c r="V43" i="51"/>
  <c r="T211" i="51" s="1"/>
  <c r="T212" i="51" s="1"/>
  <c r="V84" i="51"/>
  <c r="V183" i="51" s="1"/>
  <c r="U312" i="51"/>
  <c r="S312" i="51"/>
  <c r="U276" i="51"/>
  <c r="U248" i="51"/>
  <c r="U246" i="51"/>
  <c r="U245" i="51"/>
  <c r="U250" i="51"/>
  <c r="U249" i="51"/>
  <c r="U247" i="51"/>
  <c r="U243" i="51"/>
  <c r="S264" i="51"/>
  <c r="S276" i="51"/>
  <c r="U264" i="51"/>
  <c r="S245" i="51"/>
  <c r="S244" i="51"/>
  <c r="S250" i="51"/>
  <c r="S249" i="51"/>
  <c r="S248" i="51"/>
  <c r="S247" i="51"/>
  <c r="S246" i="51"/>
  <c r="U288" i="50"/>
  <c r="T288" i="50"/>
  <c r="S288" i="50"/>
  <c r="R288" i="50"/>
  <c r="S225" i="50" s="1"/>
  <c r="T276" i="50"/>
  <c r="U272" i="50" s="1"/>
  <c r="R276" i="50"/>
  <c r="S224" i="50" s="1"/>
  <c r="S271" i="50"/>
  <c r="S267" i="50"/>
  <c r="T264" i="50"/>
  <c r="U261" i="50" s="1"/>
  <c r="R264" i="50"/>
  <c r="S262" i="50" s="1"/>
  <c r="T250" i="50"/>
  <c r="R250" i="50"/>
  <c r="T249" i="50"/>
  <c r="R249" i="50"/>
  <c r="T248" i="50"/>
  <c r="R248" i="50"/>
  <c r="T247" i="50"/>
  <c r="R247" i="50"/>
  <c r="T246" i="50"/>
  <c r="R246" i="50"/>
  <c r="T245" i="50"/>
  <c r="R245" i="50"/>
  <c r="T244" i="50"/>
  <c r="R244" i="50"/>
  <c r="T243" i="50"/>
  <c r="R243" i="50"/>
  <c r="T229" i="50"/>
  <c r="T227" i="50"/>
  <c r="T225" i="50"/>
  <c r="T219" i="50"/>
  <c r="T209" i="50"/>
  <c r="V189" i="50"/>
  <c r="V176" i="50"/>
  <c r="V169" i="50"/>
  <c r="V168" i="50"/>
  <c r="V151" i="50"/>
  <c r="B138" i="50"/>
  <c r="B204" i="50" s="1"/>
  <c r="B299" i="50" s="1"/>
  <c r="T126" i="50"/>
  <c r="T124" i="50"/>
  <c r="T134" i="50" s="1"/>
  <c r="T114" i="50"/>
  <c r="A114" i="50"/>
  <c r="A115" i="50" s="1"/>
  <c r="A116" i="50" s="1"/>
  <c r="A117" i="50" s="1"/>
  <c r="A118" i="50" s="1"/>
  <c r="A119" i="50" s="1"/>
  <c r="A120" i="50" s="1"/>
  <c r="A121" i="50" s="1"/>
  <c r="A122" i="50" s="1"/>
  <c r="A105" i="50"/>
  <c r="A104" i="50"/>
  <c r="T99" i="50"/>
  <c r="T98" i="50"/>
  <c r="V97" i="50"/>
  <c r="V101" i="50" s="1"/>
  <c r="T97" i="50"/>
  <c r="N87" i="50"/>
  <c r="V82" i="50"/>
  <c r="V81" i="50"/>
  <c r="T71" i="50"/>
  <c r="R71" i="50"/>
  <c r="P71" i="50"/>
  <c r="N71" i="50"/>
  <c r="N84" i="50" s="1"/>
  <c r="L71" i="50"/>
  <c r="L84" i="50" s="1"/>
  <c r="V69" i="50"/>
  <c r="V68" i="50"/>
  <c r="V71" i="50" s="1"/>
  <c r="R58" i="50"/>
  <c r="R57" i="50"/>
  <c r="V50" i="50"/>
  <c r="L43" i="50"/>
  <c r="F43" i="50"/>
  <c r="P36" i="50"/>
  <c r="N36" i="50"/>
  <c r="L36" i="50"/>
  <c r="J36" i="50"/>
  <c r="H36" i="50"/>
  <c r="F36" i="50"/>
  <c r="D36" i="50"/>
  <c r="P35" i="50"/>
  <c r="N35" i="50"/>
  <c r="L35" i="50"/>
  <c r="J35" i="50"/>
  <c r="H35" i="50"/>
  <c r="F35" i="50"/>
  <c r="D35" i="50"/>
  <c r="V34" i="50"/>
  <c r="V142" i="50" s="1"/>
  <c r="P33" i="50"/>
  <c r="N33" i="50"/>
  <c r="L33" i="50"/>
  <c r="J33" i="50"/>
  <c r="H33" i="50"/>
  <c r="F33" i="50"/>
  <c r="D33" i="50"/>
  <c r="P32" i="50"/>
  <c r="N32" i="50"/>
  <c r="L32" i="50"/>
  <c r="J32" i="50"/>
  <c r="H32" i="50"/>
  <c r="F32" i="50"/>
  <c r="D32" i="50"/>
  <c r="S187" i="50" l="1"/>
  <c r="U262" i="50"/>
  <c r="V35" i="50"/>
  <c r="T101" i="50"/>
  <c r="U252" i="51"/>
  <c r="S252" i="51"/>
  <c r="V170" i="50"/>
  <c r="T135" i="50"/>
  <c r="V43" i="50"/>
  <c r="T211" i="50" s="1"/>
  <c r="T212" i="50" s="1"/>
  <c r="V51" i="50"/>
  <c r="V36" i="50"/>
  <c r="S273" i="50"/>
  <c r="T224" i="50"/>
  <c r="U270" i="50"/>
  <c r="U267" i="50"/>
  <c r="U273" i="50"/>
  <c r="U274" i="50"/>
  <c r="U268" i="50"/>
  <c r="U271" i="50"/>
  <c r="U269" i="50"/>
  <c r="S269" i="50"/>
  <c r="S272" i="50"/>
  <c r="S268" i="50"/>
  <c r="S270" i="50"/>
  <c r="S274" i="50"/>
  <c r="U256" i="50"/>
  <c r="U258" i="50"/>
  <c r="T252" i="50"/>
  <c r="U249" i="50" s="1"/>
  <c r="U259" i="50"/>
  <c r="U255" i="50"/>
  <c r="U260" i="50"/>
  <c r="U257" i="50"/>
  <c r="T290" i="50"/>
  <c r="S255" i="50"/>
  <c r="S257" i="50"/>
  <c r="S259" i="50"/>
  <c r="S261" i="50"/>
  <c r="R290" i="50"/>
  <c r="S256" i="50"/>
  <c r="S258" i="50"/>
  <c r="S260" i="50"/>
  <c r="V199" i="50"/>
  <c r="T213" i="50"/>
  <c r="V197" i="50"/>
  <c r="V195" i="50"/>
  <c r="V122" i="50"/>
  <c r="V134" i="50" s="1"/>
  <c r="V135" i="50" s="1"/>
  <c r="V84" i="50"/>
  <c r="V183" i="50" s="1"/>
  <c r="V182" i="50"/>
  <c r="R252" i="50"/>
  <c r="S245" i="50" s="1"/>
  <c r="V107" i="49"/>
  <c r="V105" i="49"/>
  <c r="V91" i="49"/>
  <c r="V90" i="49"/>
  <c r="T89" i="49"/>
  <c r="F44" i="49"/>
  <c r="F43" i="49"/>
  <c r="L44" i="49"/>
  <c r="U276" i="50" l="1"/>
  <c r="U246" i="50"/>
  <c r="U243" i="50"/>
  <c r="S276" i="50"/>
  <c r="U245" i="50"/>
  <c r="U244" i="50"/>
  <c r="U248" i="50"/>
  <c r="U247" i="50"/>
  <c r="U250" i="50"/>
  <c r="U264" i="50"/>
  <c r="S264" i="50"/>
  <c r="S246" i="50"/>
  <c r="S249" i="50"/>
  <c r="S244" i="50"/>
  <c r="S247" i="50"/>
  <c r="S250" i="50"/>
  <c r="S243" i="50"/>
  <c r="S248" i="50"/>
  <c r="U288" i="49"/>
  <c r="T288" i="49"/>
  <c r="S288" i="49"/>
  <c r="R288" i="49"/>
  <c r="T276" i="49"/>
  <c r="U271" i="49" s="1"/>
  <c r="R276" i="49"/>
  <c r="S274" i="49" s="1"/>
  <c r="T264" i="49"/>
  <c r="U261" i="49" s="1"/>
  <c r="R264" i="49"/>
  <c r="S262" i="49" s="1"/>
  <c r="T250" i="49"/>
  <c r="R250" i="49"/>
  <c r="T249" i="49"/>
  <c r="R249" i="49"/>
  <c r="T248" i="49"/>
  <c r="R248" i="49"/>
  <c r="T247" i="49"/>
  <c r="R247" i="49"/>
  <c r="T246" i="49"/>
  <c r="R246" i="49"/>
  <c r="T245" i="49"/>
  <c r="R245" i="49"/>
  <c r="T244" i="49"/>
  <c r="R244" i="49"/>
  <c r="T243" i="49"/>
  <c r="R243" i="49"/>
  <c r="T229" i="49"/>
  <c r="T227" i="49"/>
  <c r="T225" i="49"/>
  <c r="S225" i="49"/>
  <c r="T219" i="49"/>
  <c r="T209" i="49"/>
  <c r="V189" i="49"/>
  <c r="V176" i="49"/>
  <c r="V171" i="49"/>
  <c r="V169" i="49"/>
  <c r="V168" i="49"/>
  <c r="V170" i="49" s="1"/>
  <c r="V151" i="49"/>
  <c r="B138" i="49"/>
  <c r="B204" i="49" s="1"/>
  <c r="B299" i="49" s="1"/>
  <c r="T126" i="49"/>
  <c r="T124" i="49"/>
  <c r="T134" i="49" s="1"/>
  <c r="T114" i="49"/>
  <c r="A114" i="49"/>
  <c r="A115" i="49" s="1"/>
  <c r="A116" i="49" s="1"/>
  <c r="A117" i="49" s="1"/>
  <c r="A118" i="49" s="1"/>
  <c r="A119" i="49" s="1"/>
  <c r="A120" i="49" s="1"/>
  <c r="A121" i="49" s="1"/>
  <c r="A122" i="49" s="1"/>
  <c r="A104" i="49"/>
  <c r="A105" i="49" s="1"/>
  <c r="T99" i="49"/>
  <c r="T98" i="49"/>
  <c r="V97" i="49"/>
  <c r="V101" i="49" s="1"/>
  <c r="T97" i="49"/>
  <c r="T101" i="49" s="1"/>
  <c r="N87" i="49"/>
  <c r="V82" i="49"/>
  <c r="V81" i="49"/>
  <c r="T71" i="49"/>
  <c r="R71" i="49"/>
  <c r="P71" i="49"/>
  <c r="N71" i="49"/>
  <c r="N84" i="49" s="1"/>
  <c r="L71" i="49"/>
  <c r="L84" i="49" s="1"/>
  <c r="V69" i="49"/>
  <c r="V68" i="49"/>
  <c r="V71" i="49" s="1"/>
  <c r="R58" i="49"/>
  <c r="R57" i="49"/>
  <c r="V50" i="49"/>
  <c r="L43" i="49"/>
  <c r="P36" i="49"/>
  <c r="N36" i="49"/>
  <c r="L36" i="49"/>
  <c r="J36" i="49"/>
  <c r="H36" i="49"/>
  <c r="F36" i="49"/>
  <c r="D36" i="49"/>
  <c r="P35" i="49"/>
  <c r="N35" i="49"/>
  <c r="L35" i="49"/>
  <c r="J35" i="49"/>
  <c r="H35" i="49"/>
  <c r="F35" i="49"/>
  <c r="D35" i="49"/>
  <c r="V34" i="49"/>
  <c r="V142" i="49" s="1"/>
  <c r="P33" i="49"/>
  <c r="N33" i="49"/>
  <c r="L33" i="49"/>
  <c r="J33" i="49"/>
  <c r="H33" i="49"/>
  <c r="F33" i="49"/>
  <c r="D33" i="49"/>
  <c r="P32" i="49"/>
  <c r="N32" i="49"/>
  <c r="L32" i="49"/>
  <c r="J32" i="49"/>
  <c r="H32" i="49"/>
  <c r="F32" i="49"/>
  <c r="D32" i="49"/>
  <c r="S187" i="49" l="1"/>
  <c r="S224" i="49"/>
  <c r="V36" i="49"/>
  <c r="U252" i="50"/>
  <c r="S252" i="50"/>
  <c r="T135" i="49"/>
  <c r="V51" i="49"/>
  <c r="V35" i="49"/>
  <c r="V43" i="49" s="1"/>
  <c r="T211" i="49" s="1"/>
  <c r="T212" i="49" s="1"/>
  <c r="U270" i="49"/>
  <c r="U274" i="49"/>
  <c r="T224" i="49"/>
  <c r="U268" i="49"/>
  <c r="U272" i="49"/>
  <c r="U269" i="49"/>
  <c r="U273" i="49"/>
  <c r="U267" i="49"/>
  <c r="S273" i="49"/>
  <c r="S267" i="49"/>
  <c r="S271" i="49"/>
  <c r="S269" i="49"/>
  <c r="S268" i="49"/>
  <c r="S270" i="49"/>
  <c r="S272" i="49"/>
  <c r="T252" i="49"/>
  <c r="U249" i="49" s="1"/>
  <c r="U259" i="49"/>
  <c r="U255" i="49"/>
  <c r="U256" i="49"/>
  <c r="U260" i="49"/>
  <c r="U257" i="49"/>
  <c r="U262" i="49"/>
  <c r="T290" i="49"/>
  <c r="U258" i="49"/>
  <c r="S256" i="49"/>
  <c r="S260" i="49"/>
  <c r="S258" i="49"/>
  <c r="R290" i="49"/>
  <c r="S255" i="49"/>
  <c r="S257" i="49"/>
  <c r="S259" i="49"/>
  <c r="S261" i="49"/>
  <c r="V199" i="49"/>
  <c r="T213" i="49"/>
  <c r="V197" i="49"/>
  <c r="V195" i="49"/>
  <c r="V122" i="49"/>
  <c r="V134" i="49" s="1"/>
  <c r="V135" i="49" s="1"/>
  <c r="V84" i="49"/>
  <c r="V183" i="49" s="1"/>
  <c r="V182" i="49"/>
  <c r="R252" i="49"/>
  <c r="S249" i="49" s="1"/>
  <c r="U276" i="49" l="1"/>
  <c r="S276" i="49"/>
  <c r="U247" i="49"/>
  <c r="U246" i="49"/>
  <c r="U248" i="49"/>
  <c r="U245" i="49"/>
  <c r="U250" i="49"/>
  <c r="U244" i="49"/>
  <c r="U243" i="49"/>
  <c r="U264" i="49"/>
  <c r="S264" i="49"/>
  <c r="S246" i="49"/>
  <c r="S244" i="49"/>
  <c r="S245" i="49"/>
  <c r="S250" i="49"/>
  <c r="S243" i="49"/>
  <c r="S247" i="49"/>
  <c r="S248" i="49"/>
  <c r="U252" i="49" l="1"/>
  <c r="S252" i="49"/>
  <c r="V171" i="48"/>
  <c r="V107" i="48" l="1"/>
  <c r="V105" i="48"/>
  <c r="V91" i="48"/>
  <c r="V90" i="48"/>
  <c r="T89" i="48"/>
  <c r="L44" i="48"/>
  <c r="F44" i="48"/>
  <c r="U288" i="48" l="1"/>
  <c r="T288" i="48"/>
  <c r="T225" i="48" s="1"/>
  <c r="S288" i="48"/>
  <c r="R288" i="48"/>
  <c r="T276" i="48"/>
  <c r="U271" i="48" s="1"/>
  <c r="R276" i="48"/>
  <c r="S272" i="48" s="1"/>
  <c r="T264" i="48"/>
  <c r="U261" i="48" s="1"/>
  <c r="R264" i="48"/>
  <c r="S262" i="48" s="1"/>
  <c r="T250" i="48"/>
  <c r="R250" i="48"/>
  <c r="T249" i="48"/>
  <c r="R249" i="48"/>
  <c r="T248" i="48"/>
  <c r="R248" i="48"/>
  <c r="T247" i="48"/>
  <c r="R247" i="48"/>
  <c r="T246" i="48"/>
  <c r="R246" i="48"/>
  <c r="T245" i="48"/>
  <c r="R245" i="48"/>
  <c r="T244" i="48"/>
  <c r="R244" i="48"/>
  <c r="T243" i="48"/>
  <c r="R243" i="48"/>
  <c r="T229" i="48"/>
  <c r="T227" i="48"/>
  <c r="S225" i="48"/>
  <c r="T219" i="48"/>
  <c r="T209" i="48"/>
  <c r="V189" i="48"/>
  <c r="V176" i="48"/>
  <c r="V169" i="48"/>
  <c r="V168" i="48"/>
  <c r="V151" i="48"/>
  <c r="B138" i="48"/>
  <c r="B204" i="48" s="1"/>
  <c r="B299" i="48" s="1"/>
  <c r="T126" i="48"/>
  <c r="T124" i="48"/>
  <c r="T114" i="48"/>
  <c r="A114" i="48"/>
  <c r="A115" i="48" s="1"/>
  <c r="A116" i="48" s="1"/>
  <c r="A117" i="48" s="1"/>
  <c r="A118" i="48" s="1"/>
  <c r="A119" i="48" s="1"/>
  <c r="A120" i="48" s="1"/>
  <c r="A121" i="48" s="1"/>
  <c r="A122" i="48" s="1"/>
  <c r="A104" i="48"/>
  <c r="A105" i="48" s="1"/>
  <c r="T99" i="48"/>
  <c r="T98" i="48"/>
  <c r="V97" i="48"/>
  <c r="V101" i="48" s="1"/>
  <c r="T97" i="48"/>
  <c r="N87" i="48"/>
  <c r="V82" i="48"/>
  <c r="V81" i="48"/>
  <c r="T71" i="48"/>
  <c r="R71" i="48"/>
  <c r="P71" i="48"/>
  <c r="N71" i="48"/>
  <c r="N84" i="48" s="1"/>
  <c r="L71" i="48"/>
  <c r="L84" i="48" s="1"/>
  <c r="V69" i="48"/>
  <c r="V68" i="48"/>
  <c r="V71" i="48" s="1"/>
  <c r="R58" i="48"/>
  <c r="R57" i="48"/>
  <c r="V50" i="48"/>
  <c r="L43" i="48"/>
  <c r="P36" i="48"/>
  <c r="N36" i="48"/>
  <c r="L36" i="48"/>
  <c r="J36" i="48"/>
  <c r="H36" i="48"/>
  <c r="F36" i="48"/>
  <c r="D36" i="48"/>
  <c r="P35" i="48"/>
  <c r="N35" i="48"/>
  <c r="L35" i="48"/>
  <c r="J35" i="48"/>
  <c r="H35" i="48"/>
  <c r="F35" i="48"/>
  <c r="D35" i="48"/>
  <c r="V34" i="48"/>
  <c r="V142" i="48" s="1"/>
  <c r="P33" i="48"/>
  <c r="N33" i="48"/>
  <c r="L33" i="48"/>
  <c r="J33" i="48"/>
  <c r="H33" i="48"/>
  <c r="F33" i="48"/>
  <c r="D33" i="48"/>
  <c r="P32" i="48"/>
  <c r="N32" i="48"/>
  <c r="L32" i="48"/>
  <c r="J32" i="48"/>
  <c r="H32" i="48"/>
  <c r="F32" i="48"/>
  <c r="D32" i="48"/>
  <c r="T101" i="48" l="1"/>
  <c r="S187" i="48"/>
  <c r="V35" i="48"/>
  <c r="V43" i="48" s="1"/>
  <c r="T211" i="48" s="1"/>
  <c r="T212" i="48" s="1"/>
  <c r="V122" i="48"/>
  <c r="T213" i="48"/>
  <c r="T134" i="48"/>
  <c r="T135" i="48"/>
  <c r="V170" i="48"/>
  <c r="V51" i="48"/>
  <c r="V36" i="48"/>
  <c r="S224" i="48"/>
  <c r="T224" i="48"/>
  <c r="U268" i="48"/>
  <c r="U272" i="48"/>
  <c r="U269" i="48"/>
  <c r="U273" i="48"/>
  <c r="U270" i="48"/>
  <c r="U274" i="48"/>
  <c r="U267" i="48"/>
  <c r="S267" i="48"/>
  <c r="S273" i="48"/>
  <c r="S271" i="48"/>
  <c r="S269" i="48"/>
  <c r="S268" i="48"/>
  <c r="S270" i="48"/>
  <c r="S274" i="48"/>
  <c r="U260" i="48"/>
  <c r="T252" i="48"/>
  <c r="U244" i="48" s="1"/>
  <c r="U256" i="48"/>
  <c r="U258" i="48"/>
  <c r="U262" i="48"/>
  <c r="U255" i="48"/>
  <c r="U259" i="48"/>
  <c r="U257" i="48"/>
  <c r="T290" i="48"/>
  <c r="S260" i="48"/>
  <c r="S255" i="48"/>
  <c r="S257" i="48"/>
  <c r="S258" i="48"/>
  <c r="S256" i="48"/>
  <c r="S261" i="48"/>
  <c r="S259" i="48"/>
  <c r="R290" i="48"/>
  <c r="V84" i="48"/>
  <c r="V183" i="48" s="1"/>
  <c r="V182" i="48"/>
  <c r="V199" i="48"/>
  <c r="V197" i="48"/>
  <c r="V134" i="48"/>
  <c r="V135" i="48" s="1"/>
  <c r="V195" i="48"/>
  <c r="R252" i="48"/>
  <c r="S247" i="48" s="1"/>
  <c r="V109" i="47"/>
  <c r="V107" i="47"/>
  <c r="V105" i="47"/>
  <c r="V91" i="47"/>
  <c r="V90" i="47"/>
  <c r="T89" i="47"/>
  <c r="L44" i="47"/>
  <c r="F44" i="47"/>
  <c r="U245" i="48" l="1"/>
  <c r="U276" i="48"/>
  <c r="U247" i="48"/>
  <c r="U248" i="48"/>
  <c r="U243" i="48"/>
  <c r="S276" i="48"/>
  <c r="U250" i="48"/>
  <c r="U246" i="48"/>
  <c r="U249" i="48"/>
  <c r="U264" i="48"/>
  <c r="S264" i="48"/>
  <c r="S246" i="48"/>
  <c r="S244" i="48"/>
  <c r="S248" i="48"/>
  <c r="S249" i="48"/>
  <c r="S245" i="48"/>
  <c r="S243" i="48"/>
  <c r="S250" i="48"/>
  <c r="U285" i="47"/>
  <c r="T285" i="47"/>
  <c r="S285" i="47"/>
  <c r="R285" i="47"/>
  <c r="T273" i="47"/>
  <c r="U271" i="47" s="1"/>
  <c r="R273" i="47"/>
  <c r="S271" i="47" s="1"/>
  <c r="T261" i="47"/>
  <c r="U258" i="47" s="1"/>
  <c r="R261" i="47"/>
  <c r="S259" i="47" s="1"/>
  <c r="T247" i="47"/>
  <c r="R247" i="47"/>
  <c r="T246" i="47"/>
  <c r="R246" i="47"/>
  <c r="T245" i="47"/>
  <c r="R245" i="47"/>
  <c r="T244" i="47"/>
  <c r="R244" i="47"/>
  <c r="T243" i="47"/>
  <c r="R243" i="47"/>
  <c r="T242" i="47"/>
  <c r="R242" i="47"/>
  <c r="T241" i="47"/>
  <c r="R241" i="47"/>
  <c r="T240" i="47"/>
  <c r="R240" i="47"/>
  <c r="T226" i="47"/>
  <c r="T224" i="47"/>
  <c r="T222" i="47"/>
  <c r="S222" i="47"/>
  <c r="T216" i="47"/>
  <c r="T206" i="47"/>
  <c r="V186" i="47"/>
  <c r="V173" i="47"/>
  <c r="V166" i="47"/>
  <c r="V165" i="47"/>
  <c r="V148" i="47"/>
  <c r="B135" i="47"/>
  <c r="B201" i="47" s="1"/>
  <c r="B296" i="47" s="1"/>
  <c r="T123" i="47"/>
  <c r="T121" i="47"/>
  <c r="T114" i="47"/>
  <c r="A114" i="47"/>
  <c r="A115" i="47" s="1"/>
  <c r="A116" i="47" s="1"/>
  <c r="A117" i="47" s="1"/>
  <c r="A118" i="47" s="1"/>
  <c r="A119" i="47" s="1"/>
  <c r="A104" i="47"/>
  <c r="A105" i="47" s="1"/>
  <c r="T99" i="47"/>
  <c r="T98" i="47"/>
  <c r="V97" i="47"/>
  <c r="V101" i="47" s="1"/>
  <c r="T97" i="47"/>
  <c r="N87" i="47"/>
  <c r="V82" i="47"/>
  <c r="V81" i="47"/>
  <c r="T71" i="47"/>
  <c r="R71" i="47"/>
  <c r="P71" i="47"/>
  <c r="N71" i="47"/>
  <c r="N84" i="47" s="1"/>
  <c r="L71" i="47"/>
  <c r="L84" i="47" s="1"/>
  <c r="V69" i="47"/>
  <c r="V68" i="47"/>
  <c r="R58" i="47"/>
  <c r="R57" i="47"/>
  <c r="V50" i="47"/>
  <c r="L43" i="47"/>
  <c r="F43" i="47"/>
  <c r="P36" i="47"/>
  <c r="N36" i="47"/>
  <c r="L36" i="47"/>
  <c r="J36" i="47"/>
  <c r="H36" i="47"/>
  <c r="F36" i="47"/>
  <c r="D36" i="47"/>
  <c r="P35" i="47"/>
  <c r="N35" i="47"/>
  <c r="L35" i="47"/>
  <c r="J35" i="47"/>
  <c r="H35" i="47"/>
  <c r="F35" i="47"/>
  <c r="D35" i="47"/>
  <c r="V34" i="47"/>
  <c r="V139" i="47" s="1"/>
  <c r="P33" i="47"/>
  <c r="N33" i="47"/>
  <c r="L33" i="47"/>
  <c r="J33" i="47"/>
  <c r="H33" i="47"/>
  <c r="F33" i="47"/>
  <c r="D33" i="47"/>
  <c r="P32" i="47"/>
  <c r="N32" i="47"/>
  <c r="L32" i="47"/>
  <c r="J32" i="47"/>
  <c r="H32" i="47"/>
  <c r="F32" i="47"/>
  <c r="D32" i="47"/>
  <c r="V167" i="47" l="1"/>
  <c r="U252" i="48"/>
  <c r="S252" i="48"/>
  <c r="T101" i="47"/>
  <c r="V36" i="47"/>
  <c r="V35" i="47"/>
  <c r="V43" i="47" s="1"/>
  <c r="T208" i="47" s="1"/>
  <c r="T209" i="47" s="1"/>
  <c r="V51" i="47"/>
  <c r="S184" i="47"/>
  <c r="V71" i="47"/>
  <c r="V179" i="47" s="1"/>
  <c r="T131" i="47"/>
  <c r="U264" i="47"/>
  <c r="T221" i="47"/>
  <c r="U266" i="47"/>
  <c r="U269" i="47"/>
  <c r="U268" i="47"/>
  <c r="U265" i="47"/>
  <c r="U270" i="47"/>
  <c r="U267" i="47"/>
  <c r="S265" i="47"/>
  <c r="S267" i="47"/>
  <c r="S269" i="47"/>
  <c r="S221" i="47"/>
  <c r="S266" i="47"/>
  <c r="S270" i="47"/>
  <c r="S264" i="47"/>
  <c r="S268" i="47"/>
  <c r="U254" i="47"/>
  <c r="U259" i="47"/>
  <c r="U252" i="47"/>
  <c r="T249" i="47"/>
  <c r="U247" i="47" s="1"/>
  <c r="U256" i="47"/>
  <c r="U255" i="47"/>
  <c r="U253" i="47"/>
  <c r="U257" i="47"/>
  <c r="T287" i="47"/>
  <c r="S253" i="47"/>
  <c r="S257" i="47"/>
  <c r="S255" i="47"/>
  <c r="R287" i="47"/>
  <c r="S252" i="47"/>
  <c r="S254" i="47"/>
  <c r="S256" i="47"/>
  <c r="S258" i="47"/>
  <c r="V196" i="47"/>
  <c r="V194" i="47"/>
  <c r="V119" i="47"/>
  <c r="V131" i="47" s="1"/>
  <c r="V132" i="47" s="1"/>
  <c r="T210" i="47"/>
  <c r="V192" i="47"/>
  <c r="R249" i="47"/>
  <c r="S243" i="47" s="1"/>
  <c r="V107" i="46"/>
  <c r="V105" i="46"/>
  <c r="V91" i="46"/>
  <c r="V90" i="46"/>
  <c r="T89" i="46"/>
  <c r="T132" i="47" l="1"/>
  <c r="V84" i="47"/>
  <c r="V180" i="47" s="1"/>
  <c r="U273" i="47"/>
  <c r="S273" i="47"/>
  <c r="U245" i="47"/>
  <c r="U243" i="47"/>
  <c r="U244" i="47"/>
  <c r="U242" i="47"/>
  <c r="U241" i="47"/>
  <c r="U240" i="47"/>
  <c r="U246" i="47"/>
  <c r="U261" i="47"/>
  <c r="S246" i="47"/>
  <c r="S241" i="47"/>
  <c r="S261" i="47"/>
  <c r="S247" i="47"/>
  <c r="S242" i="47"/>
  <c r="S244" i="47"/>
  <c r="S245" i="47"/>
  <c r="S240" i="47"/>
  <c r="L44" i="46"/>
  <c r="F44" i="46"/>
  <c r="U249" i="47" l="1"/>
  <c r="S249" i="47"/>
  <c r="U285" i="46"/>
  <c r="T285" i="46"/>
  <c r="T222" i="46" s="1"/>
  <c r="S285" i="46"/>
  <c r="R285" i="46"/>
  <c r="T273" i="46"/>
  <c r="T221" i="46" s="1"/>
  <c r="R273" i="46"/>
  <c r="S271" i="46" s="1"/>
  <c r="T261" i="46"/>
  <c r="U258" i="46" s="1"/>
  <c r="R261" i="46"/>
  <c r="S259" i="46" s="1"/>
  <c r="T247" i="46"/>
  <c r="R247" i="46"/>
  <c r="T246" i="46"/>
  <c r="R246" i="46"/>
  <c r="T245" i="46"/>
  <c r="R245" i="46"/>
  <c r="T244" i="46"/>
  <c r="R244" i="46"/>
  <c r="T243" i="46"/>
  <c r="R243" i="46"/>
  <c r="T242" i="46"/>
  <c r="R242" i="46"/>
  <c r="T241" i="46"/>
  <c r="R241" i="46"/>
  <c r="T240" i="46"/>
  <c r="R240" i="46"/>
  <c r="T226" i="46"/>
  <c r="T224" i="46"/>
  <c r="S222" i="46"/>
  <c r="T206" i="46"/>
  <c r="V186" i="46"/>
  <c r="V173" i="46"/>
  <c r="V166" i="46"/>
  <c r="V165" i="46"/>
  <c r="V148" i="46"/>
  <c r="B135" i="46"/>
  <c r="B201" i="46" s="1"/>
  <c r="B296" i="46" s="1"/>
  <c r="T123" i="46"/>
  <c r="T121" i="46"/>
  <c r="T131" i="46" s="1"/>
  <c r="T114" i="46"/>
  <c r="A114" i="46"/>
  <c r="A115" i="46" s="1"/>
  <c r="A116" i="46" s="1"/>
  <c r="A117" i="46" s="1"/>
  <c r="A118" i="46" s="1"/>
  <c r="A119" i="46" s="1"/>
  <c r="A104" i="46"/>
  <c r="A105" i="46" s="1"/>
  <c r="T99" i="46"/>
  <c r="T98" i="46"/>
  <c r="V97" i="46"/>
  <c r="V101" i="46" s="1"/>
  <c r="T97" i="46"/>
  <c r="N87" i="46"/>
  <c r="V82" i="46"/>
  <c r="V81" i="46"/>
  <c r="T71" i="46"/>
  <c r="R71" i="46"/>
  <c r="P71" i="46"/>
  <c r="N71" i="46"/>
  <c r="N84" i="46" s="1"/>
  <c r="L71" i="46"/>
  <c r="L84" i="46" s="1"/>
  <c r="V69" i="46"/>
  <c r="V68" i="46"/>
  <c r="V71" i="46" s="1"/>
  <c r="T216" i="46"/>
  <c r="R58" i="46"/>
  <c r="R57" i="46"/>
  <c r="V50" i="46"/>
  <c r="L43" i="46"/>
  <c r="F43" i="46"/>
  <c r="P36" i="46"/>
  <c r="N36" i="46"/>
  <c r="L36" i="46"/>
  <c r="J36" i="46"/>
  <c r="H36" i="46"/>
  <c r="F36" i="46"/>
  <c r="D36" i="46"/>
  <c r="P35" i="46"/>
  <c r="N35" i="46"/>
  <c r="L35" i="46"/>
  <c r="J35" i="46"/>
  <c r="H35" i="46"/>
  <c r="F35" i="46"/>
  <c r="D35" i="46"/>
  <c r="V34" i="46"/>
  <c r="S184" i="46" s="1"/>
  <c r="P33" i="46"/>
  <c r="N33" i="46"/>
  <c r="L33" i="46"/>
  <c r="J33" i="46"/>
  <c r="H33" i="46"/>
  <c r="F33" i="46"/>
  <c r="D33" i="46"/>
  <c r="P32" i="46"/>
  <c r="N32" i="46"/>
  <c r="L32" i="46"/>
  <c r="J32" i="46"/>
  <c r="H32" i="46"/>
  <c r="F32" i="46"/>
  <c r="D32" i="46"/>
  <c r="U266" i="46" l="1"/>
  <c r="S264" i="46"/>
  <c r="V35" i="46"/>
  <c r="V43" i="46" s="1"/>
  <c r="T208" i="46" s="1"/>
  <c r="T209" i="46" s="1"/>
  <c r="V139" i="46"/>
  <c r="S268" i="46"/>
  <c r="U264" i="46"/>
  <c r="U268" i="46"/>
  <c r="S266" i="46"/>
  <c r="S270" i="46"/>
  <c r="S221" i="46"/>
  <c r="U270" i="46"/>
  <c r="T101" i="46"/>
  <c r="T132" i="46" s="1"/>
  <c r="S265" i="46"/>
  <c r="S267" i="46"/>
  <c r="S269" i="46"/>
  <c r="V36" i="46"/>
  <c r="T249" i="46"/>
  <c r="U247" i="46" s="1"/>
  <c r="U265" i="46"/>
  <c r="U267" i="46"/>
  <c r="U269" i="46"/>
  <c r="U271" i="46"/>
  <c r="U259" i="46"/>
  <c r="V167" i="46"/>
  <c r="V51" i="46"/>
  <c r="U255" i="46"/>
  <c r="U253" i="46"/>
  <c r="U257" i="46"/>
  <c r="T287" i="46"/>
  <c r="U252" i="46"/>
  <c r="U254" i="46"/>
  <c r="U256" i="46"/>
  <c r="S252" i="46"/>
  <c r="S253" i="46"/>
  <c r="S254" i="46"/>
  <c r="S255" i="46"/>
  <c r="S256" i="46"/>
  <c r="S257" i="46"/>
  <c r="S258" i="46"/>
  <c r="R249" i="46"/>
  <c r="S246" i="46" s="1"/>
  <c r="R287" i="46"/>
  <c r="V179" i="46"/>
  <c r="V84" i="46"/>
  <c r="V180" i="46" s="1"/>
  <c r="V196" i="46"/>
  <c r="V192" i="46"/>
  <c r="T210" i="46"/>
  <c r="V194" i="46"/>
  <c r="V119" i="46"/>
  <c r="V131" i="46" s="1"/>
  <c r="V132" i="46" s="1"/>
  <c r="U244" i="46"/>
  <c r="V107" i="45"/>
  <c r="V105" i="45"/>
  <c r="V91" i="45"/>
  <c r="V90" i="45"/>
  <c r="T89" i="45"/>
  <c r="P68" i="45"/>
  <c r="L44" i="45"/>
  <c r="F44" i="45"/>
  <c r="S241" i="46" l="1"/>
  <c r="S242" i="46"/>
  <c r="S243" i="46"/>
  <c r="S247" i="46"/>
  <c r="S261" i="46"/>
  <c r="S273" i="46"/>
  <c r="U241" i="46"/>
  <c r="U240" i="46"/>
  <c r="U245" i="46"/>
  <c r="S240" i="46"/>
  <c r="S244" i="46"/>
  <c r="U242" i="46"/>
  <c r="U273" i="46"/>
  <c r="U246" i="46"/>
  <c r="U243" i="46"/>
  <c r="S245" i="46"/>
  <c r="U261" i="46"/>
  <c r="U285" i="45"/>
  <c r="T285" i="45"/>
  <c r="T222" i="45" s="1"/>
  <c r="S285" i="45"/>
  <c r="R285" i="45"/>
  <c r="S222" i="45" s="1"/>
  <c r="T273" i="45"/>
  <c r="T221" i="45" s="1"/>
  <c r="R273" i="45"/>
  <c r="S221" i="45" s="1"/>
  <c r="S268" i="45"/>
  <c r="T261" i="45"/>
  <c r="U259" i="45" s="1"/>
  <c r="R261" i="45"/>
  <c r="S259" i="45" s="1"/>
  <c r="T247" i="45"/>
  <c r="R247" i="45"/>
  <c r="T246" i="45"/>
  <c r="R246" i="45"/>
  <c r="T245" i="45"/>
  <c r="R245" i="45"/>
  <c r="T244" i="45"/>
  <c r="R244" i="45"/>
  <c r="T243" i="45"/>
  <c r="R243" i="45"/>
  <c r="T242" i="45"/>
  <c r="R242" i="45"/>
  <c r="T241" i="45"/>
  <c r="R241" i="45"/>
  <c r="T240" i="45"/>
  <c r="R240" i="45"/>
  <c r="T226" i="45"/>
  <c r="T224" i="45"/>
  <c r="T206" i="45"/>
  <c r="V186" i="45"/>
  <c r="V173" i="45"/>
  <c r="V166" i="45"/>
  <c r="V165" i="45"/>
  <c r="V148" i="45"/>
  <c r="B135" i="45"/>
  <c r="B201" i="45" s="1"/>
  <c r="B296" i="45" s="1"/>
  <c r="T123" i="45"/>
  <c r="T121" i="45"/>
  <c r="T114" i="45"/>
  <c r="A114" i="45"/>
  <c r="A115" i="45" s="1"/>
  <c r="A116" i="45" s="1"/>
  <c r="A117" i="45" s="1"/>
  <c r="A118" i="45" s="1"/>
  <c r="A119" i="45" s="1"/>
  <c r="A104" i="45"/>
  <c r="A105" i="45" s="1"/>
  <c r="T99" i="45"/>
  <c r="T98" i="45"/>
  <c r="V97" i="45"/>
  <c r="V101" i="45" s="1"/>
  <c r="T97" i="45"/>
  <c r="N87" i="45"/>
  <c r="V82" i="45"/>
  <c r="V81" i="45"/>
  <c r="T71" i="45"/>
  <c r="N71" i="45"/>
  <c r="N84" i="45" s="1"/>
  <c r="L71" i="45"/>
  <c r="L84" i="45" s="1"/>
  <c r="V69" i="45"/>
  <c r="R71" i="45"/>
  <c r="T216" i="45"/>
  <c r="R58" i="45"/>
  <c r="R57" i="45"/>
  <c r="V50" i="45"/>
  <c r="L43" i="45"/>
  <c r="F43" i="45"/>
  <c r="P36" i="45"/>
  <c r="N36" i="45"/>
  <c r="L36" i="45"/>
  <c r="J36" i="45"/>
  <c r="H36" i="45"/>
  <c r="F36" i="45"/>
  <c r="D36" i="45"/>
  <c r="P35" i="45"/>
  <c r="N35" i="45"/>
  <c r="L35" i="45"/>
  <c r="J35" i="45"/>
  <c r="H35" i="45"/>
  <c r="F35" i="45"/>
  <c r="D35" i="45"/>
  <c r="V34" i="45"/>
  <c r="S184" i="45" s="1"/>
  <c r="P33" i="45"/>
  <c r="N33" i="45"/>
  <c r="L33" i="45"/>
  <c r="J33" i="45"/>
  <c r="H33" i="45"/>
  <c r="F33" i="45"/>
  <c r="D33" i="45"/>
  <c r="P32" i="45"/>
  <c r="N32" i="45"/>
  <c r="L32" i="45"/>
  <c r="J32" i="45"/>
  <c r="H32" i="45"/>
  <c r="F32" i="45"/>
  <c r="D32" i="45"/>
  <c r="S264" i="45" l="1"/>
  <c r="S258" i="45"/>
  <c r="U264" i="45"/>
  <c r="S252" i="45"/>
  <c r="U268" i="45"/>
  <c r="U249" i="46"/>
  <c r="S256" i="45"/>
  <c r="S270" i="45"/>
  <c r="S249" i="46"/>
  <c r="S266" i="45"/>
  <c r="S254" i="45"/>
  <c r="U266" i="45"/>
  <c r="U270" i="45"/>
  <c r="R249" i="45"/>
  <c r="S244" i="45" s="1"/>
  <c r="S265" i="45"/>
  <c r="S267" i="45"/>
  <c r="S269" i="45"/>
  <c r="S271" i="45"/>
  <c r="T249" i="45"/>
  <c r="U246" i="45" s="1"/>
  <c r="U265" i="45"/>
  <c r="U267" i="45"/>
  <c r="U269" i="45"/>
  <c r="U271" i="45"/>
  <c r="T101" i="45"/>
  <c r="T131" i="45"/>
  <c r="S253" i="45"/>
  <c r="S255" i="45"/>
  <c r="S257" i="45"/>
  <c r="V36" i="45"/>
  <c r="R287" i="45"/>
  <c r="T287" i="45"/>
  <c r="V35" i="45"/>
  <c r="V43" i="45" s="1"/>
  <c r="T208" i="45" s="1"/>
  <c r="T209" i="45" s="1"/>
  <c r="V51" i="45"/>
  <c r="V167" i="45"/>
  <c r="U252" i="45"/>
  <c r="U253" i="45"/>
  <c r="U254" i="45"/>
  <c r="U255" i="45"/>
  <c r="U256" i="45"/>
  <c r="U257" i="45"/>
  <c r="U258" i="45"/>
  <c r="V196" i="45"/>
  <c r="V192" i="45"/>
  <c r="T210" i="45"/>
  <c r="V194" i="45"/>
  <c r="V119" i="45"/>
  <c r="V131" i="45" s="1"/>
  <c r="V132" i="45" s="1"/>
  <c r="U247" i="45"/>
  <c r="S246" i="45"/>
  <c r="S242" i="45"/>
  <c r="S241" i="45"/>
  <c r="V68" i="45"/>
  <c r="V71" i="45" s="1"/>
  <c r="P71" i="45"/>
  <c r="V139" i="45"/>
  <c r="V107" i="44"/>
  <c r="V105" i="44"/>
  <c r="V91" i="44"/>
  <c r="V90" i="44"/>
  <c r="T89" i="44"/>
  <c r="R68" i="44"/>
  <c r="P68" i="44"/>
  <c r="L44" i="44"/>
  <c r="F44" i="44"/>
  <c r="S261" i="45" l="1"/>
  <c r="S273" i="45"/>
  <c r="S245" i="45"/>
  <c r="S243" i="45"/>
  <c r="S247" i="45"/>
  <c r="U273" i="45"/>
  <c r="S240" i="45"/>
  <c r="U243" i="45"/>
  <c r="U240" i="45"/>
  <c r="U244" i="45"/>
  <c r="U241" i="45"/>
  <c r="U245" i="45"/>
  <c r="U242" i="45"/>
  <c r="T132" i="45"/>
  <c r="U261" i="45"/>
  <c r="V179" i="45"/>
  <c r="V84" i="45"/>
  <c r="V180" i="45" s="1"/>
  <c r="U285" i="44"/>
  <c r="T285" i="44"/>
  <c r="T222" i="44" s="1"/>
  <c r="S285" i="44"/>
  <c r="R285" i="44"/>
  <c r="S222" i="44" s="1"/>
  <c r="T273" i="44"/>
  <c r="U271" i="44" s="1"/>
  <c r="R273" i="44"/>
  <c r="S221" i="44" s="1"/>
  <c r="S268" i="44"/>
  <c r="T261" i="44"/>
  <c r="U259" i="44" s="1"/>
  <c r="R261" i="44"/>
  <c r="S259" i="44" s="1"/>
  <c r="S256" i="44"/>
  <c r="T247" i="44"/>
  <c r="R247" i="44"/>
  <c r="T246" i="44"/>
  <c r="R246" i="44"/>
  <c r="T245" i="44"/>
  <c r="R245" i="44"/>
  <c r="T244" i="44"/>
  <c r="R244" i="44"/>
  <c r="T243" i="44"/>
  <c r="R243" i="44"/>
  <c r="T242" i="44"/>
  <c r="R242" i="44"/>
  <c r="T241" i="44"/>
  <c r="R241" i="44"/>
  <c r="T240" i="44"/>
  <c r="R240" i="44"/>
  <c r="T226" i="44"/>
  <c r="T224" i="44"/>
  <c r="T206" i="44"/>
  <c r="V186" i="44"/>
  <c r="V173" i="44"/>
  <c r="V166" i="44"/>
  <c r="V165" i="44"/>
  <c r="V148" i="44"/>
  <c r="B135" i="44"/>
  <c r="B201" i="44" s="1"/>
  <c r="B296" i="44" s="1"/>
  <c r="T123" i="44"/>
  <c r="T121" i="44"/>
  <c r="T114" i="44"/>
  <c r="A114" i="44"/>
  <c r="A115" i="44" s="1"/>
  <c r="A116" i="44" s="1"/>
  <c r="A117" i="44" s="1"/>
  <c r="A118" i="44" s="1"/>
  <c r="A119" i="44" s="1"/>
  <c r="A104" i="44"/>
  <c r="A105" i="44" s="1"/>
  <c r="T99" i="44"/>
  <c r="T98" i="44"/>
  <c r="T97" i="44"/>
  <c r="V97" i="44"/>
  <c r="V101" i="44" s="1"/>
  <c r="N87" i="44"/>
  <c r="V82" i="44"/>
  <c r="V81" i="44"/>
  <c r="T71" i="44"/>
  <c r="R71" i="44"/>
  <c r="N71" i="44"/>
  <c r="N84" i="44" s="1"/>
  <c r="L71" i="44"/>
  <c r="L84" i="44" s="1"/>
  <c r="V69" i="44"/>
  <c r="T216" i="44"/>
  <c r="R58" i="44"/>
  <c r="R57" i="44"/>
  <c r="V50" i="44"/>
  <c r="L43" i="44"/>
  <c r="F43" i="44"/>
  <c r="P36" i="44"/>
  <c r="N36" i="44"/>
  <c r="L36" i="44"/>
  <c r="J36" i="44"/>
  <c r="H36" i="44"/>
  <c r="F36" i="44"/>
  <c r="D36" i="44"/>
  <c r="P35" i="44"/>
  <c r="N35" i="44"/>
  <c r="L35" i="44"/>
  <c r="J35" i="44"/>
  <c r="H35" i="44"/>
  <c r="F35" i="44"/>
  <c r="D35" i="44"/>
  <c r="V34" i="44"/>
  <c r="V139" i="44" s="1"/>
  <c r="P33" i="44"/>
  <c r="N33" i="44"/>
  <c r="L33" i="44"/>
  <c r="J33" i="44"/>
  <c r="H33" i="44"/>
  <c r="F33" i="44"/>
  <c r="D33" i="44"/>
  <c r="P32" i="44"/>
  <c r="N32" i="44"/>
  <c r="L32" i="44"/>
  <c r="J32" i="44"/>
  <c r="H32" i="44"/>
  <c r="F32" i="44"/>
  <c r="D32" i="44"/>
  <c r="S249" i="45" l="1"/>
  <c r="S265" i="44"/>
  <c r="S266" i="44"/>
  <c r="S269" i="44"/>
  <c r="U266" i="44"/>
  <c r="S270" i="44"/>
  <c r="S264" i="44"/>
  <c r="S273" i="44" s="1"/>
  <c r="S267" i="44"/>
  <c r="S271" i="44"/>
  <c r="U264" i="44"/>
  <c r="T221" i="44"/>
  <c r="T101" i="44"/>
  <c r="U268" i="44"/>
  <c r="U249" i="45"/>
  <c r="U270" i="44"/>
  <c r="V35" i="44"/>
  <c r="V43" i="44" s="1"/>
  <c r="T208" i="44" s="1"/>
  <c r="T209" i="44" s="1"/>
  <c r="U265" i="44"/>
  <c r="U267" i="44"/>
  <c r="U269" i="44"/>
  <c r="V167" i="44"/>
  <c r="S252" i="44"/>
  <c r="S254" i="44"/>
  <c r="S258" i="44"/>
  <c r="S253" i="44"/>
  <c r="S255" i="44"/>
  <c r="S257" i="44"/>
  <c r="T131" i="44"/>
  <c r="T132" i="44" s="1"/>
  <c r="V51" i="44"/>
  <c r="V36" i="44"/>
  <c r="T249" i="44"/>
  <c r="U246" i="44" s="1"/>
  <c r="U252" i="44"/>
  <c r="U253" i="44"/>
  <c r="U254" i="44"/>
  <c r="T287" i="44"/>
  <c r="U255" i="44"/>
  <c r="U256" i="44"/>
  <c r="U257" i="44"/>
  <c r="U258" i="44"/>
  <c r="R249" i="44"/>
  <c r="S246" i="44" s="1"/>
  <c r="R287" i="44"/>
  <c r="V196" i="44"/>
  <c r="V192" i="44"/>
  <c r="V119" i="44"/>
  <c r="V131" i="44" s="1"/>
  <c r="V132" i="44" s="1"/>
  <c r="T210" i="44"/>
  <c r="V194" i="44"/>
  <c r="S184" i="44"/>
  <c r="V68" i="44"/>
  <c r="V71" i="44" s="1"/>
  <c r="P71" i="44"/>
  <c r="V90" i="43"/>
  <c r="V107" i="43"/>
  <c r="V105" i="43"/>
  <c r="V91" i="43"/>
  <c r="T89" i="43"/>
  <c r="P68" i="43"/>
  <c r="U273" i="44" l="1"/>
  <c r="S240" i="44"/>
  <c r="U247" i="44"/>
  <c r="S261" i="44"/>
  <c r="S241" i="44"/>
  <c r="S242" i="44"/>
  <c r="S247" i="44"/>
  <c r="U241" i="44"/>
  <c r="U240" i="44"/>
  <c r="U243" i="44"/>
  <c r="U245" i="44"/>
  <c r="U242" i="44"/>
  <c r="U244" i="44"/>
  <c r="S243" i="44"/>
  <c r="S244" i="44"/>
  <c r="S245" i="44"/>
  <c r="U261" i="44"/>
  <c r="V84" i="44"/>
  <c r="V180" i="44" s="1"/>
  <c r="V179" i="44"/>
  <c r="L44" i="43"/>
  <c r="F44" i="43"/>
  <c r="U249" i="44" l="1"/>
  <c r="S249" i="44"/>
  <c r="V168" i="43"/>
  <c r="U285" i="43" l="1"/>
  <c r="T285" i="43"/>
  <c r="T222" i="43" s="1"/>
  <c r="S285" i="43"/>
  <c r="R285" i="43"/>
  <c r="S222" i="43" s="1"/>
  <c r="T273" i="43"/>
  <c r="U271" i="43" s="1"/>
  <c r="R273" i="43"/>
  <c r="S271" i="43" s="1"/>
  <c r="S269" i="43"/>
  <c r="S267" i="43"/>
  <c r="T261" i="43"/>
  <c r="R261" i="43"/>
  <c r="S259" i="43" s="1"/>
  <c r="S258" i="43"/>
  <c r="T247" i="43"/>
  <c r="R247" i="43"/>
  <c r="T246" i="43"/>
  <c r="R246" i="43"/>
  <c r="T245" i="43"/>
  <c r="R245" i="43"/>
  <c r="T244" i="43"/>
  <c r="R244" i="43"/>
  <c r="T243" i="43"/>
  <c r="R243" i="43"/>
  <c r="T242" i="43"/>
  <c r="R242" i="43"/>
  <c r="T241" i="43"/>
  <c r="R241" i="43"/>
  <c r="T240" i="43"/>
  <c r="R240" i="43"/>
  <c r="T226" i="43"/>
  <c r="T224" i="43"/>
  <c r="T206" i="43"/>
  <c r="V186" i="43"/>
  <c r="V173" i="43"/>
  <c r="V166" i="43"/>
  <c r="V165" i="43"/>
  <c r="V148" i="43"/>
  <c r="B135" i="43"/>
  <c r="B201" i="43" s="1"/>
  <c r="B296" i="43" s="1"/>
  <c r="T123" i="43"/>
  <c r="T121" i="43"/>
  <c r="T114" i="43"/>
  <c r="A114" i="43"/>
  <c r="A115" i="43" s="1"/>
  <c r="A116" i="43" s="1"/>
  <c r="A117" i="43" s="1"/>
  <c r="A118" i="43" s="1"/>
  <c r="A119" i="43" s="1"/>
  <c r="A104" i="43"/>
  <c r="A105" i="43" s="1"/>
  <c r="T99" i="43"/>
  <c r="T98" i="43"/>
  <c r="T97" i="43"/>
  <c r="V97" i="43"/>
  <c r="V101" i="43" s="1"/>
  <c r="N87" i="43"/>
  <c r="V82" i="43"/>
  <c r="V81" i="43"/>
  <c r="T71" i="43"/>
  <c r="N71" i="43"/>
  <c r="N84" i="43" s="1"/>
  <c r="L71" i="43"/>
  <c r="L84" i="43" s="1"/>
  <c r="V69" i="43"/>
  <c r="R71" i="43"/>
  <c r="T216" i="43"/>
  <c r="R58" i="43"/>
  <c r="R57" i="43"/>
  <c r="V50" i="43"/>
  <c r="L43" i="43"/>
  <c r="F43" i="43"/>
  <c r="P36" i="43"/>
  <c r="N36" i="43"/>
  <c r="L36" i="43"/>
  <c r="J36" i="43"/>
  <c r="H36" i="43"/>
  <c r="F36" i="43"/>
  <c r="D36" i="43"/>
  <c r="P35" i="43"/>
  <c r="N35" i="43"/>
  <c r="L35" i="43"/>
  <c r="J35" i="43"/>
  <c r="H35" i="43"/>
  <c r="F35" i="43"/>
  <c r="D35" i="43"/>
  <c r="V34" i="43"/>
  <c r="S184" i="43" s="1"/>
  <c r="P33" i="43"/>
  <c r="N33" i="43"/>
  <c r="L33" i="43"/>
  <c r="J33" i="43"/>
  <c r="H33" i="43"/>
  <c r="F33" i="43"/>
  <c r="D33" i="43"/>
  <c r="P32" i="43"/>
  <c r="N32" i="43"/>
  <c r="L32" i="43"/>
  <c r="J32" i="43"/>
  <c r="H32" i="43"/>
  <c r="F32" i="43"/>
  <c r="D32" i="43"/>
  <c r="S252" i="43" l="1"/>
  <c r="S254" i="43"/>
  <c r="S265" i="43"/>
  <c r="S256" i="43"/>
  <c r="S221" i="43"/>
  <c r="S264" i="43"/>
  <c r="S266" i="43"/>
  <c r="S268" i="43"/>
  <c r="S270" i="43"/>
  <c r="T101" i="43"/>
  <c r="T131" i="43"/>
  <c r="S253" i="43"/>
  <c r="S255" i="43"/>
  <c r="S257" i="43"/>
  <c r="U264" i="43"/>
  <c r="U266" i="43"/>
  <c r="U268" i="43"/>
  <c r="T221" i="43"/>
  <c r="U267" i="43"/>
  <c r="T249" i="43"/>
  <c r="U244" i="43" s="1"/>
  <c r="U265" i="43"/>
  <c r="U269" i="43"/>
  <c r="T287" i="43"/>
  <c r="U270" i="43"/>
  <c r="U252" i="43"/>
  <c r="U253" i="43"/>
  <c r="U254" i="43"/>
  <c r="U255" i="43"/>
  <c r="U256" i="43"/>
  <c r="U257" i="43"/>
  <c r="U258" i="43"/>
  <c r="U259" i="43"/>
  <c r="R249" i="43"/>
  <c r="S246" i="43" s="1"/>
  <c r="R287" i="43"/>
  <c r="V167" i="43"/>
  <c r="V36" i="43"/>
  <c r="V51" i="43"/>
  <c r="V35" i="43"/>
  <c r="V43" i="43" s="1"/>
  <c r="T208" i="43" s="1"/>
  <c r="T209" i="43" s="1"/>
  <c r="V196" i="43"/>
  <c r="V192" i="43"/>
  <c r="V119" i="43"/>
  <c r="V131" i="43" s="1"/>
  <c r="V132" i="43" s="1"/>
  <c r="T210" i="43"/>
  <c r="V194" i="43"/>
  <c r="U245" i="43"/>
  <c r="S243" i="43"/>
  <c r="V68" i="43"/>
  <c r="V71" i="43" s="1"/>
  <c r="P71" i="43"/>
  <c r="V139" i="43"/>
  <c r="T89" i="42"/>
  <c r="U240" i="43" l="1"/>
  <c r="T132" i="43"/>
  <c r="S273" i="43"/>
  <c r="S261" i="43"/>
  <c r="S241" i="43"/>
  <c r="S245" i="43"/>
  <c r="U242" i="43"/>
  <c r="U247" i="43"/>
  <c r="S240" i="43"/>
  <c r="S242" i="43"/>
  <c r="S244" i="43"/>
  <c r="S247" i="43"/>
  <c r="U241" i="43"/>
  <c r="U243" i="43"/>
  <c r="U246" i="43"/>
  <c r="U273" i="43"/>
  <c r="U261" i="43"/>
  <c r="V179" i="43"/>
  <c r="V84" i="43"/>
  <c r="V180" i="43" s="1"/>
  <c r="V107" i="42"/>
  <c r="V105" i="42"/>
  <c r="V91" i="42"/>
  <c r="V90" i="42"/>
  <c r="S186" i="42"/>
  <c r="R68" i="42"/>
  <c r="P68" i="42"/>
  <c r="L44" i="42"/>
  <c r="F44" i="42"/>
  <c r="S249" i="43" l="1"/>
  <c r="U249" i="43"/>
  <c r="U285" i="42"/>
  <c r="T285" i="42"/>
  <c r="T222" i="42" s="1"/>
  <c r="S285" i="42"/>
  <c r="R285" i="42"/>
  <c r="T273" i="42"/>
  <c r="T221" i="42" s="1"/>
  <c r="R273" i="42"/>
  <c r="S271" i="42" s="1"/>
  <c r="T261" i="42"/>
  <c r="U259" i="42" s="1"/>
  <c r="R261" i="42"/>
  <c r="S259" i="42" s="1"/>
  <c r="T247" i="42"/>
  <c r="R247" i="42"/>
  <c r="T246" i="42"/>
  <c r="R246" i="42"/>
  <c r="T245" i="42"/>
  <c r="R245" i="42"/>
  <c r="T244" i="42"/>
  <c r="R244" i="42"/>
  <c r="T243" i="42"/>
  <c r="R243" i="42"/>
  <c r="T242" i="42"/>
  <c r="R242" i="42"/>
  <c r="T241" i="42"/>
  <c r="R241" i="42"/>
  <c r="T240" i="42"/>
  <c r="R240" i="42"/>
  <c r="T226" i="42"/>
  <c r="T224" i="42"/>
  <c r="S222" i="42"/>
  <c r="T206" i="42"/>
  <c r="V186" i="42"/>
  <c r="V173" i="42"/>
  <c r="V166" i="42"/>
  <c r="V165" i="42"/>
  <c r="V148" i="42"/>
  <c r="B135" i="42"/>
  <c r="B201" i="42" s="1"/>
  <c r="B296" i="42" s="1"/>
  <c r="T123" i="42"/>
  <c r="T121" i="42"/>
  <c r="T114" i="42"/>
  <c r="A114" i="42"/>
  <c r="A115" i="42" s="1"/>
  <c r="A116" i="42" s="1"/>
  <c r="A117" i="42" s="1"/>
  <c r="A118" i="42" s="1"/>
  <c r="A119" i="42" s="1"/>
  <c r="A104" i="42"/>
  <c r="A105" i="42" s="1"/>
  <c r="T99" i="42"/>
  <c r="T98" i="42"/>
  <c r="V97" i="42"/>
  <c r="V101" i="42" s="1"/>
  <c r="T97" i="42"/>
  <c r="N87" i="42"/>
  <c r="V82" i="42"/>
  <c r="V81" i="42"/>
  <c r="T71" i="42"/>
  <c r="R71" i="42"/>
  <c r="P71" i="42"/>
  <c r="N71" i="42"/>
  <c r="N84" i="42" s="1"/>
  <c r="L71" i="42"/>
  <c r="L84" i="42" s="1"/>
  <c r="V69" i="42"/>
  <c r="V68" i="42"/>
  <c r="T216" i="42"/>
  <c r="R58" i="42"/>
  <c r="R57" i="42"/>
  <c r="V50" i="42"/>
  <c r="L43" i="42"/>
  <c r="F43" i="42"/>
  <c r="P36" i="42"/>
  <c r="N36" i="42"/>
  <c r="L36" i="42"/>
  <c r="J36" i="42"/>
  <c r="H36" i="42"/>
  <c r="F36" i="42"/>
  <c r="D36" i="42"/>
  <c r="P35" i="42"/>
  <c r="N35" i="42"/>
  <c r="L35" i="42"/>
  <c r="J35" i="42"/>
  <c r="H35" i="42"/>
  <c r="F35" i="42"/>
  <c r="D35" i="42"/>
  <c r="V34" i="42"/>
  <c r="S184" i="42" s="1"/>
  <c r="P33" i="42"/>
  <c r="N33" i="42"/>
  <c r="L33" i="42"/>
  <c r="J33" i="42"/>
  <c r="H33" i="42"/>
  <c r="F33" i="42"/>
  <c r="D33" i="42"/>
  <c r="P32" i="42"/>
  <c r="N32" i="42"/>
  <c r="L32" i="42"/>
  <c r="J32" i="42"/>
  <c r="H32" i="42"/>
  <c r="F32" i="42"/>
  <c r="D32" i="42"/>
  <c r="S270" i="42" l="1"/>
  <c r="S254" i="42"/>
  <c r="S256" i="42"/>
  <c r="S266" i="42"/>
  <c r="S253" i="42"/>
  <c r="S252" i="42"/>
  <c r="S258" i="42"/>
  <c r="S268" i="42"/>
  <c r="U264" i="42"/>
  <c r="V139" i="42"/>
  <c r="V71" i="42"/>
  <c r="V84" i="42" s="1"/>
  <c r="V180" i="42" s="1"/>
  <c r="T101" i="42"/>
  <c r="S221" i="42"/>
  <c r="S264" i="42"/>
  <c r="S265" i="42"/>
  <c r="S267" i="42"/>
  <c r="S269" i="42"/>
  <c r="U266" i="42"/>
  <c r="U270" i="42"/>
  <c r="U268" i="42"/>
  <c r="U265" i="42"/>
  <c r="U267" i="42"/>
  <c r="U269" i="42"/>
  <c r="U271" i="42"/>
  <c r="T131" i="42"/>
  <c r="V167" i="42"/>
  <c r="V36" i="42"/>
  <c r="V51" i="42"/>
  <c r="V35" i="42"/>
  <c r="V43" i="42" s="1"/>
  <c r="T208" i="42" s="1"/>
  <c r="T209" i="42" s="1"/>
  <c r="U252" i="42"/>
  <c r="U253" i="42"/>
  <c r="S255" i="42"/>
  <c r="S257" i="42"/>
  <c r="T249" i="42"/>
  <c r="U247" i="42" s="1"/>
  <c r="U254" i="42"/>
  <c r="U255" i="42"/>
  <c r="U256" i="42"/>
  <c r="T287" i="42"/>
  <c r="U257" i="42"/>
  <c r="U258" i="42"/>
  <c r="R249" i="42"/>
  <c r="S247" i="42" s="1"/>
  <c r="R287" i="42"/>
  <c r="V179" i="42"/>
  <c r="V196" i="42"/>
  <c r="V192" i="42"/>
  <c r="T210" i="42"/>
  <c r="V194" i="42"/>
  <c r="V119" i="42"/>
  <c r="V131" i="42" s="1"/>
  <c r="V132" i="42" s="1"/>
  <c r="T132" i="42" l="1"/>
  <c r="S273" i="42"/>
  <c r="S261" i="42"/>
  <c r="U273" i="42"/>
  <c r="U240" i="42"/>
  <c r="U241" i="42"/>
  <c r="U242" i="42"/>
  <c r="U243" i="42"/>
  <c r="S241" i="42"/>
  <c r="U244" i="42"/>
  <c r="U245" i="42"/>
  <c r="U246" i="42"/>
  <c r="S243" i="42"/>
  <c r="S240" i="42"/>
  <c r="S242" i="42"/>
  <c r="S244" i="42"/>
  <c r="S245" i="42"/>
  <c r="S246" i="42"/>
  <c r="U261" i="42"/>
  <c r="V107" i="41"/>
  <c r="V105" i="41"/>
  <c r="V91" i="41"/>
  <c r="V90" i="41"/>
  <c r="T89" i="41"/>
  <c r="P68" i="41"/>
  <c r="L44" i="41"/>
  <c r="F44" i="41"/>
  <c r="U249" i="42" l="1"/>
  <c r="S249" i="42"/>
  <c r="U285" i="41"/>
  <c r="T285" i="41"/>
  <c r="T222" i="41" s="1"/>
  <c r="S285" i="41"/>
  <c r="R285" i="41"/>
  <c r="S222" i="41" s="1"/>
  <c r="T273" i="41"/>
  <c r="U271" i="41" s="1"/>
  <c r="R273" i="41"/>
  <c r="S271" i="41" s="1"/>
  <c r="T261" i="41"/>
  <c r="U259" i="41" s="1"/>
  <c r="R261" i="41"/>
  <c r="S259" i="41" s="1"/>
  <c r="T247" i="41"/>
  <c r="R247" i="41"/>
  <c r="T246" i="41"/>
  <c r="R246" i="41"/>
  <c r="T245" i="41"/>
  <c r="R245" i="41"/>
  <c r="T244" i="41"/>
  <c r="R244" i="41"/>
  <c r="T243" i="41"/>
  <c r="R243" i="41"/>
  <c r="T242" i="41"/>
  <c r="R242" i="41"/>
  <c r="T241" i="41"/>
  <c r="R241" i="41"/>
  <c r="T240" i="41"/>
  <c r="R240" i="41"/>
  <c r="T226" i="41"/>
  <c r="T224" i="41"/>
  <c r="T206" i="41"/>
  <c r="V186" i="41"/>
  <c r="V173" i="41"/>
  <c r="V166" i="41"/>
  <c r="V165" i="41"/>
  <c r="V148" i="41"/>
  <c r="B135" i="41"/>
  <c r="B201" i="41" s="1"/>
  <c r="B296" i="41" s="1"/>
  <c r="T123" i="41"/>
  <c r="T121" i="41"/>
  <c r="T114" i="41"/>
  <c r="A114" i="41"/>
  <c r="A115" i="41" s="1"/>
  <c r="A116" i="41" s="1"/>
  <c r="A117" i="41" s="1"/>
  <c r="A118" i="41" s="1"/>
  <c r="A119" i="41" s="1"/>
  <c r="A104" i="41"/>
  <c r="A105" i="41" s="1"/>
  <c r="T99" i="41"/>
  <c r="T98" i="41"/>
  <c r="T97" i="41"/>
  <c r="V97" i="41"/>
  <c r="V101" i="41" s="1"/>
  <c r="N87" i="41"/>
  <c r="V82" i="41"/>
  <c r="V81" i="41"/>
  <c r="T71" i="41"/>
  <c r="R71" i="41"/>
  <c r="N71" i="41"/>
  <c r="N84" i="41" s="1"/>
  <c r="L71" i="41"/>
  <c r="L84" i="41" s="1"/>
  <c r="V69" i="41"/>
  <c r="T216" i="41"/>
  <c r="R58" i="41"/>
  <c r="R57" i="41"/>
  <c r="V50" i="41"/>
  <c r="L43" i="41"/>
  <c r="F43" i="41"/>
  <c r="P36" i="41"/>
  <c r="N36" i="41"/>
  <c r="L36" i="41"/>
  <c r="J36" i="41"/>
  <c r="H36" i="41"/>
  <c r="F36" i="41"/>
  <c r="D36" i="41"/>
  <c r="P35" i="41"/>
  <c r="N35" i="41"/>
  <c r="L35" i="41"/>
  <c r="J35" i="41"/>
  <c r="H35" i="41"/>
  <c r="F35" i="41"/>
  <c r="D35" i="41"/>
  <c r="V34" i="41"/>
  <c r="V139" i="41" s="1"/>
  <c r="P33" i="41"/>
  <c r="N33" i="41"/>
  <c r="L33" i="41"/>
  <c r="J33" i="41"/>
  <c r="H33" i="41"/>
  <c r="F33" i="41"/>
  <c r="D33" i="41"/>
  <c r="P32" i="41"/>
  <c r="N32" i="41"/>
  <c r="L32" i="41"/>
  <c r="J32" i="41"/>
  <c r="H32" i="41"/>
  <c r="F32" i="41"/>
  <c r="D32" i="41"/>
  <c r="S252" i="41" l="1"/>
  <c r="S264" i="41"/>
  <c r="S256" i="41"/>
  <c r="S268" i="41"/>
  <c r="S254" i="41"/>
  <c r="S258" i="41"/>
  <c r="S266" i="41"/>
  <c r="S270" i="41"/>
  <c r="T101" i="41"/>
  <c r="S221" i="41"/>
  <c r="S253" i="41"/>
  <c r="S255" i="41"/>
  <c r="S257" i="41"/>
  <c r="S265" i="41"/>
  <c r="S267" i="41"/>
  <c r="S269" i="41"/>
  <c r="V167" i="41"/>
  <c r="T131" i="41"/>
  <c r="V51" i="41"/>
  <c r="V36" i="41"/>
  <c r="V35" i="41"/>
  <c r="V43" i="41" s="1"/>
  <c r="T208" i="41" s="1"/>
  <c r="T209" i="41" s="1"/>
  <c r="T221" i="41"/>
  <c r="U264" i="41"/>
  <c r="U265" i="41"/>
  <c r="U266" i="41"/>
  <c r="U267" i="41"/>
  <c r="U268" i="41"/>
  <c r="U269" i="41"/>
  <c r="U270" i="41"/>
  <c r="T249" i="41"/>
  <c r="U246" i="41" s="1"/>
  <c r="T287" i="41"/>
  <c r="U252" i="41"/>
  <c r="U253" i="41"/>
  <c r="U254" i="41"/>
  <c r="U255" i="41"/>
  <c r="U256" i="41"/>
  <c r="U257" i="41"/>
  <c r="U258" i="41"/>
  <c r="R249" i="41"/>
  <c r="S246" i="41" s="1"/>
  <c r="R287" i="41"/>
  <c r="V196" i="41"/>
  <c r="V192" i="41"/>
  <c r="V119" i="41"/>
  <c r="V131" i="41" s="1"/>
  <c r="V132" i="41" s="1"/>
  <c r="T210" i="41"/>
  <c r="V194" i="41"/>
  <c r="S184" i="41"/>
  <c r="V68" i="41"/>
  <c r="V71" i="41" s="1"/>
  <c r="P71" i="41"/>
  <c r="R261" i="40"/>
  <c r="S252" i="40" s="1"/>
  <c r="U273" i="41" l="1"/>
  <c r="S273" i="41"/>
  <c r="S261" i="41"/>
  <c r="T132" i="41"/>
  <c r="U247" i="41"/>
  <c r="U241" i="41"/>
  <c r="U243" i="41"/>
  <c r="U240" i="41"/>
  <c r="U242" i="41"/>
  <c r="U245" i="41"/>
  <c r="U244" i="41"/>
  <c r="S247" i="41"/>
  <c r="S242" i="41"/>
  <c r="S240" i="41"/>
  <c r="S244" i="41"/>
  <c r="U261" i="41"/>
  <c r="S241" i="41"/>
  <c r="S243" i="41"/>
  <c r="S245" i="41"/>
  <c r="V84" i="41"/>
  <c r="V180" i="41" s="1"/>
  <c r="V179" i="41"/>
  <c r="U249" i="41" l="1"/>
  <c r="S249" i="41"/>
  <c r="V107" i="40"/>
  <c r="V105" i="40"/>
  <c r="V91" i="40"/>
  <c r="V90" i="40"/>
  <c r="T89" i="40"/>
  <c r="P68" i="40"/>
  <c r="L44" i="40"/>
  <c r="F44" i="40"/>
  <c r="U285" i="40" l="1"/>
  <c r="T285" i="40"/>
  <c r="T222" i="40" s="1"/>
  <c r="S285" i="40"/>
  <c r="R285" i="40"/>
  <c r="S222" i="40" s="1"/>
  <c r="T273" i="40"/>
  <c r="R273" i="40"/>
  <c r="U271" i="40"/>
  <c r="S271" i="40"/>
  <c r="U270" i="40"/>
  <c r="S270" i="40"/>
  <c r="U269" i="40"/>
  <c r="S269" i="40"/>
  <c r="U268" i="40"/>
  <c r="S268" i="40"/>
  <c r="U267" i="40"/>
  <c r="S267" i="40"/>
  <c r="U266" i="40"/>
  <c r="S266" i="40"/>
  <c r="U265" i="40"/>
  <c r="S265" i="40"/>
  <c r="U264" i="40"/>
  <c r="S264" i="40"/>
  <c r="T261" i="40"/>
  <c r="U259" i="40" s="1"/>
  <c r="S258" i="40"/>
  <c r="S256" i="40"/>
  <c r="S253" i="40"/>
  <c r="T247" i="40"/>
  <c r="R247" i="40"/>
  <c r="T246" i="40"/>
  <c r="R246" i="40"/>
  <c r="T245" i="40"/>
  <c r="R245" i="40"/>
  <c r="T244" i="40"/>
  <c r="R244" i="40"/>
  <c r="T243" i="40"/>
  <c r="R243" i="40"/>
  <c r="T242" i="40"/>
  <c r="R242" i="40"/>
  <c r="T241" i="40"/>
  <c r="R241" i="40"/>
  <c r="T240" i="40"/>
  <c r="R240" i="40"/>
  <c r="T226" i="40"/>
  <c r="T224" i="40"/>
  <c r="T221" i="40"/>
  <c r="S221" i="40"/>
  <c r="T206" i="40"/>
  <c r="V186" i="40"/>
  <c r="V173" i="40"/>
  <c r="V168" i="40"/>
  <c r="V166" i="40"/>
  <c r="V165" i="40"/>
  <c r="V148" i="40"/>
  <c r="B135" i="40"/>
  <c r="B201" i="40" s="1"/>
  <c r="B296" i="40" s="1"/>
  <c r="T123" i="40"/>
  <c r="T121" i="40"/>
  <c r="T114" i="40"/>
  <c r="A114" i="40"/>
  <c r="A115" i="40" s="1"/>
  <c r="A116" i="40" s="1"/>
  <c r="A117" i="40" s="1"/>
  <c r="A118" i="40" s="1"/>
  <c r="A119" i="40" s="1"/>
  <c r="A104" i="40"/>
  <c r="A105" i="40" s="1"/>
  <c r="T99" i="40"/>
  <c r="T98" i="40"/>
  <c r="T97" i="40"/>
  <c r="V97" i="40"/>
  <c r="V101" i="40" s="1"/>
  <c r="N87" i="40"/>
  <c r="V82" i="40"/>
  <c r="V81" i="40"/>
  <c r="T71" i="40"/>
  <c r="R71" i="40"/>
  <c r="N71" i="40"/>
  <c r="N84" i="40" s="1"/>
  <c r="L71" i="40"/>
  <c r="L84" i="40" s="1"/>
  <c r="V69" i="40"/>
  <c r="T216" i="40"/>
  <c r="R58" i="40"/>
  <c r="R57" i="40"/>
  <c r="V50" i="40"/>
  <c r="L43" i="40"/>
  <c r="F43" i="40"/>
  <c r="P36" i="40"/>
  <c r="N36" i="40"/>
  <c r="L36" i="40"/>
  <c r="J36" i="40"/>
  <c r="H36" i="40"/>
  <c r="F36" i="40"/>
  <c r="D36" i="40"/>
  <c r="P35" i="40"/>
  <c r="N35" i="40"/>
  <c r="L35" i="40"/>
  <c r="J35" i="40"/>
  <c r="H35" i="40"/>
  <c r="F35" i="40"/>
  <c r="D35" i="40"/>
  <c r="V34" i="40"/>
  <c r="V139" i="40" s="1"/>
  <c r="P33" i="40"/>
  <c r="N33" i="40"/>
  <c r="L33" i="40"/>
  <c r="J33" i="40"/>
  <c r="H33" i="40"/>
  <c r="F33" i="40"/>
  <c r="D33" i="40"/>
  <c r="P32" i="40"/>
  <c r="N32" i="40"/>
  <c r="L32" i="40"/>
  <c r="J32" i="40"/>
  <c r="H32" i="40"/>
  <c r="F32" i="40"/>
  <c r="D32" i="40"/>
  <c r="T101" i="40" l="1"/>
  <c r="V35" i="40"/>
  <c r="S273" i="40"/>
  <c r="T131" i="40"/>
  <c r="T132" i="40" s="1"/>
  <c r="V167" i="40"/>
  <c r="V43" i="40"/>
  <c r="T208" i="40" s="1"/>
  <c r="T209" i="40" s="1"/>
  <c r="U252" i="40"/>
  <c r="U253" i="40"/>
  <c r="S255" i="40"/>
  <c r="S259" i="40"/>
  <c r="S257" i="40"/>
  <c r="S254" i="40"/>
  <c r="T249" i="40"/>
  <c r="U247" i="40" s="1"/>
  <c r="U273" i="40"/>
  <c r="U254" i="40"/>
  <c r="U255" i="40"/>
  <c r="U256" i="40"/>
  <c r="U257" i="40"/>
  <c r="U258" i="40"/>
  <c r="T287" i="40"/>
  <c r="R249" i="40"/>
  <c r="S246" i="40" s="1"/>
  <c r="R287" i="40"/>
  <c r="V36" i="40"/>
  <c r="V51" i="40"/>
  <c r="U240" i="40"/>
  <c r="V196" i="40"/>
  <c r="V192" i="40"/>
  <c r="V119" i="40"/>
  <c r="V131" i="40" s="1"/>
  <c r="V132" i="40" s="1"/>
  <c r="T210" i="40"/>
  <c r="V194" i="40"/>
  <c r="S184" i="40"/>
  <c r="V68" i="40"/>
  <c r="V71" i="40" s="1"/>
  <c r="P71" i="40"/>
  <c r="V107" i="39"/>
  <c r="V105" i="39"/>
  <c r="V91" i="39"/>
  <c r="V90" i="39"/>
  <c r="T89" i="39"/>
  <c r="P68" i="39"/>
  <c r="L44" i="39"/>
  <c r="F44" i="39"/>
  <c r="S261" i="40" l="1"/>
  <c r="U242" i="40"/>
  <c r="U244" i="40"/>
  <c r="U246" i="40"/>
  <c r="U241" i="40"/>
  <c r="U243" i="40"/>
  <c r="U245" i="40"/>
  <c r="U261" i="40"/>
  <c r="S247" i="40"/>
  <c r="S240" i="40"/>
  <c r="S241" i="40"/>
  <c r="S243" i="40"/>
  <c r="S242" i="40"/>
  <c r="S244" i="40"/>
  <c r="S245" i="40"/>
  <c r="V84" i="40"/>
  <c r="V180" i="40" s="1"/>
  <c r="V179" i="40"/>
  <c r="V168" i="39"/>
  <c r="U249" i="40" l="1"/>
  <c r="S249" i="40"/>
  <c r="U285" i="39"/>
  <c r="T285" i="39"/>
  <c r="T222" i="39" s="1"/>
  <c r="S285" i="39"/>
  <c r="R285" i="39"/>
  <c r="S222" i="39" s="1"/>
  <c r="T273" i="39"/>
  <c r="T221" i="39" s="1"/>
  <c r="R273" i="39"/>
  <c r="S271" i="39" s="1"/>
  <c r="T261" i="39"/>
  <c r="U259" i="39" s="1"/>
  <c r="R261" i="39"/>
  <c r="S257" i="39" s="1"/>
  <c r="T247" i="39"/>
  <c r="R247" i="39"/>
  <c r="T246" i="39"/>
  <c r="R246" i="39"/>
  <c r="T245" i="39"/>
  <c r="R245" i="39"/>
  <c r="T244" i="39"/>
  <c r="R244" i="39"/>
  <c r="T243" i="39"/>
  <c r="R243" i="39"/>
  <c r="T242" i="39"/>
  <c r="R242" i="39"/>
  <c r="T241" i="39"/>
  <c r="R241" i="39"/>
  <c r="T240" i="39"/>
  <c r="R240" i="39"/>
  <c r="T226" i="39"/>
  <c r="T224" i="39"/>
  <c r="T206" i="39"/>
  <c r="V186" i="39"/>
  <c r="V173" i="39"/>
  <c r="V166" i="39"/>
  <c r="V165" i="39"/>
  <c r="V148" i="39"/>
  <c r="B135" i="39"/>
  <c r="B201" i="39" s="1"/>
  <c r="B296" i="39" s="1"/>
  <c r="T123" i="39"/>
  <c r="T121" i="39"/>
  <c r="T114" i="39"/>
  <c r="A114" i="39"/>
  <c r="A115" i="39" s="1"/>
  <c r="A116" i="39" s="1"/>
  <c r="A117" i="39" s="1"/>
  <c r="A118" i="39" s="1"/>
  <c r="A119" i="39" s="1"/>
  <c r="A104" i="39"/>
  <c r="A105" i="39" s="1"/>
  <c r="T99" i="39"/>
  <c r="T98" i="39"/>
  <c r="V97" i="39"/>
  <c r="V101" i="39" s="1"/>
  <c r="T97" i="39"/>
  <c r="N87" i="39"/>
  <c r="V82" i="39"/>
  <c r="V81" i="39"/>
  <c r="T71" i="39"/>
  <c r="R71" i="39"/>
  <c r="P71" i="39"/>
  <c r="N71" i="39"/>
  <c r="N84" i="39" s="1"/>
  <c r="L71" i="39"/>
  <c r="L84" i="39" s="1"/>
  <c r="V69" i="39"/>
  <c r="V68" i="39"/>
  <c r="T216" i="39"/>
  <c r="R58" i="39"/>
  <c r="R57" i="39"/>
  <c r="V50" i="39"/>
  <c r="L43" i="39"/>
  <c r="F43" i="39"/>
  <c r="P36" i="39"/>
  <c r="N36" i="39"/>
  <c r="L36" i="39"/>
  <c r="J36" i="39"/>
  <c r="H36" i="39"/>
  <c r="F36" i="39"/>
  <c r="D36" i="39"/>
  <c r="P35" i="39"/>
  <c r="N35" i="39"/>
  <c r="L35" i="39"/>
  <c r="J35" i="39"/>
  <c r="H35" i="39"/>
  <c r="F35" i="39"/>
  <c r="D35" i="39"/>
  <c r="V34" i="39"/>
  <c r="S184" i="39" s="1"/>
  <c r="P33" i="39"/>
  <c r="N33" i="39"/>
  <c r="L33" i="39"/>
  <c r="J33" i="39"/>
  <c r="H33" i="39"/>
  <c r="F33" i="39"/>
  <c r="D33" i="39"/>
  <c r="P32" i="39"/>
  <c r="N32" i="39"/>
  <c r="L32" i="39"/>
  <c r="J32" i="39"/>
  <c r="H32" i="39"/>
  <c r="F32" i="39"/>
  <c r="D32" i="39"/>
  <c r="S258" i="39" l="1"/>
  <c r="S264" i="39"/>
  <c r="S254" i="39"/>
  <c r="S255" i="39"/>
  <c r="S252" i="39"/>
  <c r="S259" i="39"/>
  <c r="U264" i="39"/>
  <c r="S268" i="39"/>
  <c r="S256" i="39"/>
  <c r="U268" i="39"/>
  <c r="S266" i="39"/>
  <c r="S270" i="39"/>
  <c r="S253" i="39"/>
  <c r="U266" i="39"/>
  <c r="U270" i="39"/>
  <c r="T101" i="39"/>
  <c r="S221" i="39"/>
  <c r="S265" i="39"/>
  <c r="S267" i="39"/>
  <c r="S269" i="39"/>
  <c r="V71" i="39"/>
  <c r="V179" i="39" s="1"/>
  <c r="T249" i="39"/>
  <c r="U246" i="39" s="1"/>
  <c r="U265" i="39"/>
  <c r="U267" i="39"/>
  <c r="U269" i="39"/>
  <c r="U271" i="39"/>
  <c r="V139" i="39"/>
  <c r="U252" i="39"/>
  <c r="T131" i="39"/>
  <c r="V167" i="39"/>
  <c r="V36" i="39"/>
  <c r="V51" i="39"/>
  <c r="V35" i="39"/>
  <c r="V43" i="39" s="1"/>
  <c r="T208" i="39" s="1"/>
  <c r="T209" i="39" s="1"/>
  <c r="U253" i="39"/>
  <c r="U254" i="39"/>
  <c r="U255" i="39"/>
  <c r="U256" i="39"/>
  <c r="U257" i="39"/>
  <c r="U258" i="39"/>
  <c r="T287" i="39"/>
  <c r="R249" i="39"/>
  <c r="S246" i="39" s="1"/>
  <c r="R287" i="39"/>
  <c r="V196" i="39"/>
  <c r="V192" i="39"/>
  <c r="T210" i="39"/>
  <c r="V194" i="39"/>
  <c r="V119" i="39"/>
  <c r="V131" i="39" s="1"/>
  <c r="V132" i="39" s="1"/>
  <c r="S244" i="39"/>
  <c r="P68" i="38"/>
  <c r="T132" i="39" l="1"/>
  <c r="S261" i="39"/>
  <c r="S273" i="39"/>
  <c r="U243" i="39"/>
  <c r="U247" i="39"/>
  <c r="U240" i="39"/>
  <c r="U244" i="39"/>
  <c r="S240" i="39"/>
  <c r="U241" i="39"/>
  <c r="U245" i="39"/>
  <c r="V84" i="39"/>
  <c r="V180" i="39" s="1"/>
  <c r="U273" i="39"/>
  <c r="S242" i="39"/>
  <c r="U242" i="39"/>
  <c r="U261" i="39"/>
  <c r="S247" i="39"/>
  <c r="S241" i="39"/>
  <c r="S243" i="39"/>
  <c r="S245" i="39"/>
  <c r="S249" i="39" l="1"/>
  <c r="U249" i="39"/>
  <c r="V107" i="38"/>
  <c r="V105" i="38"/>
  <c r="V91" i="38"/>
  <c r="V90" i="38"/>
  <c r="T89" i="38"/>
  <c r="L44" i="38"/>
  <c r="F44" i="38"/>
  <c r="U285" i="38" l="1"/>
  <c r="T285" i="38"/>
  <c r="T222" i="38" s="1"/>
  <c r="S285" i="38"/>
  <c r="R285" i="38"/>
  <c r="T273" i="38"/>
  <c r="U270" i="38" s="1"/>
  <c r="R273" i="38"/>
  <c r="S221" i="38" s="1"/>
  <c r="S267" i="38"/>
  <c r="T261" i="38"/>
  <c r="U259" i="38" s="1"/>
  <c r="R261" i="38"/>
  <c r="S259" i="38" s="1"/>
  <c r="S255" i="38"/>
  <c r="S254" i="38"/>
  <c r="S253" i="38"/>
  <c r="S252" i="38"/>
  <c r="T247" i="38"/>
  <c r="R247" i="38"/>
  <c r="T246" i="38"/>
  <c r="R246" i="38"/>
  <c r="T245" i="38"/>
  <c r="R245" i="38"/>
  <c r="T244" i="38"/>
  <c r="R244" i="38"/>
  <c r="T243" i="38"/>
  <c r="R243" i="38"/>
  <c r="T242" i="38"/>
  <c r="R242" i="38"/>
  <c r="T241" i="38"/>
  <c r="R241" i="38"/>
  <c r="T240" i="38"/>
  <c r="R240" i="38"/>
  <c r="T226" i="38"/>
  <c r="T224" i="38"/>
  <c r="S222" i="38"/>
  <c r="T206" i="38"/>
  <c r="V186" i="38"/>
  <c r="V173" i="38"/>
  <c r="V166" i="38"/>
  <c r="V165" i="38"/>
  <c r="V148" i="38"/>
  <c r="B135" i="38"/>
  <c r="B201" i="38" s="1"/>
  <c r="B296" i="38" s="1"/>
  <c r="T121" i="38"/>
  <c r="T114" i="38"/>
  <c r="A114" i="38"/>
  <c r="A115" i="38" s="1"/>
  <c r="A116" i="38" s="1"/>
  <c r="A117" i="38" s="1"/>
  <c r="A118" i="38" s="1"/>
  <c r="A119" i="38" s="1"/>
  <c r="A104" i="38"/>
  <c r="A105" i="38" s="1"/>
  <c r="T99" i="38"/>
  <c r="T98" i="38"/>
  <c r="T97" i="38"/>
  <c r="N87" i="38"/>
  <c r="V82" i="38"/>
  <c r="V81" i="38"/>
  <c r="T71" i="38"/>
  <c r="N71" i="38"/>
  <c r="N84" i="38" s="1"/>
  <c r="L71" i="38"/>
  <c r="L84" i="38" s="1"/>
  <c r="V69" i="38"/>
  <c r="R71" i="38"/>
  <c r="T216" i="38"/>
  <c r="R58" i="38"/>
  <c r="R57" i="38"/>
  <c r="V50" i="38"/>
  <c r="L43" i="38"/>
  <c r="F43" i="38"/>
  <c r="P36" i="38"/>
  <c r="N36" i="38"/>
  <c r="L36" i="38"/>
  <c r="J36" i="38"/>
  <c r="H36" i="38"/>
  <c r="F36" i="38"/>
  <c r="D36" i="38"/>
  <c r="P35" i="38"/>
  <c r="N35" i="38"/>
  <c r="L35" i="38"/>
  <c r="J35" i="38"/>
  <c r="H35" i="38"/>
  <c r="F35" i="38"/>
  <c r="D35" i="38"/>
  <c r="V34" i="38"/>
  <c r="S184" i="38" s="1"/>
  <c r="P33" i="38"/>
  <c r="N33" i="38"/>
  <c r="L33" i="38"/>
  <c r="J33" i="38"/>
  <c r="H33" i="38"/>
  <c r="F33" i="38"/>
  <c r="D33" i="38"/>
  <c r="P32" i="38"/>
  <c r="N32" i="38"/>
  <c r="L32" i="38"/>
  <c r="J32" i="38"/>
  <c r="H32" i="38"/>
  <c r="F32" i="38"/>
  <c r="D32" i="38"/>
  <c r="V35" i="38" l="1"/>
  <c r="S265" i="38"/>
  <c r="S269" i="38"/>
  <c r="V43" i="38"/>
  <c r="T208" i="38" s="1"/>
  <c r="T209" i="38" s="1"/>
  <c r="V36" i="38"/>
  <c r="S264" i="38"/>
  <c r="S266" i="38"/>
  <c r="S268" i="38"/>
  <c r="S270" i="38"/>
  <c r="V167" i="38"/>
  <c r="U264" i="38"/>
  <c r="U265" i="38"/>
  <c r="U271" i="38"/>
  <c r="T249" i="38"/>
  <c r="U246" i="38" s="1"/>
  <c r="T221" i="38"/>
  <c r="U266" i="38"/>
  <c r="U267" i="38"/>
  <c r="U268" i="38"/>
  <c r="U269" i="38"/>
  <c r="S271" i="38"/>
  <c r="R249" i="38"/>
  <c r="S246" i="38" s="1"/>
  <c r="S256" i="38"/>
  <c r="S258" i="38"/>
  <c r="S257" i="38"/>
  <c r="V51" i="38"/>
  <c r="R287" i="38"/>
  <c r="T287" i="38"/>
  <c r="T101" i="38"/>
  <c r="V97" i="38"/>
  <c r="V101" i="38" s="1"/>
  <c r="V194" i="38" s="1"/>
  <c r="T123" i="38"/>
  <c r="T131" i="38" s="1"/>
  <c r="U252" i="38"/>
  <c r="U253" i="38"/>
  <c r="U254" i="38"/>
  <c r="U255" i="38"/>
  <c r="U256" i="38"/>
  <c r="U257" i="38"/>
  <c r="U258" i="38"/>
  <c r="U247" i="38"/>
  <c r="U245" i="38"/>
  <c r="U243" i="38"/>
  <c r="S247" i="38"/>
  <c r="S245" i="38"/>
  <c r="S243" i="38"/>
  <c r="S241" i="38"/>
  <c r="V68" i="38"/>
  <c r="V71" i="38" s="1"/>
  <c r="P71" i="38"/>
  <c r="V139" i="38"/>
  <c r="T89" i="37"/>
  <c r="U241" i="38" l="1"/>
  <c r="S273" i="38"/>
  <c r="S240" i="38"/>
  <c r="S242" i="38"/>
  <c r="S244" i="38"/>
  <c r="U240" i="38"/>
  <c r="U242" i="38"/>
  <c r="U244" i="38"/>
  <c r="S261" i="38"/>
  <c r="T210" i="38"/>
  <c r="V192" i="38"/>
  <c r="V119" i="38"/>
  <c r="V131" i="38" s="1"/>
  <c r="V132" i="38" s="1"/>
  <c r="V196" i="38"/>
  <c r="T132" i="38"/>
  <c r="U273" i="38"/>
  <c r="U261" i="38"/>
  <c r="V179" i="38"/>
  <c r="V84" i="38"/>
  <c r="V180" i="38" s="1"/>
  <c r="V107" i="37"/>
  <c r="V105" i="37"/>
  <c r="V91" i="37"/>
  <c r="V90" i="37"/>
  <c r="S186" i="37"/>
  <c r="P68" i="37"/>
  <c r="R68" i="37"/>
  <c r="L44" i="37"/>
  <c r="F44" i="37"/>
  <c r="S249" i="38" l="1"/>
  <c r="U249" i="38"/>
  <c r="V168" i="37"/>
  <c r="U285" i="37" l="1"/>
  <c r="T285" i="37"/>
  <c r="T222" i="37" s="1"/>
  <c r="S285" i="37"/>
  <c r="R285" i="37"/>
  <c r="S222" i="37" s="1"/>
  <c r="T273" i="37"/>
  <c r="R273" i="37"/>
  <c r="U271" i="37"/>
  <c r="S271" i="37"/>
  <c r="U270" i="37"/>
  <c r="S270" i="37"/>
  <c r="U269" i="37"/>
  <c r="S269" i="37"/>
  <c r="U268" i="37"/>
  <c r="S268" i="37"/>
  <c r="U267" i="37"/>
  <c r="S267" i="37"/>
  <c r="U266" i="37"/>
  <c r="S266" i="37"/>
  <c r="U265" i="37"/>
  <c r="S265" i="37"/>
  <c r="U264" i="37"/>
  <c r="S264" i="37"/>
  <c r="T261" i="37"/>
  <c r="U259" i="37" s="1"/>
  <c r="R261" i="37"/>
  <c r="S259" i="37" s="1"/>
  <c r="T247" i="37"/>
  <c r="R247" i="37"/>
  <c r="T246" i="37"/>
  <c r="R246" i="37"/>
  <c r="T245" i="37"/>
  <c r="R245" i="37"/>
  <c r="T244" i="37"/>
  <c r="R244" i="37"/>
  <c r="T243" i="37"/>
  <c r="R243" i="37"/>
  <c r="T242" i="37"/>
  <c r="R242" i="37"/>
  <c r="T241" i="37"/>
  <c r="R241" i="37"/>
  <c r="T240" i="37"/>
  <c r="R240" i="37"/>
  <c r="T226" i="37"/>
  <c r="T224" i="37"/>
  <c r="T221" i="37"/>
  <c r="S221" i="37"/>
  <c r="T206" i="37"/>
  <c r="V186" i="37"/>
  <c r="V173" i="37"/>
  <c r="V166" i="37"/>
  <c r="V165" i="37"/>
  <c r="V148" i="37"/>
  <c r="B135" i="37"/>
  <c r="B201" i="37" s="1"/>
  <c r="B297" i="37" s="1"/>
  <c r="T123" i="37"/>
  <c r="T121" i="37"/>
  <c r="T114" i="37"/>
  <c r="A114" i="37"/>
  <c r="A115" i="37" s="1"/>
  <c r="A116" i="37" s="1"/>
  <c r="A117" i="37" s="1"/>
  <c r="A118" i="37" s="1"/>
  <c r="A119" i="37" s="1"/>
  <c r="A104" i="37"/>
  <c r="A105" i="37" s="1"/>
  <c r="T99" i="37"/>
  <c r="T98" i="37"/>
  <c r="T97" i="37"/>
  <c r="V97" i="37"/>
  <c r="V101" i="37" s="1"/>
  <c r="N87" i="37"/>
  <c r="V82" i="37"/>
  <c r="V81" i="37"/>
  <c r="T71" i="37"/>
  <c r="N71" i="37"/>
  <c r="N84" i="37" s="1"/>
  <c r="L71" i="37"/>
  <c r="L84" i="37" s="1"/>
  <c r="V69" i="37"/>
  <c r="R71" i="37"/>
  <c r="T216" i="37"/>
  <c r="R58" i="37"/>
  <c r="R57" i="37"/>
  <c r="V50" i="37"/>
  <c r="L43" i="37"/>
  <c r="F43" i="37"/>
  <c r="P36" i="37"/>
  <c r="N36" i="37"/>
  <c r="L36" i="37"/>
  <c r="J36" i="37"/>
  <c r="H36" i="37"/>
  <c r="F36" i="37"/>
  <c r="D36" i="37"/>
  <c r="P35" i="37"/>
  <c r="N35" i="37"/>
  <c r="L35" i="37"/>
  <c r="J35" i="37"/>
  <c r="H35" i="37"/>
  <c r="F35" i="37"/>
  <c r="D35" i="37"/>
  <c r="V34" i="37"/>
  <c r="S184" i="37" s="1"/>
  <c r="P33" i="37"/>
  <c r="N33" i="37"/>
  <c r="L33" i="37"/>
  <c r="J33" i="37"/>
  <c r="H33" i="37"/>
  <c r="F33" i="37"/>
  <c r="D33" i="37"/>
  <c r="P32" i="37"/>
  <c r="N32" i="37"/>
  <c r="L32" i="37"/>
  <c r="J32" i="37"/>
  <c r="H32" i="37"/>
  <c r="F32" i="37"/>
  <c r="D32" i="37"/>
  <c r="U252" i="37" l="1"/>
  <c r="U253" i="37"/>
  <c r="S252" i="37"/>
  <c r="S254" i="37"/>
  <c r="S256" i="37"/>
  <c r="S253" i="37"/>
  <c r="S258" i="37"/>
  <c r="U273" i="37"/>
  <c r="S255" i="37"/>
  <c r="S257" i="37"/>
  <c r="V36" i="37"/>
  <c r="T101" i="37"/>
  <c r="T131" i="37"/>
  <c r="V167" i="37"/>
  <c r="V51" i="37"/>
  <c r="V35" i="37"/>
  <c r="V43" i="37" s="1"/>
  <c r="T208" i="37" s="1"/>
  <c r="T209" i="37" s="1"/>
  <c r="S273" i="37"/>
  <c r="T249" i="37"/>
  <c r="U247" i="37" s="1"/>
  <c r="U254" i="37"/>
  <c r="U255" i="37"/>
  <c r="U256" i="37"/>
  <c r="T287" i="37"/>
  <c r="U257" i="37"/>
  <c r="U258" i="37"/>
  <c r="R249" i="37"/>
  <c r="S246" i="37" s="1"/>
  <c r="R287" i="37"/>
  <c r="V196" i="37"/>
  <c r="V192" i="37"/>
  <c r="V119" i="37"/>
  <c r="V131" i="37" s="1"/>
  <c r="V132" i="37" s="1"/>
  <c r="T210" i="37"/>
  <c r="V194" i="37"/>
  <c r="S247" i="37"/>
  <c r="V68" i="37"/>
  <c r="V71" i="37" s="1"/>
  <c r="P71" i="37"/>
  <c r="V139" i="37"/>
  <c r="V107" i="36"/>
  <c r="V105" i="36"/>
  <c r="V91" i="36"/>
  <c r="V90" i="36"/>
  <c r="S186" i="36"/>
  <c r="T89" i="36"/>
  <c r="R68" i="36"/>
  <c r="P68" i="36"/>
  <c r="L44" i="36"/>
  <c r="F44" i="36"/>
  <c r="S261" i="37" l="1"/>
  <c r="T132" i="37"/>
  <c r="U240" i="37"/>
  <c r="U241" i="37"/>
  <c r="U242" i="37"/>
  <c r="U243" i="37"/>
  <c r="U244" i="37"/>
  <c r="U245" i="37"/>
  <c r="U246" i="37"/>
  <c r="S240" i="37"/>
  <c r="S242" i="37"/>
  <c r="S244" i="37"/>
  <c r="S241" i="37"/>
  <c r="S243" i="37"/>
  <c r="S245" i="37"/>
  <c r="U261" i="37"/>
  <c r="V179" i="37"/>
  <c r="V84" i="37"/>
  <c r="V180" i="37" s="1"/>
  <c r="U285" i="36"/>
  <c r="T285" i="36"/>
  <c r="T222" i="36" s="1"/>
  <c r="S285" i="36"/>
  <c r="R285" i="36"/>
  <c r="S222" i="36" s="1"/>
  <c r="T273" i="36"/>
  <c r="U271" i="36" s="1"/>
  <c r="R273" i="36"/>
  <c r="S271" i="36" s="1"/>
  <c r="T261" i="36"/>
  <c r="U257" i="36" s="1"/>
  <c r="R261" i="36"/>
  <c r="S259" i="36" s="1"/>
  <c r="S258" i="36"/>
  <c r="S256" i="36"/>
  <c r="U255" i="36"/>
  <c r="S254" i="36"/>
  <c r="U252" i="36"/>
  <c r="S252" i="36"/>
  <c r="T247" i="36"/>
  <c r="R247" i="36"/>
  <c r="T246" i="36"/>
  <c r="R246" i="36"/>
  <c r="T245" i="36"/>
  <c r="R245" i="36"/>
  <c r="T244" i="36"/>
  <c r="R244" i="36"/>
  <c r="T243" i="36"/>
  <c r="R243" i="36"/>
  <c r="T242" i="36"/>
  <c r="R242" i="36"/>
  <c r="T241" i="36"/>
  <c r="R241" i="36"/>
  <c r="T240" i="36"/>
  <c r="R240" i="36"/>
  <c r="T226" i="36"/>
  <c r="T224" i="36"/>
  <c r="T206" i="36"/>
  <c r="V186" i="36"/>
  <c r="V173" i="36"/>
  <c r="V166" i="36"/>
  <c r="V165" i="36"/>
  <c r="V148" i="36"/>
  <c r="B135" i="36"/>
  <c r="B201" i="36" s="1"/>
  <c r="B297" i="36" s="1"/>
  <c r="T123" i="36"/>
  <c r="T121" i="36"/>
  <c r="T114" i="36"/>
  <c r="A114" i="36"/>
  <c r="A115" i="36" s="1"/>
  <c r="A116" i="36" s="1"/>
  <c r="A117" i="36" s="1"/>
  <c r="A118" i="36" s="1"/>
  <c r="A119" i="36" s="1"/>
  <c r="A104" i="36"/>
  <c r="A105" i="36" s="1"/>
  <c r="T99" i="36"/>
  <c r="T98" i="36"/>
  <c r="V97" i="36"/>
  <c r="V101" i="36" s="1"/>
  <c r="V119" i="36" s="1"/>
  <c r="V131" i="36" s="1"/>
  <c r="T97" i="36"/>
  <c r="N87" i="36"/>
  <c r="V82" i="36"/>
  <c r="V81" i="36"/>
  <c r="T71" i="36"/>
  <c r="N71" i="36"/>
  <c r="N84" i="36" s="1"/>
  <c r="L71" i="36"/>
  <c r="L84" i="36" s="1"/>
  <c r="V69" i="36"/>
  <c r="R71" i="36"/>
  <c r="T216" i="36"/>
  <c r="R58" i="36"/>
  <c r="R57" i="36"/>
  <c r="V50" i="36"/>
  <c r="L43" i="36"/>
  <c r="F43" i="36"/>
  <c r="P36" i="36"/>
  <c r="N36" i="36"/>
  <c r="L36" i="36"/>
  <c r="J36" i="36"/>
  <c r="H36" i="36"/>
  <c r="F36" i="36"/>
  <c r="D36" i="36"/>
  <c r="P35" i="36"/>
  <c r="N35" i="36"/>
  <c r="L35" i="36"/>
  <c r="J35" i="36"/>
  <c r="H35" i="36"/>
  <c r="F35" i="36"/>
  <c r="D35" i="36"/>
  <c r="V34" i="36"/>
  <c r="S184" i="36" s="1"/>
  <c r="P33" i="36"/>
  <c r="N33" i="36"/>
  <c r="L33" i="36"/>
  <c r="J33" i="36"/>
  <c r="H33" i="36"/>
  <c r="F33" i="36"/>
  <c r="D33" i="36"/>
  <c r="P32" i="36"/>
  <c r="N32" i="36"/>
  <c r="L32" i="36"/>
  <c r="J32" i="36"/>
  <c r="H32" i="36"/>
  <c r="F32" i="36"/>
  <c r="D32" i="36"/>
  <c r="U253" i="36" l="1"/>
  <c r="U258" i="36"/>
  <c r="U249" i="37"/>
  <c r="U256" i="36"/>
  <c r="U261" i="36" s="1"/>
  <c r="U259" i="36"/>
  <c r="R249" i="36"/>
  <c r="S246" i="36" s="1"/>
  <c r="U254" i="36"/>
  <c r="S253" i="36"/>
  <c r="S255" i="36"/>
  <c r="S257" i="36"/>
  <c r="S264" i="36"/>
  <c r="S268" i="36"/>
  <c r="S249" i="37"/>
  <c r="S266" i="36"/>
  <c r="S270" i="36"/>
  <c r="V35" i="36"/>
  <c r="V43" i="36" s="1"/>
  <c r="T208" i="36" s="1"/>
  <c r="T209" i="36" s="1"/>
  <c r="T101" i="36"/>
  <c r="T131" i="36"/>
  <c r="S221" i="36"/>
  <c r="S265" i="36"/>
  <c r="S267" i="36"/>
  <c r="S269" i="36"/>
  <c r="V167" i="36"/>
  <c r="V51" i="36"/>
  <c r="V36" i="36"/>
  <c r="T221" i="36"/>
  <c r="T287" i="36"/>
  <c r="U264" i="36"/>
  <c r="U265" i="36"/>
  <c r="U266" i="36"/>
  <c r="U267" i="36"/>
  <c r="U268" i="36"/>
  <c r="U269" i="36"/>
  <c r="U270" i="36"/>
  <c r="T249" i="36"/>
  <c r="U247" i="36" s="1"/>
  <c r="R287" i="36"/>
  <c r="V196" i="36"/>
  <c r="V192" i="36"/>
  <c r="T210" i="36"/>
  <c r="V194" i="36"/>
  <c r="V132" i="36"/>
  <c r="S247" i="36"/>
  <c r="S245" i="36"/>
  <c r="S244" i="36"/>
  <c r="S241" i="36"/>
  <c r="S240" i="36"/>
  <c r="V68" i="36"/>
  <c r="V71" i="36" s="1"/>
  <c r="P71" i="36"/>
  <c r="V139" i="36"/>
  <c r="T89" i="35"/>
  <c r="P68" i="35"/>
  <c r="S243" i="36" l="1"/>
  <c r="U244" i="36"/>
  <c r="S242" i="36"/>
  <c r="S249" i="36" s="1"/>
  <c r="S261" i="36"/>
  <c r="U240" i="36"/>
  <c r="U242" i="36"/>
  <c r="S273" i="36"/>
  <c r="T132" i="36"/>
  <c r="U273" i="36"/>
  <c r="U246" i="36"/>
  <c r="U241" i="36"/>
  <c r="U243" i="36"/>
  <c r="U245" i="36"/>
  <c r="V179" i="36"/>
  <c r="V84" i="36"/>
  <c r="V180" i="36" s="1"/>
  <c r="V107" i="35"/>
  <c r="V105" i="35"/>
  <c r="V91" i="35"/>
  <c r="V90" i="35"/>
  <c r="S186" i="35"/>
  <c r="R68" i="35"/>
  <c r="L44" i="35"/>
  <c r="F44" i="35"/>
  <c r="U249" i="36" l="1"/>
  <c r="U285" i="35"/>
  <c r="T285" i="35"/>
  <c r="T222" i="35" s="1"/>
  <c r="S285" i="35"/>
  <c r="R285" i="35"/>
  <c r="T273" i="35"/>
  <c r="U270" i="35" s="1"/>
  <c r="R273" i="35"/>
  <c r="S271" i="35" s="1"/>
  <c r="U271" i="35"/>
  <c r="U267" i="35"/>
  <c r="U266" i="35"/>
  <c r="U264" i="35"/>
  <c r="T261" i="35"/>
  <c r="R261" i="35"/>
  <c r="S258" i="35" s="1"/>
  <c r="S259" i="35"/>
  <c r="S256" i="35"/>
  <c r="S255" i="35"/>
  <c r="S252" i="35"/>
  <c r="T247" i="35"/>
  <c r="R247" i="35"/>
  <c r="T246" i="35"/>
  <c r="R246" i="35"/>
  <c r="T245" i="35"/>
  <c r="R245" i="35"/>
  <c r="T244" i="35"/>
  <c r="R244" i="35"/>
  <c r="T243" i="35"/>
  <c r="R243" i="35"/>
  <c r="T242" i="35"/>
  <c r="R242" i="35"/>
  <c r="T241" i="35"/>
  <c r="R241" i="35"/>
  <c r="T240" i="35"/>
  <c r="R240" i="35"/>
  <c r="T226" i="35"/>
  <c r="T224" i="35"/>
  <c r="S222" i="35"/>
  <c r="T206" i="35"/>
  <c r="V186" i="35"/>
  <c r="V173" i="35"/>
  <c r="V168" i="35"/>
  <c r="V166" i="35"/>
  <c r="V165" i="35"/>
  <c r="V148" i="35"/>
  <c r="B135" i="35"/>
  <c r="B201" i="35" s="1"/>
  <c r="B297" i="35" s="1"/>
  <c r="T123" i="35"/>
  <c r="T121" i="35"/>
  <c r="T114" i="35"/>
  <c r="A114" i="35"/>
  <c r="A115" i="35" s="1"/>
  <c r="A116" i="35" s="1"/>
  <c r="A117" i="35" s="1"/>
  <c r="A118" i="35" s="1"/>
  <c r="A119" i="35" s="1"/>
  <c r="A104" i="35"/>
  <c r="A105" i="35" s="1"/>
  <c r="T99" i="35"/>
  <c r="T98" i="35"/>
  <c r="T97" i="35"/>
  <c r="V97" i="35"/>
  <c r="V101" i="35" s="1"/>
  <c r="N87" i="35"/>
  <c r="V82" i="35"/>
  <c r="V81" i="35"/>
  <c r="T71" i="35"/>
  <c r="R71" i="35"/>
  <c r="N71" i="35"/>
  <c r="N84" i="35" s="1"/>
  <c r="L71" i="35"/>
  <c r="L84" i="35" s="1"/>
  <c r="V69" i="35"/>
  <c r="T216" i="35"/>
  <c r="R58" i="35"/>
  <c r="R57" i="35"/>
  <c r="V50" i="35"/>
  <c r="L43" i="35"/>
  <c r="F43" i="35"/>
  <c r="P36" i="35"/>
  <c r="N36" i="35"/>
  <c r="L36" i="35"/>
  <c r="J36" i="35"/>
  <c r="H36" i="35"/>
  <c r="F36" i="35"/>
  <c r="D36" i="35"/>
  <c r="P35" i="35"/>
  <c r="N35" i="35"/>
  <c r="L35" i="35"/>
  <c r="J35" i="35"/>
  <c r="H35" i="35"/>
  <c r="F35" i="35"/>
  <c r="D35" i="35"/>
  <c r="V34" i="35"/>
  <c r="V139" i="35" s="1"/>
  <c r="P33" i="35"/>
  <c r="N33" i="35"/>
  <c r="L33" i="35"/>
  <c r="J33" i="35"/>
  <c r="H33" i="35"/>
  <c r="F33" i="35"/>
  <c r="D33" i="35"/>
  <c r="P32" i="35"/>
  <c r="N32" i="35"/>
  <c r="L32" i="35"/>
  <c r="J32" i="35"/>
  <c r="H32" i="35"/>
  <c r="F32" i="35"/>
  <c r="D32" i="35"/>
  <c r="S253" i="35" l="1"/>
  <c r="S257" i="35"/>
  <c r="T287" i="35"/>
  <c r="S254" i="35"/>
  <c r="S261" i="35" s="1"/>
  <c r="S264" i="35"/>
  <c r="U268" i="35"/>
  <c r="U254" i="35"/>
  <c r="T249" i="35"/>
  <c r="U247" i="35" s="1"/>
  <c r="S266" i="35"/>
  <c r="U269" i="35"/>
  <c r="U252" i="35"/>
  <c r="S221" i="35"/>
  <c r="S270" i="35"/>
  <c r="T221" i="35"/>
  <c r="U256" i="35"/>
  <c r="U265" i="35"/>
  <c r="S268" i="35"/>
  <c r="U258" i="35"/>
  <c r="U253" i="35"/>
  <c r="U255" i="35"/>
  <c r="U257" i="35"/>
  <c r="U259" i="35"/>
  <c r="S265" i="35"/>
  <c r="S267" i="35"/>
  <c r="S269" i="35"/>
  <c r="V36" i="35"/>
  <c r="T101" i="35"/>
  <c r="V35" i="35"/>
  <c r="V43" i="35" s="1"/>
  <c r="T208" i="35" s="1"/>
  <c r="T209" i="35" s="1"/>
  <c r="R249" i="35"/>
  <c r="S246" i="35" s="1"/>
  <c r="R287" i="35"/>
  <c r="T131" i="35"/>
  <c r="T132" i="35" s="1"/>
  <c r="V167" i="35"/>
  <c r="V51" i="35"/>
  <c r="U245" i="35"/>
  <c r="U241" i="35"/>
  <c r="V196" i="35"/>
  <c r="V192" i="35"/>
  <c r="V119" i="35"/>
  <c r="V131" i="35" s="1"/>
  <c r="V132" i="35" s="1"/>
  <c r="T210" i="35"/>
  <c r="V194" i="35"/>
  <c r="S184" i="35"/>
  <c r="V68" i="35"/>
  <c r="V71" i="35" s="1"/>
  <c r="P71" i="35"/>
  <c r="V168" i="34"/>
  <c r="U242" i="35" l="1"/>
  <c r="U246" i="35"/>
  <c r="U243" i="35"/>
  <c r="U240" i="35"/>
  <c r="U244" i="35"/>
  <c r="S273" i="35"/>
  <c r="U273" i="35"/>
  <c r="U261" i="35"/>
  <c r="S247" i="35"/>
  <c r="S243" i="35"/>
  <c r="S241" i="35"/>
  <c r="S245" i="35"/>
  <c r="S240" i="35"/>
  <c r="S242" i="35"/>
  <c r="S244" i="35"/>
  <c r="U249" i="35"/>
  <c r="V84" i="35"/>
  <c r="V180" i="35" s="1"/>
  <c r="V179" i="35"/>
  <c r="V107" i="34"/>
  <c r="V105" i="34"/>
  <c r="V91" i="34"/>
  <c r="V90" i="34"/>
  <c r="T89" i="34"/>
  <c r="P68" i="34"/>
  <c r="L44" i="34"/>
  <c r="F44" i="34"/>
  <c r="S249" i="35" l="1"/>
  <c r="U285" i="34"/>
  <c r="T285" i="34"/>
  <c r="T222" i="34" s="1"/>
  <c r="S285" i="34"/>
  <c r="R285" i="34"/>
  <c r="T273" i="34"/>
  <c r="T221" i="34" s="1"/>
  <c r="R273" i="34"/>
  <c r="S271" i="34" s="1"/>
  <c r="U271" i="34"/>
  <c r="U267" i="34"/>
  <c r="U266" i="34"/>
  <c r="U264" i="34"/>
  <c r="T261" i="34"/>
  <c r="U259" i="34" s="1"/>
  <c r="R261" i="34"/>
  <c r="S258" i="34" s="1"/>
  <c r="S259" i="34"/>
  <c r="S255" i="34"/>
  <c r="S252" i="34"/>
  <c r="T247" i="34"/>
  <c r="R247" i="34"/>
  <c r="T246" i="34"/>
  <c r="R246" i="34"/>
  <c r="T245" i="34"/>
  <c r="R245" i="34"/>
  <c r="T244" i="34"/>
  <c r="R244" i="34"/>
  <c r="T243" i="34"/>
  <c r="R243" i="34"/>
  <c r="T242" i="34"/>
  <c r="R242" i="34"/>
  <c r="T241" i="34"/>
  <c r="R241" i="34"/>
  <c r="T240" i="34"/>
  <c r="R240" i="34"/>
  <c r="T226" i="34"/>
  <c r="T224" i="34"/>
  <c r="S222" i="34"/>
  <c r="T206" i="34"/>
  <c r="V186" i="34"/>
  <c r="V173" i="34"/>
  <c r="V166" i="34"/>
  <c r="V165" i="34"/>
  <c r="V148" i="34"/>
  <c r="B135" i="34"/>
  <c r="B201" i="34" s="1"/>
  <c r="B297" i="34" s="1"/>
  <c r="T123" i="34"/>
  <c r="T121" i="34"/>
  <c r="T114" i="34"/>
  <c r="A114" i="34"/>
  <c r="A115" i="34" s="1"/>
  <c r="A116" i="34" s="1"/>
  <c r="A117" i="34" s="1"/>
  <c r="A118" i="34" s="1"/>
  <c r="A119" i="34" s="1"/>
  <c r="A104" i="34"/>
  <c r="A105" i="34" s="1"/>
  <c r="T99" i="34"/>
  <c r="T98" i="34"/>
  <c r="T97" i="34"/>
  <c r="V97" i="34"/>
  <c r="V101" i="34" s="1"/>
  <c r="N87" i="34"/>
  <c r="V82" i="34"/>
  <c r="V81" i="34"/>
  <c r="T71" i="34"/>
  <c r="N71" i="34"/>
  <c r="N84" i="34" s="1"/>
  <c r="L71" i="34"/>
  <c r="L84" i="34" s="1"/>
  <c r="V69" i="34"/>
  <c r="R71" i="34"/>
  <c r="T216" i="34"/>
  <c r="R58" i="34"/>
  <c r="R57" i="34"/>
  <c r="V50" i="34"/>
  <c r="L43" i="34"/>
  <c r="F43" i="34"/>
  <c r="P36" i="34"/>
  <c r="N36" i="34"/>
  <c r="L36" i="34"/>
  <c r="J36" i="34"/>
  <c r="H36" i="34"/>
  <c r="F36" i="34"/>
  <c r="D36" i="34"/>
  <c r="P35" i="34"/>
  <c r="N35" i="34"/>
  <c r="L35" i="34"/>
  <c r="J35" i="34"/>
  <c r="H35" i="34"/>
  <c r="F35" i="34"/>
  <c r="D35" i="34"/>
  <c r="V34" i="34"/>
  <c r="S184" i="34" s="1"/>
  <c r="P33" i="34"/>
  <c r="N33" i="34"/>
  <c r="L33" i="34"/>
  <c r="J33" i="34"/>
  <c r="H33" i="34"/>
  <c r="F33" i="34"/>
  <c r="D33" i="34"/>
  <c r="P32" i="34"/>
  <c r="N32" i="34"/>
  <c r="L32" i="34"/>
  <c r="J32" i="34"/>
  <c r="H32" i="34"/>
  <c r="F32" i="34"/>
  <c r="D32" i="34"/>
  <c r="S256" i="34" l="1"/>
  <c r="S253" i="34"/>
  <c r="S257" i="34"/>
  <c r="S254" i="34"/>
  <c r="S261" i="34" s="1"/>
  <c r="S264" i="34"/>
  <c r="U268" i="34"/>
  <c r="U254" i="34"/>
  <c r="S221" i="34"/>
  <c r="T249" i="34"/>
  <c r="U244" i="34" s="1"/>
  <c r="S266" i="34"/>
  <c r="U269" i="34"/>
  <c r="U252" i="34"/>
  <c r="S270" i="34"/>
  <c r="U256" i="34"/>
  <c r="U265" i="34"/>
  <c r="S268" i="34"/>
  <c r="U270" i="34"/>
  <c r="U258" i="34"/>
  <c r="U253" i="34"/>
  <c r="U255" i="34"/>
  <c r="U257" i="34"/>
  <c r="R249" i="34"/>
  <c r="S244" i="34" s="1"/>
  <c r="S265" i="34"/>
  <c r="S267" i="34"/>
  <c r="S269" i="34"/>
  <c r="T287" i="34"/>
  <c r="V36" i="34"/>
  <c r="T101" i="34"/>
  <c r="T131" i="34"/>
  <c r="V167" i="34"/>
  <c r="V51" i="34"/>
  <c r="V35" i="34"/>
  <c r="V43" i="34" s="1"/>
  <c r="T208" i="34" s="1"/>
  <c r="T209" i="34" s="1"/>
  <c r="R287" i="34"/>
  <c r="V196" i="34"/>
  <c r="V192" i="34"/>
  <c r="V119" i="34"/>
  <c r="T210" i="34"/>
  <c r="V194" i="34"/>
  <c r="U246" i="34"/>
  <c r="U245" i="34"/>
  <c r="U242" i="34"/>
  <c r="U241" i="34"/>
  <c r="V68" i="34"/>
  <c r="V71" i="34" s="1"/>
  <c r="P71" i="34"/>
  <c r="V139" i="34"/>
  <c r="U243" i="34" l="1"/>
  <c r="S245" i="34"/>
  <c r="U247" i="34"/>
  <c r="U240" i="34"/>
  <c r="U249" i="34" s="1"/>
  <c r="U261" i="34"/>
  <c r="U273" i="34"/>
  <c r="S246" i="34"/>
  <c r="S273" i="34"/>
  <c r="S241" i="34"/>
  <c r="S242" i="34"/>
  <c r="S243" i="34"/>
  <c r="S247" i="34"/>
  <c r="S240" i="34"/>
  <c r="V131" i="34"/>
  <c r="V132" i="34" s="1"/>
  <c r="T132" i="34"/>
  <c r="V179" i="34"/>
  <c r="V84" i="34"/>
  <c r="V180" i="34" s="1"/>
  <c r="V107" i="33"/>
  <c r="V105" i="33"/>
  <c r="V91" i="33"/>
  <c r="V90" i="33"/>
  <c r="S186" i="33"/>
  <c r="T89" i="33"/>
  <c r="R68" i="33"/>
  <c r="P68" i="33"/>
  <c r="L44" i="33"/>
  <c r="F44" i="33"/>
  <c r="S249" i="34" l="1"/>
  <c r="U285" i="33"/>
  <c r="T285" i="33"/>
  <c r="T222" i="33" s="1"/>
  <c r="S285" i="33"/>
  <c r="R285" i="33"/>
  <c r="S222" i="33" s="1"/>
  <c r="T273" i="33"/>
  <c r="U269" i="33" s="1"/>
  <c r="R273" i="33"/>
  <c r="S271" i="33" s="1"/>
  <c r="T261" i="33"/>
  <c r="U258" i="33" s="1"/>
  <c r="R261" i="33"/>
  <c r="S259" i="33" s="1"/>
  <c r="T247" i="33"/>
  <c r="R247" i="33"/>
  <c r="T246" i="33"/>
  <c r="R246" i="33"/>
  <c r="T245" i="33"/>
  <c r="R245" i="33"/>
  <c r="T244" i="33"/>
  <c r="R244" i="33"/>
  <c r="T243" i="33"/>
  <c r="R243" i="33"/>
  <c r="T242" i="33"/>
  <c r="R242" i="33"/>
  <c r="T241" i="33"/>
  <c r="R241" i="33"/>
  <c r="T240" i="33"/>
  <c r="R240" i="33"/>
  <c r="T226" i="33"/>
  <c r="T224" i="33"/>
  <c r="T206" i="33"/>
  <c r="V186" i="33"/>
  <c r="V173" i="33"/>
  <c r="V166" i="33"/>
  <c r="V165" i="33"/>
  <c r="V148" i="33"/>
  <c r="B135" i="33"/>
  <c r="B201" i="33" s="1"/>
  <c r="B297" i="33" s="1"/>
  <c r="T123" i="33"/>
  <c r="T121" i="33"/>
  <c r="T114" i="33"/>
  <c r="A114" i="33"/>
  <c r="A115" i="33" s="1"/>
  <c r="A116" i="33" s="1"/>
  <c r="A117" i="33" s="1"/>
  <c r="A118" i="33" s="1"/>
  <c r="A119" i="33" s="1"/>
  <c r="A104" i="33"/>
  <c r="A105" i="33" s="1"/>
  <c r="T99" i="33"/>
  <c r="T98" i="33"/>
  <c r="V97" i="33"/>
  <c r="V101" i="33" s="1"/>
  <c r="T97" i="33"/>
  <c r="N87" i="33"/>
  <c r="V82" i="33"/>
  <c r="V81" i="33"/>
  <c r="T71" i="33"/>
  <c r="R71" i="33"/>
  <c r="N71" i="33"/>
  <c r="N84" i="33" s="1"/>
  <c r="L71" i="33"/>
  <c r="L84" i="33" s="1"/>
  <c r="V69" i="33"/>
  <c r="P71" i="33"/>
  <c r="R58" i="33"/>
  <c r="R57" i="33"/>
  <c r="V50" i="33"/>
  <c r="L43" i="33"/>
  <c r="F43" i="33"/>
  <c r="P36" i="33"/>
  <c r="N36" i="33"/>
  <c r="L36" i="33"/>
  <c r="J36" i="33"/>
  <c r="H36" i="33"/>
  <c r="F36" i="33"/>
  <c r="D36" i="33"/>
  <c r="P35" i="33"/>
  <c r="N35" i="33"/>
  <c r="L35" i="33"/>
  <c r="J35" i="33"/>
  <c r="H35" i="33"/>
  <c r="F35" i="33"/>
  <c r="D35" i="33"/>
  <c r="V34" i="33"/>
  <c r="S184" i="33" s="1"/>
  <c r="P33" i="33"/>
  <c r="N33" i="33"/>
  <c r="L33" i="33"/>
  <c r="J33" i="33"/>
  <c r="H33" i="33"/>
  <c r="F33" i="33"/>
  <c r="D33" i="33"/>
  <c r="P32" i="33"/>
  <c r="N32" i="33"/>
  <c r="L32" i="33"/>
  <c r="J32" i="33"/>
  <c r="H32" i="33"/>
  <c r="F32" i="33"/>
  <c r="D32" i="33"/>
  <c r="U259" i="33" l="1"/>
  <c r="V35" i="33"/>
  <c r="T101" i="33"/>
  <c r="T131" i="33"/>
  <c r="V139" i="33"/>
  <c r="S221" i="33"/>
  <c r="S270" i="33"/>
  <c r="V36" i="33"/>
  <c r="V167" i="33"/>
  <c r="V43" i="33"/>
  <c r="T208" i="33" s="1"/>
  <c r="T209" i="33" s="1"/>
  <c r="V51" i="33"/>
  <c r="U267" i="33"/>
  <c r="U270" i="33"/>
  <c r="T221" i="33"/>
  <c r="U264" i="33"/>
  <c r="U268" i="33"/>
  <c r="U271" i="33"/>
  <c r="U266" i="33"/>
  <c r="U265" i="33"/>
  <c r="S265" i="33"/>
  <c r="S268" i="33"/>
  <c r="S264" i="33"/>
  <c r="S266" i="33"/>
  <c r="S267" i="33"/>
  <c r="S269" i="33"/>
  <c r="U253" i="33"/>
  <c r="T249" i="33"/>
  <c r="U246" i="33" s="1"/>
  <c r="U255" i="33"/>
  <c r="U254" i="33"/>
  <c r="U252" i="33"/>
  <c r="U257" i="33"/>
  <c r="T287" i="33"/>
  <c r="S257" i="33"/>
  <c r="R287" i="33"/>
  <c r="S258" i="33"/>
  <c r="S253" i="33"/>
  <c r="S255" i="33"/>
  <c r="S252" i="33"/>
  <c r="S254" i="33"/>
  <c r="S256" i="33"/>
  <c r="V196" i="33"/>
  <c r="T210" i="33"/>
  <c r="V194" i="33"/>
  <c r="V192" i="33"/>
  <c r="V119" i="33"/>
  <c r="V131" i="33" s="1"/>
  <c r="V132" i="33" s="1"/>
  <c r="T216" i="33"/>
  <c r="R249" i="33"/>
  <c r="S245" i="33" s="1"/>
  <c r="V68" i="33"/>
  <c r="V71" i="33" s="1"/>
  <c r="U256" i="33"/>
  <c r="T89" i="32"/>
  <c r="T132" i="33" l="1"/>
  <c r="S273" i="33"/>
  <c r="U273" i="33"/>
  <c r="U245" i="33"/>
  <c r="U241" i="33"/>
  <c r="U243" i="33"/>
  <c r="U240" i="33"/>
  <c r="U244" i="33"/>
  <c r="U242" i="33"/>
  <c r="U247" i="33"/>
  <c r="U261" i="33"/>
  <c r="S261" i="33"/>
  <c r="S246" i="33"/>
  <c r="S241" i="33"/>
  <c r="S240" i="33"/>
  <c r="S244" i="33"/>
  <c r="S243" i="33"/>
  <c r="V84" i="33"/>
  <c r="V180" i="33" s="1"/>
  <c r="V179" i="33"/>
  <c r="S242" i="33"/>
  <c r="S247" i="33"/>
  <c r="V107" i="32"/>
  <c r="V105" i="32"/>
  <c r="V91" i="32"/>
  <c r="V90" i="32"/>
  <c r="S186" i="32"/>
  <c r="R68" i="32"/>
  <c r="P68" i="32"/>
  <c r="L44" i="32"/>
  <c r="F44" i="32"/>
  <c r="U249" i="33" l="1"/>
  <c r="S249" i="33"/>
  <c r="V168" i="32"/>
  <c r="U285" i="32" l="1"/>
  <c r="T285" i="32"/>
  <c r="T222" i="32" s="1"/>
  <c r="S285" i="32"/>
  <c r="R285" i="32"/>
  <c r="S222" i="32" s="1"/>
  <c r="T273" i="32"/>
  <c r="U271" i="32" s="1"/>
  <c r="R273" i="32"/>
  <c r="S269" i="32" s="1"/>
  <c r="T261" i="32"/>
  <c r="U258" i="32" s="1"/>
  <c r="R261" i="32"/>
  <c r="S258" i="32" s="1"/>
  <c r="T247" i="32"/>
  <c r="R247" i="32"/>
  <c r="T246" i="32"/>
  <c r="R246" i="32"/>
  <c r="T245" i="32"/>
  <c r="R245" i="32"/>
  <c r="T244" i="32"/>
  <c r="R244" i="32"/>
  <c r="T243" i="32"/>
  <c r="R243" i="32"/>
  <c r="T242" i="32"/>
  <c r="R242" i="32"/>
  <c r="T241" i="32"/>
  <c r="R241" i="32"/>
  <c r="T240" i="32"/>
  <c r="R240" i="32"/>
  <c r="T226" i="32"/>
  <c r="T224" i="32"/>
  <c r="T206" i="32"/>
  <c r="V186" i="32"/>
  <c r="V173" i="32"/>
  <c r="V166" i="32"/>
  <c r="V165" i="32"/>
  <c r="V148" i="32"/>
  <c r="B135" i="32"/>
  <c r="B201" i="32" s="1"/>
  <c r="B297" i="32" s="1"/>
  <c r="T123" i="32"/>
  <c r="T121" i="32"/>
  <c r="T114" i="32"/>
  <c r="A114" i="32"/>
  <c r="A115" i="32" s="1"/>
  <c r="A116" i="32" s="1"/>
  <c r="A117" i="32" s="1"/>
  <c r="A118" i="32" s="1"/>
  <c r="A119" i="32" s="1"/>
  <c r="A104" i="32"/>
  <c r="A105" i="32" s="1"/>
  <c r="T99" i="32"/>
  <c r="T98" i="32"/>
  <c r="T97" i="32"/>
  <c r="V97" i="32"/>
  <c r="V101" i="32" s="1"/>
  <c r="N87" i="32"/>
  <c r="V82" i="32"/>
  <c r="V81" i="32"/>
  <c r="T71" i="32"/>
  <c r="R71" i="32"/>
  <c r="N71" i="32"/>
  <c r="N84" i="32" s="1"/>
  <c r="L71" i="32"/>
  <c r="L84" i="32" s="1"/>
  <c r="V69" i="32"/>
  <c r="P71" i="32"/>
  <c r="R58" i="32"/>
  <c r="R57" i="32"/>
  <c r="V50" i="32"/>
  <c r="L43" i="32"/>
  <c r="F43" i="32"/>
  <c r="P36" i="32"/>
  <c r="N36" i="32"/>
  <c r="L36" i="32"/>
  <c r="J36" i="32"/>
  <c r="H36" i="32"/>
  <c r="F36" i="32"/>
  <c r="D36" i="32"/>
  <c r="P35" i="32"/>
  <c r="N35" i="32"/>
  <c r="L35" i="32"/>
  <c r="J35" i="32"/>
  <c r="H35" i="32"/>
  <c r="F35" i="32"/>
  <c r="D35" i="32"/>
  <c r="V34" i="32"/>
  <c r="S184" i="32" s="1"/>
  <c r="P33" i="32"/>
  <c r="N33" i="32"/>
  <c r="L33" i="32"/>
  <c r="J33" i="32"/>
  <c r="H33" i="32"/>
  <c r="F33" i="32"/>
  <c r="D33" i="32"/>
  <c r="P32" i="32"/>
  <c r="N32" i="32"/>
  <c r="L32" i="32"/>
  <c r="J32" i="32"/>
  <c r="H32" i="32"/>
  <c r="F32" i="32"/>
  <c r="D32" i="32"/>
  <c r="T131" i="32" l="1"/>
  <c r="T101" i="32"/>
  <c r="T287" i="32"/>
  <c r="U264" i="32"/>
  <c r="T221" i="32"/>
  <c r="U265" i="32"/>
  <c r="U268" i="32"/>
  <c r="U269" i="32"/>
  <c r="U266" i="32"/>
  <c r="U270" i="32"/>
  <c r="U267" i="32"/>
  <c r="S270" i="32"/>
  <c r="S268" i="32"/>
  <c r="S221" i="32"/>
  <c r="S264" i="32"/>
  <c r="S266" i="32"/>
  <c r="S265" i="32"/>
  <c r="S271" i="32"/>
  <c r="S267" i="32"/>
  <c r="U253" i="32"/>
  <c r="U256" i="32"/>
  <c r="U257" i="32"/>
  <c r="U252" i="32"/>
  <c r="T249" i="32"/>
  <c r="U245" i="32" s="1"/>
  <c r="U254" i="32"/>
  <c r="U259" i="32"/>
  <c r="U255" i="32"/>
  <c r="S259" i="32"/>
  <c r="S253" i="32"/>
  <c r="S255" i="32"/>
  <c r="S257" i="32"/>
  <c r="R287" i="32"/>
  <c r="S252" i="32"/>
  <c r="S254" i="32"/>
  <c r="S256" i="32"/>
  <c r="V167" i="32"/>
  <c r="V36" i="32"/>
  <c r="V51" i="32"/>
  <c r="V35" i="32"/>
  <c r="V196" i="32"/>
  <c r="V194" i="32"/>
  <c r="T210" i="32"/>
  <c r="V192" i="32"/>
  <c r="V119" i="32"/>
  <c r="V139" i="32"/>
  <c r="T216" i="32"/>
  <c r="R249" i="32"/>
  <c r="S240" i="32" s="1"/>
  <c r="V68" i="32"/>
  <c r="V71" i="32" s="1"/>
  <c r="T89" i="31"/>
  <c r="T132" i="32" l="1"/>
  <c r="U244" i="32"/>
  <c r="V43" i="32"/>
  <c r="T208" i="32" s="1"/>
  <c r="T209" i="32" s="1"/>
  <c r="V131" i="32"/>
  <c r="V132" i="32" s="1"/>
  <c r="S273" i="32"/>
  <c r="U273" i="32"/>
  <c r="U247" i="32"/>
  <c r="U241" i="32"/>
  <c r="U242" i="32"/>
  <c r="U246" i="32"/>
  <c r="U243" i="32"/>
  <c r="U261" i="32"/>
  <c r="U240" i="32"/>
  <c r="S261" i="32"/>
  <c r="S244" i="32"/>
  <c r="S247" i="32"/>
  <c r="S245" i="32"/>
  <c r="S243" i="32"/>
  <c r="S242" i="32"/>
  <c r="S246" i="32"/>
  <c r="V84" i="32"/>
  <c r="V180" i="32" s="1"/>
  <c r="V179" i="32"/>
  <c r="S241" i="32"/>
  <c r="U249" i="32" l="1"/>
  <c r="S249" i="32"/>
  <c r="P68" i="31"/>
  <c r="V107" i="31" l="1"/>
  <c r="V105" i="31"/>
  <c r="V91" i="31"/>
  <c r="V90" i="31"/>
  <c r="S186" i="31"/>
  <c r="R68" i="31"/>
  <c r="L44" i="31"/>
  <c r="F44" i="31"/>
  <c r="U285" i="31" l="1"/>
  <c r="T285" i="31"/>
  <c r="S285" i="31"/>
  <c r="R285" i="31"/>
  <c r="S222" i="31" s="1"/>
  <c r="T273" i="31"/>
  <c r="U271" i="31" s="1"/>
  <c r="R273" i="31"/>
  <c r="S271" i="31" s="1"/>
  <c r="T261" i="31"/>
  <c r="U258" i="31" s="1"/>
  <c r="R261" i="31"/>
  <c r="S256" i="31" s="1"/>
  <c r="T247" i="31"/>
  <c r="R247" i="31"/>
  <c r="T246" i="31"/>
  <c r="R246" i="31"/>
  <c r="T245" i="31"/>
  <c r="R245" i="31"/>
  <c r="T244" i="31"/>
  <c r="R244" i="31"/>
  <c r="T243" i="31"/>
  <c r="R243" i="31"/>
  <c r="T242" i="31"/>
  <c r="R242" i="31"/>
  <c r="T241" i="31"/>
  <c r="R241" i="31"/>
  <c r="T240" i="31"/>
  <c r="R240" i="31"/>
  <c r="T226" i="31"/>
  <c r="T224" i="31"/>
  <c r="T206" i="31"/>
  <c r="V186" i="31"/>
  <c r="V173" i="31"/>
  <c r="V166" i="31"/>
  <c r="V165" i="31"/>
  <c r="V148" i="31"/>
  <c r="B135" i="31"/>
  <c r="B201" i="31" s="1"/>
  <c r="B297" i="31" s="1"/>
  <c r="T123" i="31"/>
  <c r="T121" i="31"/>
  <c r="T114" i="31"/>
  <c r="A114" i="31"/>
  <c r="A115" i="31" s="1"/>
  <c r="A116" i="31" s="1"/>
  <c r="A117" i="31" s="1"/>
  <c r="A118" i="31" s="1"/>
  <c r="A119" i="31" s="1"/>
  <c r="A104" i="31"/>
  <c r="A105" i="31" s="1"/>
  <c r="T99" i="31"/>
  <c r="T98" i="31"/>
  <c r="T97" i="31"/>
  <c r="V97" i="31"/>
  <c r="V101" i="31" s="1"/>
  <c r="N87" i="31"/>
  <c r="V82" i="31"/>
  <c r="V81" i="31"/>
  <c r="T71" i="31"/>
  <c r="R71" i="31"/>
  <c r="N71" i="31"/>
  <c r="N84" i="31" s="1"/>
  <c r="L71" i="31"/>
  <c r="L84" i="31" s="1"/>
  <c r="V69" i="31"/>
  <c r="P71" i="31"/>
  <c r="R58" i="31"/>
  <c r="R57" i="31"/>
  <c r="V50" i="31"/>
  <c r="L43" i="31"/>
  <c r="F43" i="31"/>
  <c r="P36" i="31"/>
  <c r="N36" i="31"/>
  <c r="L36" i="31"/>
  <c r="J36" i="31"/>
  <c r="H36" i="31"/>
  <c r="F36" i="31"/>
  <c r="D36" i="31"/>
  <c r="P35" i="31"/>
  <c r="N35" i="31"/>
  <c r="L35" i="31"/>
  <c r="J35" i="31"/>
  <c r="H35" i="31"/>
  <c r="F35" i="31"/>
  <c r="D35" i="31"/>
  <c r="V34" i="31"/>
  <c r="S184" i="31" s="1"/>
  <c r="P33" i="31"/>
  <c r="N33" i="31"/>
  <c r="L33" i="31"/>
  <c r="J33" i="31"/>
  <c r="H33" i="31"/>
  <c r="F33" i="31"/>
  <c r="D33" i="31"/>
  <c r="P32" i="31"/>
  <c r="N32" i="31"/>
  <c r="L32" i="31"/>
  <c r="J32" i="31"/>
  <c r="H32" i="31"/>
  <c r="F32" i="31"/>
  <c r="D32" i="31"/>
  <c r="S270" i="31" l="1"/>
  <c r="V36" i="31"/>
  <c r="T101" i="31"/>
  <c r="T131" i="31"/>
  <c r="U268" i="31"/>
  <c r="U264" i="31"/>
  <c r="U270" i="31"/>
  <c r="U266" i="31"/>
  <c r="S221" i="31"/>
  <c r="S266" i="31"/>
  <c r="S264" i="31"/>
  <c r="S268" i="31"/>
  <c r="T249" i="31"/>
  <c r="U241" i="31" s="1"/>
  <c r="U252" i="31"/>
  <c r="U259" i="31"/>
  <c r="S253" i="31"/>
  <c r="S257" i="31"/>
  <c r="R287" i="31"/>
  <c r="S254" i="31"/>
  <c r="S258" i="31"/>
  <c r="S252" i="31"/>
  <c r="S255" i="31"/>
  <c r="S259" i="31"/>
  <c r="T287" i="31"/>
  <c r="T221" i="31"/>
  <c r="U253" i="31"/>
  <c r="U255" i="31"/>
  <c r="U257" i="31"/>
  <c r="S265" i="31"/>
  <c r="S267" i="31"/>
  <c r="S269" i="31"/>
  <c r="U265" i="31"/>
  <c r="U267" i="31"/>
  <c r="U269" i="31"/>
  <c r="V35" i="31"/>
  <c r="V43" i="31" s="1"/>
  <c r="T208" i="31" s="1"/>
  <c r="T209" i="31" s="1"/>
  <c r="T222" i="31"/>
  <c r="U254" i="31"/>
  <c r="U256" i="31"/>
  <c r="V167" i="31"/>
  <c r="V51" i="31"/>
  <c r="V196" i="31"/>
  <c r="V194" i="31"/>
  <c r="T210" i="31"/>
  <c r="V192" i="31"/>
  <c r="V119" i="31"/>
  <c r="V139" i="31"/>
  <c r="T216" i="31"/>
  <c r="R249" i="31"/>
  <c r="S240" i="31" s="1"/>
  <c r="V68" i="31"/>
  <c r="V71" i="31" s="1"/>
  <c r="T89" i="30"/>
  <c r="P68" i="30"/>
  <c r="T132" i="31" l="1"/>
  <c r="V131" i="31"/>
  <c r="V132" i="31" s="1"/>
  <c r="U273" i="31"/>
  <c r="U245" i="31"/>
  <c r="U244" i="31"/>
  <c r="U247" i="31"/>
  <c r="U240" i="31"/>
  <c r="U246" i="31"/>
  <c r="U242" i="31"/>
  <c r="U243" i="31"/>
  <c r="S273" i="31"/>
  <c r="U261" i="31"/>
  <c r="S261" i="31"/>
  <c r="S243" i="31"/>
  <c r="S244" i="31"/>
  <c r="S241" i="31"/>
  <c r="S246" i="31"/>
  <c r="V84" i="31"/>
  <c r="V180" i="31" s="1"/>
  <c r="V179" i="31"/>
  <c r="S247" i="31"/>
  <c r="S242" i="31"/>
  <c r="S245" i="31"/>
  <c r="V107" i="30"/>
  <c r="V105" i="30"/>
  <c r="V91" i="30"/>
  <c r="V90" i="30"/>
  <c r="S186" i="30"/>
  <c r="R68" i="30"/>
  <c r="L44" i="30"/>
  <c r="F44" i="30"/>
  <c r="U249" i="31" l="1"/>
  <c r="S249" i="31"/>
  <c r="U285" i="30"/>
  <c r="T285" i="30"/>
  <c r="T222" i="30" s="1"/>
  <c r="S285" i="30"/>
  <c r="R285" i="30"/>
  <c r="S222" i="30" s="1"/>
  <c r="T273" i="30"/>
  <c r="U271" i="30" s="1"/>
  <c r="R273" i="30"/>
  <c r="S221" i="30" s="1"/>
  <c r="T261" i="30"/>
  <c r="U258" i="30" s="1"/>
  <c r="R261" i="30"/>
  <c r="S259" i="30" s="1"/>
  <c r="T247" i="30"/>
  <c r="R247" i="30"/>
  <c r="T246" i="30"/>
  <c r="R246" i="30"/>
  <c r="T245" i="30"/>
  <c r="R245" i="30"/>
  <c r="T244" i="30"/>
  <c r="R244" i="30"/>
  <c r="T243" i="30"/>
  <c r="R243" i="30"/>
  <c r="T242" i="30"/>
  <c r="R242" i="30"/>
  <c r="T241" i="30"/>
  <c r="R241" i="30"/>
  <c r="T240" i="30"/>
  <c r="R240" i="30"/>
  <c r="T226" i="30"/>
  <c r="T224" i="30"/>
  <c r="T206" i="30"/>
  <c r="V186" i="30"/>
  <c r="V173" i="30"/>
  <c r="V166" i="30"/>
  <c r="V165" i="30"/>
  <c r="V148" i="30"/>
  <c r="B135" i="30"/>
  <c r="B201" i="30" s="1"/>
  <c r="B297" i="30" s="1"/>
  <c r="T123" i="30"/>
  <c r="T121" i="30"/>
  <c r="T114" i="30"/>
  <c r="A114" i="30"/>
  <c r="A115" i="30" s="1"/>
  <c r="A116" i="30" s="1"/>
  <c r="A117" i="30" s="1"/>
  <c r="A118" i="30" s="1"/>
  <c r="A119" i="30" s="1"/>
  <c r="A104" i="30"/>
  <c r="A105" i="30" s="1"/>
  <c r="T99" i="30"/>
  <c r="T98" i="30"/>
  <c r="T97" i="30"/>
  <c r="V97" i="30"/>
  <c r="V101" i="30" s="1"/>
  <c r="N87" i="30"/>
  <c r="V82" i="30"/>
  <c r="V81" i="30"/>
  <c r="T71" i="30"/>
  <c r="N71" i="30"/>
  <c r="N84" i="30" s="1"/>
  <c r="L71" i="30"/>
  <c r="L84" i="30" s="1"/>
  <c r="V69" i="30"/>
  <c r="R71" i="30"/>
  <c r="T216" i="30"/>
  <c r="R58" i="30"/>
  <c r="R57" i="30"/>
  <c r="V50" i="30"/>
  <c r="L43" i="30"/>
  <c r="F43" i="30"/>
  <c r="P36" i="30"/>
  <c r="N36" i="30"/>
  <c r="L36" i="30"/>
  <c r="J36" i="30"/>
  <c r="H36" i="30"/>
  <c r="F36" i="30"/>
  <c r="D36" i="30"/>
  <c r="P35" i="30"/>
  <c r="N35" i="30"/>
  <c r="L35" i="30"/>
  <c r="J35" i="30"/>
  <c r="H35" i="30"/>
  <c r="F35" i="30"/>
  <c r="D35" i="30"/>
  <c r="V34" i="30"/>
  <c r="S184" i="30" s="1"/>
  <c r="P33" i="30"/>
  <c r="N33" i="30"/>
  <c r="L33" i="30"/>
  <c r="J33" i="30"/>
  <c r="H33" i="30"/>
  <c r="F33" i="30"/>
  <c r="D33" i="30"/>
  <c r="P32" i="30"/>
  <c r="N32" i="30"/>
  <c r="L32" i="30"/>
  <c r="J32" i="30"/>
  <c r="H32" i="30"/>
  <c r="F32" i="30"/>
  <c r="D32" i="30"/>
  <c r="U264" i="30" l="1"/>
  <c r="S268" i="30"/>
  <c r="U265" i="30"/>
  <c r="T221" i="30"/>
  <c r="U268" i="30"/>
  <c r="U266" i="30"/>
  <c r="U269" i="30"/>
  <c r="U267" i="30"/>
  <c r="U270" i="30"/>
  <c r="S264" i="30"/>
  <c r="T131" i="30"/>
  <c r="V167" i="30"/>
  <c r="S266" i="30"/>
  <c r="V36" i="30"/>
  <c r="U259" i="30"/>
  <c r="S270" i="30"/>
  <c r="V35" i="30"/>
  <c r="V43" i="30" s="1"/>
  <c r="T208" i="30" s="1"/>
  <c r="T209" i="30" s="1"/>
  <c r="T101" i="30"/>
  <c r="S265" i="30"/>
  <c r="S267" i="30"/>
  <c r="S269" i="30"/>
  <c r="S271" i="30"/>
  <c r="T249" i="30"/>
  <c r="U241" i="30" s="1"/>
  <c r="U255" i="30"/>
  <c r="U253" i="30"/>
  <c r="U257" i="30"/>
  <c r="U252" i="30"/>
  <c r="U254" i="30"/>
  <c r="U256" i="30"/>
  <c r="T287" i="30"/>
  <c r="R249" i="30"/>
  <c r="S241" i="30" s="1"/>
  <c r="S252" i="30"/>
  <c r="R287" i="30"/>
  <c r="S253" i="30"/>
  <c r="S254" i="30"/>
  <c r="S255" i="30"/>
  <c r="S256" i="30"/>
  <c r="S257" i="30"/>
  <c r="S258" i="30"/>
  <c r="T132" i="30"/>
  <c r="V51" i="30"/>
  <c r="V196" i="30"/>
  <c r="V192" i="30"/>
  <c r="T210" i="30"/>
  <c r="V194" i="30"/>
  <c r="V119" i="30"/>
  <c r="V131" i="30" s="1"/>
  <c r="V132" i="30" s="1"/>
  <c r="U243" i="30"/>
  <c r="U247" i="30"/>
  <c r="V68" i="30"/>
  <c r="V71" i="30" s="1"/>
  <c r="P71" i="30"/>
  <c r="V139" i="30"/>
  <c r="U240" i="30"/>
  <c r="U273" i="30" l="1"/>
  <c r="U244" i="30"/>
  <c r="S273" i="30"/>
  <c r="U246" i="30"/>
  <c r="U242" i="30"/>
  <c r="U245" i="30"/>
  <c r="S240" i="30"/>
  <c r="S244" i="30"/>
  <c r="S246" i="30"/>
  <c r="S242" i="30"/>
  <c r="S247" i="30"/>
  <c r="S245" i="30"/>
  <c r="S243" i="30"/>
  <c r="U261" i="30"/>
  <c r="S261" i="30"/>
  <c r="V179" i="30"/>
  <c r="V84" i="30"/>
  <c r="V180" i="30" s="1"/>
  <c r="T89" i="29"/>
  <c r="P68" i="29"/>
  <c r="U249" i="30" l="1"/>
  <c r="S249" i="30"/>
  <c r="V107" i="29"/>
  <c r="V105" i="29"/>
  <c r="V91" i="29"/>
  <c r="V90" i="29"/>
  <c r="S186" i="29"/>
  <c r="R68" i="29"/>
  <c r="L44" i="29"/>
  <c r="F44" i="29"/>
  <c r="V168" i="29" l="1"/>
  <c r="U285" i="29" l="1"/>
  <c r="T285" i="29"/>
  <c r="T222" i="29" s="1"/>
  <c r="S285" i="29"/>
  <c r="R285" i="29"/>
  <c r="S222" i="29" s="1"/>
  <c r="T273" i="29"/>
  <c r="T221" i="29" s="1"/>
  <c r="R273" i="29"/>
  <c r="S271" i="29" s="1"/>
  <c r="U268" i="29"/>
  <c r="U266" i="29"/>
  <c r="U264" i="29"/>
  <c r="T261" i="29"/>
  <c r="U258" i="29" s="1"/>
  <c r="R261" i="29"/>
  <c r="S259" i="29" s="1"/>
  <c r="T247" i="29"/>
  <c r="R247" i="29"/>
  <c r="T246" i="29"/>
  <c r="R246" i="29"/>
  <c r="T245" i="29"/>
  <c r="R245" i="29"/>
  <c r="T244" i="29"/>
  <c r="R244" i="29"/>
  <c r="T243" i="29"/>
  <c r="R243" i="29"/>
  <c r="T242" i="29"/>
  <c r="R242" i="29"/>
  <c r="T241" i="29"/>
  <c r="R241" i="29"/>
  <c r="T240" i="29"/>
  <c r="R240" i="29"/>
  <c r="T226" i="29"/>
  <c r="T224" i="29"/>
  <c r="S221" i="29"/>
  <c r="T206" i="29"/>
  <c r="V186" i="29"/>
  <c r="V173" i="29"/>
  <c r="V166" i="29"/>
  <c r="V165" i="29"/>
  <c r="V148" i="29"/>
  <c r="B135" i="29"/>
  <c r="B201" i="29" s="1"/>
  <c r="B297" i="29" s="1"/>
  <c r="T123" i="29"/>
  <c r="T121" i="29"/>
  <c r="T114" i="29"/>
  <c r="A114" i="29"/>
  <c r="A115" i="29" s="1"/>
  <c r="A116" i="29" s="1"/>
  <c r="A117" i="29" s="1"/>
  <c r="A118" i="29" s="1"/>
  <c r="A119" i="29" s="1"/>
  <c r="A104" i="29"/>
  <c r="A105" i="29" s="1"/>
  <c r="T99" i="29"/>
  <c r="T98" i="29"/>
  <c r="T97" i="29"/>
  <c r="V97" i="29"/>
  <c r="V101" i="29" s="1"/>
  <c r="N87" i="29"/>
  <c r="V82" i="29"/>
  <c r="V81" i="29"/>
  <c r="T71" i="29"/>
  <c r="R71" i="29"/>
  <c r="N71" i="29"/>
  <c r="N84" i="29" s="1"/>
  <c r="L71" i="29"/>
  <c r="L84" i="29" s="1"/>
  <c r="V69" i="29"/>
  <c r="T216" i="29"/>
  <c r="R58" i="29"/>
  <c r="R57" i="29"/>
  <c r="V50" i="29"/>
  <c r="L43" i="29"/>
  <c r="F43" i="29"/>
  <c r="P36" i="29"/>
  <c r="N36" i="29"/>
  <c r="L36" i="29"/>
  <c r="J36" i="29"/>
  <c r="H36" i="29"/>
  <c r="F36" i="29"/>
  <c r="D36" i="29"/>
  <c r="P35" i="29"/>
  <c r="N35" i="29"/>
  <c r="L35" i="29"/>
  <c r="J35" i="29"/>
  <c r="H35" i="29"/>
  <c r="F35" i="29"/>
  <c r="D35" i="29"/>
  <c r="V34" i="29"/>
  <c r="S184" i="29" s="1"/>
  <c r="P33" i="29"/>
  <c r="N33" i="29"/>
  <c r="L33" i="29"/>
  <c r="J33" i="29"/>
  <c r="H33" i="29"/>
  <c r="F33" i="29"/>
  <c r="D33" i="29"/>
  <c r="P32" i="29"/>
  <c r="N32" i="29"/>
  <c r="L32" i="29"/>
  <c r="J32" i="29"/>
  <c r="H32" i="29"/>
  <c r="F32" i="29"/>
  <c r="D32" i="29"/>
  <c r="S264" i="29" l="1"/>
  <c r="S265" i="29"/>
  <c r="S268" i="29"/>
  <c r="S269" i="29"/>
  <c r="T101" i="29"/>
  <c r="S266" i="29"/>
  <c r="S267" i="29"/>
  <c r="S270" i="29"/>
  <c r="U259" i="29"/>
  <c r="T249" i="29"/>
  <c r="U242" i="29" s="1"/>
  <c r="T131" i="29"/>
  <c r="T132" i="29" s="1"/>
  <c r="V167" i="29"/>
  <c r="V36" i="29"/>
  <c r="V51" i="29"/>
  <c r="U265" i="29"/>
  <c r="U267" i="29"/>
  <c r="U269" i="29"/>
  <c r="U271" i="29"/>
  <c r="U270" i="29"/>
  <c r="V35" i="29"/>
  <c r="V43" i="29" s="1"/>
  <c r="T208" i="29" s="1"/>
  <c r="T209" i="29" s="1"/>
  <c r="U252" i="29"/>
  <c r="U255" i="29"/>
  <c r="U253" i="29"/>
  <c r="U257" i="29"/>
  <c r="U254" i="29"/>
  <c r="U256" i="29"/>
  <c r="T287" i="29"/>
  <c r="R249" i="29"/>
  <c r="S241" i="29" s="1"/>
  <c r="S252" i="29"/>
  <c r="S253" i="29"/>
  <c r="S254" i="29"/>
  <c r="S255" i="29"/>
  <c r="S256" i="29"/>
  <c r="S257" i="29"/>
  <c r="S258" i="29"/>
  <c r="R287" i="29"/>
  <c r="V196" i="29"/>
  <c r="V192" i="29"/>
  <c r="T210" i="29"/>
  <c r="V194" i="29"/>
  <c r="V119" i="29"/>
  <c r="V131" i="29" s="1"/>
  <c r="V132" i="29" s="1"/>
  <c r="U247" i="29"/>
  <c r="V68" i="29"/>
  <c r="V71" i="29" s="1"/>
  <c r="P71" i="29"/>
  <c r="V139" i="29"/>
  <c r="U240" i="29"/>
  <c r="U243" i="29" l="1"/>
  <c r="S273" i="29"/>
  <c r="U245" i="29"/>
  <c r="U241" i="29"/>
  <c r="U273" i="29"/>
  <c r="U246" i="29"/>
  <c r="U244" i="29"/>
  <c r="S240" i="29"/>
  <c r="S244" i="29"/>
  <c r="S246" i="29"/>
  <c r="S242" i="29"/>
  <c r="S247" i="29"/>
  <c r="S245" i="29"/>
  <c r="S243" i="29"/>
  <c r="U261" i="29"/>
  <c r="S261" i="29"/>
  <c r="V179" i="29"/>
  <c r="V84" i="29"/>
  <c r="V180" i="29" s="1"/>
  <c r="U249" i="29" l="1"/>
  <c r="S249" i="29"/>
  <c r="V107" i="28"/>
  <c r="V105" i="28"/>
  <c r="V91" i="28"/>
  <c r="V90" i="28"/>
  <c r="T89" i="28"/>
  <c r="P68" i="28"/>
  <c r="L44" i="28"/>
  <c r="F44" i="28"/>
  <c r="U285" i="28" l="1"/>
  <c r="T285" i="28"/>
  <c r="T222" i="28" s="1"/>
  <c r="S285" i="28"/>
  <c r="R285" i="28"/>
  <c r="S222" i="28" s="1"/>
  <c r="T273" i="28"/>
  <c r="T221" i="28" s="1"/>
  <c r="R273" i="28"/>
  <c r="S221" i="28" s="1"/>
  <c r="U270" i="28"/>
  <c r="S269" i="28"/>
  <c r="U268" i="28"/>
  <c r="S268" i="28"/>
  <c r="U266" i="28"/>
  <c r="S265" i="28"/>
  <c r="U264" i="28"/>
  <c r="S264" i="28"/>
  <c r="T261" i="28"/>
  <c r="U258" i="28" s="1"/>
  <c r="R261" i="28"/>
  <c r="S259" i="28" s="1"/>
  <c r="T247" i="28"/>
  <c r="R247" i="28"/>
  <c r="T246" i="28"/>
  <c r="R246" i="28"/>
  <c r="T245" i="28"/>
  <c r="R245" i="28"/>
  <c r="T244" i="28"/>
  <c r="R244" i="28"/>
  <c r="T243" i="28"/>
  <c r="R243" i="28"/>
  <c r="T242" i="28"/>
  <c r="R242" i="28"/>
  <c r="T241" i="28"/>
  <c r="R241" i="28"/>
  <c r="T240" i="28"/>
  <c r="R240" i="28"/>
  <c r="T226" i="28"/>
  <c r="T224" i="28"/>
  <c r="T206" i="28"/>
  <c r="V173" i="28"/>
  <c r="V166" i="28"/>
  <c r="V165" i="28"/>
  <c r="V148" i="28"/>
  <c r="B135" i="28"/>
  <c r="B201" i="28" s="1"/>
  <c r="B297" i="28" s="1"/>
  <c r="T123" i="28"/>
  <c r="T121" i="28"/>
  <c r="T114" i="28"/>
  <c r="A114" i="28"/>
  <c r="A115" i="28" s="1"/>
  <c r="A116" i="28" s="1"/>
  <c r="A117" i="28" s="1"/>
  <c r="A118" i="28" s="1"/>
  <c r="A119" i="28" s="1"/>
  <c r="A104" i="28"/>
  <c r="A105" i="28" s="1"/>
  <c r="T99" i="28"/>
  <c r="T98" i="28"/>
  <c r="T97" i="28"/>
  <c r="V97" i="28"/>
  <c r="V101" i="28" s="1"/>
  <c r="V119" i="28" s="1"/>
  <c r="V131" i="28" s="1"/>
  <c r="N87" i="28"/>
  <c r="V82" i="28"/>
  <c r="V81" i="28"/>
  <c r="T71" i="28"/>
  <c r="N71" i="28"/>
  <c r="N84" i="28" s="1"/>
  <c r="L71" i="28"/>
  <c r="L84" i="28" s="1"/>
  <c r="V69" i="28"/>
  <c r="R71" i="28"/>
  <c r="T216" i="28"/>
  <c r="R58" i="28"/>
  <c r="R57" i="28"/>
  <c r="V50" i="28"/>
  <c r="L43" i="28"/>
  <c r="F43" i="28"/>
  <c r="P36" i="28"/>
  <c r="N36" i="28"/>
  <c r="L36" i="28"/>
  <c r="J36" i="28"/>
  <c r="H36" i="28"/>
  <c r="F36" i="28"/>
  <c r="D36" i="28"/>
  <c r="P35" i="28"/>
  <c r="N35" i="28"/>
  <c r="L35" i="28"/>
  <c r="J35" i="28"/>
  <c r="H35" i="28"/>
  <c r="F35" i="28"/>
  <c r="D35" i="28"/>
  <c r="V34" i="28"/>
  <c r="S184" i="28" s="1"/>
  <c r="P33" i="28"/>
  <c r="N33" i="28"/>
  <c r="L33" i="28"/>
  <c r="J33" i="28"/>
  <c r="H33" i="28"/>
  <c r="F33" i="28"/>
  <c r="D33" i="28"/>
  <c r="P32" i="28"/>
  <c r="N32" i="28"/>
  <c r="L32" i="28"/>
  <c r="J32" i="28"/>
  <c r="H32" i="28"/>
  <c r="F32" i="28"/>
  <c r="D32" i="28"/>
  <c r="V35" i="28" l="1"/>
  <c r="V43" i="28" s="1"/>
  <c r="T101" i="28"/>
  <c r="S266" i="28"/>
  <c r="S267" i="28"/>
  <c r="S270" i="28"/>
  <c r="S271" i="28"/>
  <c r="U259" i="28"/>
  <c r="U265" i="28"/>
  <c r="U267" i="28"/>
  <c r="U269" i="28"/>
  <c r="U271" i="28"/>
  <c r="V36" i="28"/>
  <c r="T131" i="28"/>
  <c r="V167" i="28"/>
  <c r="T208" i="28"/>
  <c r="T209" i="28" s="1"/>
  <c r="V51" i="28"/>
  <c r="T249" i="28"/>
  <c r="U244" i="28" s="1"/>
  <c r="U252" i="28"/>
  <c r="U255" i="28"/>
  <c r="U253" i="28"/>
  <c r="U257" i="28"/>
  <c r="U254" i="28"/>
  <c r="U256" i="28"/>
  <c r="T287" i="28"/>
  <c r="R249" i="28"/>
  <c r="S242" i="28" s="1"/>
  <c r="S252" i="28"/>
  <c r="S253" i="28"/>
  <c r="S254" i="28"/>
  <c r="S255" i="28"/>
  <c r="S256" i="28"/>
  <c r="S257" i="28"/>
  <c r="S258" i="28"/>
  <c r="R287" i="28"/>
  <c r="V196" i="28"/>
  <c r="V192" i="28"/>
  <c r="T210" i="28"/>
  <c r="V194" i="28"/>
  <c r="V132" i="28"/>
  <c r="U243" i="28"/>
  <c r="V68" i="28"/>
  <c r="V71" i="28" s="1"/>
  <c r="P71" i="28"/>
  <c r="V139" i="28"/>
  <c r="V186" i="28"/>
  <c r="V107" i="27"/>
  <c r="V105" i="27"/>
  <c r="V91" i="27"/>
  <c r="V90" i="27"/>
  <c r="S186" i="27"/>
  <c r="T89" i="27"/>
  <c r="R68" i="27"/>
  <c r="P68" i="27"/>
  <c r="L44" i="27"/>
  <c r="F44" i="27"/>
  <c r="S273" i="28" l="1"/>
  <c r="T132" i="28"/>
  <c r="U247" i="28"/>
  <c r="U273" i="28"/>
  <c r="U246" i="28"/>
  <c r="U242" i="28"/>
  <c r="U245" i="28"/>
  <c r="U241" i="28"/>
  <c r="U240" i="28"/>
  <c r="S241" i="28"/>
  <c r="S245" i="28"/>
  <c r="S240" i="28"/>
  <c r="S247" i="28"/>
  <c r="S243" i="28"/>
  <c r="S246" i="28"/>
  <c r="S244" i="28"/>
  <c r="U261" i="28"/>
  <c r="S261" i="28"/>
  <c r="V179" i="28"/>
  <c r="V84" i="28"/>
  <c r="V180" i="28" s="1"/>
  <c r="U285" i="27"/>
  <c r="T285" i="27"/>
  <c r="T222" i="27" s="1"/>
  <c r="S285" i="27"/>
  <c r="R285" i="27"/>
  <c r="S222" i="27" s="1"/>
  <c r="T273" i="27"/>
  <c r="U271" i="27" s="1"/>
  <c r="R273" i="27"/>
  <c r="S271" i="27" s="1"/>
  <c r="T261" i="27"/>
  <c r="U259" i="27" s="1"/>
  <c r="R261" i="27"/>
  <c r="S259" i="27" s="1"/>
  <c r="T247" i="27"/>
  <c r="R247" i="27"/>
  <c r="T246" i="27"/>
  <c r="R246" i="27"/>
  <c r="T245" i="27"/>
  <c r="R245" i="27"/>
  <c r="T244" i="27"/>
  <c r="R244" i="27"/>
  <c r="T243" i="27"/>
  <c r="R243" i="27"/>
  <c r="T242" i="27"/>
  <c r="R242" i="27"/>
  <c r="T241" i="27"/>
  <c r="R241" i="27"/>
  <c r="T240" i="27"/>
  <c r="R240" i="27"/>
  <c r="T226" i="27"/>
  <c r="T224" i="27"/>
  <c r="T221" i="27"/>
  <c r="T206" i="27"/>
  <c r="V186" i="27"/>
  <c r="V173" i="27"/>
  <c r="V168" i="27"/>
  <c r="V166" i="27"/>
  <c r="V165" i="27"/>
  <c r="V148" i="27"/>
  <c r="B135" i="27"/>
  <c r="B201" i="27" s="1"/>
  <c r="B297" i="27" s="1"/>
  <c r="T123" i="27"/>
  <c r="T121" i="27"/>
  <c r="T114" i="27"/>
  <c r="A114" i="27"/>
  <c r="A115" i="27" s="1"/>
  <c r="A116" i="27" s="1"/>
  <c r="A117" i="27" s="1"/>
  <c r="A118" i="27" s="1"/>
  <c r="A119" i="27" s="1"/>
  <c r="A104" i="27"/>
  <c r="A105" i="27" s="1"/>
  <c r="T99" i="27"/>
  <c r="T98" i="27"/>
  <c r="T97" i="27"/>
  <c r="V97" i="27"/>
  <c r="V101" i="27" s="1"/>
  <c r="N87" i="27"/>
  <c r="V82" i="27"/>
  <c r="V81" i="27"/>
  <c r="T71" i="27"/>
  <c r="N71" i="27"/>
  <c r="N84" i="27" s="1"/>
  <c r="L71" i="27"/>
  <c r="L84" i="27" s="1"/>
  <c r="V69" i="27"/>
  <c r="R71" i="27"/>
  <c r="T216" i="27"/>
  <c r="R58" i="27"/>
  <c r="R57" i="27"/>
  <c r="V50" i="27"/>
  <c r="L43" i="27"/>
  <c r="F43" i="27"/>
  <c r="P36" i="27"/>
  <c r="N36" i="27"/>
  <c r="L36" i="27"/>
  <c r="J36" i="27"/>
  <c r="H36" i="27"/>
  <c r="F36" i="27"/>
  <c r="D36" i="27"/>
  <c r="P35" i="27"/>
  <c r="N35" i="27"/>
  <c r="L35" i="27"/>
  <c r="J35" i="27"/>
  <c r="H35" i="27"/>
  <c r="F35" i="27"/>
  <c r="D35" i="27"/>
  <c r="V34" i="27"/>
  <c r="S184" i="27" s="1"/>
  <c r="P33" i="27"/>
  <c r="N33" i="27"/>
  <c r="L33" i="27"/>
  <c r="J33" i="27"/>
  <c r="H33" i="27"/>
  <c r="F33" i="27"/>
  <c r="D33" i="27"/>
  <c r="P32" i="27"/>
  <c r="N32" i="27"/>
  <c r="L32" i="27"/>
  <c r="J32" i="27"/>
  <c r="H32" i="27"/>
  <c r="F32" i="27"/>
  <c r="D32" i="27"/>
  <c r="S254" i="27" l="1"/>
  <c r="S252" i="27"/>
  <c r="S257" i="27"/>
  <c r="S221" i="27"/>
  <c r="S264" i="27"/>
  <c r="S253" i="27"/>
  <c r="S255" i="27"/>
  <c r="S258" i="27"/>
  <c r="U249" i="28"/>
  <c r="V35" i="27"/>
  <c r="T101" i="27"/>
  <c r="S256" i="27"/>
  <c r="S268" i="27"/>
  <c r="S265" i="27"/>
  <c r="S269" i="27"/>
  <c r="S266" i="27"/>
  <c r="S270" i="27"/>
  <c r="V36" i="27"/>
  <c r="T131" i="27"/>
  <c r="V167" i="27"/>
  <c r="S267" i="27"/>
  <c r="S249" i="28"/>
  <c r="U264" i="27"/>
  <c r="V43" i="27"/>
  <c r="T208" i="27" s="1"/>
  <c r="T209" i="27" s="1"/>
  <c r="V51" i="27"/>
  <c r="U265" i="27"/>
  <c r="U266" i="27"/>
  <c r="U267" i="27"/>
  <c r="U268" i="27"/>
  <c r="U269" i="27"/>
  <c r="U270" i="27"/>
  <c r="U252" i="27"/>
  <c r="U253" i="27"/>
  <c r="U254" i="27"/>
  <c r="U255" i="27"/>
  <c r="U256" i="27"/>
  <c r="U257" i="27"/>
  <c r="U258" i="27"/>
  <c r="T249" i="27"/>
  <c r="U241" i="27" s="1"/>
  <c r="T287" i="27"/>
  <c r="R249" i="27"/>
  <c r="S241" i="27" s="1"/>
  <c r="R287" i="27"/>
  <c r="S245" i="27"/>
  <c r="V196" i="27"/>
  <c r="V192" i="27"/>
  <c r="T210" i="27"/>
  <c r="V194" i="27"/>
  <c r="V119" i="27"/>
  <c r="V131" i="27" s="1"/>
  <c r="V132" i="27" s="1"/>
  <c r="V68" i="27"/>
  <c r="V71" i="27" s="1"/>
  <c r="P71" i="27"/>
  <c r="V139" i="27"/>
  <c r="T89" i="26"/>
  <c r="P68" i="26"/>
  <c r="S261" i="27" l="1"/>
  <c r="T132" i="27"/>
  <c r="S240" i="27"/>
  <c r="S247" i="27"/>
  <c r="S273" i="27"/>
  <c r="U273" i="27"/>
  <c r="U246" i="27"/>
  <c r="S243" i="27"/>
  <c r="S246" i="27"/>
  <c r="S244" i="27"/>
  <c r="S242" i="27"/>
  <c r="U244" i="27"/>
  <c r="U261" i="27"/>
  <c r="U242" i="27"/>
  <c r="U240" i="27"/>
  <c r="U247" i="27"/>
  <c r="U245" i="27"/>
  <c r="U243" i="27"/>
  <c r="V179" i="27"/>
  <c r="V84" i="27"/>
  <c r="V180" i="27" s="1"/>
  <c r="S249" i="27" l="1"/>
  <c r="U249" i="27"/>
  <c r="V107" i="26"/>
  <c r="V105" i="26"/>
  <c r="V91" i="26"/>
  <c r="V90" i="26"/>
  <c r="S186" i="26"/>
  <c r="R68" i="26"/>
  <c r="L44" i="26"/>
  <c r="F44" i="26"/>
  <c r="V168" i="26" l="1"/>
  <c r="U285" i="26" l="1"/>
  <c r="T285" i="26"/>
  <c r="T222" i="26" s="1"/>
  <c r="S285" i="26"/>
  <c r="R285" i="26"/>
  <c r="S222" i="26" s="1"/>
  <c r="T273" i="26"/>
  <c r="U271" i="26" s="1"/>
  <c r="R273" i="26"/>
  <c r="S221" i="26" s="1"/>
  <c r="U270" i="26"/>
  <c r="S270" i="26"/>
  <c r="U268" i="26"/>
  <c r="U267" i="26"/>
  <c r="U266" i="26"/>
  <c r="U265" i="26"/>
  <c r="U264" i="26"/>
  <c r="T261" i="26"/>
  <c r="U258" i="26" s="1"/>
  <c r="R261" i="26"/>
  <c r="S259" i="26" s="1"/>
  <c r="T247" i="26"/>
  <c r="R247" i="26"/>
  <c r="T246" i="26"/>
  <c r="R246" i="26"/>
  <c r="T245" i="26"/>
  <c r="R245" i="26"/>
  <c r="T244" i="26"/>
  <c r="R244" i="26"/>
  <c r="T243" i="26"/>
  <c r="R243" i="26"/>
  <c r="T242" i="26"/>
  <c r="R242" i="26"/>
  <c r="T241" i="26"/>
  <c r="R241" i="26"/>
  <c r="T240" i="26"/>
  <c r="R240" i="26"/>
  <c r="T226" i="26"/>
  <c r="T224" i="26"/>
  <c r="T221" i="26"/>
  <c r="T206" i="26"/>
  <c r="V186" i="26"/>
  <c r="V173" i="26"/>
  <c r="V166" i="26"/>
  <c r="V165" i="26"/>
  <c r="V148" i="26"/>
  <c r="B135" i="26"/>
  <c r="B201" i="26" s="1"/>
  <c r="B297" i="26" s="1"/>
  <c r="T123" i="26"/>
  <c r="T121" i="26"/>
  <c r="T114" i="26"/>
  <c r="A114" i="26"/>
  <c r="A115" i="26" s="1"/>
  <c r="A116" i="26" s="1"/>
  <c r="A117" i="26" s="1"/>
  <c r="A118" i="26" s="1"/>
  <c r="A119" i="26" s="1"/>
  <c r="A104" i="26"/>
  <c r="A105" i="26" s="1"/>
  <c r="T99" i="26"/>
  <c r="T98" i="26"/>
  <c r="T97" i="26"/>
  <c r="V97" i="26"/>
  <c r="V101" i="26" s="1"/>
  <c r="N87" i="26"/>
  <c r="V82" i="26"/>
  <c r="V81" i="26"/>
  <c r="T71" i="26"/>
  <c r="N71" i="26"/>
  <c r="N84" i="26" s="1"/>
  <c r="L71" i="26"/>
  <c r="L84" i="26" s="1"/>
  <c r="V69" i="26"/>
  <c r="R71" i="26"/>
  <c r="T216" i="26"/>
  <c r="R58" i="26"/>
  <c r="R57" i="26"/>
  <c r="V50" i="26"/>
  <c r="L43" i="26"/>
  <c r="F43" i="26"/>
  <c r="P36" i="26"/>
  <c r="N36" i="26"/>
  <c r="L36" i="26"/>
  <c r="J36" i="26"/>
  <c r="H36" i="26"/>
  <c r="F36" i="26"/>
  <c r="D36" i="26"/>
  <c r="P35" i="26"/>
  <c r="N35" i="26"/>
  <c r="L35" i="26"/>
  <c r="J35" i="26"/>
  <c r="H35" i="26"/>
  <c r="F35" i="26"/>
  <c r="D35" i="26"/>
  <c r="V34" i="26"/>
  <c r="S184" i="26" s="1"/>
  <c r="P33" i="26"/>
  <c r="N33" i="26"/>
  <c r="L33" i="26"/>
  <c r="J33" i="26"/>
  <c r="H33" i="26"/>
  <c r="F33" i="26"/>
  <c r="D33" i="26"/>
  <c r="P32" i="26"/>
  <c r="N32" i="26"/>
  <c r="L32" i="26"/>
  <c r="J32" i="26"/>
  <c r="H32" i="26"/>
  <c r="F32" i="26"/>
  <c r="D32" i="26"/>
  <c r="S268" i="26" l="1"/>
  <c r="S264" i="26"/>
  <c r="S266" i="26"/>
  <c r="U259" i="26"/>
  <c r="T101" i="26"/>
  <c r="V35" i="26"/>
  <c r="V43" i="26" s="1"/>
  <c r="T208" i="26" s="1"/>
  <c r="T209" i="26" s="1"/>
  <c r="T249" i="26"/>
  <c r="S265" i="26"/>
  <c r="S267" i="26"/>
  <c r="S269" i="26"/>
  <c r="S271" i="26"/>
  <c r="V36" i="26"/>
  <c r="T131" i="26"/>
  <c r="T132" i="26" s="1"/>
  <c r="V167" i="26"/>
  <c r="U269" i="26"/>
  <c r="U273" i="26" s="1"/>
  <c r="V51" i="26"/>
  <c r="U255" i="26"/>
  <c r="U253" i="26"/>
  <c r="U257" i="26"/>
  <c r="U252" i="26"/>
  <c r="U254" i="26"/>
  <c r="U256" i="26"/>
  <c r="T287" i="26"/>
  <c r="R249" i="26"/>
  <c r="S245" i="26" s="1"/>
  <c r="S252" i="26"/>
  <c r="S253" i="26"/>
  <c r="S254" i="26"/>
  <c r="S255" i="26"/>
  <c r="S256" i="26"/>
  <c r="S257" i="26"/>
  <c r="S258" i="26"/>
  <c r="R287" i="26"/>
  <c r="V196" i="26"/>
  <c r="V192" i="26"/>
  <c r="V119" i="26"/>
  <c r="V131" i="26" s="1"/>
  <c r="V132" i="26" s="1"/>
  <c r="T210" i="26"/>
  <c r="V194" i="26"/>
  <c r="U246" i="26"/>
  <c r="V68" i="26"/>
  <c r="V71" i="26" s="1"/>
  <c r="P71" i="26"/>
  <c r="V139" i="26"/>
  <c r="V107" i="25"/>
  <c r="V105" i="25"/>
  <c r="V91" i="25"/>
  <c r="V90" i="25"/>
  <c r="S186" i="25"/>
  <c r="V186" i="25" s="1"/>
  <c r="T89" i="25"/>
  <c r="T97" i="25" s="1"/>
  <c r="R68" i="25"/>
  <c r="R71" i="25" s="1"/>
  <c r="P68" i="25"/>
  <c r="L44" i="25"/>
  <c r="F44" i="25"/>
  <c r="U285" i="25"/>
  <c r="T285" i="25"/>
  <c r="S285" i="25"/>
  <c r="R285" i="25"/>
  <c r="T273" i="25"/>
  <c r="R273" i="25"/>
  <c r="T261" i="25"/>
  <c r="U257" i="25" s="1"/>
  <c r="R261" i="25"/>
  <c r="T247" i="25"/>
  <c r="R247" i="25"/>
  <c r="T246" i="25"/>
  <c r="R246" i="25"/>
  <c r="T245" i="25"/>
  <c r="R245" i="25"/>
  <c r="T244" i="25"/>
  <c r="R244" i="25"/>
  <c r="T243" i="25"/>
  <c r="R243" i="25"/>
  <c r="T242" i="25"/>
  <c r="R242" i="25"/>
  <c r="T241" i="25"/>
  <c r="R241" i="25"/>
  <c r="T240" i="25"/>
  <c r="R240" i="25"/>
  <c r="T226" i="25"/>
  <c r="T224" i="25"/>
  <c r="T206" i="25"/>
  <c r="V173" i="25"/>
  <c r="V166" i="25"/>
  <c r="V165" i="25"/>
  <c r="V148" i="25"/>
  <c r="B135" i="25"/>
  <c r="B201" i="25" s="1"/>
  <c r="B297" i="25" s="1"/>
  <c r="T121" i="25"/>
  <c r="T114" i="25"/>
  <c r="A114" i="25"/>
  <c r="A115" i="25" s="1"/>
  <c r="A116" i="25" s="1"/>
  <c r="A117" i="25" s="1"/>
  <c r="A118" i="25" s="1"/>
  <c r="A119" i="25" s="1"/>
  <c r="A104" i="25"/>
  <c r="A105" i="25" s="1"/>
  <c r="T99" i="25"/>
  <c r="T98" i="25"/>
  <c r="N87" i="25"/>
  <c r="V82" i="25"/>
  <c r="V81" i="25"/>
  <c r="T71" i="25"/>
  <c r="N71" i="25"/>
  <c r="N84" i="25" s="1"/>
  <c r="L71" i="25"/>
  <c r="L84" i="25" s="1"/>
  <c r="V69" i="25"/>
  <c r="R58" i="25"/>
  <c r="R57" i="25"/>
  <c r="V50" i="25"/>
  <c r="L43" i="25"/>
  <c r="F43" i="25"/>
  <c r="P36" i="25"/>
  <c r="N36" i="25"/>
  <c r="L36" i="25"/>
  <c r="J36" i="25"/>
  <c r="H36" i="25"/>
  <c r="F36" i="25"/>
  <c r="D36" i="25"/>
  <c r="P35" i="25"/>
  <c r="N35" i="25"/>
  <c r="L35" i="25"/>
  <c r="J35" i="25"/>
  <c r="H35" i="25"/>
  <c r="F35" i="25"/>
  <c r="D35" i="25"/>
  <c r="V34" i="25"/>
  <c r="S184" i="25" s="1"/>
  <c r="P33" i="25"/>
  <c r="N33" i="25"/>
  <c r="L33" i="25"/>
  <c r="J33" i="25"/>
  <c r="H33" i="25"/>
  <c r="F33" i="25"/>
  <c r="D33" i="25"/>
  <c r="P32" i="25"/>
  <c r="N32" i="25"/>
  <c r="L32" i="25"/>
  <c r="J32" i="25"/>
  <c r="H32" i="25"/>
  <c r="F32" i="25"/>
  <c r="D32" i="25"/>
  <c r="T89" i="24"/>
  <c r="T97" i="24" s="1"/>
  <c r="P68" i="24"/>
  <c r="T216" i="24" s="1"/>
  <c r="V105" i="24"/>
  <c r="V107" i="24"/>
  <c r="V91" i="24"/>
  <c r="V90" i="24"/>
  <c r="S186" i="24"/>
  <c r="R68" i="24"/>
  <c r="R71" i="24" s="1"/>
  <c r="L44" i="24"/>
  <c r="F44" i="24"/>
  <c r="V168" i="24"/>
  <c r="U285" i="24"/>
  <c r="T285" i="24"/>
  <c r="T222" i="24" s="1"/>
  <c r="S285" i="24"/>
  <c r="R285" i="24"/>
  <c r="S222" i="24" s="1"/>
  <c r="T273" i="24"/>
  <c r="U267" i="24" s="1"/>
  <c r="R273" i="24"/>
  <c r="S270" i="24" s="1"/>
  <c r="U271" i="24"/>
  <c r="T261" i="24"/>
  <c r="U254" i="24" s="1"/>
  <c r="R261" i="24"/>
  <c r="S255" i="24" s="1"/>
  <c r="T247" i="24"/>
  <c r="R247" i="24"/>
  <c r="T246" i="24"/>
  <c r="R246" i="24"/>
  <c r="T245" i="24"/>
  <c r="R245" i="24"/>
  <c r="T244" i="24"/>
  <c r="R244" i="24"/>
  <c r="T243" i="24"/>
  <c r="R243" i="24"/>
  <c r="T242" i="24"/>
  <c r="R242" i="24"/>
  <c r="T241" i="24"/>
  <c r="R241" i="24"/>
  <c r="T240" i="24"/>
  <c r="R240" i="24"/>
  <c r="T226" i="24"/>
  <c r="T224" i="24"/>
  <c r="T206" i="24"/>
  <c r="V173" i="24"/>
  <c r="V166" i="24"/>
  <c r="V165" i="24"/>
  <c r="V148" i="24"/>
  <c r="B135" i="24"/>
  <c r="B201" i="24" s="1"/>
  <c r="B297" i="24" s="1"/>
  <c r="T121" i="24"/>
  <c r="T114" i="24"/>
  <c r="A114" i="24"/>
  <c r="A115" i="24" s="1"/>
  <c r="A116" i="24" s="1"/>
  <c r="A117" i="24" s="1"/>
  <c r="A118" i="24" s="1"/>
  <c r="A119" i="24" s="1"/>
  <c r="A104" i="24"/>
  <c r="A105" i="24" s="1"/>
  <c r="T99" i="24"/>
  <c r="T98" i="24"/>
  <c r="N87" i="24"/>
  <c r="V82" i="24"/>
  <c r="V81" i="24"/>
  <c r="T71" i="24"/>
  <c r="N71" i="24"/>
  <c r="N84" i="24" s="1"/>
  <c r="L71" i="24"/>
  <c r="L84" i="24" s="1"/>
  <c r="V69" i="24"/>
  <c r="R58" i="24"/>
  <c r="R57" i="24"/>
  <c r="V50" i="24"/>
  <c r="L43" i="24"/>
  <c r="F43" i="24"/>
  <c r="P36" i="24"/>
  <c r="N36" i="24"/>
  <c r="L36" i="24"/>
  <c r="J36" i="24"/>
  <c r="H36" i="24"/>
  <c r="F36" i="24"/>
  <c r="D36" i="24"/>
  <c r="P35" i="24"/>
  <c r="N35" i="24"/>
  <c r="L35" i="24"/>
  <c r="J35" i="24"/>
  <c r="H35" i="24"/>
  <c r="F35" i="24"/>
  <c r="D35" i="24"/>
  <c r="V34" i="24"/>
  <c r="S184" i="24" s="1"/>
  <c r="P33" i="24"/>
  <c r="N33" i="24"/>
  <c r="L33" i="24"/>
  <c r="J33" i="24"/>
  <c r="H33" i="24"/>
  <c r="F33" i="24"/>
  <c r="D33" i="24"/>
  <c r="P32" i="24"/>
  <c r="N32" i="24"/>
  <c r="L32" i="24"/>
  <c r="J32" i="24"/>
  <c r="H32" i="24"/>
  <c r="F32" i="24"/>
  <c r="D32" i="24"/>
  <c r="V107" i="23"/>
  <c r="V105" i="23"/>
  <c r="V91" i="23"/>
  <c r="V90" i="23"/>
  <c r="T89" i="23"/>
  <c r="T97" i="23" s="1"/>
  <c r="P68" i="23"/>
  <c r="P71" i="23" s="1"/>
  <c r="L44" i="23"/>
  <c r="F44" i="23"/>
  <c r="T285" i="23"/>
  <c r="R285" i="23"/>
  <c r="S285" i="23"/>
  <c r="T273" i="23"/>
  <c r="U267" i="23" s="1"/>
  <c r="R273" i="23"/>
  <c r="T261" i="23"/>
  <c r="U259" i="23" s="1"/>
  <c r="R261" i="23"/>
  <c r="S254" i="23" s="1"/>
  <c r="T247" i="23"/>
  <c r="R247" i="23"/>
  <c r="T246" i="23"/>
  <c r="R246" i="23"/>
  <c r="T245" i="23"/>
  <c r="R245" i="23"/>
  <c r="T244" i="23"/>
  <c r="R244" i="23"/>
  <c r="T243" i="23"/>
  <c r="R243" i="23"/>
  <c r="T242" i="23"/>
  <c r="R242" i="23"/>
  <c r="T241" i="23"/>
  <c r="R241" i="23"/>
  <c r="T240" i="23"/>
  <c r="R240" i="23"/>
  <c r="T226" i="23"/>
  <c r="T224" i="23"/>
  <c r="S222" i="23"/>
  <c r="T206" i="23"/>
  <c r="V186" i="23"/>
  <c r="V173" i="23"/>
  <c r="V166" i="23"/>
  <c r="V165" i="23"/>
  <c r="V148" i="23"/>
  <c r="B135" i="23"/>
  <c r="B201" i="23" s="1"/>
  <c r="B297" i="23" s="1"/>
  <c r="T123" i="23"/>
  <c r="T121" i="23"/>
  <c r="T114" i="23"/>
  <c r="A114" i="23"/>
  <c r="A115" i="23" s="1"/>
  <c r="A116" i="23" s="1"/>
  <c r="A117" i="23" s="1"/>
  <c r="A118" i="23" s="1"/>
  <c r="A119" i="23" s="1"/>
  <c r="A104" i="23"/>
  <c r="A105" i="23" s="1"/>
  <c r="T99" i="23"/>
  <c r="T98" i="23"/>
  <c r="N87" i="23"/>
  <c r="V82" i="23"/>
  <c r="V81" i="23"/>
  <c r="T71" i="23"/>
  <c r="R71" i="23"/>
  <c r="N71" i="23"/>
  <c r="N84" i="23" s="1"/>
  <c r="L71" i="23"/>
  <c r="L84" i="23" s="1"/>
  <c r="V69" i="23"/>
  <c r="R58" i="23"/>
  <c r="R57" i="23"/>
  <c r="V50" i="23"/>
  <c r="L43" i="23"/>
  <c r="F43" i="23"/>
  <c r="P36" i="23"/>
  <c r="N36" i="23"/>
  <c r="L36" i="23"/>
  <c r="J36" i="23"/>
  <c r="H36" i="23"/>
  <c r="F36" i="23"/>
  <c r="V36" i="23" s="1"/>
  <c r="D36" i="23"/>
  <c r="P35" i="23"/>
  <c r="N35" i="23"/>
  <c r="L35" i="23"/>
  <c r="J35" i="23"/>
  <c r="H35" i="23"/>
  <c r="F35" i="23"/>
  <c r="D35" i="23"/>
  <c r="V34" i="23"/>
  <c r="V139" i="23" s="1"/>
  <c r="P33" i="23"/>
  <c r="N33" i="23"/>
  <c r="L33" i="23"/>
  <c r="J33" i="23"/>
  <c r="H33" i="23"/>
  <c r="F33" i="23"/>
  <c r="D33" i="23"/>
  <c r="P32" i="23"/>
  <c r="N32" i="23"/>
  <c r="L32" i="23"/>
  <c r="J32" i="23"/>
  <c r="H32" i="23"/>
  <c r="F32" i="23"/>
  <c r="D32" i="23"/>
  <c r="V168" i="22"/>
  <c r="V107" i="22"/>
  <c r="V105" i="22"/>
  <c r="V91" i="22"/>
  <c r="V90" i="22"/>
  <c r="T89" i="22"/>
  <c r="T97" i="22" s="1"/>
  <c r="P68" i="22"/>
  <c r="T216" i="22" s="1"/>
  <c r="L44" i="22"/>
  <c r="F44" i="22"/>
  <c r="B135" i="22"/>
  <c r="B201" i="22" s="1"/>
  <c r="B297" i="22" s="1"/>
  <c r="T285" i="22"/>
  <c r="T222" i="22" s="1"/>
  <c r="T273" i="22"/>
  <c r="U269" i="22" s="1"/>
  <c r="T261" i="22"/>
  <c r="U259" i="22" s="1"/>
  <c r="R285" i="22"/>
  <c r="R273" i="22"/>
  <c r="S264" i="22" s="1"/>
  <c r="R261" i="22"/>
  <c r="S253" i="22" s="1"/>
  <c r="T240" i="22"/>
  <c r="T241" i="22"/>
  <c r="T242" i="22"/>
  <c r="T243" i="22"/>
  <c r="T249" i="22" s="1"/>
  <c r="U243" i="22" s="1"/>
  <c r="T244" i="22"/>
  <c r="T245" i="22"/>
  <c r="T246" i="22"/>
  <c r="T247" i="22"/>
  <c r="R240" i="22"/>
  <c r="R241" i="22"/>
  <c r="R242" i="22"/>
  <c r="R243" i="22"/>
  <c r="R244" i="22"/>
  <c r="R245" i="22"/>
  <c r="R246" i="22"/>
  <c r="R247" i="22"/>
  <c r="T226" i="22"/>
  <c r="T224" i="22"/>
  <c r="N71" i="22"/>
  <c r="F43" i="22"/>
  <c r="L43" i="22"/>
  <c r="D35" i="22"/>
  <c r="F35" i="22"/>
  <c r="H35" i="22"/>
  <c r="J35" i="22"/>
  <c r="L35" i="22"/>
  <c r="N35" i="22"/>
  <c r="P35" i="22"/>
  <c r="T206" i="22"/>
  <c r="V34" i="22"/>
  <c r="S184" i="22" s="1"/>
  <c r="V186" i="22"/>
  <c r="V69" i="22"/>
  <c r="V81" i="22"/>
  <c r="V82" i="22"/>
  <c r="V173" i="22"/>
  <c r="V165" i="22"/>
  <c r="V166" i="22"/>
  <c r="V148" i="22"/>
  <c r="T99" i="22"/>
  <c r="T98" i="22"/>
  <c r="T121" i="22"/>
  <c r="T123" i="22"/>
  <c r="T114" i="22"/>
  <c r="A114" i="22"/>
  <c r="A115" i="22" s="1"/>
  <c r="A116" i="22" s="1"/>
  <c r="A117" i="22" s="1"/>
  <c r="A118" i="22" s="1"/>
  <c r="A119" i="22" s="1"/>
  <c r="A104" i="22"/>
  <c r="A105" i="22" s="1"/>
  <c r="N87" i="22"/>
  <c r="L71" i="22"/>
  <c r="L84" i="22" s="1"/>
  <c r="T71" i="22"/>
  <c r="R71" i="22"/>
  <c r="R58" i="22"/>
  <c r="R57" i="22"/>
  <c r="L36" i="22"/>
  <c r="N36" i="22"/>
  <c r="P36" i="22"/>
  <c r="D36" i="22"/>
  <c r="V36" i="22" s="1"/>
  <c r="F36" i="22"/>
  <c r="H36" i="22"/>
  <c r="J36" i="22"/>
  <c r="V50" i="22"/>
  <c r="P33" i="22"/>
  <c r="N33" i="22"/>
  <c r="L33" i="22"/>
  <c r="J33" i="22"/>
  <c r="H33" i="22"/>
  <c r="F33" i="22"/>
  <c r="D33" i="22"/>
  <c r="P32" i="22"/>
  <c r="N32" i="22"/>
  <c r="L32" i="22"/>
  <c r="J32" i="22"/>
  <c r="H32" i="22"/>
  <c r="F32" i="22"/>
  <c r="D32" i="22"/>
  <c r="V107" i="21"/>
  <c r="V105" i="21"/>
  <c r="V91" i="21"/>
  <c r="V90" i="21"/>
  <c r="T89" i="21"/>
  <c r="T97" i="21" s="1"/>
  <c r="P68" i="21"/>
  <c r="L44" i="21"/>
  <c r="F44" i="21"/>
  <c r="T284" i="21"/>
  <c r="T221" i="21" s="1"/>
  <c r="R284" i="21"/>
  <c r="T272" i="21"/>
  <c r="U270" i="21" s="1"/>
  <c r="R272" i="21"/>
  <c r="S220" i="21" s="1"/>
  <c r="T260" i="21"/>
  <c r="R260" i="21"/>
  <c r="S252" i="21" s="1"/>
  <c r="T246" i="21"/>
  <c r="R246" i="21"/>
  <c r="T245" i="21"/>
  <c r="R245" i="21"/>
  <c r="T244" i="21"/>
  <c r="R244" i="21"/>
  <c r="T243" i="21"/>
  <c r="R243" i="21"/>
  <c r="T242" i="21"/>
  <c r="R242" i="21"/>
  <c r="T241" i="21"/>
  <c r="R241" i="21"/>
  <c r="T240" i="21"/>
  <c r="R240" i="21"/>
  <c r="T239" i="21"/>
  <c r="R239" i="21"/>
  <c r="T225" i="21"/>
  <c r="T223" i="21"/>
  <c r="T205" i="21"/>
  <c r="V185" i="21"/>
  <c r="V172" i="21"/>
  <c r="V165" i="21"/>
  <c r="V164" i="21"/>
  <c r="V147" i="21"/>
  <c r="B134" i="21"/>
  <c r="B200" i="21" s="1"/>
  <c r="B296" i="21" s="1"/>
  <c r="T122" i="21"/>
  <c r="T120" i="21"/>
  <c r="T113" i="21"/>
  <c r="A113" i="21"/>
  <c r="A114" i="21" s="1"/>
  <c r="A115" i="21" s="1"/>
  <c r="A116" i="21" s="1"/>
  <c r="A117" i="21" s="1"/>
  <c r="A118" i="21" s="1"/>
  <c r="A104" i="21"/>
  <c r="A105" i="21" s="1"/>
  <c r="T99" i="21"/>
  <c r="T98" i="21"/>
  <c r="N87" i="21"/>
  <c r="V82" i="21"/>
  <c r="V81" i="21"/>
  <c r="T71" i="21"/>
  <c r="R71" i="21"/>
  <c r="N71" i="21"/>
  <c r="N84" i="21" s="1"/>
  <c r="L71" i="21"/>
  <c r="L84" i="21" s="1"/>
  <c r="V69" i="21"/>
  <c r="R58" i="21"/>
  <c r="R57" i="21"/>
  <c r="V50" i="21"/>
  <c r="L43" i="21"/>
  <c r="F43" i="21"/>
  <c r="P36" i="21"/>
  <c r="N36" i="21"/>
  <c r="L36" i="21"/>
  <c r="J36" i="21"/>
  <c r="H36" i="21"/>
  <c r="F36" i="21"/>
  <c r="D36" i="21"/>
  <c r="P35" i="21"/>
  <c r="N35" i="21"/>
  <c r="L35" i="21"/>
  <c r="J35" i="21"/>
  <c r="H35" i="21"/>
  <c r="F35" i="21"/>
  <c r="D35" i="21"/>
  <c r="V34" i="21"/>
  <c r="S183" i="21" s="1"/>
  <c r="P33" i="21"/>
  <c r="N33" i="21"/>
  <c r="L33" i="21"/>
  <c r="J33" i="21"/>
  <c r="H33" i="21"/>
  <c r="F33" i="21"/>
  <c r="D33" i="21"/>
  <c r="P32" i="21"/>
  <c r="N32" i="21"/>
  <c r="L32" i="21"/>
  <c r="J32" i="21"/>
  <c r="H32" i="21"/>
  <c r="F32" i="21"/>
  <c r="D32" i="21"/>
  <c r="V107" i="20"/>
  <c r="V105" i="20"/>
  <c r="V91" i="20"/>
  <c r="V90" i="20"/>
  <c r="T89" i="20"/>
  <c r="T97" i="20" s="1"/>
  <c r="P68" i="20"/>
  <c r="V68" i="20" s="1"/>
  <c r="L44" i="20"/>
  <c r="F44" i="20"/>
  <c r="T284" i="20"/>
  <c r="U282" i="20" s="1"/>
  <c r="U284" i="20" s="1"/>
  <c r="R284" i="20"/>
  <c r="T272" i="20"/>
  <c r="U268" i="20" s="1"/>
  <c r="R272" i="20"/>
  <c r="S267" i="20" s="1"/>
  <c r="T260" i="20"/>
  <c r="U256" i="20" s="1"/>
  <c r="R260" i="20"/>
  <c r="S254" i="20" s="1"/>
  <c r="T246" i="20"/>
  <c r="R246" i="20"/>
  <c r="T245" i="20"/>
  <c r="R245" i="20"/>
  <c r="T244" i="20"/>
  <c r="R244" i="20"/>
  <c r="T243" i="20"/>
  <c r="R243" i="20"/>
  <c r="T242" i="20"/>
  <c r="R242" i="20"/>
  <c r="T241" i="20"/>
  <c r="R241" i="20"/>
  <c r="T240" i="20"/>
  <c r="R240" i="20"/>
  <c r="T239" i="20"/>
  <c r="R239" i="20"/>
  <c r="T225" i="20"/>
  <c r="T223" i="20"/>
  <c r="T205" i="20"/>
  <c r="V185" i="20"/>
  <c r="V172" i="20"/>
  <c r="V165" i="20"/>
  <c r="V164" i="20"/>
  <c r="V147" i="20"/>
  <c r="B134" i="20"/>
  <c r="B200" i="20" s="1"/>
  <c r="B296" i="20" s="1"/>
  <c r="T122" i="20"/>
  <c r="T120" i="20"/>
  <c r="T113" i="20"/>
  <c r="A113" i="20"/>
  <c r="A114" i="20" s="1"/>
  <c r="A115" i="20" s="1"/>
  <c r="A116" i="20" s="1"/>
  <c r="A117" i="20" s="1"/>
  <c r="A118" i="20" s="1"/>
  <c r="A104" i="20"/>
  <c r="A105" i="20" s="1"/>
  <c r="T99" i="20"/>
  <c r="T98" i="20"/>
  <c r="N87" i="20"/>
  <c r="V82" i="20"/>
  <c r="V81" i="20"/>
  <c r="T71" i="20"/>
  <c r="R71" i="20"/>
  <c r="N71" i="20"/>
  <c r="N84" i="20" s="1"/>
  <c r="L71" i="20"/>
  <c r="L84" i="20" s="1"/>
  <c r="V69" i="20"/>
  <c r="R58" i="20"/>
  <c r="R57" i="20"/>
  <c r="V50" i="20"/>
  <c r="L43" i="20"/>
  <c r="F43" i="20"/>
  <c r="P36" i="20"/>
  <c r="N36" i="20"/>
  <c r="L36" i="20"/>
  <c r="J36" i="20"/>
  <c r="H36" i="20"/>
  <c r="F36" i="20"/>
  <c r="D36" i="20"/>
  <c r="P35" i="20"/>
  <c r="N35" i="20"/>
  <c r="L35" i="20"/>
  <c r="J35" i="20"/>
  <c r="H35" i="20"/>
  <c r="F35" i="20"/>
  <c r="D35" i="20"/>
  <c r="V34" i="20"/>
  <c r="P33" i="20"/>
  <c r="N33" i="20"/>
  <c r="L33" i="20"/>
  <c r="J33" i="20"/>
  <c r="H33" i="20"/>
  <c r="F33" i="20"/>
  <c r="D33" i="20"/>
  <c r="P32" i="20"/>
  <c r="N32" i="20"/>
  <c r="L32" i="20"/>
  <c r="J32" i="20"/>
  <c r="H32" i="20"/>
  <c r="F32" i="20"/>
  <c r="D32" i="20"/>
  <c r="V107" i="19"/>
  <c r="V105" i="19"/>
  <c r="V91" i="19"/>
  <c r="V90" i="19"/>
  <c r="T89" i="19"/>
  <c r="T97" i="19" s="1"/>
  <c r="P68" i="19"/>
  <c r="L44" i="19"/>
  <c r="F44" i="19"/>
  <c r="T284" i="19"/>
  <c r="R284" i="19"/>
  <c r="T272" i="19"/>
  <c r="R272" i="19"/>
  <c r="S266" i="19" s="1"/>
  <c r="T260" i="19"/>
  <c r="R260" i="19"/>
  <c r="S255" i="19" s="1"/>
  <c r="T246" i="19"/>
  <c r="R246" i="19"/>
  <c r="T245" i="19"/>
  <c r="R245" i="19"/>
  <c r="T244" i="19"/>
  <c r="R244" i="19"/>
  <c r="T243" i="19"/>
  <c r="R243" i="19"/>
  <c r="T242" i="19"/>
  <c r="R242" i="19"/>
  <c r="T241" i="19"/>
  <c r="R241" i="19"/>
  <c r="T240" i="19"/>
  <c r="R240" i="19"/>
  <c r="T239" i="19"/>
  <c r="R239" i="19"/>
  <c r="T225" i="19"/>
  <c r="T223" i="19"/>
  <c r="T205" i="19"/>
  <c r="V185" i="19"/>
  <c r="V172" i="19"/>
  <c r="V165" i="19"/>
  <c r="V164" i="19"/>
  <c r="V147" i="19"/>
  <c r="B134" i="19"/>
  <c r="B200" i="19" s="1"/>
  <c r="B296" i="19" s="1"/>
  <c r="T122" i="19"/>
  <c r="T120" i="19"/>
  <c r="T113" i="19"/>
  <c r="A113" i="19"/>
  <c r="A114" i="19" s="1"/>
  <c r="A115" i="19" s="1"/>
  <c r="A116" i="19" s="1"/>
  <c r="A117" i="19" s="1"/>
  <c r="A118" i="19" s="1"/>
  <c r="A104" i="19"/>
  <c r="A105" i="19" s="1"/>
  <c r="T99" i="19"/>
  <c r="T98" i="19"/>
  <c r="N87" i="19"/>
  <c r="V82" i="19"/>
  <c r="V81" i="19"/>
  <c r="T71" i="19"/>
  <c r="R71" i="19"/>
  <c r="N71" i="19"/>
  <c r="N84" i="19" s="1"/>
  <c r="L71" i="19"/>
  <c r="L84" i="19" s="1"/>
  <c r="V69" i="19"/>
  <c r="R58" i="19"/>
  <c r="R57" i="19"/>
  <c r="V50" i="19"/>
  <c r="L43" i="19"/>
  <c r="F43" i="19"/>
  <c r="P36" i="19"/>
  <c r="N36" i="19"/>
  <c r="L36" i="19"/>
  <c r="J36" i="19"/>
  <c r="H36" i="19"/>
  <c r="F36" i="19"/>
  <c r="D36" i="19"/>
  <c r="P35" i="19"/>
  <c r="N35" i="19"/>
  <c r="L35" i="19"/>
  <c r="J35" i="19"/>
  <c r="H35" i="19"/>
  <c r="F35" i="19"/>
  <c r="D35" i="19"/>
  <c r="V34" i="19"/>
  <c r="V138" i="19" s="1"/>
  <c r="P33" i="19"/>
  <c r="N33" i="19"/>
  <c r="L33" i="19"/>
  <c r="J33" i="19"/>
  <c r="H33" i="19"/>
  <c r="F33" i="19"/>
  <c r="D33" i="19"/>
  <c r="P32" i="19"/>
  <c r="N32" i="19"/>
  <c r="L32" i="19"/>
  <c r="J32" i="19"/>
  <c r="H32" i="19"/>
  <c r="F32" i="19"/>
  <c r="D32" i="19"/>
  <c r="V167" i="18"/>
  <c r="V107" i="18"/>
  <c r="V105" i="18"/>
  <c r="V91" i="18"/>
  <c r="V90" i="18"/>
  <c r="T89" i="18"/>
  <c r="T97" i="18" s="1"/>
  <c r="P68" i="18"/>
  <c r="L44" i="18"/>
  <c r="F44" i="18"/>
  <c r="U284" i="18"/>
  <c r="T284" i="18"/>
  <c r="S284" i="18"/>
  <c r="R284" i="18"/>
  <c r="T272" i="18"/>
  <c r="U268" i="18" s="1"/>
  <c r="R272" i="18"/>
  <c r="S264" i="18" s="1"/>
  <c r="T260" i="18"/>
  <c r="R260" i="18"/>
  <c r="S251" i="18" s="1"/>
  <c r="S257" i="18"/>
  <c r="S254" i="18"/>
  <c r="S253" i="18"/>
  <c r="T246" i="18"/>
  <c r="R246" i="18"/>
  <c r="T245" i="18"/>
  <c r="R245" i="18"/>
  <c r="T244" i="18"/>
  <c r="R244" i="18"/>
  <c r="T243" i="18"/>
  <c r="R243" i="18"/>
  <c r="T242" i="18"/>
  <c r="R242" i="18"/>
  <c r="T241" i="18"/>
  <c r="R241" i="18"/>
  <c r="T240" i="18"/>
  <c r="R240" i="18"/>
  <c r="T239" i="18"/>
  <c r="R239" i="18"/>
  <c r="T225" i="18"/>
  <c r="T223" i="18"/>
  <c r="T205" i="18"/>
  <c r="V185" i="18"/>
  <c r="V172" i="18"/>
  <c r="V165" i="18"/>
  <c r="V164" i="18"/>
  <c r="V147" i="18"/>
  <c r="B134" i="18"/>
  <c r="B200" i="18" s="1"/>
  <c r="B296" i="18" s="1"/>
  <c r="T122" i="18"/>
  <c r="T120" i="18"/>
  <c r="T113" i="18"/>
  <c r="A113" i="18"/>
  <c r="A114" i="18" s="1"/>
  <c r="A115" i="18" s="1"/>
  <c r="A116" i="18" s="1"/>
  <c r="A117" i="18" s="1"/>
  <c r="A118" i="18" s="1"/>
  <c r="A104" i="18"/>
  <c r="A105" i="18" s="1"/>
  <c r="T99" i="18"/>
  <c r="T98" i="18"/>
  <c r="N87" i="18"/>
  <c r="V82" i="18"/>
  <c r="V81" i="18"/>
  <c r="T71" i="18"/>
  <c r="R71" i="18"/>
  <c r="N71" i="18"/>
  <c r="N84" i="18" s="1"/>
  <c r="L71" i="18"/>
  <c r="L84" i="18" s="1"/>
  <c r="V69" i="18"/>
  <c r="R58" i="18"/>
  <c r="R57" i="18"/>
  <c r="V50" i="18"/>
  <c r="L43" i="18"/>
  <c r="F43" i="18"/>
  <c r="P36" i="18"/>
  <c r="N36" i="18"/>
  <c r="L36" i="18"/>
  <c r="J36" i="18"/>
  <c r="H36" i="18"/>
  <c r="F36" i="18"/>
  <c r="D36" i="18"/>
  <c r="P35" i="18"/>
  <c r="N35" i="18"/>
  <c r="L35" i="18"/>
  <c r="J35" i="18"/>
  <c r="H35" i="18"/>
  <c r="F35" i="18"/>
  <c r="D35" i="18"/>
  <c r="V34" i="18"/>
  <c r="S183" i="18" s="1"/>
  <c r="P33" i="18"/>
  <c r="N33" i="18"/>
  <c r="L33" i="18"/>
  <c r="J33" i="18"/>
  <c r="H33" i="18"/>
  <c r="F33" i="18"/>
  <c r="D33" i="18"/>
  <c r="P32" i="18"/>
  <c r="N32" i="18"/>
  <c r="L32" i="18"/>
  <c r="J32" i="18"/>
  <c r="H32" i="18"/>
  <c r="F32" i="18"/>
  <c r="D32" i="18"/>
  <c r="V107" i="17"/>
  <c r="V105" i="17"/>
  <c r="V91" i="17"/>
  <c r="V90" i="17"/>
  <c r="T89" i="17"/>
  <c r="T97" i="17" s="1"/>
  <c r="P68" i="17"/>
  <c r="L44" i="17"/>
  <c r="F44" i="17"/>
  <c r="D32" i="17"/>
  <c r="F32" i="17"/>
  <c r="H32" i="17"/>
  <c r="J32" i="17"/>
  <c r="L32" i="17"/>
  <c r="N32" i="17"/>
  <c r="P32" i="17"/>
  <c r="D33" i="17"/>
  <c r="F33" i="17"/>
  <c r="H33" i="17"/>
  <c r="J33" i="17"/>
  <c r="L33" i="17"/>
  <c r="N33" i="17"/>
  <c r="P33" i="17"/>
  <c r="V34" i="17"/>
  <c r="D35" i="17"/>
  <c r="F35" i="17"/>
  <c r="H35" i="17"/>
  <c r="J35" i="17"/>
  <c r="L35" i="17"/>
  <c r="N35" i="17"/>
  <c r="P35" i="17"/>
  <c r="D36" i="17"/>
  <c r="F36" i="17"/>
  <c r="H36" i="17"/>
  <c r="J36" i="17"/>
  <c r="L36" i="17"/>
  <c r="N36" i="17"/>
  <c r="P36" i="17"/>
  <c r="F43" i="17"/>
  <c r="L43" i="17"/>
  <c r="V50" i="17"/>
  <c r="R57" i="17"/>
  <c r="R58" i="17"/>
  <c r="V69" i="17"/>
  <c r="L71" i="17"/>
  <c r="L84" i="17" s="1"/>
  <c r="N71" i="17"/>
  <c r="N84" i="17" s="1"/>
  <c r="R71" i="17"/>
  <c r="T71" i="17"/>
  <c r="V81" i="17"/>
  <c r="V82" i="17"/>
  <c r="N87" i="17"/>
  <c r="T98" i="17"/>
  <c r="T99" i="17"/>
  <c r="A104" i="17"/>
  <c r="A105" i="17" s="1"/>
  <c r="A113" i="17"/>
  <c r="A114" i="17" s="1"/>
  <c r="A115" i="17" s="1"/>
  <c r="A116" i="17" s="1"/>
  <c r="A117" i="17" s="1"/>
  <c r="A118" i="17" s="1"/>
  <c r="T113" i="17"/>
  <c r="T120" i="17"/>
  <c r="T122" i="17"/>
  <c r="B134" i="17"/>
  <c r="B200" i="17" s="1"/>
  <c r="B296" i="17" s="1"/>
  <c r="V147" i="17"/>
  <c r="V164" i="17"/>
  <c r="V165" i="17"/>
  <c r="V172" i="17"/>
  <c r="V185" i="17"/>
  <c r="T205" i="17"/>
  <c r="R272" i="17"/>
  <c r="S268" i="17" s="1"/>
  <c r="T272" i="17"/>
  <c r="T220" i="17" s="1"/>
  <c r="T223" i="17"/>
  <c r="T225" i="17"/>
  <c r="R239" i="17"/>
  <c r="R240" i="17"/>
  <c r="R241" i="17"/>
  <c r="R242" i="17"/>
  <c r="R243" i="17"/>
  <c r="R244" i="17"/>
  <c r="R245" i="17"/>
  <c r="R246" i="17"/>
  <c r="T239" i="17"/>
  <c r="T240" i="17"/>
  <c r="T241" i="17"/>
  <c r="T242" i="17"/>
  <c r="T243" i="17"/>
  <c r="T244" i="17"/>
  <c r="T245" i="17"/>
  <c r="T246" i="17"/>
  <c r="R260" i="17"/>
  <c r="S253" i="17" s="1"/>
  <c r="T260" i="17"/>
  <c r="U251" i="17" s="1"/>
  <c r="U269" i="17"/>
  <c r="R284" i="17"/>
  <c r="S284" i="17"/>
  <c r="T284" i="17"/>
  <c r="U284" i="17"/>
  <c r="V107" i="16"/>
  <c r="V105" i="16"/>
  <c r="V91" i="16"/>
  <c r="V90" i="16"/>
  <c r="T89" i="16"/>
  <c r="T97" i="16" s="1"/>
  <c r="R68" i="16"/>
  <c r="P68" i="16"/>
  <c r="T215" i="16" s="1"/>
  <c r="L44" i="16"/>
  <c r="F44" i="16"/>
  <c r="D32" i="16"/>
  <c r="F32" i="16"/>
  <c r="H32" i="16"/>
  <c r="J32" i="16"/>
  <c r="L32" i="16"/>
  <c r="N32" i="16"/>
  <c r="P32" i="16"/>
  <c r="D33" i="16"/>
  <c r="F33" i="16"/>
  <c r="H33" i="16"/>
  <c r="J33" i="16"/>
  <c r="L33" i="16"/>
  <c r="N33" i="16"/>
  <c r="P33" i="16"/>
  <c r="V34" i="16"/>
  <c r="V138" i="16" s="1"/>
  <c r="D35" i="16"/>
  <c r="F35" i="16"/>
  <c r="H35" i="16"/>
  <c r="J35" i="16"/>
  <c r="L35" i="16"/>
  <c r="N35" i="16"/>
  <c r="P35" i="16"/>
  <c r="D36" i="16"/>
  <c r="F36" i="16"/>
  <c r="H36" i="16"/>
  <c r="J36" i="16"/>
  <c r="L36" i="16"/>
  <c r="N36" i="16"/>
  <c r="P36" i="16"/>
  <c r="F43" i="16"/>
  <c r="L43" i="16"/>
  <c r="V50" i="16"/>
  <c r="R57" i="16"/>
  <c r="R58" i="16"/>
  <c r="V69" i="16"/>
  <c r="L71" i="16"/>
  <c r="L84" i="16" s="1"/>
  <c r="N71" i="16"/>
  <c r="N84" i="16" s="1"/>
  <c r="T71" i="16"/>
  <c r="V81" i="16"/>
  <c r="V82" i="16"/>
  <c r="N87" i="16"/>
  <c r="T98" i="16"/>
  <c r="T99" i="16"/>
  <c r="A104" i="16"/>
  <c r="A105" i="16" s="1"/>
  <c r="A113" i="16"/>
  <c r="A114" i="16" s="1"/>
  <c r="A115" i="16" s="1"/>
  <c r="A116" i="16" s="1"/>
  <c r="A117" i="16" s="1"/>
  <c r="A118" i="16" s="1"/>
  <c r="T113" i="16"/>
  <c r="T120" i="16"/>
  <c r="T122" i="16"/>
  <c r="B134" i="16"/>
  <c r="B200" i="16" s="1"/>
  <c r="B296" i="16" s="1"/>
  <c r="V147" i="16"/>
  <c r="V164" i="16"/>
  <c r="V165" i="16"/>
  <c r="V167" i="16"/>
  <c r="V172" i="16"/>
  <c r="S183" i="16"/>
  <c r="V185" i="16"/>
  <c r="T205" i="16"/>
  <c r="R272" i="16"/>
  <c r="S267" i="16" s="1"/>
  <c r="T272" i="16"/>
  <c r="T223" i="16"/>
  <c r="T225" i="16"/>
  <c r="R239" i="16"/>
  <c r="R240" i="16"/>
  <c r="R241" i="16"/>
  <c r="R242" i="16"/>
  <c r="R243" i="16"/>
  <c r="R244" i="16"/>
  <c r="R245" i="16"/>
  <c r="R246" i="16"/>
  <c r="T239" i="16"/>
  <c r="T240" i="16"/>
  <c r="T241" i="16"/>
  <c r="T242" i="16"/>
  <c r="T243" i="16"/>
  <c r="T244" i="16"/>
  <c r="T245" i="16"/>
  <c r="T246" i="16"/>
  <c r="R260" i="16"/>
  <c r="S255" i="16" s="1"/>
  <c r="T260" i="16"/>
  <c r="R284" i="16"/>
  <c r="S284" i="16"/>
  <c r="T284" i="16"/>
  <c r="U284" i="16"/>
  <c r="V167" i="15"/>
  <c r="V110" i="15"/>
  <c r="V107" i="15"/>
  <c r="V105" i="15"/>
  <c r="V91" i="15"/>
  <c r="V90" i="15"/>
  <c r="T89" i="15"/>
  <c r="T97" i="15" s="1"/>
  <c r="R68" i="15"/>
  <c r="P68" i="15"/>
  <c r="T215" i="15" s="1"/>
  <c r="L44" i="15"/>
  <c r="F44" i="15"/>
  <c r="D32" i="15"/>
  <c r="F32" i="15"/>
  <c r="H32" i="15"/>
  <c r="J32" i="15"/>
  <c r="L32" i="15"/>
  <c r="N32" i="15"/>
  <c r="P32" i="15"/>
  <c r="D33" i="15"/>
  <c r="F33" i="15"/>
  <c r="H33" i="15"/>
  <c r="J33" i="15"/>
  <c r="L33" i="15"/>
  <c r="N33" i="15"/>
  <c r="P33" i="15"/>
  <c r="V34" i="15"/>
  <c r="S183" i="15" s="1"/>
  <c r="D35" i="15"/>
  <c r="F35" i="15"/>
  <c r="H35" i="15"/>
  <c r="J35" i="15"/>
  <c r="L35" i="15"/>
  <c r="N35" i="15"/>
  <c r="P35" i="15"/>
  <c r="D36" i="15"/>
  <c r="F36" i="15"/>
  <c r="H36" i="15"/>
  <c r="J36" i="15"/>
  <c r="L36" i="15"/>
  <c r="N36" i="15"/>
  <c r="P36" i="15"/>
  <c r="F43" i="15"/>
  <c r="L43" i="15"/>
  <c r="V50" i="15"/>
  <c r="R57" i="15"/>
  <c r="R58" i="15"/>
  <c r="V69" i="15"/>
  <c r="L71" i="15"/>
  <c r="L84" i="15" s="1"/>
  <c r="N71" i="15"/>
  <c r="N84" i="15" s="1"/>
  <c r="T71" i="15"/>
  <c r="V81" i="15"/>
  <c r="V82" i="15"/>
  <c r="N87" i="15"/>
  <c r="T98" i="15"/>
  <c r="T99" i="15"/>
  <c r="A104" i="15"/>
  <c r="A105" i="15" s="1"/>
  <c r="A113" i="15"/>
  <c r="A114" i="15" s="1"/>
  <c r="A115" i="15" s="1"/>
  <c r="A116" i="15" s="1"/>
  <c r="A117" i="15" s="1"/>
  <c r="A118" i="15" s="1"/>
  <c r="T113" i="15"/>
  <c r="T120" i="15"/>
  <c r="T122" i="15"/>
  <c r="B134" i="15"/>
  <c r="B200" i="15" s="1"/>
  <c r="B296" i="15" s="1"/>
  <c r="V147" i="15"/>
  <c r="V164" i="15"/>
  <c r="V165" i="15"/>
  <c r="V166" i="15" s="1"/>
  <c r="V172" i="15"/>
  <c r="V185" i="15"/>
  <c r="T205" i="15"/>
  <c r="R272" i="15"/>
  <c r="S269" i="15" s="1"/>
  <c r="T272" i="15"/>
  <c r="T223" i="15"/>
  <c r="T225" i="15"/>
  <c r="R239" i="15"/>
  <c r="R240" i="15"/>
  <c r="R241" i="15"/>
  <c r="R242" i="15"/>
  <c r="R244" i="15"/>
  <c r="R243" i="15"/>
  <c r="R245" i="15"/>
  <c r="R246" i="15"/>
  <c r="T239" i="15"/>
  <c r="T244" i="15"/>
  <c r="T240" i="15"/>
  <c r="T241" i="15"/>
  <c r="T242" i="15"/>
  <c r="T243" i="15"/>
  <c r="T245" i="15"/>
  <c r="T246" i="15"/>
  <c r="R260" i="15"/>
  <c r="S256" i="15" s="1"/>
  <c r="T260" i="15"/>
  <c r="S265" i="15"/>
  <c r="R284" i="15"/>
  <c r="S284" i="15"/>
  <c r="T284" i="15"/>
  <c r="U284" i="15"/>
  <c r="V105" i="14"/>
  <c r="V91" i="14"/>
  <c r="V90" i="14"/>
  <c r="T89" i="14"/>
  <c r="T97" i="14" s="1"/>
  <c r="R68" i="14"/>
  <c r="P68" i="14"/>
  <c r="T215" i="14" s="1"/>
  <c r="V69" i="14"/>
  <c r="L44" i="14"/>
  <c r="F44" i="14"/>
  <c r="D32" i="14"/>
  <c r="F32" i="14"/>
  <c r="H32" i="14"/>
  <c r="J32" i="14"/>
  <c r="L32" i="14"/>
  <c r="N32" i="14"/>
  <c r="P32" i="14"/>
  <c r="D33" i="14"/>
  <c r="F33" i="14"/>
  <c r="H33" i="14"/>
  <c r="J33" i="14"/>
  <c r="L33" i="14"/>
  <c r="N33" i="14"/>
  <c r="P33" i="14"/>
  <c r="V34" i="14"/>
  <c r="D35" i="14"/>
  <c r="F35" i="14"/>
  <c r="H35" i="14"/>
  <c r="J35" i="14"/>
  <c r="L35" i="14"/>
  <c r="N35" i="14"/>
  <c r="P35" i="14"/>
  <c r="F43" i="14"/>
  <c r="L43" i="14"/>
  <c r="D36" i="14"/>
  <c r="F36" i="14"/>
  <c r="H36" i="14"/>
  <c r="J36" i="14"/>
  <c r="L36" i="14"/>
  <c r="N36" i="14"/>
  <c r="P36" i="14"/>
  <c r="V50" i="14"/>
  <c r="R57" i="14"/>
  <c r="R58" i="14"/>
  <c r="L71" i="14"/>
  <c r="L84" i="14" s="1"/>
  <c r="N71" i="14"/>
  <c r="N84" i="14" s="1"/>
  <c r="P71" i="14"/>
  <c r="T71" i="14"/>
  <c r="V81" i="14"/>
  <c r="V82" i="14"/>
  <c r="N87" i="14"/>
  <c r="T98" i="14"/>
  <c r="T99" i="14"/>
  <c r="A104" i="14"/>
  <c r="A105" i="14" s="1"/>
  <c r="A113" i="14"/>
  <c r="A114" i="14" s="1"/>
  <c r="A115" i="14" s="1"/>
  <c r="A116" i="14" s="1"/>
  <c r="A117" i="14" s="1"/>
  <c r="A118" i="14" s="1"/>
  <c r="T113" i="14"/>
  <c r="T120" i="14"/>
  <c r="T122" i="14"/>
  <c r="B134" i="14"/>
  <c r="B200" i="14" s="1"/>
  <c r="B296" i="14" s="1"/>
  <c r="V147" i="14"/>
  <c r="V164" i="14"/>
  <c r="V165" i="14"/>
  <c r="V172" i="14"/>
  <c r="T205" i="14"/>
  <c r="T223" i="14"/>
  <c r="T225" i="14"/>
  <c r="R239" i="14"/>
  <c r="R240" i="14"/>
  <c r="R241" i="14"/>
  <c r="R242" i="14"/>
  <c r="R243" i="14"/>
  <c r="R244" i="14"/>
  <c r="R245" i="14"/>
  <c r="R246" i="14"/>
  <c r="T239" i="14"/>
  <c r="T240" i="14"/>
  <c r="T241" i="14"/>
  <c r="T242" i="14"/>
  <c r="T243" i="14"/>
  <c r="T244" i="14"/>
  <c r="T245" i="14"/>
  <c r="T246" i="14"/>
  <c r="R260" i="14"/>
  <c r="S258" i="14" s="1"/>
  <c r="T260" i="14"/>
  <c r="U256" i="14" s="1"/>
  <c r="R272" i="14"/>
  <c r="S270" i="14" s="1"/>
  <c r="T272" i="14"/>
  <c r="R284" i="14"/>
  <c r="S284" i="14"/>
  <c r="T284" i="14"/>
  <c r="U284" i="14"/>
  <c r="V167" i="13"/>
  <c r="V107" i="13"/>
  <c r="V105" i="13"/>
  <c r="V91" i="13"/>
  <c r="V90" i="13"/>
  <c r="S185" i="13"/>
  <c r="V185" i="13" s="1"/>
  <c r="T89" i="13"/>
  <c r="T97" i="13" s="1"/>
  <c r="R68" i="13"/>
  <c r="R71" i="13" s="1"/>
  <c r="P68" i="13"/>
  <c r="P71" i="13" s="1"/>
  <c r="L44" i="13"/>
  <c r="F44" i="13"/>
  <c r="T225" i="13"/>
  <c r="D32" i="13"/>
  <c r="F32" i="13"/>
  <c r="H32" i="13"/>
  <c r="J32" i="13"/>
  <c r="L32" i="13"/>
  <c r="N32" i="13"/>
  <c r="P32" i="13"/>
  <c r="D33" i="13"/>
  <c r="F33" i="13"/>
  <c r="H33" i="13"/>
  <c r="J33" i="13"/>
  <c r="L33" i="13"/>
  <c r="N33" i="13"/>
  <c r="P33" i="13"/>
  <c r="V34" i="13"/>
  <c r="V138" i="13" s="1"/>
  <c r="D35" i="13"/>
  <c r="F35" i="13"/>
  <c r="H35" i="13"/>
  <c r="J35" i="13"/>
  <c r="L35" i="13"/>
  <c r="N35" i="13"/>
  <c r="P35" i="13"/>
  <c r="F43" i="13"/>
  <c r="L43" i="13"/>
  <c r="D36" i="13"/>
  <c r="F36" i="13"/>
  <c r="H36" i="13"/>
  <c r="J36" i="13"/>
  <c r="L36" i="13"/>
  <c r="N36" i="13"/>
  <c r="P36" i="13"/>
  <c r="V50" i="13"/>
  <c r="R57" i="13"/>
  <c r="R58" i="13"/>
  <c r="V69" i="13"/>
  <c r="L71" i="13"/>
  <c r="L84" i="13" s="1"/>
  <c r="N71" i="13"/>
  <c r="N84" i="13" s="1"/>
  <c r="T71" i="13"/>
  <c r="V81" i="13"/>
  <c r="V82" i="13"/>
  <c r="N87" i="13"/>
  <c r="T98" i="13"/>
  <c r="T99" i="13"/>
  <c r="A104" i="13"/>
  <c r="A105" i="13" s="1"/>
  <c r="A113" i="13"/>
  <c r="A114" i="13" s="1"/>
  <c r="A115" i="13" s="1"/>
  <c r="A116" i="13" s="1"/>
  <c r="A117" i="13" s="1"/>
  <c r="A118" i="13" s="1"/>
  <c r="T113" i="13"/>
  <c r="T120" i="13"/>
  <c r="B134" i="13"/>
  <c r="B200" i="13" s="1"/>
  <c r="B296" i="13" s="1"/>
  <c r="V147" i="13"/>
  <c r="V164" i="13"/>
  <c r="V165" i="13"/>
  <c r="V172" i="13"/>
  <c r="T205" i="13"/>
  <c r="R272" i="13"/>
  <c r="R286" i="13" s="1"/>
  <c r="T272" i="13"/>
  <c r="U269" i="13" s="1"/>
  <c r="T223" i="13"/>
  <c r="R239" i="13"/>
  <c r="R240" i="13"/>
  <c r="R241" i="13"/>
  <c r="R242" i="13"/>
  <c r="R243" i="13"/>
  <c r="R244" i="13"/>
  <c r="R245" i="13"/>
  <c r="R246" i="13"/>
  <c r="T239" i="13"/>
  <c r="T240" i="13"/>
  <c r="T241" i="13"/>
  <c r="T242" i="13"/>
  <c r="T243" i="13"/>
  <c r="T244" i="13"/>
  <c r="T245" i="13"/>
  <c r="T246" i="13"/>
  <c r="R260" i="13"/>
  <c r="S254" i="13" s="1"/>
  <c r="T260" i="13"/>
  <c r="U251" i="13" s="1"/>
  <c r="U265" i="13"/>
  <c r="R284" i="13"/>
  <c r="S284" i="13"/>
  <c r="T284" i="13"/>
  <c r="U284" i="13"/>
  <c r="T239" i="12"/>
  <c r="T240" i="12"/>
  <c r="T241" i="12"/>
  <c r="T242" i="12"/>
  <c r="T244" i="12"/>
  <c r="T243" i="12"/>
  <c r="T245" i="12"/>
  <c r="T246" i="12"/>
  <c r="R239" i="12"/>
  <c r="R240" i="12"/>
  <c r="R241" i="12"/>
  <c r="R244" i="12"/>
  <c r="R242" i="12"/>
  <c r="R243" i="12"/>
  <c r="R245" i="12"/>
  <c r="R246" i="12"/>
  <c r="V107" i="12"/>
  <c r="V105" i="12"/>
  <c r="V91" i="12"/>
  <c r="V90" i="12"/>
  <c r="S185" i="12"/>
  <c r="T122" i="12" s="1"/>
  <c r="T89" i="12"/>
  <c r="T97" i="12" s="1"/>
  <c r="T101" i="12" s="1"/>
  <c r="R68" i="12"/>
  <c r="R71" i="12" s="1"/>
  <c r="P68" i="12"/>
  <c r="P71" i="12" s="1"/>
  <c r="L44" i="12"/>
  <c r="F44" i="12"/>
  <c r="T225" i="12"/>
  <c r="D32" i="12"/>
  <c r="F32" i="12"/>
  <c r="H32" i="12"/>
  <c r="J32" i="12"/>
  <c r="L32" i="12"/>
  <c r="N32" i="12"/>
  <c r="P32" i="12"/>
  <c r="D33" i="12"/>
  <c r="F33" i="12"/>
  <c r="H33" i="12"/>
  <c r="J33" i="12"/>
  <c r="L33" i="12"/>
  <c r="N33" i="12"/>
  <c r="P33" i="12"/>
  <c r="V34" i="12"/>
  <c r="V138" i="12" s="1"/>
  <c r="D35" i="12"/>
  <c r="F35" i="12"/>
  <c r="H35" i="12"/>
  <c r="J35" i="12"/>
  <c r="L35" i="12"/>
  <c r="N35" i="12"/>
  <c r="P35" i="12"/>
  <c r="F43" i="12"/>
  <c r="L43" i="12"/>
  <c r="D36" i="12"/>
  <c r="F36" i="12"/>
  <c r="H36" i="12"/>
  <c r="J36" i="12"/>
  <c r="L36" i="12"/>
  <c r="N36" i="12"/>
  <c r="P36" i="12"/>
  <c r="V50" i="12"/>
  <c r="R57" i="12"/>
  <c r="R58" i="12"/>
  <c r="V69" i="12"/>
  <c r="L71" i="12"/>
  <c r="L84" i="12" s="1"/>
  <c r="N71" i="12"/>
  <c r="N84" i="12" s="1"/>
  <c r="T71" i="12"/>
  <c r="V81" i="12"/>
  <c r="V82" i="12"/>
  <c r="N87" i="12"/>
  <c r="T98" i="12"/>
  <c r="T99" i="12"/>
  <c r="A104" i="12"/>
  <c r="A105" i="12" s="1"/>
  <c r="A113" i="12"/>
  <c r="A114" i="12" s="1"/>
  <c r="A115" i="12" s="1"/>
  <c r="A116" i="12" s="1"/>
  <c r="A117" i="12" s="1"/>
  <c r="A118" i="12" s="1"/>
  <c r="T113" i="12"/>
  <c r="T120" i="12"/>
  <c r="B134" i="12"/>
  <c r="B200" i="12" s="1"/>
  <c r="B296" i="12" s="1"/>
  <c r="V147" i="12"/>
  <c r="V164" i="12"/>
  <c r="V165" i="12"/>
  <c r="V172" i="12"/>
  <c r="T205" i="12"/>
  <c r="R272" i="12"/>
  <c r="S268" i="12" s="1"/>
  <c r="T272" i="12"/>
  <c r="U265" i="12" s="1"/>
  <c r="T223" i="12"/>
  <c r="R260" i="12"/>
  <c r="T260" i="12"/>
  <c r="U257" i="12" s="1"/>
  <c r="R284" i="12"/>
  <c r="S284" i="12"/>
  <c r="T284" i="12"/>
  <c r="U284" i="12"/>
  <c r="V107" i="11"/>
  <c r="V105" i="11"/>
  <c r="V91" i="11"/>
  <c r="V90" i="11"/>
  <c r="S185" i="11"/>
  <c r="V185" i="11" s="1"/>
  <c r="T89" i="11"/>
  <c r="T97" i="11" s="1"/>
  <c r="R68" i="11"/>
  <c r="R71" i="11" s="1"/>
  <c r="P68" i="11"/>
  <c r="T215" i="11" s="1"/>
  <c r="L44" i="11"/>
  <c r="F44" i="11"/>
  <c r="T225" i="11"/>
  <c r="D32" i="11"/>
  <c r="F32" i="11"/>
  <c r="H32" i="11"/>
  <c r="J32" i="11"/>
  <c r="L32" i="11"/>
  <c r="N32" i="11"/>
  <c r="P32" i="11"/>
  <c r="D33" i="11"/>
  <c r="F33" i="11"/>
  <c r="H33" i="11"/>
  <c r="J33" i="11"/>
  <c r="L33" i="11"/>
  <c r="N33" i="11"/>
  <c r="P33" i="11"/>
  <c r="V34" i="11"/>
  <c r="S183" i="11" s="1"/>
  <c r="D35" i="11"/>
  <c r="F35" i="11"/>
  <c r="H35" i="11"/>
  <c r="J35" i="11"/>
  <c r="L35" i="11"/>
  <c r="N35" i="11"/>
  <c r="P35" i="11"/>
  <c r="F43" i="11"/>
  <c r="L43" i="11"/>
  <c r="D36" i="11"/>
  <c r="F36" i="11"/>
  <c r="H36" i="11"/>
  <c r="J36" i="11"/>
  <c r="L36" i="11"/>
  <c r="N36" i="11"/>
  <c r="P36" i="11"/>
  <c r="V50" i="11"/>
  <c r="R57" i="11"/>
  <c r="R58" i="11"/>
  <c r="V69" i="11"/>
  <c r="L71" i="11"/>
  <c r="L84" i="11" s="1"/>
  <c r="N71" i="11"/>
  <c r="N84" i="11" s="1"/>
  <c r="T71" i="11"/>
  <c r="V81" i="11"/>
  <c r="V82" i="11"/>
  <c r="N87" i="11"/>
  <c r="T98" i="11"/>
  <c r="T99" i="11"/>
  <c r="A104" i="11"/>
  <c r="A105" i="11" s="1"/>
  <c r="A113" i="11"/>
  <c r="A114" i="11" s="1"/>
  <c r="A115" i="11" s="1"/>
  <c r="A116" i="11" s="1"/>
  <c r="A117" i="11" s="1"/>
  <c r="A118" i="11" s="1"/>
  <c r="T113" i="11"/>
  <c r="T120" i="11"/>
  <c r="B134" i="11"/>
  <c r="B200" i="11" s="1"/>
  <c r="B284" i="11" s="1"/>
  <c r="V138" i="11"/>
  <c r="V147" i="11"/>
  <c r="V164" i="11"/>
  <c r="V165" i="11"/>
  <c r="V167" i="11"/>
  <c r="V172" i="11"/>
  <c r="T205" i="11"/>
  <c r="R260" i="11"/>
  <c r="S220" i="11" s="1"/>
  <c r="T260" i="11"/>
  <c r="U254" i="11" s="1"/>
  <c r="T223" i="11"/>
  <c r="R248" i="11"/>
  <c r="S243" i="11" s="1"/>
  <c r="T248" i="11"/>
  <c r="U239" i="11" s="1"/>
  <c r="R272" i="11"/>
  <c r="S272" i="11"/>
  <c r="T272" i="11"/>
  <c r="U272" i="11"/>
  <c r="V108" i="10"/>
  <c r="V106" i="10"/>
  <c r="V92" i="10"/>
  <c r="V91" i="10"/>
  <c r="S186" i="10"/>
  <c r="T90" i="10"/>
  <c r="T98" i="10" s="1"/>
  <c r="P69" i="10"/>
  <c r="P72" i="10" s="1"/>
  <c r="R69" i="10"/>
  <c r="R72" i="10" s="1"/>
  <c r="L44" i="10"/>
  <c r="F44" i="10"/>
  <c r="T226" i="10"/>
  <c r="D32" i="10"/>
  <c r="F32" i="10"/>
  <c r="H32" i="10"/>
  <c r="J32" i="10"/>
  <c r="L32" i="10"/>
  <c r="N32" i="10"/>
  <c r="P32" i="10"/>
  <c r="D33" i="10"/>
  <c r="F33" i="10"/>
  <c r="H33" i="10"/>
  <c r="J33" i="10"/>
  <c r="L33" i="10"/>
  <c r="N33" i="10"/>
  <c r="P33" i="10"/>
  <c r="V34" i="10"/>
  <c r="D35" i="10"/>
  <c r="F35" i="10"/>
  <c r="H35" i="10"/>
  <c r="J35" i="10"/>
  <c r="L35" i="10"/>
  <c r="N35" i="10"/>
  <c r="P35" i="10"/>
  <c r="F43" i="10"/>
  <c r="L43" i="10"/>
  <c r="D36" i="10"/>
  <c r="F36" i="10"/>
  <c r="H36" i="10"/>
  <c r="J36" i="10"/>
  <c r="L36" i="10"/>
  <c r="N36" i="10"/>
  <c r="P36" i="10"/>
  <c r="V50" i="10"/>
  <c r="R57" i="10"/>
  <c r="R58" i="10"/>
  <c r="V70" i="10"/>
  <c r="L72" i="10"/>
  <c r="L85" i="10" s="1"/>
  <c r="N72" i="10"/>
  <c r="N85" i="10" s="1"/>
  <c r="T72" i="10"/>
  <c r="V82" i="10"/>
  <c r="V83" i="10"/>
  <c r="N88" i="10"/>
  <c r="T99" i="10"/>
  <c r="T100" i="10"/>
  <c r="A105" i="10"/>
  <c r="A106" i="10" s="1"/>
  <c r="A114" i="10"/>
  <c r="A115" i="10" s="1"/>
  <c r="A116" i="10" s="1"/>
  <c r="A117" i="10" s="1"/>
  <c r="A118" i="10" s="1"/>
  <c r="A119" i="10" s="1"/>
  <c r="T114" i="10"/>
  <c r="T121" i="10"/>
  <c r="B135" i="10"/>
  <c r="B201" i="10" s="1"/>
  <c r="B285" i="10" s="1"/>
  <c r="V148" i="10"/>
  <c r="V165" i="10"/>
  <c r="V166" i="10"/>
  <c r="V168" i="10"/>
  <c r="V173" i="10"/>
  <c r="T206" i="10"/>
  <c r="R261" i="10"/>
  <c r="S254" i="10" s="1"/>
  <c r="T261" i="10"/>
  <c r="U258" i="10" s="1"/>
  <c r="T224" i="10"/>
  <c r="R249" i="10"/>
  <c r="S240" i="10" s="1"/>
  <c r="T249" i="10"/>
  <c r="U243" i="10" s="1"/>
  <c r="U254" i="10"/>
  <c r="R273" i="10"/>
  <c r="S273" i="10"/>
  <c r="T273" i="10"/>
  <c r="U273" i="10"/>
  <c r="V108" i="9"/>
  <c r="V106" i="9"/>
  <c r="V92" i="9"/>
  <c r="V91" i="9"/>
  <c r="T90" i="9"/>
  <c r="T98" i="9" s="1"/>
  <c r="R69" i="9"/>
  <c r="R72" i="9" s="1"/>
  <c r="P69" i="9"/>
  <c r="L44" i="9"/>
  <c r="F44" i="9"/>
  <c r="V168" i="9"/>
  <c r="T226" i="9"/>
  <c r="D32" i="9"/>
  <c r="F32" i="9"/>
  <c r="H32" i="9"/>
  <c r="J32" i="9"/>
  <c r="L32" i="9"/>
  <c r="N32" i="9"/>
  <c r="P32" i="9"/>
  <c r="D33" i="9"/>
  <c r="F33" i="9"/>
  <c r="H33" i="9"/>
  <c r="J33" i="9"/>
  <c r="L33" i="9"/>
  <c r="N33" i="9"/>
  <c r="P33" i="9"/>
  <c r="V34" i="9"/>
  <c r="D35" i="9"/>
  <c r="F35" i="9"/>
  <c r="H35" i="9"/>
  <c r="J35" i="9"/>
  <c r="L35" i="9"/>
  <c r="N35" i="9"/>
  <c r="P35" i="9"/>
  <c r="F43" i="9"/>
  <c r="L43" i="9"/>
  <c r="D36" i="9"/>
  <c r="F36" i="9"/>
  <c r="H36" i="9"/>
  <c r="J36" i="9"/>
  <c r="L36" i="9"/>
  <c r="N36" i="9"/>
  <c r="P36" i="9"/>
  <c r="V50" i="9"/>
  <c r="R57" i="9"/>
  <c r="R58" i="9"/>
  <c r="V70" i="9"/>
  <c r="L72" i="9"/>
  <c r="L85" i="9" s="1"/>
  <c r="N72" i="9"/>
  <c r="N85" i="9" s="1"/>
  <c r="T72" i="9"/>
  <c r="V82" i="9"/>
  <c r="V83" i="9"/>
  <c r="N88" i="9"/>
  <c r="T99" i="9"/>
  <c r="T100" i="9"/>
  <c r="A105" i="9"/>
  <c r="A106" i="9" s="1"/>
  <c r="A114" i="9"/>
  <c r="A115" i="9" s="1"/>
  <c r="A116" i="9" s="1"/>
  <c r="A117" i="9" s="1"/>
  <c r="A118" i="9" s="1"/>
  <c r="A119" i="9" s="1"/>
  <c r="T114" i="9"/>
  <c r="T121" i="9"/>
  <c r="T123" i="9"/>
  <c r="B135" i="9"/>
  <c r="B201" i="9" s="1"/>
  <c r="B285" i="9" s="1"/>
  <c r="V148" i="9"/>
  <c r="V165" i="9"/>
  <c r="V166" i="9"/>
  <c r="V173" i="9"/>
  <c r="V186" i="9"/>
  <c r="T206" i="9"/>
  <c r="R261" i="9"/>
  <c r="S253" i="9" s="1"/>
  <c r="T261" i="9"/>
  <c r="U253" i="9" s="1"/>
  <c r="T224" i="9"/>
  <c r="R249" i="9"/>
  <c r="S246" i="9" s="1"/>
  <c r="T249" i="9"/>
  <c r="U244" i="9" s="1"/>
  <c r="R273" i="9"/>
  <c r="S273" i="9"/>
  <c r="T273" i="9"/>
  <c r="U273" i="9"/>
  <c r="T90" i="8"/>
  <c r="T98" i="8" s="1"/>
  <c r="P69" i="8"/>
  <c r="V111" i="8"/>
  <c r="V108" i="8"/>
  <c r="V106" i="8"/>
  <c r="V92" i="8"/>
  <c r="V91" i="8"/>
  <c r="S185" i="8"/>
  <c r="R69" i="8"/>
  <c r="R72" i="8" s="1"/>
  <c r="L44" i="8"/>
  <c r="F44" i="8"/>
  <c r="T225" i="8"/>
  <c r="D32" i="8"/>
  <c r="F32" i="8"/>
  <c r="H32" i="8"/>
  <c r="J32" i="8"/>
  <c r="L32" i="8"/>
  <c r="N32" i="8"/>
  <c r="P32" i="8"/>
  <c r="D33" i="8"/>
  <c r="F33" i="8"/>
  <c r="H33" i="8"/>
  <c r="J33" i="8"/>
  <c r="L33" i="8"/>
  <c r="N33" i="8"/>
  <c r="P33" i="8"/>
  <c r="V34" i="8"/>
  <c r="D35" i="8"/>
  <c r="F35" i="8"/>
  <c r="H35" i="8"/>
  <c r="J35" i="8"/>
  <c r="L35" i="8"/>
  <c r="N35" i="8"/>
  <c r="P35" i="8"/>
  <c r="F43" i="8"/>
  <c r="L43" i="8"/>
  <c r="D36" i="8"/>
  <c r="F36" i="8"/>
  <c r="H36" i="8"/>
  <c r="J36" i="8"/>
  <c r="L36" i="8"/>
  <c r="N36" i="8"/>
  <c r="P36" i="8"/>
  <c r="V50" i="8"/>
  <c r="R57" i="8"/>
  <c r="R58" i="8"/>
  <c r="V70" i="8"/>
  <c r="L72" i="8"/>
  <c r="L85" i="8" s="1"/>
  <c r="N72" i="8"/>
  <c r="N85" i="8" s="1"/>
  <c r="T72" i="8"/>
  <c r="V82" i="8"/>
  <c r="V83" i="8"/>
  <c r="N88" i="8"/>
  <c r="T99" i="8"/>
  <c r="T100" i="8"/>
  <c r="A105" i="8"/>
  <c r="A106" i="8" s="1"/>
  <c r="A114" i="8"/>
  <c r="A115" i="8" s="1"/>
  <c r="A116" i="8" s="1"/>
  <c r="A117" i="8" s="1"/>
  <c r="A118" i="8" s="1"/>
  <c r="A119" i="8" s="1"/>
  <c r="T114" i="8"/>
  <c r="T121" i="8"/>
  <c r="B135" i="8"/>
  <c r="B200" i="8" s="1"/>
  <c r="B284" i="8" s="1"/>
  <c r="V148" i="8"/>
  <c r="V165" i="8"/>
  <c r="V166" i="8"/>
  <c r="V173" i="1"/>
  <c r="V171" i="2" s="1"/>
  <c r="V172" i="2"/>
  <c r="V172" i="3"/>
  <c r="V172" i="4"/>
  <c r="V172" i="8"/>
  <c r="S186" i="1"/>
  <c r="S184" i="2" s="1"/>
  <c r="S185" i="4"/>
  <c r="V185" i="4" s="1"/>
  <c r="S185" i="5"/>
  <c r="T123" i="5" s="1"/>
  <c r="S185" i="6"/>
  <c r="T186" i="1"/>
  <c r="T184" i="2" s="1"/>
  <c r="T186" i="2" s="1"/>
  <c r="T184" i="3" s="1"/>
  <c r="T186" i="3" s="1"/>
  <c r="T184" i="4" s="1"/>
  <c r="T186" i="4" s="1"/>
  <c r="T184" i="5" s="1"/>
  <c r="T186" i="5" s="1"/>
  <c r="T184" i="6" s="1"/>
  <c r="T186" i="6" s="1"/>
  <c r="T184" i="7" s="1"/>
  <c r="T186" i="7" s="1"/>
  <c r="T184" i="8" s="1"/>
  <c r="T186" i="8" s="1"/>
  <c r="T185" i="9" s="1"/>
  <c r="T187" i="9" s="1"/>
  <c r="T185" i="10" s="1"/>
  <c r="T187" i="10" s="1"/>
  <c r="T184" i="11" s="1"/>
  <c r="T186" i="11" s="1"/>
  <c r="T184" i="12" s="1"/>
  <c r="T186" i="12" s="1"/>
  <c r="T184" i="13" s="1"/>
  <c r="T186" i="13" s="1"/>
  <c r="T184" i="14" s="1"/>
  <c r="T186" i="14" s="1"/>
  <c r="T184" i="15" s="1"/>
  <c r="T186" i="15" s="1"/>
  <c r="T184" i="16" s="1"/>
  <c r="T186" i="16" s="1"/>
  <c r="T184" i="17" s="1"/>
  <c r="T186" i="17" s="1"/>
  <c r="T184" i="18" s="1"/>
  <c r="T186" i="18" s="1"/>
  <c r="T184" i="19" s="1"/>
  <c r="T186" i="19" s="1"/>
  <c r="T184" i="20" s="1"/>
  <c r="T186" i="20" s="1"/>
  <c r="T184" i="21" s="1"/>
  <c r="T186" i="21" s="1"/>
  <c r="T185" i="22" s="1"/>
  <c r="T187" i="22" s="1"/>
  <c r="T185" i="23" s="1"/>
  <c r="T187" i="23" s="1"/>
  <c r="T185" i="24" s="1"/>
  <c r="T187" i="24" s="1"/>
  <c r="T185" i="25" s="1"/>
  <c r="T187" i="25" s="1"/>
  <c r="T185" i="26" s="1"/>
  <c r="T187" i="26" s="1"/>
  <c r="T185" i="27" s="1"/>
  <c r="T187" i="27" s="1"/>
  <c r="T185" i="28" s="1"/>
  <c r="T187" i="28" s="1"/>
  <c r="T185" i="29" s="1"/>
  <c r="T187" i="29" s="1"/>
  <c r="T185" i="30" s="1"/>
  <c r="T187" i="30" s="1"/>
  <c r="T185" i="31" s="1"/>
  <c r="T205" i="8"/>
  <c r="R260" i="8"/>
  <c r="S252" i="8" s="1"/>
  <c r="T260" i="8"/>
  <c r="R272" i="8"/>
  <c r="T272" i="8"/>
  <c r="T223" i="8"/>
  <c r="T225" i="6"/>
  <c r="T225" i="5"/>
  <c r="T225" i="4"/>
  <c r="T225" i="3"/>
  <c r="T225" i="2"/>
  <c r="T225" i="1"/>
  <c r="T226" i="1" s="1"/>
  <c r="T225" i="7"/>
  <c r="R248" i="8"/>
  <c r="T248" i="8"/>
  <c r="S272" i="8"/>
  <c r="U272" i="8"/>
  <c r="P69" i="7"/>
  <c r="V110" i="7"/>
  <c r="V108" i="7"/>
  <c r="V106" i="7"/>
  <c r="V92" i="7"/>
  <c r="V91" i="7"/>
  <c r="S185" i="7"/>
  <c r="T90" i="7"/>
  <c r="T98" i="7" s="1"/>
  <c r="R69" i="7"/>
  <c r="L44" i="7"/>
  <c r="F44" i="7"/>
  <c r="D32" i="7"/>
  <c r="F32" i="7"/>
  <c r="H32" i="7"/>
  <c r="J32" i="7"/>
  <c r="L32" i="7"/>
  <c r="N32" i="7"/>
  <c r="P32" i="7"/>
  <c r="D33" i="7"/>
  <c r="F33" i="7"/>
  <c r="H33" i="7"/>
  <c r="J33" i="7"/>
  <c r="L33" i="7"/>
  <c r="N33" i="7"/>
  <c r="P33" i="7"/>
  <c r="V34" i="7"/>
  <c r="D35" i="7"/>
  <c r="F35" i="7"/>
  <c r="H35" i="7"/>
  <c r="J35" i="7"/>
  <c r="L35" i="7"/>
  <c r="N35" i="7"/>
  <c r="P35" i="7"/>
  <c r="F43" i="7"/>
  <c r="L43" i="7"/>
  <c r="D36" i="7"/>
  <c r="F36" i="7"/>
  <c r="H36" i="7"/>
  <c r="J36" i="7"/>
  <c r="L36" i="7"/>
  <c r="N36" i="7"/>
  <c r="P36" i="7"/>
  <c r="V50" i="7"/>
  <c r="R57" i="7"/>
  <c r="R58" i="7"/>
  <c r="V70" i="7"/>
  <c r="L72" i="7"/>
  <c r="L85" i="7" s="1"/>
  <c r="N72" i="7"/>
  <c r="N85" i="7" s="1"/>
  <c r="R72" i="7"/>
  <c r="T72" i="7"/>
  <c r="V82" i="7"/>
  <c r="V83" i="7"/>
  <c r="N88" i="7"/>
  <c r="T99" i="7"/>
  <c r="T100" i="7"/>
  <c r="A105" i="7"/>
  <c r="A106" i="7" s="1"/>
  <c r="A114" i="7"/>
  <c r="A115" i="7" s="1"/>
  <c r="A116" i="7" s="1"/>
  <c r="A117" i="7" s="1"/>
  <c r="A118" i="7" s="1"/>
  <c r="A119" i="7" s="1"/>
  <c r="T114" i="7"/>
  <c r="T121" i="7"/>
  <c r="B135" i="7"/>
  <c r="B200" i="7" s="1"/>
  <c r="B284" i="7" s="1"/>
  <c r="V148" i="7"/>
  <c r="V165" i="7"/>
  <c r="V167" i="7" s="1"/>
  <c r="V166" i="7"/>
  <c r="V172" i="7"/>
  <c r="T205" i="7"/>
  <c r="R260" i="7"/>
  <c r="S255" i="7" s="1"/>
  <c r="T260" i="7"/>
  <c r="U258" i="7" s="1"/>
  <c r="R272" i="7"/>
  <c r="S268" i="7" s="1"/>
  <c r="T272" i="7"/>
  <c r="U263" i="7" s="1"/>
  <c r="T223" i="7"/>
  <c r="R248" i="7"/>
  <c r="S243" i="7" s="1"/>
  <c r="T248" i="7"/>
  <c r="T272" i="6"/>
  <c r="U265" i="6" s="1"/>
  <c r="R272" i="6"/>
  <c r="S265" i="6" s="1"/>
  <c r="P69" i="6"/>
  <c r="V110" i="6"/>
  <c r="V108" i="6"/>
  <c r="V106" i="6"/>
  <c r="V92" i="6"/>
  <c r="V91" i="6"/>
  <c r="T90" i="6"/>
  <c r="T98" i="6" s="1"/>
  <c r="R69" i="6"/>
  <c r="R72" i="6" s="1"/>
  <c r="L44" i="6"/>
  <c r="F44" i="6"/>
  <c r="D32" i="6"/>
  <c r="F32" i="6"/>
  <c r="H32" i="6"/>
  <c r="J32" i="6"/>
  <c r="L32" i="6"/>
  <c r="N32" i="6"/>
  <c r="P32" i="6"/>
  <c r="D33" i="6"/>
  <c r="F33" i="6"/>
  <c r="H33" i="6"/>
  <c r="J33" i="6"/>
  <c r="L33" i="6"/>
  <c r="N33" i="6"/>
  <c r="P33" i="6"/>
  <c r="V34" i="6"/>
  <c r="S183" i="6" s="1"/>
  <c r="D35" i="6"/>
  <c r="F35" i="6"/>
  <c r="H35" i="6"/>
  <c r="J35" i="6"/>
  <c r="L35" i="6"/>
  <c r="N35" i="6"/>
  <c r="P35" i="6"/>
  <c r="D36" i="6"/>
  <c r="F36" i="6"/>
  <c r="H36" i="6"/>
  <c r="J36" i="6"/>
  <c r="L36" i="6"/>
  <c r="N36" i="6"/>
  <c r="P36" i="6"/>
  <c r="F43" i="6"/>
  <c r="L43" i="6"/>
  <c r="V50" i="6"/>
  <c r="R57" i="6"/>
  <c r="R58" i="6"/>
  <c r="V70" i="6"/>
  <c r="L72" i="6"/>
  <c r="L85" i="6" s="1"/>
  <c r="N72" i="6"/>
  <c r="N85" i="6" s="1"/>
  <c r="T72" i="6"/>
  <c r="V82" i="6"/>
  <c r="V83" i="6"/>
  <c r="N88" i="6"/>
  <c r="T99" i="6"/>
  <c r="T100" i="6"/>
  <c r="A105" i="6"/>
  <c r="A106" i="6" s="1"/>
  <c r="A114" i="6"/>
  <c r="A115" i="6" s="1"/>
  <c r="A116" i="6" s="1"/>
  <c r="A117" i="6" s="1"/>
  <c r="A118" i="6" s="1"/>
  <c r="A119" i="6" s="1"/>
  <c r="T114" i="6"/>
  <c r="T121" i="6"/>
  <c r="B135" i="6"/>
  <c r="B200" i="6" s="1"/>
  <c r="B284" i="6" s="1"/>
  <c r="V148" i="6"/>
  <c r="V165" i="6"/>
  <c r="V166" i="6"/>
  <c r="V172" i="6"/>
  <c r="T205" i="6"/>
  <c r="R260" i="6"/>
  <c r="S252" i="6" s="1"/>
  <c r="T260" i="6"/>
  <c r="U251" i="6" s="1"/>
  <c r="T223" i="6"/>
  <c r="R248" i="6"/>
  <c r="T248" i="6"/>
  <c r="U246" i="6" s="1"/>
  <c r="U254" i="6"/>
  <c r="U256" i="6"/>
  <c r="N88" i="5"/>
  <c r="V108" i="5"/>
  <c r="V111" i="5"/>
  <c r="V106" i="5"/>
  <c r="V92" i="5"/>
  <c r="V91" i="5"/>
  <c r="T90" i="5"/>
  <c r="T98" i="5" s="1"/>
  <c r="P69" i="5"/>
  <c r="R69" i="5"/>
  <c r="L44" i="5"/>
  <c r="F44" i="5"/>
  <c r="D35" i="5"/>
  <c r="F35" i="5"/>
  <c r="H35" i="5"/>
  <c r="J35" i="5"/>
  <c r="L35" i="5"/>
  <c r="N35" i="5"/>
  <c r="P35" i="5"/>
  <c r="D36" i="5"/>
  <c r="F36" i="5"/>
  <c r="H36" i="5"/>
  <c r="J36" i="5"/>
  <c r="L36" i="5"/>
  <c r="N36" i="5"/>
  <c r="P36" i="5"/>
  <c r="D32" i="5"/>
  <c r="F32" i="5"/>
  <c r="H32" i="5"/>
  <c r="J32" i="5"/>
  <c r="L32" i="5"/>
  <c r="N32" i="5"/>
  <c r="P32" i="5"/>
  <c r="D33" i="5"/>
  <c r="F33" i="5"/>
  <c r="H33" i="5"/>
  <c r="J33" i="5"/>
  <c r="L33" i="5"/>
  <c r="N33" i="5"/>
  <c r="P33" i="5"/>
  <c r="V34" i="5"/>
  <c r="F43" i="5"/>
  <c r="L43" i="5"/>
  <c r="V50" i="5"/>
  <c r="R57" i="5"/>
  <c r="R58" i="5"/>
  <c r="V70" i="5"/>
  <c r="L72" i="5"/>
  <c r="L85" i="5" s="1"/>
  <c r="N72" i="5"/>
  <c r="N85" i="5" s="1"/>
  <c r="R72" i="5"/>
  <c r="T72" i="5"/>
  <c r="V82" i="5"/>
  <c r="V83" i="5"/>
  <c r="T99" i="5"/>
  <c r="T100" i="5"/>
  <c r="A105" i="5"/>
  <c r="A106" i="5" s="1"/>
  <c r="A114" i="5"/>
  <c r="A115" i="5" s="1"/>
  <c r="A116" i="5" s="1"/>
  <c r="A117" i="5" s="1"/>
  <c r="A118" i="5" s="1"/>
  <c r="A119" i="5" s="1"/>
  <c r="T114" i="5"/>
  <c r="T121" i="5"/>
  <c r="B135" i="5"/>
  <c r="B200" i="5" s="1"/>
  <c r="B284" i="5" s="1"/>
  <c r="V148" i="5"/>
  <c r="V165" i="5"/>
  <c r="V166" i="5"/>
  <c r="V172" i="5"/>
  <c r="T205" i="5"/>
  <c r="R260" i="5"/>
  <c r="S220" i="5" s="1"/>
  <c r="T260" i="5"/>
  <c r="U255" i="5" s="1"/>
  <c r="T223" i="5"/>
  <c r="R248" i="5"/>
  <c r="S240" i="5" s="1"/>
  <c r="T248" i="5"/>
  <c r="U246" i="5" s="1"/>
  <c r="R272" i="5"/>
  <c r="S272" i="5"/>
  <c r="T272" i="5"/>
  <c r="U272" i="5"/>
  <c r="T90" i="4"/>
  <c r="T98" i="4" s="1"/>
  <c r="P69" i="4"/>
  <c r="P72" i="4" s="1"/>
  <c r="D36" i="4"/>
  <c r="F36" i="4"/>
  <c r="H36" i="4"/>
  <c r="J36" i="4"/>
  <c r="L36" i="4"/>
  <c r="N36" i="4"/>
  <c r="P36" i="4"/>
  <c r="V166" i="4"/>
  <c r="V91" i="4"/>
  <c r="V111" i="4"/>
  <c r="V108" i="4"/>
  <c r="V109" i="4"/>
  <c r="V106" i="4"/>
  <c r="V92" i="4"/>
  <c r="T114" i="4"/>
  <c r="R69" i="4"/>
  <c r="R72" i="4" s="1"/>
  <c r="L43" i="4"/>
  <c r="L44" i="4"/>
  <c r="F44" i="4"/>
  <c r="D32" i="4"/>
  <c r="F32" i="4"/>
  <c r="H32" i="4"/>
  <c r="J32" i="4"/>
  <c r="L32" i="4"/>
  <c r="N32" i="4"/>
  <c r="P32" i="4"/>
  <c r="D33" i="4"/>
  <c r="F33" i="4"/>
  <c r="H33" i="4"/>
  <c r="J33" i="4"/>
  <c r="L33" i="4"/>
  <c r="N33" i="4"/>
  <c r="P33" i="4"/>
  <c r="V34" i="4"/>
  <c r="D35" i="4"/>
  <c r="F35" i="4"/>
  <c r="H35" i="4"/>
  <c r="J35" i="4"/>
  <c r="L35" i="4"/>
  <c r="N35" i="4"/>
  <c r="P35" i="4"/>
  <c r="F43" i="4"/>
  <c r="V50" i="4"/>
  <c r="R57" i="4"/>
  <c r="R58" i="4"/>
  <c r="V70" i="4"/>
  <c r="L72" i="4"/>
  <c r="L85" i="4" s="1"/>
  <c r="N72" i="4"/>
  <c r="N85" i="4" s="1"/>
  <c r="T72" i="4"/>
  <c r="V82" i="4"/>
  <c r="V83" i="4"/>
  <c r="N88" i="4"/>
  <c r="T99" i="4"/>
  <c r="T100" i="4"/>
  <c r="T121" i="4"/>
  <c r="A105" i="4"/>
  <c r="A106" i="4" s="1"/>
  <c r="A114" i="4"/>
  <c r="A115" i="4" s="1"/>
  <c r="A116" i="4" s="1"/>
  <c r="A117" i="4" s="1"/>
  <c r="A118" i="4" s="1"/>
  <c r="A119" i="4" s="1"/>
  <c r="B135" i="4"/>
  <c r="B200" i="4" s="1"/>
  <c r="B284" i="4" s="1"/>
  <c r="V148" i="4"/>
  <c r="V165" i="4"/>
  <c r="T205" i="4"/>
  <c r="R260" i="4"/>
  <c r="S220" i="4" s="1"/>
  <c r="T260" i="4"/>
  <c r="U252" i="4" s="1"/>
  <c r="T223" i="4"/>
  <c r="R248" i="4"/>
  <c r="T248" i="4"/>
  <c r="U239" i="4" s="1"/>
  <c r="U253" i="4"/>
  <c r="R272" i="4"/>
  <c r="S272" i="4"/>
  <c r="T272" i="4"/>
  <c r="U272" i="4"/>
  <c r="V106" i="3"/>
  <c r="V91" i="3"/>
  <c r="V92" i="3"/>
  <c r="P69" i="3"/>
  <c r="P72" i="3" s="1"/>
  <c r="R69" i="3"/>
  <c r="R72" i="3" s="1"/>
  <c r="L44" i="3"/>
  <c r="F44" i="3"/>
  <c r="D32" i="3"/>
  <c r="F32" i="3"/>
  <c r="H32" i="3"/>
  <c r="J32" i="3"/>
  <c r="L32" i="3"/>
  <c r="N32" i="3"/>
  <c r="P32" i="3"/>
  <c r="D33" i="3"/>
  <c r="F33" i="3"/>
  <c r="H33" i="3"/>
  <c r="J33" i="3"/>
  <c r="L33" i="3"/>
  <c r="N33" i="3"/>
  <c r="P33" i="3"/>
  <c r="V34" i="3"/>
  <c r="V139" i="3" s="1"/>
  <c r="D35" i="3"/>
  <c r="F35" i="3"/>
  <c r="H35" i="3"/>
  <c r="J35" i="3"/>
  <c r="L35" i="3"/>
  <c r="N35" i="3"/>
  <c r="P35" i="3"/>
  <c r="F43" i="3"/>
  <c r="L43" i="3"/>
  <c r="D36" i="3"/>
  <c r="F36" i="3"/>
  <c r="H36" i="3"/>
  <c r="J36" i="3"/>
  <c r="L36" i="3"/>
  <c r="N36" i="3"/>
  <c r="P36" i="3"/>
  <c r="V50" i="3"/>
  <c r="R57" i="3"/>
  <c r="R58" i="3"/>
  <c r="V70" i="3"/>
  <c r="L72" i="3"/>
  <c r="L85" i="3" s="1"/>
  <c r="N72" i="3"/>
  <c r="N85" i="3" s="1"/>
  <c r="T72" i="3"/>
  <c r="V82" i="3"/>
  <c r="V83" i="3"/>
  <c r="N88" i="3"/>
  <c r="T98" i="3"/>
  <c r="T100" i="3"/>
  <c r="T99" i="3"/>
  <c r="T121" i="3"/>
  <c r="T123" i="3"/>
  <c r="A105" i="3"/>
  <c r="A106" i="3" s="1"/>
  <c r="A114" i="3"/>
  <c r="A115" i="3" s="1"/>
  <c r="A116" i="3" s="1"/>
  <c r="A117" i="3" s="1"/>
  <c r="A118" i="3" s="1"/>
  <c r="A119" i="3" s="1"/>
  <c r="B135" i="3"/>
  <c r="B200" i="3" s="1"/>
  <c r="B284" i="3" s="1"/>
  <c r="V148" i="3"/>
  <c r="V165" i="3"/>
  <c r="V166" i="3"/>
  <c r="V185" i="3"/>
  <c r="T205" i="3"/>
  <c r="R260" i="3"/>
  <c r="S258" i="3" s="1"/>
  <c r="T260" i="3"/>
  <c r="U253" i="3" s="1"/>
  <c r="T223" i="3"/>
  <c r="R248" i="3"/>
  <c r="T248" i="3"/>
  <c r="U244" i="3" s="1"/>
  <c r="R272" i="3"/>
  <c r="S272" i="3"/>
  <c r="T272" i="3"/>
  <c r="U272" i="3"/>
  <c r="P69" i="2"/>
  <c r="P72" i="2" s="1"/>
  <c r="V91" i="2"/>
  <c r="V92" i="2"/>
  <c r="V94" i="2"/>
  <c r="N72" i="2"/>
  <c r="N85" i="2" s="1"/>
  <c r="F43" i="2"/>
  <c r="L43" i="2"/>
  <c r="D35" i="2"/>
  <c r="F35" i="2"/>
  <c r="H35" i="2"/>
  <c r="J35" i="2"/>
  <c r="L35" i="2"/>
  <c r="N35" i="2"/>
  <c r="P35" i="2"/>
  <c r="V148" i="2"/>
  <c r="D36" i="2"/>
  <c r="F36" i="2"/>
  <c r="H36" i="2"/>
  <c r="J36" i="2"/>
  <c r="L36" i="2"/>
  <c r="N36" i="2"/>
  <c r="P36" i="2"/>
  <c r="V106" i="2"/>
  <c r="R69" i="2"/>
  <c r="R72" i="2" s="1"/>
  <c r="V70" i="2"/>
  <c r="R57" i="2"/>
  <c r="L44" i="2"/>
  <c r="F44" i="2"/>
  <c r="P32" i="2"/>
  <c r="N32" i="2"/>
  <c r="L32" i="2"/>
  <c r="J32" i="2"/>
  <c r="H32" i="2"/>
  <c r="F32" i="2"/>
  <c r="D32" i="2"/>
  <c r="D33" i="2"/>
  <c r="F33" i="2"/>
  <c r="H33" i="2"/>
  <c r="J33" i="2"/>
  <c r="L33" i="2"/>
  <c r="N33" i="2"/>
  <c r="P33" i="2"/>
  <c r="V34" i="2"/>
  <c r="S183" i="2" s="1"/>
  <c r="V50" i="2"/>
  <c r="R58" i="2"/>
  <c r="L72" i="2"/>
  <c r="L85" i="2" s="1"/>
  <c r="T72" i="2"/>
  <c r="V82" i="2"/>
  <c r="V83" i="2"/>
  <c r="N88" i="2"/>
  <c r="T98" i="2"/>
  <c r="T100" i="2"/>
  <c r="T99" i="2"/>
  <c r="T121" i="2"/>
  <c r="T123" i="2"/>
  <c r="A105" i="2"/>
  <c r="A106" i="2" s="1"/>
  <c r="A114" i="2"/>
  <c r="A115" i="2" s="1"/>
  <c r="A116" i="2" s="1"/>
  <c r="A117" i="2" s="1"/>
  <c r="A118" i="2" s="1"/>
  <c r="A119" i="2" s="1"/>
  <c r="B135" i="2"/>
  <c r="B200" i="2" s="1"/>
  <c r="B284" i="2" s="1"/>
  <c r="V139" i="2"/>
  <c r="V165" i="2"/>
  <c r="V166" i="2"/>
  <c r="V185" i="2"/>
  <c r="T205" i="2"/>
  <c r="R260" i="2"/>
  <c r="S251" i="2" s="1"/>
  <c r="T260" i="2"/>
  <c r="T220" i="2" s="1"/>
  <c r="T223" i="2"/>
  <c r="R248" i="2"/>
  <c r="S242" i="2" s="1"/>
  <c r="T248" i="2"/>
  <c r="U240" i="2" s="1"/>
  <c r="R272" i="2"/>
  <c r="S272" i="2"/>
  <c r="T272" i="2"/>
  <c r="U272" i="2"/>
  <c r="T98" i="1"/>
  <c r="T100" i="1"/>
  <c r="T99" i="1"/>
  <c r="T121" i="1"/>
  <c r="T123" i="1"/>
  <c r="V91" i="1"/>
  <c r="V92" i="1"/>
  <c r="V94" i="1"/>
  <c r="V95" i="1"/>
  <c r="V104" i="1"/>
  <c r="V106" i="1"/>
  <c r="R69" i="1"/>
  <c r="V69" i="1" s="1"/>
  <c r="P69" i="1"/>
  <c r="P72" i="1" s="1"/>
  <c r="A114" i="1"/>
  <c r="A115" i="1" s="1"/>
  <c r="A116" i="1" s="1"/>
  <c r="A117" i="1" s="1"/>
  <c r="A118" i="1" s="1"/>
  <c r="A119" i="1" s="1"/>
  <c r="P36" i="1"/>
  <c r="P33" i="1"/>
  <c r="D36" i="1"/>
  <c r="F36" i="1"/>
  <c r="H36" i="1"/>
  <c r="J36" i="1"/>
  <c r="L36" i="1"/>
  <c r="N36" i="1"/>
  <c r="T223" i="1"/>
  <c r="V34" i="1"/>
  <c r="V82" i="1"/>
  <c r="L43" i="1"/>
  <c r="F43" i="1"/>
  <c r="L72" i="1"/>
  <c r="L85" i="1" s="1"/>
  <c r="V50" i="1"/>
  <c r="J33" i="1"/>
  <c r="F33" i="1"/>
  <c r="T272" i="1"/>
  <c r="T260" i="1"/>
  <c r="T220" i="1" s="1"/>
  <c r="T248" i="1"/>
  <c r="U245" i="1" s="1"/>
  <c r="R272" i="1"/>
  <c r="R260" i="1"/>
  <c r="R248" i="1"/>
  <c r="S244" i="1" s="1"/>
  <c r="V35" i="1"/>
  <c r="V83" i="1"/>
  <c r="D33" i="1"/>
  <c r="N33" i="1"/>
  <c r="L33" i="1"/>
  <c r="H33" i="1"/>
  <c r="N88" i="1"/>
  <c r="U272" i="1"/>
  <c r="S272" i="1"/>
  <c r="N72" i="1"/>
  <c r="N85" i="1" s="1"/>
  <c r="U251" i="1"/>
  <c r="U254" i="1"/>
  <c r="U257" i="1"/>
  <c r="V70" i="1"/>
  <c r="A105" i="1"/>
  <c r="A106" i="1" s="1"/>
  <c r="R58" i="1"/>
  <c r="V184" i="1"/>
  <c r="T72" i="1"/>
  <c r="B135" i="1"/>
  <c r="B200" i="1" s="1"/>
  <c r="B284" i="1" s="1"/>
  <c r="V165" i="1"/>
  <c r="V166" i="1"/>
  <c r="V185" i="1"/>
  <c r="U243" i="6"/>
  <c r="U269" i="14"/>
  <c r="S268" i="6"/>
  <c r="S258" i="11"/>
  <c r="U246" i="3"/>
  <c r="S257" i="4"/>
  <c r="S253" i="4"/>
  <c r="S247" i="10"/>
  <c r="S243" i="10"/>
  <c r="U240" i="11"/>
  <c r="S256" i="12"/>
  <c r="U255" i="13"/>
  <c r="V185" i="14"/>
  <c r="U257" i="9"/>
  <c r="S252" i="13"/>
  <c r="U258" i="15"/>
  <c r="U254" i="15"/>
  <c r="U267" i="7"/>
  <c r="T215" i="2"/>
  <c r="S239" i="1"/>
  <c r="S243" i="1"/>
  <c r="S241" i="1"/>
  <c r="S240" i="1"/>
  <c r="S245" i="1"/>
  <c r="U241" i="5"/>
  <c r="U242" i="5"/>
  <c r="S270" i="6"/>
  <c r="T122" i="11"/>
  <c r="T130" i="11" s="1"/>
  <c r="U252" i="1"/>
  <c r="U256" i="1"/>
  <c r="U243" i="3"/>
  <c r="S241" i="3"/>
  <c r="U255" i="6"/>
  <c r="S269" i="6"/>
  <c r="S253" i="7"/>
  <c r="S220" i="8"/>
  <c r="S257" i="8"/>
  <c r="S256" i="1"/>
  <c r="U255" i="4"/>
  <c r="S255" i="5"/>
  <c r="S245" i="6"/>
  <c r="T220" i="7"/>
  <c r="U254" i="7"/>
  <c r="S268" i="16"/>
  <c r="U244" i="8"/>
  <c r="S221" i="10"/>
  <c r="S253" i="10"/>
  <c r="S255" i="10"/>
  <c r="S257" i="10"/>
  <c r="S259" i="10"/>
  <c r="S252" i="10"/>
  <c r="S251" i="13"/>
  <c r="S253" i="13"/>
  <c r="S266" i="16"/>
  <c r="U251" i="16"/>
  <c r="U253" i="16"/>
  <c r="U255" i="16"/>
  <c r="U257" i="16"/>
  <c r="U252" i="16"/>
  <c r="U254" i="16"/>
  <c r="U256" i="16"/>
  <c r="U258" i="16"/>
  <c r="S241" i="11"/>
  <c r="S244" i="11"/>
  <c r="S251" i="15"/>
  <c r="S220" i="15"/>
  <c r="S270" i="15"/>
  <c r="U265" i="15"/>
  <c r="U266" i="15"/>
  <c r="U264" i="16"/>
  <c r="U266" i="16"/>
  <c r="U268" i="16"/>
  <c r="U270" i="16"/>
  <c r="T220" i="16"/>
  <c r="U263" i="16"/>
  <c r="U265" i="16"/>
  <c r="U267" i="16"/>
  <c r="U269" i="16"/>
  <c r="S251" i="12"/>
  <c r="U258" i="4"/>
  <c r="S256" i="5"/>
  <c r="S257" i="9"/>
  <c r="S243" i="8"/>
  <c r="U258" i="17"/>
  <c r="U257" i="17"/>
  <c r="U256" i="17"/>
  <c r="U255" i="17"/>
  <c r="U254" i="17"/>
  <c r="U253" i="17"/>
  <c r="U252" i="17"/>
  <c r="P71" i="17"/>
  <c r="U267" i="17"/>
  <c r="U266" i="17"/>
  <c r="U265" i="17"/>
  <c r="U264" i="17"/>
  <c r="U263" i="17"/>
  <c r="T286" i="17"/>
  <c r="U258" i="1"/>
  <c r="U255" i="1"/>
  <c r="U253" i="1"/>
  <c r="U258" i="2"/>
  <c r="U251" i="2"/>
  <c r="T215" i="3"/>
  <c r="S245" i="7"/>
  <c r="S245" i="8"/>
  <c r="S258" i="9"/>
  <c r="S258" i="10"/>
  <c r="S242" i="10"/>
  <c r="T215" i="13"/>
  <c r="S257" i="16"/>
  <c r="S252" i="17"/>
  <c r="V68" i="18"/>
  <c r="V71" i="18" s="1"/>
  <c r="V138" i="18"/>
  <c r="T220" i="19"/>
  <c r="U264" i="19"/>
  <c r="U263" i="19"/>
  <c r="U267" i="19"/>
  <c r="S265" i="19"/>
  <c r="S269" i="19"/>
  <c r="U252" i="20"/>
  <c r="U254" i="20"/>
  <c r="U251" i="20"/>
  <c r="U253" i="20"/>
  <c r="U255" i="20"/>
  <c r="U257" i="20"/>
  <c r="U258" i="20"/>
  <c r="R248" i="21"/>
  <c r="U253" i="21"/>
  <c r="U255" i="21"/>
  <c r="U263" i="21"/>
  <c r="U264" i="21"/>
  <c r="U265" i="21"/>
  <c r="U266" i="21"/>
  <c r="U267" i="21"/>
  <c r="U268" i="21"/>
  <c r="U269" i="21"/>
  <c r="T220" i="21"/>
  <c r="S268" i="21"/>
  <c r="S253" i="21"/>
  <c r="U270" i="22"/>
  <c r="S271" i="22"/>
  <c r="S267" i="22"/>
  <c r="S269" i="22"/>
  <c r="S265" i="22"/>
  <c r="S270" i="22"/>
  <c r="S268" i="22"/>
  <c r="S266" i="22"/>
  <c r="U256" i="22"/>
  <c r="S258" i="22"/>
  <c r="S255" i="22"/>
  <c r="S184" i="23"/>
  <c r="U253" i="23"/>
  <c r="S252" i="23"/>
  <c r="U285" i="23"/>
  <c r="T287" i="24"/>
  <c r="U255" i="24"/>
  <c r="U256" i="24"/>
  <c r="U257" i="24"/>
  <c r="U258" i="24"/>
  <c r="U259" i="24"/>
  <c r="U252" i="24"/>
  <c r="U253" i="24"/>
  <c r="U253" i="25"/>
  <c r="U252" i="25"/>
  <c r="U256" i="25"/>
  <c r="U259" i="25"/>
  <c r="S254" i="25"/>
  <c r="S257" i="25"/>
  <c r="T123" i="25"/>
  <c r="T131" i="25" s="1"/>
  <c r="S267" i="6" l="1"/>
  <c r="U252" i="13"/>
  <c r="U256" i="13"/>
  <c r="S244" i="10"/>
  <c r="U243" i="2"/>
  <c r="U252" i="14"/>
  <c r="V185" i="5"/>
  <c r="S258" i="8"/>
  <c r="R274" i="8"/>
  <c r="R275" i="10"/>
  <c r="S264" i="15"/>
  <c r="U268" i="17"/>
  <c r="S221" i="22"/>
  <c r="U258" i="22"/>
  <c r="S251" i="16"/>
  <c r="S269" i="16"/>
  <c r="S255" i="8"/>
  <c r="S251" i="7"/>
  <c r="S266" i="6"/>
  <c r="S267" i="15"/>
  <c r="S263" i="6"/>
  <c r="S253" i="8"/>
  <c r="S220" i="7"/>
  <c r="U241" i="2"/>
  <c r="U253" i="13"/>
  <c r="U255" i="11"/>
  <c r="U253" i="12"/>
  <c r="S183" i="12"/>
  <c r="S270" i="13"/>
  <c r="U253" i="22"/>
  <c r="S258" i="23"/>
  <c r="V138" i="21"/>
  <c r="S256" i="7"/>
  <c r="S266" i="15"/>
  <c r="S244" i="9"/>
  <c r="S252" i="7"/>
  <c r="V69" i="6"/>
  <c r="U239" i="3"/>
  <c r="S256" i="23"/>
  <c r="U252" i="22"/>
  <c r="U255" i="22"/>
  <c r="S256" i="21"/>
  <c r="S252" i="16"/>
  <c r="S220" i="16"/>
  <c r="S257" i="7"/>
  <c r="S264" i="6"/>
  <c r="S254" i="3"/>
  <c r="U257" i="13"/>
  <c r="S245" i="10"/>
  <c r="U254" i="22"/>
  <c r="U257" i="22"/>
  <c r="T287" i="22"/>
  <c r="S256" i="16"/>
  <c r="U256" i="4"/>
  <c r="S263" i="15"/>
  <c r="S270" i="16"/>
  <c r="S256" i="8"/>
  <c r="S221" i="6"/>
  <c r="U251" i="4"/>
  <c r="S254" i="8"/>
  <c r="S251" i="8"/>
  <c r="S267" i="7"/>
  <c r="T122" i="13"/>
  <c r="U254" i="13"/>
  <c r="U258" i="13"/>
  <c r="S241" i="10"/>
  <c r="S246" i="10"/>
  <c r="U241" i="3"/>
  <c r="V36" i="12"/>
  <c r="V166" i="13"/>
  <c r="T130" i="14"/>
  <c r="S268" i="15"/>
  <c r="U270" i="17"/>
  <c r="T101" i="17"/>
  <c r="V166" i="18"/>
  <c r="V98" i="2"/>
  <c r="V102" i="2" s="1"/>
  <c r="V51" i="18"/>
  <c r="S256" i="10"/>
  <c r="V167" i="10"/>
  <c r="T286" i="16"/>
  <c r="S240" i="2"/>
  <c r="V36" i="6"/>
  <c r="R249" i="22"/>
  <c r="S244" i="22" s="1"/>
  <c r="V167" i="23"/>
  <c r="R249" i="25"/>
  <c r="V36" i="13"/>
  <c r="V166" i="14"/>
  <c r="V35" i="15"/>
  <c r="V43" i="15" s="1"/>
  <c r="T207" i="15" s="1"/>
  <c r="T208" i="15" s="1"/>
  <c r="V97" i="19"/>
  <c r="V101" i="19" s="1"/>
  <c r="V193" i="19" s="1"/>
  <c r="U253" i="2"/>
  <c r="U263" i="12"/>
  <c r="U254" i="23"/>
  <c r="S252" i="22"/>
  <c r="S257" i="22"/>
  <c r="U266" i="22"/>
  <c r="U267" i="22"/>
  <c r="S269" i="21"/>
  <c r="S268" i="19"/>
  <c r="S264" i="19"/>
  <c r="S258" i="17"/>
  <c r="S251" i="17"/>
  <c r="U252" i="2"/>
  <c r="S263" i="17"/>
  <c r="V68" i="13"/>
  <c r="V71" i="13" s="1"/>
  <c r="S253" i="5"/>
  <c r="U245" i="5"/>
  <c r="T130" i="13"/>
  <c r="U268" i="7"/>
  <c r="U243" i="11"/>
  <c r="S254" i="4"/>
  <c r="S258" i="4"/>
  <c r="S251" i="11"/>
  <c r="U241" i="10"/>
  <c r="U244" i="6"/>
  <c r="V35" i="4"/>
  <c r="V43" i="4" s="1"/>
  <c r="T207" i="4" s="1"/>
  <c r="T208" i="4" s="1"/>
  <c r="V98" i="4"/>
  <c r="V102" i="4" s="1"/>
  <c r="V195" i="4" s="1"/>
  <c r="U243" i="5"/>
  <c r="R274" i="6"/>
  <c r="V51" i="16"/>
  <c r="V97" i="21"/>
  <c r="V101" i="21" s="1"/>
  <c r="V195" i="21" s="1"/>
  <c r="S246" i="25"/>
  <c r="S254" i="22"/>
  <c r="U271" i="22"/>
  <c r="S265" i="21"/>
  <c r="U245" i="4"/>
  <c r="U257" i="2"/>
  <c r="S256" i="6"/>
  <c r="R286" i="17"/>
  <c r="S255" i="17"/>
  <c r="S255" i="18"/>
  <c r="V118" i="19"/>
  <c r="V130" i="19" s="1"/>
  <c r="V131" i="19" s="1"/>
  <c r="R248" i="20"/>
  <c r="S240" i="20" s="1"/>
  <c r="T249" i="24"/>
  <c r="S259" i="22"/>
  <c r="U265" i="22"/>
  <c r="S264" i="21"/>
  <c r="S267" i="19"/>
  <c r="S256" i="17"/>
  <c r="U269" i="12"/>
  <c r="U254" i="2"/>
  <c r="U242" i="6"/>
  <c r="U269" i="7"/>
  <c r="U242" i="10"/>
  <c r="U244" i="11"/>
  <c r="S251" i="4"/>
  <c r="S255" i="4"/>
  <c r="S254" i="14"/>
  <c r="S254" i="11"/>
  <c r="U240" i="6"/>
  <c r="U245" i="6"/>
  <c r="P71" i="24"/>
  <c r="U257" i="23"/>
  <c r="S256" i="22"/>
  <c r="R287" i="22"/>
  <c r="U268" i="22"/>
  <c r="S270" i="21"/>
  <c r="R286" i="19"/>
  <c r="S254" i="17"/>
  <c r="U256" i="2"/>
  <c r="T275" i="10"/>
  <c r="U269" i="6"/>
  <c r="U239" i="6"/>
  <c r="U266" i="7"/>
  <c r="U244" i="5"/>
  <c r="S246" i="1"/>
  <c r="U251" i="3"/>
  <c r="S252" i="4"/>
  <c r="S256" i="4"/>
  <c r="S255" i="11"/>
  <c r="U241" i="6"/>
  <c r="U255" i="2"/>
  <c r="V51" i="2"/>
  <c r="T123" i="4"/>
  <c r="T221" i="6"/>
  <c r="U270" i="6"/>
  <c r="R274" i="11"/>
  <c r="U270" i="12"/>
  <c r="P71" i="16"/>
  <c r="S252" i="18"/>
  <c r="S256" i="18"/>
  <c r="V36" i="19"/>
  <c r="V166" i="19"/>
  <c r="T130" i="20"/>
  <c r="T248" i="20"/>
  <c r="T248" i="21"/>
  <c r="U242" i="21" s="1"/>
  <c r="V139" i="22"/>
  <c r="U265" i="24"/>
  <c r="T101" i="25"/>
  <c r="V167" i="25"/>
  <c r="S246" i="26"/>
  <c r="S183" i="7"/>
  <c r="V139" i="7"/>
  <c r="U267" i="25"/>
  <c r="U271" i="25"/>
  <c r="T221" i="25"/>
  <c r="P72" i="5"/>
  <c r="V69" i="5"/>
  <c r="V72" i="5" s="1"/>
  <c r="U246" i="7"/>
  <c r="U245" i="7"/>
  <c r="U240" i="7"/>
  <c r="U244" i="7"/>
  <c r="S265" i="7"/>
  <c r="S221" i="7"/>
  <c r="S270" i="7"/>
  <c r="S266" i="7"/>
  <c r="S269" i="7"/>
  <c r="S264" i="7"/>
  <c r="R274" i="7"/>
  <c r="S263" i="7"/>
  <c r="U245" i="8"/>
  <c r="U242" i="8"/>
  <c r="U240" i="8"/>
  <c r="T220" i="8"/>
  <c r="U256" i="8"/>
  <c r="U254" i="8"/>
  <c r="U255" i="8"/>
  <c r="U253" i="8"/>
  <c r="U251" i="8"/>
  <c r="U260" i="8" s="1"/>
  <c r="U252" i="8"/>
  <c r="U258" i="8"/>
  <c r="S186" i="2"/>
  <c r="S184" i="3" s="1"/>
  <c r="V184" i="2"/>
  <c r="T220" i="14"/>
  <c r="U268" i="14"/>
  <c r="U264" i="14"/>
  <c r="U267" i="14"/>
  <c r="U263" i="14"/>
  <c r="U270" i="14"/>
  <c r="U266" i="14"/>
  <c r="U242" i="14"/>
  <c r="V68" i="16"/>
  <c r="R71" i="16"/>
  <c r="S247" i="25"/>
  <c r="S243" i="25"/>
  <c r="S252" i="25"/>
  <c r="S255" i="25"/>
  <c r="S259" i="25"/>
  <c r="S256" i="25"/>
  <c r="S253" i="25"/>
  <c r="S259" i="24"/>
  <c r="U257" i="8"/>
  <c r="S241" i="2"/>
  <c r="S239" i="2"/>
  <c r="S244" i="2"/>
  <c r="S245" i="2"/>
  <c r="S243" i="2"/>
  <c r="S246" i="2"/>
  <c r="S246" i="3"/>
  <c r="S242" i="3"/>
  <c r="U245" i="14"/>
  <c r="T248" i="14"/>
  <c r="U246" i="14" s="1"/>
  <c r="T248" i="17"/>
  <c r="R248" i="17"/>
  <c r="S239" i="17" s="1"/>
  <c r="V68" i="19"/>
  <c r="V71" i="19" s="1"/>
  <c r="V84" i="19" s="1"/>
  <c r="V179" i="19" s="1"/>
  <c r="T215" i="19"/>
  <c r="P71" i="19"/>
  <c r="S183" i="20"/>
  <c r="V138" i="20"/>
  <c r="V51" i="20"/>
  <c r="S245" i="20"/>
  <c r="S256" i="20"/>
  <c r="S257" i="20"/>
  <c r="S252" i="20"/>
  <c r="S221" i="21"/>
  <c r="S282" i="21"/>
  <c r="S284" i="21" s="1"/>
  <c r="P71" i="21"/>
  <c r="V68" i="21"/>
  <c r="V71" i="21" s="1"/>
  <c r="T215" i="21"/>
  <c r="S246" i="17"/>
  <c r="S258" i="25"/>
  <c r="V68" i="25"/>
  <c r="V71" i="25" s="1"/>
  <c r="V179" i="25" s="1"/>
  <c r="S252" i="24"/>
  <c r="S240" i="21"/>
  <c r="S244" i="21"/>
  <c r="U239" i="7"/>
  <c r="T274" i="7"/>
  <c r="U265" i="14"/>
  <c r="V186" i="1"/>
  <c r="T221" i="10"/>
  <c r="U255" i="10"/>
  <c r="U257" i="10"/>
  <c r="V186" i="10"/>
  <c r="T123" i="10"/>
  <c r="T131" i="10" s="1"/>
  <c r="V35" i="13"/>
  <c r="V43" i="13" s="1"/>
  <c r="T207" i="13" s="1"/>
  <c r="T208" i="13" s="1"/>
  <c r="R71" i="14"/>
  <c r="V68" i="14"/>
  <c r="V71" i="14" s="1"/>
  <c r="V84" i="14" s="1"/>
  <c r="V179" i="14" s="1"/>
  <c r="U251" i="15"/>
  <c r="U257" i="15"/>
  <c r="U253" i="15"/>
  <c r="U255" i="15"/>
  <c r="U256" i="15"/>
  <c r="U252" i="15"/>
  <c r="U267" i="15"/>
  <c r="U268" i="15"/>
  <c r="U263" i="15"/>
  <c r="T220" i="15"/>
  <c r="U269" i="15"/>
  <c r="U270" i="15"/>
  <c r="U264" i="15"/>
  <c r="R248" i="18"/>
  <c r="S243" i="18" s="1"/>
  <c r="S241" i="18"/>
  <c r="S245" i="18"/>
  <c r="U257" i="21"/>
  <c r="U251" i="21"/>
  <c r="V186" i="24"/>
  <c r="T123" i="24"/>
  <c r="T131" i="24" s="1"/>
  <c r="V98" i="7"/>
  <c r="V102" i="7" s="1"/>
  <c r="V193" i="7" s="1"/>
  <c r="T101" i="16"/>
  <c r="S241" i="7"/>
  <c r="S258" i="5"/>
  <c r="S254" i="15"/>
  <c r="U264" i="6"/>
  <c r="S251" i="5"/>
  <c r="U239" i="5"/>
  <c r="U240" i="5"/>
  <c r="U240" i="10"/>
  <c r="U241" i="11"/>
  <c r="U245" i="11"/>
  <c r="S266" i="14"/>
  <c r="S252" i="11"/>
  <c r="S256" i="11"/>
  <c r="T249" i="23"/>
  <c r="V71" i="20"/>
  <c r="V178" i="20" s="1"/>
  <c r="S253" i="15"/>
  <c r="U257" i="7"/>
  <c r="S257" i="5"/>
  <c r="U256" i="7"/>
  <c r="U247" i="10"/>
  <c r="U242" i="11"/>
  <c r="U246" i="11"/>
  <c r="U266" i="6"/>
  <c r="S253" i="11"/>
  <c r="S257" i="11"/>
  <c r="R274" i="1"/>
  <c r="T226" i="2"/>
  <c r="T226" i="3" s="1"/>
  <c r="T226" i="4" s="1"/>
  <c r="T226" i="5" s="1"/>
  <c r="T226" i="6" s="1"/>
  <c r="T226" i="7" s="1"/>
  <c r="T226" i="8" s="1"/>
  <c r="T227" i="9" s="1"/>
  <c r="V51" i="14"/>
  <c r="V195" i="19"/>
  <c r="U271" i="23"/>
  <c r="T131" i="1"/>
  <c r="T102" i="9"/>
  <c r="T102" i="10"/>
  <c r="T209" i="21"/>
  <c r="V51" i="24"/>
  <c r="V51" i="25"/>
  <c r="U240" i="14"/>
  <c r="U239" i="14"/>
  <c r="V195" i="2"/>
  <c r="V69" i="2"/>
  <c r="V36" i="3"/>
  <c r="V35" i="5"/>
  <c r="V43" i="5" s="1"/>
  <c r="T207" i="5" s="1"/>
  <c r="T208" i="5" s="1"/>
  <c r="V167" i="6"/>
  <c r="T248" i="12"/>
  <c r="U241" i="12" s="1"/>
  <c r="T248" i="13"/>
  <c r="U240" i="13" s="1"/>
  <c r="V51" i="13"/>
  <c r="U243" i="14"/>
  <c r="R248" i="14"/>
  <c r="S242" i="14" s="1"/>
  <c r="T101" i="14"/>
  <c r="T131" i="14" s="1"/>
  <c r="T130" i="15"/>
  <c r="T248" i="16"/>
  <c r="U246" i="16" s="1"/>
  <c r="V166" i="16"/>
  <c r="T130" i="16"/>
  <c r="V36" i="16"/>
  <c r="V35" i="16"/>
  <c r="V43" i="16" s="1"/>
  <c r="T207" i="16" s="1"/>
  <c r="T208" i="16" s="1"/>
  <c r="V97" i="16"/>
  <c r="V101" i="16" s="1"/>
  <c r="V195" i="16" s="1"/>
  <c r="T130" i="17"/>
  <c r="T131" i="17" s="1"/>
  <c r="V35" i="18"/>
  <c r="V43" i="18" s="1"/>
  <c r="T207" i="18" s="1"/>
  <c r="T208" i="18" s="1"/>
  <c r="V36" i="18"/>
  <c r="P71" i="22"/>
  <c r="V68" i="22"/>
  <c r="V97" i="22"/>
  <c r="V101" i="22" s="1"/>
  <c r="T210" i="22" s="1"/>
  <c r="U242" i="12"/>
  <c r="S243" i="14"/>
  <c r="V139" i="4"/>
  <c r="S183" i="4"/>
  <c r="S246" i="5"/>
  <c r="S242" i="5"/>
  <c r="S244" i="8"/>
  <c r="S239" i="8"/>
  <c r="U240" i="9"/>
  <c r="U243" i="9"/>
  <c r="U241" i="9"/>
  <c r="U246" i="9"/>
  <c r="U247" i="9"/>
  <c r="S221" i="9"/>
  <c r="S259" i="9"/>
  <c r="U258" i="11"/>
  <c r="U257" i="11"/>
  <c r="U253" i="11"/>
  <c r="U256" i="11"/>
  <c r="S257" i="12"/>
  <c r="S258" i="12"/>
  <c r="S254" i="12"/>
  <c r="T220" i="12"/>
  <c r="U264" i="12"/>
  <c r="U267" i="12"/>
  <c r="S220" i="14"/>
  <c r="S269" i="14"/>
  <c r="S267" i="14"/>
  <c r="S265" i="14"/>
  <c r="S263" i="14"/>
  <c r="S251" i="14"/>
  <c r="S257" i="14"/>
  <c r="S255" i="14"/>
  <c r="S253" i="14"/>
  <c r="T101" i="15"/>
  <c r="U264" i="18"/>
  <c r="U266" i="18"/>
  <c r="S258" i="21"/>
  <c r="S255" i="21"/>
  <c r="U270" i="23"/>
  <c r="U268" i="23"/>
  <c r="U266" i="23"/>
  <c r="U264" i="23"/>
  <c r="T221" i="23"/>
  <c r="S268" i="24"/>
  <c r="S221" i="24"/>
  <c r="U270" i="25"/>
  <c r="U268" i="25"/>
  <c r="U266" i="25"/>
  <c r="U264" i="25"/>
  <c r="S245" i="25"/>
  <c r="U258" i="25"/>
  <c r="U254" i="25"/>
  <c r="U261" i="25" s="1"/>
  <c r="U255" i="25"/>
  <c r="V139" i="25"/>
  <c r="V139" i="24"/>
  <c r="V68" i="24"/>
  <c r="V71" i="24" s="1"/>
  <c r="V84" i="24" s="1"/>
  <c r="V180" i="24" s="1"/>
  <c r="U255" i="23"/>
  <c r="U256" i="23"/>
  <c r="U252" i="23"/>
  <c r="V118" i="21"/>
  <c r="V130" i="21" s="1"/>
  <c r="V131" i="21" s="1"/>
  <c r="V193" i="21"/>
  <c r="S254" i="21"/>
  <c r="S257" i="21"/>
  <c r="T286" i="21"/>
  <c r="S267" i="21"/>
  <c r="S263" i="21"/>
  <c r="S266" i="21"/>
  <c r="U282" i="21"/>
  <c r="U284" i="21" s="1"/>
  <c r="R286" i="21"/>
  <c r="S183" i="19"/>
  <c r="S253" i="16"/>
  <c r="P71" i="15"/>
  <c r="S183" i="13"/>
  <c r="V185" i="12"/>
  <c r="U268" i="12"/>
  <c r="S242" i="11"/>
  <c r="S254" i="9"/>
  <c r="S242" i="8"/>
  <c r="S240" i="6"/>
  <c r="U244" i="14"/>
  <c r="S254" i="16"/>
  <c r="S258" i="16"/>
  <c r="S241" i="8"/>
  <c r="S255" i="9"/>
  <c r="V69" i="3"/>
  <c r="S255" i="12"/>
  <c r="T286" i="12"/>
  <c r="S272" i="15"/>
  <c r="S252" i="15"/>
  <c r="S257" i="15"/>
  <c r="S255" i="15"/>
  <c r="S240" i="11"/>
  <c r="S245" i="11"/>
  <c r="S257" i="13"/>
  <c r="S255" i="13"/>
  <c r="S258" i="13"/>
  <c r="T220" i="11"/>
  <c r="S263" i="16"/>
  <c r="S264" i="16"/>
  <c r="S265" i="16"/>
  <c r="U244" i="4"/>
  <c r="T215" i="5"/>
  <c r="U245" i="10"/>
  <c r="U244" i="10"/>
  <c r="U246" i="10"/>
  <c r="U252" i="11"/>
  <c r="S244" i="5"/>
  <c r="S256" i="13"/>
  <c r="S252" i="12"/>
  <c r="P71" i="11"/>
  <c r="U251" i="11"/>
  <c r="U245" i="9"/>
  <c r="S252" i="14"/>
  <c r="S256" i="14"/>
  <c r="S264" i="14"/>
  <c r="S268" i="14"/>
  <c r="U242" i="9"/>
  <c r="V72" i="1"/>
  <c r="U245" i="3"/>
  <c r="U242" i="3"/>
  <c r="U240" i="3"/>
  <c r="S240" i="7"/>
  <c r="S246" i="7"/>
  <c r="U265" i="7"/>
  <c r="U264" i="7"/>
  <c r="T221" i="7"/>
  <c r="U270" i="7"/>
  <c r="S240" i="8"/>
  <c r="V167" i="9"/>
  <c r="U266" i="12"/>
  <c r="V68" i="17"/>
  <c r="V71" i="17" s="1"/>
  <c r="T215" i="17"/>
  <c r="T286" i="18"/>
  <c r="S251" i="21"/>
  <c r="S260" i="21" s="1"/>
  <c r="U265" i="23"/>
  <c r="U269" i="23"/>
  <c r="S265" i="24"/>
  <c r="S266" i="24"/>
  <c r="U265" i="25"/>
  <c r="U269" i="25"/>
  <c r="V167" i="1"/>
  <c r="R274" i="3"/>
  <c r="T102" i="3"/>
  <c r="V35" i="3"/>
  <c r="V43" i="3" s="1"/>
  <c r="T207" i="3" s="1"/>
  <c r="T208" i="3" s="1"/>
  <c r="T102" i="8"/>
  <c r="V51" i="8"/>
  <c r="V36" i="8"/>
  <c r="T131" i="9"/>
  <c r="T132" i="9" s="1"/>
  <c r="V68" i="12"/>
  <c r="V71" i="12" s="1"/>
  <c r="V178" i="12" s="1"/>
  <c r="V51" i="15"/>
  <c r="V97" i="18"/>
  <c r="V101" i="18" s="1"/>
  <c r="V195" i="18" s="1"/>
  <c r="V97" i="20"/>
  <c r="V101" i="20" s="1"/>
  <c r="V193" i="20" s="1"/>
  <c r="V166" i="21"/>
  <c r="V167" i="22"/>
  <c r="T101" i="23"/>
  <c r="V167" i="24"/>
  <c r="V97" i="25"/>
  <c r="V101" i="25" s="1"/>
  <c r="U272" i="16"/>
  <c r="U240" i="16"/>
  <c r="U248" i="5"/>
  <c r="S220" i="3"/>
  <c r="S252" i="3"/>
  <c r="S257" i="3"/>
  <c r="S255" i="3"/>
  <c r="S253" i="3"/>
  <c r="V35" i="8"/>
  <c r="V43" i="8" s="1"/>
  <c r="T207" i="8" s="1"/>
  <c r="T208" i="8" s="1"/>
  <c r="V185" i="8"/>
  <c r="T123" i="8"/>
  <c r="T215" i="8"/>
  <c r="V69" i="8"/>
  <c r="V72" i="8" s="1"/>
  <c r="V178" i="8" s="1"/>
  <c r="S247" i="9"/>
  <c r="S242" i="9"/>
  <c r="R275" i="9"/>
  <c r="S245" i="9"/>
  <c r="S243" i="9"/>
  <c r="U258" i="9"/>
  <c r="U256" i="9"/>
  <c r="U254" i="9"/>
  <c r="U252" i="9"/>
  <c r="T221" i="9"/>
  <c r="T275" i="9"/>
  <c r="V36" i="10"/>
  <c r="S270" i="12"/>
  <c r="S266" i="12"/>
  <c r="S263" i="12"/>
  <c r="V51" i="12"/>
  <c r="V35" i="12"/>
  <c r="V43" i="12" s="1"/>
  <c r="T207" i="12" s="1"/>
  <c r="T208" i="12" s="1"/>
  <c r="V36" i="15"/>
  <c r="R71" i="15"/>
  <c r="V68" i="15"/>
  <c r="V71" i="15" s="1"/>
  <c r="V178" i="15" s="1"/>
  <c r="S251" i="20"/>
  <c r="S253" i="20"/>
  <c r="S255" i="20"/>
  <c r="S258" i="20"/>
  <c r="T221" i="20"/>
  <c r="T286" i="20"/>
  <c r="U241" i="21"/>
  <c r="U244" i="21"/>
  <c r="U258" i="21"/>
  <c r="U252" i="21"/>
  <c r="U254" i="21"/>
  <c r="U256" i="21"/>
  <c r="T101" i="22"/>
  <c r="N84" i="22"/>
  <c r="S259" i="23"/>
  <c r="S253" i="23"/>
  <c r="S255" i="23"/>
  <c r="S257" i="23"/>
  <c r="R287" i="23"/>
  <c r="T222" i="23"/>
  <c r="T287" i="23"/>
  <c r="S271" i="25"/>
  <c r="S268" i="25"/>
  <c r="S221" i="25"/>
  <c r="S266" i="25"/>
  <c r="S265" i="25"/>
  <c r="R287" i="25"/>
  <c r="S222" i="25"/>
  <c r="T222" i="25"/>
  <c r="T287" i="25"/>
  <c r="T216" i="25"/>
  <c r="P71" i="25"/>
  <c r="T131" i="8"/>
  <c r="T132" i="25"/>
  <c r="U245" i="23"/>
  <c r="U242" i="23"/>
  <c r="S245" i="22"/>
  <c r="S243" i="22"/>
  <c r="S246" i="22"/>
  <c r="S265" i="12"/>
  <c r="V72" i="3"/>
  <c r="V85" i="3" s="1"/>
  <c r="V179" i="3" s="1"/>
  <c r="U243" i="13"/>
  <c r="T215" i="12"/>
  <c r="U259" i="9"/>
  <c r="V138" i="15"/>
  <c r="S240" i="9"/>
  <c r="S241" i="9"/>
  <c r="P72" i="8"/>
  <c r="U255" i="9"/>
  <c r="S256" i="3"/>
  <c r="V68" i="11"/>
  <c r="V71" i="11" s="1"/>
  <c r="V84" i="11" s="1"/>
  <c r="V179" i="11" s="1"/>
  <c r="S251" i="3"/>
  <c r="U240" i="1"/>
  <c r="U241" i="1"/>
  <c r="T274" i="1"/>
  <c r="V36" i="1"/>
  <c r="U246" i="2"/>
  <c r="U244" i="2"/>
  <c r="U242" i="2"/>
  <c r="U245" i="2"/>
  <c r="S239" i="3"/>
  <c r="S243" i="3"/>
  <c r="S245" i="3"/>
  <c r="S244" i="3"/>
  <c r="U256" i="3"/>
  <c r="U257" i="3"/>
  <c r="U241" i="4"/>
  <c r="U243" i="4"/>
  <c r="U240" i="4"/>
  <c r="T209" i="4"/>
  <c r="V69" i="4"/>
  <c r="V72" i="4" s="1"/>
  <c r="V178" i="4" s="1"/>
  <c r="T215" i="4"/>
  <c r="S239" i="5"/>
  <c r="S245" i="5"/>
  <c r="S243" i="5"/>
  <c r="S241" i="5"/>
  <c r="V139" i="5"/>
  <c r="S183" i="5"/>
  <c r="V51" i="5"/>
  <c r="V36" i="5"/>
  <c r="S246" i="6"/>
  <c r="S241" i="6"/>
  <c r="S244" i="6"/>
  <c r="T220" i="6"/>
  <c r="U257" i="6"/>
  <c r="U253" i="6"/>
  <c r="T274" i="6"/>
  <c r="T215" i="6"/>
  <c r="P72" i="6"/>
  <c r="V185" i="7"/>
  <c r="T123" i="7"/>
  <c r="T131" i="7" s="1"/>
  <c r="T215" i="7"/>
  <c r="V69" i="7"/>
  <c r="V72" i="7" s="1"/>
  <c r="P72" i="7"/>
  <c r="T227" i="10"/>
  <c r="T226" i="11" s="1"/>
  <c r="T226" i="12" s="1"/>
  <c r="T226" i="13" s="1"/>
  <c r="T226" i="14" s="1"/>
  <c r="T226" i="15" s="1"/>
  <c r="T226" i="16" s="1"/>
  <c r="T226" i="17" s="1"/>
  <c r="T226" i="18" s="1"/>
  <c r="T226" i="19" s="1"/>
  <c r="T226" i="20" s="1"/>
  <c r="T226" i="21" s="1"/>
  <c r="T227" i="22" s="1"/>
  <c r="T227" i="23" s="1"/>
  <c r="T227" i="24" s="1"/>
  <c r="T227" i="25" s="1"/>
  <c r="T227" i="26" s="1"/>
  <c r="T227" i="27" s="1"/>
  <c r="T227" i="28" s="1"/>
  <c r="T227" i="29" s="1"/>
  <c r="T227" i="30" s="1"/>
  <c r="T227" i="31" s="1"/>
  <c r="T227" i="32" s="1"/>
  <c r="T227" i="33" s="1"/>
  <c r="T227" i="34" s="1"/>
  <c r="T227" i="35" s="1"/>
  <c r="T227" i="36" s="1"/>
  <c r="T227" i="37" s="1"/>
  <c r="T227" i="38" s="1"/>
  <c r="T227" i="39" s="1"/>
  <c r="T227" i="40" s="1"/>
  <c r="T227" i="41" s="1"/>
  <c r="T227" i="42" s="1"/>
  <c r="T227" i="43" s="1"/>
  <c r="T227" i="44" s="1"/>
  <c r="T227" i="45" s="1"/>
  <c r="T227" i="46" s="1"/>
  <c r="T227" i="47" s="1"/>
  <c r="T230" i="48" s="1"/>
  <c r="T230" i="49" s="1"/>
  <c r="T230" i="50" s="1"/>
  <c r="T230" i="51" s="1"/>
  <c r="T230" i="52" s="1"/>
  <c r="T123" i="6"/>
  <c r="T131" i="6" s="1"/>
  <c r="V185" i="6"/>
  <c r="S240" i="18"/>
  <c r="S242" i="18"/>
  <c r="S244" i="18"/>
  <c r="S246" i="18"/>
  <c r="T248" i="18"/>
  <c r="U239" i="18" s="1"/>
  <c r="T248" i="19"/>
  <c r="U245" i="19" s="1"/>
  <c r="U266" i="19"/>
  <c r="U268" i="19"/>
  <c r="U265" i="19"/>
  <c r="U282" i="19"/>
  <c r="U284" i="19" s="1"/>
  <c r="T286" i="19"/>
  <c r="T132" i="10"/>
  <c r="U260" i="13"/>
  <c r="V167" i="2"/>
  <c r="T131" i="2"/>
  <c r="V167" i="3"/>
  <c r="T131" i="3"/>
  <c r="T132" i="3" s="1"/>
  <c r="V51" i="3"/>
  <c r="V167" i="4"/>
  <c r="T102" i="4"/>
  <c r="S254" i="5"/>
  <c r="S252" i="5"/>
  <c r="U241" i="7"/>
  <c r="U243" i="7"/>
  <c r="V51" i="7"/>
  <c r="U241" i="8"/>
  <c r="U239" i="8"/>
  <c r="S264" i="17"/>
  <c r="S270" i="17"/>
  <c r="U264" i="22"/>
  <c r="T221" i="22"/>
  <c r="S264" i="24"/>
  <c r="S271" i="24"/>
  <c r="S269" i="24"/>
  <c r="S267" i="24"/>
  <c r="R274" i="5"/>
  <c r="V167" i="5"/>
  <c r="T131" i="5"/>
  <c r="V51" i="6"/>
  <c r="V98" i="6"/>
  <c r="V102" i="6" s="1"/>
  <c r="V191" i="6" s="1"/>
  <c r="T102" i="7"/>
  <c r="T274" i="8"/>
  <c r="V173" i="2"/>
  <c r="V171" i="3" s="1"/>
  <c r="V173" i="3" s="1"/>
  <c r="V171" i="4" s="1"/>
  <c r="V173" i="4" s="1"/>
  <c r="V98" i="8"/>
  <c r="V102" i="8" s="1"/>
  <c r="V98" i="10"/>
  <c r="V102" i="10" s="1"/>
  <c r="V166" i="11"/>
  <c r="V35" i="11"/>
  <c r="V43" i="11" s="1"/>
  <c r="T207" i="11" s="1"/>
  <c r="T208" i="11" s="1"/>
  <c r="T101" i="11"/>
  <c r="T131" i="11" s="1"/>
  <c r="V97" i="11"/>
  <c r="V101" i="11" s="1"/>
  <c r="V166" i="12"/>
  <c r="V97" i="12"/>
  <c r="V101" i="12" s="1"/>
  <c r="R286" i="14"/>
  <c r="V97" i="15"/>
  <c r="V101" i="15" s="1"/>
  <c r="V195" i="15" s="1"/>
  <c r="V166" i="17"/>
  <c r="V51" i="17"/>
  <c r="V36" i="17"/>
  <c r="V35" i="17"/>
  <c r="V43" i="17" s="1"/>
  <c r="T207" i="17" s="1"/>
  <c r="T208" i="17" s="1"/>
  <c r="V97" i="17"/>
  <c r="V101" i="17" s="1"/>
  <c r="T101" i="18"/>
  <c r="V35" i="20"/>
  <c r="V43" i="20" s="1"/>
  <c r="T207" i="20" s="1"/>
  <c r="T208" i="20" s="1"/>
  <c r="V36" i="21"/>
  <c r="V71" i="22"/>
  <c r="V97" i="23"/>
  <c r="V101" i="23" s="1"/>
  <c r="V97" i="24"/>
  <c r="V101" i="24" s="1"/>
  <c r="V35" i="25"/>
  <c r="V43" i="25" s="1"/>
  <c r="T208" i="25" s="1"/>
  <c r="T209" i="25" s="1"/>
  <c r="S246" i="20"/>
  <c r="U245" i="26"/>
  <c r="U243" i="26"/>
  <c r="U244" i="26"/>
  <c r="U247" i="26"/>
  <c r="U241" i="26"/>
  <c r="U240" i="26"/>
  <c r="U242" i="26"/>
  <c r="S240" i="22"/>
  <c r="S241" i="22"/>
  <c r="U246" i="22"/>
  <c r="S273" i="22"/>
  <c r="S241" i="21"/>
  <c r="U239" i="17"/>
  <c r="U241" i="17"/>
  <c r="U245" i="17"/>
  <c r="U240" i="17"/>
  <c r="U242" i="17"/>
  <c r="S258" i="1"/>
  <c r="V85" i="8"/>
  <c r="V179" i="8" s="1"/>
  <c r="V36" i="14"/>
  <c r="V138" i="14"/>
  <c r="S183" i="14"/>
  <c r="S243" i="20"/>
  <c r="S242" i="20"/>
  <c r="V119" i="7"/>
  <c r="V131" i="7" s="1"/>
  <c r="V132" i="7" s="1"/>
  <c r="U261" i="24"/>
  <c r="S261" i="22"/>
  <c r="U261" i="22"/>
  <c r="S247" i="22"/>
  <c r="S242" i="22"/>
  <c r="S245" i="21"/>
  <c r="V178" i="5"/>
  <c r="V85" i="5"/>
  <c r="V179" i="5" s="1"/>
  <c r="R72" i="1"/>
  <c r="S282" i="20"/>
  <c r="S284" i="20" s="1"/>
  <c r="S221" i="20"/>
  <c r="R286" i="20"/>
  <c r="T215" i="20"/>
  <c r="P71" i="20"/>
  <c r="T216" i="23"/>
  <c r="V68" i="23"/>
  <c r="V71" i="23" s="1"/>
  <c r="T187" i="31"/>
  <c r="T185" i="32" s="1"/>
  <c r="T187" i="32" s="1"/>
  <c r="T185" i="33" s="1"/>
  <c r="T187" i="33" s="1"/>
  <c r="T185" i="34" s="1"/>
  <c r="T187" i="34" s="1"/>
  <c r="T185" i="35" s="1"/>
  <c r="T187" i="35" s="1"/>
  <c r="T185" i="36" s="1"/>
  <c r="T187" i="36" s="1"/>
  <c r="T185" i="37" s="1"/>
  <c r="T187" i="37" s="1"/>
  <c r="T185" i="38" s="1"/>
  <c r="T187" i="38" s="1"/>
  <c r="T185" i="39" s="1"/>
  <c r="T187" i="39" s="1"/>
  <c r="T185" i="40" s="1"/>
  <c r="T187" i="40" s="1"/>
  <c r="T185" i="41" s="1"/>
  <c r="T187" i="41" s="1"/>
  <c r="T185" i="42" s="1"/>
  <c r="T187" i="42" s="1"/>
  <c r="T185" i="43" s="1"/>
  <c r="T187" i="43" s="1"/>
  <c r="T185" i="44" s="1"/>
  <c r="T187" i="44" s="1"/>
  <c r="T185" i="45" s="1"/>
  <c r="T187" i="45" s="1"/>
  <c r="T185" i="46" s="1"/>
  <c r="T187" i="46" s="1"/>
  <c r="T185" i="47" s="1"/>
  <c r="T187" i="47" s="1"/>
  <c r="T188" i="48" s="1"/>
  <c r="T190" i="48" s="1"/>
  <c r="T188" i="49" s="1"/>
  <c r="T190" i="49" s="1"/>
  <c r="T188" i="50" s="1"/>
  <c r="T190" i="50" s="1"/>
  <c r="T188" i="51" s="1"/>
  <c r="T190" i="51" s="1"/>
  <c r="T188" i="52" s="1"/>
  <c r="T190" i="52" s="1"/>
  <c r="V84" i="13"/>
  <c r="V179" i="13" s="1"/>
  <c r="V178" i="13"/>
  <c r="V178" i="7"/>
  <c r="V85" i="7"/>
  <c r="V179" i="7" s="1"/>
  <c r="V138" i="17"/>
  <c r="S183" i="17"/>
  <c r="U272" i="21"/>
  <c r="S239" i="21"/>
  <c r="S243" i="21"/>
  <c r="S242" i="21"/>
  <c r="S239" i="20"/>
  <c r="S241" i="20"/>
  <c r="U260" i="20"/>
  <c r="V84" i="15"/>
  <c r="V179" i="15" s="1"/>
  <c r="S249" i="10"/>
  <c r="S252" i="1"/>
  <c r="S255" i="1"/>
  <c r="S257" i="1"/>
  <c r="S254" i="1"/>
  <c r="S253" i="1"/>
  <c r="S251" i="1"/>
  <c r="S220" i="1"/>
  <c r="V43" i="1"/>
  <c r="S183" i="1"/>
  <c r="S187" i="1" s="1"/>
  <c r="V139" i="1"/>
  <c r="V148" i="1" s="1"/>
  <c r="V36" i="2"/>
  <c r="V35" i="2"/>
  <c r="V43" i="2" s="1"/>
  <c r="T207" i="2" s="1"/>
  <c r="T208" i="2" s="1"/>
  <c r="T209" i="2"/>
  <c r="V193" i="2"/>
  <c r="V191" i="2"/>
  <c r="V119" i="2"/>
  <c r="V131" i="2" s="1"/>
  <c r="V132" i="2" s="1"/>
  <c r="U252" i="5"/>
  <c r="U251" i="5"/>
  <c r="U258" i="5"/>
  <c r="T274" i="5"/>
  <c r="U257" i="5"/>
  <c r="U253" i="5"/>
  <c r="U254" i="5"/>
  <c r="S261" i="10"/>
  <c r="S270" i="18"/>
  <c r="S220" i="18"/>
  <c r="S266" i="18"/>
  <c r="S268" i="18"/>
  <c r="S265" i="18"/>
  <c r="S267" i="18"/>
  <c r="R286" i="18"/>
  <c r="T215" i="18"/>
  <c r="P71" i="18"/>
  <c r="V118" i="18"/>
  <c r="V130" i="18" s="1"/>
  <c r="V131" i="18" s="1"/>
  <c r="V191" i="19"/>
  <c r="T209" i="19"/>
  <c r="S272" i="21"/>
  <c r="U272" i="17"/>
  <c r="S241" i="14"/>
  <c r="S260" i="8"/>
  <c r="S248" i="5"/>
  <c r="S260" i="4"/>
  <c r="V139" i="6"/>
  <c r="V35" i="9"/>
  <c r="V43" i="9" s="1"/>
  <c r="T208" i="9" s="1"/>
  <c r="T209" i="9" s="1"/>
  <c r="U269" i="19"/>
  <c r="U270" i="19"/>
  <c r="S270" i="20"/>
  <c r="S269" i="20"/>
  <c r="S266" i="20"/>
  <c r="S265" i="20"/>
  <c r="S268" i="20"/>
  <c r="S264" i="20"/>
  <c r="S220" i="20"/>
  <c r="U260" i="17"/>
  <c r="V72" i="2"/>
  <c r="V85" i="2" s="1"/>
  <c r="V179" i="2" s="1"/>
  <c r="U255" i="3"/>
  <c r="U254" i="3"/>
  <c r="U258" i="3"/>
  <c r="U246" i="4"/>
  <c r="U242" i="4"/>
  <c r="S255" i="6"/>
  <c r="S220" i="6"/>
  <c r="S253" i="6"/>
  <c r="S254" i="6"/>
  <c r="S257" i="6"/>
  <c r="S251" i="6"/>
  <c r="U253" i="7"/>
  <c r="U251" i="7"/>
  <c r="U252" i="7"/>
  <c r="U255" i="7"/>
  <c r="V51" i="9"/>
  <c r="V36" i="9"/>
  <c r="T220" i="13"/>
  <c r="U266" i="13"/>
  <c r="U263" i="13"/>
  <c r="U267" i="13"/>
  <c r="U270" i="13"/>
  <c r="U264" i="13"/>
  <c r="U268" i="13"/>
  <c r="R248" i="15"/>
  <c r="S242" i="15" s="1"/>
  <c r="S251" i="19"/>
  <c r="S258" i="19"/>
  <c r="S254" i="19"/>
  <c r="S257" i="19"/>
  <c r="S253" i="19"/>
  <c r="S256" i="19"/>
  <c r="S252" i="19"/>
  <c r="R287" i="24"/>
  <c r="S258" i="24"/>
  <c r="S254" i="24"/>
  <c r="S257" i="24"/>
  <c r="S253" i="24"/>
  <c r="S256" i="24"/>
  <c r="U260" i="1"/>
  <c r="T102" i="5"/>
  <c r="V72" i="6"/>
  <c r="S184" i="10"/>
  <c r="V139" i="10"/>
  <c r="V97" i="13"/>
  <c r="V101" i="13" s="1"/>
  <c r="U251" i="14"/>
  <c r="U255" i="14"/>
  <c r="U258" i="14"/>
  <c r="U254" i="14"/>
  <c r="U257" i="14"/>
  <c r="U253" i="14"/>
  <c r="T274" i="2"/>
  <c r="U239" i="2"/>
  <c r="V98" i="3"/>
  <c r="V102" i="3" s="1"/>
  <c r="V195" i="3" s="1"/>
  <c r="V51" i="4"/>
  <c r="U268" i="6"/>
  <c r="S244" i="7"/>
  <c r="V167" i="8"/>
  <c r="S256" i="9"/>
  <c r="U256" i="10"/>
  <c r="U253" i="10"/>
  <c r="V51" i="10"/>
  <c r="T274" i="11"/>
  <c r="S246" i="11"/>
  <c r="S253" i="12"/>
  <c r="T130" i="12"/>
  <c r="T131" i="12" s="1"/>
  <c r="T286" i="14"/>
  <c r="T286" i="15"/>
  <c r="R286" i="16"/>
  <c r="S258" i="18"/>
  <c r="S260" i="18" s="1"/>
  <c r="T101" i="20"/>
  <c r="T131" i="20" s="1"/>
  <c r="V166" i="20"/>
  <c r="T131" i="23"/>
  <c r="T132" i="23" s="1"/>
  <c r="U258" i="23"/>
  <c r="U269" i="24"/>
  <c r="S273" i="26"/>
  <c r="T102" i="2"/>
  <c r="T274" i="3"/>
  <c r="T131" i="4"/>
  <c r="T132" i="4" s="1"/>
  <c r="S242" i="7"/>
  <c r="S239" i="7"/>
  <c r="U246" i="8"/>
  <c r="S246" i="8"/>
  <c r="S252" i="9"/>
  <c r="V98" i="9"/>
  <c r="V102" i="9" s="1"/>
  <c r="U259" i="10"/>
  <c r="U252" i="10"/>
  <c r="S239" i="11"/>
  <c r="V51" i="11"/>
  <c r="V97" i="14"/>
  <c r="V101" i="14" s="1"/>
  <c r="V35" i="19"/>
  <c r="V43" i="19" s="1"/>
  <c r="T207" i="19" s="1"/>
  <c r="T208" i="19" s="1"/>
  <c r="V36" i="20"/>
  <c r="V35" i="21"/>
  <c r="V43" i="21" s="1"/>
  <c r="T207" i="21" s="1"/>
  <c r="T208" i="21" s="1"/>
  <c r="T101" i="21"/>
  <c r="R249" i="24"/>
  <c r="V51" i="1"/>
  <c r="T102" i="1"/>
  <c r="T132" i="1" s="1"/>
  <c r="V35" i="6"/>
  <c r="V43" i="6" s="1"/>
  <c r="T207" i="6" s="1"/>
  <c r="T208" i="6" s="1"/>
  <c r="T102" i="6"/>
  <c r="T286" i="13"/>
  <c r="R286" i="15"/>
  <c r="U270" i="18"/>
  <c r="T130" i="19"/>
  <c r="T130" i="21"/>
  <c r="T131" i="21" s="1"/>
  <c r="V36" i="24"/>
  <c r="V36" i="25"/>
  <c r="S267" i="25"/>
  <c r="V178" i="14"/>
  <c r="S242" i="25"/>
  <c r="S240" i="25"/>
  <c r="S241" i="25"/>
  <c r="U239" i="21"/>
  <c r="U240" i="21"/>
  <c r="U245" i="21"/>
  <c r="U246" i="21"/>
  <c r="U243" i="21"/>
  <c r="U260" i="16"/>
  <c r="V191" i="7"/>
  <c r="V195" i="7"/>
  <c r="S220" i="2"/>
  <c r="S252" i="2"/>
  <c r="R274" i="2"/>
  <c r="S253" i="2"/>
  <c r="S258" i="2"/>
  <c r="S255" i="2"/>
  <c r="S254" i="2"/>
  <c r="S256" i="2"/>
  <c r="S257" i="2"/>
  <c r="U241" i="23"/>
  <c r="V84" i="25"/>
  <c r="V180" i="25" s="1"/>
  <c r="S244" i="25"/>
  <c r="U242" i="22"/>
  <c r="U247" i="22"/>
  <c r="U245" i="22"/>
  <c r="U244" i="22"/>
  <c r="U241" i="22"/>
  <c r="U240" i="22"/>
  <c r="U246" i="19"/>
  <c r="V178" i="18"/>
  <c r="V84" i="18"/>
  <c r="V179" i="18" s="1"/>
  <c r="S272" i="6"/>
  <c r="V172" i="28"/>
  <c r="V174" i="28" s="1"/>
  <c r="V172" i="27"/>
  <c r="V174" i="27" s="1"/>
  <c r="V171" i="20"/>
  <c r="V173" i="20" s="1"/>
  <c r="V171" i="19"/>
  <c r="V173" i="19" s="1"/>
  <c r="V172" i="23"/>
  <c r="V174" i="23" s="1"/>
  <c r="V171" i="16"/>
  <c r="V173" i="16" s="1"/>
  <c r="V171" i="12"/>
  <c r="V173" i="12" s="1"/>
  <c r="V172" i="9"/>
  <c r="V174" i="9" s="1"/>
  <c r="V172" i="25"/>
  <c r="V174" i="25" s="1"/>
  <c r="V171" i="17"/>
  <c r="V173" i="17" s="1"/>
  <c r="V171" i="8"/>
  <c r="V173" i="8" s="1"/>
  <c r="V171" i="6"/>
  <c r="V173" i="6" s="1"/>
  <c r="U248" i="6"/>
  <c r="U243" i="23"/>
  <c r="U244" i="23"/>
  <c r="U246" i="23"/>
  <c r="U240" i="23"/>
  <c r="U247" i="23"/>
  <c r="U260" i="2"/>
  <c r="S241" i="17"/>
  <c r="S242" i="17"/>
  <c r="S243" i="17"/>
  <c r="V193" i="3"/>
  <c r="V191" i="3"/>
  <c r="V119" i="3"/>
  <c r="V131" i="3" s="1"/>
  <c r="V132" i="3" s="1"/>
  <c r="S239" i="4"/>
  <c r="S240" i="4"/>
  <c r="S245" i="4"/>
  <c r="R274" i="4"/>
  <c r="S246" i="4"/>
  <c r="S244" i="4"/>
  <c r="S243" i="4"/>
  <c r="S242" i="4"/>
  <c r="S241" i="4"/>
  <c r="V119" i="4"/>
  <c r="V131" i="4" s="1"/>
  <c r="V132" i="4" s="1"/>
  <c r="V191" i="4"/>
  <c r="V193" i="4"/>
  <c r="V35" i="14"/>
  <c r="V43" i="14" s="1"/>
  <c r="T207" i="14" s="1"/>
  <c r="T208" i="14" s="1"/>
  <c r="T248" i="15"/>
  <c r="U241" i="15" s="1"/>
  <c r="S243" i="15"/>
  <c r="S246" i="15"/>
  <c r="S240" i="15"/>
  <c r="S245" i="15"/>
  <c r="V36" i="4"/>
  <c r="V139" i="9"/>
  <c r="S184" i="9"/>
  <c r="U251" i="12"/>
  <c r="U256" i="12"/>
  <c r="U252" i="12"/>
  <c r="U255" i="12"/>
  <c r="U258" i="12"/>
  <c r="U254" i="12"/>
  <c r="R248" i="13"/>
  <c r="S242" i="13" s="1"/>
  <c r="S283" i="22"/>
  <c r="S285" i="22" s="1"/>
  <c r="S222" i="22"/>
  <c r="S264" i="23"/>
  <c r="S270" i="23"/>
  <c r="S268" i="23"/>
  <c r="S266" i="23"/>
  <c r="S221" i="23"/>
  <c r="S271" i="23"/>
  <c r="S269" i="23"/>
  <c r="S267" i="23"/>
  <c r="S265" i="23"/>
  <c r="U246" i="17"/>
  <c r="U254" i="4"/>
  <c r="U257" i="4"/>
  <c r="T220" i="4"/>
  <c r="S254" i="7"/>
  <c r="S258" i="7"/>
  <c r="S270" i="19"/>
  <c r="S263" i="19"/>
  <c r="S220" i="19"/>
  <c r="S246" i="21"/>
  <c r="S244" i="20"/>
  <c r="S248" i="20" s="1"/>
  <c r="U239" i="1"/>
  <c r="U242" i="1"/>
  <c r="U246" i="1"/>
  <c r="U243" i="1"/>
  <c r="U244" i="1"/>
  <c r="V98" i="1"/>
  <c r="V102" i="1" s="1"/>
  <c r="S187" i="2"/>
  <c r="T274" i="4"/>
  <c r="V98" i="5"/>
  <c r="V102" i="5" s="1"/>
  <c r="S242" i="6"/>
  <c r="S239" i="6"/>
  <c r="S243" i="6"/>
  <c r="T216" i="10"/>
  <c r="V69" i="10"/>
  <c r="V72" i="10" s="1"/>
  <c r="S242" i="1"/>
  <c r="S248" i="1" s="1"/>
  <c r="U252" i="3"/>
  <c r="S240" i="3"/>
  <c r="T220" i="3"/>
  <c r="S183" i="3"/>
  <c r="U256" i="5"/>
  <c r="T220" i="5"/>
  <c r="U258" i="6"/>
  <c r="U267" i="6"/>
  <c r="U242" i="7"/>
  <c r="V35" i="7"/>
  <c r="V43" i="7" s="1"/>
  <c r="T207" i="7" s="1"/>
  <c r="T208" i="7" s="1"/>
  <c r="V35" i="10"/>
  <c r="V43" i="10" s="1"/>
  <c r="T208" i="10" s="1"/>
  <c r="T209" i="10" s="1"/>
  <c r="S264" i="12"/>
  <c r="S220" i="12"/>
  <c r="S267" i="12"/>
  <c r="R286" i="12"/>
  <c r="T101" i="13"/>
  <c r="T131" i="13" s="1"/>
  <c r="R248" i="16"/>
  <c r="V35" i="22"/>
  <c r="V43" i="22" s="1"/>
  <c r="T208" i="22" s="1"/>
  <c r="T209" i="22" s="1"/>
  <c r="S258" i="6"/>
  <c r="U252" i="6"/>
  <c r="U263" i="6"/>
  <c r="V139" i="8"/>
  <c r="S183" i="8"/>
  <c r="V36" i="11"/>
  <c r="S269" i="12"/>
  <c r="V71" i="16"/>
  <c r="S220" i="17"/>
  <c r="S265" i="17"/>
  <c r="S266" i="17"/>
  <c r="S269" i="17"/>
  <c r="S267" i="17"/>
  <c r="V36" i="7"/>
  <c r="T216" i="9"/>
  <c r="V69" i="9"/>
  <c r="V72" i="9" s="1"/>
  <c r="P72" i="9"/>
  <c r="R248" i="12"/>
  <c r="S220" i="13"/>
  <c r="S263" i="13"/>
  <c r="S265" i="13"/>
  <c r="S267" i="13"/>
  <c r="S269" i="13"/>
  <c r="S264" i="13"/>
  <c r="S266" i="13"/>
  <c r="S268" i="13"/>
  <c r="T220" i="20"/>
  <c r="U269" i="20"/>
  <c r="U267" i="20"/>
  <c r="U265" i="20"/>
  <c r="U263" i="20"/>
  <c r="U270" i="20"/>
  <c r="U264" i="20"/>
  <c r="U266" i="20"/>
  <c r="V51" i="22"/>
  <c r="S258" i="15"/>
  <c r="S257" i="17"/>
  <c r="T130" i="18"/>
  <c r="T131" i="18" s="1"/>
  <c r="T101" i="19"/>
  <c r="T131" i="19" s="1"/>
  <c r="V51" i="21"/>
  <c r="T131" i="22"/>
  <c r="U283" i="22"/>
  <c r="U285" i="22" s="1"/>
  <c r="V35" i="23"/>
  <c r="V43" i="23" s="1"/>
  <c r="T208" i="23" s="1"/>
  <c r="T209" i="23" s="1"/>
  <c r="R249" i="23"/>
  <c r="T221" i="24"/>
  <c r="U270" i="24"/>
  <c r="U268" i="24"/>
  <c r="U266" i="24"/>
  <c r="U264" i="24"/>
  <c r="U243" i="8"/>
  <c r="T220" i="18"/>
  <c r="U269" i="18"/>
  <c r="U267" i="18"/>
  <c r="U265" i="18"/>
  <c r="U263" i="18"/>
  <c r="R248" i="19"/>
  <c r="U257" i="19"/>
  <c r="U255" i="19"/>
  <c r="U253" i="19"/>
  <c r="U251" i="19"/>
  <c r="U258" i="19"/>
  <c r="U256" i="19"/>
  <c r="U254" i="19"/>
  <c r="U252" i="19"/>
  <c r="S221" i="19"/>
  <c r="S282" i="19"/>
  <c r="S284" i="19" s="1"/>
  <c r="V35" i="24"/>
  <c r="V43" i="24" s="1"/>
  <c r="T208" i="24" s="1"/>
  <c r="T209" i="24" s="1"/>
  <c r="U257" i="18"/>
  <c r="U255" i="18"/>
  <c r="U253" i="18"/>
  <c r="U251" i="18"/>
  <c r="U258" i="18"/>
  <c r="U256" i="18"/>
  <c r="U254" i="18"/>
  <c r="U252" i="18"/>
  <c r="V51" i="19"/>
  <c r="V51" i="23"/>
  <c r="T101" i="24"/>
  <c r="T132" i="24" s="1"/>
  <c r="T249" i="25"/>
  <c r="S269" i="18"/>
  <c r="S263" i="18"/>
  <c r="T221" i="19"/>
  <c r="S263" i="20"/>
  <c r="S270" i="25"/>
  <c r="S264" i="25"/>
  <c r="S269" i="25"/>
  <c r="S247" i="26"/>
  <c r="S243" i="26"/>
  <c r="S240" i="26"/>
  <c r="S244" i="26"/>
  <c r="S241" i="26"/>
  <c r="S242" i="26"/>
  <c r="U261" i="26"/>
  <c r="S261" i="26"/>
  <c r="V179" i="26"/>
  <c r="V84" i="26"/>
  <c r="V180" i="26" s="1"/>
  <c r="U241" i="19" l="1"/>
  <c r="U244" i="19"/>
  <c r="S245" i="14"/>
  <c r="U240" i="19"/>
  <c r="U242" i="19"/>
  <c r="T209" i="3"/>
  <c r="U239" i="19"/>
  <c r="V118" i="15"/>
  <c r="V130" i="15" s="1"/>
  <c r="V131" i="15" s="1"/>
  <c r="V172" i="29"/>
  <c r="V174" i="29" s="1"/>
  <c r="V175" i="52"/>
  <c r="V177" i="52" s="1"/>
  <c r="V175" i="51"/>
  <c r="V177" i="51" s="1"/>
  <c r="V175" i="50"/>
  <c r="V177" i="50" s="1"/>
  <c r="V175" i="49"/>
  <c r="V177" i="49" s="1"/>
  <c r="V175" i="48"/>
  <c r="V177" i="48" s="1"/>
  <c r="U246" i="13"/>
  <c r="U241" i="14"/>
  <c r="U248" i="14" s="1"/>
  <c r="S239" i="18"/>
  <c r="U249" i="9"/>
  <c r="U248" i="11"/>
  <c r="V191" i="21"/>
  <c r="S248" i="18"/>
  <c r="S260" i="17"/>
  <c r="V171" i="5"/>
  <c r="V173" i="5" s="1"/>
  <c r="V171" i="7"/>
  <c r="V173" i="7" s="1"/>
  <c r="V171" i="21"/>
  <c r="V173" i="21" s="1"/>
  <c r="V171" i="13"/>
  <c r="V173" i="13" s="1"/>
  <c r="V171" i="18"/>
  <c r="V173" i="18" s="1"/>
  <c r="V172" i="24"/>
  <c r="V174" i="24" s="1"/>
  <c r="V119" i="6"/>
  <c r="V131" i="6" s="1"/>
  <c r="V132" i="6" s="1"/>
  <c r="U273" i="22"/>
  <c r="S260" i="5"/>
  <c r="U245" i="13"/>
  <c r="U260" i="21"/>
  <c r="U241" i="13"/>
  <c r="S246" i="14"/>
  <c r="S260" i="11"/>
  <c r="U249" i="10"/>
  <c r="U272" i="15"/>
  <c r="U260" i="15"/>
  <c r="U272" i="14"/>
  <c r="S272" i="7"/>
  <c r="U246" i="24"/>
  <c r="U243" i="24"/>
  <c r="U245" i="24"/>
  <c r="U242" i="24"/>
  <c r="U240" i="24"/>
  <c r="U244" i="24"/>
  <c r="V172" i="46"/>
  <c r="V174" i="46" s="1"/>
  <c r="V172" i="47"/>
  <c r="V174" i="47" s="1"/>
  <c r="S260" i="14"/>
  <c r="U260" i="11"/>
  <c r="S261" i="25"/>
  <c r="S260" i="15"/>
  <c r="S248" i="3"/>
  <c r="V195" i="6"/>
  <c r="V171" i="15"/>
  <c r="V173" i="15" s="1"/>
  <c r="V171" i="14"/>
  <c r="V173" i="14" s="1"/>
  <c r="V171" i="11"/>
  <c r="V173" i="11" s="1"/>
  <c r="V172" i="10"/>
  <c r="V174" i="10" s="1"/>
  <c r="V172" i="22"/>
  <c r="V174" i="22" s="1"/>
  <c r="V172" i="26"/>
  <c r="V174" i="26" s="1"/>
  <c r="V172" i="30"/>
  <c r="V174" i="30" s="1"/>
  <c r="S248" i="7"/>
  <c r="T132" i="2"/>
  <c r="S260" i="12"/>
  <c r="U248" i="2"/>
  <c r="U244" i="13"/>
  <c r="S260" i="3"/>
  <c r="T132" i="8"/>
  <c r="U242" i="13"/>
  <c r="U272" i="7"/>
  <c r="U248" i="3"/>
  <c r="S260" i="13"/>
  <c r="S239" i="14"/>
  <c r="S240" i="14"/>
  <c r="U240" i="20"/>
  <c r="U239" i="20"/>
  <c r="U241" i="20"/>
  <c r="U245" i="20"/>
  <c r="U242" i="20"/>
  <c r="U244" i="20"/>
  <c r="U243" i="20"/>
  <c r="U246" i="20"/>
  <c r="U247" i="24"/>
  <c r="U240" i="18"/>
  <c r="U239" i="13"/>
  <c r="S244" i="14"/>
  <c r="U241" i="24"/>
  <c r="V179" i="24"/>
  <c r="U248" i="8"/>
  <c r="V186" i="2"/>
  <c r="V178" i="2"/>
  <c r="S245" i="17"/>
  <c r="S248" i="17" s="1"/>
  <c r="V178" i="19"/>
  <c r="V178" i="11"/>
  <c r="V84" i="12"/>
  <c r="V179" i="12" s="1"/>
  <c r="T209" i="7"/>
  <c r="S248" i="8"/>
  <c r="U260" i="7"/>
  <c r="V119" i="22"/>
  <c r="V131" i="22" s="1"/>
  <c r="V132" i="22" s="1"/>
  <c r="U242" i="16"/>
  <c r="V191" i="18"/>
  <c r="V85" i="4"/>
  <c r="V179" i="4" s="1"/>
  <c r="V193" i="15"/>
  <c r="U245" i="16"/>
  <c r="U272" i="12"/>
  <c r="U239" i="16"/>
  <c r="T131" i="15"/>
  <c r="U245" i="12"/>
  <c r="T131" i="16"/>
  <c r="U243" i="17"/>
  <c r="U244" i="17"/>
  <c r="U243" i="16"/>
  <c r="U244" i="16"/>
  <c r="U239" i="12"/>
  <c r="U246" i="12"/>
  <c r="T132" i="22"/>
  <c r="S244" i="17"/>
  <c r="S240" i="17"/>
  <c r="V178" i="3"/>
  <c r="U240" i="12"/>
  <c r="V84" i="20"/>
  <c r="V179" i="20" s="1"/>
  <c r="U244" i="18"/>
  <c r="U241" i="16"/>
  <c r="U243" i="12"/>
  <c r="V178" i="21"/>
  <c r="V84" i="21"/>
  <c r="V179" i="21" s="1"/>
  <c r="S248" i="2"/>
  <c r="U248" i="4"/>
  <c r="U261" i="9"/>
  <c r="S272" i="16"/>
  <c r="S248" i="11"/>
  <c r="S260" i="16"/>
  <c r="U261" i="23"/>
  <c r="U273" i="25"/>
  <c r="S272" i="14"/>
  <c r="U244" i="12"/>
  <c r="U249" i="26"/>
  <c r="S249" i="9"/>
  <c r="V192" i="22"/>
  <c r="V196" i="22"/>
  <c r="V194" i="22"/>
  <c r="V193" i="16"/>
  <c r="V191" i="16"/>
  <c r="V118" i="16"/>
  <c r="V130" i="16" s="1"/>
  <c r="V131" i="16" s="1"/>
  <c r="T209" i="16"/>
  <c r="T209" i="20"/>
  <c r="V191" i="20"/>
  <c r="V195" i="20"/>
  <c r="V178" i="1"/>
  <c r="V85" i="1"/>
  <c r="V179" i="1" s="1"/>
  <c r="U273" i="23"/>
  <c r="S273" i="25"/>
  <c r="S272" i="18"/>
  <c r="U248" i="7"/>
  <c r="T209" i="6"/>
  <c r="V193" i="6"/>
  <c r="T132" i="5"/>
  <c r="U272" i="19"/>
  <c r="V118" i="20"/>
  <c r="V130" i="20" s="1"/>
  <c r="V131" i="20" s="1"/>
  <c r="S249" i="22"/>
  <c r="V172" i="45"/>
  <c r="V174" i="45" s="1"/>
  <c r="V172" i="44"/>
  <c r="V174" i="44" s="1"/>
  <c r="V172" i="43"/>
  <c r="V174" i="43" s="1"/>
  <c r="V172" i="42"/>
  <c r="V174" i="42" s="1"/>
  <c r="V172" i="41"/>
  <c r="V174" i="41" s="1"/>
  <c r="V172" i="40"/>
  <c r="V174" i="40" s="1"/>
  <c r="V172" i="39"/>
  <c r="V174" i="39" s="1"/>
  <c r="V172" i="38"/>
  <c r="V174" i="38" s="1"/>
  <c r="V172" i="37"/>
  <c r="V174" i="37" s="1"/>
  <c r="U243" i="18"/>
  <c r="V119" i="25"/>
  <c r="V131" i="25" s="1"/>
  <c r="V132" i="25" s="1"/>
  <c r="V194" i="25"/>
  <c r="V192" i="25"/>
  <c r="V196" i="25"/>
  <c r="T210" i="25"/>
  <c r="V193" i="18"/>
  <c r="T209" i="18"/>
  <c r="S272" i="17"/>
  <c r="U260" i="6"/>
  <c r="S272" i="12"/>
  <c r="S248" i="6"/>
  <c r="T132" i="6"/>
  <c r="S261" i="24"/>
  <c r="S260" i="1"/>
  <c r="V191" i="15"/>
  <c r="T209" i="15"/>
  <c r="V192" i="23"/>
  <c r="V194" i="23"/>
  <c r="T210" i="23"/>
  <c r="V196" i="23"/>
  <c r="V119" i="23"/>
  <c r="V131" i="23" s="1"/>
  <c r="V132" i="23" s="1"/>
  <c r="V119" i="8"/>
  <c r="V131" i="8" s="1"/>
  <c r="V132" i="8" s="1"/>
  <c r="T209" i="8"/>
  <c r="V193" i="8"/>
  <c r="V195" i="8"/>
  <c r="V191" i="8"/>
  <c r="U243" i="19"/>
  <c r="U241" i="18"/>
  <c r="U242" i="18"/>
  <c r="U245" i="18"/>
  <c r="U246" i="18"/>
  <c r="S261" i="23"/>
  <c r="U272" i="13"/>
  <c r="V196" i="24"/>
  <c r="V194" i="24"/>
  <c r="V119" i="24"/>
  <c r="V131" i="24" s="1"/>
  <c r="V132" i="24" s="1"/>
  <c r="T210" i="24"/>
  <c r="V179" i="22"/>
  <c r="V84" i="22"/>
  <c r="V180" i="22" s="1"/>
  <c r="V191" i="17"/>
  <c r="V193" i="17"/>
  <c r="T209" i="17"/>
  <c r="V195" i="17"/>
  <c r="V118" i="17"/>
  <c r="V130" i="17" s="1"/>
  <c r="V131" i="17" s="1"/>
  <c r="V178" i="17"/>
  <c r="V84" i="17"/>
  <c r="V179" i="17" s="1"/>
  <c r="V195" i="12"/>
  <c r="V191" i="12"/>
  <c r="T209" i="12"/>
  <c r="V118" i="12"/>
  <c r="V130" i="12" s="1"/>
  <c r="V131" i="12" s="1"/>
  <c r="V193" i="12"/>
  <c r="V195" i="11"/>
  <c r="V193" i="11"/>
  <c r="T209" i="11"/>
  <c r="V118" i="11"/>
  <c r="V130" i="11" s="1"/>
  <c r="V131" i="11" s="1"/>
  <c r="V191" i="11"/>
  <c r="V192" i="10"/>
  <c r="T210" i="10"/>
  <c r="V194" i="10"/>
  <c r="V119" i="10"/>
  <c r="V131" i="10" s="1"/>
  <c r="V132" i="10" s="1"/>
  <c r="V196" i="10"/>
  <c r="V172" i="31"/>
  <c r="V174" i="31" s="1"/>
  <c r="V172" i="36"/>
  <c r="V174" i="36" s="1"/>
  <c r="V172" i="35"/>
  <c r="V174" i="35" s="1"/>
  <c r="V172" i="34"/>
  <c r="V174" i="34" s="1"/>
  <c r="V172" i="33"/>
  <c r="V174" i="33" s="1"/>
  <c r="V172" i="32"/>
  <c r="V174" i="32" s="1"/>
  <c r="T132" i="7"/>
  <c r="V192" i="24"/>
  <c r="S273" i="24"/>
  <c r="S260" i="20"/>
  <c r="S260" i="6"/>
  <c r="S272" i="19"/>
  <c r="U246" i="15"/>
  <c r="V191" i="14"/>
  <c r="V195" i="14"/>
  <c r="V193" i="14"/>
  <c r="T209" i="14"/>
  <c r="V118" i="14"/>
  <c r="V130" i="14" s="1"/>
  <c r="V131" i="14" s="1"/>
  <c r="U261" i="10"/>
  <c r="S244" i="15"/>
  <c r="S241" i="15"/>
  <c r="S239" i="15"/>
  <c r="V179" i="23"/>
  <c r="V84" i="23"/>
  <c r="V180" i="23" s="1"/>
  <c r="U260" i="12"/>
  <c r="U249" i="22"/>
  <c r="T210" i="9"/>
  <c r="V196" i="9"/>
  <c r="V119" i="9"/>
  <c r="V131" i="9" s="1"/>
  <c r="V132" i="9" s="1"/>
  <c r="V194" i="9"/>
  <c r="V192" i="9"/>
  <c r="U260" i="14"/>
  <c r="V85" i="6"/>
  <c r="V179" i="6" s="1"/>
  <c r="V178" i="6"/>
  <c r="T207" i="1"/>
  <c r="T208" i="1" s="1"/>
  <c r="T204" i="1"/>
  <c r="T205" i="1" s="1"/>
  <c r="S243" i="24"/>
  <c r="S247" i="24"/>
  <c r="S244" i="24"/>
  <c r="S240" i="24"/>
  <c r="S242" i="24"/>
  <c r="S246" i="24"/>
  <c r="S241" i="24"/>
  <c r="S245" i="24"/>
  <c r="S260" i="19"/>
  <c r="S272" i="20"/>
  <c r="U272" i="18"/>
  <c r="U260" i="5"/>
  <c r="U260" i="3"/>
  <c r="S248" i="21"/>
  <c r="S260" i="2"/>
  <c r="S261" i="9"/>
  <c r="V193" i="13"/>
  <c r="T209" i="13"/>
  <c r="V195" i="13"/>
  <c r="V118" i="13"/>
  <c r="V130" i="13" s="1"/>
  <c r="V131" i="13" s="1"/>
  <c r="V191" i="13"/>
  <c r="S245" i="12"/>
  <c r="S239" i="12"/>
  <c r="S240" i="12"/>
  <c r="S242" i="12"/>
  <c r="S241" i="12"/>
  <c r="S246" i="12"/>
  <c r="S243" i="12"/>
  <c r="S244" i="12"/>
  <c r="S248" i="4"/>
  <c r="U272" i="20"/>
  <c r="S272" i="13"/>
  <c r="V179" i="10"/>
  <c r="V85" i="10"/>
  <c r="V180" i="10" s="1"/>
  <c r="U248" i="1"/>
  <c r="S260" i="7"/>
  <c r="S249" i="25"/>
  <c r="S244" i="23"/>
  <c r="S243" i="23"/>
  <c r="S245" i="23"/>
  <c r="S246" i="23"/>
  <c r="S241" i="23"/>
  <c r="S247" i="23"/>
  <c r="S242" i="23"/>
  <c r="S240" i="23"/>
  <c r="V191" i="1"/>
  <c r="V195" i="1"/>
  <c r="V119" i="1"/>
  <c r="V131" i="1" s="1"/>
  <c r="V132" i="1" s="1"/>
  <c r="T209" i="1"/>
  <c r="V193" i="1"/>
  <c r="V179" i="9"/>
  <c r="V85" i="9"/>
  <c r="V180" i="9" s="1"/>
  <c r="V178" i="16"/>
  <c r="V84" i="16"/>
  <c r="V179" i="16" s="1"/>
  <c r="S186" i="3"/>
  <c r="S187" i="3" s="1"/>
  <c r="V184" i="3"/>
  <c r="S273" i="23"/>
  <c r="S245" i="13"/>
  <c r="S240" i="13"/>
  <c r="S243" i="13"/>
  <c r="S241" i="13"/>
  <c r="S246" i="13"/>
  <c r="S239" i="13"/>
  <c r="S244" i="13"/>
  <c r="U246" i="25"/>
  <c r="U247" i="25"/>
  <c r="U244" i="25"/>
  <c r="U240" i="25"/>
  <c r="U242" i="25"/>
  <c r="U241" i="25"/>
  <c r="U243" i="25"/>
  <c r="U245" i="25"/>
  <c r="U273" i="24"/>
  <c r="U260" i="18"/>
  <c r="U260" i="19"/>
  <c r="S245" i="19"/>
  <c r="S246" i="19"/>
  <c r="S240" i="19"/>
  <c r="S239" i="19"/>
  <c r="S241" i="19"/>
  <c r="S242" i="19"/>
  <c r="S244" i="19"/>
  <c r="S243" i="19"/>
  <c r="U272" i="6"/>
  <c r="S246" i="16"/>
  <c r="S244" i="16"/>
  <c r="S239" i="16"/>
  <c r="S245" i="16"/>
  <c r="S242" i="16"/>
  <c r="S240" i="16"/>
  <c r="S243" i="16"/>
  <c r="S241" i="16"/>
  <c r="V191" i="5"/>
  <c r="T209" i="5"/>
  <c r="V193" i="5"/>
  <c r="V195" i="5"/>
  <c r="V119" i="5"/>
  <c r="V131" i="5" s="1"/>
  <c r="V132" i="5" s="1"/>
  <c r="U260" i="4"/>
  <c r="U245" i="15"/>
  <c r="U243" i="15"/>
  <c r="U242" i="15"/>
  <c r="U239" i="15"/>
  <c r="U240" i="15"/>
  <c r="U244" i="15"/>
  <c r="U249" i="23"/>
  <c r="U248" i="21"/>
  <c r="S249" i="26"/>
  <c r="U248" i="17" l="1"/>
  <c r="S248" i="15"/>
  <c r="U248" i="19"/>
  <c r="U248" i="13"/>
  <c r="S248" i="14"/>
  <c r="U248" i="16"/>
  <c r="U249" i="24"/>
  <c r="U248" i="20"/>
  <c r="U248" i="12"/>
  <c r="U248" i="18"/>
  <c r="S249" i="24"/>
  <c r="U249" i="25"/>
  <c r="U248" i="15"/>
  <c r="S248" i="16"/>
  <c r="S248" i="19"/>
  <c r="S249" i="23"/>
  <c r="S248" i="12"/>
  <c r="S248" i="13"/>
  <c r="S184" i="4"/>
  <c r="V186" i="3"/>
  <c r="S186" i="4" l="1"/>
  <c r="V184" i="4"/>
  <c r="S184" i="5" l="1"/>
  <c r="S187" i="4"/>
  <c r="V186" i="4"/>
  <c r="V184" i="5" l="1"/>
  <c r="S186" i="5"/>
  <c r="V186" i="5" l="1"/>
  <c r="S187" i="5"/>
  <c r="S184" i="6"/>
  <c r="S186" i="6" l="1"/>
  <c r="V184" i="6"/>
  <c r="V186" i="6" l="1"/>
  <c r="S184" i="7"/>
  <c r="S187" i="6"/>
  <c r="S186" i="7" l="1"/>
  <c r="V184" i="7"/>
  <c r="S187" i="7" l="1"/>
  <c r="S184" i="8"/>
  <c r="V186" i="7"/>
  <c r="V184" i="8" l="1"/>
  <c r="S186" i="8"/>
  <c r="S185" i="9" l="1"/>
  <c r="V186" i="8"/>
  <c r="S187" i="8"/>
  <c r="S187" i="9" l="1"/>
  <c r="V185" i="9"/>
  <c r="V187" i="9" l="1"/>
  <c r="S185" i="10"/>
  <c r="S188" i="9"/>
  <c r="S187" i="10" l="1"/>
  <c r="V185" i="10"/>
  <c r="S184" i="11" l="1"/>
  <c r="S188" i="10"/>
  <c r="V187" i="10"/>
  <c r="S186" i="11" l="1"/>
  <c r="V184" i="11"/>
  <c r="S187" i="11" l="1"/>
  <c r="V186" i="11"/>
  <c r="S184" i="12"/>
  <c r="S186" i="12" l="1"/>
  <c r="V184" i="12"/>
  <c r="S184" i="13" l="1"/>
  <c r="V186" i="12"/>
  <c r="S187" i="12"/>
  <c r="V184" i="13" l="1"/>
  <c r="S186" i="13"/>
  <c r="S184" i="14" l="1"/>
  <c r="V186" i="13"/>
  <c r="S187" i="13"/>
  <c r="V184" i="14" l="1"/>
  <c r="S186" i="14"/>
  <c r="S184" i="15" l="1"/>
  <c r="S187" i="14"/>
  <c r="V186" i="14"/>
  <c r="S186" i="15" l="1"/>
  <c r="V184" i="15"/>
  <c r="S184" i="16" l="1"/>
  <c r="S187" i="15"/>
  <c r="V186" i="15"/>
  <c r="V184" i="16" l="1"/>
  <c r="S186" i="16"/>
  <c r="S184" i="17" l="1"/>
  <c r="V186" i="16"/>
  <c r="S187" i="16"/>
  <c r="V184" i="17" l="1"/>
  <c r="S186" i="17"/>
  <c r="S184" i="18" l="1"/>
  <c r="V186" i="17"/>
  <c r="S187" i="17"/>
  <c r="S186" i="18" l="1"/>
  <c r="V184" i="18"/>
  <c r="S184" i="19" l="1"/>
  <c r="S187" i="18"/>
  <c r="V186" i="18"/>
  <c r="S186" i="19" l="1"/>
  <c r="V184" i="19"/>
  <c r="V186" i="19" l="1"/>
  <c r="S184" i="20"/>
  <c r="S187" i="19"/>
  <c r="S186" i="20" l="1"/>
  <c r="V184" i="20"/>
  <c r="V186" i="20" l="1"/>
  <c r="S184" i="21"/>
  <c r="S187" i="20"/>
  <c r="S186" i="21" l="1"/>
  <c r="V184" i="21"/>
  <c r="S185" i="22" l="1"/>
  <c r="V186" i="21"/>
  <c r="S187" i="21"/>
  <c r="S187" i="22" l="1"/>
  <c r="V185" i="22"/>
  <c r="S185" i="23" l="1"/>
  <c r="V187" i="22"/>
  <c r="S188" i="22"/>
  <c r="S187" i="23" l="1"/>
  <c r="V185" i="23"/>
  <c r="S185" i="24" l="1"/>
  <c r="S188" i="23"/>
  <c r="V187" i="23"/>
  <c r="S187" i="24" l="1"/>
  <c r="V185" i="24"/>
  <c r="S185" i="25" l="1"/>
  <c r="V187" i="24"/>
  <c r="S188" i="24"/>
  <c r="S187" i="25" l="1"/>
  <c r="V185" i="25"/>
  <c r="S185" i="26" l="1"/>
  <c r="V187" i="25"/>
  <c r="S188" i="25"/>
  <c r="S187" i="26" l="1"/>
  <c r="V185" i="26"/>
  <c r="S185" i="27" l="1"/>
  <c r="V187" i="26"/>
  <c r="S188" i="26"/>
  <c r="S187" i="27" l="1"/>
  <c r="V185" i="27"/>
  <c r="S185" i="28" l="1"/>
  <c r="S188" i="27"/>
  <c r="V187" i="27"/>
  <c r="V185" i="28" l="1"/>
  <c r="S187" i="28"/>
  <c r="S185" i="29" l="1"/>
  <c r="S188" i="28"/>
  <c r="V187" i="28"/>
  <c r="S187" i="29" l="1"/>
  <c r="V185" i="29"/>
  <c r="S185" i="30" l="1"/>
  <c r="S188" i="29"/>
  <c r="V187" i="29"/>
  <c r="S187" i="30" l="1"/>
  <c r="S185" i="31" s="1"/>
  <c r="V185" i="30"/>
  <c r="S187" i="31" l="1"/>
  <c r="S185" i="32" s="1"/>
  <c r="V185" i="31"/>
  <c r="V187" i="30"/>
  <c r="S188" i="30"/>
  <c r="V185" i="32" l="1"/>
  <c r="S187" i="32"/>
  <c r="V187" i="31"/>
  <c r="S188" i="31"/>
  <c r="V187" i="32" l="1"/>
  <c r="S185" i="33"/>
  <c r="S188" i="32"/>
  <c r="V185" i="33" l="1"/>
  <c r="S187" i="33"/>
  <c r="V187" i="33" l="1"/>
  <c r="S185" i="34"/>
  <c r="S188" i="33"/>
  <c r="S187" i="34" l="1"/>
  <c r="V185" i="34"/>
  <c r="S185" i="35" l="1"/>
  <c r="V187" i="34"/>
  <c r="S188" i="34"/>
  <c r="S187" i="35" l="1"/>
  <c r="V185" i="35"/>
  <c r="S185" i="36" l="1"/>
  <c r="V187" i="35"/>
  <c r="S188" i="35"/>
  <c r="S187" i="36" l="1"/>
  <c r="S185" i="37" s="1"/>
  <c r="V185" i="36"/>
  <c r="S187" i="37" l="1"/>
  <c r="V185" i="37"/>
  <c r="S188" i="36"/>
  <c r="V187" i="36"/>
  <c r="V187" i="37" l="1"/>
  <c r="S185" i="38"/>
  <c r="S188" i="37"/>
  <c r="S187" i="38" l="1"/>
  <c r="V185" i="38"/>
  <c r="S188" i="38" l="1"/>
  <c r="S185" i="39"/>
  <c r="V187" i="38"/>
  <c r="S187" i="39" l="1"/>
  <c r="V185" i="39"/>
  <c r="S185" i="40" l="1"/>
  <c r="S188" i="39"/>
  <c r="V187" i="39"/>
  <c r="S187" i="40" l="1"/>
  <c r="V185" i="40"/>
  <c r="S185" i="41" l="1"/>
  <c r="V187" i="40"/>
  <c r="S188" i="40"/>
  <c r="S187" i="41" l="1"/>
  <c r="V185" i="41"/>
  <c r="S185" i="42" l="1"/>
  <c r="V187" i="41"/>
  <c r="S188" i="41"/>
  <c r="S187" i="42" l="1"/>
  <c r="V185" i="42"/>
  <c r="S185" i="43" l="1"/>
  <c r="S188" i="42"/>
  <c r="V187" i="42"/>
  <c r="S187" i="43" l="1"/>
  <c r="V185" i="43"/>
  <c r="S185" i="44" l="1"/>
  <c r="V187" i="43"/>
  <c r="S188" i="43"/>
  <c r="S187" i="44" l="1"/>
  <c r="V185" i="44"/>
  <c r="S185" i="45" l="1"/>
  <c r="V187" i="44"/>
  <c r="S188" i="44"/>
  <c r="S187" i="45" l="1"/>
  <c r="S185" i="46" s="1"/>
  <c r="V185" i="45"/>
  <c r="S187" i="46" l="1"/>
  <c r="S185" i="47" s="1"/>
  <c r="V185" i="46"/>
  <c r="V187" i="45"/>
  <c r="S188" i="45"/>
  <c r="V185" i="47" l="1"/>
  <c r="S187" i="47"/>
  <c r="S188" i="48" s="1"/>
  <c r="S188" i="46"/>
  <c r="V187" i="46"/>
  <c r="V188" i="48" l="1"/>
  <c r="S190" i="48"/>
  <c r="V187" i="47"/>
  <c r="S188" i="47"/>
  <c r="V190" i="48" l="1"/>
  <c r="S188" i="49"/>
  <c r="S191" i="48"/>
  <c r="V188" i="49" l="1"/>
  <c r="S190" i="49"/>
  <c r="V190" i="49" l="1"/>
  <c r="S188" i="50"/>
  <c r="S191" i="49"/>
  <c r="V188" i="50" l="1"/>
  <c r="S190" i="50"/>
  <c r="V190" i="50" l="1"/>
  <c r="S188" i="51"/>
  <c r="S191" i="50"/>
  <c r="S190" i="51" l="1"/>
  <c r="V188" i="51"/>
  <c r="V190" i="51" l="1"/>
  <c r="S188" i="52"/>
  <c r="S191" i="51"/>
  <c r="S190" i="52" l="1"/>
  <c r="V188" i="52"/>
  <c r="V190" i="52" l="1"/>
  <c r="S191" i="52"/>
</calcChain>
</file>

<file path=xl/sharedStrings.xml><?xml version="1.0" encoding="utf-8"?>
<sst xmlns="http://schemas.openxmlformats.org/spreadsheetml/2006/main" count="20893" uniqueCount="395">
  <si>
    <t>Summary Transaction  Features</t>
  </si>
  <si>
    <t>Name of Issuer</t>
  </si>
  <si>
    <t>Originator % at Closing</t>
  </si>
  <si>
    <t xml:space="preserve">Originator % at the Quarter End </t>
  </si>
  <si>
    <t>Date of Issue</t>
  </si>
  <si>
    <t>Date of Production</t>
  </si>
  <si>
    <t>Security Level Data</t>
  </si>
  <si>
    <t>Moody's Rating at Closing</t>
  </si>
  <si>
    <t>Standard &amp; Poor's Rating at Closing</t>
  </si>
  <si>
    <t>Current Moody's Rating</t>
  </si>
  <si>
    <t>ISIN</t>
  </si>
  <si>
    <t xml:space="preserve">Note Interest Margins: </t>
  </si>
  <si>
    <t>Current Note Interest Rates:</t>
  </si>
  <si>
    <t>Previous Note Interest Rates:</t>
  </si>
  <si>
    <t>Optional Redemption (Call) Dates</t>
  </si>
  <si>
    <t>Step-up Dates</t>
  </si>
  <si>
    <t>Record Date</t>
  </si>
  <si>
    <t>Asset Movements</t>
  </si>
  <si>
    <t>Mortgages</t>
  </si>
  <si>
    <t>Current Principal Balance (£'000)</t>
  </si>
  <si>
    <t>Accrued Arrears and Interest Sold to Issuer (£'000)</t>
  </si>
  <si>
    <t>Total (£'000)</t>
  </si>
  <si>
    <t>Consumer Loans</t>
  </si>
  <si>
    <t>Credit Enhancement</t>
  </si>
  <si>
    <t>Spread Trap</t>
  </si>
  <si>
    <t>Unreplenished Losses on Mortgages</t>
  </si>
  <si>
    <t>Outstanding Note Principal</t>
  </si>
  <si>
    <t>Principal/Revenue Analysis</t>
  </si>
  <si>
    <t>Opening cash balance</t>
  </si>
  <si>
    <t xml:space="preserve">Total principal cash received this period from assets </t>
  </si>
  <si>
    <t>Initial income for distribution this period</t>
  </si>
  <si>
    <t>Revenue adjustment for payment of Accrued Arrears and Interest Sold at closing</t>
  </si>
  <si>
    <t>Final income for distribution this period</t>
  </si>
  <si>
    <t>Revenue payments made or accrued from Revenue Income:</t>
  </si>
  <si>
    <t>Accrued Arrears and Interest not Sold to Issuer</t>
  </si>
  <si>
    <t>Third Party payments for Corporation Tax and VAT</t>
  </si>
  <si>
    <t>Cap/Swap Retention fund</t>
  </si>
  <si>
    <t>Principal payments made from Principal Income:</t>
  </si>
  <si>
    <t>Discretionary Further Advances</t>
  </si>
  <si>
    <t>Total payments to be made this quarter</t>
  </si>
  <si>
    <t>Total closing cash balance</t>
  </si>
  <si>
    <t>Available Credit Enhancement</t>
  </si>
  <si>
    <t>First Loss Fund Analysis</t>
  </si>
  <si>
    <t>First Loss Fund at Closing</t>
  </si>
  <si>
    <t>Last Quarter closing First Loss Fund balance</t>
  </si>
  <si>
    <t>PDL Replenishment</t>
  </si>
  <si>
    <t>Closing First Loss Fund Balance</t>
  </si>
  <si>
    <t>Requirement</t>
  </si>
  <si>
    <t>Build up - prior periods</t>
  </si>
  <si>
    <t>Build up - this period</t>
  </si>
  <si>
    <t>Requirement Outstanding</t>
  </si>
  <si>
    <t>Principal Deficiency Ledger (PDL)</t>
  </si>
  <si>
    <t>Opening PDL Balance</t>
  </si>
  <si>
    <t>Losses this quarter</t>
  </si>
  <si>
    <t>Total PDL balance</t>
  </si>
  <si>
    <t>Closing PDL Balance</t>
  </si>
  <si>
    <t>Over Collateralisation</t>
  </si>
  <si>
    <t>Current Principal Balance Outstanding and Accrued Arrears (£'000)</t>
  </si>
  <si>
    <t>Outstanding Note Principal (£'000)</t>
  </si>
  <si>
    <t>Mandatory and Discretionary Further Advances (FA's)</t>
  </si>
  <si>
    <t>Total FA's permitted</t>
  </si>
  <si>
    <t>FA's made to last quarter</t>
  </si>
  <si>
    <t>FA's made this quarter</t>
  </si>
  <si>
    <t>Total FA's made to date</t>
  </si>
  <si>
    <t>Remaining permitted FA's</t>
  </si>
  <si>
    <t xml:space="preserve">Cash Flow Interest Coverage </t>
  </si>
  <si>
    <t>Cover Ratio for Class A Notes (at last Interest Payment Date)</t>
  </si>
  <si>
    <t xml:space="preserve">Cover Ratio for Class A Notes (cumulative) </t>
  </si>
  <si>
    <t>Cover Ratio for Class B Notes (at last Interest Payment Date)</t>
  </si>
  <si>
    <t xml:space="preserve">Cover Ratio for Class B Notes (cumulative) </t>
  </si>
  <si>
    <t>Collateral Level Data</t>
  </si>
  <si>
    <t>Original Weighted Average Yield</t>
  </si>
  <si>
    <t>Original Spread</t>
  </si>
  <si>
    <t>Current Weighted Average Yield</t>
  </si>
  <si>
    <t>Current Spread</t>
  </si>
  <si>
    <t>Original Weighted Average Maturity</t>
  </si>
  <si>
    <t>Current Weighted Average Maturity</t>
  </si>
  <si>
    <t>Quarterly Prepayment Rate</t>
  </si>
  <si>
    <t>Life Time Prepayment Rate</t>
  </si>
  <si>
    <t>Delinquency Status</t>
  </si>
  <si>
    <t>Enforcements in Progress</t>
  </si>
  <si>
    <t>Enforcements Completed</t>
  </si>
  <si>
    <t>Aggregate Principal Balance of Repurchased Loans</t>
  </si>
  <si>
    <t>Principal Losses</t>
  </si>
  <si>
    <t>Agg Loan Principal Losses (during related Collection Period)</t>
  </si>
  <si>
    <t>Cumulative Principal Losses (since closing date)</t>
  </si>
  <si>
    <t>Average Number of months in Arrears @ Redemption date</t>
  </si>
  <si>
    <t>Average months between Possession &amp; Redemption</t>
  </si>
  <si>
    <t>Performing</t>
  </si>
  <si>
    <t>&gt;1&lt;=2 Months</t>
  </si>
  <si>
    <t>&gt;2&lt;=3 Months</t>
  </si>
  <si>
    <t>Contact Name/Address</t>
  </si>
  <si>
    <t>John Harvey, St. Catherines Court, Herbert Road, Solihull, West Midlands, B91 3QE</t>
  </si>
  <si>
    <t>Jimmy Giles, St. Catherines Court, Herbert Road, Solihull, West Midlands, B91 3QE</t>
  </si>
  <si>
    <t>As at Closing</t>
  </si>
  <si>
    <t>PDD =</t>
  </si>
  <si>
    <t>Last Quarter Balance</t>
  </si>
  <si>
    <t>Tel.</t>
  </si>
  <si>
    <t>This Quarter Redemptions and Repayments</t>
  </si>
  <si>
    <t>E-mail</t>
  </si>
  <si>
    <t>Additions this quarter</t>
  </si>
  <si>
    <t>DFA's</t>
  </si>
  <si>
    <t>No.</t>
  </si>
  <si>
    <t>%</t>
  </si>
  <si>
    <t>PML</t>
  </si>
  <si>
    <t>Senior/Subordinate</t>
  </si>
  <si>
    <t>Repurchases this quarter</t>
  </si>
  <si>
    <t>Principal (£'000)</t>
  </si>
  <si>
    <t>£'000 Value</t>
  </si>
  <si>
    <t>£'000 Principal</t>
  </si>
  <si>
    <t>years</t>
  </si>
  <si>
    <t>Quarterly</t>
  </si>
  <si>
    <t>Current Principal Outstanding</t>
  </si>
  <si>
    <t>Revenue (£'000)</t>
  </si>
  <si>
    <t>Total</t>
  </si>
  <si>
    <t>x</t>
  </si>
  <si>
    <t>Payments to Swap Counterparty</t>
  </si>
  <si>
    <t>Pre Funding Reserve</t>
  </si>
  <si>
    <t>N/A</t>
  </si>
  <si>
    <t>Note Step-Up Margins</t>
  </si>
  <si>
    <t>ACTUAL/360</t>
  </si>
  <si>
    <t>Previous Quarterly Interest Period (No. of Days)</t>
  </si>
  <si>
    <t>Current Quarterly Interest Period (No. of Days)</t>
  </si>
  <si>
    <t>A Note Interest / Currency Swap Interest</t>
  </si>
  <si>
    <t>B Note Interest / Currency Swap Interest</t>
  </si>
  <si>
    <t>First Loss Fund Replenishment</t>
  </si>
  <si>
    <t>Surplus income to the Issuer</t>
  </si>
  <si>
    <t>4 (a)</t>
  </si>
  <si>
    <t>4 (b)</t>
  </si>
  <si>
    <t>Replenishments from excess Revenue cash</t>
  </si>
  <si>
    <t>Current Pool Factor</t>
  </si>
  <si>
    <t>Previous Pool Factor</t>
  </si>
  <si>
    <t xml:space="preserve">Previous Outstanding Note Principal </t>
  </si>
  <si>
    <t>Original Issue Amount ('000)</t>
  </si>
  <si>
    <t xml:space="preserve">Current Outstanding Note Principal </t>
  </si>
  <si>
    <t>First Loss Fund Drawings</t>
  </si>
  <si>
    <t>Drawings this quarter to fund</t>
  </si>
  <si>
    <t>N.B. This data fact sheet and its notes can only be a summary of certain features of the bonds and their structure. No representation can be made that the information herein is accurate or complete and no liability is accepted therefor. Reference should be made to the issued</t>
  </si>
  <si>
    <t xml:space="preserve">information herein when making any decision whether to buy, hold or sell bonds (or other securities) or for any other purpose. </t>
  </si>
  <si>
    <t>documentation for a full description of the bonds and their structure. This data fact sheet and its notes are for information purposes only and are not intended as an offer or invitation with respect to the purchase or sale of any security. Reliance should not be placed on the</t>
  </si>
  <si>
    <t>MTL</t>
  </si>
  <si>
    <t>Aaa</t>
  </si>
  <si>
    <t>A2</t>
  </si>
  <si>
    <t>AAA</t>
  </si>
  <si>
    <t>A</t>
  </si>
  <si>
    <t>Appointment of a Receiver of Rent</t>
  </si>
  <si>
    <t>Available Redemption Funds</t>
  </si>
  <si>
    <t>+44 (0) 121 712 2315</t>
  </si>
  <si>
    <t>+44 (0) 121 712 3894</t>
  </si>
  <si>
    <t xml:space="preserve">Junior Administration Fee to PFPLC and MTS </t>
  </si>
  <si>
    <t>4 (c)</t>
  </si>
  <si>
    <t>Original Weighted Average Note Coupon and Currency Swap Rate</t>
  </si>
  <si>
    <t>john.harvey@paragon-group.co.uk</t>
  </si>
  <si>
    <t>jimmy.giles@paragon-group.co.uk</t>
  </si>
  <si>
    <t>ACTUAL/365</t>
  </si>
  <si>
    <t>Facility at Closing</t>
  </si>
  <si>
    <t>&gt;3&lt;=4 Months</t>
  </si>
  <si>
    <t>&gt;4&lt;=5 Months</t>
  </si>
  <si>
    <t>&gt;5&lt;=6 Months</t>
  </si>
  <si>
    <t>&gt;6&lt;=12 Months</t>
  </si>
  <si>
    <t>&gt;12 Months</t>
  </si>
  <si>
    <t>Funding of MTL payment holidays</t>
  </si>
  <si>
    <t>Delinquency Summary (Excluding Receiver of Rent and Possession Cases)</t>
  </si>
  <si>
    <t>Delinquency Summary (For Possession Cases)</t>
  </si>
  <si>
    <t>Total Assets</t>
  </si>
  <si>
    <t>AA</t>
  </si>
  <si>
    <t xml:space="preserve">FOR FURTHER ASSISTANCE ON THE INVESTOR REPORTS, PLEASE REFER TO THE "INVESTOR TERMS" POSTED ON THE PARAGON WEBSITE   </t>
  </si>
  <si>
    <t>http://www.paragon-group.co.uk</t>
  </si>
  <si>
    <t xml:space="preserve">FOR ADDITIONAL INFORMATION ON THE UNDERLYING ASSETS, PLEASE REFER TO THE "POOL TABLES" AND "SUMMARY" SECTIONS POSTED ON THE PARAGON WEBSITE  </t>
  </si>
  <si>
    <t>Class B and C Notes as a percentage Class A Notes at issue</t>
  </si>
  <si>
    <t>Outstanding Class B and C Notes as a percentage of Outstanding Class A Notes</t>
  </si>
  <si>
    <t>Determination Event for Paying Class B and C Notes</t>
  </si>
  <si>
    <t>Drawings used to fund Mandatory Further Advances during the period</t>
  </si>
  <si>
    <t>PML Mandatory Further Advances</t>
  </si>
  <si>
    <t>MTL Mandatory Further Advances</t>
  </si>
  <si>
    <t>C Note Interest / Currency Swap Interest</t>
  </si>
  <si>
    <t>MFA's (PML)</t>
  </si>
  <si>
    <t>Class A1 Notes</t>
  </si>
  <si>
    <t>Class A2a Notes</t>
  </si>
  <si>
    <t>Class A2b Notes</t>
  </si>
  <si>
    <t>Class B1a Notes</t>
  </si>
  <si>
    <t>Class B1b Notes</t>
  </si>
  <si>
    <t>Class C1b Notes</t>
  </si>
  <si>
    <t>Aa2</t>
  </si>
  <si>
    <t>A2a Note Interest</t>
  </si>
  <si>
    <t>B1b Swap Currency Interest</t>
  </si>
  <si>
    <t>B1a Note Interest</t>
  </si>
  <si>
    <t>C1b Swap Currency repayment</t>
  </si>
  <si>
    <t>B1b Swap Currency repayment</t>
  </si>
  <si>
    <t>B1a Note repayment</t>
  </si>
  <si>
    <t>Fitch Rating at Closing</t>
  </si>
  <si>
    <t>Current Standard &amp; Poor's Rating</t>
  </si>
  <si>
    <t>Current Fitch Rating</t>
  </si>
  <si>
    <t xml:space="preserve"> </t>
  </si>
  <si>
    <t>A2b Swap Currency repayment</t>
  </si>
  <si>
    <t>A2a Note repayment</t>
  </si>
  <si>
    <t>C1b Swap Currency Interest</t>
  </si>
  <si>
    <t>A1 Swap Currency repayment</t>
  </si>
  <si>
    <t>Cover Ratio for Class C Notes (at last Interest Payment Date)</t>
  </si>
  <si>
    <t xml:space="preserve">Cover Ratio for Class C Notes (cumulative) </t>
  </si>
  <si>
    <t>TBA</t>
  </si>
  <si>
    <t>Quarterly Interest Payment Date</t>
  </si>
  <si>
    <t>Class A1 Interest Payment Cycle</t>
  </si>
  <si>
    <t>Monthly</t>
  </si>
  <si>
    <t>Senior Administration Fee to PFPLC and MTS/ Out of pocket expenses/ Substitute Administrators Commitment Fee</t>
  </si>
  <si>
    <t>5 (a)</t>
  </si>
  <si>
    <t>5 (b)</t>
  </si>
  <si>
    <t>Stated Maturity - Class A Notes</t>
  </si>
  <si>
    <t>Stated Maturity - Class B Notes</t>
  </si>
  <si>
    <t>Stated Maturity - Class C Notes</t>
  </si>
  <si>
    <t>Redemption Income</t>
  </si>
  <si>
    <t>Investment Income</t>
  </si>
  <si>
    <t>P-1/Aaa</t>
  </si>
  <si>
    <t>A-1+/AAA</t>
  </si>
  <si>
    <t>F1+/AAA</t>
  </si>
  <si>
    <t>Quarterly Interest Income</t>
  </si>
  <si>
    <t>Receiver of Rent Properties Sold</t>
  </si>
  <si>
    <t>Average Number of months in Arrears @ Sale date</t>
  </si>
  <si>
    <t>Current Weighted Average Note Coupon and Currency Swap Rate</t>
  </si>
  <si>
    <t>Class A2c Notes</t>
  </si>
  <si>
    <t>A1, A2b and A2c Swap Currency Interest</t>
  </si>
  <si>
    <t>Trustee Fee/Tender Agent Fees/ Costs and Expenses claimed by the Remarketing Agent and the A1 Conditional Purchaser</t>
  </si>
  <si>
    <t>A2c Swap Currency repayment</t>
  </si>
  <si>
    <t>Class A1, A2b, A2c, B1b and C1b Interest Calculated on</t>
  </si>
  <si>
    <t xml:space="preserve"> 0 bp</t>
  </si>
  <si>
    <t>Termination Fees to the Swap Providers</t>
  </si>
  <si>
    <t>Closing Flexible Drawing Facility balance</t>
  </si>
  <si>
    <t>Total Income as a % of the Total Assets</t>
  </si>
  <si>
    <t>Aggregate Balance of Substituted Loans (Pre Funding Reserve)</t>
  </si>
  <si>
    <t>14bp</t>
  </si>
  <si>
    <t>Margin Reserve Fund</t>
  </si>
  <si>
    <t>Opening Balance</t>
  </si>
  <si>
    <t>Closing Balance</t>
  </si>
  <si>
    <t>Swap Receipts</t>
  </si>
  <si>
    <t>Scheduled Release to the Revenue Ledger</t>
  </si>
  <si>
    <t xml:space="preserve">Scheduled Releases from the Margin Reserve Fund </t>
  </si>
  <si>
    <t>Delinquency Summary (For Receiver of Rent Cases)</t>
  </si>
  <si>
    <t>Paragon Mortgages (No.15) PLC</t>
  </si>
  <si>
    <t>This performance report is issued by Paragon Finance PLC for and on behalf of Paragon Mortgages (No.15) PLC</t>
  </si>
  <si>
    <t>PM15 PLC</t>
  </si>
  <si>
    <t>PM15 INVESTOR REPORT QUARTER ENDING NOVEMBER 2007</t>
  </si>
  <si>
    <t>Replenishments from drawings on the PM15/PFPLC/MTS Subordinated Loan</t>
  </si>
  <si>
    <t>XS0310510960</t>
  </si>
  <si>
    <t>US69913GAA31</t>
  </si>
  <si>
    <t>XS0310515258</t>
  </si>
  <si>
    <t>XS0310515506</t>
  </si>
  <si>
    <t>US69913GAB14</t>
  </si>
  <si>
    <t>XS0310517205</t>
  </si>
  <si>
    <t>XS0310519326</t>
  </si>
  <si>
    <t>XS0310521496</t>
  </si>
  <si>
    <t>XS0310524599</t>
  </si>
  <si>
    <t>13 bp</t>
  </si>
  <si>
    <t>12 bp</t>
  </si>
  <si>
    <t>11 bp</t>
  </si>
  <si>
    <t>27 bp</t>
  </si>
  <si>
    <t>55 bp</t>
  </si>
  <si>
    <t>26 bp</t>
  </si>
  <si>
    <t>24 bp</t>
  </si>
  <si>
    <t>22 bp</t>
  </si>
  <si>
    <t>54 bp</t>
  </si>
  <si>
    <t>110 bp</t>
  </si>
  <si>
    <t>28 bp</t>
  </si>
  <si>
    <t>31 bp</t>
  </si>
  <si>
    <t>61 bp</t>
  </si>
  <si>
    <t>123 bp</t>
  </si>
  <si>
    <t>Andrew Kitching, St. Catherines Court, Herbert Road, Solihull, West Midlands, B91 3QE</t>
  </si>
  <si>
    <t>+44 (0) 121 712 3896</t>
  </si>
  <si>
    <t>andrew.kitching@paragon-group.co.uk</t>
  </si>
  <si>
    <t>N/A: Sequential Paydown</t>
  </si>
  <si>
    <t>Flexile Drawing Facilty (not applicable to PM15)</t>
  </si>
  <si>
    <t>Class A2a, A2b, A2c B1a, B1b and C1b Interest Payment Cycle</t>
  </si>
  <si>
    <t>Class A2a and B1a Interest Calculated on</t>
  </si>
  <si>
    <t>Drawing on the PFPLC/MTS/PM15 Subordinated Loan for Interest Shortfalls</t>
  </si>
  <si>
    <t xml:space="preserve"> 2 bp</t>
  </si>
  <si>
    <t>Accrual from Revenue for potential Losses</t>
  </si>
  <si>
    <t>PM15 INVESTOR REPORT QUARTER ENDING FEBRUARY 2008</t>
  </si>
  <si>
    <t>PM15 INVESTOR REPORT QUARTER ENDING MAY 2008</t>
  </si>
  <si>
    <t>PM15 INVESTOR REPORT QUARTER ENDING AUG 2008</t>
  </si>
  <si>
    <t xml:space="preserve"> 9 bp</t>
  </si>
  <si>
    <t xml:space="preserve"> 11 bp</t>
  </si>
  <si>
    <t>PM15 INVESTOR REPORT QUARTER ENDING NOVEMBER 2008</t>
  </si>
  <si>
    <t>PM15 INVESTOR REPORT QUARTER ENDING FEBRUARY 2009</t>
  </si>
  <si>
    <t>Properties Sold by Mortgagee - Outstandung Principal Balance</t>
  </si>
  <si>
    <t>PM15 INVESTOR REPORT QUARTER ENDING MAY 2009</t>
  </si>
  <si>
    <t>PM15 INVESTOR REPORT QUARTER ENDING AUGUST 2009</t>
  </si>
  <si>
    <t>Possession Properties Sold</t>
  </si>
  <si>
    <t>Original GBP Equivalent Note Principal</t>
  </si>
  <si>
    <t>Previous GBP Equivalent Note Principal</t>
  </si>
  <si>
    <t>Current GBP Equivalent Note Principal</t>
  </si>
  <si>
    <t>GBP Note Margin</t>
  </si>
  <si>
    <t>Current GBP Interest Rates</t>
  </si>
  <si>
    <t>Previous GBP Interest Rates</t>
  </si>
  <si>
    <t>GBP Step -Up Margins</t>
  </si>
  <si>
    <t>PM15 INVESTOR REPORT QUARTER ENDING NOVEMBER 2009</t>
  </si>
  <si>
    <t>PM15 INVESTOR REPORT QUARTER ENDING FEBRUARY 2010</t>
  </si>
  <si>
    <t>PM15 INVESTOR REPORT QUARTER ENDING MAY 2010</t>
  </si>
  <si>
    <t>PM15 INVESTOR REPORT QUARTER ENDING AUGUST 2010</t>
  </si>
  <si>
    <t xml:space="preserve">Delinquency Summary </t>
  </si>
  <si>
    <t>PM15 INVESTOR REPORT QUARTER ENDING NOVEMBER 2010</t>
  </si>
  <si>
    <t>PM15 INVESTOR REPORT QUARTER ENDING FEBRUARY 2011</t>
  </si>
  <si>
    <t>PM15 INVESTOR REPORT QUARTER ENDING MAY 2011</t>
  </si>
  <si>
    <t>PM15 INVESTOR REPORT QUARTER ENDING AUGUST 2011</t>
  </si>
  <si>
    <t>PM15 INVESTOR REPORT QUARTER ENDING NOVEMBER 2011</t>
  </si>
  <si>
    <t>PDL replenishment (-) from Revenue income / Recovery (+) to Revenue income</t>
  </si>
  <si>
    <t>18 bp</t>
  </si>
  <si>
    <t>PM15 INVESTOR REPORT QUARTER ENDING FEBRUARY 2012</t>
  </si>
  <si>
    <t>PM15 INVESTOR REPORT QUARTER ENDING MAY 2012</t>
  </si>
  <si>
    <t>A+</t>
  </si>
  <si>
    <t>BB</t>
  </si>
  <si>
    <t>BBB</t>
  </si>
  <si>
    <t>PM15 INVESTOR REPORT QUARTER ENDING AUGUST 2012</t>
  </si>
  <si>
    <t>20 bp</t>
  </si>
  <si>
    <t>PM15 INVESTOR REPORT QUARTER ENDING NOVEMBER 2012</t>
  </si>
  <si>
    <t>PM15 INVESTOR REPORT QUARTER ENDING FEBRUARY 2013</t>
  </si>
  <si>
    <t>Trustee Fee/Tender Agent Fees/ Costs and Expenses claimed by the Substitute Administrator, the Remarketing Agent and the A1 Conditional Purchaser</t>
  </si>
  <si>
    <t>Unsecured claimants in an amount not exceeding the "Prescribed Part" in The Insolvency Act (Prescribed Part) Order 2003 (as amended from time to time)</t>
  </si>
  <si>
    <t>Senior Administration Fee to PFPLC and MTS/ Out of pocket expenses/ Substitute Administrator Commitment Fee/ Substitute Administrator Facilitator Fee/ Surveillance Fees to Rating Agencies</t>
  </si>
  <si>
    <t>PM15 INVESTOR REPORT QUARTER ENDING MAY 2013</t>
  </si>
  <si>
    <t>John Harvey, 51 Homer Road, Solihull, West Midlands, B91 3QJ</t>
  </si>
  <si>
    <t>Andrew Kitching, 51 Homer Road, Solihull, West Midlands, B91 3QJ</t>
  </si>
  <si>
    <t>Jimmy Giles, 51 Homer Road, Solihull, West Midlands, B91 3QJ</t>
  </si>
  <si>
    <t>PM15 INVESTOR REPORT QUARTER ENDING AUGUST 2013</t>
  </si>
  <si>
    <t>PM15 INVESTOR REPORT QUARTER ENDING NOVEMBER 2013</t>
  </si>
  <si>
    <t>PM15 INVESTOR REPORT QUARTER ENDING FEBRUARY 2014</t>
  </si>
  <si>
    <t>PM15 INVESTOR REPORT QUARTER ENDING MAY 2014</t>
  </si>
  <si>
    <t>PM15 INVESTOR REPORT QUARTER ENDING AUGUST 2014</t>
  </si>
  <si>
    <t>PM15 INVESTOR REPORT QUARTER ENDING NOVEMBER 2014</t>
  </si>
  <si>
    <t>PM15 INVESTOR REPORT QUARTER ENDING FEBRUARY 2015</t>
  </si>
  <si>
    <t>PM15 INVESTOR REPORT QUARTER ENDING MAY 2015</t>
  </si>
  <si>
    <t>AA+</t>
  </si>
  <si>
    <t>BBB+</t>
  </si>
  <si>
    <t>PM15 INVESTOR REPORT QUARTER ENDING AUGUST 2015</t>
  </si>
  <si>
    <t>BBB-</t>
  </si>
  <si>
    <t>PM15 INVESTOR REPORT QUARTER ENDING NOVEMBER 2015</t>
  </si>
  <si>
    <t>PM15 INVESTOR REPORT QUARTER ENDING FEBRUARY 2016</t>
  </si>
  <si>
    <t>PM15 INVESTOR REPORT QUARTER ENDING MAY 2016</t>
  </si>
  <si>
    <t>PM15 INVESTOR REPORT QUARTER ENDING AUGUST 2016</t>
  </si>
  <si>
    <t>PM15 INVESTOR REPORT QUARTER ENDING NOVEMBER 2016</t>
  </si>
  <si>
    <t>PM15 INVESTOR REPORT QUARTER ENDING FEBRUARY 2017</t>
  </si>
  <si>
    <t>PM15 INVESTOR REPORT QUARTER ENDING MAY 2017</t>
  </si>
  <si>
    <t>PM15 INVESTOR REPORT QUARTER ENDING AUGUST 2017</t>
  </si>
  <si>
    <t>http://www.paragonbankinggroup.co.uk</t>
  </si>
  <si>
    <t>PM15 INVESTOR REPORT QUARTER ENDING NOVEMBER 2017</t>
  </si>
  <si>
    <t>PM15 INVESTOR REPORT QUARTER ENDING FEBRUARY 2018</t>
  </si>
  <si>
    <t>PM15 INVESTOR REPORT QUARTER ENDING MAY 2018</t>
  </si>
  <si>
    <t>PM15 INVESTOR REPORT QUARTER ENDING AUGUST 2018</t>
  </si>
  <si>
    <t>PM15 INVESTOR REPORT QUARTER ENDING NOVEMBER 2018</t>
  </si>
  <si>
    <t>PM15 INVESTOR REPORT QUARTER ENDING FEBRUARY 2019</t>
  </si>
  <si>
    <t>PM15 INVESTOR REPORT QUARTER ENDING MAY 2019</t>
  </si>
  <si>
    <t>PM15 INVESTOR REPORT QUARTER ENDING AUGUST 2019</t>
  </si>
  <si>
    <t>Repayment of the Subordinated Loan (Repayment of the Minimum Mortgage Rate Drawings)</t>
  </si>
  <si>
    <t>Deferred Consideration</t>
  </si>
  <si>
    <t>Management Charge</t>
  </si>
  <si>
    <t>Interest on the Subordinated Loan (First Loss Fund)</t>
  </si>
  <si>
    <t>PM15 INVESTOR REPORT QUARTER ENDING NOVEMBER 2019</t>
  </si>
  <si>
    <t>PM15 INVESTOR REPORT QUARTER ENDING FEBRUARY 2020</t>
  </si>
  <si>
    <t>Aa1</t>
  </si>
  <si>
    <t>PM15 INVESTOR REPORT QUARTER ENDING MAY 2020</t>
  </si>
  <si>
    <t>**</t>
  </si>
  <si>
    <t>Delinquency Summary (For COVID19 Payment Holiday Cases)</t>
  </si>
  <si>
    <t xml:space="preserve">FOR ADDITIONAL INFORMATION ON THE CHANGES TO THE REVENUE PRIORITY OF PAYMENTS, PLEASE REFER TO THE "GLOSSARY OF TERMS" POSTED ON THE PARAGON WEBSITE  </t>
  </si>
  <si>
    <t>Payment Holidays</t>
  </si>
  <si>
    <t>On 18th March 2020, the UK Government instructed Lenders to grant a three-month mortgage payment holiday to Buy to Let landlords who may be experiencing difficulties in meeting their buy to let mortgage payments caused by the impact of the COVID19 virus.</t>
  </si>
  <si>
    <t>Following this guidance and where appropriate, Paragon have agreed a mortgage payment holiday with customers, ranging between one and three months. Paragon have emphasised to the customers (a) this is only a temporary arrangement and that the position</t>
  </si>
  <si>
    <t xml:space="preserve">will be reviewed after the payment holiday period and (b) interest will continue to be charged on the payment holiday amount that forms part of the customers' outstanding mortgage balance. Following the expiry of the relevant payment holiday arrangement, </t>
  </si>
  <si>
    <t xml:space="preserve">Paragon will contact the customer with a range of available options, including an overpayment on the customers' monthly payment to clear the payment holiday amount. In accordance with the practices of a reasonable prudent administrator, each case will be </t>
  </si>
  <si>
    <t>assessed individually and on its own merits.</t>
  </si>
  <si>
    <t>Paragon have also made the necessary system changes to accommodate payment holidays. For reporting purposes, and in line with the UK Finance's expectations, customers that have been granted a payment holiday will not be categorised nor reported as an arrears</t>
  </si>
  <si>
    <t xml:space="preserve">loan. It is expected that Paragon will be in a position to identify and report on the payment holiday customers for investor reporting and loan by loan disclosure requirements. </t>
  </si>
  <si>
    <t>LIBOR transition</t>
  </si>
  <si>
    <t>Paragon are proactively working with other banks, industry bodies, our regulators and trade associations to define the next steps to consider alternatives to LIBOR and explore all reasonable alternatives. The decision regarding the replacement will be based on a variety of factors,</t>
  </si>
  <si>
    <t>including taking into account the interests of our customers, market consultations and the expectations of our regulators (the PRA and FCA).</t>
  </si>
  <si>
    <t>Receiver of Rent Cases by Current Status, as at the PDD</t>
  </si>
  <si>
    <t>Rented</t>
  </si>
  <si>
    <t>Vacant - to be let</t>
  </si>
  <si>
    <t>Vacant - to be sold</t>
  </si>
  <si>
    <t>Property Rented/For Sale</t>
  </si>
  <si>
    <t xml:space="preserve">Strategic review </t>
  </si>
  <si>
    <t>** For transparency, a table has been included where customers have elected to take a payment holiday, caused by COVID19. Rows 302 - 312 Delinquency Summary (For COVID19 Payment Holiday Cases) are included in the Overall Deliquency Summary in rows 242 - 252.</t>
  </si>
  <si>
    <t>% by Number of Accounts/Balance</t>
  </si>
  <si>
    <t>Offer Issued/Offer Accepted/Contracts Issued/Contracts Exchanged</t>
  </si>
  <si>
    <t>PM15 INVESTOR REPORT QUARTER ENDING AUGUST 2020</t>
  </si>
  <si>
    <t>Original Payment Holiday Borrowers</t>
  </si>
  <si>
    <t>Extended Payment Holiday Borrowers</t>
  </si>
  <si>
    <t>Payment Holiday Extensions</t>
  </si>
  <si>
    <t xml:space="preserve">On 22nd May 2020, the UK Government announced that payment holidays would be extended for a further three months for Buy to Let landlords who may be experiencing, or continue to experience, difficulties in meeting their buy to let mortgage payments caused </t>
  </si>
  <si>
    <t xml:space="preserve">by the impact of the COVID19 virus. There is a deadline of 31st October 2020 for customers who have yet to apply for a payment holiday with their lenders. The same principles as outlined above for the "original" payment holiday customers will also apply to the </t>
  </si>
  <si>
    <t>"extended" payment holiday customers.</t>
  </si>
  <si>
    <t>WA PH Remaining Term (months)</t>
  </si>
  <si>
    <t>PM15 INVESTOR REPORT QUARTER ENDING NOVEMBER  2020</t>
  </si>
  <si>
    <t>Release of the First Loss Fund following repayment of the Notes</t>
  </si>
  <si>
    <t>Release of the First Loss Fund Balance</t>
  </si>
  <si>
    <t>n/a</t>
  </si>
  <si>
    <t>Payment holidays were extended in June 2020 and November 2020 for Buy to Let landlords who may be experiencing, or continue to experience, difficulties in meeting their buy to let mortgage payments caused by the impact of the COVID19 virus.</t>
  </si>
  <si>
    <t xml:space="preserve">There is a deadline of 31st January 2021 for customers who have yet to apply for a payment holiday with their lenders. The same principles as outlined above for the "original" payment holiday customers will also apply to the"extended" payment holiday customers.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</si>
</sst>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809]#,##0"/>
    <numFmt numFmtId="165" formatCode="0.00000%"/>
    <numFmt numFmtId="166" formatCode="0.0%"/>
    <numFmt numFmtId="167" formatCode="d\-mmm\-yy"/>
    <numFmt numFmtId="168" formatCode="[$€-2]\ #,##0"/>
    <numFmt numFmtId="169" formatCode="[$$-409]#,##0"/>
    <numFmt numFmtId="170" formatCode="0.0000000"/>
  </numFmts>
  <fonts count="85" x14ac:knownFonts="1">
    <font>
      <sz val="12"/>
      <name val="Arial"/>
    </font>
    <font>
      <sz val="12"/>
      <name val="Arial"/>
      <family val="2"/>
    </font>
    <font>
      <sz val="12"/>
      <name val="Times New Roman"/>
      <family val="1"/>
    </font>
    <font>
      <b/>
      <u/>
      <sz val="16"/>
      <color indexed="12"/>
      <name val="Times New Roman"/>
      <family val="1"/>
    </font>
    <font>
      <b/>
      <u/>
      <sz val="12"/>
      <name val="Times New Roman"/>
      <family val="1"/>
    </font>
    <font>
      <u/>
      <sz val="12"/>
      <name val="Times New Roman"/>
      <family val="1"/>
    </font>
    <font>
      <b/>
      <sz val="12"/>
      <color indexed="29"/>
      <name val="Times New Roman"/>
      <family val="1"/>
    </font>
    <font>
      <b/>
      <i/>
      <sz val="10"/>
      <name val="Times New Roman"/>
      <family val="1"/>
    </font>
    <font>
      <sz val="12"/>
      <name val="Arial"/>
      <family val="2"/>
    </font>
    <font>
      <b/>
      <sz val="12"/>
      <name val="Times New Roman"/>
      <family val="1"/>
    </font>
    <font>
      <b/>
      <sz val="12"/>
      <color indexed="12"/>
      <name val="Times New Roman"/>
      <family val="1"/>
    </font>
    <font>
      <sz val="12"/>
      <color indexed="12"/>
      <name val="Times New Roman"/>
      <family val="1"/>
    </font>
    <font>
      <b/>
      <u/>
      <sz val="12"/>
      <color indexed="12"/>
      <name val="Times New Roman"/>
      <family val="1"/>
    </font>
    <font>
      <sz val="12"/>
      <color indexed="8"/>
      <name val="Times New Roman"/>
      <family val="1"/>
    </font>
    <font>
      <b/>
      <sz val="12"/>
      <color indexed="12"/>
      <name val="Arial"/>
      <family val="2"/>
    </font>
    <font>
      <b/>
      <sz val="14"/>
      <name val="Times New Roman"/>
      <family val="1"/>
    </font>
    <font>
      <b/>
      <sz val="12"/>
      <color indexed="8"/>
      <name val="Times New Roman"/>
      <family val="1"/>
    </font>
    <font>
      <b/>
      <u/>
      <sz val="12"/>
      <color indexed="8"/>
      <name val="Times New Roman"/>
      <family val="1"/>
    </font>
    <font>
      <b/>
      <sz val="12"/>
      <name val="Arial"/>
      <family val="2"/>
    </font>
    <font>
      <b/>
      <sz val="12"/>
      <color indexed="53"/>
      <name val="Times New Roman"/>
      <family val="1"/>
    </font>
    <font>
      <sz val="12"/>
      <color indexed="53"/>
      <name val="Times New Roman"/>
      <family val="1"/>
    </font>
    <font>
      <b/>
      <u/>
      <sz val="12"/>
      <color indexed="53"/>
      <name val="Times New Roman"/>
      <family val="1"/>
    </font>
    <font>
      <b/>
      <sz val="12"/>
      <color indexed="12"/>
      <name val="Times New Roman"/>
      <family val="1"/>
    </font>
    <font>
      <u/>
      <sz val="8.4"/>
      <color indexed="12"/>
      <name val="Arial"/>
      <family val="2"/>
    </font>
    <font>
      <sz val="12"/>
      <name val="Times New Roman"/>
      <family val="1"/>
    </font>
    <font>
      <b/>
      <sz val="12"/>
      <color indexed="39"/>
      <name val="Times New Roman"/>
      <family val="1"/>
    </font>
    <font>
      <b/>
      <sz val="12"/>
      <color indexed="39"/>
      <name val="Times New Roman"/>
      <family val="1"/>
    </font>
    <font>
      <b/>
      <sz val="14"/>
      <color indexed="53"/>
      <name val="Times New Roman"/>
      <family val="1"/>
    </font>
    <font>
      <b/>
      <u/>
      <sz val="14"/>
      <color indexed="53"/>
      <name val="Times New Roman"/>
      <family val="1"/>
    </font>
    <font>
      <sz val="12"/>
      <color indexed="9"/>
      <name val="Times New Roman"/>
      <family val="1"/>
    </font>
    <font>
      <b/>
      <sz val="12"/>
      <color indexed="9"/>
      <name val="Times New Roman"/>
      <family val="1"/>
    </font>
    <font>
      <sz val="12"/>
      <color indexed="9"/>
      <name val="Times New Roman"/>
      <family val="1"/>
    </font>
    <font>
      <sz val="12"/>
      <color indexed="9"/>
      <name val="Arial"/>
      <family val="2"/>
    </font>
    <font>
      <b/>
      <u/>
      <sz val="12"/>
      <color indexed="9"/>
      <name val="Times New Roman"/>
      <family val="1"/>
    </font>
    <font>
      <b/>
      <sz val="12"/>
      <color indexed="9"/>
      <name val="Times New Roman"/>
      <family val="1"/>
    </font>
    <font>
      <sz val="12"/>
      <color indexed="18"/>
      <name val="Times New Roman"/>
      <family val="1"/>
    </font>
    <font>
      <b/>
      <sz val="12"/>
      <color indexed="18"/>
      <name val="Times New Roman"/>
      <family val="1"/>
    </font>
    <font>
      <b/>
      <sz val="12"/>
      <color indexed="18"/>
      <name val="Times New Roman"/>
      <family val="1"/>
    </font>
    <font>
      <sz val="12"/>
      <color indexed="18"/>
      <name val="Arial"/>
      <family val="2"/>
    </font>
    <font>
      <b/>
      <sz val="12"/>
      <color indexed="18"/>
      <name val="Arial"/>
      <family val="2"/>
    </font>
    <font>
      <b/>
      <sz val="14"/>
      <color indexed="18"/>
      <name val="Times New Roman"/>
      <family val="1"/>
    </font>
    <font>
      <sz val="12"/>
      <color indexed="18"/>
      <name val="Times New Roman"/>
      <family val="1"/>
    </font>
    <font>
      <b/>
      <u/>
      <sz val="16"/>
      <color indexed="18"/>
      <name val="Times New Roman"/>
      <family val="1"/>
    </font>
    <font>
      <b/>
      <i/>
      <sz val="10"/>
      <color indexed="18"/>
      <name val="Times New Roman"/>
      <family val="1"/>
    </font>
    <font>
      <b/>
      <u/>
      <sz val="12"/>
      <color indexed="18"/>
      <name val="Times New Roman"/>
      <family val="1"/>
    </font>
    <font>
      <b/>
      <u/>
      <sz val="16"/>
      <color theme="6"/>
      <name val="Times New Roman"/>
      <family val="1"/>
    </font>
    <font>
      <b/>
      <i/>
      <sz val="10"/>
      <color theme="6"/>
      <name val="Times New Roman"/>
      <family val="1"/>
    </font>
    <font>
      <b/>
      <sz val="12"/>
      <color theme="6"/>
      <name val="Times New Roman"/>
      <family val="1"/>
    </font>
    <font>
      <sz val="12"/>
      <color theme="6"/>
      <name val="Times New Roman"/>
      <family val="1"/>
    </font>
    <font>
      <b/>
      <u/>
      <sz val="12"/>
      <color theme="6"/>
      <name val="Times New Roman"/>
      <family val="1"/>
    </font>
    <font>
      <sz val="12"/>
      <color theme="6"/>
      <name val="Arial"/>
      <family val="2"/>
    </font>
    <font>
      <b/>
      <sz val="12"/>
      <color theme="6"/>
      <name val="Arial"/>
      <family val="2"/>
    </font>
    <font>
      <b/>
      <sz val="14"/>
      <color theme="6"/>
      <name val="Times New Roman"/>
      <family val="1"/>
    </font>
    <font>
      <b/>
      <sz val="12"/>
      <color theme="4"/>
      <name val="Times New Roman"/>
      <family val="1"/>
    </font>
    <font>
      <b/>
      <sz val="14"/>
      <color theme="4"/>
      <name val="Times New Roman"/>
      <family val="1"/>
    </font>
    <font>
      <b/>
      <u/>
      <sz val="12"/>
      <color rgb="FF89CB31"/>
      <name val="Calibri"/>
      <family val="2"/>
      <scheme val="minor"/>
    </font>
    <font>
      <sz val="12"/>
      <color theme="4"/>
      <name val="Times New Roman"/>
      <family val="1"/>
    </font>
    <font>
      <sz val="12"/>
      <color theme="4"/>
      <name val="Arial"/>
      <family val="2"/>
    </font>
    <font>
      <b/>
      <u/>
      <sz val="12"/>
      <color theme="4"/>
      <name val="Times New Roman"/>
      <family val="1"/>
    </font>
    <font>
      <b/>
      <u/>
      <sz val="14"/>
      <color rgb="FF89CB31"/>
      <name val="Calibri"/>
      <family val="2"/>
      <scheme val="minor"/>
    </font>
    <font>
      <b/>
      <sz val="14"/>
      <color theme="6"/>
      <name val="Calibri"/>
      <family val="2"/>
      <scheme val="minor"/>
    </font>
    <font>
      <sz val="12"/>
      <name val="Calibri"/>
      <family val="2"/>
      <scheme val="minor"/>
    </font>
    <font>
      <b/>
      <u/>
      <sz val="16"/>
      <color theme="6"/>
      <name val="Calibri"/>
      <family val="2"/>
      <scheme val="minor"/>
    </font>
    <font>
      <u/>
      <sz val="12"/>
      <name val="Calibri"/>
      <family val="2"/>
      <scheme val="minor"/>
    </font>
    <font>
      <b/>
      <sz val="12"/>
      <color theme="4"/>
      <name val="Calibri"/>
      <family val="2"/>
      <scheme val="minor"/>
    </font>
    <font>
      <b/>
      <i/>
      <sz val="10"/>
      <color theme="6"/>
      <name val="Calibri"/>
      <family val="2"/>
      <scheme val="minor"/>
    </font>
    <font>
      <b/>
      <i/>
      <sz val="10"/>
      <name val="Calibri"/>
      <family val="2"/>
      <scheme val="minor"/>
    </font>
    <font>
      <b/>
      <sz val="14"/>
      <color theme="4"/>
      <name val="Calibri"/>
      <family val="2"/>
      <scheme val="minor"/>
    </font>
    <font>
      <b/>
      <u/>
      <sz val="14"/>
      <color indexed="53"/>
      <name val="Calibri"/>
      <family val="2"/>
      <scheme val="minor"/>
    </font>
    <font>
      <b/>
      <sz val="12"/>
      <name val="Calibri"/>
      <family val="2"/>
      <scheme val="minor"/>
    </font>
    <font>
      <b/>
      <sz val="12"/>
      <color theme="6"/>
      <name val="Calibri"/>
      <family val="2"/>
      <scheme val="minor"/>
    </font>
    <font>
      <sz val="12"/>
      <color theme="6"/>
      <name val="Calibri"/>
      <family val="2"/>
      <scheme val="minor"/>
    </font>
    <font>
      <b/>
      <u/>
      <sz val="12"/>
      <color theme="6"/>
      <name val="Calibri"/>
      <family val="2"/>
      <scheme val="minor"/>
    </font>
    <font>
      <sz val="12"/>
      <color indexed="9"/>
      <name val="Calibri"/>
      <family val="2"/>
      <scheme val="minor"/>
    </font>
    <font>
      <b/>
      <sz val="12"/>
      <color indexed="9"/>
      <name val="Calibri"/>
      <family val="2"/>
      <scheme val="minor"/>
    </font>
    <font>
      <sz val="12"/>
      <color theme="4"/>
      <name val="Calibri"/>
      <family val="2"/>
      <scheme val="minor"/>
    </font>
    <font>
      <b/>
      <u/>
      <sz val="12"/>
      <color indexed="9"/>
      <name val="Calibri"/>
      <family val="2"/>
      <scheme val="minor"/>
    </font>
    <font>
      <sz val="12"/>
      <color indexed="8"/>
      <name val="Calibri"/>
      <family val="2"/>
      <scheme val="minor"/>
    </font>
    <font>
      <b/>
      <u/>
      <sz val="12"/>
      <color theme="4"/>
      <name val="Calibri"/>
      <family val="2"/>
      <scheme val="minor"/>
    </font>
    <font>
      <sz val="12"/>
      <color indexed="18"/>
      <name val="Calibri"/>
      <family val="2"/>
      <scheme val="minor"/>
    </font>
    <font>
      <b/>
      <u/>
      <sz val="12"/>
      <name val="Calibri"/>
      <family val="2"/>
      <scheme val="minor"/>
    </font>
    <font>
      <b/>
      <u/>
      <sz val="12"/>
      <color indexed="8"/>
      <name val="Calibri"/>
      <family val="2"/>
      <scheme val="minor"/>
    </font>
    <font>
      <b/>
      <sz val="12"/>
      <color indexed="8"/>
      <name val="Calibri"/>
      <family val="2"/>
      <scheme val="minor"/>
    </font>
    <font>
      <sz val="12"/>
      <color rgb="FF2D2926"/>
      <name val="Calibri"/>
      <family val="2"/>
      <scheme val="minor"/>
    </font>
    <font>
      <b/>
      <sz val="14"/>
      <color rgb="FF89CB31"/>
      <name val="Calibri"/>
      <family val="2"/>
      <scheme val="minor"/>
    </font>
  </fonts>
  <fills count="8">
    <fill>
      <patternFill patternType="none"/>
    </fill>
    <fill>
      <patternFill patternType="gray125"/>
    </fill>
    <fill>
      <patternFill patternType="solid">
        <fgColor indexed="26"/>
        <bgColor indexed="64"/>
      </patternFill>
    </fill>
    <fill>
      <patternFill patternType="solid">
        <fgColor indexed="38"/>
        <bgColor indexed="64"/>
      </patternFill>
    </fill>
    <fill>
      <patternFill patternType="solid">
        <fgColor indexed="18"/>
        <bgColor indexed="64"/>
      </patternFill>
    </fill>
    <fill>
      <patternFill patternType="solid">
        <fgColor rgb="FFF4F4F4"/>
        <bgColor indexed="64"/>
      </patternFill>
    </fill>
    <fill>
      <patternFill patternType="solid">
        <fgColor theme="4"/>
        <bgColor indexed="64"/>
      </patternFill>
    </fill>
    <fill>
      <patternFill patternType="solid">
        <fgColor rgb="FF89CB31"/>
        <bgColor indexed="64"/>
      </patternFill>
    </fill>
  </fills>
  <borders count="28">
    <border>
      <left/>
      <right/>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style="thin">
        <color indexed="8"/>
      </top>
      <bottom/>
      <diagonal/>
    </border>
    <border>
      <left/>
      <right/>
      <top style="thin">
        <color indexed="8"/>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top style="thin">
        <color indexed="8"/>
      </top>
      <bottom style="thin">
        <color indexed="8"/>
      </bottom>
      <diagonal/>
    </border>
    <border>
      <left/>
      <right/>
      <top/>
      <bottom style="thin">
        <color indexed="8"/>
      </bottom>
      <diagonal/>
    </border>
    <border>
      <left/>
      <right style="medium">
        <color indexed="8"/>
      </right>
      <top/>
      <bottom style="thin">
        <color indexed="8"/>
      </bottom>
      <diagonal/>
    </border>
    <border>
      <left style="medium">
        <color indexed="8"/>
      </left>
      <right/>
      <top/>
      <bottom style="thin">
        <color indexed="8"/>
      </bottom>
      <diagonal/>
    </border>
    <border>
      <left/>
      <right/>
      <top style="thin">
        <color indexed="64"/>
      </top>
      <bottom style="thin">
        <color indexed="64"/>
      </bottom>
      <diagonal/>
    </border>
    <border>
      <left/>
      <right/>
      <top style="thin">
        <color indexed="64"/>
      </top>
      <bottom/>
      <diagonal/>
    </border>
    <border>
      <left style="medium">
        <color indexed="8"/>
      </left>
      <right/>
      <top style="thin">
        <color indexed="8"/>
      </top>
      <bottom style="medium">
        <color indexed="8"/>
      </bottom>
      <diagonal/>
    </border>
    <border>
      <left style="medium">
        <color indexed="8"/>
      </left>
      <right/>
      <top style="thin">
        <color indexed="55"/>
      </top>
      <bottom style="thin">
        <color indexed="55"/>
      </bottom>
      <diagonal/>
    </border>
    <border>
      <left/>
      <right/>
      <top style="thin">
        <color indexed="55"/>
      </top>
      <bottom style="thin">
        <color indexed="55"/>
      </bottom>
      <diagonal/>
    </border>
    <border>
      <left/>
      <right style="medium">
        <color indexed="8"/>
      </right>
      <top style="thin">
        <color indexed="55"/>
      </top>
      <bottom style="thin">
        <color indexed="55"/>
      </bottom>
      <diagonal/>
    </border>
    <border>
      <left/>
      <right/>
      <top style="thin">
        <color indexed="23"/>
      </top>
      <bottom style="thin">
        <color indexed="23"/>
      </bottom>
      <diagonal/>
    </border>
    <border>
      <left/>
      <right style="medium">
        <color indexed="8"/>
      </right>
      <top/>
      <bottom/>
      <diagonal/>
    </border>
    <border>
      <left style="medium">
        <color indexed="8"/>
      </left>
      <right/>
      <top style="thin">
        <color indexed="23"/>
      </top>
      <bottom style="thin">
        <color indexed="23"/>
      </bottom>
      <diagonal/>
    </border>
    <border>
      <left style="thick">
        <color rgb="FFFF0000"/>
      </left>
      <right/>
      <top style="thick">
        <color rgb="FFFF0000"/>
      </top>
      <bottom style="thin">
        <color indexed="55"/>
      </bottom>
      <diagonal/>
    </border>
    <border>
      <left/>
      <right/>
      <top style="thick">
        <color rgb="FFFF0000"/>
      </top>
      <bottom style="thin">
        <color indexed="55"/>
      </bottom>
      <diagonal/>
    </border>
    <border>
      <left/>
      <right style="thick">
        <color rgb="FFFF0000"/>
      </right>
      <top style="thick">
        <color rgb="FFFF0000"/>
      </top>
      <bottom style="thin">
        <color indexed="55"/>
      </bottom>
      <diagonal/>
    </border>
    <border>
      <left style="thick">
        <color rgb="FFFF0000"/>
      </left>
      <right/>
      <top style="thin">
        <color indexed="55"/>
      </top>
      <bottom style="thick">
        <color rgb="FFFF0000"/>
      </bottom>
      <diagonal/>
    </border>
    <border>
      <left/>
      <right/>
      <top style="thin">
        <color indexed="55"/>
      </top>
      <bottom style="thick">
        <color rgb="FFFF0000"/>
      </bottom>
      <diagonal/>
    </border>
    <border>
      <left/>
      <right style="thick">
        <color rgb="FFFF0000"/>
      </right>
      <top style="thin">
        <color indexed="55"/>
      </top>
      <bottom style="thick">
        <color rgb="FFFF0000"/>
      </bottom>
      <diagonal/>
    </border>
  </borders>
  <cellStyleXfs count="2">
    <xf numFmtId="0" fontId="0" fillId="0" borderId="0"/>
    <xf numFmtId="0" fontId="23" fillId="0" borderId="0" applyNumberFormat="0" applyFill="0" applyBorder="0" applyAlignment="0" applyProtection="0">
      <alignment vertical="top"/>
      <protection locked="0"/>
    </xf>
  </cellStyleXfs>
  <cellXfs count="813">
    <xf numFmtId="0" fontId="0" fillId="0" borderId="0" xfId="0"/>
    <xf numFmtId="0" fontId="1" fillId="0" borderId="0" xfId="0" applyNumberFormat="1" applyFont="1" applyAlignment="1"/>
    <xf numFmtId="0" fontId="2" fillId="2" borderId="1" xfId="0" applyNumberFormat="1" applyFont="1" applyFill="1" applyBorder="1" applyAlignment="1"/>
    <xf numFmtId="0" fontId="3" fillId="2" borderId="2" xfId="0" applyNumberFormat="1" applyFont="1" applyFill="1" applyBorder="1" applyAlignment="1"/>
    <xf numFmtId="0" fontId="2" fillId="2" borderId="2" xfId="0" applyNumberFormat="1" applyFont="1" applyFill="1" applyBorder="1" applyAlignment="1"/>
    <xf numFmtId="0" fontId="0" fillId="0" borderId="3" xfId="0" applyNumberFormat="1" applyBorder="1"/>
    <xf numFmtId="0" fontId="2" fillId="2" borderId="3" xfId="0" applyNumberFormat="1" applyFont="1" applyFill="1" applyBorder="1" applyAlignment="1"/>
    <xf numFmtId="0" fontId="5" fillId="2" borderId="0" xfId="0" applyNumberFormat="1" applyFont="1" applyFill="1" applyAlignment="1"/>
    <xf numFmtId="0" fontId="2" fillId="2" borderId="0" xfId="0" applyNumberFormat="1" applyFont="1" applyFill="1" applyAlignment="1"/>
    <xf numFmtId="0" fontId="2" fillId="2" borderId="3" xfId="0" applyNumberFormat="1" applyFont="1" applyFill="1" applyBorder="1" applyAlignment="1">
      <alignment horizontal="center"/>
    </xf>
    <xf numFmtId="0" fontId="6" fillId="2" borderId="0" xfId="0" applyNumberFormat="1" applyFont="1" applyFill="1" applyAlignment="1"/>
    <xf numFmtId="0" fontId="7" fillId="2" borderId="0" xfId="0" applyNumberFormat="1" applyFont="1" applyFill="1" applyAlignment="1"/>
    <xf numFmtId="0" fontId="8" fillId="2" borderId="0" xfId="0" applyNumberFormat="1" applyFont="1" applyFill="1" applyAlignment="1"/>
    <xf numFmtId="0" fontId="9" fillId="2" borderId="0" xfId="0" applyNumberFormat="1" applyFont="1" applyFill="1" applyAlignment="1"/>
    <xf numFmtId="0" fontId="10" fillId="2" borderId="0" xfId="0" applyNumberFormat="1" applyFont="1" applyFill="1" applyAlignment="1"/>
    <xf numFmtId="0" fontId="11" fillId="2" borderId="0" xfId="0" applyNumberFormat="1" applyFont="1" applyFill="1" applyAlignment="1"/>
    <xf numFmtId="0" fontId="12" fillId="2" borderId="0" xfId="0" applyNumberFormat="1" applyFont="1" applyFill="1" applyAlignment="1">
      <alignment horizontal="center" wrapText="1"/>
    </xf>
    <xf numFmtId="0" fontId="10" fillId="2" borderId="0" xfId="0" applyNumberFormat="1" applyFont="1" applyFill="1" applyAlignment="1">
      <alignment horizontal="center"/>
    </xf>
    <xf numFmtId="9" fontId="10" fillId="2" borderId="0" xfId="0" applyNumberFormat="1" applyFont="1" applyFill="1" applyAlignment="1">
      <alignment horizontal="center"/>
    </xf>
    <xf numFmtId="15" fontId="10" fillId="2" borderId="0" xfId="0" applyNumberFormat="1" applyFont="1" applyFill="1" applyAlignment="1">
      <alignment horizontal="center"/>
    </xf>
    <xf numFmtId="0" fontId="2" fillId="2" borderId="0" xfId="0" applyNumberFormat="1" applyFont="1" applyFill="1" applyAlignment="1">
      <alignment horizontal="center"/>
    </xf>
    <xf numFmtId="0" fontId="4" fillId="2" borderId="0" xfId="0" applyNumberFormat="1" applyFont="1" applyFill="1" applyAlignment="1"/>
    <xf numFmtId="0" fontId="2" fillId="2" borderId="0" xfId="0" applyNumberFormat="1" applyFont="1" applyFill="1" applyAlignment="1">
      <alignment horizontal="right"/>
    </xf>
    <xf numFmtId="0" fontId="2" fillId="2" borderId="0" xfId="0" applyNumberFormat="1" applyFont="1" applyFill="1" applyAlignment="1">
      <alignment horizontal="center" wrapText="1"/>
    </xf>
    <xf numFmtId="0" fontId="2" fillId="2" borderId="4" xfId="0" applyNumberFormat="1" applyFont="1" applyFill="1" applyBorder="1" applyAlignment="1"/>
    <xf numFmtId="0" fontId="2" fillId="2" borderId="5" xfId="0" applyNumberFormat="1" applyFont="1" applyFill="1" applyBorder="1" applyAlignment="1"/>
    <xf numFmtId="0" fontId="2" fillId="2" borderId="5" xfId="0" applyNumberFormat="1" applyFont="1" applyFill="1" applyBorder="1" applyAlignment="1">
      <alignment horizontal="center" wrapText="1"/>
    </xf>
    <xf numFmtId="0" fontId="8" fillId="2" borderId="5" xfId="0" applyNumberFormat="1" applyFont="1" applyFill="1" applyBorder="1" applyAlignment="1"/>
    <xf numFmtId="0" fontId="10" fillId="2" borderId="4" xfId="0" applyNumberFormat="1" applyFont="1" applyFill="1" applyBorder="1" applyAlignment="1"/>
    <xf numFmtId="0" fontId="10" fillId="2" borderId="5" xfId="0" applyNumberFormat="1" applyFont="1" applyFill="1" applyBorder="1" applyAlignment="1"/>
    <xf numFmtId="0" fontId="2" fillId="2" borderId="5" xfId="0" applyNumberFormat="1" applyFont="1" applyFill="1" applyBorder="1" applyAlignment="1">
      <alignment horizontal="center"/>
    </xf>
    <xf numFmtId="164" fontId="2" fillId="2" borderId="5" xfId="0" applyNumberFormat="1" applyFont="1" applyFill="1" applyBorder="1" applyAlignment="1">
      <alignment horizontal="center"/>
    </xf>
    <xf numFmtId="164" fontId="2" fillId="2" borderId="5" xfId="0" applyNumberFormat="1" applyFont="1" applyFill="1" applyBorder="1" applyAlignment="1"/>
    <xf numFmtId="164" fontId="8" fillId="2" borderId="5" xfId="0" applyNumberFormat="1" applyFont="1" applyFill="1" applyBorder="1" applyAlignment="1"/>
    <xf numFmtId="3" fontId="2" fillId="2" borderId="5" xfId="0" applyNumberFormat="1" applyFont="1" applyFill="1" applyBorder="1" applyAlignment="1"/>
    <xf numFmtId="164" fontId="10" fillId="2" borderId="5" xfId="0" applyNumberFormat="1" applyFont="1" applyFill="1" applyBorder="1" applyAlignment="1">
      <alignment horizontal="center"/>
    </xf>
    <xf numFmtId="164" fontId="10" fillId="2" borderId="5" xfId="0" applyNumberFormat="1" applyFont="1" applyFill="1" applyBorder="1" applyAlignment="1"/>
    <xf numFmtId="164" fontId="14" fillId="2" borderId="5" xfId="0" applyNumberFormat="1" applyFont="1" applyFill="1" applyBorder="1" applyAlignment="1"/>
    <xf numFmtId="165" fontId="2" fillId="2" borderId="5" xfId="0" applyNumberFormat="1" applyFont="1" applyFill="1" applyBorder="1" applyAlignment="1">
      <alignment horizontal="center"/>
    </xf>
    <xf numFmtId="10" fontId="2" fillId="2" borderId="5" xfId="0" applyNumberFormat="1" applyFont="1" applyFill="1" applyBorder="1" applyAlignment="1">
      <alignment horizontal="center"/>
    </xf>
    <xf numFmtId="0" fontId="2" fillId="2" borderId="5" xfId="0" applyNumberFormat="1" applyFont="1" applyFill="1" applyBorder="1" applyAlignment="1">
      <alignment horizontal="right"/>
    </xf>
    <xf numFmtId="165" fontId="2" fillId="2" borderId="5" xfId="0" applyNumberFormat="1" applyFont="1" applyFill="1" applyBorder="1" applyAlignment="1"/>
    <xf numFmtId="4" fontId="2" fillId="2" borderId="5" xfId="0" applyNumberFormat="1" applyFont="1" applyFill="1" applyBorder="1" applyAlignment="1">
      <alignment horizontal="center"/>
    </xf>
    <xf numFmtId="15" fontId="10" fillId="2" borderId="5" xfId="0" applyNumberFormat="1" applyFont="1" applyFill="1" applyBorder="1" applyAlignment="1">
      <alignment horizontal="center"/>
    </xf>
    <xf numFmtId="15" fontId="10" fillId="2" borderId="5" xfId="0" applyNumberFormat="1" applyFont="1" applyFill="1" applyBorder="1" applyAlignment="1" applyProtection="1">
      <alignment horizontal="center"/>
      <protection locked="0"/>
    </xf>
    <xf numFmtId="15" fontId="13" fillId="2" borderId="5" xfId="0" applyNumberFormat="1" applyFont="1" applyFill="1" applyBorder="1" applyAlignment="1" applyProtection="1">
      <alignment horizontal="center"/>
      <protection locked="0"/>
    </xf>
    <xf numFmtId="15" fontId="13" fillId="2" borderId="5" xfId="0" applyNumberFormat="1" applyFont="1" applyFill="1" applyBorder="1" applyAlignment="1">
      <alignment horizontal="center"/>
    </xf>
    <xf numFmtId="15" fontId="13" fillId="2" borderId="0" xfId="0" applyNumberFormat="1" applyFont="1" applyFill="1" applyAlignment="1" applyProtection="1">
      <alignment horizontal="center"/>
      <protection locked="0"/>
    </xf>
    <xf numFmtId="15" fontId="13" fillId="2" borderId="0" xfId="0" applyNumberFormat="1" applyFont="1" applyFill="1" applyAlignment="1">
      <alignment horizontal="center"/>
    </xf>
    <xf numFmtId="0" fontId="15" fillId="2" borderId="0" xfId="0" applyNumberFormat="1" applyFont="1" applyFill="1" applyAlignment="1"/>
    <xf numFmtId="4" fontId="2" fillId="2" borderId="2" xfId="0" applyNumberFormat="1" applyFont="1" applyFill="1" applyBorder="1" applyAlignment="1" applyProtection="1">
      <alignment horizontal="right"/>
      <protection locked="0"/>
    </xf>
    <xf numFmtId="0" fontId="12" fillId="2" borderId="0" xfId="0" applyNumberFormat="1" applyFont="1" applyFill="1" applyAlignment="1"/>
    <xf numFmtId="4" fontId="2" fillId="2" borderId="0" xfId="0" applyNumberFormat="1" applyFont="1" applyFill="1" applyAlignment="1" applyProtection="1">
      <alignment horizontal="right"/>
      <protection locked="0"/>
    </xf>
    <xf numFmtId="3" fontId="13" fillId="2" borderId="5" xfId="0" applyNumberFormat="1" applyFont="1" applyFill="1" applyBorder="1" applyAlignment="1" applyProtection="1">
      <alignment horizontal="right"/>
      <protection locked="0"/>
    </xf>
    <xf numFmtId="3" fontId="13" fillId="2" borderId="5" xfId="0" applyNumberFormat="1" applyFont="1" applyFill="1" applyBorder="1" applyAlignment="1"/>
    <xf numFmtId="3" fontId="2" fillId="2" borderId="0" xfId="0" applyNumberFormat="1" applyFont="1" applyFill="1" applyAlignment="1"/>
    <xf numFmtId="3" fontId="13" fillId="2" borderId="0" xfId="0" applyNumberFormat="1" applyFont="1" applyFill="1" applyAlignment="1"/>
    <xf numFmtId="14" fontId="2" fillId="2" borderId="5" xfId="0" applyNumberFormat="1" applyFont="1" applyFill="1" applyBorder="1" applyAlignment="1">
      <alignment horizontal="right"/>
    </xf>
    <xf numFmtId="15" fontId="2" fillId="2" borderId="5" xfId="0" applyNumberFormat="1" applyFont="1" applyFill="1" applyBorder="1" applyAlignment="1"/>
    <xf numFmtId="4" fontId="13" fillId="2" borderId="5" xfId="0" applyNumberFormat="1" applyFont="1" applyFill="1" applyBorder="1" applyAlignment="1" applyProtection="1">
      <alignment horizontal="right"/>
      <protection locked="0"/>
    </xf>
    <xf numFmtId="0" fontId="12" fillId="2" borderId="2" xfId="0" applyNumberFormat="1" applyFont="1" applyFill="1" applyBorder="1" applyAlignment="1"/>
    <xf numFmtId="4" fontId="2" fillId="2" borderId="5" xfId="0" applyNumberFormat="1" applyFont="1" applyFill="1" applyBorder="1" applyAlignment="1" applyProtection="1">
      <alignment horizontal="right"/>
      <protection locked="0"/>
    </xf>
    <xf numFmtId="4" fontId="13" fillId="2" borderId="5" xfId="0" applyNumberFormat="1" applyFont="1" applyFill="1" applyBorder="1" applyAlignment="1" applyProtection="1">
      <alignment horizontal="center"/>
      <protection locked="0"/>
    </xf>
    <xf numFmtId="4" fontId="13" fillId="2" borderId="0" xfId="0" applyNumberFormat="1" applyFont="1" applyFill="1" applyAlignment="1" applyProtection="1">
      <alignment horizontal="right"/>
      <protection locked="0"/>
    </xf>
    <xf numFmtId="15" fontId="16" fillId="2" borderId="5" xfId="0" applyNumberFormat="1" applyFont="1" applyFill="1" applyBorder="1" applyAlignment="1">
      <alignment horizontal="center"/>
    </xf>
    <xf numFmtId="0" fontId="2" fillId="2" borderId="0" xfId="0" applyNumberFormat="1" applyFont="1" applyFill="1" applyAlignment="1" applyProtection="1">
      <protection locked="0"/>
    </xf>
    <xf numFmtId="2" fontId="13" fillId="2" borderId="5" xfId="0" applyNumberFormat="1" applyFont="1" applyFill="1" applyBorder="1" applyAlignment="1" applyProtection="1">
      <alignment horizontal="right"/>
      <protection locked="0"/>
    </xf>
    <xf numFmtId="0" fontId="13" fillId="2" borderId="1" xfId="0" applyNumberFormat="1" applyFont="1" applyFill="1" applyBorder="1" applyAlignment="1"/>
    <xf numFmtId="15" fontId="16" fillId="2" borderId="2" xfId="0" applyNumberFormat="1" applyFont="1" applyFill="1" applyBorder="1" applyAlignment="1">
      <alignment horizontal="centerContinuous"/>
    </xf>
    <xf numFmtId="15" fontId="16" fillId="2" borderId="2" xfId="0" applyNumberFormat="1" applyFont="1" applyFill="1" applyBorder="1" applyAlignment="1">
      <alignment horizontal="center"/>
    </xf>
    <xf numFmtId="15" fontId="10" fillId="2" borderId="2" xfId="0" applyNumberFormat="1" applyFont="1" applyFill="1" applyBorder="1" applyAlignment="1">
      <alignment horizontal="center"/>
    </xf>
    <xf numFmtId="0" fontId="13" fillId="2" borderId="3" xfId="0" applyNumberFormat="1" applyFont="1" applyFill="1" applyBorder="1" applyAlignment="1"/>
    <xf numFmtId="0" fontId="17" fillId="2" borderId="0" xfId="0" applyNumberFormat="1" applyFont="1" applyFill="1" applyAlignment="1"/>
    <xf numFmtId="15" fontId="16" fillId="2" borderId="0" xfId="0" applyNumberFormat="1" applyFont="1" applyFill="1" applyAlignment="1">
      <alignment horizontal="centerContinuous"/>
    </xf>
    <xf numFmtId="15" fontId="16" fillId="2" borderId="0" xfId="0" applyNumberFormat="1" applyFont="1" applyFill="1" applyAlignment="1">
      <alignment horizontal="center"/>
    </xf>
    <xf numFmtId="0" fontId="13" fillId="2" borderId="4" xfId="0" applyNumberFormat="1" applyFont="1" applyFill="1" applyBorder="1" applyAlignment="1"/>
    <xf numFmtId="0" fontId="13" fillId="2" borderId="5" xfId="0" applyNumberFormat="1" applyFont="1" applyFill="1" applyBorder="1" applyAlignment="1"/>
    <xf numFmtId="15" fontId="16" fillId="2" borderId="5" xfId="0" applyNumberFormat="1" applyFont="1" applyFill="1" applyBorder="1" applyAlignment="1">
      <alignment horizontal="centerContinuous"/>
    </xf>
    <xf numFmtId="10" fontId="13" fillId="2" borderId="5" xfId="0" applyNumberFormat="1" applyFont="1" applyFill="1" applyBorder="1" applyAlignment="1">
      <alignment horizontal="center"/>
    </xf>
    <xf numFmtId="0" fontId="2" fillId="2" borderId="5" xfId="0" applyNumberFormat="1" applyFont="1" applyFill="1" applyBorder="1" applyAlignment="1" applyProtection="1">
      <protection locked="0"/>
    </xf>
    <xf numFmtId="0" fontId="13" fillId="2" borderId="3" xfId="0" applyNumberFormat="1" applyFont="1" applyFill="1" applyBorder="1" applyAlignment="1">
      <alignment horizontal="right"/>
    </xf>
    <xf numFmtId="0" fontId="16" fillId="2" borderId="0" xfId="0" applyNumberFormat="1" applyFont="1" applyFill="1" applyAlignment="1">
      <alignment horizontal="center"/>
    </xf>
    <xf numFmtId="3" fontId="16" fillId="2" borderId="0" xfId="0" applyNumberFormat="1" applyFont="1" applyFill="1" applyAlignment="1">
      <alignment horizontal="center"/>
    </xf>
    <xf numFmtId="3" fontId="10" fillId="2" borderId="0" xfId="0" applyNumberFormat="1" applyFont="1" applyFill="1" applyAlignment="1">
      <alignment horizontal="center"/>
    </xf>
    <xf numFmtId="0" fontId="13" fillId="2" borderId="4" xfId="0" applyNumberFormat="1" applyFont="1" applyFill="1" applyBorder="1" applyAlignment="1">
      <alignment horizontal="right"/>
    </xf>
    <xf numFmtId="3" fontId="13" fillId="2" borderId="5" xfId="0" applyNumberFormat="1" applyFont="1" applyFill="1" applyBorder="1" applyAlignment="1" applyProtection="1">
      <alignment horizontal="center"/>
      <protection locked="0"/>
    </xf>
    <xf numFmtId="3" fontId="16" fillId="2" borderId="5" xfId="0" applyNumberFormat="1" applyFont="1" applyFill="1" applyBorder="1" applyAlignment="1"/>
    <xf numFmtId="0" fontId="13" fillId="2" borderId="4" xfId="0" applyNumberFormat="1" applyFont="1" applyFill="1" applyBorder="1" applyAlignment="1">
      <alignment horizontal="center"/>
    </xf>
    <xf numFmtId="0" fontId="16" fillId="2" borderId="5" xfId="0" applyNumberFormat="1" applyFont="1" applyFill="1" applyBorder="1" applyAlignment="1"/>
    <xf numFmtId="0" fontId="13" fillId="2" borderId="5" xfId="0" applyNumberFormat="1" applyFont="1" applyFill="1" applyBorder="1" applyAlignment="1">
      <alignment horizontal="right"/>
    </xf>
    <xf numFmtId="4" fontId="13" fillId="2" borderId="5" xfId="0" applyNumberFormat="1" applyFont="1" applyFill="1" applyBorder="1" applyAlignment="1">
      <alignment horizontal="right"/>
    </xf>
    <xf numFmtId="10" fontId="13" fillId="2" borderId="5" xfId="0" applyNumberFormat="1" applyFont="1" applyFill="1" applyBorder="1" applyAlignment="1" applyProtection="1">
      <alignment horizontal="center"/>
      <protection locked="0"/>
    </xf>
    <xf numFmtId="0" fontId="16" fillId="2" borderId="0" xfId="0" applyNumberFormat="1" applyFont="1" applyFill="1" applyAlignment="1"/>
    <xf numFmtId="166" fontId="13" fillId="2" borderId="5" xfId="0" applyNumberFormat="1" applyFont="1" applyFill="1" applyBorder="1" applyAlignment="1"/>
    <xf numFmtId="10" fontId="13" fillId="2" borderId="5" xfId="0" applyNumberFormat="1" applyFont="1" applyFill="1" applyBorder="1" applyAlignment="1"/>
    <xf numFmtId="9" fontId="2" fillId="2" borderId="5" xfId="0" applyNumberFormat="1" applyFont="1" applyFill="1" applyBorder="1" applyAlignment="1"/>
    <xf numFmtId="9" fontId="2" fillId="2" borderId="0" xfId="0" applyNumberFormat="1" applyFont="1" applyFill="1" applyAlignment="1"/>
    <xf numFmtId="3" fontId="13" fillId="2" borderId="0" xfId="0" applyNumberFormat="1" applyFont="1" applyFill="1" applyAlignment="1" applyProtection="1">
      <alignment horizontal="right"/>
      <protection locked="0"/>
    </xf>
    <xf numFmtId="0" fontId="8" fillId="2" borderId="3" xfId="0" applyNumberFormat="1" applyFont="1" applyFill="1" applyBorder="1" applyAlignment="1"/>
    <xf numFmtId="0" fontId="18" fillId="2" borderId="0" xfId="0" applyNumberFormat="1" applyFont="1" applyFill="1" applyAlignment="1"/>
    <xf numFmtId="0" fontId="0" fillId="0" borderId="2" xfId="0" applyNumberFormat="1" applyBorder="1"/>
    <xf numFmtId="0" fontId="2" fillId="2" borderId="6" xfId="0" applyNumberFormat="1" applyFont="1" applyFill="1" applyBorder="1" applyAlignment="1"/>
    <xf numFmtId="0" fontId="15" fillId="2" borderId="7" xfId="0" applyNumberFormat="1" applyFont="1" applyFill="1" applyBorder="1" applyAlignment="1"/>
    <xf numFmtId="0" fontId="2" fillId="2" borderId="7" xfId="0" applyNumberFormat="1" applyFont="1" applyFill="1" applyBorder="1" applyAlignment="1"/>
    <xf numFmtId="0" fontId="2" fillId="2" borderId="7" xfId="0" applyNumberFormat="1" applyFont="1" applyFill="1" applyBorder="1" applyAlignment="1" applyProtection="1">
      <alignment horizontal="right"/>
      <protection locked="0"/>
    </xf>
    <xf numFmtId="0" fontId="2" fillId="2" borderId="8" xfId="0" applyNumberFormat="1" applyFont="1" applyFill="1" applyBorder="1" applyAlignment="1"/>
    <xf numFmtId="4" fontId="2" fillId="2" borderId="7" xfId="0" applyNumberFormat="1" applyFont="1" applyFill="1" applyBorder="1" applyAlignment="1" applyProtection="1">
      <alignment horizontal="right"/>
      <protection locked="0"/>
    </xf>
    <xf numFmtId="0" fontId="8" fillId="2" borderId="7" xfId="0" applyNumberFormat="1" applyFont="1" applyFill="1" applyBorder="1" applyAlignment="1"/>
    <xf numFmtId="0" fontId="8" fillId="2" borderId="8" xfId="0" applyNumberFormat="1" applyFont="1" applyFill="1" applyBorder="1" applyAlignment="1"/>
    <xf numFmtId="3" fontId="1" fillId="0" borderId="0" xfId="0" applyNumberFormat="1" applyFont="1" applyAlignment="1"/>
    <xf numFmtId="167" fontId="2" fillId="2" borderId="5" xfId="0" applyNumberFormat="1" applyFont="1" applyFill="1" applyBorder="1" applyAlignment="1">
      <alignment horizontal="center"/>
    </xf>
    <xf numFmtId="0" fontId="19" fillId="2" borderId="0" xfId="0" applyNumberFormat="1" applyFont="1" applyFill="1" applyAlignment="1"/>
    <xf numFmtId="0" fontId="19" fillId="2" borderId="0" xfId="0" applyNumberFormat="1" applyFont="1" applyFill="1" applyAlignment="1">
      <alignment horizontal="center" wrapText="1"/>
    </xf>
    <xf numFmtId="0" fontId="20" fillId="2" borderId="0" xfId="0" applyNumberFormat="1" applyFont="1" applyFill="1" applyAlignment="1">
      <alignment horizontal="center" wrapText="1"/>
    </xf>
    <xf numFmtId="0" fontId="19" fillId="2" borderId="0" xfId="0" applyNumberFormat="1" applyFont="1" applyFill="1" applyAlignment="1">
      <alignment horizontal="left" vertical="top" wrapText="1"/>
    </xf>
    <xf numFmtId="0" fontId="19" fillId="2" borderId="0" xfId="0" applyNumberFormat="1" applyFont="1" applyFill="1" applyAlignment="1">
      <alignment horizontal="center" vertical="top" wrapText="1"/>
    </xf>
    <xf numFmtId="4" fontId="19" fillId="2" borderId="0" xfId="0" applyNumberFormat="1" applyFont="1" applyFill="1" applyAlignment="1" applyProtection="1">
      <alignment horizontal="center" vertical="top" wrapText="1"/>
      <protection locked="0"/>
    </xf>
    <xf numFmtId="0" fontId="20" fillId="2" borderId="0" xfId="0" applyNumberFormat="1" applyFont="1" applyFill="1" applyAlignment="1"/>
    <xf numFmtId="0" fontId="21" fillId="2" borderId="5" xfId="0" applyNumberFormat="1" applyFont="1" applyFill="1" applyBorder="1" applyAlignment="1"/>
    <xf numFmtId="0" fontId="21" fillId="2" borderId="0" xfId="0" applyNumberFormat="1" applyFont="1" applyFill="1" applyAlignment="1"/>
    <xf numFmtId="0" fontId="19" fillId="2" borderId="0" xfId="0" applyNumberFormat="1" applyFont="1" applyFill="1" applyAlignment="1">
      <alignment horizontal="right"/>
    </xf>
    <xf numFmtId="4" fontId="19" fillId="2" borderId="0" xfId="0" applyNumberFormat="1" applyFont="1" applyFill="1" applyAlignment="1" applyProtection="1">
      <alignment horizontal="right"/>
      <protection locked="0"/>
    </xf>
    <xf numFmtId="0" fontId="19" fillId="2" borderId="5" xfId="0" applyNumberFormat="1" applyFont="1" applyFill="1" applyBorder="1" applyAlignment="1"/>
    <xf numFmtId="0" fontId="22" fillId="2" borderId="5" xfId="0" applyNumberFormat="1" applyFont="1" applyFill="1" applyBorder="1" applyAlignment="1">
      <alignment horizontal="center" wrapText="1"/>
    </xf>
    <xf numFmtId="168" fontId="2" fillId="2" borderId="5" xfId="0" applyNumberFormat="1" applyFont="1" applyFill="1" applyBorder="1" applyAlignment="1">
      <alignment horizontal="center"/>
    </xf>
    <xf numFmtId="168" fontId="10" fillId="2" borderId="5" xfId="0" applyNumberFormat="1" applyFont="1" applyFill="1" applyBorder="1" applyAlignment="1">
      <alignment horizontal="center"/>
    </xf>
    <xf numFmtId="164" fontId="19" fillId="2" borderId="5" xfId="0" applyNumberFormat="1" applyFont="1" applyFill="1" applyBorder="1" applyAlignment="1"/>
    <xf numFmtId="167" fontId="2" fillId="2" borderId="5" xfId="0" applyNumberFormat="1" applyFont="1" applyFill="1" applyBorder="1" applyAlignment="1">
      <alignment horizontal="right"/>
    </xf>
    <xf numFmtId="4" fontId="19" fillId="2" borderId="5" xfId="0" applyNumberFormat="1" applyFont="1" applyFill="1" applyBorder="1" applyAlignment="1">
      <alignment horizontal="center"/>
    </xf>
    <xf numFmtId="0" fontId="9" fillId="2" borderId="0" xfId="0" quotePrefix="1" applyNumberFormat="1" applyFont="1" applyFill="1" applyAlignment="1">
      <alignment horizontal="center"/>
    </xf>
    <xf numFmtId="0" fontId="24" fillId="2" borderId="5" xfId="0" applyNumberFormat="1" applyFont="1" applyFill="1" applyBorder="1" applyAlignment="1"/>
    <xf numFmtId="10" fontId="2" fillId="2" borderId="5" xfId="0" applyNumberFormat="1" applyFont="1" applyFill="1" applyBorder="1" applyAlignment="1"/>
    <xf numFmtId="4" fontId="13" fillId="2" borderId="5" xfId="0" applyNumberFormat="1" applyFont="1" applyFill="1" applyBorder="1" applyAlignment="1">
      <alignment horizontal="center"/>
    </xf>
    <xf numFmtId="0" fontId="2" fillId="0" borderId="0" xfId="0" applyNumberFormat="1" applyFont="1" applyFill="1" applyBorder="1" applyAlignment="1"/>
    <xf numFmtId="10" fontId="10" fillId="2" borderId="0" xfId="0" applyNumberFormat="1" applyFont="1" applyFill="1" applyAlignment="1">
      <alignment horizontal="center"/>
    </xf>
    <xf numFmtId="0" fontId="21" fillId="2" borderId="9" xfId="0" applyNumberFormat="1" applyFont="1" applyFill="1" applyBorder="1" applyAlignment="1"/>
    <xf numFmtId="0" fontId="2" fillId="2" borderId="10" xfId="0" applyNumberFormat="1" applyFont="1" applyFill="1" applyBorder="1" applyAlignment="1"/>
    <xf numFmtId="0" fontId="2" fillId="2" borderId="11" xfId="0" applyNumberFormat="1" applyFont="1" applyFill="1" applyBorder="1" applyAlignment="1"/>
    <xf numFmtId="0" fontId="2" fillId="2" borderId="12" xfId="0" applyNumberFormat="1" applyFont="1" applyFill="1" applyBorder="1" applyAlignment="1"/>
    <xf numFmtId="0" fontId="25" fillId="2" borderId="5" xfId="0" applyNumberFormat="1" applyFont="1" applyFill="1" applyBorder="1" applyAlignment="1"/>
    <xf numFmtId="10" fontId="2" fillId="2" borderId="9" xfId="0" applyNumberFormat="1" applyFont="1" applyFill="1" applyBorder="1" applyAlignment="1"/>
    <xf numFmtId="3" fontId="26" fillId="2" borderId="9" xfId="0" applyNumberFormat="1" applyFont="1" applyFill="1" applyBorder="1" applyAlignment="1" applyProtection="1">
      <alignment horizontal="right"/>
      <protection locked="0"/>
    </xf>
    <xf numFmtId="9" fontId="2" fillId="2" borderId="10" xfId="0" applyNumberFormat="1" applyFont="1" applyFill="1" applyBorder="1" applyAlignment="1"/>
    <xf numFmtId="169" fontId="2" fillId="2" borderId="5" xfId="0" applyNumberFormat="1" applyFont="1" applyFill="1" applyBorder="1" applyAlignment="1">
      <alignment horizontal="center"/>
    </xf>
    <xf numFmtId="0" fontId="27" fillId="2" borderId="0" xfId="0" applyNumberFormat="1" applyFont="1" applyFill="1" applyAlignment="1"/>
    <xf numFmtId="0" fontId="28" fillId="2" borderId="0" xfId="1" applyNumberFormat="1" applyFont="1" applyFill="1" applyAlignment="1" applyProtection="1"/>
    <xf numFmtId="0" fontId="27" fillId="2" borderId="5" xfId="0" applyNumberFormat="1" applyFont="1" applyFill="1" applyBorder="1" applyAlignment="1"/>
    <xf numFmtId="10" fontId="28" fillId="2" borderId="5" xfId="1" applyNumberFormat="1" applyFont="1" applyFill="1" applyBorder="1" applyAlignment="1">
      <alignment horizontal="left"/>
      <protection locked="0"/>
    </xf>
    <xf numFmtId="3" fontId="2" fillId="2" borderId="5" xfId="0" applyNumberFormat="1" applyFont="1" applyFill="1" applyBorder="1" applyAlignment="1">
      <alignment horizontal="center"/>
    </xf>
    <xf numFmtId="0" fontId="22" fillId="2" borderId="5" xfId="0" applyNumberFormat="1" applyFont="1" applyFill="1" applyBorder="1" applyAlignment="1"/>
    <xf numFmtId="164" fontId="24" fillId="2" borderId="5" xfId="0" applyNumberFormat="1" applyFont="1" applyFill="1" applyBorder="1" applyAlignment="1">
      <alignment horizontal="center"/>
    </xf>
    <xf numFmtId="164" fontId="22" fillId="2" borderId="5" xfId="0" applyNumberFormat="1" applyFont="1" applyFill="1" applyBorder="1" applyAlignment="1">
      <alignment horizontal="center"/>
    </xf>
    <xf numFmtId="4" fontId="10" fillId="2" borderId="5" xfId="0" applyNumberFormat="1" applyFont="1" applyFill="1" applyBorder="1" applyAlignment="1">
      <alignment horizontal="center"/>
    </xf>
    <xf numFmtId="0" fontId="10" fillId="2" borderId="5" xfId="0" applyNumberFormat="1" applyFont="1" applyFill="1" applyBorder="1" applyAlignment="1">
      <alignment horizontal="center"/>
    </xf>
    <xf numFmtId="15" fontId="10" fillId="2" borderId="0" xfId="0" applyNumberFormat="1" applyFont="1" applyFill="1" applyAlignment="1">
      <alignment horizontal="right"/>
    </xf>
    <xf numFmtId="0" fontId="10" fillId="2" borderId="0" xfId="0" applyNumberFormat="1" applyFont="1" applyFill="1" applyAlignment="1">
      <alignment horizontal="right"/>
    </xf>
    <xf numFmtId="3" fontId="22" fillId="2" borderId="9" xfId="0" applyNumberFormat="1" applyFont="1" applyFill="1" applyBorder="1" applyAlignment="1"/>
    <xf numFmtId="0" fontId="2" fillId="2" borderId="0" xfId="0" applyNumberFormat="1" applyFont="1" applyFill="1" applyBorder="1" applyAlignment="1"/>
    <xf numFmtId="0" fontId="1" fillId="0" borderId="0" xfId="0" applyNumberFormat="1" applyFont="1" applyBorder="1" applyAlignment="1"/>
    <xf numFmtId="0" fontId="2" fillId="2" borderId="13" xfId="0" applyNumberFormat="1" applyFont="1" applyFill="1" applyBorder="1" applyAlignment="1"/>
    <xf numFmtId="0" fontId="1" fillId="0" borderId="13" xfId="0" applyNumberFormat="1" applyFont="1" applyBorder="1" applyAlignment="1"/>
    <xf numFmtId="0" fontId="2" fillId="2" borderId="14" xfId="0" applyNumberFormat="1" applyFont="1" applyFill="1" applyBorder="1" applyAlignment="1"/>
    <xf numFmtId="4" fontId="2" fillId="2" borderId="14" xfId="0" applyNumberFormat="1" applyFont="1" applyFill="1" applyBorder="1" applyAlignment="1" applyProtection="1">
      <alignment horizontal="right"/>
      <protection locked="0"/>
    </xf>
    <xf numFmtId="0" fontId="1" fillId="0" borderId="14" xfId="0" applyNumberFormat="1" applyFont="1" applyBorder="1" applyAlignment="1"/>
    <xf numFmtId="0" fontId="1" fillId="0" borderId="2" xfId="0" applyNumberFormat="1" applyFont="1" applyBorder="1" applyAlignment="1"/>
    <xf numFmtId="3" fontId="2" fillId="2" borderId="0" xfId="0" applyNumberFormat="1" applyFont="1" applyFill="1" applyBorder="1" applyAlignment="1" applyProtection="1">
      <alignment horizontal="right"/>
      <protection locked="0"/>
    </xf>
    <xf numFmtId="3" fontId="2" fillId="2" borderId="13" xfId="0" applyNumberFormat="1" applyFont="1" applyFill="1" applyBorder="1" applyAlignment="1" applyProtection="1">
      <alignment horizontal="right"/>
      <protection locked="0"/>
    </xf>
    <xf numFmtId="0" fontId="2" fillId="2" borderId="15" xfId="0" applyNumberFormat="1" applyFont="1" applyFill="1" applyBorder="1" applyAlignment="1"/>
    <xf numFmtId="170" fontId="19" fillId="2" borderId="5" xfId="0" applyNumberFormat="1" applyFont="1" applyFill="1" applyBorder="1" applyAlignment="1">
      <alignment horizontal="center"/>
    </xf>
    <xf numFmtId="170" fontId="19" fillId="2" borderId="5" xfId="0" applyNumberFormat="1" applyFont="1" applyFill="1" applyBorder="1" applyAlignment="1"/>
    <xf numFmtId="169" fontId="10" fillId="2" borderId="5" xfId="0" applyNumberFormat="1" applyFont="1" applyFill="1" applyBorder="1" applyAlignment="1">
      <alignment horizontal="center"/>
    </xf>
    <xf numFmtId="0" fontId="24" fillId="2" borderId="5" xfId="0" applyNumberFormat="1" applyFont="1" applyFill="1" applyBorder="1" applyAlignment="1">
      <alignment horizontal="center"/>
    </xf>
    <xf numFmtId="17" fontId="2" fillId="2" borderId="5" xfId="0" applyNumberFormat="1" applyFont="1" applyFill="1" applyBorder="1" applyAlignment="1">
      <alignment horizontal="center"/>
    </xf>
    <xf numFmtId="0" fontId="1" fillId="2" borderId="0" xfId="0" applyNumberFormat="1" applyFont="1" applyFill="1" applyAlignment="1"/>
    <xf numFmtId="0" fontId="1" fillId="2" borderId="5" xfId="0" applyNumberFormat="1" applyFont="1" applyFill="1" applyBorder="1" applyAlignment="1"/>
    <xf numFmtId="164" fontId="1" fillId="2" borderId="5" xfId="0" applyNumberFormat="1" applyFont="1" applyFill="1" applyBorder="1" applyAlignment="1"/>
    <xf numFmtId="0" fontId="1" fillId="2" borderId="7" xfId="0" applyNumberFormat="1" applyFont="1" applyFill="1" applyBorder="1" applyAlignment="1"/>
    <xf numFmtId="0" fontId="1" fillId="2" borderId="8" xfId="0" applyNumberFormat="1" applyFont="1" applyFill="1" applyBorder="1" applyAlignment="1"/>
    <xf numFmtId="0" fontId="1" fillId="2" borderId="3" xfId="0" applyNumberFormat="1" applyFont="1" applyFill="1" applyBorder="1" applyAlignment="1"/>
    <xf numFmtId="0" fontId="2" fillId="3" borderId="1" xfId="0" applyNumberFormat="1" applyFont="1" applyFill="1" applyBorder="1" applyAlignment="1"/>
    <xf numFmtId="0" fontId="2" fillId="3" borderId="2" xfId="0" applyNumberFormat="1" applyFont="1" applyFill="1" applyBorder="1" applyAlignment="1"/>
    <xf numFmtId="0" fontId="2" fillId="3" borderId="3" xfId="0" applyNumberFormat="1" applyFont="1" applyFill="1" applyBorder="1" applyAlignment="1"/>
    <xf numFmtId="0" fontId="5" fillId="3" borderId="0" xfId="0" applyNumberFormat="1" applyFont="1" applyFill="1" applyAlignment="1"/>
    <xf numFmtId="0" fontId="2" fillId="3" borderId="0" xfId="0" applyNumberFormat="1" applyFont="1" applyFill="1" applyAlignment="1"/>
    <xf numFmtId="0" fontId="2" fillId="3" borderId="3" xfId="0" applyNumberFormat="1" applyFont="1" applyFill="1" applyBorder="1" applyAlignment="1">
      <alignment horizontal="center"/>
    </xf>
    <xf numFmtId="0" fontId="19" fillId="3" borderId="0" xfId="0" applyNumberFormat="1" applyFont="1" applyFill="1" applyAlignment="1"/>
    <xf numFmtId="0" fontId="7" fillId="3" borderId="0" xfId="0" applyNumberFormat="1" applyFont="1" applyFill="1" applyAlignment="1"/>
    <xf numFmtId="0" fontId="27" fillId="3" borderId="0" xfId="0" applyNumberFormat="1" applyFont="1" applyFill="1" applyAlignment="1"/>
    <xf numFmtId="0" fontId="28" fillId="3" borderId="0" xfId="1" applyNumberFormat="1" applyFont="1" applyFill="1" applyAlignment="1" applyProtection="1"/>
    <xf numFmtId="0" fontId="9" fillId="3" borderId="0" xfId="0" applyNumberFormat="1" applyFont="1" applyFill="1" applyAlignment="1"/>
    <xf numFmtId="0" fontId="2" fillId="3" borderId="0" xfId="0" applyNumberFormat="1" applyFont="1" applyFill="1" applyAlignment="1">
      <alignment horizontal="center"/>
    </xf>
    <xf numFmtId="0" fontId="4" fillId="3" borderId="0" xfId="0" applyNumberFormat="1" applyFont="1" applyFill="1" applyAlignment="1"/>
    <xf numFmtId="0" fontId="2" fillId="3" borderId="0" xfId="0" applyNumberFormat="1" applyFont="1" applyFill="1" applyAlignment="1">
      <alignment horizontal="right"/>
    </xf>
    <xf numFmtId="0" fontId="2" fillId="3" borderId="4" xfId="0" applyNumberFormat="1" applyFont="1" applyFill="1" applyBorder="1" applyAlignment="1"/>
    <xf numFmtId="0" fontId="2" fillId="3" borderId="5" xfId="0" applyNumberFormat="1" applyFont="1" applyFill="1" applyBorder="1" applyAlignment="1"/>
    <xf numFmtId="15" fontId="13" fillId="3" borderId="0" xfId="0" applyNumberFormat="1" applyFont="1" applyFill="1" applyAlignment="1" applyProtection="1">
      <alignment horizontal="center"/>
      <protection locked="0"/>
    </xf>
    <xf numFmtId="15" fontId="13" fillId="3" borderId="0" xfId="0" applyNumberFormat="1" applyFont="1" applyFill="1" applyAlignment="1">
      <alignment horizontal="center"/>
    </xf>
    <xf numFmtId="0" fontId="2" fillId="3" borderId="6" xfId="0" applyNumberFormat="1" applyFont="1" applyFill="1" applyBorder="1" applyAlignment="1"/>
    <xf numFmtId="0" fontId="2" fillId="3" borderId="7" xfId="0" applyNumberFormat="1" applyFont="1" applyFill="1" applyBorder="1" applyAlignment="1"/>
    <xf numFmtId="0" fontId="2" fillId="3" borderId="7" xfId="0" applyNumberFormat="1" applyFont="1" applyFill="1" applyBorder="1" applyAlignment="1" applyProtection="1">
      <alignment horizontal="right"/>
      <protection locked="0"/>
    </xf>
    <xf numFmtId="0" fontId="2" fillId="3" borderId="8" xfId="0" applyNumberFormat="1" applyFont="1" applyFill="1" applyBorder="1" applyAlignment="1"/>
    <xf numFmtId="4" fontId="2" fillId="3" borderId="2" xfId="0" applyNumberFormat="1" applyFont="1" applyFill="1" applyBorder="1" applyAlignment="1" applyProtection="1">
      <alignment horizontal="right"/>
      <protection locked="0"/>
    </xf>
    <xf numFmtId="4" fontId="2" fillId="3" borderId="0" xfId="0" applyNumberFormat="1" applyFont="1" applyFill="1" applyAlignment="1" applyProtection="1">
      <alignment horizontal="right"/>
      <protection locked="0"/>
    </xf>
    <xf numFmtId="0" fontId="19" fillId="3" borderId="0" xfId="0" applyNumberFormat="1" applyFont="1" applyFill="1" applyAlignment="1">
      <alignment horizontal="left" vertical="top" wrapText="1"/>
    </xf>
    <xf numFmtId="0" fontId="19" fillId="3" borderId="0" xfId="0" applyNumberFormat="1" applyFont="1" applyFill="1" applyAlignment="1">
      <alignment horizontal="center" vertical="top" wrapText="1"/>
    </xf>
    <xf numFmtId="4" fontId="19" fillId="3" borderId="0" xfId="0" applyNumberFormat="1" applyFont="1" applyFill="1" applyAlignment="1" applyProtection="1">
      <alignment horizontal="center" vertical="top" wrapText="1"/>
      <protection locked="0"/>
    </xf>
    <xf numFmtId="0" fontId="20" fillId="3" borderId="0" xfId="0" applyNumberFormat="1" applyFont="1" applyFill="1" applyAlignment="1"/>
    <xf numFmtId="3" fontId="2" fillId="3" borderId="0" xfId="0" applyNumberFormat="1" applyFont="1" applyFill="1" applyAlignment="1"/>
    <xf numFmtId="3" fontId="13" fillId="3" borderId="0" xfId="0" applyNumberFormat="1" applyFont="1" applyFill="1" applyAlignment="1"/>
    <xf numFmtId="4" fontId="2" fillId="3" borderId="7" xfId="0" applyNumberFormat="1" applyFont="1" applyFill="1" applyBorder="1" applyAlignment="1" applyProtection="1">
      <alignment horizontal="right"/>
      <protection locked="0"/>
    </xf>
    <xf numFmtId="0" fontId="21" fillId="3" borderId="0" xfId="0" applyNumberFormat="1" applyFont="1" applyFill="1" applyAlignment="1"/>
    <xf numFmtId="4" fontId="13" fillId="3" borderId="0" xfId="0" applyNumberFormat="1" applyFont="1" applyFill="1" applyAlignment="1" applyProtection="1">
      <alignment horizontal="right"/>
      <protection locked="0"/>
    </xf>
    <xf numFmtId="0" fontId="2" fillId="3" borderId="0" xfId="0" applyNumberFormat="1" applyFont="1" applyFill="1" applyBorder="1" applyAlignment="1"/>
    <xf numFmtId="3" fontId="2" fillId="3" borderId="0" xfId="0" applyNumberFormat="1" applyFont="1" applyFill="1" applyBorder="1" applyAlignment="1" applyProtection="1">
      <alignment horizontal="right"/>
      <protection locked="0"/>
    </xf>
    <xf numFmtId="0" fontId="19" fillId="3" borderId="0" xfId="0" applyNumberFormat="1" applyFont="1" applyFill="1" applyAlignment="1">
      <alignment horizontal="right"/>
    </xf>
    <xf numFmtId="4" fontId="19" fillId="3" borderId="0" xfId="0" applyNumberFormat="1" applyFont="1" applyFill="1" applyAlignment="1" applyProtection="1">
      <alignment horizontal="right"/>
      <protection locked="0"/>
    </xf>
    <xf numFmtId="0" fontId="6" fillId="3" borderId="0" xfId="0" applyNumberFormat="1" applyFont="1" applyFill="1" applyAlignment="1"/>
    <xf numFmtId="0" fontId="2" fillId="3" borderId="0" xfId="0" applyNumberFormat="1" applyFont="1" applyFill="1" applyAlignment="1" applyProtection="1">
      <protection locked="0"/>
    </xf>
    <xf numFmtId="0" fontId="13" fillId="3" borderId="3" xfId="0" applyNumberFormat="1" applyFont="1" applyFill="1" applyBorder="1" applyAlignment="1"/>
    <xf numFmtId="0" fontId="17" fillId="3" borderId="0" xfId="0" applyNumberFormat="1" applyFont="1" applyFill="1" applyAlignment="1"/>
    <xf numFmtId="15" fontId="16" fillId="3" borderId="0" xfId="0" applyNumberFormat="1" applyFont="1" applyFill="1" applyAlignment="1">
      <alignment horizontal="centerContinuous"/>
    </xf>
    <xf numFmtId="15" fontId="16" fillId="3" borderId="0" xfId="0" applyNumberFormat="1" applyFont="1" applyFill="1" applyAlignment="1">
      <alignment horizontal="center"/>
    </xf>
    <xf numFmtId="0" fontId="13" fillId="3" borderId="4" xfId="0" applyNumberFormat="1" applyFont="1" applyFill="1" applyBorder="1" applyAlignment="1">
      <alignment horizontal="right"/>
    </xf>
    <xf numFmtId="3" fontId="16" fillId="3" borderId="5" xfId="0" applyNumberFormat="1" applyFont="1" applyFill="1" applyBorder="1" applyAlignment="1"/>
    <xf numFmtId="0" fontId="29" fillId="4" borderId="3" xfId="0" applyNumberFormat="1" applyFont="1" applyFill="1" applyBorder="1" applyAlignment="1"/>
    <xf numFmtId="0" fontId="29" fillId="4" borderId="0" xfId="0" applyNumberFormat="1" applyFont="1" applyFill="1" applyAlignment="1"/>
    <xf numFmtId="0" fontId="30" fillId="4" borderId="0" xfId="0" applyNumberFormat="1" applyFont="1" applyFill="1" applyAlignment="1">
      <alignment horizontal="center" wrapText="1"/>
    </xf>
    <xf numFmtId="0" fontId="31" fillId="4" borderId="0" xfId="0" applyNumberFormat="1" applyFont="1" applyFill="1" applyAlignment="1">
      <alignment horizontal="center" wrapText="1"/>
    </xf>
    <xf numFmtId="0" fontId="29" fillId="4" borderId="0" xfId="0" applyNumberFormat="1" applyFont="1" applyFill="1" applyAlignment="1">
      <alignment horizontal="center" wrapText="1"/>
    </xf>
    <xf numFmtId="0" fontId="32" fillId="4" borderId="0" xfId="0" applyNumberFormat="1" applyFont="1" applyFill="1" applyAlignment="1"/>
    <xf numFmtId="0" fontId="33" fillId="4" borderId="0" xfId="0" applyNumberFormat="1" applyFont="1" applyFill="1" applyAlignment="1"/>
    <xf numFmtId="4" fontId="29" fillId="4" borderId="0" xfId="0" applyNumberFormat="1" applyFont="1" applyFill="1" applyAlignment="1" applyProtection="1">
      <alignment horizontal="right"/>
      <protection locked="0"/>
    </xf>
    <xf numFmtId="0" fontId="34" fillId="4" borderId="0" xfId="0" applyNumberFormat="1" applyFont="1" applyFill="1" applyAlignment="1"/>
    <xf numFmtId="0" fontId="34" fillId="4" borderId="0" xfId="0" applyNumberFormat="1" applyFont="1" applyFill="1" applyAlignment="1">
      <alignment horizontal="center"/>
    </xf>
    <xf numFmtId="0" fontId="34" fillId="4" borderId="0" xfId="0" applyNumberFormat="1" applyFont="1" applyFill="1" applyAlignment="1">
      <alignment horizontal="right"/>
    </xf>
    <xf numFmtId="15" fontId="34" fillId="4" borderId="0" xfId="0" applyNumberFormat="1" applyFont="1" applyFill="1" applyAlignment="1">
      <alignment horizontal="right"/>
    </xf>
    <xf numFmtId="0" fontId="29" fillId="4" borderId="1" xfId="0" applyNumberFormat="1" applyFont="1" applyFill="1" applyBorder="1" applyAlignment="1"/>
    <xf numFmtId="0" fontId="34" fillId="4" borderId="2" xfId="0" applyNumberFormat="1" applyFont="1" applyFill="1" applyBorder="1" applyAlignment="1"/>
    <xf numFmtId="0" fontId="29" fillId="4" borderId="2" xfId="0" applyNumberFormat="1" applyFont="1" applyFill="1" applyBorder="1" applyAlignment="1"/>
    <xf numFmtId="4" fontId="29" fillId="4" borderId="2" xfId="0" applyNumberFormat="1" applyFont="1" applyFill="1" applyBorder="1" applyAlignment="1" applyProtection="1">
      <alignment horizontal="right"/>
      <protection locked="0"/>
    </xf>
    <xf numFmtId="15" fontId="34" fillId="4" borderId="2" xfId="0" applyNumberFormat="1" applyFont="1" applyFill="1" applyBorder="1" applyAlignment="1">
      <alignment horizontal="centerContinuous"/>
    </xf>
    <xf numFmtId="15" fontId="34" fillId="4" borderId="2" xfId="0" applyNumberFormat="1" applyFont="1" applyFill="1" applyBorder="1" applyAlignment="1">
      <alignment horizontal="center"/>
    </xf>
    <xf numFmtId="0" fontId="29" fillId="4" borderId="3" xfId="0" applyNumberFormat="1" applyFont="1" applyFill="1" applyBorder="1" applyAlignment="1">
      <alignment horizontal="right"/>
    </xf>
    <xf numFmtId="3" fontId="34" fillId="4" borderId="0" xfId="0" applyNumberFormat="1" applyFont="1" applyFill="1" applyAlignment="1">
      <alignment horizontal="center"/>
    </xf>
    <xf numFmtId="0" fontId="29" fillId="4" borderId="12" xfId="0" applyNumberFormat="1" applyFont="1" applyFill="1" applyBorder="1" applyAlignment="1"/>
    <xf numFmtId="0" fontId="29" fillId="4" borderId="10" xfId="0" applyNumberFormat="1" applyFont="1" applyFill="1" applyBorder="1" applyAlignment="1"/>
    <xf numFmtId="0" fontId="29" fillId="4" borderId="11" xfId="0" applyNumberFormat="1" applyFont="1" applyFill="1" applyBorder="1" applyAlignment="1"/>
    <xf numFmtId="9" fontId="29" fillId="4" borderId="10" xfId="0" applyNumberFormat="1" applyFont="1" applyFill="1" applyBorder="1" applyAlignment="1"/>
    <xf numFmtId="0" fontId="35" fillId="3" borderId="4" xfId="0" applyNumberFormat="1" applyFont="1" applyFill="1" applyBorder="1" applyAlignment="1"/>
    <xf numFmtId="3" fontId="35" fillId="3" borderId="5" xfId="0" applyNumberFormat="1" applyFont="1" applyFill="1" applyBorder="1" applyAlignment="1"/>
    <xf numFmtId="0" fontId="35" fillId="3" borderId="5" xfId="0" applyNumberFormat="1" applyFont="1" applyFill="1" applyBorder="1" applyAlignment="1"/>
    <xf numFmtId="9" fontId="35" fillId="3" borderId="5" xfId="0" applyNumberFormat="1" applyFont="1" applyFill="1" applyBorder="1" applyAlignment="1"/>
    <xf numFmtId="10" fontId="35" fillId="3" borderId="5" xfId="0" applyNumberFormat="1" applyFont="1" applyFill="1" applyBorder="1" applyAlignment="1"/>
    <xf numFmtId="3" fontId="35" fillId="3" borderId="5" xfId="0" applyNumberFormat="1" applyFont="1" applyFill="1" applyBorder="1" applyAlignment="1" applyProtection="1">
      <alignment horizontal="right"/>
      <protection locked="0"/>
    </xf>
    <xf numFmtId="0" fontId="35" fillId="3" borderId="3" xfId="0" applyNumberFormat="1" applyFont="1" applyFill="1" applyBorder="1" applyAlignment="1"/>
    <xf numFmtId="0" fontId="35" fillId="3" borderId="0" xfId="0" applyNumberFormat="1" applyFont="1" applyFill="1" applyAlignment="1"/>
    <xf numFmtId="9" fontId="35" fillId="3" borderId="0" xfId="0" applyNumberFormat="1" applyFont="1" applyFill="1" applyAlignment="1"/>
    <xf numFmtId="3" fontId="35" fillId="3" borderId="0" xfId="0" applyNumberFormat="1" applyFont="1" applyFill="1" applyAlignment="1" applyProtection="1">
      <alignment horizontal="right"/>
      <protection locked="0"/>
    </xf>
    <xf numFmtId="0" fontId="38" fillId="3" borderId="3" xfId="0" applyNumberFormat="1" applyFont="1" applyFill="1" applyBorder="1" applyAlignment="1"/>
    <xf numFmtId="0" fontId="37" fillId="3" borderId="0" xfId="0" applyNumberFormat="1" applyFont="1" applyFill="1" applyAlignment="1"/>
    <xf numFmtId="0" fontId="37" fillId="3" borderId="0" xfId="0" applyNumberFormat="1" applyFont="1" applyFill="1" applyAlignment="1">
      <alignment horizontal="center"/>
    </xf>
    <xf numFmtId="0" fontId="38" fillId="3" borderId="0" xfId="0" applyNumberFormat="1" applyFont="1" applyFill="1" applyAlignment="1"/>
    <xf numFmtId="0" fontId="37" fillId="3" borderId="0" xfId="0" quotePrefix="1" applyNumberFormat="1" applyFont="1" applyFill="1" applyAlignment="1">
      <alignment horizontal="center"/>
    </xf>
    <xf numFmtId="0" fontId="39" fillId="3" borderId="0" xfId="0" applyNumberFormat="1" applyFont="1" applyFill="1" applyAlignment="1"/>
    <xf numFmtId="0" fontId="40" fillId="3" borderId="0" xfId="0" applyNumberFormat="1" applyFont="1" applyFill="1" applyAlignment="1"/>
    <xf numFmtId="166" fontId="35" fillId="3" borderId="5" xfId="0" applyNumberFormat="1" applyFont="1" applyFill="1" applyBorder="1" applyAlignment="1"/>
    <xf numFmtId="0" fontId="35" fillId="3" borderId="5" xfId="0" applyNumberFormat="1" applyFont="1" applyFill="1" applyBorder="1" applyAlignment="1" applyProtection="1">
      <protection locked="0"/>
    </xf>
    <xf numFmtId="0" fontId="37" fillId="3" borderId="5" xfId="0" applyNumberFormat="1" applyFont="1" applyFill="1" applyBorder="1" applyAlignment="1"/>
    <xf numFmtId="0" fontId="35" fillId="3" borderId="5" xfId="0" applyNumberFormat="1" applyFont="1" applyFill="1" applyBorder="1" applyAlignment="1">
      <alignment horizontal="center"/>
    </xf>
    <xf numFmtId="3" fontId="35" fillId="3" borderId="5" xfId="0" applyNumberFormat="1" applyFont="1" applyFill="1" applyBorder="1" applyAlignment="1" applyProtection="1">
      <alignment horizontal="center"/>
      <protection locked="0"/>
    </xf>
    <xf numFmtId="0" fontId="40" fillId="3" borderId="7" xfId="0" applyNumberFormat="1" applyFont="1" applyFill="1" applyBorder="1" applyAlignment="1"/>
    <xf numFmtId="0" fontId="38" fillId="3" borderId="7" xfId="0" applyNumberFormat="1" applyFont="1" applyFill="1" applyBorder="1" applyAlignment="1"/>
    <xf numFmtId="0" fontId="38" fillId="3" borderId="8" xfId="0" applyNumberFormat="1" applyFont="1" applyFill="1" applyBorder="1" applyAlignment="1"/>
    <xf numFmtId="0" fontId="38" fillId="3" borderId="5" xfId="0" applyNumberFormat="1" applyFont="1" applyFill="1" applyBorder="1" applyAlignment="1"/>
    <xf numFmtId="0" fontId="42" fillId="3" borderId="2" xfId="0" applyNumberFormat="1" applyFont="1" applyFill="1" applyBorder="1" applyAlignment="1"/>
    <xf numFmtId="0" fontId="43" fillId="3" borderId="0" xfId="0" applyNumberFormat="1" applyFont="1" applyFill="1" applyAlignment="1"/>
    <xf numFmtId="0" fontId="44" fillId="3" borderId="0" xfId="0" applyNumberFormat="1" applyFont="1" applyFill="1" applyAlignment="1">
      <alignment horizontal="center" wrapText="1"/>
    </xf>
    <xf numFmtId="9" fontId="37" fillId="3" borderId="0" xfId="0" applyNumberFormat="1" applyFont="1" applyFill="1" applyAlignment="1">
      <alignment horizontal="center"/>
    </xf>
    <xf numFmtId="10" fontId="37" fillId="3" borderId="0" xfId="0" applyNumberFormat="1" applyFont="1" applyFill="1" applyAlignment="1">
      <alignment horizontal="center"/>
    </xf>
    <xf numFmtId="15" fontId="37" fillId="3" borderId="0" xfId="0" applyNumberFormat="1" applyFont="1" applyFill="1" applyAlignment="1">
      <alignment horizontal="center"/>
    </xf>
    <xf numFmtId="0" fontId="44" fillId="3" borderId="0" xfId="0" applyNumberFormat="1" applyFont="1" applyFill="1" applyAlignment="1"/>
    <xf numFmtId="0" fontId="35" fillId="3" borderId="0" xfId="0" applyNumberFormat="1" applyFont="1" applyFill="1" applyAlignment="1">
      <alignment horizontal="center"/>
    </xf>
    <xf numFmtId="0" fontId="35" fillId="3" borderId="5" xfId="0" applyNumberFormat="1" applyFont="1" applyFill="1" applyBorder="1" applyAlignment="1">
      <alignment horizontal="center" wrapText="1"/>
    </xf>
    <xf numFmtId="15" fontId="13" fillId="3" borderId="0" xfId="0" applyNumberFormat="1" applyFont="1" applyFill="1" applyBorder="1" applyAlignment="1" applyProtection="1">
      <alignment horizontal="center"/>
      <protection locked="0"/>
    </xf>
    <xf numFmtId="15" fontId="13" fillId="3" borderId="0" xfId="0" applyNumberFormat="1" applyFont="1" applyFill="1" applyBorder="1" applyAlignment="1">
      <alignment horizontal="center"/>
    </xf>
    <xf numFmtId="0" fontId="2" fillId="3" borderId="16" xfId="0" applyNumberFormat="1" applyFont="1" applyFill="1" applyBorder="1" applyAlignment="1"/>
    <xf numFmtId="0" fontId="35" fillId="3" borderId="17" xfId="0" applyNumberFormat="1" applyFont="1" applyFill="1" applyBorder="1" applyAlignment="1"/>
    <xf numFmtId="0" fontId="35" fillId="3" borderId="17" xfId="0" applyNumberFormat="1" applyFont="1" applyFill="1" applyBorder="1" applyAlignment="1">
      <alignment horizontal="center" wrapText="1"/>
    </xf>
    <xf numFmtId="0" fontId="38" fillId="3" borderId="17" xfId="0" applyNumberFormat="1" applyFont="1" applyFill="1" applyBorder="1" applyAlignment="1"/>
    <xf numFmtId="0" fontId="35" fillId="3" borderId="18" xfId="0" applyNumberFormat="1" applyFont="1" applyFill="1" applyBorder="1" applyAlignment="1"/>
    <xf numFmtId="0" fontId="10" fillId="3" borderId="16" xfId="0" applyNumberFormat="1" applyFont="1" applyFill="1" applyBorder="1" applyAlignment="1"/>
    <xf numFmtId="0" fontId="41" fillId="3" borderId="17" xfId="0" applyNumberFormat="1" applyFont="1" applyFill="1" applyBorder="1" applyAlignment="1"/>
    <xf numFmtId="0" fontId="36" fillId="3" borderId="17" xfId="0" applyNumberFormat="1" applyFont="1" applyFill="1" applyBorder="1" applyAlignment="1">
      <alignment horizontal="center" wrapText="1"/>
    </xf>
    <xf numFmtId="0" fontId="37" fillId="3" borderId="16" xfId="0" applyNumberFormat="1" applyFont="1" applyFill="1" applyBorder="1" applyAlignment="1"/>
    <xf numFmtId="0" fontId="37" fillId="3" borderId="17" xfId="0" applyNumberFormat="1" applyFont="1" applyFill="1" applyBorder="1" applyAlignment="1"/>
    <xf numFmtId="0" fontId="35" fillId="3" borderId="16" xfId="0" applyNumberFormat="1" applyFont="1" applyFill="1" applyBorder="1" applyAlignment="1"/>
    <xf numFmtId="0" fontId="35" fillId="3" borderId="17" xfId="0" applyNumberFormat="1" applyFont="1" applyFill="1" applyBorder="1" applyAlignment="1">
      <alignment horizontal="center"/>
    </xf>
    <xf numFmtId="0" fontId="36" fillId="3" borderId="17" xfId="0" applyNumberFormat="1" applyFont="1" applyFill="1" applyBorder="1" applyAlignment="1"/>
    <xf numFmtId="164" fontId="35" fillId="3" borderId="17" xfId="0" applyNumberFormat="1" applyFont="1" applyFill="1" applyBorder="1" applyAlignment="1"/>
    <xf numFmtId="164" fontId="35" fillId="3" borderId="17" xfId="0" applyNumberFormat="1" applyFont="1" applyFill="1" applyBorder="1" applyAlignment="1">
      <alignment horizontal="center"/>
    </xf>
    <xf numFmtId="164" fontId="38" fillId="3" borderId="17" xfId="0" applyNumberFormat="1" applyFont="1" applyFill="1" applyBorder="1" applyAlignment="1"/>
    <xf numFmtId="3" fontId="35" fillId="3" borderId="18" xfId="0" applyNumberFormat="1" applyFont="1" applyFill="1" applyBorder="1" applyAlignment="1"/>
    <xf numFmtId="164" fontId="37" fillId="3" borderId="17" xfId="0" applyNumberFormat="1" applyFont="1" applyFill="1" applyBorder="1" applyAlignment="1"/>
    <xf numFmtId="169" fontId="35" fillId="3" borderId="17" xfId="0" applyNumberFormat="1" applyFont="1" applyFill="1" applyBorder="1" applyAlignment="1">
      <alignment horizontal="center"/>
    </xf>
    <xf numFmtId="168" fontId="35" fillId="3" borderId="17" xfId="0" applyNumberFormat="1" applyFont="1" applyFill="1" applyBorder="1" applyAlignment="1">
      <alignment horizontal="center"/>
    </xf>
    <xf numFmtId="164" fontId="37" fillId="3" borderId="17" xfId="0" applyNumberFormat="1" applyFont="1" applyFill="1" applyBorder="1" applyAlignment="1">
      <alignment horizontal="center"/>
    </xf>
    <xf numFmtId="164" fontId="39" fillId="3" borderId="17" xfId="0" applyNumberFormat="1" applyFont="1" applyFill="1" applyBorder="1" applyAlignment="1"/>
    <xf numFmtId="169" fontId="37" fillId="3" borderId="17" xfId="0" applyNumberFormat="1" applyFont="1" applyFill="1" applyBorder="1" applyAlignment="1">
      <alignment horizontal="center"/>
    </xf>
    <xf numFmtId="168" fontId="37" fillId="3" borderId="17" xfId="0" applyNumberFormat="1" applyFont="1" applyFill="1" applyBorder="1" applyAlignment="1">
      <alignment horizontal="center"/>
    </xf>
    <xf numFmtId="164" fontId="41" fillId="3" borderId="17" xfId="0" applyNumberFormat="1" applyFont="1" applyFill="1" applyBorder="1" applyAlignment="1">
      <alignment horizontal="center"/>
    </xf>
    <xf numFmtId="164" fontId="36" fillId="3" borderId="17" xfId="0" applyNumberFormat="1" applyFont="1" applyFill="1" applyBorder="1" applyAlignment="1"/>
    <xf numFmtId="4" fontId="36" fillId="3" borderId="17" xfId="0" applyNumberFormat="1" applyFont="1" applyFill="1" applyBorder="1" applyAlignment="1">
      <alignment horizontal="center"/>
    </xf>
    <xf numFmtId="164" fontId="36" fillId="3" borderId="17" xfId="0" applyNumberFormat="1" applyFont="1" applyFill="1" applyBorder="1" applyAlignment="1">
      <alignment horizontal="center"/>
    </xf>
    <xf numFmtId="0" fontId="19" fillId="3" borderId="17" xfId="0" applyNumberFormat="1" applyFont="1" applyFill="1" applyBorder="1" applyAlignment="1"/>
    <xf numFmtId="0" fontId="2" fillId="3" borderId="17" xfId="0" applyNumberFormat="1" applyFont="1" applyFill="1" applyBorder="1" applyAlignment="1"/>
    <xf numFmtId="170" fontId="19" fillId="3" borderId="17" xfId="0" applyNumberFormat="1" applyFont="1" applyFill="1" applyBorder="1" applyAlignment="1">
      <alignment horizontal="center"/>
    </xf>
    <xf numFmtId="0" fontId="2" fillId="3" borderId="17" xfId="0" applyNumberFormat="1" applyFont="1" applyFill="1" applyBorder="1" applyAlignment="1">
      <alignment horizontal="center"/>
    </xf>
    <xf numFmtId="0" fontId="1" fillId="3" borderId="17" xfId="0" applyNumberFormat="1" applyFont="1" applyFill="1" applyBorder="1" applyAlignment="1"/>
    <xf numFmtId="0" fontId="2" fillId="3" borderId="18" xfId="0" applyNumberFormat="1" applyFont="1" applyFill="1" applyBorder="1" applyAlignment="1"/>
    <xf numFmtId="10" fontId="2" fillId="3" borderId="17" xfId="0" applyNumberFormat="1" applyFont="1" applyFill="1" applyBorder="1" applyAlignment="1">
      <alignment horizontal="center"/>
    </xf>
    <xf numFmtId="165" fontId="2" fillId="3" borderId="17" xfId="0" applyNumberFormat="1" applyFont="1" applyFill="1" applyBorder="1" applyAlignment="1">
      <alignment horizontal="center"/>
    </xf>
    <xf numFmtId="10" fontId="35" fillId="3" borderId="17" xfId="0" applyNumberFormat="1" applyFont="1" applyFill="1" applyBorder="1" applyAlignment="1">
      <alignment horizontal="center"/>
    </xf>
    <xf numFmtId="165" fontId="35" fillId="3" borderId="17" xfId="0" applyNumberFormat="1" applyFont="1" applyFill="1" applyBorder="1" applyAlignment="1">
      <alignment horizontal="center"/>
    </xf>
    <xf numFmtId="167" fontId="35" fillId="3" borderId="17" xfId="0" applyNumberFormat="1" applyFont="1" applyFill="1" applyBorder="1" applyAlignment="1">
      <alignment horizontal="center"/>
    </xf>
    <xf numFmtId="0" fontId="41" fillId="3" borderId="17" xfId="0" applyNumberFormat="1" applyFont="1" applyFill="1" applyBorder="1" applyAlignment="1">
      <alignment horizontal="center"/>
    </xf>
    <xf numFmtId="0" fontId="35" fillId="3" borderId="17" xfId="0" applyNumberFormat="1" applyFont="1" applyFill="1" applyBorder="1" applyAlignment="1">
      <alignment horizontal="right"/>
    </xf>
    <xf numFmtId="165" fontId="35" fillId="3" borderId="17" xfId="0" applyNumberFormat="1" applyFont="1" applyFill="1" applyBorder="1" applyAlignment="1"/>
    <xf numFmtId="4" fontId="35" fillId="3" borderId="17" xfId="0" applyNumberFormat="1" applyFont="1" applyFill="1" applyBorder="1" applyAlignment="1">
      <alignment horizontal="center"/>
    </xf>
    <xf numFmtId="4" fontId="37" fillId="3" borderId="17" xfId="0" applyNumberFormat="1" applyFont="1" applyFill="1" applyBorder="1" applyAlignment="1">
      <alignment horizontal="center"/>
    </xf>
    <xf numFmtId="0" fontId="37" fillId="3" borderId="17" xfId="0" applyNumberFormat="1" applyFont="1" applyFill="1" applyBorder="1" applyAlignment="1">
      <alignment horizontal="center"/>
    </xf>
    <xf numFmtId="15" fontId="37" fillId="3" borderId="17" xfId="0" applyNumberFormat="1" applyFont="1" applyFill="1" applyBorder="1" applyAlignment="1">
      <alignment horizontal="center"/>
    </xf>
    <xf numFmtId="15" fontId="37" fillId="3" borderId="17" xfId="0" applyNumberFormat="1" applyFont="1" applyFill="1" applyBorder="1" applyAlignment="1" applyProtection="1">
      <alignment horizontal="center"/>
      <protection locked="0"/>
    </xf>
    <xf numFmtId="15" fontId="35" fillId="3" borderId="17" xfId="0" applyNumberFormat="1" applyFont="1" applyFill="1" applyBorder="1" applyAlignment="1"/>
    <xf numFmtId="15" fontId="35" fillId="3" borderId="17" xfId="0" applyNumberFormat="1" applyFont="1" applyFill="1" applyBorder="1" applyAlignment="1" applyProtection="1">
      <alignment horizontal="center"/>
      <protection locked="0"/>
    </xf>
    <xf numFmtId="15" fontId="35" fillId="3" borderId="17" xfId="0" applyNumberFormat="1" applyFont="1" applyFill="1" applyBorder="1" applyAlignment="1">
      <alignment horizontal="center"/>
    </xf>
    <xf numFmtId="3" fontId="2" fillId="3" borderId="0" xfId="0" applyNumberFormat="1" applyFont="1" applyFill="1" applyBorder="1" applyAlignment="1"/>
    <xf numFmtId="3" fontId="13" fillId="3" borderId="0" xfId="0" applyNumberFormat="1" applyFont="1" applyFill="1" applyBorder="1" applyAlignment="1"/>
    <xf numFmtId="3" fontId="35" fillId="3" borderId="17" xfId="0" applyNumberFormat="1" applyFont="1" applyFill="1" applyBorder="1" applyAlignment="1"/>
    <xf numFmtId="3" fontId="35" fillId="3" borderId="17" xfId="0" applyNumberFormat="1" applyFont="1" applyFill="1" applyBorder="1" applyAlignment="1" applyProtection="1">
      <alignment horizontal="right"/>
      <protection locked="0"/>
    </xf>
    <xf numFmtId="0" fontId="2" fillId="3" borderId="17" xfId="0" applyNumberFormat="1" applyFont="1" applyFill="1" applyBorder="1" applyAlignment="1">
      <alignment horizontal="right"/>
    </xf>
    <xf numFmtId="14" fontId="2" fillId="3" borderId="17" xfId="0" applyNumberFormat="1" applyFont="1" applyFill="1" applyBorder="1" applyAlignment="1">
      <alignment horizontal="right"/>
    </xf>
    <xf numFmtId="167" fontId="2" fillId="3" borderId="17" xfId="0" applyNumberFormat="1" applyFont="1" applyFill="1" applyBorder="1" applyAlignment="1">
      <alignment horizontal="right"/>
    </xf>
    <xf numFmtId="0" fontId="21" fillId="3" borderId="17" xfId="0" applyNumberFormat="1" applyFont="1" applyFill="1" applyBorder="1" applyAlignment="1"/>
    <xf numFmtId="4" fontId="35" fillId="3" borderId="17" xfId="0" applyNumberFormat="1" applyFont="1" applyFill="1" applyBorder="1" applyAlignment="1" applyProtection="1">
      <alignment horizontal="right"/>
      <protection locked="0"/>
    </xf>
    <xf numFmtId="4" fontId="2" fillId="3" borderId="0" xfId="0" applyNumberFormat="1" applyFont="1" applyFill="1" applyBorder="1" applyAlignment="1" applyProtection="1">
      <alignment horizontal="right"/>
      <protection locked="0"/>
    </xf>
    <xf numFmtId="3" fontId="13" fillId="3" borderId="17" xfId="0" applyNumberFormat="1" applyFont="1" applyFill="1" applyBorder="1" applyAlignment="1" applyProtection="1">
      <alignment horizontal="right"/>
      <protection locked="0"/>
    </xf>
    <xf numFmtId="0" fontId="35" fillId="3" borderId="0" xfId="0" applyNumberFormat="1" applyFont="1" applyFill="1" applyBorder="1" applyAlignment="1"/>
    <xf numFmtId="2" fontId="35" fillId="3" borderId="17" xfId="0" applyNumberFormat="1" applyFont="1" applyFill="1" applyBorder="1" applyAlignment="1" applyProtection="1">
      <alignment horizontal="right"/>
      <protection locked="0"/>
    </xf>
    <xf numFmtId="0" fontId="13" fillId="3" borderId="0" xfId="0" applyNumberFormat="1" applyFont="1" applyFill="1" applyBorder="1" applyAlignment="1"/>
    <xf numFmtId="0" fontId="2" fillId="3" borderId="0" xfId="0" applyNumberFormat="1" applyFont="1" applyFill="1" applyBorder="1" applyAlignment="1" applyProtection="1">
      <protection locked="0"/>
    </xf>
    <xf numFmtId="0" fontId="13" fillId="3" borderId="16" xfId="0" applyNumberFormat="1" applyFont="1" applyFill="1" applyBorder="1" applyAlignment="1"/>
    <xf numFmtId="15" fontId="37" fillId="3" borderId="17" xfId="0" applyNumberFormat="1" applyFont="1" applyFill="1" applyBorder="1" applyAlignment="1">
      <alignment horizontal="centerContinuous"/>
    </xf>
    <xf numFmtId="17" fontId="35" fillId="3" borderId="17" xfId="0" applyNumberFormat="1" applyFont="1" applyFill="1" applyBorder="1" applyAlignment="1">
      <alignment horizontal="center"/>
    </xf>
    <xf numFmtId="0" fontId="13" fillId="3" borderId="3" xfId="0" applyNumberFormat="1" applyFont="1" applyFill="1" applyBorder="1" applyAlignment="1">
      <alignment horizontal="right"/>
    </xf>
    <xf numFmtId="0" fontId="13" fillId="3" borderId="0" xfId="0" applyNumberFormat="1" applyFont="1" applyFill="1" applyBorder="1" applyAlignment="1">
      <alignment horizontal="right"/>
    </xf>
    <xf numFmtId="4" fontId="13" fillId="3" borderId="0" xfId="0" applyNumberFormat="1" applyFont="1" applyFill="1" applyBorder="1" applyAlignment="1">
      <alignment horizontal="right"/>
    </xf>
    <xf numFmtId="10" fontId="13" fillId="3" borderId="0" xfId="0" applyNumberFormat="1" applyFont="1" applyFill="1" applyBorder="1" applyAlignment="1" applyProtection="1">
      <alignment horizontal="center"/>
      <protection locked="0"/>
    </xf>
    <xf numFmtId="0" fontId="16" fillId="3" borderId="0" xfId="0" applyNumberFormat="1" applyFont="1" applyFill="1" applyBorder="1" applyAlignment="1"/>
    <xf numFmtId="0" fontId="13" fillId="3" borderId="16" xfId="0" applyNumberFormat="1" applyFont="1" applyFill="1" applyBorder="1" applyAlignment="1">
      <alignment horizontal="right"/>
    </xf>
    <xf numFmtId="3" fontId="35" fillId="3" borderId="17" xfId="0" applyNumberFormat="1" applyFont="1" applyFill="1" applyBorder="1" applyAlignment="1">
      <alignment horizontal="center"/>
    </xf>
    <xf numFmtId="3" fontId="35" fillId="3" borderId="17" xfId="0" applyNumberFormat="1" applyFont="1" applyFill="1" applyBorder="1" applyAlignment="1" applyProtection="1">
      <alignment horizontal="center"/>
      <protection locked="0"/>
    </xf>
    <xf numFmtId="0" fontId="35" fillId="3" borderId="17" xfId="0" applyNumberFormat="1" applyFont="1" applyFill="1" applyBorder="1" applyAlignment="1" applyProtection="1">
      <protection locked="0"/>
    </xf>
    <xf numFmtId="3" fontId="16" fillId="3" borderId="18" xfId="0" applyNumberFormat="1" applyFont="1" applyFill="1" applyBorder="1" applyAlignment="1"/>
    <xf numFmtId="3" fontId="13" fillId="3" borderId="17" xfId="0" applyNumberFormat="1" applyFont="1" applyFill="1" applyBorder="1" applyAlignment="1"/>
    <xf numFmtId="0" fontId="2" fillId="3" borderId="17" xfId="0" applyNumberFormat="1" applyFont="1" applyFill="1" applyBorder="1" applyAlignment="1" applyProtection="1">
      <protection locked="0"/>
    </xf>
    <xf numFmtId="0" fontId="13" fillId="3" borderId="16" xfId="0" applyNumberFormat="1" applyFont="1" applyFill="1" applyBorder="1" applyAlignment="1">
      <alignment horizontal="center"/>
    </xf>
    <xf numFmtId="0" fontId="13" fillId="3" borderId="17" xfId="0" applyNumberFormat="1" applyFont="1" applyFill="1" applyBorder="1" applyAlignment="1"/>
    <xf numFmtId="0" fontId="16" fillId="3" borderId="18" xfId="0" applyNumberFormat="1" applyFont="1" applyFill="1" applyBorder="1" applyAlignment="1"/>
    <xf numFmtId="0" fontId="13" fillId="3" borderId="17" xfId="0" applyNumberFormat="1" applyFont="1" applyFill="1" applyBorder="1" applyAlignment="1">
      <alignment horizontal="right"/>
    </xf>
    <xf numFmtId="4" fontId="13" fillId="3" borderId="17" xfId="0" applyNumberFormat="1" applyFont="1" applyFill="1" applyBorder="1" applyAlignment="1">
      <alignment horizontal="right"/>
    </xf>
    <xf numFmtId="4" fontId="35" fillId="3" borderId="17" xfId="0" applyNumberFormat="1" applyFont="1" applyFill="1" applyBorder="1" applyAlignment="1" applyProtection="1">
      <alignment horizontal="center"/>
      <protection locked="0"/>
    </xf>
    <xf numFmtId="10" fontId="35" fillId="3" borderId="17" xfId="0" applyNumberFormat="1" applyFont="1" applyFill="1" applyBorder="1" applyAlignment="1" applyProtection="1">
      <alignment horizontal="center"/>
      <protection locked="0"/>
    </xf>
    <xf numFmtId="10" fontId="13" fillId="3" borderId="17" xfId="0" applyNumberFormat="1" applyFont="1" applyFill="1" applyBorder="1" applyAlignment="1" applyProtection="1">
      <alignment horizontal="center"/>
      <protection locked="0"/>
    </xf>
    <xf numFmtId="0" fontId="27" fillId="3" borderId="17" xfId="0" applyNumberFormat="1" applyFont="1" applyFill="1" applyBorder="1" applyAlignment="1"/>
    <xf numFmtId="10" fontId="28" fillId="3" borderId="17" xfId="1" applyNumberFormat="1" applyFont="1" applyFill="1" applyBorder="1" applyAlignment="1">
      <alignment horizontal="left"/>
      <protection locked="0"/>
    </xf>
    <xf numFmtId="9" fontId="2" fillId="3" borderId="0" xfId="0" applyNumberFormat="1" applyFont="1" applyFill="1" applyBorder="1" applyAlignment="1"/>
    <xf numFmtId="10" fontId="2" fillId="3" borderId="0" xfId="0" applyNumberFormat="1" applyFont="1" applyFill="1" applyBorder="1" applyAlignment="1"/>
    <xf numFmtId="3" fontId="13" fillId="3" borderId="0" xfId="0" applyNumberFormat="1" applyFont="1" applyFill="1" applyBorder="1" applyAlignment="1" applyProtection="1">
      <alignment horizontal="right"/>
      <protection locked="0"/>
    </xf>
    <xf numFmtId="166" fontId="35" fillId="3" borderId="17" xfId="0" applyNumberFormat="1" applyFont="1" applyFill="1" applyBorder="1" applyAlignment="1"/>
    <xf numFmtId="10" fontId="35" fillId="3" borderId="17" xfId="0" applyNumberFormat="1" applyFont="1" applyFill="1" applyBorder="1" applyAlignment="1"/>
    <xf numFmtId="0" fontId="37" fillId="3" borderId="18" xfId="0" applyNumberFormat="1" applyFont="1" applyFill="1" applyBorder="1" applyAlignment="1"/>
    <xf numFmtId="9" fontId="35" fillId="3" borderId="17" xfId="0" applyNumberFormat="1" applyFont="1" applyFill="1" applyBorder="1" applyAlignment="1"/>
    <xf numFmtId="9" fontId="35" fillId="3" borderId="0" xfId="0" applyNumberFormat="1" applyFont="1" applyFill="1" applyBorder="1" applyAlignment="1"/>
    <xf numFmtId="3" fontId="35" fillId="3" borderId="0" xfId="0" applyNumberFormat="1" applyFont="1" applyFill="1" applyBorder="1" applyAlignment="1" applyProtection="1">
      <alignment horizontal="right"/>
      <protection locked="0"/>
    </xf>
    <xf numFmtId="3" fontId="36" fillId="3" borderId="17" xfId="0" applyNumberFormat="1" applyFont="1" applyFill="1" applyBorder="1" applyAlignment="1"/>
    <xf numFmtId="3" fontId="37" fillId="3" borderId="17" xfId="0" applyNumberFormat="1" applyFont="1" applyFill="1" applyBorder="1" applyAlignment="1" applyProtection="1">
      <alignment horizontal="right"/>
      <protection locked="0"/>
    </xf>
    <xf numFmtId="3" fontId="35" fillId="3" borderId="0" xfId="0" applyNumberFormat="1" applyFont="1" applyFill="1" applyBorder="1" applyAlignment="1"/>
    <xf numFmtId="10" fontId="35" fillId="3" borderId="0" xfId="0" applyNumberFormat="1" applyFont="1" applyFill="1" applyBorder="1" applyAlignment="1"/>
    <xf numFmtId="0" fontId="36" fillId="3" borderId="0" xfId="0" applyNumberFormat="1" applyFont="1" applyFill="1" applyAlignment="1"/>
    <xf numFmtId="9" fontId="36" fillId="3" borderId="0" xfId="0" applyNumberFormat="1" applyFont="1" applyFill="1" applyAlignment="1">
      <alignment horizontal="center"/>
    </xf>
    <xf numFmtId="10" fontId="36" fillId="3" borderId="0" xfId="0" applyNumberFormat="1" applyFont="1" applyFill="1" applyAlignment="1">
      <alignment horizontal="center"/>
    </xf>
    <xf numFmtId="0" fontId="36" fillId="3" borderId="0" xfId="0" applyNumberFormat="1" applyFont="1" applyFill="1" applyAlignment="1">
      <alignment horizontal="center"/>
    </xf>
    <xf numFmtId="15" fontId="36" fillId="3" borderId="0" xfId="0" applyNumberFormat="1" applyFont="1" applyFill="1" applyAlignment="1">
      <alignment horizontal="center"/>
    </xf>
    <xf numFmtId="0" fontId="36" fillId="3" borderId="16" xfId="0" applyNumberFormat="1" applyFont="1" applyFill="1" applyBorder="1" applyAlignment="1"/>
    <xf numFmtId="169" fontId="36" fillId="3" borderId="17" xfId="0" applyNumberFormat="1" applyFont="1" applyFill="1" applyBorder="1" applyAlignment="1">
      <alignment horizontal="center"/>
    </xf>
    <xf numFmtId="168" fontId="36" fillId="3" borderId="17" xfId="0" applyNumberFormat="1" applyFont="1" applyFill="1" applyBorder="1" applyAlignment="1">
      <alignment horizontal="center"/>
    </xf>
    <xf numFmtId="0" fontId="36" fillId="3" borderId="17" xfId="0" applyNumberFormat="1" applyFont="1" applyFill="1" applyBorder="1" applyAlignment="1">
      <alignment horizontal="center"/>
    </xf>
    <xf numFmtId="15" fontId="36" fillId="3" borderId="17" xfId="0" applyNumberFormat="1" applyFont="1" applyFill="1" applyBorder="1" applyAlignment="1">
      <alignment horizontal="center"/>
    </xf>
    <xf numFmtId="15" fontId="36" fillId="3" borderId="17" xfId="0" applyNumberFormat="1" applyFont="1" applyFill="1" applyBorder="1" applyAlignment="1" applyProtection="1">
      <alignment horizontal="center"/>
      <protection locked="0"/>
    </xf>
    <xf numFmtId="0" fontId="30" fillId="4" borderId="0" xfId="0" applyNumberFormat="1" applyFont="1" applyFill="1" applyAlignment="1"/>
    <xf numFmtId="0" fontId="30" fillId="4" borderId="0" xfId="0" applyNumberFormat="1" applyFont="1" applyFill="1" applyAlignment="1">
      <alignment horizontal="center"/>
    </xf>
    <xf numFmtId="0" fontId="30" fillId="4" borderId="0" xfId="0" applyNumberFormat="1" applyFont="1" applyFill="1" applyAlignment="1">
      <alignment horizontal="right"/>
    </xf>
    <xf numFmtId="15" fontId="30" fillId="4" borderId="0" xfId="0" applyNumberFormat="1" applyFont="1" applyFill="1" applyAlignment="1">
      <alignment horizontal="right"/>
    </xf>
    <xf numFmtId="0" fontId="30" fillId="4" borderId="2" xfId="0" applyNumberFormat="1" applyFont="1" applyFill="1" applyBorder="1" applyAlignment="1"/>
    <xf numFmtId="15" fontId="30" fillId="4" borderId="2" xfId="0" applyNumberFormat="1" applyFont="1" applyFill="1" applyBorder="1" applyAlignment="1">
      <alignment horizontal="centerContinuous"/>
    </xf>
    <xf numFmtId="15" fontId="30" fillId="4" borderId="2" xfId="0" applyNumberFormat="1" applyFont="1" applyFill="1" applyBorder="1" applyAlignment="1">
      <alignment horizontal="center"/>
    </xf>
    <xf numFmtId="15" fontId="36" fillId="3" borderId="17" xfId="0" applyNumberFormat="1" applyFont="1" applyFill="1" applyBorder="1" applyAlignment="1">
      <alignment horizontal="centerContinuous"/>
    </xf>
    <xf numFmtId="3" fontId="30" fillId="4" borderId="0" xfId="0" applyNumberFormat="1" applyFont="1" applyFill="1" applyAlignment="1">
      <alignment horizontal="center"/>
    </xf>
    <xf numFmtId="0" fontId="36" fillId="3" borderId="5" xfId="0" applyNumberFormat="1" applyFont="1" applyFill="1" applyBorder="1" applyAlignment="1"/>
    <xf numFmtId="0" fontId="36" fillId="3" borderId="18" xfId="0" applyNumberFormat="1" applyFont="1" applyFill="1" applyBorder="1" applyAlignment="1"/>
    <xf numFmtId="3" fontId="36" fillId="3" borderId="17" xfId="0" applyNumberFormat="1" applyFont="1" applyFill="1" applyBorder="1" applyAlignment="1" applyProtection="1">
      <alignment horizontal="right"/>
      <protection locked="0"/>
    </xf>
    <xf numFmtId="0" fontId="36" fillId="3" borderId="0" xfId="0" quotePrefix="1" applyNumberFormat="1" applyFont="1" applyFill="1" applyAlignment="1">
      <alignment horizontal="center"/>
    </xf>
    <xf numFmtId="0" fontId="35" fillId="3" borderId="19" xfId="0" applyNumberFormat="1" applyFont="1" applyFill="1" applyBorder="1" applyAlignment="1"/>
    <xf numFmtId="0" fontId="45" fillId="3" borderId="2" xfId="0" applyNumberFormat="1" applyFont="1" applyFill="1" applyBorder="1" applyAlignment="1"/>
    <xf numFmtId="0" fontId="46" fillId="3" borderId="0" xfId="0" applyNumberFormat="1" applyFont="1" applyFill="1" applyAlignment="1"/>
    <xf numFmtId="0" fontId="47" fillId="3" borderId="0" xfId="0" applyNumberFormat="1" applyFont="1" applyFill="1" applyAlignment="1"/>
    <xf numFmtId="0" fontId="48" fillId="3" borderId="3" xfId="0" applyNumberFormat="1" applyFont="1" applyFill="1" applyBorder="1" applyAlignment="1"/>
    <xf numFmtId="0" fontId="48" fillId="3" borderId="0" xfId="0" applyNumberFormat="1" applyFont="1" applyFill="1" applyAlignment="1"/>
    <xf numFmtId="0" fontId="49" fillId="3" borderId="0" xfId="0" applyNumberFormat="1" applyFont="1" applyFill="1" applyAlignment="1">
      <alignment horizontal="center" wrapText="1"/>
    </xf>
    <xf numFmtId="0" fontId="50" fillId="0" borderId="3" xfId="0" applyNumberFormat="1" applyFont="1" applyBorder="1"/>
    <xf numFmtId="0" fontId="50" fillId="0" borderId="0" xfId="0" applyNumberFormat="1" applyFont="1" applyAlignment="1"/>
    <xf numFmtId="9" fontId="47" fillId="3" borderId="0" xfId="0" applyNumberFormat="1" applyFont="1" applyFill="1" applyAlignment="1">
      <alignment horizontal="center"/>
    </xf>
    <xf numFmtId="10" fontId="47" fillId="3" borderId="0" xfId="0" applyNumberFormat="1" applyFont="1" applyFill="1" applyAlignment="1">
      <alignment horizontal="center"/>
    </xf>
    <xf numFmtId="0" fontId="47" fillId="3" borderId="0" xfId="0" applyNumberFormat="1" applyFont="1" applyFill="1" applyAlignment="1">
      <alignment horizontal="center"/>
    </xf>
    <xf numFmtId="15" fontId="47" fillId="3" borderId="0" xfId="0" applyNumberFormat="1" applyFont="1" applyFill="1" applyAlignment="1">
      <alignment horizontal="center"/>
    </xf>
    <xf numFmtId="0" fontId="48" fillId="3" borderId="0" xfId="0" applyNumberFormat="1" applyFont="1" applyFill="1" applyAlignment="1">
      <alignment horizontal="center"/>
    </xf>
    <xf numFmtId="0" fontId="49" fillId="3" borderId="0" xfId="0" applyNumberFormat="1" applyFont="1" applyFill="1" applyAlignment="1"/>
    <xf numFmtId="0" fontId="50" fillId="3" borderId="0" xfId="0" applyNumberFormat="1" applyFont="1" applyFill="1" applyAlignment="1"/>
    <xf numFmtId="0" fontId="48" fillId="3" borderId="16" xfId="0" applyNumberFormat="1" applyFont="1" applyFill="1" applyBorder="1" applyAlignment="1"/>
    <xf numFmtId="0" fontId="48" fillId="3" borderId="17" xfId="0" applyNumberFormat="1" applyFont="1" applyFill="1" applyBorder="1" applyAlignment="1"/>
    <xf numFmtId="0" fontId="48" fillId="3" borderId="17" xfId="0" applyNumberFormat="1" applyFont="1" applyFill="1" applyBorder="1" applyAlignment="1">
      <alignment horizontal="center" wrapText="1"/>
    </xf>
    <xf numFmtId="0" fontId="50" fillId="3" borderId="17" xfId="0" applyNumberFormat="1" applyFont="1" applyFill="1" applyBorder="1" applyAlignment="1"/>
    <xf numFmtId="0" fontId="48" fillId="3" borderId="18" xfId="0" applyNumberFormat="1" applyFont="1" applyFill="1" applyBorder="1" applyAlignment="1"/>
    <xf numFmtId="0" fontId="47" fillId="3" borderId="16" xfId="0" applyNumberFormat="1" applyFont="1" applyFill="1" applyBorder="1" applyAlignment="1"/>
    <xf numFmtId="0" fontId="47" fillId="3" borderId="17" xfId="0" applyNumberFormat="1" applyFont="1" applyFill="1" applyBorder="1" applyAlignment="1">
      <alignment horizontal="center" wrapText="1"/>
    </xf>
    <xf numFmtId="0" fontId="47" fillId="3" borderId="17" xfId="0" applyNumberFormat="1" applyFont="1" applyFill="1" applyBorder="1" applyAlignment="1"/>
    <xf numFmtId="0" fontId="48" fillId="3" borderId="17" xfId="0" applyNumberFormat="1" applyFont="1" applyFill="1" applyBorder="1" applyAlignment="1">
      <alignment horizontal="center"/>
    </xf>
    <xf numFmtId="164" fontId="48" fillId="3" borderId="17" xfId="0" applyNumberFormat="1" applyFont="1" applyFill="1" applyBorder="1" applyAlignment="1"/>
    <xf numFmtId="164" fontId="48" fillId="3" borderId="17" xfId="0" applyNumberFormat="1" applyFont="1" applyFill="1" applyBorder="1" applyAlignment="1">
      <alignment horizontal="center"/>
    </xf>
    <xf numFmtId="164" fontId="50" fillId="3" borderId="17" xfId="0" applyNumberFormat="1" applyFont="1" applyFill="1" applyBorder="1" applyAlignment="1"/>
    <xf numFmtId="3" fontId="48" fillId="3" borderId="18" xfId="0" applyNumberFormat="1" applyFont="1" applyFill="1" applyBorder="1" applyAlignment="1"/>
    <xf numFmtId="164" fontId="47" fillId="3" borderId="17" xfId="0" applyNumberFormat="1" applyFont="1" applyFill="1" applyBorder="1" applyAlignment="1"/>
    <xf numFmtId="169" fontId="48" fillId="3" borderId="17" xfId="0" applyNumberFormat="1" applyFont="1" applyFill="1" applyBorder="1" applyAlignment="1">
      <alignment horizontal="center"/>
    </xf>
    <xf numFmtId="168" fontId="48" fillId="3" borderId="17" xfId="0" applyNumberFormat="1" applyFont="1" applyFill="1" applyBorder="1" applyAlignment="1">
      <alignment horizontal="center"/>
    </xf>
    <xf numFmtId="164" fontId="47" fillId="3" borderId="17" xfId="0" applyNumberFormat="1" applyFont="1" applyFill="1" applyBorder="1" applyAlignment="1">
      <alignment horizontal="center"/>
    </xf>
    <xf numFmtId="164" fontId="51" fillId="3" borderId="17" xfId="0" applyNumberFormat="1" applyFont="1" applyFill="1" applyBorder="1" applyAlignment="1"/>
    <xf numFmtId="169" fontId="47" fillId="3" borderId="17" xfId="0" applyNumberFormat="1" applyFont="1" applyFill="1" applyBorder="1" applyAlignment="1">
      <alignment horizontal="center"/>
    </xf>
    <xf numFmtId="168" fontId="47" fillId="3" borderId="17" xfId="0" applyNumberFormat="1" applyFont="1" applyFill="1" applyBorder="1" applyAlignment="1">
      <alignment horizontal="center"/>
    </xf>
    <xf numFmtId="4" fontId="47" fillId="3" borderId="17" xfId="0" applyNumberFormat="1" applyFont="1" applyFill="1" applyBorder="1" applyAlignment="1">
      <alignment horizontal="center"/>
    </xf>
    <xf numFmtId="10" fontId="48" fillId="3" borderId="17" xfId="0" applyNumberFormat="1" applyFont="1" applyFill="1" applyBorder="1" applyAlignment="1">
      <alignment horizontal="center"/>
    </xf>
    <xf numFmtId="165" fontId="48" fillId="3" borderId="17" xfId="0" applyNumberFormat="1" applyFont="1" applyFill="1" applyBorder="1" applyAlignment="1">
      <alignment horizontal="center"/>
    </xf>
    <xf numFmtId="167" fontId="48" fillId="3" borderId="17" xfId="0" applyNumberFormat="1" applyFont="1" applyFill="1" applyBorder="1" applyAlignment="1">
      <alignment horizontal="center"/>
    </xf>
    <xf numFmtId="0" fontId="48" fillId="3" borderId="17" xfId="0" applyNumberFormat="1" applyFont="1" applyFill="1" applyBorder="1" applyAlignment="1">
      <alignment horizontal="right"/>
    </xf>
    <xf numFmtId="165" fontId="48" fillId="3" borderId="17" xfId="0" applyNumberFormat="1" applyFont="1" applyFill="1" applyBorder="1" applyAlignment="1"/>
    <xf numFmtId="4" fontId="48" fillId="3" borderId="17" xfId="0" applyNumberFormat="1" applyFont="1" applyFill="1" applyBorder="1" applyAlignment="1">
      <alignment horizontal="center"/>
    </xf>
    <xf numFmtId="0" fontId="47" fillId="3" borderId="17" xfId="0" applyNumberFormat="1" applyFont="1" applyFill="1" applyBorder="1" applyAlignment="1">
      <alignment horizontal="center"/>
    </xf>
    <xf numFmtId="15" fontId="47" fillId="3" borderId="17" xfId="0" applyNumberFormat="1" applyFont="1" applyFill="1" applyBorder="1" applyAlignment="1">
      <alignment horizontal="center"/>
    </xf>
    <xf numFmtId="15" fontId="47" fillId="3" borderId="17" xfId="0" applyNumberFormat="1" applyFont="1" applyFill="1" applyBorder="1" applyAlignment="1" applyProtection="1">
      <alignment horizontal="center"/>
      <protection locked="0"/>
    </xf>
    <xf numFmtId="15" fontId="48" fillId="3" borderId="17" xfId="0" applyNumberFormat="1" applyFont="1" applyFill="1" applyBorder="1" applyAlignment="1"/>
    <xf numFmtId="15" fontId="48" fillId="3" borderId="17" xfId="0" applyNumberFormat="1" applyFont="1" applyFill="1" applyBorder="1" applyAlignment="1" applyProtection="1">
      <alignment horizontal="center"/>
      <protection locked="0"/>
    </xf>
    <xf numFmtId="15" fontId="48" fillId="3" borderId="17" xfId="0" applyNumberFormat="1" applyFont="1" applyFill="1" applyBorder="1" applyAlignment="1">
      <alignment horizontal="center"/>
    </xf>
    <xf numFmtId="0" fontId="48" fillId="0" borderId="0" xfId="0" applyNumberFormat="1" applyFont="1" applyFill="1" applyBorder="1" applyAlignment="1"/>
    <xf numFmtId="0" fontId="48" fillId="3" borderId="0" xfId="0" applyNumberFormat="1" applyFont="1" applyFill="1" applyBorder="1" applyAlignment="1"/>
    <xf numFmtId="15" fontId="48" fillId="3" borderId="0" xfId="0" applyNumberFormat="1" applyFont="1" applyFill="1" applyBorder="1" applyAlignment="1" applyProtection="1">
      <alignment horizontal="center"/>
      <protection locked="0"/>
    </xf>
    <xf numFmtId="15" fontId="48" fillId="3" borderId="0" xfId="0" applyNumberFormat="1" applyFont="1" applyFill="1" applyBorder="1" applyAlignment="1">
      <alignment horizontal="center"/>
    </xf>
    <xf numFmtId="15" fontId="48" fillId="3" borderId="0" xfId="0" applyNumberFormat="1" applyFont="1" applyFill="1" applyAlignment="1" applyProtection="1">
      <alignment horizontal="center"/>
      <protection locked="0"/>
    </xf>
    <xf numFmtId="15" fontId="48" fillId="3" borderId="0" xfId="0" applyNumberFormat="1" applyFont="1" applyFill="1" applyAlignment="1">
      <alignment horizontal="center"/>
    </xf>
    <xf numFmtId="0" fontId="48" fillId="3" borderId="6" xfId="0" applyNumberFormat="1" applyFont="1" applyFill="1" applyBorder="1" applyAlignment="1"/>
    <xf numFmtId="0" fontId="52" fillId="3" borderId="7" xfId="0" applyNumberFormat="1" applyFont="1" applyFill="1" applyBorder="1" applyAlignment="1"/>
    <xf numFmtId="0" fontId="48" fillId="3" borderId="7" xfId="0" applyNumberFormat="1" applyFont="1" applyFill="1" applyBorder="1" applyAlignment="1"/>
    <xf numFmtId="0" fontId="48" fillId="3" borderId="7" xfId="0" applyNumberFormat="1" applyFont="1" applyFill="1" applyBorder="1" applyAlignment="1" applyProtection="1">
      <alignment horizontal="right"/>
      <protection locked="0"/>
    </xf>
    <xf numFmtId="0" fontId="48" fillId="3" borderId="8" xfId="0" applyNumberFormat="1" applyFont="1" applyFill="1" applyBorder="1" applyAlignment="1"/>
    <xf numFmtId="3" fontId="48" fillId="3" borderId="17" xfId="0" applyNumberFormat="1" applyFont="1" applyFill="1" applyBorder="1" applyAlignment="1"/>
    <xf numFmtId="3" fontId="48" fillId="3" borderId="17" xfId="0" applyNumberFormat="1" applyFont="1" applyFill="1" applyBorder="1" applyAlignment="1" applyProtection="1">
      <alignment horizontal="right"/>
      <protection locked="0"/>
    </xf>
    <xf numFmtId="14" fontId="48" fillId="3" borderId="17" xfId="0" applyNumberFormat="1" applyFont="1" applyFill="1" applyBorder="1" applyAlignment="1">
      <alignment horizontal="right"/>
    </xf>
    <xf numFmtId="167" fontId="48" fillId="3" borderId="17" xfId="0" applyNumberFormat="1" applyFont="1" applyFill="1" applyBorder="1" applyAlignment="1">
      <alignment horizontal="right"/>
    </xf>
    <xf numFmtId="0" fontId="48" fillId="3" borderId="19" xfId="0" applyNumberFormat="1" applyFont="1" applyFill="1" applyBorder="1" applyAlignment="1"/>
    <xf numFmtId="3" fontId="50" fillId="0" borderId="0" xfId="0" applyNumberFormat="1" applyFont="1" applyAlignment="1"/>
    <xf numFmtId="3" fontId="48" fillId="3" borderId="0" xfId="0" applyNumberFormat="1" applyFont="1" applyFill="1" applyBorder="1" applyAlignment="1"/>
    <xf numFmtId="4" fontId="48" fillId="3" borderId="0" xfId="0" applyNumberFormat="1" applyFont="1" applyFill="1" applyAlignment="1" applyProtection="1">
      <alignment horizontal="right"/>
      <protection locked="0"/>
    </xf>
    <xf numFmtId="4" fontId="48" fillId="3" borderId="7" xfId="0" applyNumberFormat="1" applyFont="1" applyFill="1" applyBorder="1" applyAlignment="1" applyProtection="1">
      <alignment horizontal="right"/>
      <protection locked="0"/>
    </xf>
    <xf numFmtId="4" fontId="48" fillId="3" borderId="17" xfId="0" applyNumberFormat="1" applyFont="1" applyFill="1" applyBorder="1" applyAlignment="1" applyProtection="1">
      <alignment horizontal="right"/>
      <protection locked="0"/>
    </xf>
    <xf numFmtId="0" fontId="50" fillId="0" borderId="13" xfId="0" applyNumberFormat="1" applyFont="1" applyBorder="1" applyAlignment="1"/>
    <xf numFmtId="2" fontId="48" fillId="3" borderId="17" xfId="0" applyNumberFormat="1" applyFont="1" applyFill="1" applyBorder="1" applyAlignment="1" applyProtection="1">
      <alignment horizontal="right"/>
      <protection locked="0"/>
    </xf>
    <xf numFmtId="0" fontId="50" fillId="3" borderId="7" xfId="0" applyNumberFormat="1" applyFont="1" applyFill="1" applyBorder="1" applyAlignment="1"/>
    <xf numFmtId="0" fontId="50" fillId="3" borderId="8" xfId="0" applyNumberFormat="1" applyFont="1" applyFill="1" applyBorder="1" applyAlignment="1"/>
    <xf numFmtId="15" fontId="47" fillId="3" borderId="17" xfId="0" applyNumberFormat="1" applyFont="1" applyFill="1" applyBorder="1" applyAlignment="1">
      <alignment horizontal="centerContinuous"/>
    </xf>
    <xf numFmtId="17" fontId="48" fillId="3" borderId="17" xfId="0" applyNumberFormat="1" applyFont="1" applyFill="1" applyBorder="1" applyAlignment="1">
      <alignment horizontal="center"/>
    </xf>
    <xf numFmtId="0" fontId="48" fillId="3" borderId="16" xfId="0" applyNumberFormat="1" applyFont="1" applyFill="1" applyBorder="1" applyAlignment="1">
      <alignment horizontal="right"/>
    </xf>
    <xf numFmtId="3" fontId="48" fillId="3" borderId="17" xfId="0" applyNumberFormat="1" applyFont="1" applyFill="1" applyBorder="1" applyAlignment="1">
      <alignment horizontal="center"/>
    </xf>
    <xf numFmtId="3" fontId="48" fillId="3" borderId="17" xfId="0" applyNumberFormat="1" applyFont="1" applyFill="1" applyBorder="1" applyAlignment="1" applyProtection="1">
      <alignment horizontal="center"/>
      <protection locked="0"/>
    </xf>
    <xf numFmtId="0" fontId="48" fillId="3" borderId="17" xfId="0" applyNumberFormat="1" applyFont="1" applyFill="1" applyBorder="1" applyAlignment="1" applyProtection="1">
      <protection locked="0"/>
    </xf>
    <xf numFmtId="3" fontId="47" fillId="3" borderId="18" xfId="0" applyNumberFormat="1" applyFont="1" applyFill="1" applyBorder="1" applyAlignment="1"/>
    <xf numFmtId="0" fontId="48" fillId="3" borderId="16" xfId="0" applyNumberFormat="1" applyFont="1" applyFill="1" applyBorder="1" applyAlignment="1">
      <alignment horizontal="center"/>
    </xf>
    <xf numFmtId="0" fontId="47" fillId="3" borderId="18" xfId="0" applyNumberFormat="1" applyFont="1" applyFill="1" applyBorder="1" applyAlignment="1"/>
    <xf numFmtId="4" fontId="48" fillId="3" borderId="17" xfId="0" applyNumberFormat="1" applyFont="1" applyFill="1" applyBorder="1" applyAlignment="1">
      <alignment horizontal="right"/>
    </xf>
    <xf numFmtId="4" fontId="48" fillId="3" borderId="17" xfId="0" applyNumberFormat="1" applyFont="1" applyFill="1" applyBorder="1" applyAlignment="1" applyProtection="1">
      <alignment horizontal="center"/>
      <protection locked="0"/>
    </xf>
    <xf numFmtId="166" fontId="48" fillId="3" borderId="17" xfId="0" applyNumberFormat="1" applyFont="1" applyFill="1" applyBorder="1" applyAlignment="1"/>
    <xf numFmtId="10" fontId="48" fillId="3" borderId="17" xfId="0" applyNumberFormat="1" applyFont="1" applyFill="1" applyBorder="1" applyAlignment="1"/>
    <xf numFmtId="3" fontId="48" fillId="3" borderId="0" xfId="0" applyNumberFormat="1" applyFont="1" applyFill="1" applyBorder="1" applyAlignment="1" applyProtection="1">
      <alignment horizontal="right"/>
      <protection locked="0"/>
    </xf>
    <xf numFmtId="10" fontId="48" fillId="3" borderId="0" xfId="0" applyNumberFormat="1" applyFont="1" applyFill="1" applyBorder="1" applyAlignment="1"/>
    <xf numFmtId="9" fontId="48" fillId="3" borderId="17" xfId="0" applyNumberFormat="1" applyFont="1" applyFill="1" applyBorder="1" applyAlignment="1"/>
    <xf numFmtId="3" fontId="47" fillId="3" borderId="17" xfId="0" applyNumberFormat="1" applyFont="1" applyFill="1" applyBorder="1" applyAlignment="1"/>
    <xf numFmtId="3" fontId="47" fillId="3" borderId="17" xfId="0" applyNumberFormat="1" applyFont="1" applyFill="1" applyBorder="1" applyAlignment="1" applyProtection="1">
      <alignment horizontal="right"/>
      <protection locked="0"/>
    </xf>
    <xf numFmtId="9" fontId="48" fillId="3" borderId="0" xfId="0" applyNumberFormat="1" applyFont="1" applyFill="1" applyBorder="1" applyAlignment="1"/>
    <xf numFmtId="9" fontId="48" fillId="3" borderId="0" xfId="0" applyNumberFormat="1" applyFont="1" applyFill="1" applyAlignment="1"/>
    <xf numFmtId="3" fontId="48" fillId="3" borderId="0" xfId="0" applyNumberFormat="1" applyFont="1" applyFill="1" applyAlignment="1" applyProtection="1">
      <alignment horizontal="right"/>
      <protection locked="0"/>
    </xf>
    <xf numFmtId="0" fontId="50" fillId="3" borderId="3" xfId="0" applyNumberFormat="1" applyFont="1" applyFill="1" applyBorder="1" applyAlignment="1"/>
    <xf numFmtId="0" fontId="47" fillId="3" borderId="0" xfId="0" quotePrefix="1" applyNumberFormat="1" applyFont="1" applyFill="1" applyAlignment="1">
      <alignment horizontal="center"/>
    </xf>
    <xf numFmtId="0" fontId="51" fillId="3" borderId="0" xfId="0" applyNumberFormat="1" applyFont="1" applyFill="1" applyAlignment="1"/>
    <xf numFmtId="0" fontId="52" fillId="3" borderId="0" xfId="0" applyNumberFormat="1" applyFont="1" applyFill="1" applyAlignment="1"/>
    <xf numFmtId="0" fontId="53" fillId="3" borderId="0" xfId="0" applyNumberFormat="1" applyFont="1" applyFill="1" applyAlignment="1"/>
    <xf numFmtId="0" fontId="54" fillId="3" borderId="0" xfId="0" applyNumberFormat="1" applyFont="1" applyFill="1" applyAlignment="1"/>
    <xf numFmtId="0" fontId="55" fillId="5" borderId="0" xfId="1" applyNumberFormat="1" applyFont="1" applyFill="1" applyAlignment="1" applyProtection="1"/>
    <xf numFmtId="0" fontId="56" fillId="3" borderId="16" xfId="0" applyNumberFormat="1" applyFont="1" applyFill="1" applyBorder="1" applyAlignment="1"/>
    <xf numFmtId="0" fontId="53" fillId="3" borderId="17" xfId="0" applyNumberFormat="1" applyFont="1" applyFill="1" applyBorder="1" applyAlignment="1"/>
    <xf numFmtId="0" fontId="56" fillId="3" borderId="17" xfId="0" applyNumberFormat="1" applyFont="1" applyFill="1" applyBorder="1" applyAlignment="1"/>
    <xf numFmtId="170" fontId="53" fillId="3" borderId="17" xfId="0" applyNumberFormat="1" applyFont="1" applyFill="1" applyBorder="1" applyAlignment="1">
      <alignment horizontal="center"/>
    </xf>
    <xf numFmtId="0" fontId="56" fillId="3" borderId="17" xfId="0" applyNumberFormat="1" applyFont="1" applyFill="1" applyBorder="1" applyAlignment="1">
      <alignment horizontal="center"/>
    </xf>
    <xf numFmtId="0" fontId="57" fillId="3" borderId="17" xfId="0" applyNumberFormat="1" applyFont="1" applyFill="1" applyBorder="1" applyAlignment="1"/>
    <xf numFmtId="0" fontId="56" fillId="3" borderId="18" xfId="0" applyNumberFormat="1" applyFont="1" applyFill="1" applyBorder="1" applyAlignment="1"/>
    <xf numFmtId="0" fontId="57" fillId="0" borderId="3" xfId="0" applyNumberFormat="1" applyFont="1" applyBorder="1"/>
    <xf numFmtId="0" fontId="57" fillId="0" borderId="0" xfId="0" applyNumberFormat="1" applyFont="1" applyAlignment="1"/>
    <xf numFmtId="10" fontId="56" fillId="3" borderId="17" xfId="0" applyNumberFormat="1" applyFont="1" applyFill="1" applyBorder="1" applyAlignment="1">
      <alignment horizontal="center"/>
    </xf>
    <xf numFmtId="165" fontId="56" fillId="3" borderId="17" xfId="0" applyNumberFormat="1" applyFont="1" applyFill="1" applyBorder="1" applyAlignment="1">
      <alignment horizontal="center"/>
    </xf>
    <xf numFmtId="0" fontId="56" fillId="3" borderId="3" xfId="0" applyNumberFormat="1" applyFont="1" applyFill="1" applyBorder="1" applyAlignment="1"/>
    <xf numFmtId="0" fontId="53" fillId="3" borderId="0" xfId="0" applyNumberFormat="1" applyFont="1" applyFill="1" applyAlignment="1">
      <alignment horizontal="left" vertical="top" wrapText="1"/>
    </xf>
    <xf numFmtId="0" fontId="53" fillId="3" borderId="0" xfId="0" applyNumberFormat="1" applyFont="1" applyFill="1" applyAlignment="1">
      <alignment horizontal="center" vertical="top" wrapText="1"/>
    </xf>
    <xf numFmtId="4" fontId="53" fillId="3" borderId="0" xfId="0" applyNumberFormat="1" applyFont="1" applyFill="1" applyAlignment="1" applyProtection="1">
      <alignment horizontal="center" vertical="top" wrapText="1"/>
      <protection locked="0"/>
    </xf>
    <xf numFmtId="0" fontId="56" fillId="3" borderId="0" xfId="0" applyNumberFormat="1" applyFont="1" applyFill="1" applyAlignment="1"/>
    <xf numFmtId="0" fontId="58" fillId="3" borderId="17" xfId="0" applyNumberFormat="1" applyFont="1" applyFill="1" applyBorder="1" applyAlignment="1"/>
    <xf numFmtId="0" fontId="58" fillId="3" borderId="0" xfId="0" applyNumberFormat="1" applyFont="1" applyFill="1" applyAlignment="1"/>
    <xf numFmtId="0" fontId="53" fillId="3" borderId="0" xfId="0" applyNumberFormat="1" applyFont="1" applyFill="1" applyAlignment="1">
      <alignment horizontal="right"/>
    </xf>
    <xf numFmtId="4" fontId="53" fillId="3" borderId="0" xfId="0" applyNumberFormat="1" applyFont="1" applyFill="1" applyAlignment="1" applyProtection="1">
      <alignment horizontal="right"/>
      <protection locked="0"/>
    </xf>
    <xf numFmtId="0" fontId="54" fillId="3" borderId="17" xfId="0" applyNumberFormat="1" applyFont="1" applyFill="1" applyBorder="1" applyAlignment="1"/>
    <xf numFmtId="0" fontId="59" fillId="5" borderId="17" xfId="1" applyNumberFormat="1" applyFont="1" applyFill="1" applyBorder="1" applyAlignment="1" applyProtection="1"/>
    <xf numFmtId="0" fontId="29" fillId="6" borderId="3" xfId="0" applyNumberFormat="1" applyFont="1" applyFill="1" applyBorder="1" applyAlignment="1"/>
    <xf numFmtId="0" fontId="29" fillId="6" borderId="0" xfId="0" applyNumberFormat="1" applyFont="1" applyFill="1" applyAlignment="1"/>
    <xf numFmtId="0" fontId="48" fillId="3" borderId="0" xfId="0" applyNumberFormat="1" applyFont="1" applyFill="1" applyBorder="1" applyAlignment="1">
      <alignment horizontal="center" wrapText="1"/>
    </xf>
    <xf numFmtId="0" fontId="50" fillId="3" borderId="0" xfId="0" applyNumberFormat="1" applyFont="1" applyFill="1" applyBorder="1" applyAlignment="1"/>
    <xf numFmtId="0" fontId="29" fillId="6" borderId="0" xfId="0" applyNumberFormat="1" applyFont="1" applyFill="1" applyBorder="1" applyAlignment="1"/>
    <xf numFmtId="0" fontId="30" fillId="6" borderId="0" xfId="0" applyNumberFormat="1" applyFont="1" applyFill="1" applyBorder="1" applyAlignment="1">
      <alignment horizontal="center" wrapText="1"/>
    </xf>
    <xf numFmtId="0" fontId="29" fillId="6" borderId="0" xfId="0" applyNumberFormat="1" applyFont="1" applyFill="1" applyBorder="1" applyAlignment="1">
      <alignment horizontal="center" wrapText="1"/>
    </xf>
    <xf numFmtId="0" fontId="32" fillId="6" borderId="0" xfId="0" applyNumberFormat="1" applyFont="1" applyFill="1" applyBorder="1" applyAlignment="1"/>
    <xf numFmtId="0" fontId="29" fillId="6" borderId="20" xfId="0" applyNumberFormat="1" applyFont="1" applyFill="1" applyBorder="1" applyAlignment="1"/>
    <xf numFmtId="0" fontId="33" fillId="6" borderId="0" xfId="0" applyNumberFormat="1" applyFont="1" applyFill="1" applyAlignment="1"/>
    <xf numFmtId="4" fontId="29" fillId="6" borderId="0" xfId="0" applyNumberFormat="1" applyFont="1" applyFill="1" applyAlignment="1" applyProtection="1">
      <alignment horizontal="right"/>
      <protection locked="0"/>
    </xf>
    <xf numFmtId="0" fontId="30" fillId="6" borderId="0" xfId="0" applyNumberFormat="1" applyFont="1" applyFill="1" applyBorder="1" applyAlignment="1"/>
    <xf numFmtId="0" fontId="30" fillId="6" borderId="0" xfId="0" applyNumberFormat="1" applyFont="1" applyFill="1" applyBorder="1" applyAlignment="1">
      <alignment horizontal="center"/>
    </xf>
    <xf numFmtId="0" fontId="30" fillId="6" borderId="0" xfId="0" applyNumberFormat="1" applyFont="1" applyFill="1" applyBorder="1" applyAlignment="1">
      <alignment horizontal="right"/>
    </xf>
    <xf numFmtId="15" fontId="30" fillId="6" borderId="0" xfId="0" applyNumberFormat="1" applyFont="1" applyFill="1" applyBorder="1" applyAlignment="1">
      <alignment horizontal="right"/>
    </xf>
    <xf numFmtId="0" fontId="29" fillId="6" borderId="1" xfId="0" applyNumberFormat="1" applyFont="1" applyFill="1" applyBorder="1" applyAlignment="1"/>
    <xf numFmtId="0" fontId="30" fillId="6" borderId="2" xfId="0" applyNumberFormat="1" applyFont="1" applyFill="1" applyBorder="1" applyAlignment="1"/>
    <xf numFmtId="0" fontId="29" fillId="6" borderId="2" xfId="0" applyNumberFormat="1" applyFont="1" applyFill="1" applyBorder="1" applyAlignment="1"/>
    <xf numFmtId="4" fontId="29" fillId="6" borderId="2" xfId="0" applyNumberFormat="1" applyFont="1" applyFill="1" applyBorder="1" applyAlignment="1" applyProtection="1">
      <alignment horizontal="right"/>
      <protection locked="0"/>
    </xf>
    <xf numFmtId="15" fontId="30" fillId="6" borderId="2" xfId="0" applyNumberFormat="1" applyFont="1" applyFill="1" applyBorder="1" applyAlignment="1">
      <alignment horizontal="centerContinuous"/>
    </xf>
    <xf numFmtId="15" fontId="30" fillId="6" borderId="2" xfId="0" applyNumberFormat="1" applyFont="1" applyFill="1" applyBorder="1" applyAlignment="1">
      <alignment horizontal="center"/>
    </xf>
    <xf numFmtId="0" fontId="29" fillId="6" borderId="3" xfId="0" applyNumberFormat="1" applyFont="1" applyFill="1" applyBorder="1" applyAlignment="1">
      <alignment horizontal="right"/>
    </xf>
    <xf numFmtId="0" fontId="48" fillId="3" borderId="3" xfId="0" applyNumberFormat="1" applyFont="1" applyFill="1" applyBorder="1" applyAlignment="1">
      <alignment horizontal="right"/>
    </xf>
    <xf numFmtId="0" fontId="48" fillId="3" borderId="0" xfId="0" applyNumberFormat="1" applyFont="1" applyFill="1" applyBorder="1" applyAlignment="1">
      <alignment horizontal="center"/>
    </xf>
    <xf numFmtId="3" fontId="48" fillId="3" borderId="0" xfId="0" applyNumberFormat="1" applyFont="1" applyFill="1" applyBorder="1" applyAlignment="1" applyProtection="1">
      <alignment horizontal="center"/>
      <protection locked="0"/>
    </xf>
    <xf numFmtId="0" fontId="48" fillId="3" borderId="0" xfId="0" applyNumberFormat="1" applyFont="1" applyFill="1" applyBorder="1" applyAlignment="1" applyProtection="1">
      <protection locked="0"/>
    </xf>
    <xf numFmtId="3" fontId="47" fillId="3" borderId="0" xfId="0" applyNumberFormat="1" applyFont="1" applyFill="1" applyBorder="1" applyAlignment="1"/>
    <xf numFmtId="3" fontId="30" fillId="6" borderId="0" xfId="0" applyNumberFormat="1" applyFont="1" applyFill="1" applyBorder="1" applyAlignment="1">
      <alignment horizontal="center"/>
    </xf>
    <xf numFmtId="166" fontId="48" fillId="3" borderId="0" xfId="0" applyNumberFormat="1" applyFont="1" applyFill="1" applyBorder="1" applyAlignment="1"/>
    <xf numFmtId="0" fontId="47" fillId="3" borderId="0" xfId="0" applyNumberFormat="1" applyFont="1" applyFill="1" applyBorder="1" applyAlignment="1"/>
    <xf numFmtId="0" fontId="30" fillId="6" borderId="20" xfId="0" applyNumberFormat="1" applyFont="1" applyFill="1" applyBorder="1" applyAlignment="1"/>
    <xf numFmtId="9" fontId="29" fillId="6" borderId="0" xfId="0" applyNumberFormat="1" applyFont="1" applyFill="1" applyBorder="1" applyAlignment="1"/>
    <xf numFmtId="0" fontId="60" fillId="3" borderId="7" xfId="0" applyNumberFormat="1" applyFont="1" applyFill="1" applyBorder="1" applyAlignment="1"/>
    <xf numFmtId="0" fontId="61" fillId="3" borderId="1" xfId="0" applyNumberFormat="1" applyFont="1" applyFill="1" applyBorder="1" applyAlignment="1"/>
    <xf numFmtId="0" fontId="62" fillId="3" borderId="2" xfId="0" applyNumberFormat="1" applyFont="1" applyFill="1" applyBorder="1" applyAlignment="1"/>
    <xf numFmtId="0" fontId="61" fillId="3" borderId="2" xfId="0" applyNumberFormat="1" applyFont="1" applyFill="1" applyBorder="1" applyAlignment="1"/>
    <xf numFmtId="0" fontId="61" fillId="0" borderId="3" xfId="0" applyNumberFormat="1" applyFont="1" applyBorder="1"/>
    <xf numFmtId="0" fontId="61" fillId="0" borderId="0" xfId="0" applyNumberFormat="1" applyFont="1" applyAlignment="1"/>
    <xf numFmtId="0" fontId="61" fillId="3" borderId="3" xfId="0" applyNumberFormat="1" applyFont="1" applyFill="1" applyBorder="1" applyAlignment="1"/>
    <xf numFmtId="0" fontId="63" fillId="3" borderId="0" xfId="0" applyNumberFormat="1" applyFont="1" applyFill="1" applyAlignment="1"/>
    <xf numFmtId="0" fontId="61" fillId="3" borderId="0" xfId="0" applyNumberFormat="1" applyFont="1" applyFill="1" applyAlignment="1"/>
    <xf numFmtId="0" fontId="61" fillId="3" borderId="3" xfId="0" applyNumberFormat="1" applyFont="1" applyFill="1" applyBorder="1" applyAlignment="1">
      <alignment horizontal="center"/>
    </xf>
    <xf numFmtId="0" fontId="64" fillId="3" borderId="0" xfId="0" applyNumberFormat="1" applyFont="1" applyFill="1" applyAlignment="1"/>
    <xf numFmtId="0" fontId="65" fillId="3" borderId="0" xfId="0" applyNumberFormat="1" applyFont="1" applyFill="1" applyAlignment="1"/>
    <xf numFmtId="0" fontId="66" fillId="3" borderId="0" xfId="0" applyNumberFormat="1" applyFont="1" applyFill="1" applyAlignment="1"/>
    <xf numFmtId="0" fontId="67" fillId="3" borderId="0" xfId="0" applyNumberFormat="1" applyFont="1" applyFill="1" applyAlignment="1"/>
    <xf numFmtId="0" fontId="68" fillId="3" borderId="0" xfId="1" applyNumberFormat="1" applyFont="1" applyFill="1" applyAlignment="1" applyProtection="1"/>
    <xf numFmtId="0" fontId="69" fillId="3" borderId="0" xfId="0" applyNumberFormat="1" applyFont="1" applyFill="1" applyAlignment="1"/>
    <xf numFmtId="0" fontId="70" fillId="3" borderId="0" xfId="0" applyNumberFormat="1" applyFont="1" applyFill="1" applyAlignment="1"/>
    <xf numFmtId="0" fontId="71" fillId="3" borderId="3" xfId="0" applyNumberFormat="1" applyFont="1" applyFill="1" applyBorder="1" applyAlignment="1"/>
    <xf numFmtId="0" fontId="71" fillId="3" borderId="0" xfId="0" applyNumberFormat="1" applyFont="1" applyFill="1" applyAlignment="1"/>
    <xf numFmtId="0" fontId="72" fillId="3" borderId="0" xfId="0" applyNumberFormat="1" applyFont="1" applyFill="1" applyAlignment="1">
      <alignment horizontal="center" wrapText="1"/>
    </xf>
    <xf numFmtId="0" fontId="71" fillId="0" borderId="3" xfId="0" applyNumberFormat="1" applyFont="1" applyBorder="1"/>
    <xf numFmtId="0" fontId="71" fillId="0" borderId="0" xfId="0" applyNumberFormat="1" applyFont="1" applyAlignment="1"/>
    <xf numFmtId="9" fontId="70" fillId="3" borderId="0" xfId="0" applyNumberFormat="1" applyFont="1" applyFill="1" applyAlignment="1">
      <alignment horizontal="center"/>
    </xf>
    <xf numFmtId="10" fontId="70" fillId="3" borderId="0" xfId="0" applyNumberFormat="1" applyFont="1" applyFill="1" applyAlignment="1">
      <alignment horizontal="center"/>
    </xf>
    <xf numFmtId="0" fontId="70" fillId="3" borderId="0" xfId="0" applyNumberFormat="1" applyFont="1" applyFill="1" applyAlignment="1">
      <alignment horizontal="center"/>
    </xf>
    <xf numFmtId="15" fontId="70" fillId="3" borderId="0" xfId="0" applyNumberFormat="1" applyFont="1" applyFill="1" applyAlignment="1">
      <alignment horizontal="center"/>
    </xf>
    <xf numFmtId="0" fontId="71" fillId="3" borderId="0" xfId="0" applyNumberFormat="1" applyFont="1" applyFill="1" applyAlignment="1">
      <alignment horizontal="center"/>
    </xf>
    <xf numFmtId="0" fontId="72" fillId="3" borderId="0" xfId="0" applyNumberFormat="1" applyFont="1" applyFill="1" applyAlignment="1"/>
    <xf numFmtId="0" fontId="61" fillId="3" borderId="0" xfId="0" applyNumberFormat="1" applyFont="1" applyFill="1" applyAlignment="1">
      <alignment horizontal="right"/>
    </xf>
    <xf numFmtId="0" fontId="73" fillId="6" borderId="3" xfId="0" applyNumberFormat="1" applyFont="1" applyFill="1" applyBorder="1" applyAlignment="1"/>
    <xf numFmtId="0" fontId="73" fillId="6" borderId="0" xfId="0" applyNumberFormat="1" applyFont="1" applyFill="1" applyBorder="1" applyAlignment="1"/>
    <xf numFmtId="0" fontId="74" fillId="6" borderId="0" xfId="0" applyNumberFormat="1" applyFont="1" applyFill="1" applyBorder="1" applyAlignment="1">
      <alignment horizontal="center" wrapText="1"/>
    </xf>
    <xf numFmtId="0" fontId="73" fillId="6" borderId="0" xfId="0" applyNumberFormat="1" applyFont="1" applyFill="1" applyBorder="1" applyAlignment="1">
      <alignment horizontal="center" wrapText="1"/>
    </xf>
    <xf numFmtId="0" fontId="73" fillId="6" borderId="20" xfId="0" applyNumberFormat="1" applyFont="1" applyFill="1" applyBorder="1" applyAlignment="1"/>
    <xf numFmtId="0" fontId="71" fillId="3" borderId="0" xfId="0" applyNumberFormat="1" applyFont="1" applyFill="1" applyBorder="1" applyAlignment="1"/>
    <xf numFmtId="0" fontId="71" fillId="3" borderId="0" xfId="0" applyNumberFormat="1" applyFont="1" applyFill="1" applyBorder="1" applyAlignment="1">
      <alignment horizontal="center" wrapText="1"/>
    </xf>
    <xf numFmtId="0" fontId="71" fillId="3" borderId="16" xfId="0" applyNumberFormat="1" applyFont="1" applyFill="1" applyBorder="1" applyAlignment="1"/>
    <xf numFmtId="0" fontId="71" fillId="3" borderId="17" xfId="0" applyNumberFormat="1" applyFont="1" applyFill="1" applyBorder="1" applyAlignment="1"/>
    <xf numFmtId="0" fontId="71" fillId="3" borderId="17" xfId="0" applyNumberFormat="1" applyFont="1" applyFill="1" applyBorder="1" applyAlignment="1">
      <alignment horizontal="center" wrapText="1"/>
    </xf>
    <xf numFmtId="0" fontId="71" fillId="3" borderId="18" xfId="0" applyNumberFormat="1" applyFont="1" applyFill="1" applyBorder="1" applyAlignment="1"/>
    <xf numFmtId="0" fontId="70" fillId="3" borderId="16" xfId="0" applyNumberFormat="1" applyFont="1" applyFill="1" applyBorder="1" applyAlignment="1"/>
    <xf numFmtId="0" fontId="70" fillId="3" borderId="17" xfId="0" applyNumberFormat="1" applyFont="1" applyFill="1" applyBorder="1" applyAlignment="1">
      <alignment horizontal="center" wrapText="1"/>
    </xf>
    <xf numFmtId="0" fontId="70" fillId="3" borderId="17" xfId="0" applyNumberFormat="1" applyFont="1" applyFill="1" applyBorder="1" applyAlignment="1"/>
    <xf numFmtId="0" fontId="71" fillId="3" borderId="17" xfId="0" applyNumberFormat="1" applyFont="1" applyFill="1" applyBorder="1" applyAlignment="1">
      <alignment horizontal="center"/>
    </xf>
    <xf numFmtId="164" fontId="71" fillId="3" borderId="17" xfId="0" applyNumberFormat="1" applyFont="1" applyFill="1" applyBorder="1" applyAlignment="1"/>
    <xf numFmtId="164" fontId="71" fillId="3" borderId="17" xfId="0" applyNumberFormat="1" applyFont="1" applyFill="1" applyBorder="1" applyAlignment="1">
      <alignment horizontal="center"/>
    </xf>
    <xf numFmtId="3" fontId="71" fillId="3" borderId="18" xfId="0" applyNumberFormat="1" applyFont="1" applyFill="1" applyBorder="1" applyAlignment="1"/>
    <xf numFmtId="164" fontId="70" fillId="3" borderId="17" xfId="0" applyNumberFormat="1" applyFont="1" applyFill="1" applyBorder="1" applyAlignment="1"/>
    <xf numFmtId="169" fontId="71" fillId="3" borderId="17" xfId="0" applyNumberFormat="1" applyFont="1" applyFill="1" applyBorder="1" applyAlignment="1">
      <alignment horizontal="center"/>
    </xf>
    <xf numFmtId="168" fontId="71" fillId="3" borderId="17" xfId="0" applyNumberFormat="1" applyFont="1" applyFill="1" applyBorder="1" applyAlignment="1">
      <alignment horizontal="center"/>
    </xf>
    <xf numFmtId="164" fontId="70" fillId="3" borderId="17" xfId="0" applyNumberFormat="1" applyFont="1" applyFill="1" applyBorder="1" applyAlignment="1">
      <alignment horizontal="center"/>
    </xf>
    <xf numFmtId="169" fontId="70" fillId="3" borderId="17" xfId="0" applyNumberFormat="1" applyFont="1" applyFill="1" applyBorder="1" applyAlignment="1">
      <alignment horizontal="center"/>
    </xf>
    <xf numFmtId="168" fontId="70" fillId="3" borderId="17" xfId="0" applyNumberFormat="1" applyFont="1" applyFill="1" applyBorder="1" applyAlignment="1">
      <alignment horizontal="center"/>
    </xf>
    <xf numFmtId="4" fontId="70" fillId="3" borderId="17" xfId="0" applyNumberFormat="1" applyFont="1" applyFill="1" applyBorder="1" applyAlignment="1">
      <alignment horizontal="center"/>
    </xf>
    <xf numFmtId="0" fontId="75" fillId="3" borderId="16" xfId="0" applyNumberFormat="1" applyFont="1" applyFill="1" applyBorder="1" applyAlignment="1"/>
    <xf numFmtId="0" fontId="64" fillId="3" borderId="17" xfId="0" applyNumberFormat="1" applyFont="1" applyFill="1" applyBorder="1" applyAlignment="1"/>
    <xf numFmtId="0" fontId="75" fillId="3" borderId="17" xfId="0" applyNumberFormat="1" applyFont="1" applyFill="1" applyBorder="1" applyAlignment="1"/>
    <xf numFmtId="170" fontId="64" fillId="3" borderId="17" xfId="0" applyNumberFormat="1" applyFont="1" applyFill="1" applyBorder="1" applyAlignment="1">
      <alignment horizontal="center"/>
    </xf>
    <xf numFmtId="0" fontId="75" fillId="3" borderId="17" xfId="0" applyNumberFormat="1" applyFont="1" applyFill="1" applyBorder="1" applyAlignment="1">
      <alignment horizontal="center"/>
    </xf>
    <xf numFmtId="0" fontId="75" fillId="3" borderId="18" xfId="0" applyNumberFormat="1" applyFont="1" applyFill="1" applyBorder="1" applyAlignment="1"/>
    <xf numFmtId="0" fontId="75" fillId="0" borderId="3" xfId="0" applyNumberFormat="1" applyFont="1" applyBorder="1"/>
    <xf numFmtId="0" fontId="75" fillId="0" borderId="0" xfId="0" applyNumberFormat="1" applyFont="1" applyAlignment="1"/>
    <xf numFmtId="10" fontId="75" fillId="3" borderId="17" xfId="0" applyNumberFormat="1" applyFont="1" applyFill="1" applyBorder="1" applyAlignment="1">
      <alignment horizontal="center"/>
    </xf>
    <xf numFmtId="165" fontId="75" fillId="3" borderId="17" xfId="0" applyNumberFormat="1" applyFont="1" applyFill="1" applyBorder="1" applyAlignment="1">
      <alignment horizontal="center"/>
    </xf>
    <xf numFmtId="165" fontId="71" fillId="3" borderId="17" xfId="0" applyNumberFormat="1" applyFont="1" applyFill="1" applyBorder="1" applyAlignment="1">
      <alignment horizontal="center"/>
    </xf>
    <xf numFmtId="10" fontId="71" fillId="3" borderId="17" xfId="0" applyNumberFormat="1" applyFont="1" applyFill="1" applyBorder="1" applyAlignment="1">
      <alignment horizontal="center"/>
    </xf>
    <xf numFmtId="167" fontId="71" fillId="3" borderId="17" xfId="0" applyNumberFormat="1" applyFont="1" applyFill="1" applyBorder="1" applyAlignment="1">
      <alignment horizontal="center"/>
    </xf>
    <xf numFmtId="0" fontId="71" fillId="3" borderId="17" xfId="0" applyNumberFormat="1" applyFont="1" applyFill="1" applyBorder="1" applyAlignment="1">
      <alignment horizontal="right"/>
    </xf>
    <xf numFmtId="165" fontId="71" fillId="3" borderId="17" xfId="0" applyNumberFormat="1" applyFont="1" applyFill="1" applyBorder="1" applyAlignment="1"/>
    <xf numFmtId="4" fontId="71" fillId="3" borderId="17" xfId="0" applyNumberFormat="1" applyFont="1" applyFill="1" applyBorder="1" applyAlignment="1">
      <alignment horizontal="center"/>
    </xf>
    <xf numFmtId="0" fontId="70" fillId="3" borderId="17" xfId="0" applyNumberFormat="1" applyFont="1" applyFill="1" applyBorder="1" applyAlignment="1">
      <alignment horizontal="center"/>
    </xf>
    <xf numFmtId="15" fontId="70" fillId="3" borderId="17" xfId="0" applyNumberFormat="1" applyFont="1" applyFill="1" applyBorder="1" applyAlignment="1">
      <alignment horizontal="center"/>
    </xf>
    <xf numFmtId="15" fontId="70" fillId="3" borderId="17" xfId="0" applyNumberFormat="1" applyFont="1" applyFill="1" applyBorder="1" applyAlignment="1" applyProtection="1">
      <alignment horizontal="center"/>
      <protection locked="0"/>
    </xf>
    <xf numFmtId="15" fontId="71" fillId="3" borderId="17" xfId="0" applyNumberFormat="1" applyFont="1" applyFill="1" applyBorder="1" applyAlignment="1"/>
    <xf numFmtId="15" fontId="71" fillId="3" borderId="17" xfId="0" applyNumberFormat="1" applyFont="1" applyFill="1" applyBorder="1" applyAlignment="1" applyProtection="1">
      <alignment horizontal="center"/>
      <protection locked="0"/>
    </xf>
    <xf numFmtId="15" fontId="71" fillId="3" borderId="17" xfId="0" applyNumberFormat="1" applyFont="1" applyFill="1" applyBorder="1" applyAlignment="1">
      <alignment horizontal="center"/>
    </xf>
    <xf numFmtId="0" fontId="71" fillId="0" borderId="0" xfId="0" applyNumberFormat="1" applyFont="1" applyFill="1" applyBorder="1" applyAlignment="1"/>
    <xf numFmtId="15" fontId="71" fillId="3" borderId="0" xfId="0" applyNumberFormat="1" applyFont="1" applyFill="1" applyBorder="1" applyAlignment="1" applyProtection="1">
      <alignment horizontal="center"/>
      <protection locked="0"/>
    </xf>
    <xf numFmtId="15" fontId="71" fillId="3" borderId="0" xfId="0" applyNumberFormat="1" applyFont="1" applyFill="1" applyBorder="1" applyAlignment="1">
      <alignment horizontal="center"/>
    </xf>
    <xf numFmtId="15" fontId="71" fillId="3" borderId="0" xfId="0" applyNumberFormat="1" applyFont="1" applyFill="1" applyAlignment="1" applyProtection="1">
      <alignment horizontal="center"/>
      <protection locked="0"/>
    </xf>
    <xf numFmtId="15" fontId="71" fillId="3" borderId="0" xfId="0" applyNumberFormat="1" applyFont="1" applyFill="1" applyAlignment="1">
      <alignment horizontal="center"/>
    </xf>
    <xf numFmtId="0" fontId="71" fillId="3" borderId="6" xfId="0" applyNumberFormat="1" applyFont="1" applyFill="1" applyBorder="1" applyAlignment="1"/>
    <xf numFmtId="0" fontId="71" fillId="3" borderId="7" xfId="0" applyNumberFormat="1" applyFont="1" applyFill="1" applyBorder="1" applyAlignment="1"/>
    <xf numFmtId="0" fontId="71" fillId="3" borderId="7" xfId="0" applyNumberFormat="1" applyFont="1" applyFill="1" applyBorder="1" applyAlignment="1" applyProtection="1">
      <alignment horizontal="right"/>
      <protection locked="0"/>
    </xf>
    <xf numFmtId="0" fontId="71" fillId="3" borderId="8" xfId="0" applyNumberFormat="1" applyFont="1" applyFill="1" applyBorder="1" applyAlignment="1"/>
    <xf numFmtId="0" fontId="76" fillId="6" borderId="0" xfId="0" applyNumberFormat="1" applyFont="1" applyFill="1" applyAlignment="1"/>
    <xf numFmtId="0" fontId="73" fillId="6" borderId="0" xfId="0" applyNumberFormat="1" applyFont="1" applyFill="1" applyAlignment="1"/>
    <xf numFmtId="4" fontId="73" fillId="6" borderId="0" xfId="0" applyNumberFormat="1" applyFont="1" applyFill="1" applyAlignment="1" applyProtection="1">
      <alignment horizontal="right"/>
      <protection locked="0"/>
    </xf>
    <xf numFmtId="4" fontId="61" fillId="3" borderId="0" xfId="0" applyNumberFormat="1" applyFont="1" applyFill="1" applyAlignment="1" applyProtection="1">
      <alignment horizontal="right"/>
      <protection locked="0"/>
    </xf>
    <xf numFmtId="0" fontId="75" fillId="3" borderId="3" xfId="0" applyNumberFormat="1" applyFont="1" applyFill="1" applyBorder="1" applyAlignment="1"/>
    <xf numFmtId="0" fontId="64" fillId="3" borderId="0" xfId="0" applyNumberFormat="1" applyFont="1" applyFill="1" applyAlignment="1">
      <alignment horizontal="left" vertical="top" wrapText="1"/>
    </xf>
    <xf numFmtId="0" fontId="64" fillId="3" borderId="0" xfId="0" applyNumberFormat="1" applyFont="1" applyFill="1" applyAlignment="1">
      <alignment horizontal="center" vertical="top" wrapText="1"/>
    </xf>
    <xf numFmtId="4" fontId="64" fillId="3" borderId="0" xfId="0" applyNumberFormat="1" applyFont="1" applyFill="1" applyAlignment="1" applyProtection="1">
      <alignment horizontal="center" vertical="top" wrapText="1"/>
      <protection locked="0"/>
    </xf>
    <xf numFmtId="0" fontId="75" fillId="3" borderId="0" xfId="0" applyNumberFormat="1" applyFont="1" applyFill="1" applyAlignment="1"/>
    <xf numFmtId="3" fontId="71" fillId="3" borderId="17" xfId="0" applyNumberFormat="1" applyFont="1" applyFill="1" applyBorder="1" applyAlignment="1"/>
    <xf numFmtId="3" fontId="71" fillId="3" borderId="17" xfId="0" applyNumberFormat="1" applyFont="1" applyFill="1" applyBorder="1" applyAlignment="1" applyProtection="1">
      <alignment horizontal="right"/>
      <protection locked="0"/>
    </xf>
    <xf numFmtId="0" fontId="61" fillId="3" borderId="0" xfId="0" applyNumberFormat="1" applyFont="1" applyFill="1" applyBorder="1" applyAlignment="1"/>
    <xf numFmtId="3" fontId="61" fillId="3" borderId="0" xfId="0" applyNumberFormat="1" applyFont="1" applyFill="1" applyBorder="1" applyAlignment="1"/>
    <xf numFmtId="3" fontId="77" fillId="3" borderId="0" xfId="0" applyNumberFormat="1" applyFont="1" applyFill="1" applyBorder="1" applyAlignment="1"/>
    <xf numFmtId="3" fontId="61" fillId="3" borderId="0" xfId="0" applyNumberFormat="1" applyFont="1" applyFill="1" applyAlignment="1"/>
    <xf numFmtId="3" fontId="77" fillId="3" borderId="0" xfId="0" applyNumberFormat="1" applyFont="1" applyFill="1" applyAlignment="1"/>
    <xf numFmtId="0" fontId="74" fillId="6" borderId="0" xfId="0" applyNumberFormat="1" applyFont="1" applyFill="1" applyBorder="1" applyAlignment="1"/>
    <xf numFmtId="0" fontId="74" fillId="6" borderId="0" xfId="0" applyNumberFormat="1" applyFont="1" applyFill="1" applyBorder="1" applyAlignment="1">
      <alignment horizontal="center"/>
    </xf>
    <xf numFmtId="0" fontId="74" fillId="6" borderId="0" xfId="0" applyNumberFormat="1" applyFont="1" applyFill="1" applyBorder="1" applyAlignment="1">
      <alignment horizontal="right"/>
    </xf>
    <xf numFmtId="15" fontId="74" fillId="6" borderId="0" xfId="0" applyNumberFormat="1" applyFont="1" applyFill="1" applyBorder="1" applyAlignment="1">
      <alignment horizontal="right"/>
    </xf>
    <xf numFmtId="3" fontId="71" fillId="3" borderId="0" xfId="0" applyNumberFormat="1" applyFont="1" applyFill="1" applyBorder="1" applyAlignment="1"/>
    <xf numFmtId="3" fontId="71" fillId="3" borderId="0" xfId="0" applyNumberFormat="1" applyFont="1" applyFill="1" applyBorder="1" applyAlignment="1" applyProtection="1">
      <alignment horizontal="right"/>
      <protection locked="0"/>
    </xf>
    <xf numFmtId="14" fontId="71" fillId="3" borderId="17" xfId="0" applyNumberFormat="1" applyFont="1" applyFill="1" applyBorder="1" applyAlignment="1">
      <alignment horizontal="right"/>
    </xf>
    <xf numFmtId="167" fontId="71" fillId="3" borderId="17" xfId="0" applyNumberFormat="1" applyFont="1" applyFill="1" applyBorder="1" applyAlignment="1">
      <alignment horizontal="right"/>
    </xf>
    <xf numFmtId="0" fontId="61" fillId="3" borderId="16" xfId="0" applyNumberFormat="1" applyFont="1" applyFill="1" applyBorder="1" applyAlignment="1"/>
    <xf numFmtId="0" fontId="78" fillId="3" borderId="17" xfId="0" applyNumberFormat="1" applyFont="1" applyFill="1" applyBorder="1" applyAlignment="1"/>
    <xf numFmtId="0" fontId="61" fillId="3" borderId="17" xfId="0" applyNumberFormat="1" applyFont="1" applyFill="1" applyBorder="1" applyAlignment="1"/>
    <xf numFmtId="3" fontId="79" fillId="3" borderId="17" xfId="0" applyNumberFormat="1" applyFont="1" applyFill="1" applyBorder="1" applyAlignment="1"/>
    <xf numFmtId="0" fontId="79" fillId="3" borderId="17" xfId="0" applyNumberFormat="1" applyFont="1" applyFill="1" applyBorder="1" applyAlignment="1"/>
    <xf numFmtId="3" fontId="79" fillId="3" borderId="17" xfId="0" applyNumberFormat="1" applyFont="1" applyFill="1" applyBorder="1" applyAlignment="1" applyProtection="1">
      <alignment horizontal="right"/>
      <protection locked="0"/>
    </xf>
    <xf numFmtId="0" fontId="61" fillId="3" borderId="18" xfId="0" applyNumberFormat="1" applyFont="1" applyFill="1" applyBorder="1" applyAlignment="1"/>
    <xf numFmtId="0" fontId="71" fillId="3" borderId="19" xfId="0" applyNumberFormat="1" applyFont="1" applyFill="1" applyBorder="1" applyAlignment="1"/>
    <xf numFmtId="3" fontId="71" fillId="0" borderId="0" xfId="0" applyNumberFormat="1" applyFont="1" applyAlignment="1"/>
    <xf numFmtId="4" fontId="79" fillId="3" borderId="17" xfId="0" applyNumberFormat="1" applyFont="1" applyFill="1" applyBorder="1" applyAlignment="1" applyProtection="1">
      <alignment horizontal="right"/>
      <protection locked="0"/>
    </xf>
    <xf numFmtId="4" fontId="71" fillId="3" borderId="0" xfId="0" applyNumberFormat="1" applyFont="1" applyFill="1" applyAlignment="1" applyProtection="1">
      <alignment horizontal="right"/>
      <protection locked="0"/>
    </xf>
    <xf numFmtId="4" fontId="71" fillId="3" borderId="7" xfId="0" applyNumberFormat="1" applyFont="1" applyFill="1" applyBorder="1" applyAlignment="1" applyProtection="1">
      <alignment horizontal="right"/>
      <protection locked="0"/>
    </xf>
    <xf numFmtId="0" fontId="73" fillId="6" borderId="1" xfId="0" applyNumberFormat="1" applyFont="1" applyFill="1" applyBorder="1" applyAlignment="1"/>
    <xf numFmtId="0" fontId="74" fillId="6" borderId="2" xfId="0" applyNumberFormat="1" applyFont="1" applyFill="1" applyBorder="1" applyAlignment="1"/>
    <xf numFmtId="0" fontId="73" fillId="6" borderId="2" xfId="0" applyNumberFormat="1" applyFont="1" applyFill="1" applyBorder="1" applyAlignment="1"/>
    <xf numFmtId="4" fontId="73" fillId="6" borderId="2" xfId="0" applyNumberFormat="1" applyFont="1" applyFill="1" applyBorder="1" applyAlignment="1" applyProtection="1">
      <alignment horizontal="right"/>
      <protection locked="0"/>
    </xf>
    <xf numFmtId="0" fontId="80" fillId="3" borderId="0" xfId="0" applyNumberFormat="1" applyFont="1" applyFill="1" applyAlignment="1"/>
    <xf numFmtId="0" fontId="78" fillId="3" borderId="0" xfId="0" applyNumberFormat="1" applyFont="1" applyFill="1" applyAlignment="1"/>
    <xf numFmtId="3" fontId="77" fillId="3" borderId="17" xfId="0" applyNumberFormat="1" applyFont="1" applyFill="1" applyBorder="1" applyAlignment="1" applyProtection="1">
      <alignment horizontal="right"/>
      <protection locked="0"/>
    </xf>
    <xf numFmtId="4" fontId="61" fillId="3" borderId="0" xfId="0" applyNumberFormat="1" applyFont="1" applyFill="1" applyBorder="1" applyAlignment="1" applyProtection="1">
      <alignment horizontal="right"/>
      <protection locked="0"/>
    </xf>
    <xf numFmtId="4" fontId="71" fillId="3" borderId="17" xfId="0" applyNumberFormat="1" applyFont="1" applyFill="1" applyBorder="1" applyAlignment="1" applyProtection="1">
      <alignment horizontal="right"/>
      <protection locked="0"/>
    </xf>
    <xf numFmtId="4" fontId="77" fillId="3" borderId="0" xfId="0" applyNumberFormat="1" applyFont="1" applyFill="1" applyAlignment="1" applyProtection="1">
      <alignment horizontal="right"/>
      <protection locked="0"/>
    </xf>
    <xf numFmtId="4" fontId="61" fillId="3" borderId="2" xfId="0" applyNumberFormat="1" applyFont="1" applyFill="1" applyBorder="1" applyAlignment="1" applyProtection="1">
      <alignment horizontal="right"/>
      <protection locked="0"/>
    </xf>
    <xf numFmtId="3" fontId="61" fillId="3" borderId="0" xfId="0" applyNumberFormat="1" applyFont="1" applyFill="1" applyBorder="1" applyAlignment="1" applyProtection="1">
      <alignment horizontal="right"/>
      <protection locked="0"/>
    </xf>
    <xf numFmtId="0" fontId="61" fillId="0" borderId="0" xfId="0" applyNumberFormat="1" applyFont="1" applyBorder="1" applyAlignment="1"/>
    <xf numFmtId="0" fontId="71" fillId="0" borderId="13" xfId="0" applyNumberFormat="1" applyFont="1" applyBorder="1" applyAlignment="1"/>
    <xf numFmtId="0" fontId="61" fillId="3" borderId="6" xfId="0" applyNumberFormat="1" applyFont="1" applyFill="1" applyBorder="1" applyAlignment="1"/>
    <xf numFmtId="0" fontId="61" fillId="0" borderId="14" xfId="0" applyNumberFormat="1" applyFont="1" applyBorder="1" applyAlignment="1"/>
    <xf numFmtId="0" fontId="61" fillId="0" borderId="2" xfId="0" applyNumberFormat="1" applyFont="1" applyBorder="1" applyAlignment="1"/>
    <xf numFmtId="0" fontId="64" fillId="3" borderId="0" xfId="0" applyNumberFormat="1" applyFont="1" applyFill="1" applyAlignment="1">
      <alignment horizontal="right"/>
    </xf>
    <xf numFmtId="4" fontId="64" fillId="3" borderId="0" xfId="0" applyNumberFormat="1" applyFont="1" applyFill="1" applyAlignment="1" applyProtection="1">
      <alignment horizontal="right"/>
      <protection locked="0"/>
    </xf>
    <xf numFmtId="0" fontId="61" fillId="3" borderId="0" xfId="0" applyNumberFormat="1" applyFont="1" applyFill="1" applyAlignment="1" applyProtection="1">
      <protection locked="0"/>
    </xf>
    <xf numFmtId="2" fontId="71" fillId="3" borderId="17" xfId="0" applyNumberFormat="1" applyFont="1" applyFill="1" applyBorder="1" applyAlignment="1" applyProtection="1">
      <alignment horizontal="right"/>
      <protection locked="0"/>
    </xf>
    <xf numFmtId="15" fontId="74" fillId="6" borderId="2" xfId="0" applyNumberFormat="1" applyFont="1" applyFill="1" applyBorder="1" applyAlignment="1">
      <alignment horizontal="centerContinuous"/>
    </xf>
    <xf numFmtId="15" fontId="74" fillId="6" borderId="2" xfId="0" applyNumberFormat="1" applyFont="1" applyFill="1" applyBorder="1" applyAlignment="1">
      <alignment horizontal="center"/>
    </xf>
    <xf numFmtId="0" fontId="77" fillId="3" borderId="3" xfId="0" applyNumberFormat="1" applyFont="1" applyFill="1" applyBorder="1" applyAlignment="1"/>
    <xf numFmtId="0" fontId="81" fillId="3" borderId="0" xfId="0" applyNumberFormat="1" applyFont="1" applyFill="1" applyAlignment="1"/>
    <xf numFmtId="15" fontId="82" fillId="3" borderId="0" xfId="0" applyNumberFormat="1" applyFont="1" applyFill="1" applyAlignment="1">
      <alignment horizontal="centerContinuous"/>
    </xf>
    <xf numFmtId="15" fontId="82" fillId="3" borderId="0" xfId="0" applyNumberFormat="1" applyFont="1" applyFill="1" applyAlignment="1">
      <alignment horizontal="center"/>
    </xf>
    <xf numFmtId="15" fontId="70" fillId="3" borderId="17" xfId="0" applyNumberFormat="1" applyFont="1" applyFill="1" applyBorder="1" applyAlignment="1">
      <alignment horizontal="centerContinuous"/>
    </xf>
    <xf numFmtId="17" fontId="71" fillId="3" borderId="17" xfId="0" applyNumberFormat="1" applyFont="1" applyFill="1" applyBorder="1" applyAlignment="1">
      <alignment horizontal="center"/>
    </xf>
    <xf numFmtId="0" fontId="77" fillId="3" borderId="0" xfId="0" applyNumberFormat="1" applyFont="1" applyFill="1" applyBorder="1" applyAlignment="1"/>
    <xf numFmtId="0" fontId="61" fillId="3" borderId="0" xfId="0" applyNumberFormat="1" applyFont="1" applyFill="1" applyBorder="1" applyAlignment="1" applyProtection="1">
      <protection locked="0"/>
    </xf>
    <xf numFmtId="0" fontId="73" fillId="6" borderId="3" xfId="0" applyNumberFormat="1" applyFont="1" applyFill="1" applyBorder="1" applyAlignment="1">
      <alignment horizontal="right"/>
    </xf>
    <xf numFmtId="3" fontId="74" fillId="6" borderId="0" xfId="0" applyNumberFormat="1" applyFont="1" applyFill="1" applyBorder="1" applyAlignment="1">
      <alignment horizontal="center"/>
    </xf>
    <xf numFmtId="0" fontId="71" fillId="3" borderId="3" xfId="0" applyNumberFormat="1" applyFont="1" applyFill="1" applyBorder="1" applyAlignment="1">
      <alignment horizontal="right"/>
    </xf>
    <xf numFmtId="0" fontId="71" fillId="3" borderId="0" xfId="0" applyNumberFormat="1" applyFont="1" applyFill="1" applyBorder="1" applyAlignment="1">
      <alignment horizontal="center"/>
    </xf>
    <xf numFmtId="3" fontId="71" fillId="3" borderId="0" xfId="0" applyNumberFormat="1" applyFont="1" applyFill="1" applyBorder="1" applyAlignment="1" applyProtection="1">
      <alignment horizontal="center"/>
      <protection locked="0"/>
    </xf>
    <xf numFmtId="0" fontId="71" fillId="3" borderId="0" xfId="0" applyNumberFormat="1" applyFont="1" applyFill="1" applyBorder="1" applyAlignment="1" applyProtection="1">
      <protection locked="0"/>
    </xf>
    <xf numFmtId="3" fontId="70" fillId="3" borderId="0" xfId="0" applyNumberFormat="1" applyFont="1" applyFill="1" applyBorder="1" applyAlignment="1"/>
    <xf numFmtId="0" fontId="71" fillId="3" borderId="16" xfId="0" applyNumberFormat="1" applyFont="1" applyFill="1" applyBorder="1" applyAlignment="1">
      <alignment horizontal="right"/>
    </xf>
    <xf numFmtId="3" fontId="71" fillId="3" borderId="17" xfId="0" applyNumberFormat="1" applyFont="1" applyFill="1" applyBorder="1" applyAlignment="1">
      <alignment horizontal="center"/>
    </xf>
    <xf numFmtId="3" fontId="71" fillId="3" borderId="17" xfId="0" applyNumberFormat="1" applyFont="1" applyFill="1" applyBorder="1" applyAlignment="1" applyProtection="1">
      <alignment horizontal="center"/>
      <protection locked="0"/>
    </xf>
    <xf numFmtId="0" fontId="71" fillId="3" borderId="17" xfId="0" applyNumberFormat="1" applyFont="1" applyFill="1" applyBorder="1" applyAlignment="1" applyProtection="1">
      <protection locked="0"/>
    </xf>
    <xf numFmtId="3" fontId="70" fillId="3" borderId="18" xfId="0" applyNumberFormat="1" applyFont="1" applyFill="1" applyBorder="1" applyAlignment="1"/>
    <xf numFmtId="0" fontId="77" fillId="3" borderId="16" xfId="0" applyNumberFormat="1" applyFont="1" applyFill="1" applyBorder="1" applyAlignment="1">
      <alignment horizontal="right"/>
    </xf>
    <xf numFmtId="3" fontId="77" fillId="3" borderId="17" xfId="0" applyNumberFormat="1" applyFont="1" applyFill="1" applyBorder="1" applyAlignment="1"/>
    <xf numFmtId="0" fontId="61" fillId="3" borderId="17" xfId="0" applyNumberFormat="1" applyFont="1" applyFill="1" applyBorder="1" applyAlignment="1" applyProtection="1">
      <protection locked="0"/>
    </xf>
    <xf numFmtId="3" fontId="82" fillId="3" borderId="18" xfId="0" applyNumberFormat="1" applyFont="1" applyFill="1" applyBorder="1" applyAlignment="1"/>
    <xf numFmtId="0" fontId="77" fillId="3" borderId="16" xfId="0" applyNumberFormat="1" applyFont="1" applyFill="1" applyBorder="1" applyAlignment="1">
      <alignment horizontal="center"/>
    </xf>
    <xf numFmtId="0" fontId="77" fillId="3" borderId="17" xfId="0" applyNumberFormat="1" applyFont="1" applyFill="1" applyBorder="1" applyAlignment="1"/>
    <xf numFmtId="3" fontId="79" fillId="3" borderId="17" xfId="0" applyNumberFormat="1" applyFont="1" applyFill="1" applyBorder="1" applyAlignment="1" applyProtection="1">
      <alignment horizontal="center"/>
      <protection locked="0"/>
    </xf>
    <xf numFmtId="0" fontId="82" fillId="3" borderId="18" xfId="0" applyNumberFormat="1" applyFont="1" applyFill="1" applyBorder="1" applyAlignment="1"/>
    <xf numFmtId="0" fontId="71" fillId="3" borderId="16" xfId="0" applyNumberFormat="1" applyFont="1" applyFill="1" applyBorder="1" applyAlignment="1">
      <alignment horizontal="center"/>
    </xf>
    <xf numFmtId="0" fontId="70" fillId="3" borderId="18" xfId="0" applyNumberFormat="1" applyFont="1" applyFill="1" applyBorder="1" applyAlignment="1"/>
    <xf numFmtId="0" fontId="79" fillId="3" borderId="17" xfId="0" applyNumberFormat="1" applyFont="1" applyFill="1" applyBorder="1" applyAlignment="1">
      <alignment horizontal="center"/>
    </xf>
    <xf numFmtId="4" fontId="71" fillId="3" borderId="17" xfId="0" applyNumberFormat="1" applyFont="1" applyFill="1" applyBorder="1" applyAlignment="1">
      <alignment horizontal="right"/>
    </xf>
    <xf numFmtId="4" fontId="71" fillId="3" borderId="17" xfId="0" applyNumberFormat="1" applyFont="1" applyFill="1" applyBorder="1" applyAlignment="1" applyProtection="1">
      <alignment horizontal="center"/>
      <protection locked="0"/>
    </xf>
    <xf numFmtId="0" fontId="77" fillId="3" borderId="17" xfId="0" applyNumberFormat="1" applyFont="1" applyFill="1" applyBorder="1" applyAlignment="1">
      <alignment horizontal="right"/>
    </xf>
    <xf numFmtId="4" fontId="77" fillId="3" borderId="17" xfId="0" applyNumberFormat="1" applyFont="1" applyFill="1" applyBorder="1" applyAlignment="1">
      <alignment horizontal="right"/>
    </xf>
    <xf numFmtId="10" fontId="79" fillId="3" borderId="17" xfId="0" applyNumberFormat="1" applyFont="1" applyFill="1" applyBorder="1" applyAlignment="1" applyProtection="1">
      <alignment horizontal="center"/>
      <protection locked="0"/>
    </xf>
    <xf numFmtId="10" fontId="77" fillId="3" borderId="17" xfId="0" applyNumberFormat="1" applyFont="1" applyFill="1" applyBorder="1" applyAlignment="1" applyProtection="1">
      <alignment horizontal="center"/>
      <protection locked="0"/>
    </xf>
    <xf numFmtId="0" fontId="67" fillId="3" borderId="17" xfId="0" applyNumberFormat="1" applyFont="1" applyFill="1" applyBorder="1" applyAlignment="1"/>
    <xf numFmtId="0" fontId="77" fillId="3" borderId="3" xfId="0" applyNumberFormat="1" applyFont="1" applyFill="1" applyBorder="1" applyAlignment="1">
      <alignment horizontal="right"/>
    </xf>
    <xf numFmtId="0" fontId="77" fillId="3" borderId="0" xfId="0" applyNumberFormat="1" applyFont="1" applyFill="1" applyBorder="1" applyAlignment="1">
      <alignment horizontal="right"/>
    </xf>
    <xf numFmtId="4" fontId="77" fillId="3" borderId="0" xfId="0" applyNumberFormat="1" applyFont="1" applyFill="1" applyBorder="1" applyAlignment="1">
      <alignment horizontal="right"/>
    </xf>
    <xf numFmtId="10" fontId="77" fillId="3" borderId="0" xfId="0" applyNumberFormat="1" applyFont="1" applyFill="1" applyBorder="1" applyAlignment="1" applyProtection="1">
      <alignment horizontal="center"/>
      <protection locked="0"/>
    </xf>
    <xf numFmtId="0" fontId="82" fillId="3" borderId="0" xfId="0" applyNumberFormat="1" applyFont="1" applyFill="1" applyBorder="1" applyAlignment="1"/>
    <xf numFmtId="0" fontId="74" fillId="6" borderId="20" xfId="0" applyNumberFormat="1" applyFont="1" applyFill="1" applyBorder="1" applyAlignment="1"/>
    <xf numFmtId="166" fontId="71" fillId="3" borderId="0" xfId="0" applyNumberFormat="1" applyFont="1" applyFill="1" applyBorder="1" applyAlignment="1"/>
    <xf numFmtId="10" fontId="71" fillId="3" borderId="0" xfId="0" applyNumberFormat="1" applyFont="1" applyFill="1" applyBorder="1" applyAlignment="1"/>
    <xf numFmtId="0" fontId="70" fillId="3" borderId="0" xfId="0" applyNumberFormat="1" applyFont="1" applyFill="1" applyBorder="1" applyAlignment="1"/>
    <xf numFmtId="166" fontId="71" fillId="3" borderId="17" xfId="0" applyNumberFormat="1" applyFont="1" applyFill="1" applyBorder="1" applyAlignment="1"/>
    <xf numFmtId="10" fontId="71" fillId="3" borderId="17" xfId="0" applyNumberFormat="1" applyFont="1" applyFill="1" applyBorder="1" applyAlignment="1"/>
    <xf numFmtId="9" fontId="71" fillId="3" borderId="17" xfId="0" applyNumberFormat="1" applyFont="1" applyFill="1" applyBorder="1" applyAlignment="1"/>
    <xf numFmtId="9" fontId="61" fillId="3" borderId="0" xfId="0" applyNumberFormat="1" applyFont="1" applyFill="1" applyBorder="1" applyAlignment="1"/>
    <xf numFmtId="10" fontId="61" fillId="3" borderId="0" xfId="0" applyNumberFormat="1" applyFont="1" applyFill="1" applyBorder="1" applyAlignment="1"/>
    <xf numFmtId="3" fontId="77" fillId="3" borderId="0" xfId="0" applyNumberFormat="1" applyFont="1" applyFill="1" applyBorder="1" applyAlignment="1" applyProtection="1">
      <alignment horizontal="right"/>
      <protection locked="0"/>
    </xf>
    <xf numFmtId="9" fontId="73" fillId="6" borderId="0" xfId="0" applyNumberFormat="1" applyFont="1" applyFill="1" applyBorder="1" applyAlignment="1"/>
    <xf numFmtId="9" fontId="71" fillId="3" borderId="0" xfId="0" applyNumberFormat="1" applyFont="1" applyFill="1" applyBorder="1" applyAlignment="1"/>
    <xf numFmtId="3" fontId="70" fillId="3" borderId="17" xfId="0" applyNumberFormat="1" applyFont="1" applyFill="1" applyBorder="1" applyAlignment="1"/>
    <xf numFmtId="3" fontId="70" fillId="3" borderId="17" xfId="0" applyNumberFormat="1" applyFont="1" applyFill="1" applyBorder="1" applyAlignment="1" applyProtection="1">
      <alignment horizontal="right"/>
      <protection locked="0"/>
    </xf>
    <xf numFmtId="9" fontId="71" fillId="3" borderId="0" xfId="0" applyNumberFormat="1" applyFont="1" applyFill="1" applyAlignment="1"/>
    <xf numFmtId="3" fontId="71" fillId="3" borderId="0" xfId="0" applyNumberFormat="1" applyFont="1" applyFill="1" applyAlignment="1" applyProtection="1">
      <alignment horizontal="right"/>
      <protection locked="0"/>
    </xf>
    <xf numFmtId="0" fontId="70" fillId="3" borderId="0" xfId="0" quotePrefix="1" applyNumberFormat="1" applyFont="1" applyFill="1" applyAlignment="1">
      <alignment horizontal="center"/>
    </xf>
    <xf numFmtId="0" fontId="60" fillId="3" borderId="0" xfId="0" applyNumberFormat="1" applyFont="1" applyFill="1" applyAlignment="1"/>
    <xf numFmtId="0" fontId="61" fillId="0" borderId="2" xfId="0" applyNumberFormat="1" applyFont="1" applyBorder="1"/>
    <xf numFmtId="3" fontId="70" fillId="3" borderId="0" xfId="0" applyNumberFormat="1" applyFont="1" applyFill="1" applyBorder="1" applyAlignment="1" applyProtection="1">
      <alignment horizontal="right"/>
      <protection locked="0"/>
    </xf>
    <xf numFmtId="0" fontId="74" fillId="7" borderId="0" xfId="0" applyFont="1" applyFill="1"/>
    <xf numFmtId="0" fontId="83" fillId="3" borderId="0" xfId="0" applyFont="1" applyFill="1"/>
    <xf numFmtId="0" fontId="84" fillId="5" borderId="0" xfId="0" applyFont="1" applyFill="1"/>
    <xf numFmtId="0" fontId="59" fillId="5" borderId="0" xfId="1" applyNumberFormat="1" applyFont="1" applyFill="1" applyBorder="1" applyAlignment="1" applyProtection="1"/>
    <xf numFmtId="0" fontId="55" fillId="0" borderId="0" xfId="0" applyFont="1"/>
    <xf numFmtId="0" fontId="61" fillId="0" borderId="0" xfId="0" applyFont="1"/>
    <xf numFmtId="0" fontId="73" fillId="7" borderId="3" xfId="0" applyFont="1" applyFill="1" applyBorder="1"/>
    <xf numFmtId="0" fontId="74" fillId="7" borderId="0" xfId="0" applyFont="1" applyFill="1" applyAlignment="1">
      <alignment horizontal="center"/>
    </xf>
    <xf numFmtId="3" fontId="74" fillId="7" borderId="0" xfId="0" applyNumberFormat="1" applyFont="1" applyFill="1" applyAlignment="1">
      <alignment horizontal="center"/>
    </xf>
    <xf numFmtId="0" fontId="83" fillId="3" borderId="3" xfId="0" applyFont="1" applyFill="1" applyBorder="1"/>
    <xf numFmtId="3" fontId="83" fillId="3" borderId="0" xfId="0" applyNumberFormat="1" applyFont="1" applyFill="1"/>
    <xf numFmtId="166" fontId="83" fillId="3" borderId="0" xfId="0" applyNumberFormat="1" applyFont="1" applyFill="1"/>
    <xf numFmtId="0" fontId="83" fillId="3" borderId="21" xfId="0" applyFont="1" applyFill="1" applyBorder="1"/>
    <xf numFmtId="3" fontId="83" fillId="3" borderId="19" xfId="0" applyNumberFormat="1" applyFont="1" applyFill="1" applyBorder="1"/>
    <xf numFmtId="166" fontId="83" fillId="3" borderId="19" xfId="0" applyNumberFormat="1" applyFont="1" applyFill="1" applyBorder="1"/>
    <xf numFmtId="0" fontId="83" fillId="3" borderId="19" xfId="0" applyFont="1" applyFill="1" applyBorder="1"/>
    <xf numFmtId="10" fontId="83" fillId="3" borderId="19" xfId="0" applyNumberFormat="1" applyFont="1" applyFill="1" applyBorder="1"/>
    <xf numFmtId="9" fontId="83" fillId="3" borderId="19" xfId="0" applyNumberFormat="1" applyFont="1" applyFill="1" applyBorder="1"/>
    <xf numFmtId="10" fontId="83" fillId="3" borderId="0" xfId="0" applyNumberFormat="1" applyFont="1" applyFill="1"/>
    <xf numFmtId="3" fontId="83" fillId="3" borderId="0" xfId="0" applyNumberFormat="1" applyFont="1" applyFill="1" applyAlignment="1" applyProtection="1">
      <alignment horizontal="right"/>
      <protection locked="0"/>
    </xf>
    <xf numFmtId="3" fontId="83" fillId="3" borderId="19" xfId="0" applyNumberFormat="1" applyFont="1" applyFill="1" applyBorder="1" applyAlignment="1" applyProtection="1">
      <alignment horizontal="right"/>
      <protection locked="0"/>
    </xf>
    <xf numFmtId="10" fontId="70" fillId="3" borderId="17" xfId="0" applyNumberFormat="1" applyFont="1" applyFill="1" applyBorder="1" applyAlignment="1"/>
    <xf numFmtId="10" fontId="70" fillId="3" borderId="17" xfId="0" applyNumberFormat="1" applyFont="1" applyFill="1" applyBorder="1" applyAlignment="1" applyProtection="1">
      <alignment horizontal="right"/>
      <protection locked="0"/>
    </xf>
    <xf numFmtId="0" fontId="83" fillId="5" borderId="17" xfId="0" applyFont="1" applyFill="1" applyBorder="1"/>
    <xf numFmtId="0" fontId="83" fillId="5" borderId="0" xfId="0" applyFont="1" applyFill="1" applyBorder="1"/>
    <xf numFmtId="10" fontId="70" fillId="3" borderId="0" xfId="0" applyNumberFormat="1" applyFont="1" applyFill="1" applyBorder="1" applyAlignment="1"/>
    <xf numFmtId="10" fontId="70" fillId="3" borderId="0" xfId="0" applyNumberFormat="1" applyFont="1" applyFill="1" applyBorder="1" applyAlignment="1" applyProtection="1">
      <alignment horizontal="right"/>
      <protection locked="0"/>
    </xf>
    <xf numFmtId="0" fontId="83" fillId="5" borderId="16" xfId="0" applyFont="1" applyFill="1" applyBorder="1"/>
    <xf numFmtId="3" fontId="83" fillId="5" borderId="22" xfId="0" applyNumberFormat="1" applyFont="1" applyFill="1" applyBorder="1"/>
    <xf numFmtId="10" fontId="83" fillId="5" borderId="23" xfId="0" applyNumberFormat="1" applyFont="1" applyFill="1" applyBorder="1"/>
    <xf numFmtId="3" fontId="83" fillId="5" borderId="23" xfId="0" applyNumberFormat="1" applyFont="1" applyFill="1" applyBorder="1" applyAlignment="1" applyProtection="1">
      <alignment horizontal="right"/>
      <protection locked="0"/>
    </xf>
    <xf numFmtId="4" fontId="83" fillId="5" borderId="24" xfId="0" applyNumberFormat="1" applyFont="1" applyFill="1" applyBorder="1"/>
    <xf numFmtId="3" fontId="83" fillId="5" borderId="25" xfId="0" applyNumberFormat="1" applyFont="1" applyFill="1" applyBorder="1"/>
    <xf numFmtId="10" fontId="83" fillId="5" borderId="26" xfId="0" applyNumberFormat="1" applyFont="1" applyFill="1" applyBorder="1" applyAlignment="1" applyProtection="1">
      <alignment horizontal="right"/>
      <protection locked="0"/>
    </xf>
    <xf numFmtId="3" fontId="83" fillId="5" borderId="26" xfId="0" applyNumberFormat="1" applyFont="1" applyFill="1" applyBorder="1" applyAlignment="1" applyProtection="1">
      <alignment horizontal="right"/>
      <protection locked="0"/>
    </xf>
    <xf numFmtId="10" fontId="83" fillId="5" borderId="26" xfId="0" applyNumberFormat="1" applyFont="1" applyFill="1" applyBorder="1"/>
    <xf numFmtId="4" fontId="83" fillId="5" borderId="27" xfId="0" applyNumberFormat="1" applyFont="1" applyFill="1" applyBorder="1"/>
    <xf numFmtId="0" fontId="83" fillId="3" borderId="17" xfId="0" applyFont="1" applyFill="1" applyBorder="1"/>
  </cellXfs>
  <cellStyles count="2">
    <cellStyle name="Hyperlink" xfId="1" builtinId="8"/>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F4F4F4"/>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89CB31"/>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file:///C:\WINDOWS\TEMP\~0003946.gif" TargetMode="External"/><Relationship Id="rId2" Type="http://schemas.openxmlformats.org/officeDocument/2006/relationships/image" Target="file:///C:\WINDOWS\TEMP\Symbol.gif" TargetMode="External"/><Relationship Id="rId1"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image" Target="file:///C:\WINDOWS\TEMP\~0003946.gif" TargetMode="External"/><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file:///C:\WINDOWS\TEMP\~0003946.gif" TargetMode="External"/><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file:///C:\WINDOWS\TEMP\~0003946.gif" TargetMode="External"/><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file:///C:\WINDOWS\TEMP\~0003946.gif" TargetMode="External"/><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media/image2.png"/></Relationships>
</file>

<file path=xl/drawings/_rels/drawing3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4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2.png"/><Relationship Id="rId4" Type="http://schemas.openxmlformats.org/officeDocument/2006/relationships/image" Target="../media/image6.png"/></Relationships>
</file>

<file path=xl/drawings/_rels/drawing4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2.png"/><Relationship Id="rId4" Type="http://schemas.openxmlformats.org/officeDocument/2006/relationships/image" Target="../media/image6.png"/></Relationships>
</file>

<file path=xl/drawings/_rels/drawing4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2.png"/><Relationship Id="rId4" Type="http://schemas.openxmlformats.org/officeDocument/2006/relationships/image" Target="../media/image6.png"/></Relationships>
</file>

<file path=xl/drawings/_rels/drawing4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2.png"/><Relationship Id="rId4" Type="http://schemas.openxmlformats.org/officeDocument/2006/relationships/image" Target="../media/image6.png"/></Relationships>
</file>

<file path=xl/drawings/_rels/drawing4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2.png"/><Relationship Id="rId4" Type="http://schemas.openxmlformats.org/officeDocument/2006/relationships/image" Target="../media/image6.png"/></Relationships>
</file>

<file path=xl/drawings/_rels/drawing4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2.png"/><Relationship Id="rId4" Type="http://schemas.openxmlformats.org/officeDocument/2006/relationships/image" Target="../media/image6.png"/></Relationships>
</file>

<file path=xl/drawings/_rels/drawing4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2.png"/><Relationship Id="rId4" Type="http://schemas.openxmlformats.org/officeDocument/2006/relationships/image" Target="../media/image6.png"/></Relationships>
</file>

<file path=xl/drawings/_rels/drawing4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2.png"/><Relationship Id="rId4" Type="http://schemas.openxmlformats.org/officeDocument/2006/relationships/image" Target="../media/image6.png"/></Relationships>
</file>

<file path=xl/drawings/_rels/drawing4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2.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5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2.png"/><Relationship Id="rId4" Type="http://schemas.openxmlformats.org/officeDocument/2006/relationships/image" Target="../media/image6.png"/></Relationships>
</file>

<file path=xl/drawings/_rels/drawing5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2.png"/><Relationship Id="rId4" Type="http://schemas.openxmlformats.org/officeDocument/2006/relationships/image" Target="../media/image6.png"/></Relationships>
</file>

<file path=xl/drawings/_rels/drawing5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2.png"/><Relationship Id="rId4" Type="http://schemas.openxmlformats.org/officeDocument/2006/relationships/image" Target="../media/image6.png"/></Relationships>
</file>

<file path=xl/drawings/_rels/drawing5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2.pn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drawing1.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4367" name="Picture 1" descr="C:\WINDOWS\TEMP\Symbol.gif">
          <a:extLst>
            <a:ext uri="{FF2B5EF4-FFF2-40B4-BE49-F238E27FC236}">
              <a16:creationId xmlns:a16="http://schemas.microsoft.com/office/drawing/2014/main" id="{00000000-0008-0000-0000-00002F5F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24368" name="Picture 2" descr="C:\WINDOWS\TEMP\Symbol.gif">
          <a:extLst>
            <a:ext uri="{FF2B5EF4-FFF2-40B4-BE49-F238E27FC236}">
              <a16:creationId xmlns:a16="http://schemas.microsoft.com/office/drawing/2014/main" id="{00000000-0008-0000-0000-0000305F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198</xdr:row>
      <xdr:rowOff>171450</xdr:rowOff>
    </xdr:from>
    <xdr:to>
      <xdr:col>1</xdr:col>
      <xdr:colOff>47625</xdr:colOff>
      <xdr:row>199</xdr:row>
      <xdr:rowOff>209550</xdr:rowOff>
    </xdr:to>
    <xdr:pic>
      <xdr:nvPicPr>
        <xdr:cNvPr id="24369" name="Picture 3" descr="C:\WINDOWS\TEMP\Symbol.gif">
          <a:extLst>
            <a:ext uri="{FF2B5EF4-FFF2-40B4-BE49-F238E27FC236}">
              <a16:creationId xmlns:a16="http://schemas.microsoft.com/office/drawing/2014/main" id="{00000000-0008-0000-0000-0000315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47625" y="404145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282</xdr:row>
      <xdr:rowOff>161925</xdr:rowOff>
    </xdr:from>
    <xdr:to>
      <xdr:col>1</xdr:col>
      <xdr:colOff>19050</xdr:colOff>
      <xdr:row>283</xdr:row>
      <xdr:rowOff>200025</xdr:rowOff>
    </xdr:to>
    <xdr:pic>
      <xdr:nvPicPr>
        <xdr:cNvPr id="24370" name="Picture 4" descr="C:\WINDOWS\TEMP\Symbol.gif">
          <a:extLst>
            <a:ext uri="{FF2B5EF4-FFF2-40B4-BE49-F238E27FC236}">
              <a16:creationId xmlns:a16="http://schemas.microsoft.com/office/drawing/2014/main" id="{00000000-0008-0000-0000-0000325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9525" y="572928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282</xdr:row>
      <xdr:rowOff>123825</xdr:rowOff>
    </xdr:from>
    <xdr:to>
      <xdr:col>22</xdr:col>
      <xdr:colOff>1895475</xdr:colOff>
      <xdr:row>283</xdr:row>
      <xdr:rowOff>152400</xdr:rowOff>
    </xdr:to>
    <xdr:pic>
      <xdr:nvPicPr>
        <xdr:cNvPr id="24371" name="Picture 5" descr="C:\WINDOWS\TEMP\~0003946.gif">
          <a:extLst>
            <a:ext uri="{FF2B5EF4-FFF2-40B4-BE49-F238E27FC236}">
              <a16:creationId xmlns:a16="http://schemas.microsoft.com/office/drawing/2014/main" id="{00000000-0008-0000-0000-0000335F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7254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198</xdr:row>
      <xdr:rowOff>152400</xdr:rowOff>
    </xdr:from>
    <xdr:to>
      <xdr:col>22</xdr:col>
      <xdr:colOff>1924050</xdr:colOff>
      <xdr:row>199</xdr:row>
      <xdr:rowOff>180975</xdr:rowOff>
    </xdr:to>
    <xdr:pic>
      <xdr:nvPicPr>
        <xdr:cNvPr id="24372" name="Picture 6" descr="C:\WINDOWS\TEMP\~0003946.gif">
          <a:extLst>
            <a:ext uri="{FF2B5EF4-FFF2-40B4-BE49-F238E27FC236}">
              <a16:creationId xmlns:a16="http://schemas.microsoft.com/office/drawing/2014/main" id="{00000000-0008-0000-0000-0000345F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03955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24373" name="Picture 7" descr="C:\WINDOWS\TEMP\~0003946.gif">
          <a:extLst>
            <a:ext uri="{FF2B5EF4-FFF2-40B4-BE49-F238E27FC236}">
              <a16:creationId xmlns:a16="http://schemas.microsoft.com/office/drawing/2014/main" id="{00000000-0008-0000-0000-0000355F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24374" name="Picture 8" descr="C:\WINDOWS\TEMP\~0003946.gif">
          <a:extLst>
            <a:ext uri="{FF2B5EF4-FFF2-40B4-BE49-F238E27FC236}">
              <a16:creationId xmlns:a16="http://schemas.microsoft.com/office/drawing/2014/main" id="{00000000-0008-0000-0000-0000365F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24375" name="Picture 28" descr="C:\WINDOWS\TEMP\~0003946.gif">
          <a:extLst>
            <a:ext uri="{FF2B5EF4-FFF2-40B4-BE49-F238E27FC236}">
              <a16:creationId xmlns:a16="http://schemas.microsoft.com/office/drawing/2014/main" id="{00000000-0008-0000-0000-0000375F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24376" name="Picture 29" descr="C:\WINDOWS\TEMP\~0003946.gif">
          <a:extLst>
            <a:ext uri="{FF2B5EF4-FFF2-40B4-BE49-F238E27FC236}">
              <a16:creationId xmlns:a16="http://schemas.microsoft.com/office/drawing/2014/main" id="{00000000-0008-0000-0000-0000385F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198</xdr:row>
      <xdr:rowOff>104775</xdr:rowOff>
    </xdr:from>
    <xdr:to>
      <xdr:col>22</xdr:col>
      <xdr:colOff>809625</xdr:colOff>
      <xdr:row>199</xdr:row>
      <xdr:rowOff>133350</xdr:rowOff>
    </xdr:to>
    <xdr:pic>
      <xdr:nvPicPr>
        <xdr:cNvPr id="24377" name="Picture 30" descr="C:\WINDOWS\TEMP\~0003946.gif">
          <a:extLst>
            <a:ext uri="{FF2B5EF4-FFF2-40B4-BE49-F238E27FC236}">
              <a16:creationId xmlns:a16="http://schemas.microsoft.com/office/drawing/2014/main" id="{00000000-0008-0000-0000-0000395F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03479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282</xdr:row>
      <xdr:rowOff>104775</xdr:rowOff>
    </xdr:from>
    <xdr:to>
      <xdr:col>22</xdr:col>
      <xdr:colOff>895350</xdr:colOff>
      <xdr:row>283</xdr:row>
      <xdr:rowOff>133350</xdr:rowOff>
    </xdr:to>
    <xdr:pic>
      <xdr:nvPicPr>
        <xdr:cNvPr id="24378" name="Picture 31" descr="C:\WINDOWS\TEMP\~0003946.gif">
          <a:extLst>
            <a:ext uri="{FF2B5EF4-FFF2-40B4-BE49-F238E27FC236}">
              <a16:creationId xmlns:a16="http://schemas.microsoft.com/office/drawing/2014/main" id="{00000000-0008-0000-0000-00003A5F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72357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24379" name="Picture 43" descr="logoMTL">
          <a:extLst>
            <a:ext uri="{FF2B5EF4-FFF2-40B4-BE49-F238E27FC236}">
              <a16:creationId xmlns:a16="http://schemas.microsoft.com/office/drawing/2014/main" id="{00000000-0008-0000-0000-00003B5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24380" name="Picture 44" descr="logoMTL">
          <a:extLst>
            <a:ext uri="{FF2B5EF4-FFF2-40B4-BE49-F238E27FC236}">
              <a16:creationId xmlns:a16="http://schemas.microsoft.com/office/drawing/2014/main" id="{00000000-0008-0000-0000-00003C5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198</xdr:row>
      <xdr:rowOff>28575</xdr:rowOff>
    </xdr:from>
    <xdr:to>
      <xdr:col>21</xdr:col>
      <xdr:colOff>1171575</xdr:colOff>
      <xdr:row>199</xdr:row>
      <xdr:rowOff>152400</xdr:rowOff>
    </xdr:to>
    <xdr:pic>
      <xdr:nvPicPr>
        <xdr:cNvPr id="24381" name="Picture 45" descr="logoMTL">
          <a:extLst>
            <a:ext uri="{FF2B5EF4-FFF2-40B4-BE49-F238E27FC236}">
              <a16:creationId xmlns:a16="http://schemas.microsoft.com/office/drawing/2014/main" id="{00000000-0008-0000-0000-00003D5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02717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282</xdr:row>
      <xdr:rowOff>0</xdr:rowOff>
    </xdr:from>
    <xdr:to>
      <xdr:col>21</xdr:col>
      <xdr:colOff>1228725</xdr:colOff>
      <xdr:row>283</xdr:row>
      <xdr:rowOff>123825</xdr:rowOff>
    </xdr:to>
    <xdr:pic>
      <xdr:nvPicPr>
        <xdr:cNvPr id="24382" name="Picture 46" descr="logoMTL">
          <a:extLst>
            <a:ext uri="{FF2B5EF4-FFF2-40B4-BE49-F238E27FC236}">
              <a16:creationId xmlns:a16="http://schemas.microsoft.com/office/drawing/2014/main" id="{00000000-0008-0000-0000-00003E5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71309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33553" name="Picture 1" descr="C:\WINDOWS\TEMP\Symbol.gif">
          <a:extLst>
            <a:ext uri="{FF2B5EF4-FFF2-40B4-BE49-F238E27FC236}">
              <a16:creationId xmlns:a16="http://schemas.microsoft.com/office/drawing/2014/main" id="{00000000-0008-0000-0900-0000118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33554" name="Picture 2" descr="C:\WINDOWS\TEMP\Symbol.gif">
          <a:extLst>
            <a:ext uri="{FF2B5EF4-FFF2-40B4-BE49-F238E27FC236}">
              <a16:creationId xmlns:a16="http://schemas.microsoft.com/office/drawing/2014/main" id="{00000000-0008-0000-0900-0000128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199</xdr:row>
      <xdr:rowOff>171450</xdr:rowOff>
    </xdr:from>
    <xdr:to>
      <xdr:col>1</xdr:col>
      <xdr:colOff>47625</xdr:colOff>
      <xdr:row>200</xdr:row>
      <xdr:rowOff>209550</xdr:rowOff>
    </xdr:to>
    <xdr:pic>
      <xdr:nvPicPr>
        <xdr:cNvPr id="33555" name="Picture 3" descr="C:\WINDOWS\TEMP\Symbol.gif">
          <a:extLst>
            <a:ext uri="{FF2B5EF4-FFF2-40B4-BE49-F238E27FC236}">
              <a16:creationId xmlns:a16="http://schemas.microsoft.com/office/drawing/2014/main" id="{00000000-0008-0000-0900-0000138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06146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283</xdr:row>
      <xdr:rowOff>161925</xdr:rowOff>
    </xdr:from>
    <xdr:to>
      <xdr:col>1</xdr:col>
      <xdr:colOff>19050</xdr:colOff>
      <xdr:row>284</xdr:row>
      <xdr:rowOff>200025</xdr:rowOff>
    </xdr:to>
    <xdr:pic>
      <xdr:nvPicPr>
        <xdr:cNvPr id="33556" name="Picture 4" descr="C:\WINDOWS\TEMP\Symbol.gif">
          <a:extLst>
            <a:ext uri="{FF2B5EF4-FFF2-40B4-BE49-F238E27FC236}">
              <a16:creationId xmlns:a16="http://schemas.microsoft.com/office/drawing/2014/main" id="{00000000-0008-0000-0900-0000148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74929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283</xdr:row>
      <xdr:rowOff>123825</xdr:rowOff>
    </xdr:from>
    <xdr:to>
      <xdr:col>22</xdr:col>
      <xdr:colOff>1895475</xdr:colOff>
      <xdr:row>284</xdr:row>
      <xdr:rowOff>152400</xdr:rowOff>
    </xdr:to>
    <xdr:pic>
      <xdr:nvPicPr>
        <xdr:cNvPr id="33557" name="Picture 5" descr="C:\WINDOWS\TEMP\~0003946.gif">
          <a:extLst>
            <a:ext uri="{FF2B5EF4-FFF2-40B4-BE49-F238E27FC236}">
              <a16:creationId xmlns:a16="http://schemas.microsoft.com/office/drawing/2014/main" id="{00000000-0008-0000-0900-00001583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7454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199</xdr:row>
      <xdr:rowOff>152400</xdr:rowOff>
    </xdr:from>
    <xdr:to>
      <xdr:col>22</xdr:col>
      <xdr:colOff>1924050</xdr:colOff>
      <xdr:row>200</xdr:row>
      <xdr:rowOff>180975</xdr:rowOff>
    </xdr:to>
    <xdr:pic>
      <xdr:nvPicPr>
        <xdr:cNvPr id="33558" name="Picture 6" descr="C:\WINDOWS\TEMP\~0003946.gif">
          <a:extLst>
            <a:ext uri="{FF2B5EF4-FFF2-40B4-BE49-F238E27FC236}">
              <a16:creationId xmlns:a16="http://schemas.microsoft.com/office/drawing/2014/main" id="{00000000-0008-0000-0900-00001683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05955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33559" name="Picture 7" descr="C:\WINDOWS\TEMP\~0003946.gif">
          <a:extLst>
            <a:ext uri="{FF2B5EF4-FFF2-40B4-BE49-F238E27FC236}">
              <a16:creationId xmlns:a16="http://schemas.microsoft.com/office/drawing/2014/main" id="{00000000-0008-0000-0900-00001783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33560" name="Picture 8" descr="C:\WINDOWS\TEMP\~0003946.gif">
          <a:extLst>
            <a:ext uri="{FF2B5EF4-FFF2-40B4-BE49-F238E27FC236}">
              <a16:creationId xmlns:a16="http://schemas.microsoft.com/office/drawing/2014/main" id="{00000000-0008-0000-0900-00001883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33561" name="Picture 9" descr="C:\WINDOWS\TEMP\~0003946.gif">
          <a:extLst>
            <a:ext uri="{FF2B5EF4-FFF2-40B4-BE49-F238E27FC236}">
              <a16:creationId xmlns:a16="http://schemas.microsoft.com/office/drawing/2014/main" id="{00000000-0008-0000-0900-00001983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33562" name="Picture 10" descr="C:\WINDOWS\TEMP\~0003946.gif">
          <a:extLst>
            <a:ext uri="{FF2B5EF4-FFF2-40B4-BE49-F238E27FC236}">
              <a16:creationId xmlns:a16="http://schemas.microsoft.com/office/drawing/2014/main" id="{00000000-0008-0000-0900-00001A83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199</xdr:row>
      <xdr:rowOff>104775</xdr:rowOff>
    </xdr:from>
    <xdr:to>
      <xdr:col>22</xdr:col>
      <xdr:colOff>809625</xdr:colOff>
      <xdr:row>200</xdr:row>
      <xdr:rowOff>133350</xdr:rowOff>
    </xdr:to>
    <xdr:pic>
      <xdr:nvPicPr>
        <xdr:cNvPr id="33563" name="Picture 11" descr="C:\WINDOWS\TEMP\~0003946.gif">
          <a:extLst>
            <a:ext uri="{FF2B5EF4-FFF2-40B4-BE49-F238E27FC236}">
              <a16:creationId xmlns:a16="http://schemas.microsoft.com/office/drawing/2014/main" id="{00000000-0008-0000-0900-00001B83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05479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283</xdr:row>
      <xdr:rowOff>104775</xdr:rowOff>
    </xdr:from>
    <xdr:to>
      <xdr:col>22</xdr:col>
      <xdr:colOff>895350</xdr:colOff>
      <xdr:row>284</xdr:row>
      <xdr:rowOff>133350</xdr:rowOff>
    </xdr:to>
    <xdr:pic>
      <xdr:nvPicPr>
        <xdr:cNvPr id="33564" name="Picture 12" descr="C:\WINDOWS\TEMP\~0003946.gif">
          <a:extLst>
            <a:ext uri="{FF2B5EF4-FFF2-40B4-BE49-F238E27FC236}">
              <a16:creationId xmlns:a16="http://schemas.microsoft.com/office/drawing/2014/main" id="{00000000-0008-0000-0900-00001C83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7435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33565" name="Picture 13" descr="logoMTL">
          <a:extLst>
            <a:ext uri="{FF2B5EF4-FFF2-40B4-BE49-F238E27FC236}">
              <a16:creationId xmlns:a16="http://schemas.microsoft.com/office/drawing/2014/main" id="{00000000-0008-0000-0900-00001D8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33566" name="Picture 14" descr="logoMTL">
          <a:extLst>
            <a:ext uri="{FF2B5EF4-FFF2-40B4-BE49-F238E27FC236}">
              <a16:creationId xmlns:a16="http://schemas.microsoft.com/office/drawing/2014/main" id="{00000000-0008-0000-0900-00001E8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199</xdr:row>
      <xdr:rowOff>28575</xdr:rowOff>
    </xdr:from>
    <xdr:to>
      <xdr:col>21</xdr:col>
      <xdr:colOff>1171575</xdr:colOff>
      <xdr:row>200</xdr:row>
      <xdr:rowOff>152400</xdr:rowOff>
    </xdr:to>
    <xdr:pic>
      <xdr:nvPicPr>
        <xdr:cNvPr id="33567" name="Picture 15" descr="logoMTL">
          <a:extLst>
            <a:ext uri="{FF2B5EF4-FFF2-40B4-BE49-F238E27FC236}">
              <a16:creationId xmlns:a16="http://schemas.microsoft.com/office/drawing/2014/main" id="{00000000-0008-0000-0900-00001F8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04717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283</xdr:row>
      <xdr:rowOff>0</xdr:rowOff>
    </xdr:from>
    <xdr:to>
      <xdr:col>21</xdr:col>
      <xdr:colOff>1228725</xdr:colOff>
      <xdr:row>284</xdr:row>
      <xdr:rowOff>123825</xdr:rowOff>
    </xdr:to>
    <xdr:pic>
      <xdr:nvPicPr>
        <xdr:cNvPr id="33568" name="Picture 16" descr="logoMTL">
          <a:extLst>
            <a:ext uri="{FF2B5EF4-FFF2-40B4-BE49-F238E27FC236}">
              <a16:creationId xmlns:a16="http://schemas.microsoft.com/office/drawing/2014/main" id="{00000000-0008-0000-0900-0000208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73309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34577" name="Picture 1" descr="C:\WINDOWS\TEMP\Symbol.gif">
          <a:extLst>
            <a:ext uri="{FF2B5EF4-FFF2-40B4-BE49-F238E27FC236}">
              <a16:creationId xmlns:a16="http://schemas.microsoft.com/office/drawing/2014/main" id="{00000000-0008-0000-0A00-00001187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161925</xdr:rowOff>
    </xdr:from>
    <xdr:to>
      <xdr:col>1</xdr:col>
      <xdr:colOff>28575</xdr:colOff>
      <xdr:row>133</xdr:row>
      <xdr:rowOff>200025</xdr:rowOff>
    </xdr:to>
    <xdr:pic>
      <xdr:nvPicPr>
        <xdr:cNvPr id="34578" name="Picture 2" descr="C:\WINDOWS\TEMP\Symbol.gif">
          <a:extLst>
            <a:ext uri="{FF2B5EF4-FFF2-40B4-BE49-F238E27FC236}">
              <a16:creationId xmlns:a16="http://schemas.microsoft.com/office/drawing/2014/main" id="{00000000-0008-0000-0A00-00001287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117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198</xdr:row>
      <xdr:rowOff>171450</xdr:rowOff>
    </xdr:from>
    <xdr:to>
      <xdr:col>1</xdr:col>
      <xdr:colOff>47625</xdr:colOff>
      <xdr:row>199</xdr:row>
      <xdr:rowOff>209550</xdr:rowOff>
    </xdr:to>
    <xdr:pic>
      <xdr:nvPicPr>
        <xdr:cNvPr id="34579" name="Picture 3" descr="C:\WINDOWS\TEMP\Symbol.gif">
          <a:extLst>
            <a:ext uri="{FF2B5EF4-FFF2-40B4-BE49-F238E27FC236}">
              <a16:creationId xmlns:a16="http://schemas.microsoft.com/office/drawing/2014/main" id="{00000000-0008-0000-0A00-0000138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47625" y="404145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282</xdr:row>
      <xdr:rowOff>161925</xdr:rowOff>
    </xdr:from>
    <xdr:to>
      <xdr:col>1</xdr:col>
      <xdr:colOff>19050</xdr:colOff>
      <xdr:row>283</xdr:row>
      <xdr:rowOff>200025</xdr:rowOff>
    </xdr:to>
    <xdr:pic>
      <xdr:nvPicPr>
        <xdr:cNvPr id="34580" name="Picture 4" descr="C:\WINDOWS\TEMP\Symbol.gif">
          <a:extLst>
            <a:ext uri="{FF2B5EF4-FFF2-40B4-BE49-F238E27FC236}">
              <a16:creationId xmlns:a16="http://schemas.microsoft.com/office/drawing/2014/main" id="{00000000-0008-0000-0A00-0000148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9525" y="572928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282</xdr:row>
      <xdr:rowOff>123825</xdr:rowOff>
    </xdr:from>
    <xdr:to>
      <xdr:col>22</xdr:col>
      <xdr:colOff>1895475</xdr:colOff>
      <xdr:row>283</xdr:row>
      <xdr:rowOff>152400</xdr:rowOff>
    </xdr:to>
    <xdr:pic>
      <xdr:nvPicPr>
        <xdr:cNvPr id="34581" name="Picture 5" descr="C:\WINDOWS\TEMP\~0003946.gif">
          <a:extLst>
            <a:ext uri="{FF2B5EF4-FFF2-40B4-BE49-F238E27FC236}">
              <a16:creationId xmlns:a16="http://schemas.microsoft.com/office/drawing/2014/main" id="{00000000-0008-0000-0A00-00001587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7254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198</xdr:row>
      <xdr:rowOff>152400</xdr:rowOff>
    </xdr:from>
    <xdr:to>
      <xdr:col>22</xdr:col>
      <xdr:colOff>1924050</xdr:colOff>
      <xdr:row>199</xdr:row>
      <xdr:rowOff>180975</xdr:rowOff>
    </xdr:to>
    <xdr:pic>
      <xdr:nvPicPr>
        <xdr:cNvPr id="34582" name="Picture 6" descr="C:\WINDOWS\TEMP\~0003946.gif">
          <a:extLst>
            <a:ext uri="{FF2B5EF4-FFF2-40B4-BE49-F238E27FC236}">
              <a16:creationId xmlns:a16="http://schemas.microsoft.com/office/drawing/2014/main" id="{00000000-0008-0000-0A00-00001687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03955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132</xdr:row>
      <xdr:rowOff>161925</xdr:rowOff>
    </xdr:from>
    <xdr:to>
      <xdr:col>22</xdr:col>
      <xdr:colOff>1952625</xdr:colOff>
      <xdr:row>133</xdr:row>
      <xdr:rowOff>190500</xdr:rowOff>
    </xdr:to>
    <xdr:pic>
      <xdr:nvPicPr>
        <xdr:cNvPr id="34583" name="Picture 7" descr="C:\WINDOWS\TEMP\~0003946.gif">
          <a:extLst>
            <a:ext uri="{FF2B5EF4-FFF2-40B4-BE49-F238E27FC236}">
              <a16:creationId xmlns:a16="http://schemas.microsoft.com/office/drawing/2014/main" id="{00000000-0008-0000-0A00-00001787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117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34584" name="Picture 8" descr="C:\WINDOWS\TEMP\~0003946.gif">
          <a:extLst>
            <a:ext uri="{FF2B5EF4-FFF2-40B4-BE49-F238E27FC236}">
              <a16:creationId xmlns:a16="http://schemas.microsoft.com/office/drawing/2014/main" id="{00000000-0008-0000-0A00-00001887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34585" name="Picture 9" descr="C:\WINDOWS\TEMP\~0003946.gif">
          <a:extLst>
            <a:ext uri="{FF2B5EF4-FFF2-40B4-BE49-F238E27FC236}">
              <a16:creationId xmlns:a16="http://schemas.microsoft.com/office/drawing/2014/main" id="{00000000-0008-0000-0A00-000019870000}"/>
            </a:ext>
          </a:extLst>
        </xdr:cNvPr>
        <xdr:cNvPicPr>
          <a:picLocks noChangeAspect="1" noChangeArrowheads="1"/>
        </xdr:cNvPicPr>
      </xdr:nvPicPr>
      <xdr:blipFill>
        <a:blip xmlns:r="http://schemas.openxmlformats.org/officeDocument/2006/relationships" r:link="rId4">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132</xdr:row>
      <xdr:rowOff>123825</xdr:rowOff>
    </xdr:from>
    <xdr:to>
      <xdr:col>22</xdr:col>
      <xdr:colOff>895350</xdr:colOff>
      <xdr:row>133</xdr:row>
      <xdr:rowOff>152400</xdr:rowOff>
    </xdr:to>
    <xdr:pic>
      <xdr:nvPicPr>
        <xdr:cNvPr id="34586" name="Picture 10" descr="C:\WINDOWS\TEMP\~0003946.gif">
          <a:extLst>
            <a:ext uri="{FF2B5EF4-FFF2-40B4-BE49-F238E27FC236}">
              <a16:creationId xmlns:a16="http://schemas.microsoft.com/office/drawing/2014/main" id="{00000000-0008-0000-0A00-00001A87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079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198</xdr:row>
      <xdr:rowOff>104775</xdr:rowOff>
    </xdr:from>
    <xdr:to>
      <xdr:col>22</xdr:col>
      <xdr:colOff>809625</xdr:colOff>
      <xdr:row>199</xdr:row>
      <xdr:rowOff>133350</xdr:rowOff>
    </xdr:to>
    <xdr:pic>
      <xdr:nvPicPr>
        <xdr:cNvPr id="34587" name="Picture 11" descr="C:\WINDOWS\TEMP\~0003946.gif">
          <a:extLst>
            <a:ext uri="{FF2B5EF4-FFF2-40B4-BE49-F238E27FC236}">
              <a16:creationId xmlns:a16="http://schemas.microsoft.com/office/drawing/2014/main" id="{00000000-0008-0000-0A00-00001B87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03479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282</xdr:row>
      <xdr:rowOff>104775</xdr:rowOff>
    </xdr:from>
    <xdr:to>
      <xdr:col>22</xdr:col>
      <xdr:colOff>895350</xdr:colOff>
      <xdr:row>283</xdr:row>
      <xdr:rowOff>133350</xdr:rowOff>
    </xdr:to>
    <xdr:pic>
      <xdr:nvPicPr>
        <xdr:cNvPr id="34588" name="Picture 12" descr="C:\WINDOWS\TEMP\~0003946.gif">
          <a:extLst>
            <a:ext uri="{FF2B5EF4-FFF2-40B4-BE49-F238E27FC236}">
              <a16:creationId xmlns:a16="http://schemas.microsoft.com/office/drawing/2014/main" id="{00000000-0008-0000-0A00-00001C87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72357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34589" name="Picture 13" descr="logoMTL">
          <a:extLst>
            <a:ext uri="{FF2B5EF4-FFF2-40B4-BE49-F238E27FC236}">
              <a16:creationId xmlns:a16="http://schemas.microsoft.com/office/drawing/2014/main" id="{00000000-0008-0000-0A00-00001D8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132</xdr:row>
      <xdr:rowOff>38100</xdr:rowOff>
    </xdr:from>
    <xdr:to>
      <xdr:col>21</xdr:col>
      <xdr:colOff>1171575</xdr:colOff>
      <xdr:row>133</xdr:row>
      <xdr:rowOff>161925</xdr:rowOff>
    </xdr:to>
    <xdr:pic>
      <xdr:nvPicPr>
        <xdr:cNvPr id="34590" name="Picture 14" descr="logoMTL">
          <a:extLst>
            <a:ext uri="{FF2B5EF4-FFF2-40B4-BE49-F238E27FC236}">
              <a16:creationId xmlns:a16="http://schemas.microsoft.com/office/drawing/2014/main" id="{00000000-0008-0000-0A00-00001E8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6993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198</xdr:row>
      <xdr:rowOff>28575</xdr:rowOff>
    </xdr:from>
    <xdr:to>
      <xdr:col>21</xdr:col>
      <xdr:colOff>1171575</xdr:colOff>
      <xdr:row>199</xdr:row>
      <xdr:rowOff>152400</xdr:rowOff>
    </xdr:to>
    <xdr:pic>
      <xdr:nvPicPr>
        <xdr:cNvPr id="34591" name="Picture 15" descr="logoMTL">
          <a:extLst>
            <a:ext uri="{FF2B5EF4-FFF2-40B4-BE49-F238E27FC236}">
              <a16:creationId xmlns:a16="http://schemas.microsoft.com/office/drawing/2014/main" id="{00000000-0008-0000-0A00-00001F8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02717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282</xdr:row>
      <xdr:rowOff>0</xdr:rowOff>
    </xdr:from>
    <xdr:to>
      <xdr:col>21</xdr:col>
      <xdr:colOff>1228725</xdr:colOff>
      <xdr:row>283</xdr:row>
      <xdr:rowOff>123825</xdr:rowOff>
    </xdr:to>
    <xdr:pic>
      <xdr:nvPicPr>
        <xdr:cNvPr id="34592" name="Picture 16" descr="logoMTL">
          <a:extLst>
            <a:ext uri="{FF2B5EF4-FFF2-40B4-BE49-F238E27FC236}">
              <a16:creationId xmlns:a16="http://schemas.microsoft.com/office/drawing/2014/main" id="{00000000-0008-0000-0A00-0000208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71309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35601" name="Picture 1" descr="C:\WINDOWS\TEMP\Symbol.gif">
          <a:extLst>
            <a:ext uri="{FF2B5EF4-FFF2-40B4-BE49-F238E27FC236}">
              <a16:creationId xmlns:a16="http://schemas.microsoft.com/office/drawing/2014/main" id="{00000000-0008-0000-0B00-0000118B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161925</xdr:rowOff>
    </xdr:from>
    <xdr:to>
      <xdr:col>1</xdr:col>
      <xdr:colOff>28575</xdr:colOff>
      <xdr:row>133</xdr:row>
      <xdr:rowOff>200025</xdr:rowOff>
    </xdr:to>
    <xdr:pic>
      <xdr:nvPicPr>
        <xdr:cNvPr id="35602" name="Picture 2" descr="C:\WINDOWS\TEMP\Symbol.gif">
          <a:extLst>
            <a:ext uri="{FF2B5EF4-FFF2-40B4-BE49-F238E27FC236}">
              <a16:creationId xmlns:a16="http://schemas.microsoft.com/office/drawing/2014/main" id="{00000000-0008-0000-0B00-0000128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8575" y="27117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198</xdr:row>
      <xdr:rowOff>171450</xdr:rowOff>
    </xdr:from>
    <xdr:to>
      <xdr:col>1</xdr:col>
      <xdr:colOff>47625</xdr:colOff>
      <xdr:row>199</xdr:row>
      <xdr:rowOff>209550</xdr:rowOff>
    </xdr:to>
    <xdr:pic>
      <xdr:nvPicPr>
        <xdr:cNvPr id="35603" name="Picture 3" descr="C:\WINDOWS\TEMP\Symbol.gif">
          <a:extLst>
            <a:ext uri="{FF2B5EF4-FFF2-40B4-BE49-F238E27FC236}">
              <a16:creationId xmlns:a16="http://schemas.microsoft.com/office/drawing/2014/main" id="{00000000-0008-0000-0B00-0000138B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04145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294</xdr:row>
      <xdr:rowOff>161925</xdr:rowOff>
    </xdr:from>
    <xdr:to>
      <xdr:col>1</xdr:col>
      <xdr:colOff>19050</xdr:colOff>
      <xdr:row>295</xdr:row>
      <xdr:rowOff>200025</xdr:rowOff>
    </xdr:to>
    <xdr:pic>
      <xdr:nvPicPr>
        <xdr:cNvPr id="35604" name="Picture 4" descr="C:\WINDOWS\TEMP\Symbol.gif">
          <a:extLst>
            <a:ext uri="{FF2B5EF4-FFF2-40B4-BE49-F238E27FC236}">
              <a16:creationId xmlns:a16="http://schemas.microsoft.com/office/drawing/2014/main" id="{00000000-0008-0000-0B00-0000148B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6931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294</xdr:row>
      <xdr:rowOff>123825</xdr:rowOff>
    </xdr:from>
    <xdr:to>
      <xdr:col>22</xdr:col>
      <xdr:colOff>1895475</xdr:colOff>
      <xdr:row>295</xdr:row>
      <xdr:rowOff>152400</xdr:rowOff>
    </xdr:to>
    <xdr:pic>
      <xdr:nvPicPr>
        <xdr:cNvPr id="35605" name="Picture 5" descr="C:\WINDOWS\TEMP\~0003946.gif">
          <a:extLst>
            <a:ext uri="{FF2B5EF4-FFF2-40B4-BE49-F238E27FC236}">
              <a16:creationId xmlns:a16="http://schemas.microsoft.com/office/drawing/2014/main" id="{00000000-0008-0000-0B00-0000158B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5222200" y="5965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198</xdr:row>
      <xdr:rowOff>152400</xdr:rowOff>
    </xdr:from>
    <xdr:to>
      <xdr:col>22</xdr:col>
      <xdr:colOff>1924050</xdr:colOff>
      <xdr:row>199</xdr:row>
      <xdr:rowOff>180975</xdr:rowOff>
    </xdr:to>
    <xdr:pic>
      <xdr:nvPicPr>
        <xdr:cNvPr id="35606" name="Picture 6" descr="C:\WINDOWS\TEMP\~0003946.gif">
          <a:extLst>
            <a:ext uri="{FF2B5EF4-FFF2-40B4-BE49-F238E27FC236}">
              <a16:creationId xmlns:a16="http://schemas.microsoft.com/office/drawing/2014/main" id="{00000000-0008-0000-0B00-0000168B0000}"/>
            </a:ext>
          </a:extLst>
        </xdr:cNvPr>
        <xdr:cNvPicPr>
          <a:picLocks noChangeAspect="1" noChangeArrowheads="1"/>
        </xdr:cNvPicPr>
      </xdr:nvPicPr>
      <xdr:blipFill>
        <a:blip xmlns:r="http://schemas.openxmlformats.org/officeDocument/2006/relationships" r:embed="rId4" r:link="rId3">
          <a:extLst>
            <a:ext uri="{28A0092B-C50C-407E-A947-70E740481C1C}">
              <a14:useLocalDpi xmlns:a14="http://schemas.microsoft.com/office/drawing/2010/main" val="0"/>
            </a:ext>
          </a:extLst>
        </a:blip>
        <a:srcRect/>
        <a:stretch>
          <a:fillRect/>
        </a:stretch>
      </xdr:blipFill>
      <xdr:spPr bwMode="auto">
        <a:xfrm>
          <a:off x="25222200" y="403955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132</xdr:row>
      <xdr:rowOff>161925</xdr:rowOff>
    </xdr:from>
    <xdr:to>
      <xdr:col>22</xdr:col>
      <xdr:colOff>1952625</xdr:colOff>
      <xdr:row>133</xdr:row>
      <xdr:rowOff>190500</xdr:rowOff>
    </xdr:to>
    <xdr:pic>
      <xdr:nvPicPr>
        <xdr:cNvPr id="35607" name="Picture 7" descr="C:\WINDOWS\TEMP\~0003946.gif">
          <a:extLst>
            <a:ext uri="{FF2B5EF4-FFF2-40B4-BE49-F238E27FC236}">
              <a16:creationId xmlns:a16="http://schemas.microsoft.com/office/drawing/2014/main" id="{00000000-0008-0000-0B00-0000178B0000}"/>
            </a:ext>
          </a:extLst>
        </xdr:cNvPr>
        <xdr:cNvPicPr>
          <a:picLocks noChangeAspect="1" noChangeArrowheads="1"/>
        </xdr:cNvPicPr>
      </xdr:nvPicPr>
      <xdr:blipFill>
        <a:blip xmlns:r="http://schemas.openxmlformats.org/officeDocument/2006/relationships" r:embed="rId4" r:link="rId3">
          <a:extLst>
            <a:ext uri="{28A0092B-C50C-407E-A947-70E740481C1C}">
              <a14:useLocalDpi xmlns:a14="http://schemas.microsoft.com/office/drawing/2010/main" val="0"/>
            </a:ext>
          </a:extLst>
        </a:blip>
        <a:srcRect/>
        <a:stretch>
          <a:fillRect/>
        </a:stretch>
      </xdr:blipFill>
      <xdr:spPr bwMode="auto">
        <a:xfrm>
          <a:off x="25222200" y="27117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35608" name="Picture 8" descr="C:\WINDOWS\TEMP\~0003946.gif">
          <a:extLst>
            <a:ext uri="{FF2B5EF4-FFF2-40B4-BE49-F238E27FC236}">
              <a16:creationId xmlns:a16="http://schemas.microsoft.com/office/drawing/2014/main" id="{00000000-0008-0000-0B00-0000188B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35609" name="Picture 9" descr="C:\WINDOWS\TEMP\~0003946.gif">
          <a:extLst>
            <a:ext uri="{FF2B5EF4-FFF2-40B4-BE49-F238E27FC236}">
              <a16:creationId xmlns:a16="http://schemas.microsoft.com/office/drawing/2014/main" id="{00000000-0008-0000-0B00-0000198B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132</xdr:row>
      <xdr:rowOff>123825</xdr:rowOff>
    </xdr:from>
    <xdr:to>
      <xdr:col>22</xdr:col>
      <xdr:colOff>895350</xdr:colOff>
      <xdr:row>133</xdr:row>
      <xdr:rowOff>152400</xdr:rowOff>
    </xdr:to>
    <xdr:pic>
      <xdr:nvPicPr>
        <xdr:cNvPr id="35610" name="Picture 10" descr="C:\WINDOWS\TEMP\~0003946.gif">
          <a:extLst>
            <a:ext uri="{FF2B5EF4-FFF2-40B4-BE49-F238E27FC236}">
              <a16:creationId xmlns:a16="http://schemas.microsoft.com/office/drawing/2014/main" id="{00000000-0008-0000-0B00-00001A8B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4307800" y="27079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198</xdr:row>
      <xdr:rowOff>104775</xdr:rowOff>
    </xdr:from>
    <xdr:to>
      <xdr:col>22</xdr:col>
      <xdr:colOff>809625</xdr:colOff>
      <xdr:row>199</xdr:row>
      <xdr:rowOff>133350</xdr:rowOff>
    </xdr:to>
    <xdr:pic>
      <xdr:nvPicPr>
        <xdr:cNvPr id="35611" name="Picture 11" descr="C:\WINDOWS\TEMP\~0003946.gif">
          <a:extLst>
            <a:ext uri="{FF2B5EF4-FFF2-40B4-BE49-F238E27FC236}">
              <a16:creationId xmlns:a16="http://schemas.microsoft.com/office/drawing/2014/main" id="{00000000-0008-0000-0B00-00001B8B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4222075" y="403479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294</xdr:row>
      <xdr:rowOff>104775</xdr:rowOff>
    </xdr:from>
    <xdr:to>
      <xdr:col>22</xdr:col>
      <xdr:colOff>895350</xdr:colOff>
      <xdr:row>295</xdr:row>
      <xdr:rowOff>133350</xdr:rowOff>
    </xdr:to>
    <xdr:pic>
      <xdr:nvPicPr>
        <xdr:cNvPr id="35612" name="Picture 12" descr="C:\WINDOWS\TEMP\~0003946.gif">
          <a:extLst>
            <a:ext uri="{FF2B5EF4-FFF2-40B4-BE49-F238E27FC236}">
              <a16:creationId xmlns:a16="http://schemas.microsoft.com/office/drawing/2014/main" id="{00000000-0008-0000-0B00-00001C8B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4307800" y="596360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35613" name="Picture 13" descr="logoMTL">
          <a:extLst>
            <a:ext uri="{FF2B5EF4-FFF2-40B4-BE49-F238E27FC236}">
              <a16:creationId xmlns:a16="http://schemas.microsoft.com/office/drawing/2014/main" id="{00000000-0008-0000-0B00-00001D8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132</xdr:row>
      <xdr:rowOff>38100</xdr:rowOff>
    </xdr:from>
    <xdr:to>
      <xdr:col>21</xdr:col>
      <xdr:colOff>1171575</xdr:colOff>
      <xdr:row>133</xdr:row>
      <xdr:rowOff>161925</xdr:rowOff>
    </xdr:to>
    <xdr:pic>
      <xdr:nvPicPr>
        <xdr:cNvPr id="35614" name="Picture 14" descr="logoMTL">
          <a:extLst>
            <a:ext uri="{FF2B5EF4-FFF2-40B4-BE49-F238E27FC236}">
              <a16:creationId xmlns:a16="http://schemas.microsoft.com/office/drawing/2014/main" id="{00000000-0008-0000-0B00-00001E8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326725" y="26993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198</xdr:row>
      <xdr:rowOff>28575</xdr:rowOff>
    </xdr:from>
    <xdr:to>
      <xdr:col>21</xdr:col>
      <xdr:colOff>1171575</xdr:colOff>
      <xdr:row>199</xdr:row>
      <xdr:rowOff>152400</xdr:rowOff>
    </xdr:to>
    <xdr:pic>
      <xdr:nvPicPr>
        <xdr:cNvPr id="35615" name="Picture 15" descr="logoMTL">
          <a:extLst>
            <a:ext uri="{FF2B5EF4-FFF2-40B4-BE49-F238E27FC236}">
              <a16:creationId xmlns:a16="http://schemas.microsoft.com/office/drawing/2014/main" id="{00000000-0008-0000-0B00-00001F8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326725" y="402717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294</xdr:row>
      <xdr:rowOff>0</xdr:rowOff>
    </xdr:from>
    <xdr:to>
      <xdr:col>21</xdr:col>
      <xdr:colOff>1228725</xdr:colOff>
      <xdr:row>295</xdr:row>
      <xdr:rowOff>123825</xdr:rowOff>
    </xdr:to>
    <xdr:pic>
      <xdr:nvPicPr>
        <xdr:cNvPr id="35616" name="Picture 16" descr="logoMTL">
          <a:extLst>
            <a:ext uri="{FF2B5EF4-FFF2-40B4-BE49-F238E27FC236}">
              <a16:creationId xmlns:a16="http://schemas.microsoft.com/office/drawing/2014/main" id="{00000000-0008-0000-0B00-0000208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374350" y="595312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36625" name="Picture 1" descr="C:\WINDOWS\TEMP\Symbol.gif">
          <a:extLst>
            <a:ext uri="{FF2B5EF4-FFF2-40B4-BE49-F238E27FC236}">
              <a16:creationId xmlns:a16="http://schemas.microsoft.com/office/drawing/2014/main" id="{00000000-0008-0000-0C00-0000118F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161925</xdr:rowOff>
    </xdr:from>
    <xdr:to>
      <xdr:col>1</xdr:col>
      <xdr:colOff>28575</xdr:colOff>
      <xdr:row>133</xdr:row>
      <xdr:rowOff>200025</xdr:rowOff>
    </xdr:to>
    <xdr:pic>
      <xdr:nvPicPr>
        <xdr:cNvPr id="36626" name="Picture 2" descr="C:\WINDOWS\TEMP\Symbol.gif">
          <a:extLst>
            <a:ext uri="{FF2B5EF4-FFF2-40B4-BE49-F238E27FC236}">
              <a16:creationId xmlns:a16="http://schemas.microsoft.com/office/drawing/2014/main" id="{00000000-0008-0000-0C00-0000128F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117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198</xdr:row>
      <xdr:rowOff>171450</xdr:rowOff>
    </xdr:from>
    <xdr:to>
      <xdr:col>1</xdr:col>
      <xdr:colOff>47625</xdr:colOff>
      <xdr:row>199</xdr:row>
      <xdr:rowOff>209550</xdr:rowOff>
    </xdr:to>
    <xdr:pic>
      <xdr:nvPicPr>
        <xdr:cNvPr id="36627" name="Picture 3" descr="C:\WINDOWS\TEMP\Symbol.gif">
          <a:extLst>
            <a:ext uri="{FF2B5EF4-FFF2-40B4-BE49-F238E27FC236}">
              <a16:creationId xmlns:a16="http://schemas.microsoft.com/office/drawing/2014/main" id="{00000000-0008-0000-0C00-0000138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47625" y="404145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294</xdr:row>
      <xdr:rowOff>161925</xdr:rowOff>
    </xdr:from>
    <xdr:to>
      <xdr:col>1</xdr:col>
      <xdr:colOff>19050</xdr:colOff>
      <xdr:row>295</xdr:row>
      <xdr:rowOff>200025</xdr:rowOff>
    </xdr:to>
    <xdr:pic>
      <xdr:nvPicPr>
        <xdr:cNvPr id="36628" name="Picture 4" descr="C:\WINDOWS\TEMP\Symbol.gif">
          <a:extLst>
            <a:ext uri="{FF2B5EF4-FFF2-40B4-BE49-F238E27FC236}">
              <a16:creationId xmlns:a16="http://schemas.microsoft.com/office/drawing/2014/main" id="{00000000-0008-0000-0C00-0000148F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6931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294</xdr:row>
      <xdr:rowOff>123825</xdr:rowOff>
    </xdr:from>
    <xdr:to>
      <xdr:col>22</xdr:col>
      <xdr:colOff>1895475</xdr:colOff>
      <xdr:row>295</xdr:row>
      <xdr:rowOff>152400</xdr:rowOff>
    </xdr:to>
    <xdr:pic>
      <xdr:nvPicPr>
        <xdr:cNvPr id="36629" name="Picture 5" descr="C:\WINDOWS\TEMP\~0003946.gif">
          <a:extLst>
            <a:ext uri="{FF2B5EF4-FFF2-40B4-BE49-F238E27FC236}">
              <a16:creationId xmlns:a16="http://schemas.microsoft.com/office/drawing/2014/main" id="{00000000-0008-0000-0C00-0000158F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5222200" y="5965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198</xdr:row>
      <xdr:rowOff>152400</xdr:rowOff>
    </xdr:from>
    <xdr:to>
      <xdr:col>22</xdr:col>
      <xdr:colOff>1924050</xdr:colOff>
      <xdr:row>199</xdr:row>
      <xdr:rowOff>180975</xdr:rowOff>
    </xdr:to>
    <xdr:pic>
      <xdr:nvPicPr>
        <xdr:cNvPr id="36630" name="Picture 6" descr="C:\WINDOWS\TEMP\~0003946.gif">
          <a:extLst>
            <a:ext uri="{FF2B5EF4-FFF2-40B4-BE49-F238E27FC236}">
              <a16:creationId xmlns:a16="http://schemas.microsoft.com/office/drawing/2014/main" id="{00000000-0008-0000-0C00-0000168F0000}"/>
            </a:ext>
          </a:extLst>
        </xdr:cNvPr>
        <xdr:cNvPicPr>
          <a:picLocks noChangeAspect="1" noChangeArrowheads="1"/>
        </xdr:cNvPicPr>
      </xdr:nvPicPr>
      <xdr:blipFill>
        <a:blip xmlns:r="http://schemas.openxmlformats.org/officeDocument/2006/relationships" r:embed="rId4" r:link="rId3">
          <a:extLst>
            <a:ext uri="{28A0092B-C50C-407E-A947-70E740481C1C}">
              <a14:useLocalDpi xmlns:a14="http://schemas.microsoft.com/office/drawing/2010/main" val="0"/>
            </a:ext>
          </a:extLst>
        </a:blip>
        <a:srcRect/>
        <a:stretch>
          <a:fillRect/>
        </a:stretch>
      </xdr:blipFill>
      <xdr:spPr bwMode="auto">
        <a:xfrm>
          <a:off x="25222200" y="403955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132</xdr:row>
      <xdr:rowOff>161925</xdr:rowOff>
    </xdr:from>
    <xdr:to>
      <xdr:col>22</xdr:col>
      <xdr:colOff>1952625</xdr:colOff>
      <xdr:row>133</xdr:row>
      <xdr:rowOff>190500</xdr:rowOff>
    </xdr:to>
    <xdr:pic>
      <xdr:nvPicPr>
        <xdr:cNvPr id="36631" name="Picture 7" descr="C:\WINDOWS\TEMP\~0003946.gif">
          <a:extLst>
            <a:ext uri="{FF2B5EF4-FFF2-40B4-BE49-F238E27FC236}">
              <a16:creationId xmlns:a16="http://schemas.microsoft.com/office/drawing/2014/main" id="{00000000-0008-0000-0C00-0000178F0000}"/>
            </a:ext>
          </a:extLst>
        </xdr:cNvPr>
        <xdr:cNvPicPr>
          <a:picLocks noChangeAspect="1" noChangeArrowheads="1"/>
        </xdr:cNvPicPr>
      </xdr:nvPicPr>
      <xdr:blipFill>
        <a:blip xmlns:r="http://schemas.openxmlformats.org/officeDocument/2006/relationships" r:embed="rId4" r:link="rId3">
          <a:extLst>
            <a:ext uri="{28A0092B-C50C-407E-A947-70E740481C1C}">
              <a14:useLocalDpi xmlns:a14="http://schemas.microsoft.com/office/drawing/2010/main" val="0"/>
            </a:ext>
          </a:extLst>
        </a:blip>
        <a:srcRect/>
        <a:stretch>
          <a:fillRect/>
        </a:stretch>
      </xdr:blipFill>
      <xdr:spPr bwMode="auto">
        <a:xfrm>
          <a:off x="25222200" y="27117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36632" name="Picture 8" descr="C:\WINDOWS\TEMP\~0003946.gif">
          <a:extLst>
            <a:ext uri="{FF2B5EF4-FFF2-40B4-BE49-F238E27FC236}">
              <a16:creationId xmlns:a16="http://schemas.microsoft.com/office/drawing/2014/main" id="{00000000-0008-0000-0C00-0000188F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36633" name="Picture 9" descr="C:\WINDOWS\TEMP\~0003946.gif">
          <a:extLst>
            <a:ext uri="{FF2B5EF4-FFF2-40B4-BE49-F238E27FC236}">
              <a16:creationId xmlns:a16="http://schemas.microsoft.com/office/drawing/2014/main" id="{00000000-0008-0000-0C00-0000198F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132</xdr:row>
      <xdr:rowOff>123825</xdr:rowOff>
    </xdr:from>
    <xdr:to>
      <xdr:col>22</xdr:col>
      <xdr:colOff>895350</xdr:colOff>
      <xdr:row>133</xdr:row>
      <xdr:rowOff>152400</xdr:rowOff>
    </xdr:to>
    <xdr:pic>
      <xdr:nvPicPr>
        <xdr:cNvPr id="36634" name="Picture 10" descr="C:\WINDOWS\TEMP\~0003946.gif">
          <a:extLst>
            <a:ext uri="{FF2B5EF4-FFF2-40B4-BE49-F238E27FC236}">
              <a16:creationId xmlns:a16="http://schemas.microsoft.com/office/drawing/2014/main" id="{00000000-0008-0000-0C00-00001A8F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4307800" y="27079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198</xdr:row>
      <xdr:rowOff>104775</xdr:rowOff>
    </xdr:from>
    <xdr:to>
      <xdr:col>22</xdr:col>
      <xdr:colOff>809625</xdr:colOff>
      <xdr:row>199</xdr:row>
      <xdr:rowOff>133350</xdr:rowOff>
    </xdr:to>
    <xdr:pic>
      <xdr:nvPicPr>
        <xdr:cNvPr id="36635" name="Picture 11" descr="C:\WINDOWS\TEMP\~0003946.gif">
          <a:extLst>
            <a:ext uri="{FF2B5EF4-FFF2-40B4-BE49-F238E27FC236}">
              <a16:creationId xmlns:a16="http://schemas.microsoft.com/office/drawing/2014/main" id="{00000000-0008-0000-0C00-00001B8F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4222075" y="403479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294</xdr:row>
      <xdr:rowOff>104775</xdr:rowOff>
    </xdr:from>
    <xdr:to>
      <xdr:col>22</xdr:col>
      <xdr:colOff>895350</xdr:colOff>
      <xdr:row>295</xdr:row>
      <xdr:rowOff>133350</xdr:rowOff>
    </xdr:to>
    <xdr:pic>
      <xdr:nvPicPr>
        <xdr:cNvPr id="36636" name="Picture 12" descr="C:\WINDOWS\TEMP\~0003946.gif">
          <a:extLst>
            <a:ext uri="{FF2B5EF4-FFF2-40B4-BE49-F238E27FC236}">
              <a16:creationId xmlns:a16="http://schemas.microsoft.com/office/drawing/2014/main" id="{00000000-0008-0000-0C00-00001C8F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4307800" y="596360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36637" name="Picture 13" descr="logoMTL">
          <a:extLst>
            <a:ext uri="{FF2B5EF4-FFF2-40B4-BE49-F238E27FC236}">
              <a16:creationId xmlns:a16="http://schemas.microsoft.com/office/drawing/2014/main" id="{00000000-0008-0000-0C00-00001D8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132</xdr:row>
      <xdr:rowOff>38100</xdr:rowOff>
    </xdr:from>
    <xdr:to>
      <xdr:col>21</xdr:col>
      <xdr:colOff>1171575</xdr:colOff>
      <xdr:row>133</xdr:row>
      <xdr:rowOff>161925</xdr:rowOff>
    </xdr:to>
    <xdr:pic>
      <xdr:nvPicPr>
        <xdr:cNvPr id="36638" name="Picture 14" descr="logoMTL">
          <a:extLst>
            <a:ext uri="{FF2B5EF4-FFF2-40B4-BE49-F238E27FC236}">
              <a16:creationId xmlns:a16="http://schemas.microsoft.com/office/drawing/2014/main" id="{00000000-0008-0000-0C00-00001E8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6993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198</xdr:row>
      <xdr:rowOff>28575</xdr:rowOff>
    </xdr:from>
    <xdr:to>
      <xdr:col>21</xdr:col>
      <xdr:colOff>1171575</xdr:colOff>
      <xdr:row>199</xdr:row>
      <xdr:rowOff>152400</xdr:rowOff>
    </xdr:to>
    <xdr:pic>
      <xdr:nvPicPr>
        <xdr:cNvPr id="36639" name="Picture 15" descr="logoMTL">
          <a:extLst>
            <a:ext uri="{FF2B5EF4-FFF2-40B4-BE49-F238E27FC236}">
              <a16:creationId xmlns:a16="http://schemas.microsoft.com/office/drawing/2014/main" id="{00000000-0008-0000-0C00-00001F8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02717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294</xdr:row>
      <xdr:rowOff>0</xdr:rowOff>
    </xdr:from>
    <xdr:to>
      <xdr:col>21</xdr:col>
      <xdr:colOff>1228725</xdr:colOff>
      <xdr:row>295</xdr:row>
      <xdr:rowOff>123825</xdr:rowOff>
    </xdr:to>
    <xdr:pic>
      <xdr:nvPicPr>
        <xdr:cNvPr id="36640" name="Picture 16" descr="logoMTL">
          <a:extLst>
            <a:ext uri="{FF2B5EF4-FFF2-40B4-BE49-F238E27FC236}">
              <a16:creationId xmlns:a16="http://schemas.microsoft.com/office/drawing/2014/main" id="{00000000-0008-0000-0C00-0000208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95312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37649" name="Picture 1" descr="C:\WINDOWS\TEMP\Symbol.gif">
          <a:extLst>
            <a:ext uri="{FF2B5EF4-FFF2-40B4-BE49-F238E27FC236}">
              <a16:creationId xmlns:a16="http://schemas.microsoft.com/office/drawing/2014/main" id="{00000000-0008-0000-0D00-0000119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161925</xdr:rowOff>
    </xdr:from>
    <xdr:to>
      <xdr:col>1</xdr:col>
      <xdr:colOff>28575</xdr:colOff>
      <xdr:row>133</xdr:row>
      <xdr:rowOff>200025</xdr:rowOff>
    </xdr:to>
    <xdr:pic>
      <xdr:nvPicPr>
        <xdr:cNvPr id="37650" name="Picture 2" descr="C:\WINDOWS\TEMP\Symbol.gif">
          <a:extLst>
            <a:ext uri="{FF2B5EF4-FFF2-40B4-BE49-F238E27FC236}">
              <a16:creationId xmlns:a16="http://schemas.microsoft.com/office/drawing/2014/main" id="{00000000-0008-0000-0D00-0000129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117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198</xdr:row>
      <xdr:rowOff>171450</xdr:rowOff>
    </xdr:from>
    <xdr:to>
      <xdr:col>1</xdr:col>
      <xdr:colOff>47625</xdr:colOff>
      <xdr:row>199</xdr:row>
      <xdr:rowOff>209550</xdr:rowOff>
    </xdr:to>
    <xdr:pic>
      <xdr:nvPicPr>
        <xdr:cNvPr id="37651" name="Picture 3" descr="C:\WINDOWS\TEMP\Symbol.gif">
          <a:extLst>
            <a:ext uri="{FF2B5EF4-FFF2-40B4-BE49-F238E27FC236}">
              <a16:creationId xmlns:a16="http://schemas.microsoft.com/office/drawing/2014/main" id="{00000000-0008-0000-0D00-0000139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47625" y="404145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294</xdr:row>
      <xdr:rowOff>161925</xdr:rowOff>
    </xdr:from>
    <xdr:to>
      <xdr:col>1</xdr:col>
      <xdr:colOff>19050</xdr:colOff>
      <xdr:row>295</xdr:row>
      <xdr:rowOff>200025</xdr:rowOff>
    </xdr:to>
    <xdr:pic>
      <xdr:nvPicPr>
        <xdr:cNvPr id="37652" name="Picture 4" descr="C:\WINDOWS\TEMP\Symbol.gif">
          <a:extLst>
            <a:ext uri="{FF2B5EF4-FFF2-40B4-BE49-F238E27FC236}">
              <a16:creationId xmlns:a16="http://schemas.microsoft.com/office/drawing/2014/main" id="{00000000-0008-0000-0D00-0000149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6931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294</xdr:row>
      <xdr:rowOff>123825</xdr:rowOff>
    </xdr:from>
    <xdr:to>
      <xdr:col>22</xdr:col>
      <xdr:colOff>1895475</xdr:colOff>
      <xdr:row>295</xdr:row>
      <xdr:rowOff>152400</xdr:rowOff>
    </xdr:to>
    <xdr:pic>
      <xdr:nvPicPr>
        <xdr:cNvPr id="37653" name="Picture 5" descr="C:\WINDOWS\TEMP\~0003946.gif">
          <a:extLst>
            <a:ext uri="{FF2B5EF4-FFF2-40B4-BE49-F238E27FC236}">
              <a16:creationId xmlns:a16="http://schemas.microsoft.com/office/drawing/2014/main" id="{00000000-0008-0000-0D00-00001593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965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198</xdr:row>
      <xdr:rowOff>152400</xdr:rowOff>
    </xdr:from>
    <xdr:to>
      <xdr:col>22</xdr:col>
      <xdr:colOff>1924050</xdr:colOff>
      <xdr:row>199</xdr:row>
      <xdr:rowOff>180975</xdr:rowOff>
    </xdr:to>
    <xdr:pic>
      <xdr:nvPicPr>
        <xdr:cNvPr id="37654" name="Picture 6" descr="C:\WINDOWS\TEMP\~0003946.gif">
          <a:extLst>
            <a:ext uri="{FF2B5EF4-FFF2-40B4-BE49-F238E27FC236}">
              <a16:creationId xmlns:a16="http://schemas.microsoft.com/office/drawing/2014/main" id="{00000000-0008-0000-0D00-00001693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03955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132</xdr:row>
      <xdr:rowOff>161925</xdr:rowOff>
    </xdr:from>
    <xdr:to>
      <xdr:col>22</xdr:col>
      <xdr:colOff>1952625</xdr:colOff>
      <xdr:row>133</xdr:row>
      <xdr:rowOff>190500</xdr:rowOff>
    </xdr:to>
    <xdr:pic>
      <xdr:nvPicPr>
        <xdr:cNvPr id="37655" name="Picture 7" descr="C:\WINDOWS\TEMP\~0003946.gif">
          <a:extLst>
            <a:ext uri="{FF2B5EF4-FFF2-40B4-BE49-F238E27FC236}">
              <a16:creationId xmlns:a16="http://schemas.microsoft.com/office/drawing/2014/main" id="{00000000-0008-0000-0D00-00001793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117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37656" name="Picture 8" descr="C:\WINDOWS\TEMP\~0003946.gif">
          <a:extLst>
            <a:ext uri="{FF2B5EF4-FFF2-40B4-BE49-F238E27FC236}">
              <a16:creationId xmlns:a16="http://schemas.microsoft.com/office/drawing/2014/main" id="{00000000-0008-0000-0D00-00001893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37657" name="Picture 9" descr="C:\WINDOWS\TEMP\~0003946.gif">
          <a:extLst>
            <a:ext uri="{FF2B5EF4-FFF2-40B4-BE49-F238E27FC236}">
              <a16:creationId xmlns:a16="http://schemas.microsoft.com/office/drawing/2014/main" id="{00000000-0008-0000-0D00-00001993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132</xdr:row>
      <xdr:rowOff>123825</xdr:rowOff>
    </xdr:from>
    <xdr:to>
      <xdr:col>22</xdr:col>
      <xdr:colOff>895350</xdr:colOff>
      <xdr:row>133</xdr:row>
      <xdr:rowOff>152400</xdr:rowOff>
    </xdr:to>
    <xdr:pic>
      <xdr:nvPicPr>
        <xdr:cNvPr id="37658" name="Picture 10" descr="C:\WINDOWS\TEMP\~0003946.gif">
          <a:extLst>
            <a:ext uri="{FF2B5EF4-FFF2-40B4-BE49-F238E27FC236}">
              <a16:creationId xmlns:a16="http://schemas.microsoft.com/office/drawing/2014/main" id="{00000000-0008-0000-0D00-00001A93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079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198</xdr:row>
      <xdr:rowOff>104775</xdr:rowOff>
    </xdr:from>
    <xdr:to>
      <xdr:col>22</xdr:col>
      <xdr:colOff>809625</xdr:colOff>
      <xdr:row>199</xdr:row>
      <xdr:rowOff>133350</xdr:rowOff>
    </xdr:to>
    <xdr:pic>
      <xdr:nvPicPr>
        <xdr:cNvPr id="37659" name="Picture 11" descr="C:\WINDOWS\TEMP\~0003946.gif">
          <a:extLst>
            <a:ext uri="{FF2B5EF4-FFF2-40B4-BE49-F238E27FC236}">
              <a16:creationId xmlns:a16="http://schemas.microsoft.com/office/drawing/2014/main" id="{00000000-0008-0000-0D00-00001B93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03479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294</xdr:row>
      <xdr:rowOff>104775</xdr:rowOff>
    </xdr:from>
    <xdr:to>
      <xdr:col>22</xdr:col>
      <xdr:colOff>895350</xdr:colOff>
      <xdr:row>295</xdr:row>
      <xdr:rowOff>133350</xdr:rowOff>
    </xdr:to>
    <xdr:pic>
      <xdr:nvPicPr>
        <xdr:cNvPr id="37660" name="Picture 12" descr="C:\WINDOWS\TEMP\~0003946.gif">
          <a:extLst>
            <a:ext uri="{FF2B5EF4-FFF2-40B4-BE49-F238E27FC236}">
              <a16:creationId xmlns:a16="http://schemas.microsoft.com/office/drawing/2014/main" id="{00000000-0008-0000-0D00-00001C93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96360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37661" name="Picture 13" descr="logoMTL">
          <a:extLst>
            <a:ext uri="{FF2B5EF4-FFF2-40B4-BE49-F238E27FC236}">
              <a16:creationId xmlns:a16="http://schemas.microsoft.com/office/drawing/2014/main" id="{00000000-0008-0000-0D00-00001D9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132</xdr:row>
      <xdr:rowOff>38100</xdr:rowOff>
    </xdr:from>
    <xdr:to>
      <xdr:col>21</xdr:col>
      <xdr:colOff>1171575</xdr:colOff>
      <xdr:row>133</xdr:row>
      <xdr:rowOff>161925</xdr:rowOff>
    </xdr:to>
    <xdr:pic>
      <xdr:nvPicPr>
        <xdr:cNvPr id="37662" name="Picture 14" descr="logoMTL">
          <a:extLst>
            <a:ext uri="{FF2B5EF4-FFF2-40B4-BE49-F238E27FC236}">
              <a16:creationId xmlns:a16="http://schemas.microsoft.com/office/drawing/2014/main" id="{00000000-0008-0000-0D00-00001E9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6993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198</xdr:row>
      <xdr:rowOff>28575</xdr:rowOff>
    </xdr:from>
    <xdr:to>
      <xdr:col>21</xdr:col>
      <xdr:colOff>1171575</xdr:colOff>
      <xdr:row>199</xdr:row>
      <xdr:rowOff>152400</xdr:rowOff>
    </xdr:to>
    <xdr:pic>
      <xdr:nvPicPr>
        <xdr:cNvPr id="37663" name="Picture 15" descr="logoMTL">
          <a:extLst>
            <a:ext uri="{FF2B5EF4-FFF2-40B4-BE49-F238E27FC236}">
              <a16:creationId xmlns:a16="http://schemas.microsoft.com/office/drawing/2014/main" id="{00000000-0008-0000-0D00-00001F9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02717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294</xdr:row>
      <xdr:rowOff>0</xdr:rowOff>
    </xdr:from>
    <xdr:to>
      <xdr:col>21</xdr:col>
      <xdr:colOff>1228725</xdr:colOff>
      <xdr:row>295</xdr:row>
      <xdr:rowOff>123825</xdr:rowOff>
    </xdr:to>
    <xdr:pic>
      <xdr:nvPicPr>
        <xdr:cNvPr id="37664" name="Picture 16" descr="logoMTL">
          <a:extLst>
            <a:ext uri="{FF2B5EF4-FFF2-40B4-BE49-F238E27FC236}">
              <a16:creationId xmlns:a16="http://schemas.microsoft.com/office/drawing/2014/main" id="{00000000-0008-0000-0D00-0000209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95312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38641" name="Picture 1" descr="C:\WINDOWS\TEMP\Symbol.gif">
          <a:extLst>
            <a:ext uri="{FF2B5EF4-FFF2-40B4-BE49-F238E27FC236}">
              <a16:creationId xmlns:a16="http://schemas.microsoft.com/office/drawing/2014/main" id="{00000000-0008-0000-0E00-0000F196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161925</xdr:rowOff>
    </xdr:from>
    <xdr:to>
      <xdr:col>1</xdr:col>
      <xdr:colOff>28575</xdr:colOff>
      <xdr:row>133</xdr:row>
      <xdr:rowOff>200025</xdr:rowOff>
    </xdr:to>
    <xdr:pic>
      <xdr:nvPicPr>
        <xdr:cNvPr id="38642" name="Picture 2" descr="C:\WINDOWS\TEMP\Symbol.gif">
          <a:extLst>
            <a:ext uri="{FF2B5EF4-FFF2-40B4-BE49-F238E27FC236}">
              <a16:creationId xmlns:a16="http://schemas.microsoft.com/office/drawing/2014/main" id="{00000000-0008-0000-0E00-0000F296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117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198</xdr:row>
      <xdr:rowOff>171450</xdr:rowOff>
    </xdr:from>
    <xdr:to>
      <xdr:col>1</xdr:col>
      <xdr:colOff>47625</xdr:colOff>
      <xdr:row>199</xdr:row>
      <xdr:rowOff>209550</xdr:rowOff>
    </xdr:to>
    <xdr:pic>
      <xdr:nvPicPr>
        <xdr:cNvPr id="38643" name="Picture 3" descr="C:\WINDOWS\TEMP\Symbol.gif">
          <a:extLst>
            <a:ext uri="{FF2B5EF4-FFF2-40B4-BE49-F238E27FC236}">
              <a16:creationId xmlns:a16="http://schemas.microsoft.com/office/drawing/2014/main" id="{00000000-0008-0000-0E00-0000F396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04145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294</xdr:row>
      <xdr:rowOff>161925</xdr:rowOff>
    </xdr:from>
    <xdr:to>
      <xdr:col>1</xdr:col>
      <xdr:colOff>19050</xdr:colOff>
      <xdr:row>295</xdr:row>
      <xdr:rowOff>200025</xdr:rowOff>
    </xdr:to>
    <xdr:pic>
      <xdr:nvPicPr>
        <xdr:cNvPr id="38644" name="Picture 4" descr="C:\WINDOWS\TEMP\Symbol.gif">
          <a:extLst>
            <a:ext uri="{FF2B5EF4-FFF2-40B4-BE49-F238E27FC236}">
              <a16:creationId xmlns:a16="http://schemas.microsoft.com/office/drawing/2014/main" id="{00000000-0008-0000-0E00-0000F496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6931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294</xdr:row>
      <xdr:rowOff>123825</xdr:rowOff>
    </xdr:from>
    <xdr:to>
      <xdr:col>22</xdr:col>
      <xdr:colOff>1895475</xdr:colOff>
      <xdr:row>295</xdr:row>
      <xdr:rowOff>152400</xdr:rowOff>
    </xdr:to>
    <xdr:pic>
      <xdr:nvPicPr>
        <xdr:cNvPr id="38645" name="Picture 5" descr="C:\WINDOWS\TEMP\~0003946.gif">
          <a:extLst>
            <a:ext uri="{FF2B5EF4-FFF2-40B4-BE49-F238E27FC236}">
              <a16:creationId xmlns:a16="http://schemas.microsoft.com/office/drawing/2014/main" id="{00000000-0008-0000-0E00-0000F596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965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198</xdr:row>
      <xdr:rowOff>152400</xdr:rowOff>
    </xdr:from>
    <xdr:to>
      <xdr:col>22</xdr:col>
      <xdr:colOff>1924050</xdr:colOff>
      <xdr:row>199</xdr:row>
      <xdr:rowOff>180975</xdr:rowOff>
    </xdr:to>
    <xdr:pic>
      <xdr:nvPicPr>
        <xdr:cNvPr id="38646" name="Picture 6" descr="C:\WINDOWS\TEMP\~0003946.gif">
          <a:extLst>
            <a:ext uri="{FF2B5EF4-FFF2-40B4-BE49-F238E27FC236}">
              <a16:creationId xmlns:a16="http://schemas.microsoft.com/office/drawing/2014/main" id="{00000000-0008-0000-0E00-0000F696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03955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132</xdr:row>
      <xdr:rowOff>161925</xdr:rowOff>
    </xdr:from>
    <xdr:to>
      <xdr:col>22</xdr:col>
      <xdr:colOff>1952625</xdr:colOff>
      <xdr:row>133</xdr:row>
      <xdr:rowOff>190500</xdr:rowOff>
    </xdr:to>
    <xdr:pic>
      <xdr:nvPicPr>
        <xdr:cNvPr id="38647" name="Picture 7" descr="C:\WINDOWS\TEMP\~0003946.gif">
          <a:extLst>
            <a:ext uri="{FF2B5EF4-FFF2-40B4-BE49-F238E27FC236}">
              <a16:creationId xmlns:a16="http://schemas.microsoft.com/office/drawing/2014/main" id="{00000000-0008-0000-0E00-0000F796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117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38648" name="Picture 8" descr="C:\WINDOWS\TEMP\~0003946.gif">
          <a:extLst>
            <a:ext uri="{FF2B5EF4-FFF2-40B4-BE49-F238E27FC236}">
              <a16:creationId xmlns:a16="http://schemas.microsoft.com/office/drawing/2014/main" id="{00000000-0008-0000-0E00-0000F896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38649" name="Picture 9" descr="C:\WINDOWS\TEMP\~0003946.gif">
          <a:extLst>
            <a:ext uri="{FF2B5EF4-FFF2-40B4-BE49-F238E27FC236}">
              <a16:creationId xmlns:a16="http://schemas.microsoft.com/office/drawing/2014/main" id="{00000000-0008-0000-0E00-0000F996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132</xdr:row>
      <xdr:rowOff>123825</xdr:rowOff>
    </xdr:from>
    <xdr:to>
      <xdr:col>22</xdr:col>
      <xdr:colOff>895350</xdr:colOff>
      <xdr:row>133</xdr:row>
      <xdr:rowOff>152400</xdr:rowOff>
    </xdr:to>
    <xdr:pic>
      <xdr:nvPicPr>
        <xdr:cNvPr id="38650" name="Picture 10" descr="C:\WINDOWS\TEMP\~0003946.gif">
          <a:extLst>
            <a:ext uri="{FF2B5EF4-FFF2-40B4-BE49-F238E27FC236}">
              <a16:creationId xmlns:a16="http://schemas.microsoft.com/office/drawing/2014/main" id="{00000000-0008-0000-0E00-0000FA96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079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198</xdr:row>
      <xdr:rowOff>104775</xdr:rowOff>
    </xdr:from>
    <xdr:to>
      <xdr:col>22</xdr:col>
      <xdr:colOff>809625</xdr:colOff>
      <xdr:row>199</xdr:row>
      <xdr:rowOff>133350</xdr:rowOff>
    </xdr:to>
    <xdr:pic>
      <xdr:nvPicPr>
        <xdr:cNvPr id="38651" name="Picture 11" descr="C:\WINDOWS\TEMP\~0003946.gif">
          <a:extLst>
            <a:ext uri="{FF2B5EF4-FFF2-40B4-BE49-F238E27FC236}">
              <a16:creationId xmlns:a16="http://schemas.microsoft.com/office/drawing/2014/main" id="{00000000-0008-0000-0E00-0000FB96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03479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294</xdr:row>
      <xdr:rowOff>104775</xdr:rowOff>
    </xdr:from>
    <xdr:to>
      <xdr:col>22</xdr:col>
      <xdr:colOff>895350</xdr:colOff>
      <xdr:row>295</xdr:row>
      <xdr:rowOff>133350</xdr:rowOff>
    </xdr:to>
    <xdr:pic>
      <xdr:nvPicPr>
        <xdr:cNvPr id="38652" name="Picture 12" descr="C:\WINDOWS\TEMP\~0003946.gif">
          <a:extLst>
            <a:ext uri="{FF2B5EF4-FFF2-40B4-BE49-F238E27FC236}">
              <a16:creationId xmlns:a16="http://schemas.microsoft.com/office/drawing/2014/main" id="{00000000-0008-0000-0E00-0000FC96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96360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38653" name="Picture 13" descr="logoMTL">
          <a:extLst>
            <a:ext uri="{FF2B5EF4-FFF2-40B4-BE49-F238E27FC236}">
              <a16:creationId xmlns:a16="http://schemas.microsoft.com/office/drawing/2014/main" id="{00000000-0008-0000-0E00-0000FD9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132</xdr:row>
      <xdr:rowOff>38100</xdr:rowOff>
    </xdr:from>
    <xdr:to>
      <xdr:col>21</xdr:col>
      <xdr:colOff>1171575</xdr:colOff>
      <xdr:row>133</xdr:row>
      <xdr:rowOff>161925</xdr:rowOff>
    </xdr:to>
    <xdr:pic>
      <xdr:nvPicPr>
        <xdr:cNvPr id="38654" name="Picture 14" descr="logoMTL">
          <a:extLst>
            <a:ext uri="{FF2B5EF4-FFF2-40B4-BE49-F238E27FC236}">
              <a16:creationId xmlns:a16="http://schemas.microsoft.com/office/drawing/2014/main" id="{00000000-0008-0000-0E00-0000FE9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6993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198</xdr:row>
      <xdr:rowOff>28575</xdr:rowOff>
    </xdr:from>
    <xdr:to>
      <xdr:col>21</xdr:col>
      <xdr:colOff>1171575</xdr:colOff>
      <xdr:row>199</xdr:row>
      <xdr:rowOff>152400</xdr:rowOff>
    </xdr:to>
    <xdr:pic>
      <xdr:nvPicPr>
        <xdr:cNvPr id="38655" name="Picture 15" descr="logoMTL">
          <a:extLst>
            <a:ext uri="{FF2B5EF4-FFF2-40B4-BE49-F238E27FC236}">
              <a16:creationId xmlns:a16="http://schemas.microsoft.com/office/drawing/2014/main" id="{00000000-0008-0000-0E00-0000FF9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02717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294</xdr:row>
      <xdr:rowOff>0</xdr:rowOff>
    </xdr:from>
    <xdr:to>
      <xdr:col>21</xdr:col>
      <xdr:colOff>1228725</xdr:colOff>
      <xdr:row>295</xdr:row>
      <xdr:rowOff>123825</xdr:rowOff>
    </xdr:to>
    <xdr:pic>
      <xdr:nvPicPr>
        <xdr:cNvPr id="38656" name="Picture 16" descr="logoMTL">
          <a:extLst>
            <a:ext uri="{FF2B5EF4-FFF2-40B4-BE49-F238E27FC236}">
              <a16:creationId xmlns:a16="http://schemas.microsoft.com/office/drawing/2014/main" id="{00000000-0008-0000-0E00-0000009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95312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40625" name="Picture 1" descr="C:\WINDOWS\TEMP\Symbol.gif">
          <a:extLst>
            <a:ext uri="{FF2B5EF4-FFF2-40B4-BE49-F238E27FC236}">
              <a16:creationId xmlns:a16="http://schemas.microsoft.com/office/drawing/2014/main" id="{00000000-0008-0000-0F00-0000B19E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161925</xdr:rowOff>
    </xdr:from>
    <xdr:to>
      <xdr:col>1</xdr:col>
      <xdr:colOff>28575</xdr:colOff>
      <xdr:row>133</xdr:row>
      <xdr:rowOff>200025</xdr:rowOff>
    </xdr:to>
    <xdr:pic>
      <xdr:nvPicPr>
        <xdr:cNvPr id="40626" name="Picture 2" descr="C:\WINDOWS\TEMP\Symbol.gif">
          <a:extLst>
            <a:ext uri="{FF2B5EF4-FFF2-40B4-BE49-F238E27FC236}">
              <a16:creationId xmlns:a16="http://schemas.microsoft.com/office/drawing/2014/main" id="{00000000-0008-0000-0F00-0000B29E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117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198</xdr:row>
      <xdr:rowOff>171450</xdr:rowOff>
    </xdr:from>
    <xdr:to>
      <xdr:col>1</xdr:col>
      <xdr:colOff>47625</xdr:colOff>
      <xdr:row>199</xdr:row>
      <xdr:rowOff>209550</xdr:rowOff>
    </xdr:to>
    <xdr:pic>
      <xdr:nvPicPr>
        <xdr:cNvPr id="40627" name="Picture 3" descr="C:\WINDOWS\TEMP\Symbol.gif">
          <a:extLst>
            <a:ext uri="{FF2B5EF4-FFF2-40B4-BE49-F238E27FC236}">
              <a16:creationId xmlns:a16="http://schemas.microsoft.com/office/drawing/2014/main" id="{00000000-0008-0000-0F00-0000B39E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04145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294</xdr:row>
      <xdr:rowOff>161925</xdr:rowOff>
    </xdr:from>
    <xdr:to>
      <xdr:col>1</xdr:col>
      <xdr:colOff>19050</xdr:colOff>
      <xdr:row>295</xdr:row>
      <xdr:rowOff>200025</xdr:rowOff>
    </xdr:to>
    <xdr:pic>
      <xdr:nvPicPr>
        <xdr:cNvPr id="40628" name="Picture 4" descr="C:\WINDOWS\TEMP\Symbol.gif">
          <a:extLst>
            <a:ext uri="{FF2B5EF4-FFF2-40B4-BE49-F238E27FC236}">
              <a16:creationId xmlns:a16="http://schemas.microsoft.com/office/drawing/2014/main" id="{00000000-0008-0000-0F00-0000B49E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6931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294</xdr:row>
      <xdr:rowOff>123825</xdr:rowOff>
    </xdr:from>
    <xdr:to>
      <xdr:col>22</xdr:col>
      <xdr:colOff>1895475</xdr:colOff>
      <xdr:row>295</xdr:row>
      <xdr:rowOff>152400</xdr:rowOff>
    </xdr:to>
    <xdr:pic>
      <xdr:nvPicPr>
        <xdr:cNvPr id="40629" name="Picture 5" descr="C:\WINDOWS\TEMP\~0003946.gif">
          <a:extLst>
            <a:ext uri="{FF2B5EF4-FFF2-40B4-BE49-F238E27FC236}">
              <a16:creationId xmlns:a16="http://schemas.microsoft.com/office/drawing/2014/main" id="{00000000-0008-0000-0F00-0000B59E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965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198</xdr:row>
      <xdr:rowOff>152400</xdr:rowOff>
    </xdr:from>
    <xdr:to>
      <xdr:col>22</xdr:col>
      <xdr:colOff>1924050</xdr:colOff>
      <xdr:row>199</xdr:row>
      <xdr:rowOff>180975</xdr:rowOff>
    </xdr:to>
    <xdr:pic>
      <xdr:nvPicPr>
        <xdr:cNvPr id="40630" name="Picture 6" descr="C:\WINDOWS\TEMP\~0003946.gif">
          <a:extLst>
            <a:ext uri="{FF2B5EF4-FFF2-40B4-BE49-F238E27FC236}">
              <a16:creationId xmlns:a16="http://schemas.microsoft.com/office/drawing/2014/main" id="{00000000-0008-0000-0F00-0000B69E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03955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132</xdr:row>
      <xdr:rowOff>161925</xdr:rowOff>
    </xdr:from>
    <xdr:to>
      <xdr:col>22</xdr:col>
      <xdr:colOff>1952625</xdr:colOff>
      <xdr:row>133</xdr:row>
      <xdr:rowOff>190500</xdr:rowOff>
    </xdr:to>
    <xdr:pic>
      <xdr:nvPicPr>
        <xdr:cNvPr id="40631" name="Picture 7" descr="C:\WINDOWS\TEMP\~0003946.gif">
          <a:extLst>
            <a:ext uri="{FF2B5EF4-FFF2-40B4-BE49-F238E27FC236}">
              <a16:creationId xmlns:a16="http://schemas.microsoft.com/office/drawing/2014/main" id="{00000000-0008-0000-0F00-0000B79E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117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40632" name="Picture 8" descr="C:\WINDOWS\TEMP\~0003946.gif">
          <a:extLst>
            <a:ext uri="{FF2B5EF4-FFF2-40B4-BE49-F238E27FC236}">
              <a16:creationId xmlns:a16="http://schemas.microsoft.com/office/drawing/2014/main" id="{00000000-0008-0000-0F00-0000B89E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40633" name="Picture 9" descr="C:\WINDOWS\TEMP\~0003946.gif">
          <a:extLst>
            <a:ext uri="{FF2B5EF4-FFF2-40B4-BE49-F238E27FC236}">
              <a16:creationId xmlns:a16="http://schemas.microsoft.com/office/drawing/2014/main" id="{00000000-0008-0000-0F00-0000B99E0000}"/>
            </a:ext>
          </a:extLst>
        </xdr:cNvPr>
        <xdr:cNvPicPr>
          <a:picLocks noChangeAspect="1" noChangeArrowheads="1"/>
        </xdr:cNvPicPr>
      </xdr:nvPicPr>
      <xdr:blipFill>
        <a:blip xmlns:r="http://schemas.openxmlformats.org/officeDocument/2006/relationships" r:link="rId4">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132</xdr:row>
      <xdr:rowOff>123825</xdr:rowOff>
    </xdr:from>
    <xdr:to>
      <xdr:col>22</xdr:col>
      <xdr:colOff>895350</xdr:colOff>
      <xdr:row>133</xdr:row>
      <xdr:rowOff>152400</xdr:rowOff>
    </xdr:to>
    <xdr:pic>
      <xdr:nvPicPr>
        <xdr:cNvPr id="40634" name="Picture 10" descr="C:\WINDOWS\TEMP\~0003946.gif">
          <a:extLst>
            <a:ext uri="{FF2B5EF4-FFF2-40B4-BE49-F238E27FC236}">
              <a16:creationId xmlns:a16="http://schemas.microsoft.com/office/drawing/2014/main" id="{00000000-0008-0000-0F00-0000BA9E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079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198</xdr:row>
      <xdr:rowOff>104775</xdr:rowOff>
    </xdr:from>
    <xdr:to>
      <xdr:col>22</xdr:col>
      <xdr:colOff>809625</xdr:colOff>
      <xdr:row>199</xdr:row>
      <xdr:rowOff>133350</xdr:rowOff>
    </xdr:to>
    <xdr:pic>
      <xdr:nvPicPr>
        <xdr:cNvPr id="40635" name="Picture 11" descr="C:\WINDOWS\TEMP\~0003946.gif">
          <a:extLst>
            <a:ext uri="{FF2B5EF4-FFF2-40B4-BE49-F238E27FC236}">
              <a16:creationId xmlns:a16="http://schemas.microsoft.com/office/drawing/2014/main" id="{00000000-0008-0000-0F00-0000BB9E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03479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294</xdr:row>
      <xdr:rowOff>104775</xdr:rowOff>
    </xdr:from>
    <xdr:to>
      <xdr:col>22</xdr:col>
      <xdr:colOff>895350</xdr:colOff>
      <xdr:row>295</xdr:row>
      <xdr:rowOff>133350</xdr:rowOff>
    </xdr:to>
    <xdr:pic>
      <xdr:nvPicPr>
        <xdr:cNvPr id="40636" name="Picture 12" descr="C:\WINDOWS\TEMP\~0003946.gif">
          <a:extLst>
            <a:ext uri="{FF2B5EF4-FFF2-40B4-BE49-F238E27FC236}">
              <a16:creationId xmlns:a16="http://schemas.microsoft.com/office/drawing/2014/main" id="{00000000-0008-0000-0F00-0000BC9E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96360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40637" name="Picture 13" descr="logoMTL">
          <a:extLst>
            <a:ext uri="{FF2B5EF4-FFF2-40B4-BE49-F238E27FC236}">
              <a16:creationId xmlns:a16="http://schemas.microsoft.com/office/drawing/2014/main" id="{00000000-0008-0000-0F00-0000BD9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132</xdr:row>
      <xdr:rowOff>38100</xdr:rowOff>
    </xdr:from>
    <xdr:to>
      <xdr:col>21</xdr:col>
      <xdr:colOff>1171575</xdr:colOff>
      <xdr:row>133</xdr:row>
      <xdr:rowOff>161925</xdr:rowOff>
    </xdr:to>
    <xdr:pic>
      <xdr:nvPicPr>
        <xdr:cNvPr id="40638" name="Picture 14" descr="logoMTL">
          <a:extLst>
            <a:ext uri="{FF2B5EF4-FFF2-40B4-BE49-F238E27FC236}">
              <a16:creationId xmlns:a16="http://schemas.microsoft.com/office/drawing/2014/main" id="{00000000-0008-0000-0F00-0000BE9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6993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198</xdr:row>
      <xdr:rowOff>28575</xdr:rowOff>
    </xdr:from>
    <xdr:to>
      <xdr:col>21</xdr:col>
      <xdr:colOff>1171575</xdr:colOff>
      <xdr:row>199</xdr:row>
      <xdr:rowOff>152400</xdr:rowOff>
    </xdr:to>
    <xdr:pic>
      <xdr:nvPicPr>
        <xdr:cNvPr id="40639" name="Picture 15" descr="logoMTL">
          <a:extLst>
            <a:ext uri="{FF2B5EF4-FFF2-40B4-BE49-F238E27FC236}">
              <a16:creationId xmlns:a16="http://schemas.microsoft.com/office/drawing/2014/main" id="{00000000-0008-0000-0F00-0000BF9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02717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294</xdr:row>
      <xdr:rowOff>0</xdr:rowOff>
    </xdr:from>
    <xdr:to>
      <xdr:col>21</xdr:col>
      <xdr:colOff>1228725</xdr:colOff>
      <xdr:row>295</xdr:row>
      <xdr:rowOff>123825</xdr:rowOff>
    </xdr:to>
    <xdr:pic>
      <xdr:nvPicPr>
        <xdr:cNvPr id="40640" name="Picture 16" descr="logoMTL">
          <a:extLst>
            <a:ext uri="{FF2B5EF4-FFF2-40B4-BE49-F238E27FC236}">
              <a16:creationId xmlns:a16="http://schemas.microsoft.com/office/drawing/2014/main" id="{00000000-0008-0000-0F00-0000C09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95312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41601" name="Picture 1" descr="C:\WINDOWS\TEMP\Symbol.gif">
          <a:extLst>
            <a:ext uri="{FF2B5EF4-FFF2-40B4-BE49-F238E27FC236}">
              <a16:creationId xmlns:a16="http://schemas.microsoft.com/office/drawing/2014/main" id="{00000000-0008-0000-1000-000081A2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161925</xdr:rowOff>
    </xdr:from>
    <xdr:to>
      <xdr:col>1</xdr:col>
      <xdr:colOff>28575</xdr:colOff>
      <xdr:row>133</xdr:row>
      <xdr:rowOff>200025</xdr:rowOff>
    </xdr:to>
    <xdr:pic>
      <xdr:nvPicPr>
        <xdr:cNvPr id="41602" name="Picture 2" descr="C:\WINDOWS\TEMP\Symbol.gif">
          <a:extLst>
            <a:ext uri="{FF2B5EF4-FFF2-40B4-BE49-F238E27FC236}">
              <a16:creationId xmlns:a16="http://schemas.microsoft.com/office/drawing/2014/main" id="{00000000-0008-0000-1000-000082A2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117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198</xdr:row>
      <xdr:rowOff>171450</xdr:rowOff>
    </xdr:from>
    <xdr:to>
      <xdr:col>1</xdr:col>
      <xdr:colOff>47625</xdr:colOff>
      <xdr:row>199</xdr:row>
      <xdr:rowOff>209550</xdr:rowOff>
    </xdr:to>
    <xdr:pic>
      <xdr:nvPicPr>
        <xdr:cNvPr id="41603" name="Picture 3" descr="C:\WINDOWS\TEMP\Symbol.gif">
          <a:extLst>
            <a:ext uri="{FF2B5EF4-FFF2-40B4-BE49-F238E27FC236}">
              <a16:creationId xmlns:a16="http://schemas.microsoft.com/office/drawing/2014/main" id="{00000000-0008-0000-1000-000083A2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04145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294</xdr:row>
      <xdr:rowOff>161925</xdr:rowOff>
    </xdr:from>
    <xdr:to>
      <xdr:col>1</xdr:col>
      <xdr:colOff>19050</xdr:colOff>
      <xdr:row>295</xdr:row>
      <xdr:rowOff>200025</xdr:rowOff>
    </xdr:to>
    <xdr:pic>
      <xdr:nvPicPr>
        <xdr:cNvPr id="41604" name="Picture 4" descr="C:\WINDOWS\TEMP\Symbol.gif">
          <a:extLst>
            <a:ext uri="{FF2B5EF4-FFF2-40B4-BE49-F238E27FC236}">
              <a16:creationId xmlns:a16="http://schemas.microsoft.com/office/drawing/2014/main" id="{00000000-0008-0000-1000-000084A2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6931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294</xdr:row>
      <xdr:rowOff>123825</xdr:rowOff>
    </xdr:from>
    <xdr:to>
      <xdr:col>22</xdr:col>
      <xdr:colOff>1895475</xdr:colOff>
      <xdr:row>295</xdr:row>
      <xdr:rowOff>152400</xdr:rowOff>
    </xdr:to>
    <xdr:pic>
      <xdr:nvPicPr>
        <xdr:cNvPr id="41605" name="Picture 5" descr="C:\WINDOWS\TEMP\~0003946.gif">
          <a:extLst>
            <a:ext uri="{FF2B5EF4-FFF2-40B4-BE49-F238E27FC236}">
              <a16:creationId xmlns:a16="http://schemas.microsoft.com/office/drawing/2014/main" id="{00000000-0008-0000-1000-000085A2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965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198</xdr:row>
      <xdr:rowOff>152400</xdr:rowOff>
    </xdr:from>
    <xdr:to>
      <xdr:col>22</xdr:col>
      <xdr:colOff>1924050</xdr:colOff>
      <xdr:row>199</xdr:row>
      <xdr:rowOff>180975</xdr:rowOff>
    </xdr:to>
    <xdr:pic>
      <xdr:nvPicPr>
        <xdr:cNvPr id="41606" name="Picture 6" descr="C:\WINDOWS\TEMP\~0003946.gif">
          <a:extLst>
            <a:ext uri="{FF2B5EF4-FFF2-40B4-BE49-F238E27FC236}">
              <a16:creationId xmlns:a16="http://schemas.microsoft.com/office/drawing/2014/main" id="{00000000-0008-0000-1000-000086A2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03955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132</xdr:row>
      <xdr:rowOff>161925</xdr:rowOff>
    </xdr:from>
    <xdr:to>
      <xdr:col>22</xdr:col>
      <xdr:colOff>1952625</xdr:colOff>
      <xdr:row>133</xdr:row>
      <xdr:rowOff>190500</xdr:rowOff>
    </xdr:to>
    <xdr:pic>
      <xdr:nvPicPr>
        <xdr:cNvPr id="41607" name="Picture 7" descr="C:\WINDOWS\TEMP\~0003946.gif">
          <a:extLst>
            <a:ext uri="{FF2B5EF4-FFF2-40B4-BE49-F238E27FC236}">
              <a16:creationId xmlns:a16="http://schemas.microsoft.com/office/drawing/2014/main" id="{00000000-0008-0000-1000-000087A2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117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41608" name="Picture 8" descr="C:\WINDOWS\TEMP\~0003946.gif">
          <a:extLst>
            <a:ext uri="{FF2B5EF4-FFF2-40B4-BE49-F238E27FC236}">
              <a16:creationId xmlns:a16="http://schemas.microsoft.com/office/drawing/2014/main" id="{00000000-0008-0000-1000-000088A2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41609" name="Picture 9" descr="C:\WINDOWS\TEMP\~0003946.gif">
          <a:extLst>
            <a:ext uri="{FF2B5EF4-FFF2-40B4-BE49-F238E27FC236}">
              <a16:creationId xmlns:a16="http://schemas.microsoft.com/office/drawing/2014/main" id="{00000000-0008-0000-1000-000089A2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132</xdr:row>
      <xdr:rowOff>123825</xdr:rowOff>
    </xdr:from>
    <xdr:to>
      <xdr:col>22</xdr:col>
      <xdr:colOff>895350</xdr:colOff>
      <xdr:row>133</xdr:row>
      <xdr:rowOff>152400</xdr:rowOff>
    </xdr:to>
    <xdr:pic>
      <xdr:nvPicPr>
        <xdr:cNvPr id="41610" name="Picture 10" descr="C:\WINDOWS\TEMP\~0003946.gif">
          <a:extLst>
            <a:ext uri="{FF2B5EF4-FFF2-40B4-BE49-F238E27FC236}">
              <a16:creationId xmlns:a16="http://schemas.microsoft.com/office/drawing/2014/main" id="{00000000-0008-0000-1000-00008AA2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079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198</xdr:row>
      <xdr:rowOff>104775</xdr:rowOff>
    </xdr:from>
    <xdr:to>
      <xdr:col>22</xdr:col>
      <xdr:colOff>809625</xdr:colOff>
      <xdr:row>199</xdr:row>
      <xdr:rowOff>133350</xdr:rowOff>
    </xdr:to>
    <xdr:pic>
      <xdr:nvPicPr>
        <xdr:cNvPr id="41611" name="Picture 11" descr="C:\WINDOWS\TEMP\~0003946.gif">
          <a:extLst>
            <a:ext uri="{FF2B5EF4-FFF2-40B4-BE49-F238E27FC236}">
              <a16:creationId xmlns:a16="http://schemas.microsoft.com/office/drawing/2014/main" id="{00000000-0008-0000-1000-00008BA2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03479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294</xdr:row>
      <xdr:rowOff>104775</xdr:rowOff>
    </xdr:from>
    <xdr:to>
      <xdr:col>22</xdr:col>
      <xdr:colOff>895350</xdr:colOff>
      <xdr:row>295</xdr:row>
      <xdr:rowOff>133350</xdr:rowOff>
    </xdr:to>
    <xdr:pic>
      <xdr:nvPicPr>
        <xdr:cNvPr id="41612" name="Picture 12" descr="C:\WINDOWS\TEMP\~0003946.gif">
          <a:extLst>
            <a:ext uri="{FF2B5EF4-FFF2-40B4-BE49-F238E27FC236}">
              <a16:creationId xmlns:a16="http://schemas.microsoft.com/office/drawing/2014/main" id="{00000000-0008-0000-1000-00008CA2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96360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41613" name="Picture 13" descr="logoMTL">
          <a:extLst>
            <a:ext uri="{FF2B5EF4-FFF2-40B4-BE49-F238E27FC236}">
              <a16:creationId xmlns:a16="http://schemas.microsoft.com/office/drawing/2014/main" id="{00000000-0008-0000-1000-00008DA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132</xdr:row>
      <xdr:rowOff>38100</xdr:rowOff>
    </xdr:from>
    <xdr:to>
      <xdr:col>21</xdr:col>
      <xdr:colOff>1171575</xdr:colOff>
      <xdr:row>133</xdr:row>
      <xdr:rowOff>161925</xdr:rowOff>
    </xdr:to>
    <xdr:pic>
      <xdr:nvPicPr>
        <xdr:cNvPr id="41614" name="Picture 14" descr="logoMTL">
          <a:extLst>
            <a:ext uri="{FF2B5EF4-FFF2-40B4-BE49-F238E27FC236}">
              <a16:creationId xmlns:a16="http://schemas.microsoft.com/office/drawing/2014/main" id="{00000000-0008-0000-1000-00008EA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6993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198</xdr:row>
      <xdr:rowOff>28575</xdr:rowOff>
    </xdr:from>
    <xdr:to>
      <xdr:col>21</xdr:col>
      <xdr:colOff>1171575</xdr:colOff>
      <xdr:row>199</xdr:row>
      <xdr:rowOff>152400</xdr:rowOff>
    </xdr:to>
    <xdr:pic>
      <xdr:nvPicPr>
        <xdr:cNvPr id="41615" name="Picture 15" descr="logoMTL">
          <a:extLst>
            <a:ext uri="{FF2B5EF4-FFF2-40B4-BE49-F238E27FC236}">
              <a16:creationId xmlns:a16="http://schemas.microsoft.com/office/drawing/2014/main" id="{00000000-0008-0000-1000-00008FA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02717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294</xdr:row>
      <xdr:rowOff>0</xdr:rowOff>
    </xdr:from>
    <xdr:to>
      <xdr:col>21</xdr:col>
      <xdr:colOff>1228725</xdr:colOff>
      <xdr:row>295</xdr:row>
      <xdr:rowOff>123825</xdr:rowOff>
    </xdr:to>
    <xdr:pic>
      <xdr:nvPicPr>
        <xdr:cNvPr id="41616" name="Picture 16" descr="logoMTL">
          <a:extLst>
            <a:ext uri="{FF2B5EF4-FFF2-40B4-BE49-F238E27FC236}">
              <a16:creationId xmlns:a16="http://schemas.microsoft.com/office/drawing/2014/main" id="{00000000-0008-0000-1000-000090A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95312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44401" name="Picture 1" descr="C:\WINDOWS\TEMP\Symbol.gif">
          <a:extLst>
            <a:ext uri="{FF2B5EF4-FFF2-40B4-BE49-F238E27FC236}">
              <a16:creationId xmlns:a16="http://schemas.microsoft.com/office/drawing/2014/main" id="{00000000-0008-0000-1100-000071AD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161925</xdr:rowOff>
    </xdr:from>
    <xdr:to>
      <xdr:col>1</xdr:col>
      <xdr:colOff>28575</xdr:colOff>
      <xdr:row>133</xdr:row>
      <xdr:rowOff>200025</xdr:rowOff>
    </xdr:to>
    <xdr:pic>
      <xdr:nvPicPr>
        <xdr:cNvPr id="44402" name="Picture 2" descr="C:\WINDOWS\TEMP\Symbol.gif">
          <a:extLst>
            <a:ext uri="{FF2B5EF4-FFF2-40B4-BE49-F238E27FC236}">
              <a16:creationId xmlns:a16="http://schemas.microsoft.com/office/drawing/2014/main" id="{00000000-0008-0000-1100-000072AD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117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198</xdr:row>
      <xdr:rowOff>171450</xdr:rowOff>
    </xdr:from>
    <xdr:to>
      <xdr:col>1</xdr:col>
      <xdr:colOff>47625</xdr:colOff>
      <xdr:row>199</xdr:row>
      <xdr:rowOff>209550</xdr:rowOff>
    </xdr:to>
    <xdr:pic>
      <xdr:nvPicPr>
        <xdr:cNvPr id="44403" name="Picture 3" descr="C:\WINDOWS\TEMP\Symbol.gif">
          <a:extLst>
            <a:ext uri="{FF2B5EF4-FFF2-40B4-BE49-F238E27FC236}">
              <a16:creationId xmlns:a16="http://schemas.microsoft.com/office/drawing/2014/main" id="{00000000-0008-0000-1100-000073AD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04145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294</xdr:row>
      <xdr:rowOff>161925</xdr:rowOff>
    </xdr:from>
    <xdr:to>
      <xdr:col>1</xdr:col>
      <xdr:colOff>19050</xdr:colOff>
      <xdr:row>295</xdr:row>
      <xdr:rowOff>200025</xdr:rowOff>
    </xdr:to>
    <xdr:pic>
      <xdr:nvPicPr>
        <xdr:cNvPr id="44404" name="Picture 4" descr="C:\WINDOWS\TEMP\Symbol.gif">
          <a:extLst>
            <a:ext uri="{FF2B5EF4-FFF2-40B4-BE49-F238E27FC236}">
              <a16:creationId xmlns:a16="http://schemas.microsoft.com/office/drawing/2014/main" id="{00000000-0008-0000-1100-000074AD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6931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294</xdr:row>
      <xdr:rowOff>123825</xdr:rowOff>
    </xdr:from>
    <xdr:to>
      <xdr:col>22</xdr:col>
      <xdr:colOff>1895475</xdr:colOff>
      <xdr:row>295</xdr:row>
      <xdr:rowOff>152400</xdr:rowOff>
    </xdr:to>
    <xdr:pic>
      <xdr:nvPicPr>
        <xdr:cNvPr id="44405" name="Picture 5" descr="C:\WINDOWS\TEMP\~0003946.gif">
          <a:extLst>
            <a:ext uri="{FF2B5EF4-FFF2-40B4-BE49-F238E27FC236}">
              <a16:creationId xmlns:a16="http://schemas.microsoft.com/office/drawing/2014/main" id="{00000000-0008-0000-1100-000075AD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965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198</xdr:row>
      <xdr:rowOff>152400</xdr:rowOff>
    </xdr:from>
    <xdr:to>
      <xdr:col>22</xdr:col>
      <xdr:colOff>1924050</xdr:colOff>
      <xdr:row>199</xdr:row>
      <xdr:rowOff>180975</xdr:rowOff>
    </xdr:to>
    <xdr:pic>
      <xdr:nvPicPr>
        <xdr:cNvPr id="44406" name="Picture 6" descr="C:\WINDOWS\TEMP\~0003946.gif">
          <a:extLst>
            <a:ext uri="{FF2B5EF4-FFF2-40B4-BE49-F238E27FC236}">
              <a16:creationId xmlns:a16="http://schemas.microsoft.com/office/drawing/2014/main" id="{00000000-0008-0000-1100-000076AD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03955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132</xdr:row>
      <xdr:rowOff>161925</xdr:rowOff>
    </xdr:from>
    <xdr:to>
      <xdr:col>22</xdr:col>
      <xdr:colOff>1952625</xdr:colOff>
      <xdr:row>133</xdr:row>
      <xdr:rowOff>190500</xdr:rowOff>
    </xdr:to>
    <xdr:pic>
      <xdr:nvPicPr>
        <xdr:cNvPr id="44407" name="Picture 7" descr="C:\WINDOWS\TEMP\~0003946.gif">
          <a:extLst>
            <a:ext uri="{FF2B5EF4-FFF2-40B4-BE49-F238E27FC236}">
              <a16:creationId xmlns:a16="http://schemas.microsoft.com/office/drawing/2014/main" id="{00000000-0008-0000-1100-000077AD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117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44408" name="Picture 8" descr="C:\WINDOWS\TEMP\~0003946.gif">
          <a:extLst>
            <a:ext uri="{FF2B5EF4-FFF2-40B4-BE49-F238E27FC236}">
              <a16:creationId xmlns:a16="http://schemas.microsoft.com/office/drawing/2014/main" id="{00000000-0008-0000-1100-000078AD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44409" name="Picture 9" descr="C:\WINDOWS\TEMP\~0003946.gif">
          <a:extLst>
            <a:ext uri="{FF2B5EF4-FFF2-40B4-BE49-F238E27FC236}">
              <a16:creationId xmlns:a16="http://schemas.microsoft.com/office/drawing/2014/main" id="{00000000-0008-0000-1100-000079AD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132</xdr:row>
      <xdr:rowOff>123825</xdr:rowOff>
    </xdr:from>
    <xdr:to>
      <xdr:col>22</xdr:col>
      <xdr:colOff>895350</xdr:colOff>
      <xdr:row>133</xdr:row>
      <xdr:rowOff>152400</xdr:rowOff>
    </xdr:to>
    <xdr:pic>
      <xdr:nvPicPr>
        <xdr:cNvPr id="44410" name="Picture 10" descr="C:\WINDOWS\TEMP\~0003946.gif">
          <a:extLst>
            <a:ext uri="{FF2B5EF4-FFF2-40B4-BE49-F238E27FC236}">
              <a16:creationId xmlns:a16="http://schemas.microsoft.com/office/drawing/2014/main" id="{00000000-0008-0000-1100-00007AAD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079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198</xdr:row>
      <xdr:rowOff>104775</xdr:rowOff>
    </xdr:from>
    <xdr:to>
      <xdr:col>22</xdr:col>
      <xdr:colOff>809625</xdr:colOff>
      <xdr:row>199</xdr:row>
      <xdr:rowOff>133350</xdr:rowOff>
    </xdr:to>
    <xdr:pic>
      <xdr:nvPicPr>
        <xdr:cNvPr id="44411" name="Picture 11" descr="C:\WINDOWS\TEMP\~0003946.gif">
          <a:extLst>
            <a:ext uri="{FF2B5EF4-FFF2-40B4-BE49-F238E27FC236}">
              <a16:creationId xmlns:a16="http://schemas.microsoft.com/office/drawing/2014/main" id="{00000000-0008-0000-1100-00007BAD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03479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294</xdr:row>
      <xdr:rowOff>104775</xdr:rowOff>
    </xdr:from>
    <xdr:to>
      <xdr:col>22</xdr:col>
      <xdr:colOff>895350</xdr:colOff>
      <xdr:row>295</xdr:row>
      <xdr:rowOff>133350</xdr:rowOff>
    </xdr:to>
    <xdr:pic>
      <xdr:nvPicPr>
        <xdr:cNvPr id="44412" name="Picture 12" descr="C:\WINDOWS\TEMP\~0003946.gif">
          <a:extLst>
            <a:ext uri="{FF2B5EF4-FFF2-40B4-BE49-F238E27FC236}">
              <a16:creationId xmlns:a16="http://schemas.microsoft.com/office/drawing/2014/main" id="{00000000-0008-0000-1100-00007CAD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96360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44413" name="Picture 13" descr="logoMTL">
          <a:extLst>
            <a:ext uri="{FF2B5EF4-FFF2-40B4-BE49-F238E27FC236}">
              <a16:creationId xmlns:a16="http://schemas.microsoft.com/office/drawing/2014/main" id="{00000000-0008-0000-1100-00007DA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132</xdr:row>
      <xdr:rowOff>38100</xdr:rowOff>
    </xdr:from>
    <xdr:to>
      <xdr:col>21</xdr:col>
      <xdr:colOff>1171575</xdr:colOff>
      <xdr:row>133</xdr:row>
      <xdr:rowOff>161925</xdr:rowOff>
    </xdr:to>
    <xdr:pic>
      <xdr:nvPicPr>
        <xdr:cNvPr id="44414" name="Picture 14" descr="logoMTL">
          <a:extLst>
            <a:ext uri="{FF2B5EF4-FFF2-40B4-BE49-F238E27FC236}">
              <a16:creationId xmlns:a16="http://schemas.microsoft.com/office/drawing/2014/main" id="{00000000-0008-0000-1100-00007EA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6993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198</xdr:row>
      <xdr:rowOff>28575</xdr:rowOff>
    </xdr:from>
    <xdr:to>
      <xdr:col>21</xdr:col>
      <xdr:colOff>1171575</xdr:colOff>
      <xdr:row>199</xdr:row>
      <xdr:rowOff>152400</xdr:rowOff>
    </xdr:to>
    <xdr:pic>
      <xdr:nvPicPr>
        <xdr:cNvPr id="44415" name="Picture 15" descr="logoMTL">
          <a:extLst>
            <a:ext uri="{FF2B5EF4-FFF2-40B4-BE49-F238E27FC236}">
              <a16:creationId xmlns:a16="http://schemas.microsoft.com/office/drawing/2014/main" id="{00000000-0008-0000-1100-00007FA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02717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294</xdr:row>
      <xdr:rowOff>0</xdr:rowOff>
    </xdr:from>
    <xdr:to>
      <xdr:col>21</xdr:col>
      <xdr:colOff>1228725</xdr:colOff>
      <xdr:row>295</xdr:row>
      <xdr:rowOff>123825</xdr:rowOff>
    </xdr:to>
    <xdr:pic>
      <xdr:nvPicPr>
        <xdr:cNvPr id="44416" name="Picture 16" descr="logoMTL">
          <a:extLst>
            <a:ext uri="{FF2B5EF4-FFF2-40B4-BE49-F238E27FC236}">
              <a16:creationId xmlns:a16="http://schemas.microsoft.com/office/drawing/2014/main" id="{00000000-0008-0000-1100-000080A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95312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45283" name="Picture 1" descr="C:\WINDOWS\TEMP\Symbol.gif">
          <a:extLst>
            <a:ext uri="{FF2B5EF4-FFF2-40B4-BE49-F238E27FC236}">
              <a16:creationId xmlns:a16="http://schemas.microsoft.com/office/drawing/2014/main" id="{00000000-0008-0000-1200-0000E3B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161925</xdr:rowOff>
    </xdr:from>
    <xdr:to>
      <xdr:col>1</xdr:col>
      <xdr:colOff>28575</xdr:colOff>
      <xdr:row>133</xdr:row>
      <xdr:rowOff>200025</xdr:rowOff>
    </xdr:to>
    <xdr:pic>
      <xdr:nvPicPr>
        <xdr:cNvPr id="45284" name="Picture 2" descr="C:\WINDOWS\TEMP\Symbol.gif">
          <a:extLst>
            <a:ext uri="{FF2B5EF4-FFF2-40B4-BE49-F238E27FC236}">
              <a16:creationId xmlns:a16="http://schemas.microsoft.com/office/drawing/2014/main" id="{00000000-0008-0000-1200-0000E4B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117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198</xdr:row>
      <xdr:rowOff>171450</xdr:rowOff>
    </xdr:from>
    <xdr:to>
      <xdr:col>1</xdr:col>
      <xdr:colOff>47625</xdr:colOff>
      <xdr:row>199</xdr:row>
      <xdr:rowOff>209550</xdr:rowOff>
    </xdr:to>
    <xdr:pic>
      <xdr:nvPicPr>
        <xdr:cNvPr id="45285" name="Picture 3" descr="C:\WINDOWS\TEMP\Symbol.gif">
          <a:extLst>
            <a:ext uri="{FF2B5EF4-FFF2-40B4-BE49-F238E27FC236}">
              <a16:creationId xmlns:a16="http://schemas.microsoft.com/office/drawing/2014/main" id="{00000000-0008-0000-1200-0000E5B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04145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294</xdr:row>
      <xdr:rowOff>161925</xdr:rowOff>
    </xdr:from>
    <xdr:to>
      <xdr:col>1</xdr:col>
      <xdr:colOff>19050</xdr:colOff>
      <xdr:row>295</xdr:row>
      <xdr:rowOff>200025</xdr:rowOff>
    </xdr:to>
    <xdr:pic>
      <xdr:nvPicPr>
        <xdr:cNvPr id="45286" name="Picture 4" descr="C:\WINDOWS\TEMP\Symbol.gif">
          <a:extLst>
            <a:ext uri="{FF2B5EF4-FFF2-40B4-BE49-F238E27FC236}">
              <a16:creationId xmlns:a16="http://schemas.microsoft.com/office/drawing/2014/main" id="{00000000-0008-0000-1200-0000E6B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6931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294</xdr:row>
      <xdr:rowOff>123825</xdr:rowOff>
    </xdr:from>
    <xdr:to>
      <xdr:col>22</xdr:col>
      <xdr:colOff>1895475</xdr:colOff>
      <xdr:row>295</xdr:row>
      <xdr:rowOff>152400</xdr:rowOff>
    </xdr:to>
    <xdr:pic>
      <xdr:nvPicPr>
        <xdr:cNvPr id="45287" name="Picture 5" descr="C:\WINDOWS\TEMP\~0003946.gif">
          <a:extLst>
            <a:ext uri="{FF2B5EF4-FFF2-40B4-BE49-F238E27FC236}">
              <a16:creationId xmlns:a16="http://schemas.microsoft.com/office/drawing/2014/main" id="{00000000-0008-0000-1200-0000E7B0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5222200" y="5965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198</xdr:row>
      <xdr:rowOff>152400</xdr:rowOff>
    </xdr:from>
    <xdr:to>
      <xdr:col>22</xdr:col>
      <xdr:colOff>1924050</xdr:colOff>
      <xdr:row>199</xdr:row>
      <xdr:rowOff>180975</xdr:rowOff>
    </xdr:to>
    <xdr:pic>
      <xdr:nvPicPr>
        <xdr:cNvPr id="45288" name="Picture 6" descr="C:\WINDOWS\TEMP\~0003946.gif">
          <a:extLst>
            <a:ext uri="{FF2B5EF4-FFF2-40B4-BE49-F238E27FC236}">
              <a16:creationId xmlns:a16="http://schemas.microsoft.com/office/drawing/2014/main" id="{00000000-0008-0000-1200-0000E8B00000}"/>
            </a:ext>
          </a:extLst>
        </xdr:cNvPr>
        <xdr:cNvPicPr>
          <a:picLocks noChangeAspect="1" noChangeArrowheads="1"/>
        </xdr:cNvPicPr>
      </xdr:nvPicPr>
      <xdr:blipFill>
        <a:blip xmlns:r="http://schemas.openxmlformats.org/officeDocument/2006/relationships" r:embed="rId4" r:link="rId3">
          <a:extLst>
            <a:ext uri="{28A0092B-C50C-407E-A947-70E740481C1C}">
              <a14:useLocalDpi xmlns:a14="http://schemas.microsoft.com/office/drawing/2010/main" val="0"/>
            </a:ext>
          </a:extLst>
        </a:blip>
        <a:srcRect/>
        <a:stretch>
          <a:fillRect/>
        </a:stretch>
      </xdr:blipFill>
      <xdr:spPr bwMode="auto">
        <a:xfrm>
          <a:off x="25222200" y="403955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132</xdr:row>
      <xdr:rowOff>161925</xdr:rowOff>
    </xdr:from>
    <xdr:to>
      <xdr:col>22</xdr:col>
      <xdr:colOff>1952625</xdr:colOff>
      <xdr:row>133</xdr:row>
      <xdr:rowOff>190500</xdr:rowOff>
    </xdr:to>
    <xdr:pic>
      <xdr:nvPicPr>
        <xdr:cNvPr id="45289" name="Picture 7" descr="C:\WINDOWS\TEMP\~0003946.gif">
          <a:extLst>
            <a:ext uri="{FF2B5EF4-FFF2-40B4-BE49-F238E27FC236}">
              <a16:creationId xmlns:a16="http://schemas.microsoft.com/office/drawing/2014/main" id="{00000000-0008-0000-1200-0000E9B00000}"/>
            </a:ext>
          </a:extLst>
        </xdr:cNvPr>
        <xdr:cNvPicPr>
          <a:picLocks noChangeAspect="1" noChangeArrowheads="1"/>
        </xdr:cNvPicPr>
      </xdr:nvPicPr>
      <xdr:blipFill>
        <a:blip xmlns:r="http://schemas.openxmlformats.org/officeDocument/2006/relationships" r:embed="rId4" r:link="rId3">
          <a:extLst>
            <a:ext uri="{28A0092B-C50C-407E-A947-70E740481C1C}">
              <a14:useLocalDpi xmlns:a14="http://schemas.microsoft.com/office/drawing/2010/main" val="0"/>
            </a:ext>
          </a:extLst>
        </a:blip>
        <a:srcRect/>
        <a:stretch>
          <a:fillRect/>
        </a:stretch>
      </xdr:blipFill>
      <xdr:spPr bwMode="auto">
        <a:xfrm>
          <a:off x="25222200" y="27117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45290" name="Picture 8" descr="C:\WINDOWS\TEMP\~0003946.gif">
          <a:extLst>
            <a:ext uri="{FF2B5EF4-FFF2-40B4-BE49-F238E27FC236}">
              <a16:creationId xmlns:a16="http://schemas.microsoft.com/office/drawing/2014/main" id="{00000000-0008-0000-1200-0000EAB00000}"/>
            </a:ext>
          </a:extLst>
        </xdr:cNvPr>
        <xdr:cNvPicPr>
          <a:picLocks noChangeAspect="1" noChangeArrowheads="1"/>
        </xdr:cNvPicPr>
      </xdr:nvPicPr>
      <xdr:blipFill>
        <a:blip xmlns:r="http://schemas.openxmlformats.org/officeDocument/2006/relationships" r:embed="rId4" r:link="rId3">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45291" name="Picture 9" descr="C:\WINDOWS\TEMP\~0003946.gif">
          <a:extLst>
            <a:ext uri="{FF2B5EF4-FFF2-40B4-BE49-F238E27FC236}">
              <a16:creationId xmlns:a16="http://schemas.microsoft.com/office/drawing/2014/main" id="{00000000-0008-0000-1200-0000EBB0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132</xdr:row>
      <xdr:rowOff>123825</xdr:rowOff>
    </xdr:from>
    <xdr:to>
      <xdr:col>22</xdr:col>
      <xdr:colOff>895350</xdr:colOff>
      <xdr:row>133</xdr:row>
      <xdr:rowOff>152400</xdr:rowOff>
    </xdr:to>
    <xdr:pic>
      <xdr:nvPicPr>
        <xdr:cNvPr id="45292" name="Picture 10" descr="C:\WINDOWS\TEMP\~0003946.gif">
          <a:extLst>
            <a:ext uri="{FF2B5EF4-FFF2-40B4-BE49-F238E27FC236}">
              <a16:creationId xmlns:a16="http://schemas.microsoft.com/office/drawing/2014/main" id="{00000000-0008-0000-1200-0000ECB0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4307800" y="27079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198</xdr:row>
      <xdr:rowOff>104775</xdr:rowOff>
    </xdr:from>
    <xdr:to>
      <xdr:col>22</xdr:col>
      <xdr:colOff>809625</xdr:colOff>
      <xdr:row>199</xdr:row>
      <xdr:rowOff>133350</xdr:rowOff>
    </xdr:to>
    <xdr:pic>
      <xdr:nvPicPr>
        <xdr:cNvPr id="45293" name="Picture 11" descr="C:\WINDOWS\TEMP\~0003946.gif">
          <a:extLst>
            <a:ext uri="{FF2B5EF4-FFF2-40B4-BE49-F238E27FC236}">
              <a16:creationId xmlns:a16="http://schemas.microsoft.com/office/drawing/2014/main" id="{00000000-0008-0000-1200-0000EDB0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4222075" y="403479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294</xdr:row>
      <xdr:rowOff>104775</xdr:rowOff>
    </xdr:from>
    <xdr:to>
      <xdr:col>22</xdr:col>
      <xdr:colOff>895350</xdr:colOff>
      <xdr:row>295</xdr:row>
      <xdr:rowOff>133350</xdr:rowOff>
    </xdr:to>
    <xdr:pic>
      <xdr:nvPicPr>
        <xdr:cNvPr id="45294" name="Picture 12" descr="C:\WINDOWS\TEMP\~0003946.gif">
          <a:extLst>
            <a:ext uri="{FF2B5EF4-FFF2-40B4-BE49-F238E27FC236}">
              <a16:creationId xmlns:a16="http://schemas.microsoft.com/office/drawing/2014/main" id="{00000000-0008-0000-1200-0000EEB0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4307800" y="596360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45295" name="Picture 13" descr="logoMTL">
          <a:extLst>
            <a:ext uri="{FF2B5EF4-FFF2-40B4-BE49-F238E27FC236}">
              <a16:creationId xmlns:a16="http://schemas.microsoft.com/office/drawing/2014/main" id="{00000000-0008-0000-1200-0000EFB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132</xdr:row>
      <xdr:rowOff>38100</xdr:rowOff>
    </xdr:from>
    <xdr:to>
      <xdr:col>21</xdr:col>
      <xdr:colOff>1171575</xdr:colOff>
      <xdr:row>133</xdr:row>
      <xdr:rowOff>161925</xdr:rowOff>
    </xdr:to>
    <xdr:pic>
      <xdr:nvPicPr>
        <xdr:cNvPr id="45296" name="Picture 14" descr="logoMTL">
          <a:extLst>
            <a:ext uri="{FF2B5EF4-FFF2-40B4-BE49-F238E27FC236}">
              <a16:creationId xmlns:a16="http://schemas.microsoft.com/office/drawing/2014/main" id="{00000000-0008-0000-1200-0000F0B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6993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198</xdr:row>
      <xdr:rowOff>28575</xdr:rowOff>
    </xdr:from>
    <xdr:to>
      <xdr:col>21</xdr:col>
      <xdr:colOff>1171575</xdr:colOff>
      <xdr:row>199</xdr:row>
      <xdr:rowOff>152400</xdr:rowOff>
    </xdr:to>
    <xdr:pic>
      <xdr:nvPicPr>
        <xdr:cNvPr id="45297" name="Picture 15" descr="logoMTL">
          <a:extLst>
            <a:ext uri="{FF2B5EF4-FFF2-40B4-BE49-F238E27FC236}">
              <a16:creationId xmlns:a16="http://schemas.microsoft.com/office/drawing/2014/main" id="{00000000-0008-0000-1200-0000F1B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02717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294</xdr:row>
      <xdr:rowOff>0</xdr:rowOff>
    </xdr:from>
    <xdr:to>
      <xdr:col>21</xdr:col>
      <xdr:colOff>1228725</xdr:colOff>
      <xdr:row>295</xdr:row>
      <xdr:rowOff>123825</xdr:rowOff>
    </xdr:to>
    <xdr:pic>
      <xdr:nvPicPr>
        <xdr:cNvPr id="45298" name="Picture 16" descr="logoMTL">
          <a:extLst>
            <a:ext uri="{FF2B5EF4-FFF2-40B4-BE49-F238E27FC236}">
              <a16:creationId xmlns:a16="http://schemas.microsoft.com/office/drawing/2014/main" id="{00000000-0008-0000-1200-0000F2B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95312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5361" name="Picture 1" descr="C:\WINDOWS\TEMP\Symbol.gif">
          <a:extLst>
            <a:ext uri="{FF2B5EF4-FFF2-40B4-BE49-F238E27FC236}">
              <a16:creationId xmlns:a16="http://schemas.microsoft.com/office/drawing/2014/main" id="{00000000-0008-0000-0100-0000116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25362" name="Picture 2" descr="C:\WINDOWS\TEMP\Symbol.gif">
          <a:extLst>
            <a:ext uri="{FF2B5EF4-FFF2-40B4-BE49-F238E27FC236}">
              <a16:creationId xmlns:a16="http://schemas.microsoft.com/office/drawing/2014/main" id="{00000000-0008-0000-0100-0000126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198</xdr:row>
      <xdr:rowOff>171450</xdr:rowOff>
    </xdr:from>
    <xdr:to>
      <xdr:col>1</xdr:col>
      <xdr:colOff>47625</xdr:colOff>
      <xdr:row>199</xdr:row>
      <xdr:rowOff>209550</xdr:rowOff>
    </xdr:to>
    <xdr:pic>
      <xdr:nvPicPr>
        <xdr:cNvPr id="25363" name="Picture 3" descr="C:\WINDOWS\TEMP\Symbol.gif">
          <a:extLst>
            <a:ext uri="{FF2B5EF4-FFF2-40B4-BE49-F238E27FC236}">
              <a16:creationId xmlns:a16="http://schemas.microsoft.com/office/drawing/2014/main" id="{00000000-0008-0000-0100-0000136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47625" y="404145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282</xdr:row>
      <xdr:rowOff>161925</xdr:rowOff>
    </xdr:from>
    <xdr:to>
      <xdr:col>1</xdr:col>
      <xdr:colOff>19050</xdr:colOff>
      <xdr:row>283</xdr:row>
      <xdr:rowOff>200025</xdr:rowOff>
    </xdr:to>
    <xdr:pic>
      <xdr:nvPicPr>
        <xdr:cNvPr id="25364" name="Picture 4" descr="C:\WINDOWS\TEMP\Symbol.gif">
          <a:extLst>
            <a:ext uri="{FF2B5EF4-FFF2-40B4-BE49-F238E27FC236}">
              <a16:creationId xmlns:a16="http://schemas.microsoft.com/office/drawing/2014/main" id="{00000000-0008-0000-0100-0000146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72928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282</xdr:row>
      <xdr:rowOff>123825</xdr:rowOff>
    </xdr:from>
    <xdr:to>
      <xdr:col>22</xdr:col>
      <xdr:colOff>1895475</xdr:colOff>
      <xdr:row>283</xdr:row>
      <xdr:rowOff>152400</xdr:rowOff>
    </xdr:to>
    <xdr:pic>
      <xdr:nvPicPr>
        <xdr:cNvPr id="25365" name="Picture 5" descr="C:\WINDOWS\TEMP\~0003946.gif">
          <a:extLst>
            <a:ext uri="{FF2B5EF4-FFF2-40B4-BE49-F238E27FC236}">
              <a16:creationId xmlns:a16="http://schemas.microsoft.com/office/drawing/2014/main" id="{00000000-0008-0000-0100-00001563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5222200" y="57254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198</xdr:row>
      <xdr:rowOff>152400</xdr:rowOff>
    </xdr:from>
    <xdr:to>
      <xdr:col>22</xdr:col>
      <xdr:colOff>1924050</xdr:colOff>
      <xdr:row>199</xdr:row>
      <xdr:rowOff>180975</xdr:rowOff>
    </xdr:to>
    <xdr:pic>
      <xdr:nvPicPr>
        <xdr:cNvPr id="25366" name="Picture 6" descr="C:\WINDOWS\TEMP\~0003946.gif">
          <a:extLst>
            <a:ext uri="{FF2B5EF4-FFF2-40B4-BE49-F238E27FC236}">
              <a16:creationId xmlns:a16="http://schemas.microsoft.com/office/drawing/2014/main" id="{00000000-0008-0000-0100-000016630000}"/>
            </a:ext>
          </a:extLst>
        </xdr:cNvPr>
        <xdr:cNvPicPr>
          <a:picLocks noChangeAspect="1" noChangeArrowheads="1"/>
        </xdr:cNvPicPr>
      </xdr:nvPicPr>
      <xdr:blipFill>
        <a:blip xmlns:r="http://schemas.openxmlformats.org/officeDocument/2006/relationships" r:embed="rId4" r:link="rId3">
          <a:extLst>
            <a:ext uri="{28A0092B-C50C-407E-A947-70E740481C1C}">
              <a14:useLocalDpi xmlns:a14="http://schemas.microsoft.com/office/drawing/2010/main" val="0"/>
            </a:ext>
          </a:extLst>
        </a:blip>
        <a:srcRect/>
        <a:stretch>
          <a:fillRect/>
        </a:stretch>
      </xdr:blipFill>
      <xdr:spPr bwMode="auto">
        <a:xfrm>
          <a:off x="25222200" y="403955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25367" name="Picture 7" descr="C:\WINDOWS\TEMP\~0003946.gif">
          <a:extLst>
            <a:ext uri="{FF2B5EF4-FFF2-40B4-BE49-F238E27FC236}">
              <a16:creationId xmlns:a16="http://schemas.microsoft.com/office/drawing/2014/main" id="{00000000-0008-0000-0100-000017630000}"/>
            </a:ext>
          </a:extLst>
        </xdr:cNvPr>
        <xdr:cNvPicPr>
          <a:picLocks noChangeAspect="1" noChangeArrowheads="1"/>
        </xdr:cNvPicPr>
      </xdr:nvPicPr>
      <xdr:blipFill>
        <a:blip xmlns:r="http://schemas.openxmlformats.org/officeDocument/2006/relationships" r:embed="rId4" r:link="rId3">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25368" name="Picture 8" descr="C:\WINDOWS\TEMP\~0003946.gif">
          <a:extLst>
            <a:ext uri="{FF2B5EF4-FFF2-40B4-BE49-F238E27FC236}">
              <a16:creationId xmlns:a16="http://schemas.microsoft.com/office/drawing/2014/main" id="{00000000-0008-0000-0100-000018630000}"/>
            </a:ext>
          </a:extLst>
        </xdr:cNvPr>
        <xdr:cNvPicPr>
          <a:picLocks noChangeAspect="1" noChangeArrowheads="1"/>
        </xdr:cNvPicPr>
      </xdr:nvPicPr>
      <xdr:blipFill>
        <a:blip xmlns:r="http://schemas.openxmlformats.org/officeDocument/2006/relationships" r:embed="rId4" r:link="rId3">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25369" name="Picture 9" descr="C:\WINDOWS\TEMP\~0003946.gif">
          <a:extLst>
            <a:ext uri="{FF2B5EF4-FFF2-40B4-BE49-F238E27FC236}">
              <a16:creationId xmlns:a16="http://schemas.microsoft.com/office/drawing/2014/main" id="{00000000-0008-0000-0100-00001963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25370" name="Picture 10" descr="C:\WINDOWS\TEMP\~0003946.gif">
          <a:extLst>
            <a:ext uri="{FF2B5EF4-FFF2-40B4-BE49-F238E27FC236}">
              <a16:creationId xmlns:a16="http://schemas.microsoft.com/office/drawing/2014/main" id="{00000000-0008-0000-0100-00001A63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198</xdr:row>
      <xdr:rowOff>104775</xdr:rowOff>
    </xdr:from>
    <xdr:to>
      <xdr:col>22</xdr:col>
      <xdr:colOff>809625</xdr:colOff>
      <xdr:row>199</xdr:row>
      <xdr:rowOff>133350</xdr:rowOff>
    </xdr:to>
    <xdr:pic>
      <xdr:nvPicPr>
        <xdr:cNvPr id="25371" name="Picture 11" descr="C:\WINDOWS\TEMP\~0003946.gif">
          <a:extLst>
            <a:ext uri="{FF2B5EF4-FFF2-40B4-BE49-F238E27FC236}">
              <a16:creationId xmlns:a16="http://schemas.microsoft.com/office/drawing/2014/main" id="{00000000-0008-0000-0100-00001B63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4222075" y="403479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282</xdr:row>
      <xdr:rowOff>104775</xdr:rowOff>
    </xdr:from>
    <xdr:to>
      <xdr:col>22</xdr:col>
      <xdr:colOff>895350</xdr:colOff>
      <xdr:row>283</xdr:row>
      <xdr:rowOff>133350</xdr:rowOff>
    </xdr:to>
    <xdr:pic>
      <xdr:nvPicPr>
        <xdr:cNvPr id="25372" name="Picture 12" descr="C:\WINDOWS\TEMP\~0003946.gif">
          <a:extLst>
            <a:ext uri="{FF2B5EF4-FFF2-40B4-BE49-F238E27FC236}">
              <a16:creationId xmlns:a16="http://schemas.microsoft.com/office/drawing/2014/main" id="{00000000-0008-0000-0100-00001C63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4307800" y="572357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25373" name="Picture 13" descr="logoMTL">
          <a:extLst>
            <a:ext uri="{FF2B5EF4-FFF2-40B4-BE49-F238E27FC236}">
              <a16:creationId xmlns:a16="http://schemas.microsoft.com/office/drawing/2014/main" id="{00000000-0008-0000-0100-00001D6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25374" name="Picture 14" descr="logoMTL">
          <a:extLst>
            <a:ext uri="{FF2B5EF4-FFF2-40B4-BE49-F238E27FC236}">
              <a16:creationId xmlns:a16="http://schemas.microsoft.com/office/drawing/2014/main" id="{00000000-0008-0000-0100-00001E6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198</xdr:row>
      <xdr:rowOff>28575</xdr:rowOff>
    </xdr:from>
    <xdr:to>
      <xdr:col>21</xdr:col>
      <xdr:colOff>1171575</xdr:colOff>
      <xdr:row>199</xdr:row>
      <xdr:rowOff>152400</xdr:rowOff>
    </xdr:to>
    <xdr:pic>
      <xdr:nvPicPr>
        <xdr:cNvPr id="25375" name="Picture 15" descr="logoMTL">
          <a:extLst>
            <a:ext uri="{FF2B5EF4-FFF2-40B4-BE49-F238E27FC236}">
              <a16:creationId xmlns:a16="http://schemas.microsoft.com/office/drawing/2014/main" id="{00000000-0008-0000-0100-00001F6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02717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282</xdr:row>
      <xdr:rowOff>0</xdr:rowOff>
    </xdr:from>
    <xdr:to>
      <xdr:col>21</xdr:col>
      <xdr:colOff>1228725</xdr:colOff>
      <xdr:row>283</xdr:row>
      <xdr:rowOff>123825</xdr:rowOff>
    </xdr:to>
    <xdr:pic>
      <xdr:nvPicPr>
        <xdr:cNvPr id="25376" name="Picture 16" descr="logoMTL">
          <a:extLst>
            <a:ext uri="{FF2B5EF4-FFF2-40B4-BE49-F238E27FC236}">
              <a16:creationId xmlns:a16="http://schemas.microsoft.com/office/drawing/2014/main" id="{00000000-0008-0000-0100-0000206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71309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47153" name="Picture 1" descr="C:\WINDOWS\TEMP\Symbol.gif">
          <a:extLst>
            <a:ext uri="{FF2B5EF4-FFF2-40B4-BE49-F238E27FC236}">
              <a16:creationId xmlns:a16="http://schemas.microsoft.com/office/drawing/2014/main" id="{00000000-0008-0000-1300-000031B8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161925</xdr:rowOff>
    </xdr:from>
    <xdr:to>
      <xdr:col>1</xdr:col>
      <xdr:colOff>28575</xdr:colOff>
      <xdr:row>133</xdr:row>
      <xdr:rowOff>200025</xdr:rowOff>
    </xdr:to>
    <xdr:pic>
      <xdr:nvPicPr>
        <xdr:cNvPr id="47154" name="Picture 2" descr="C:\WINDOWS\TEMP\Symbol.gif">
          <a:extLst>
            <a:ext uri="{FF2B5EF4-FFF2-40B4-BE49-F238E27FC236}">
              <a16:creationId xmlns:a16="http://schemas.microsoft.com/office/drawing/2014/main" id="{00000000-0008-0000-1300-000032B8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117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198</xdr:row>
      <xdr:rowOff>171450</xdr:rowOff>
    </xdr:from>
    <xdr:to>
      <xdr:col>1</xdr:col>
      <xdr:colOff>47625</xdr:colOff>
      <xdr:row>199</xdr:row>
      <xdr:rowOff>209550</xdr:rowOff>
    </xdr:to>
    <xdr:pic>
      <xdr:nvPicPr>
        <xdr:cNvPr id="47155" name="Picture 3" descr="C:\WINDOWS\TEMP\Symbol.gif">
          <a:extLst>
            <a:ext uri="{FF2B5EF4-FFF2-40B4-BE49-F238E27FC236}">
              <a16:creationId xmlns:a16="http://schemas.microsoft.com/office/drawing/2014/main" id="{00000000-0008-0000-1300-000033B8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04145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294</xdr:row>
      <xdr:rowOff>161925</xdr:rowOff>
    </xdr:from>
    <xdr:to>
      <xdr:col>1</xdr:col>
      <xdr:colOff>19050</xdr:colOff>
      <xdr:row>295</xdr:row>
      <xdr:rowOff>200025</xdr:rowOff>
    </xdr:to>
    <xdr:pic>
      <xdr:nvPicPr>
        <xdr:cNvPr id="47156" name="Picture 4" descr="C:\WINDOWS\TEMP\Symbol.gif">
          <a:extLst>
            <a:ext uri="{FF2B5EF4-FFF2-40B4-BE49-F238E27FC236}">
              <a16:creationId xmlns:a16="http://schemas.microsoft.com/office/drawing/2014/main" id="{00000000-0008-0000-1300-000034B8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6931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294</xdr:row>
      <xdr:rowOff>123825</xdr:rowOff>
    </xdr:from>
    <xdr:to>
      <xdr:col>22</xdr:col>
      <xdr:colOff>1895475</xdr:colOff>
      <xdr:row>295</xdr:row>
      <xdr:rowOff>152400</xdr:rowOff>
    </xdr:to>
    <xdr:pic>
      <xdr:nvPicPr>
        <xdr:cNvPr id="47157" name="Picture 5" descr="C:\WINDOWS\TEMP\~0003946.gif">
          <a:extLst>
            <a:ext uri="{FF2B5EF4-FFF2-40B4-BE49-F238E27FC236}">
              <a16:creationId xmlns:a16="http://schemas.microsoft.com/office/drawing/2014/main" id="{00000000-0008-0000-1300-000035B8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965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198</xdr:row>
      <xdr:rowOff>152400</xdr:rowOff>
    </xdr:from>
    <xdr:to>
      <xdr:col>22</xdr:col>
      <xdr:colOff>1924050</xdr:colOff>
      <xdr:row>199</xdr:row>
      <xdr:rowOff>180975</xdr:rowOff>
    </xdr:to>
    <xdr:pic>
      <xdr:nvPicPr>
        <xdr:cNvPr id="47158" name="Picture 6" descr="C:\WINDOWS\TEMP\~0003946.gif">
          <a:extLst>
            <a:ext uri="{FF2B5EF4-FFF2-40B4-BE49-F238E27FC236}">
              <a16:creationId xmlns:a16="http://schemas.microsoft.com/office/drawing/2014/main" id="{00000000-0008-0000-1300-000036B8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03955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132</xdr:row>
      <xdr:rowOff>161925</xdr:rowOff>
    </xdr:from>
    <xdr:to>
      <xdr:col>22</xdr:col>
      <xdr:colOff>1952625</xdr:colOff>
      <xdr:row>133</xdr:row>
      <xdr:rowOff>190500</xdr:rowOff>
    </xdr:to>
    <xdr:pic>
      <xdr:nvPicPr>
        <xdr:cNvPr id="47159" name="Picture 7" descr="C:\WINDOWS\TEMP\~0003946.gif">
          <a:extLst>
            <a:ext uri="{FF2B5EF4-FFF2-40B4-BE49-F238E27FC236}">
              <a16:creationId xmlns:a16="http://schemas.microsoft.com/office/drawing/2014/main" id="{00000000-0008-0000-1300-000037B8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117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47160" name="Picture 8" descr="C:\WINDOWS\TEMP\~0003946.gif">
          <a:extLst>
            <a:ext uri="{FF2B5EF4-FFF2-40B4-BE49-F238E27FC236}">
              <a16:creationId xmlns:a16="http://schemas.microsoft.com/office/drawing/2014/main" id="{00000000-0008-0000-1300-000038B8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47161" name="Picture 9" descr="C:\WINDOWS\TEMP\~0003946.gif">
          <a:extLst>
            <a:ext uri="{FF2B5EF4-FFF2-40B4-BE49-F238E27FC236}">
              <a16:creationId xmlns:a16="http://schemas.microsoft.com/office/drawing/2014/main" id="{00000000-0008-0000-1300-000039B8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132</xdr:row>
      <xdr:rowOff>123825</xdr:rowOff>
    </xdr:from>
    <xdr:to>
      <xdr:col>22</xdr:col>
      <xdr:colOff>895350</xdr:colOff>
      <xdr:row>133</xdr:row>
      <xdr:rowOff>152400</xdr:rowOff>
    </xdr:to>
    <xdr:pic>
      <xdr:nvPicPr>
        <xdr:cNvPr id="47162" name="Picture 10" descr="C:\WINDOWS\TEMP\~0003946.gif">
          <a:extLst>
            <a:ext uri="{FF2B5EF4-FFF2-40B4-BE49-F238E27FC236}">
              <a16:creationId xmlns:a16="http://schemas.microsoft.com/office/drawing/2014/main" id="{00000000-0008-0000-1300-00003AB8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079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198</xdr:row>
      <xdr:rowOff>104775</xdr:rowOff>
    </xdr:from>
    <xdr:to>
      <xdr:col>22</xdr:col>
      <xdr:colOff>809625</xdr:colOff>
      <xdr:row>199</xdr:row>
      <xdr:rowOff>133350</xdr:rowOff>
    </xdr:to>
    <xdr:pic>
      <xdr:nvPicPr>
        <xdr:cNvPr id="47163" name="Picture 11" descr="C:\WINDOWS\TEMP\~0003946.gif">
          <a:extLst>
            <a:ext uri="{FF2B5EF4-FFF2-40B4-BE49-F238E27FC236}">
              <a16:creationId xmlns:a16="http://schemas.microsoft.com/office/drawing/2014/main" id="{00000000-0008-0000-1300-00003BB8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03479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294</xdr:row>
      <xdr:rowOff>104775</xdr:rowOff>
    </xdr:from>
    <xdr:to>
      <xdr:col>22</xdr:col>
      <xdr:colOff>895350</xdr:colOff>
      <xdr:row>295</xdr:row>
      <xdr:rowOff>133350</xdr:rowOff>
    </xdr:to>
    <xdr:pic>
      <xdr:nvPicPr>
        <xdr:cNvPr id="47164" name="Picture 12" descr="C:\WINDOWS\TEMP\~0003946.gif">
          <a:extLst>
            <a:ext uri="{FF2B5EF4-FFF2-40B4-BE49-F238E27FC236}">
              <a16:creationId xmlns:a16="http://schemas.microsoft.com/office/drawing/2014/main" id="{00000000-0008-0000-1300-00003CB8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96360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47165" name="Picture 13" descr="logoMTL">
          <a:extLst>
            <a:ext uri="{FF2B5EF4-FFF2-40B4-BE49-F238E27FC236}">
              <a16:creationId xmlns:a16="http://schemas.microsoft.com/office/drawing/2014/main" id="{00000000-0008-0000-1300-00003DB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132</xdr:row>
      <xdr:rowOff>38100</xdr:rowOff>
    </xdr:from>
    <xdr:to>
      <xdr:col>21</xdr:col>
      <xdr:colOff>1171575</xdr:colOff>
      <xdr:row>133</xdr:row>
      <xdr:rowOff>161925</xdr:rowOff>
    </xdr:to>
    <xdr:pic>
      <xdr:nvPicPr>
        <xdr:cNvPr id="47166" name="Picture 14" descr="logoMTL">
          <a:extLst>
            <a:ext uri="{FF2B5EF4-FFF2-40B4-BE49-F238E27FC236}">
              <a16:creationId xmlns:a16="http://schemas.microsoft.com/office/drawing/2014/main" id="{00000000-0008-0000-1300-00003EB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6993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198</xdr:row>
      <xdr:rowOff>28575</xdr:rowOff>
    </xdr:from>
    <xdr:to>
      <xdr:col>21</xdr:col>
      <xdr:colOff>1171575</xdr:colOff>
      <xdr:row>199</xdr:row>
      <xdr:rowOff>152400</xdr:rowOff>
    </xdr:to>
    <xdr:pic>
      <xdr:nvPicPr>
        <xdr:cNvPr id="47167" name="Picture 15" descr="logoMTL">
          <a:extLst>
            <a:ext uri="{FF2B5EF4-FFF2-40B4-BE49-F238E27FC236}">
              <a16:creationId xmlns:a16="http://schemas.microsoft.com/office/drawing/2014/main" id="{00000000-0008-0000-1300-00003FB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02717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294</xdr:row>
      <xdr:rowOff>0</xdr:rowOff>
    </xdr:from>
    <xdr:to>
      <xdr:col>21</xdr:col>
      <xdr:colOff>1228725</xdr:colOff>
      <xdr:row>295</xdr:row>
      <xdr:rowOff>123825</xdr:rowOff>
    </xdr:to>
    <xdr:pic>
      <xdr:nvPicPr>
        <xdr:cNvPr id="47168" name="Picture 16" descr="logoMTL">
          <a:extLst>
            <a:ext uri="{FF2B5EF4-FFF2-40B4-BE49-F238E27FC236}">
              <a16:creationId xmlns:a16="http://schemas.microsoft.com/office/drawing/2014/main" id="{00000000-0008-0000-1300-000040B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95312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3409" name="Picture 1" descr="C:\WINDOWS\TEMP\Symbol.gif">
          <a:extLst>
            <a:ext uri="{FF2B5EF4-FFF2-40B4-BE49-F238E27FC236}">
              <a16:creationId xmlns:a16="http://schemas.microsoft.com/office/drawing/2014/main" id="{00000000-0008-0000-1400-0000715B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161925</xdr:rowOff>
    </xdr:from>
    <xdr:to>
      <xdr:col>1</xdr:col>
      <xdr:colOff>28575</xdr:colOff>
      <xdr:row>133</xdr:row>
      <xdr:rowOff>200025</xdr:rowOff>
    </xdr:to>
    <xdr:pic>
      <xdr:nvPicPr>
        <xdr:cNvPr id="23410" name="Picture 2" descr="C:\WINDOWS\TEMP\Symbol.gif">
          <a:extLst>
            <a:ext uri="{FF2B5EF4-FFF2-40B4-BE49-F238E27FC236}">
              <a16:creationId xmlns:a16="http://schemas.microsoft.com/office/drawing/2014/main" id="{00000000-0008-0000-1400-0000725B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117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198</xdr:row>
      <xdr:rowOff>171450</xdr:rowOff>
    </xdr:from>
    <xdr:to>
      <xdr:col>1</xdr:col>
      <xdr:colOff>47625</xdr:colOff>
      <xdr:row>199</xdr:row>
      <xdr:rowOff>209550</xdr:rowOff>
    </xdr:to>
    <xdr:pic>
      <xdr:nvPicPr>
        <xdr:cNvPr id="23411" name="Picture 3" descr="C:\WINDOWS\TEMP\Symbol.gif">
          <a:extLst>
            <a:ext uri="{FF2B5EF4-FFF2-40B4-BE49-F238E27FC236}">
              <a16:creationId xmlns:a16="http://schemas.microsoft.com/office/drawing/2014/main" id="{00000000-0008-0000-1400-0000735B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04145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294</xdr:row>
      <xdr:rowOff>161925</xdr:rowOff>
    </xdr:from>
    <xdr:to>
      <xdr:col>1</xdr:col>
      <xdr:colOff>19050</xdr:colOff>
      <xdr:row>295</xdr:row>
      <xdr:rowOff>200025</xdr:rowOff>
    </xdr:to>
    <xdr:pic>
      <xdr:nvPicPr>
        <xdr:cNvPr id="23412" name="Picture 4" descr="C:\WINDOWS\TEMP\Symbol.gif">
          <a:extLst>
            <a:ext uri="{FF2B5EF4-FFF2-40B4-BE49-F238E27FC236}">
              <a16:creationId xmlns:a16="http://schemas.microsoft.com/office/drawing/2014/main" id="{00000000-0008-0000-1400-0000745B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6931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294</xdr:row>
      <xdr:rowOff>123825</xdr:rowOff>
    </xdr:from>
    <xdr:to>
      <xdr:col>22</xdr:col>
      <xdr:colOff>1895475</xdr:colOff>
      <xdr:row>295</xdr:row>
      <xdr:rowOff>152400</xdr:rowOff>
    </xdr:to>
    <xdr:pic>
      <xdr:nvPicPr>
        <xdr:cNvPr id="23413" name="Picture 5" descr="C:\WINDOWS\TEMP\~0003946.gif">
          <a:extLst>
            <a:ext uri="{FF2B5EF4-FFF2-40B4-BE49-F238E27FC236}">
              <a16:creationId xmlns:a16="http://schemas.microsoft.com/office/drawing/2014/main" id="{00000000-0008-0000-1400-0000755B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965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198</xdr:row>
      <xdr:rowOff>152400</xdr:rowOff>
    </xdr:from>
    <xdr:to>
      <xdr:col>22</xdr:col>
      <xdr:colOff>1924050</xdr:colOff>
      <xdr:row>199</xdr:row>
      <xdr:rowOff>180975</xdr:rowOff>
    </xdr:to>
    <xdr:pic>
      <xdr:nvPicPr>
        <xdr:cNvPr id="23414" name="Picture 6" descr="C:\WINDOWS\TEMP\~0003946.gif">
          <a:extLst>
            <a:ext uri="{FF2B5EF4-FFF2-40B4-BE49-F238E27FC236}">
              <a16:creationId xmlns:a16="http://schemas.microsoft.com/office/drawing/2014/main" id="{00000000-0008-0000-1400-0000765B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03955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132</xdr:row>
      <xdr:rowOff>161925</xdr:rowOff>
    </xdr:from>
    <xdr:to>
      <xdr:col>22</xdr:col>
      <xdr:colOff>1952625</xdr:colOff>
      <xdr:row>133</xdr:row>
      <xdr:rowOff>190500</xdr:rowOff>
    </xdr:to>
    <xdr:pic>
      <xdr:nvPicPr>
        <xdr:cNvPr id="23415" name="Picture 7" descr="C:\WINDOWS\TEMP\~0003946.gif">
          <a:extLst>
            <a:ext uri="{FF2B5EF4-FFF2-40B4-BE49-F238E27FC236}">
              <a16:creationId xmlns:a16="http://schemas.microsoft.com/office/drawing/2014/main" id="{00000000-0008-0000-1400-0000775B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117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23416" name="Picture 8" descr="C:\WINDOWS\TEMP\~0003946.gif">
          <a:extLst>
            <a:ext uri="{FF2B5EF4-FFF2-40B4-BE49-F238E27FC236}">
              <a16:creationId xmlns:a16="http://schemas.microsoft.com/office/drawing/2014/main" id="{00000000-0008-0000-1400-0000785B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23417" name="Picture 9" descr="C:\WINDOWS\TEMP\~0003946.gif">
          <a:extLst>
            <a:ext uri="{FF2B5EF4-FFF2-40B4-BE49-F238E27FC236}">
              <a16:creationId xmlns:a16="http://schemas.microsoft.com/office/drawing/2014/main" id="{00000000-0008-0000-1400-0000795B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132</xdr:row>
      <xdr:rowOff>123825</xdr:rowOff>
    </xdr:from>
    <xdr:to>
      <xdr:col>22</xdr:col>
      <xdr:colOff>895350</xdr:colOff>
      <xdr:row>133</xdr:row>
      <xdr:rowOff>152400</xdr:rowOff>
    </xdr:to>
    <xdr:pic>
      <xdr:nvPicPr>
        <xdr:cNvPr id="23418" name="Picture 10" descr="C:\WINDOWS\TEMP\~0003946.gif">
          <a:extLst>
            <a:ext uri="{FF2B5EF4-FFF2-40B4-BE49-F238E27FC236}">
              <a16:creationId xmlns:a16="http://schemas.microsoft.com/office/drawing/2014/main" id="{00000000-0008-0000-1400-00007A5B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079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198</xdr:row>
      <xdr:rowOff>104775</xdr:rowOff>
    </xdr:from>
    <xdr:to>
      <xdr:col>22</xdr:col>
      <xdr:colOff>809625</xdr:colOff>
      <xdr:row>199</xdr:row>
      <xdr:rowOff>133350</xdr:rowOff>
    </xdr:to>
    <xdr:pic>
      <xdr:nvPicPr>
        <xdr:cNvPr id="23419" name="Picture 11" descr="C:\WINDOWS\TEMP\~0003946.gif">
          <a:extLst>
            <a:ext uri="{FF2B5EF4-FFF2-40B4-BE49-F238E27FC236}">
              <a16:creationId xmlns:a16="http://schemas.microsoft.com/office/drawing/2014/main" id="{00000000-0008-0000-1400-00007B5B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03479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294</xdr:row>
      <xdr:rowOff>104775</xdr:rowOff>
    </xdr:from>
    <xdr:to>
      <xdr:col>22</xdr:col>
      <xdr:colOff>895350</xdr:colOff>
      <xdr:row>295</xdr:row>
      <xdr:rowOff>133350</xdr:rowOff>
    </xdr:to>
    <xdr:pic>
      <xdr:nvPicPr>
        <xdr:cNvPr id="23420" name="Picture 12" descr="C:\WINDOWS\TEMP\~0003946.gif">
          <a:extLst>
            <a:ext uri="{FF2B5EF4-FFF2-40B4-BE49-F238E27FC236}">
              <a16:creationId xmlns:a16="http://schemas.microsoft.com/office/drawing/2014/main" id="{00000000-0008-0000-1400-00007C5B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96360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23421" name="Picture 13" descr="logoMTL">
          <a:extLst>
            <a:ext uri="{FF2B5EF4-FFF2-40B4-BE49-F238E27FC236}">
              <a16:creationId xmlns:a16="http://schemas.microsoft.com/office/drawing/2014/main" id="{00000000-0008-0000-1400-00007D5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132</xdr:row>
      <xdr:rowOff>38100</xdr:rowOff>
    </xdr:from>
    <xdr:to>
      <xdr:col>21</xdr:col>
      <xdr:colOff>1171575</xdr:colOff>
      <xdr:row>133</xdr:row>
      <xdr:rowOff>161925</xdr:rowOff>
    </xdr:to>
    <xdr:pic>
      <xdr:nvPicPr>
        <xdr:cNvPr id="23422" name="Picture 14" descr="logoMTL">
          <a:extLst>
            <a:ext uri="{FF2B5EF4-FFF2-40B4-BE49-F238E27FC236}">
              <a16:creationId xmlns:a16="http://schemas.microsoft.com/office/drawing/2014/main" id="{00000000-0008-0000-1400-00007E5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6993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198</xdr:row>
      <xdr:rowOff>28575</xdr:rowOff>
    </xdr:from>
    <xdr:to>
      <xdr:col>21</xdr:col>
      <xdr:colOff>1171575</xdr:colOff>
      <xdr:row>199</xdr:row>
      <xdr:rowOff>152400</xdr:rowOff>
    </xdr:to>
    <xdr:pic>
      <xdr:nvPicPr>
        <xdr:cNvPr id="23423" name="Picture 15" descr="logoMTL">
          <a:extLst>
            <a:ext uri="{FF2B5EF4-FFF2-40B4-BE49-F238E27FC236}">
              <a16:creationId xmlns:a16="http://schemas.microsoft.com/office/drawing/2014/main" id="{00000000-0008-0000-1400-00007F5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02717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294</xdr:row>
      <xdr:rowOff>0</xdr:rowOff>
    </xdr:from>
    <xdr:to>
      <xdr:col>21</xdr:col>
      <xdr:colOff>1228725</xdr:colOff>
      <xdr:row>295</xdr:row>
      <xdr:rowOff>123825</xdr:rowOff>
    </xdr:to>
    <xdr:pic>
      <xdr:nvPicPr>
        <xdr:cNvPr id="23424" name="Picture 16" descr="logoMTL">
          <a:extLst>
            <a:ext uri="{FF2B5EF4-FFF2-40B4-BE49-F238E27FC236}">
              <a16:creationId xmlns:a16="http://schemas.microsoft.com/office/drawing/2014/main" id="{00000000-0008-0000-1400-0000805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95312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39649" name="Picture 1" descr="C:\WINDOWS\TEMP\Symbol.gif">
          <a:extLst>
            <a:ext uri="{FF2B5EF4-FFF2-40B4-BE49-F238E27FC236}">
              <a16:creationId xmlns:a16="http://schemas.microsoft.com/office/drawing/2014/main" id="{00000000-0008-0000-1500-0000E19A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39650" name="Picture 2" descr="C:\WINDOWS\TEMP\Symbol.gif">
          <a:extLst>
            <a:ext uri="{FF2B5EF4-FFF2-40B4-BE49-F238E27FC236}">
              <a16:creationId xmlns:a16="http://schemas.microsoft.com/office/drawing/2014/main" id="{00000000-0008-0000-1500-0000E29A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199</xdr:row>
      <xdr:rowOff>171450</xdr:rowOff>
    </xdr:from>
    <xdr:to>
      <xdr:col>1</xdr:col>
      <xdr:colOff>47625</xdr:colOff>
      <xdr:row>200</xdr:row>
      <xdr:rowOff>209550</xdr:rowOff>
    </xdr:to>
    <xdr:pic>
      <xdr:nvPicPr>
        <xdr:cNvPr id="39651" name="Picture 3" descr="C:\WINDOWS\TEMP\Symbol.gif">
          <a:extLst>
            <a:ext uri="{FF2B5EF4-FFF2-40B4-BE49-F238E27FC236}">
              <a16:creationId xmlns:a16="http://schemas.microsoft.com/office/drawing/2014/main" id="{00000000-0008-0000-1500-0000E39A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06146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295</xdr:row>
      <xdr:rowOff>161925</xdr:rowOff>
    </xdr:from>
    <xdr:to>
      <xdr:col>1</xdr:col>
      <xdr:colOff>19050</xdr:colOff>
      <xdr:row>296</xdr:row>
      <xdr:rowOff>200025</xdr:rowOff>
    </xdr:to>
    <xdr:pic>
      <xdr:nvPicPr>
        <xdr:cNvPr id="39652" name="Picture 4" descr="C:\WINDOWS\TEMP\Symbol.gif">
          <a:extLst>
            <a:ext uri="{FF2B5EF4-FFF2-40B4-BE49-F238E27FC236}">
              <a16:creationId xmlns:a16="http://schemas.microsoft.com/office/drawing/2014/main" id="{00000000-0008-0000-1500-0000E49A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8932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295</xdr:row>
      <xdr:rowOff>123825</xdr:rowOff>
    </xdr:from>
    <xdr:to>
      <xdr:col>22</xdr:col>
      <xdr:colOff>1895475</xdr:colOff>
      <xdr:row>296</xdr:row>
      <xdr:rowOff>152400</xdr:rowOff>
    </xdr:to>
    <xdr:pic>
      <xdr:nvPicPr>
        <xdr:cNvPr id="39653" name="Picture 5" descr="C:\WINDOWS\TEMP\~0003946.gif">
          <a:extLst>
            <a:ext uri="{FF2B5EF4-FFF2-40B4-BE49-F238E27FC236}">
              <a16:creationId xmlns:a16="http://schemas.microsoft.com/office/drawing/2014/main" id="{00000000-0008-0000-1500-0000E59A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98551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199</xdr:row>
      <xdr:rowOff>152400</xdr:rowOff>
    </xdr:from>
    <xdr:to>
      <xdr:col>22</xdr:col>
      <xdr:colOff>1924050</xdr:colOff>
      <xdr:row>200</xdr:row>
      <xdr:rowOff>180975</xdr:rowOff>
    </xdr:to>
    <xdr:pic>
      <xdr:nvPicPr>
        <xdr:cNvPr id="39654" name="Picture 6" descr="C:\WINDOWS\TEMP\~0003946.gif">
          <a:extLst>
            <a:ext uri="{FF2B5EF4-FFF2-40B4-BE49-F238E27FC236}">
              <a16:creationId xmlns:a16="http://schemas.microsoft.com/office/drawing/2014/main" id="{00000000-0008-0000-1500-0000E69A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05955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39655" name="Picture 7" descr="C:\WINDOWS\TEMP\~0003946.gif">
          <a:extLst>
            <a:ext uri="{FF2B5EF4-FFF2-40B4-BE49-F238E27FC236}">
              <a16:creationId xmlns:a16="http://schemas.microsoft.com/office/drawing/2014/main" id="{00000000-0008-0000-1500-0000E79A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39656" name="Picture 8" descr="C:\WINDOWS\TEMP\~0003946.gif">
          <a:extLst>
            <a:ext uri="{FF2B5EF4-FFF2-40B4-BE49-F238E27FC236}">
              <a16:creationId xmlns:a16="http://schemas.microsoft.com/office/drawing/2014/main" id="{00000000-0008-0000-1500-0000E89A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39657" name="Picture 9" descr="C:\WINDOWS\TEMP\~0003946.gif">
          <a:extLst>
            <a:ext uri="{FF2B5EF4-FFF2-40B4-BE49-F238E27FC236}">
              <a16:creationId xmlns:a16="http://schemas.microsoft.com/office/drawing/2014/main" id="{00000000-0008-0000-1500-0000E99A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39658" name="Picture 10" descr="C:\WINDOWS\TEMP\~0003946.gif">
          <a:extLst>
            <a:ext uri="{FF2B5EF4-FFF2-40B4-BE49-F238E27FC236}">
              <a16:creationId xmlns:a16="http://schemas.microsoft.com/office/drawing/2014/main" id="{00000000-0008-0000-1500-0000EA9A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199</xdr:row>
      <xdr:rowOff>104775</xdr:rowOff>
    </xdr:from>
    <xdr:to>
      <xdr:col>22</xdr:col>
      <xdr:colOff>809625</xdr:colOff>
      <xdr:row>200</xdr:row>
      <xdr:rowOff>133350</xdr:rowOff>
    </xdr:to>
    <xdr:pic>
      <xdr:nvPicPr>
        <xdr:cNvPr id="39659" name="Picture 11" descr="C:\WINDOWS\TEMP\~0003946.gif">
          <a:extLst>
            <a:ext uri="{FF2B5EF4-FFF2-40B4-BE49-F238E27FC236}">
              <a16:creationId xmlns:a16="http://schemas.microsoft.com/office/drawing/2014/main" id="{00000000-0008-0000-1500-0000EB9A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05479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295</xdr:row>
      <xdr:rowOff>104775</xdr:rowOff>
    </xdr:from>
    <xdr:to>
      <xdr:col>22</xdr:col>
      <xdr:colOff>895350</xdr:colOff>
      <xdr:row>296</xdr:row>
      <xdr:rowOff>133350</xdr:rowOff>
    </xdr:to>
    <xdr:pic>
      <xdr:nvPicPr>
        <xdr:cNvPr id="39660" name="Picture 12" descr="C:\WINDOWS\TEMP\~0003946.gif">
          <a:extLst>
            <a:ext uri="{FF2B5EF4-FFF2-40B4-BE49-F238E27FC236}">
              <a16:creationId xmlns:a16="http://schemas.microsoft.com/office/drawing/2014/main" id="{00000000-0008-0000-1500-0000EC9A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9836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39661" name="Picture 13" descr="logoMTL">
          <a:extLst>
            <a:ext uri="{FF2B5EF4-FFF2-40B4-BE49-F238E27FC236}">
              <a16:creationId xmlns:a16="http://schemas.microsoft.com/office/drawing/2014/main" id="{00000000-0008-0000-1500-0000ED9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39662" name="Picture 14" descr="logoMTL">
          <a:extLst>
            <a:ext uri="{FF2B5EF4-FFF2-40B4-BE49-F238E27FC236}">
              <a16:creationId xmlns:a16="http://schemas.microsoft.com/office/drawing/2014/main" id="{00000000-0008-0000-1500-0000EE9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199</xdr:row>
      <xdr:rowOff>28575</xdr:rowOff>
    </xdr:from>
    <xdr:to>
      <xdr:col>21</xdr:col>
      <xdr:colOff>1171575</xdr:colOff>
      <xdr:row>200</xdr:row>
      <xdr:rowOff>152400</xdr:rowOff>
    </xdr:to>
    <xdr:pic>
      <xdr:nvPicPr>
        <xdr:cNvPr id="39663" name="Picture 15" descr="logoMTL">
          <a:extLst>
            <a:ext uri="{FF2B5EF4-FFF2-40B4-BE49-F238E27FC236}">
              <a16:creationId xmlns:a16="http://schemas.microsoft.com/office/drawing/2014/main" id="{00000000-0008-0000-1500-0000EF9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04717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295</xdr:row>
      <xdr:rowOff>0</xdr:rowOff>
    </xdr:from>
    <xdr:to>
      <xdr:col>21</xdr:col>
      <xdr:colOff>1228725</xdr:colOff>
      <xdr:row>296</xdr:row>
      <xdr:rowOff>123825</xdr:rowOff>
    </xdr:to>
    <xdr:pic>
      <xdr:nvPicPr>
        <xdr:cNvPr id="39664" name="Picture 16" descr="logoMTL">
          <a:extLst>
            <a:ext uri="{FF2B5EF4-FFF2-40B4-BE49-F238E27FC236}">
              <a16:creationId xmlns:a16="http://schemas.microsoft.com/office/drawing/2014/main" id="{00000000-0008-0000-1500-0000F09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97312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42545" name="Picture 1" descr="C:\WINDOWS\TEMP\Symbol.gif">
          <a:extLst>
            <a:ext uri="{FF2B5EF4-FFF2-40B4-BE49-F238E27FC236}">
              <a16:creationId xmlns:a16="http://schemas.microsoft.com/office/drawing/2014/main" id="{00000000-0008-0000-1600-000031A6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42546" name="Picture 2" descr="C:\WINDOWS\TEMP\Symbol.gif">
          <a:extLst>
            <a:ext uri="{FF2B5EF4-FFF2-40B4-BE49-F238E27FC236}">
              <a16:creationId xmlns:a16="http://schemas.microsoft.com/office/drawing/2014/main" id="{00000000-0008-0000-1600-000032A6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199</xdr:row>
      <xdr:rowOff>171450</xdr:rowOff>
    </xdr:from>
    <xdr:to>
      <xdr:col>1</xdr:col>
      <xdr:colOff>47625</xdr:colOff>
      <xdr:row>200</xdr:row>
      <xdr:rowOff>209550</xdr:rowOff>
    </xdr:to>
    <xdr:pic>
      <xdr:nvPicPr>
        <xdr:cNvPr id="42547" name="Picture 3" descr="C:\WINDOWS\TEMP\Symbol.gif">
          <a:extLst>
            <a:ext uri="{FF2B5EF4-FFF2-40B4-BE49-F238E27FC236}">
              <a16:creationId xmlns:a16="http://schemas.microsoft.com/office/drawing/2014/main" id="{00000000-0008-0000-1600-000033A6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06146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295</xdr:row>
      <xdr:rowOff>161925</xdr:rowOff>
    </xdr:from>
    <xdr:to>
      <xdr:col>1</xdr:col>
      <xdr:colOff>19050</xdr:colOff>
      <xdr:row>296</xdr:row>
      <xdr:rowOff>200025</xdr:rowOff>
    </xdr:to>
    <xdr:pic>
      <xdr:nvPicPr>
        <xdr:cNvPr id="42548" name="Picture 4" descr="C:\WINDOWS\TEMP\Symbol.gif">
          <a:extLst>
            <a:ext uri="{FF2B5EF4-FFF2-40B4-BE49-F238E27FC236}">
              <a16:creationId xmlns:a16="http://schemas.microsoft.com/office/drawing/2014/main" id="{00000000-0008-0000-1600-000034A6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8932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295</xdr:row>
      <xdr:rowOff>123825</xdr:rowOff>
    </xdr:from>
    <xdr:to>
      <xdr:col>22</xdr:col>
      <xdr:colOff>1895475</xdr:colOff>
      <xdr:row>296</xdr:row>
      <xdr:rowOff>152400</xdr:rowOff>
    </xdr:to>
    <xdr:pic>
      <xdr:nvPicPr>
        <xdr:cNvPr id="42549" name="Picture 5" descr="C:\WINDOWS\TEMP\~0003946.gif">
          <a:extLst>
            <a:ext uri="{FF2B5EF4-FFF2-40B4-BE49-F238E27FC236}">
              <a16:creationId xmlns:a16="http://schemas.microsoft.com/office/drawing/2014/main" id="{00000000-0008-0000-1600-000035A6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98551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199</xdr:row>
      <xdr:rowOff>152400</xdr:rowOff>
    </xdr:from>
    <xdr:to>
      <xdr:col>22</xdr:col>
      <xdr:colOff>1924050</xdr:colOff>
      <xdr:row>200</xdr:row>
      <xdr:rowOff>180975</xdr:rowOff>
    </xdr:to>
    <xdr:pic>
      <xdr:nvPicPr>
        <xdr:cNvPr id="42550" name="Picture 6" descr="C:\WINDOWS\TEMP\~0003946.gif">
          <a:extLst>
            <a:ext uri="{FF2B5EF4-FFF2-40B4-BE49-F238E27FC236}">
              <a16:creationId xmlns:a16="http://schemas.microsoft.com/office/drawing/2014/main" id="{00000000-0008-0000-1600-000036A6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05955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42551" name="Picture 7" descr="C:\WINDOWS\TEMP\~0003946.gif">
          <a:extLst>
            <a:ext uri="{FF2B5EF4-FFF2-40B4-BE49-F238E27FC236}">
              <a16:creationId xmlns:a16="http://schemas.microsoft.com/office/drawing/2014/main" id="{00000000-0008-0000-1600-000037A6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42552" name="Picture 8" descr="C:\WINDOWS\TEMP\~0003946.gif">
          <a:extLst>
            <a:ext uri="{FF2B5EF4-FFF2-40B4-BE49-F238E27FC236}">
              <a16:creationId xmlns:a16="http://schemas.microsoft.com/office/drawing/2014/main" id="{00000000-0008-0000-1600-000038A6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42553" name="Picture 9" descr="C:\WINDOWS\TEMP\~0003946.gif">
          <a:extLst>
            <a:ext uri="{FF2B5EF4-FFF2-40B4-BE49-F238E27FC236}">
              <a16:creationId xmlns:a16="http://schemas.microsoft.com/office/drawing/2014/main" id="{00000000-0008-0000-1600-000039A6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42554" name="Picture 10" descr="C:\WINDOWS\TEMP\~0003946.gif">
          <a:extLst>
            <a:ext uri="{FF2B5EF4-FFF2-40B4-BE49-F238E27FC236}">
              <a16:creationId xmlns:a16="http://schemas.microsoft.com/office/drawing/2014/main" id="{00000000-0008-0000-1600-00003AA6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199</xdr:row>
      <xdr:rowOff>104775</xdr:rowOff>
    </xdr:from>
    <xdr:to>
      <xdr:col>22</xdr:col>
      <xdr:colOff>809625</xdr:colOff>
      <xdr:row>200</xdr:row>
      <xdr:rowOff>133350</xdr:rowOff>
    </xdr:to>
    <xdr:pic>
      <xdr:nvPicPr>
        <xdr:cNvPr id="42555" name="Picture 11" descr="C:\WINDOWS\TEMP\~0003946.gif">
          <a:extLst>
            <a:ext uri="{FF2B5EF4-FFF2-40B4-BE49-F238E27FC236}">
              <a16:creationId xmlns:a16="http://schemas.microsoft.com/office/drawing/2014/main" id="{00000000-0008-0000-1600-00003BA6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05479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295</xdr:row>
      <xdr:rowOff>104775</xdr:rowOff>
    </xdr:from>
    <xdr:to>
      <xdr:col>22</xdr:col>
      <xdr:colOff>895350</xdr:colOff>
      <xdr:row>296</xdr:row>
      <xdr:rowOff>133350</xdr:rowOff>
    </xdr:to>
    <xdr:pic>
      <xdr:nvPicPr>
        <xdr:cNvPr id="42556" name="Picture 12" descr="C:\WINDOWS\TEMP\~0003946.gif">
          <a:extLst>
            <a:ext uri="{FF2B5EF4-FFF2-40B4-BE49-F238E27FC236}">
              <a16:creationId xmlns:a16="http://schemas.microsoft.com/office/drawing/2014/main" id="{00000000-0008-0000-1600-00003CA6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9836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42557" name="Picture 13" descr="logoMTL">
          <a:extLst>
            <a:ext uri="{FF2B5EF4-FFF2-40B4-BE49-F238E27FC236}">
              <a16:creationId xmlns:a16="http://schemas.microsoft.com/office/drawing/2014/main" id="{00000000-0008-0000-1600-00003DA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42558" name="Picture 14" descr="logoMTL">
          <a:extLst>
            <a:ext uri="{FF2B5EF4-FFF2-40B4-BE49-F238E27FC236}">
              <a16:creationId xmlns:a16="http://schemas.microsoft.com/office/drawing/2014/main" id="{00000000-0008-0000-1600-00003EA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199</xdr:row>
      <xdr:rowOff>28575</xdr:rowOff>
    </xdr:from>
    <xdr:to>
      <xdr:col>21</xdr:col>
      <xdr:colOff>1171575</xdr:colOff>
      <xdr:row>200</xdr:row>
      <xdr:rowOff>152400</xdr:rowOff>
    </xdr:to>
    <xdr:pic>
      <xdr:nvPicPr>
        <xdr:cNvPr id="42559" name="Picture 15" descr="logoMTL">
          <a:extLst>
            <a:ext uri="{FF2B5EF4-FFF2-40B4-BE49-F238E27FC236}">
              <a16:creationId xmlns:a16="http://schemas.microsoft.com/office/drawing/2014/main" id="{00000000-0008-0000-1600-00003FA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04717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295</xdr:row>
      <xdr:rowOff>0</xdr:rowOff>
    </xdr:from>
    <xdr:to>
      <xdr:col>21</xdr:col>
      <xdr:colOff>1228725</xdr:colOff>
      <xdr:row>296</xdr:row>
      <xdr:rowOff>123825</xdr:rowOff>
    </xdr:to>
    <xdr:pic>
      <xdr:nvPicPr>
        <xdr:cNvPr id="42560" name="Picture 16" descr="logoMTL">
          <a:extLst>
            <a:ext uri="{FF2B5EF4-FFF2-40B4-BE49-F238E27FC236}">
              <a16:creationId xmlns:a16="http://schemas.microsoft.com/office/drawing/2014/main" id="{00000000-0008-0000-1600-000040A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97312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43393" name="Picture 1" descr="C:\WINDOWS\TEMP\Symbol.gif">
          <a:extLst>
            <a:ext uri="{FF2B5EF4-FFF2-40B4-BE49-F238E27FC236}">
              <a16:creationId xmlns:a16="http://schemas.microsoft.com/office/drawing/2014/main" id="{00000000-0008-0000-1700-000081A9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43394" name="Picture 2" descr="C:\WINDOWS\TEMP\Symbol.gif">
          <a:extLst>
            <a:ext uri="{FF2B5EF4-FFF2-40B4-BE49-F238E27FC236}">
              <a16:creationId xmlns:a16="http://schemas.microsoft.com/office/drawing/2014/main" id="{00000000-0008-0000-1700-000082A9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199</xdr:row>
      <xdr:rowOff>171450</xdr:rowOff>
    </xdr:from>
    <xdr:to>
      <xdr:col>1</xdr:col>
      <xdr:colOff>47625</xdr:colOff>
      <xdr:row>200</xdr:row>
      <xdr:rowOff>209550</xdr:rowOff>
    </xdr:to>
    <xdr:pic>
      <xdr:nvPicPr>
        <xdr:cNvPr id="43395" name="Picture 3" descr="C:\WINDOWS\TEMP\Symbol.gif">
          <a:extLst>
            <a:ext uri="{FF2B5EF4-FFF2-40B4-BE49-F238E27FC236}">
              <a16:creationId xmlns:a16="http://schemas.microsoft.com/office/drawing/2014/main" id="{00000000-0008-0000-1700-000083A9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06146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295</xdr:row>
      <xdr:rowOff>161925</xdr:rowOff>
    </xdr:from>
    <xdr:to>
      <xdr:col>1</xdr:col>
      <xdr:colOff>19050</xdr:colOff>
      <xdr:row>296</xdr:row>
      <xdr:rowOff>200025</xdr:rowOff>
    </xdr:to>
    <xdr:pic>
      <xdr:nvPicPr>
        <xdr:cNvPr id="43396" name="Picture 4" descr="C:\WINDOWS\TEMP\Symbol.gif">
          <a:extLst>
            <a:ext uri="{FF2B5EF4-FFF2-40B4-BE49-F238E27FC236}">
              <a16:creationId xmlns:a16="http://schemas.microsoft.com/office/drawing/2014/main" id="{00000000-0008-0000-1700-000084A9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8932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295</xdr:row>
      <xdr:rowOff>123825</xdr:rowOff>
    </xdr:from>
    <xdr:to>
      <xdr:col>22</xdr:col>
      <xdr:colOff>1895475</xdr:colOff>
      <xdr:row>296</xdr:row>
      <xdr:rowOff>152400</xdr:rowOff>
    </xdr:to>
    <xdr:pic>
      <xdr:nvPicPr>
        <xdr:cNvPr id="43397" name="Picture 5" descr="C:\WINDOWS\TEMP\~0003946.gif">
          <a:extLst>
            <a:ext uri="{FF2B5EF4-FFF2-40B4-BE49-F238E27FC236}">
              <a16:creationId xmlns:a16="http://schemas.microsoft.com/office/drawing/2014/main" id="{00000000-0008-0000-1700-000085A9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98551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199</xdr:row>
      <xdr:rowOff>152400</xdr:rowOff>
    </xdr:from>
    <xdr:to>
      <xdr:col>22</xdr:col>
      <xdr:colOff>1924050</xdr:colOff>
      <xdr:row>200</xdr:row>
      <xdr:rowOff>180975</xdr:rowOff>
    </xdr:to>
    <xdr:pic>
      <xdr:nvPicPr>
        <xdr:cNvPr id="43398" name="Picture 6" descr="C:\WINDOWS\TEMP\~0003946.gif">
          <a:extLst>
            <a:ext uri="{FF2B5EF4-FFF2-40B4-BE49-F238E27FC236}">
              <a16:creationId xmlns:a16="http://schemas.microsoft.com/office/drawing/2014/main" id="{00000000-0008-0000-1700-000086A9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05955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43399" name="Picture 7" descr="C:\WINDOWS\TEMP\~0003946.gif">
          <a:extLst>
            <a:ext uri="{FF2B5EF4-FFF2-40B4-BE49-F238E27FC236}">
              <a16:creationId xmlns:a16="http://schemas.microsoft.com/office/drawing/2014/main" id="{00000000-0008-0000-1700-000087A9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43400" name="Picture 8" descr="C:\WINDOWS\TEMP\~0003946.gif">
          <a:extLst>
            <a:ext uri="{FF2B5EF4-FFF2-40B4-BE49-F238E27FC236}">
              <a16:creationId xmlns:a16="http://schemas.microsoft.com/office/drawing/2014/main" id="{00000000-0008-0000-1700-000088A9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43401" name="Picture 9" descr="C:\WINDOWS\TEMP\~0003946.gif">
          <a:extLst>
            <a:ext uri="{FF2B5EF4-FFF2-40B4-BE49-F238E27FC236}">
              <a16:creationId xmlns:a16="http://schemas.microsoft.com/office/drawing/2014/main" id="{00000000-0008-0000-1700-000089A9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43402" name="Picture 10" descr="C:\WINDOWS\TEMP\~0003946.gif">
          <a:extLst>
            <a:ext uri="{FF2B5EF4-FFF2-40B4-BE49-F238E27FC236}">
              <a16:creationId xmlns:a16="http://schemas.microsoft.com/office/drawing/2014/main" id="{00000000-0008-0000-1700-00008AA9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199</xdr:row>
      <xdr:rowOff>104775</xdr:rowOff>
    </xdr:from>
    <xdr:to>
      <xdr:col>22</xdr:col>
      <xdr:colOff>809625</xdr:colOff>
      <xdr:row>200</xdr:row>
      <xdr:rowOff>133350</xdr:rowOff>
    </xdr:to>
    <xdr:pic>
      <xdr:nvPicPr>
        <xdr:cNvPr id="43403" name="Picture 11" descr="C:\WINDOWS\TEMP\~0003946.gif">
          <a:extLst>
            <a:ext uri="{FF2B5EF4-FFF2-40B4-BE49-F238E27FC236}">
              <a16:creationId xmlns:a16="http://schemas.microsoft.com/office/drawing/2014/main" id="{00000000-0008-0000-1700-00008BA9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05479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295</xdr:row>
      <xdr:rowOff>104775</xdr:rowOff>
    </xdr:from>
    <xdr:to>
      <xdr:col>22</xdr:col>
      <xdr:colOff>895350</xdr:colOff>
      <xdr:row>296</xdr:row>
      <xdr:rowOff>133350</xdr:rowOff>
    </xdr:to>
    <xdr:pic>
      <xdr:nvPicPr>
        <xdr:cNvPr id="43404" name="Picture 12" descr="C:\WINDOWS\TEMP\~0003946.gif">
          <a:extLst>
            <a:ext uri="{FF2B5EF4-FFF2-40B4-BE49-F238E27FC236}">
              <a16:creationId xmlns:a16="http://schemas.microsoft.com/office/drawing/2014/main" id="{00000000-0008-0000-1700-00008CA9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9836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43405" name="Picture 13" descr="logoMTL">
          <a:extLst>
            <a:ext uri="{FF2B5EF4-FFF2-40B4-BE49-F238E27FC236}">
              <a16:creationId xmlns:a16="http://schemas.microsoft.com/office/drawing/2014/main" id="{00000000-0008-0000-1700-00008DA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43406" name="Picture 14" descr="logoMTL">
          <a:extLst>
            <a:ext uri="{FF2B5EF4-FFF2-40B4-BE49-F238E27FC236}">
              <a16:creationId xmlns:a16="http://schemas.microsoft.com/office/drawing/2014/main" id="{00000000-0008-0000-1700-00008EA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199</xdr:row>
      <xdr:rowOff>28575</xdr:rowOff>
    </xdr:from>
    <xdr:to>
      <xdr:col>21</xdr:col>
      <xdr:colOff>1171575</xdr:colOff>
      <xdr:row>200</xdr:row>
      <xdr:rowOff>152400</xdr:rowOff>
    </xdr:to>
    <xdr:pic>
      <xdr:nvPicPr>
        <xdr:cNvPr id="43407" name="Picture 15" descr="logoMTL">
          <a:extLst>
            <a:ext uri="{FF2B5EF4-FFF2-40B4-BE49-F238E27FC236}">
              <a16:creationId xmlns:a16="http://schemas.microsoft.com/office/drawing/2014/main" id="{00000000-0008-0000-1700-00008FA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04717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295</xdr:row>
      <xdr:rowOff>0</xdr:rowOff>
    </xdr:from>
    <xdr:to>
      <xdr:col>21</xdr:col>
      <xdr:colOff>1228725</xdr:colOff>
      <xdr:row>296</xdr:row>
      <xdr:rowOff>123825</xdr:rowOff>
    </xdr:to>
    <xdr:pic>
      <xdr:nvPicPr>
        <xdr:cNvPr id="43408" name="Picture 16" descr="logoMTL">
          <a:extLst>
            <a:ext uri="{FF2B5EF4-FFF2-40B4-BE49-F238E27FC236}">
              <a16:creationId xmlns:a16="http://schemas.microsoft.com/office/drawing/2014/main" id="{00000000-0008-0000-1700-000090A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97312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46177" name="Picture 1" descr="C:\WINDOWS\TEMP\Symbol.gif">
          <a:extLst>
            <a:ext uri="{FF2B5EF4-FFF2-40B4-BE49-F238E27FC236}">
              <a16:creationId xmlns:a16="http://schemas.microsoft.com/office/drawing/2014/main" id="{00000000-0008-0000-1800-000061B4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46178" name="Picture 2" descr="C:\WINDOWS\TEMP\Symbol.gif">
          <a:extLst>
            <a:ext uri="{FF2B5EF4-FFF2-40B4-BE49-F238E27FC236}">
              <a16:creationId xmlns:a16="http://schemas.microsoft.com/office/drawing/2014/main" id="{00000000-0008-0000-1800-000062B4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199</xdr:row>
      <xdr:rowOff>171450</xdr:rowOff>
    </xdr:from>
    <xdr:to>
      <xdr:col>1</xdr:col>
      <xdr:colOff>47625</xdr:colOff>
      <xdr:row>200</xdr:row>
      <xdr:rowOff>209550</xdr:rowOff>
    </xdr:to>
    <xdr:pic>
      <xdr:nvPicPr>
        <xdr:cNvPr id="46179" name="Picture 3" descr="C:\WINDOWS\TEMP\Symbol.gif">
          <a:extLst>
            <a:ext uri="{FF2B5EF4-FFF2-40B4-BE49-F238E27FC236}">
              <a16:creationId xmlns:a16="http://schemas.microsoft.com/office/drawing/2014/main" id="{00000000-0008-0000-1800-000063B4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06146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295</xdr:row>
      <xdr:rowOff>161925</xdr:rowOff>
    </xdr:from>
    <xdr:to>
      <xdr:col>1</xdr:col>
      <xdr:colOff>19050</xdr:colOff>
      <xdr:row>296</xdr:row>
      <xdr:rowOff>200025</xdr:rowOff>
    </xdr:to>
    <xdr:pic>
      <xdr:nvPicPr>
        <xdr:cNvPr id="46180" name="Picture 4" descr="C:\WINDOWS\TEMP\Symbol.gif">
          <a:extLst>
            <a:ext uri="{FF2B5EF4-FFF2-40B4-BE49-F238E27FC236}">
              <a16:creationId xmlns:a16="http://schemas.microsoft.com/office/drawing/2014/main" id="{00000000-0008-0000-1800-000064B4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8932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295</xdr:row>
      <xdr:rowOff>123825</xdr:rowOff>
    </xdr:from>
    <xdr:to>
      <xdr:col>22</xdr:col>
      <xdr:colOff>1895475</xdr:colOff>
      <xdr:row>296</xdr:row>
      <xdr:rowOff>152400</xdr:rowOff>
    </xdr:to>
    <xdr:pic>
      <xdr:nvPicPr>
        <xdr:cNvPr id="46181" name="Picture 5" descr="C:\WINDOWS\TEMP\~0003946.gif">
          <a:extLst>
            <a:ext uri="{FF2B5EF4-FFF2-40B4-BE49-F238E27FC236}">
              <a16:creationId xmlns:a16="http://schemas.microsoft.com/office/drawing/2014/main" id="{00000000-0008-0000-1800-000065B4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98551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199</xdr:row>
      <xdr:rowOff>152400</xdr:rowOff>
    </xdr:from>
    <xdr:to>
      <xdr:col>22</xdr:col>
      <xdr:colOff>1924050</xdr:colOff>
      <xdr:row>200</xdr:row>
      <xdr:rowOff>180975</xdr:rowOff>
    </xdr:to>
    <xdr:pic>
      <xdr:nvPicPr>
        <xdr:cNvPr id="46182" name="Picture 6" descr="C:\WINDOWS\TEMP\~0003946.gif">
          <a:extLst>
            <a:ext uri="{FF2B5EF4-FFF2-40B4-BE49-F238E27FC236}">
              <a16:creationId xmlns:a16="http://schemas.microsoft.com/office/drawing/2014/main" id="{00000000-0008-0000-1800-000066B4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05955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46183" name="Picture 7" descr="C:\WINDOWS\TEMP\~0003946.gif">
          <a:extLst>
            <a:ext uri="{FF2B5EF4-FFF2-40B4-BE49-F238E27FC236}">
              <a16:creationId xmlns:a16="http://schemas.microsoft.com/office/drawing/2014/main" id="{00000000-0008-0000-1800-000067B4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46184" name="Picture 8" descr="C:\WINDOWS\TEMP\~0003946.gif">
          <a:extLst>
            <a:ext uri="{FF2B5EF4-FFF2-40B4-BE49-F238E27FC236}">
              <a16:creationId xmlns:a16="http://schemas.microsoft.com/office/drawing/2014/main" id="{00000000-0008-0000-1800-000068B4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46185" name="Picture 9" descr="C:\WINDOWS\TEMP\~0003946.gif">
          <a:extLst>
            <a:ext uri="{FF2B5EF4-FFF2-40B4-BE49-F238E27FC236}">
              <a16:creationId xmlns:a16="http://schemas.microsoft.com/office/drawing/2014/main" id="{00000000-0008-0000-1800-000069B4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46186" name="Picture 10" descr="C:\WINDOWS\TEMP\~0003946.gif">
          <a:extLst>
            <a:ext uri="{FF2B5EF4-FFF2-40B4-BE49-F238E27FC236}">
              <a16:creationId xmlns:a16="http://schemas.microsoft.com/office/drawing/2014/main" id="{00000000-0008-0000-1800-00006AB4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199</xdr:row>
      <xdr:rowOff>104775</xdr:rowOff>
    </xdr:from>
    <xdr:to>
      <xdr:col>22</xdr:col>
      <xdr:colOff>809625</xdr:colOff>
      <xdr:row>200</xdr:row>
      <xdr:rowOff>133350</xdr:rowOff>
    </xdr:to>
    <xdr:pic>
      <xdr:nvPicPr>
        <xdr:cNvPr id="46187" name="Picture 11" descr="C:\WINDOWS\TEMP\~0003946.gif">
          <a:extLst>
            <a:ext uri="{FF2B5EF4-FFF2-40B4-BE49-F238E27FC236}">
              <a16:creationId xmlns:a16="http://schemas.microsoft.com/office/drawing/2014/main" id="{00000000-0008-0000-1800-00006BB4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05479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295</xdr:row>
      <xdr:rowOff>104775</xdr:rowOff>
    </xdr:from>
    <xdr:to>
      <xdr:col>22</xdr:col>
      <xdr:colOff>895350</xdr:colOff>
      <xdr:row>296</xdr:row>
      <xdr:rowOff>133350</xdr:rowOff>
    </xdr:to>
    <xdr:pic>
      <xdr:nvPicPr>
        <xdr:cNvPr id="46188" name="Picture 12" descr="C:\WINDOWS\TEMP\~0003946.gif">
          <a:extLst>
            <a:ext uri="{FF2B5EF4-FFF2-40B4-BE49-F238E27FC236}">
              <a16:creationId xmlns:a16="http://schemas.microsoft.com/office/drawing/2014/main" id="{00000000-0008-0000-1800-00006CB4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9836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46189" name="Picture 13" descr="logoMTL">
          <a:extLst>
            <a:ext uri="{FF2B5EF4-FFF2-40B4-BE49-F238E27FC236}">
              <a16:creationId xmlns:a16="http://schemas.microsoft.com/office/drawing/2014/main" id="{00000000-0008-0000-1800-00006DB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46190" name="Picture 14" descr="logoMTL">
          <a:extLst>
            <a:ext uri="{FF2B5EF4-FFF2-40B4-BE49-F238E27FC236}">
              <a16:creationId xmlns:a16="http://schemas.microsoft.com/office/drawing/2014/main" id="{00000000-0008-0000-1800-00006EB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199</xdr:row>
      <xdr:rowOff>28575</xdr:rowOff>
    </xdr:from>
    <xdr:to>
      <xdr:col>21</xdr:col>
      <xdr:colOff>1171575</xdr:colOff>
      <xdr:row>200</xdr:row>
      <xdr:rowOff>152400</xdr:rowOff>
    </xdr:to>
    <xdr:pic>
      <xdr:nvPicPr>
        <xdr:cNvPr id="46191" name="Picture 15" descr="logoMTL">
          <a:extLst>
            <a:ext uri="{FF2B5EF4-FFF2-40B4-BE49-F238E27FC236}">
              <a16:creationId xmlns:a16="http://schemas.microsoft.com/office/drawing/2014/main" id="{00000000-0008-0000-1800-00006FB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04717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295</xdr:row>
      <xdr:rowOff>0</xdr:rowOff>
    </xdr:from>
    <xdr:to>
      <xdr:col>21</xdr:col>
      <xdr:colOff>1228725</xdr:colOff>
      <xdr:row>296</xdr:row>
      <xdr:rowOff>123825</xdr:rowOff>
    </xdr:to>
    <xdr:pic>
      <xdr:nvPicPr>
        <xdr:cNvPr id="46192" name="Picture 16" descr="logoMTL">
          <a:extLst>
            <a:ext uri="{FF2B5EF4-FFF2-40B4-BE49-F238E27FC236}">
              <a16:creationId xmlns:a16="http://schemas.microsoft.com/office/drawing/2014/main" id="{00000000-0008-0000-1800-000070B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97312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3" name="Picture 2" descr="C:\WINDOWS\TEMP\Symbol.gif">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199</xdr:row>
      <xdr:rowOff>171450</xdr:rowOff>
    </xdr:from>
    <xdr:to>
      <xdr:col>1</xdr:col>
      <xdr:colOff>47625</xdr:colOff>
      <xdr:row>200</xdr:row>
      <xdr:rowOff>209550</xdr:rowOff>
    </xdr:to>
    <xdr:pic>
      <xdr:nvPicPr>
        <xdr:cNvPr id="4" name="Picture 3" descr="C:\WINDOWS\TEMP\Symbol.gif">
          <a:extLst>
            <a:ext uri="{FF2B5EF4-FFF2-40B4-BE49-F238E27FC236}">
              <a16:creationId xmlns:a16="http://schemas.microsoft.com/office/drawing/2014/main" id="{00000000-0008-0000-19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06146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295</xdr:row>
      <xdr:rowOff>161925</xdr:rowOff>
    </xdr:from>
    <xdr:to>
      <xdr:col>1</xdr:col>
      <xdr:colOff>19050</xdr:colOff>
      <xdr:row>296</xdr:row>
      <xdr:rowOff>200025</xdr:rowOff>
    </xdr:to>
    <xdr:pic>
      <xdr:nvPicPr>
        <xdr:cNvPr id="5" name="Picture 4" descr="C:\WINDOWS\TEMP\Symbol.gif">
          <a:extLst>
            <a:ext uri="{FF2B5EF4-FFF2-40B4-BE49-F238E27FC236}">
              <a16:creationId xmlns:a16="http://schemas.microsoft.com/office/drawing/2014/main" id="{00000000-0008-0000-19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8932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295</xdr:row>
      <xdr:rowOff>123825</xdr:rowOff>
    </xdr:from>
    <xdr:to>
      <xdr:col>22</xdr:col>
      <xdr:colOff>1895475</xdr:colOff>
      <xdr:row>296</xdr:row>
      <xdr:rowOff>152400</xdr:rowOff>
    </xdr:to>
    <xdr:pic>
      <xdr:nvPicPr>
        <xdr:cNvPr id="6" name="Picture 5" descr="C:\WINDOWS\TEMP\~0003946.gif">
          <a:extLst>
            <a:ext uri="{FF2B5EF4-FFF2-40B4-BE49-F238E27FC236}">
              <a16:creationId xmlns:a16="http://schemas.microsoft.com/office/drawing/2014/main" id="{00000000-0008-0000-19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98551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199</xdr:row>
      <xdr:rowOff>152400</xdr:rowOff>
    </xdr:from>
    <xdr:to>
      <xdr:col>22</xdr:col>
      <xdr:colOff>1924050</xdr:colOff>
      <xdr:row>200</xdr:row>
      <xdr:rowOff>180975</xdr:rowOff>
    </xdr:to>
    <xdr:pic>
      <xdr:nvPicPr>
        <xdr:cNvPr id="7" name="Picture 6" descr="C:\WINDOWS\TEMP\~0003946.gif">
          <a:extLst>
            <a:ext uri="{FF2B5EF4-FFF2-40B4-BE49-F238E27FC236}">
              <a16:creationId xmlns:a16="http://schemas.microsoft.com/office/drawing/2014/main" id="{00000000-0008-0000-19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05955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8" name="Picture 7" descr="C:\WINDOWS\TEMP\~0003946.gif">
          <a:extLst>
            <a:ext uri="{FF2B5EF4-FFF2-40B4-BE49-F238E27FC236}">
              <a16:creationId xmlns:a16="http://schemas.microsoft.com/office/drawing/2014/main" id="{00000000-0008-0000-19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19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19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11" name="Picture 10" descr="C:\WINDOWS\TEMP\~0003946.gif">
          <a:extLst>
            <a:ext uri="{FF2B5EF4-FFF2-40B4-BE49-F238E27FC236}">
              <a16:creationId xmlns:a16="http://schemas.microsoft.com/office/drawing/2014/main" id="{00000000-0008-0000-19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199</xdr:row>
      <xdr:rowOff>104775</xdr:rowOff>
    </xdr:from>
    <xdr:to>
      <xdr:col>22</xdr:col>
      <xdr:colOff>809625</xdr:colOff>
      <xdr:row>200</xdr:row>
      <xdr:rowOff>133350</xdr:rowOff>
    </xdr:to>
    <xdr:pic>
      <xdr:nvPicPr>
        <xdr:cNvPr id="12" name="Picture 11" descr="C:\WINDOWS\TEMP\~0003946.gif">
          <a:extLst>
            <a:ext uri="{FF2B5EF4-FFF2-40B4-BE49-F238E27FC236}">
              <a16:creationId xmlns:a16="http://schemas.microsoft.com/office/drawing/2014/main" id="{00000000-0008-0000-19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05479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295</xdr:row>
      <xdr:rowOff>104775</xdr:rowOff>
    </xdr:from>
    <xdr:to>
      <xdr:col>22</xdr:col>
      <xdr:colOff>895350</xdr:colOff>
      <xdr:row>296</xdr:row>
      <xdr:rowOff>133350</xdr:rowOff>
    </xdr:to>
    <xdr:pic>
      <xdr:nvPicPr>
        <xdr:cNvPr id="13" name="Picture 12" descr="C:\WINDOWS\TEMP\~0003946.gif">
          <a:extLst>
            <a:ext uri="{FF2B5EF4-FFF2-40B4-BE49-F238E27FC236}">
              <a16:creationId xmlns:a16="http://schemas.microsoft.com/office/drawing/2014/main" id="{00000000-0008-0000-19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9836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00000000-0008-0000-19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15" name="Picture 14" descr="logoMTL">
          <a:extLst>
            <a:ext uri="{FF2B5EF4-FFF2-40B4-BE49-F238E27FC236}">
              <a16:creationId xmlns:a16="http://schemas.microsoft.com/office/drawing/2014/main" id="{00000000-0008-0000-19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199</xdr:row>
      <xdr:rowOff>28575</xdr:rowOff>
    </xdr:from>
    <xdr:to>
      <xdr:col>21</xdr:col>
      <xdr:colOff>1171575</xdr:colOff>
      <xdr:row>200</xdr:row>
      <xdr:rowOff>152400</xdr:rowOff>
    </xdr:to>
    <xdr:pic>
      <xdr:nvPicPr>
        <xdr:cNvPr id="16" name="Picture 15" descr="logoMTL">
          <a:extLst>
            <a:ext uri="{FF2B5EF4-FFF2-40B4-BE49-F238E27FC236}">
              <a16:creationId xmlns:a16="http://schemas.microsoft.com/office/drawing/2014/main" id="{00000000-0008-0000-19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04717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295</xdr:row>
      <xdr:rowOff>0</xdr:rowOff>
    </xdr:from>
    <xdr:to>
      <xdr:col>21</xdr:col>
      <xdr:colOff>1228725</xdr:colOff>
      <xdr:row>296</xdr:row>
      <xdr:rowOff>123825</xdr:rowOff>
    </xdr:to>
    <xdr:pic>
      <xdr:nvPicPr>
        <xdr:cNvPr id="17" name="Picture 16" descr="logoMTL">
          <a:extLst>
            <a:ext uri="{FF2B5EF4-FFF2-40B4-BE49-F238E27FC236}">
              <a16:creationId xmlns:a16="http://schemas.microsoft.com/office/drawing/2014/main" id="{00000000-0008-0000-19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97312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3" name="Picture 2" descr="C:\WINDOWS\TEMP\Symbol.gif">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199</xdr:row>
      <xdr:rowOff>171450</xdr:rowOff>
    </xdr:from>
    <xdr:to>
      <xdr:col>1</xdr:col>
      <xdr:colOff>47625</xdr:colOff>
      <xdr:row>200</xdr:row>
      <xdr:rowOff>209550</xdr:rowOff>
    </xdr:to>
    <xdr:pic>
      <xdr:nvPicPr>
        <xdr:cNvPr id="4" name="Picture 3" descr="C:\WINDOWS\TEMP\Symbol.gif">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06146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295</xdr:row>
      <xdr:rowOff>161925</xdr:rowOff>
    </xdr:from>
    <xdr:to>
      <xdr:col>1</xdr:col>
      <xdr:colOff>19050</xdr:colOff>
      <xdr:row>296</xdr:row>
      <xdr:rowOff>200025</xdr:rowOff>
    </xdr:to>
    <xdr:pic>
      <xdr:nvPicPr>
        <xdr:cNvPr id="5" name="Picture 4" descr="C:\WINDOWS\TEMP\Symbol.gif">
          <a:extLst>
            <a:ext uri="{FF2B5EF4-FFF2-40B4-BE49-F238E27FC236}">
              <a16:creationId xmlns:a16="http://schemas.microsoft.com/office/drawing/2014/main" id="{00000000-0008-0000-1A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8932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295</xdr:row>
      <xdr:rowOff>123825</xdr:rowOff>
    </xdr:from>
    <xdr:to>
      <xdr:col>22</xdr:col>
      <xdr:colOff>1895475</xdr:colOff>
      <xdr:row>296</xdr:row>
      <xdr:rowOff>152400</xdr:rowOff>
    </xdr:to>
    <xdr:pic>
      <xdr:nvPicPr>
        <xdr:cNvPr id="6" name="Picture 5" descr="C:\WINDOWS\TEMP\~0003946.gif">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98551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199</xdr:row>
      <xdr:rowOff>152400</xdr:rowOff>
    </xdr:from>
    <xdr:to>
      <xdr:col>22</xdr:col>
      <xdr:colOff>1924050</xdr:colOff>
      <xdr:row>200</xdr:row>
      <xdr:rowOff>180975</xdr:rowOff>
    </xdr:to>
    <xdr:pic>
      <xdr:nvPicPr>
        <xdr:cNvPr id="7" name="Picture 6" descr="C:\WINDOWS\TEMP\~0003946.gif">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05955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8" name="Picture 7" descr="C:\WINDOWS\TEMP\~0003946.gif">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11" name="Picture 10" descr="C:\WINDOWS\TEMP\~0003946.gif">
          <a:extLst>
            <a:ext uri="{FF2B5EF4-FFF2-40B4-BE49-F238E27FC236}">
              <a16:creationId xmlns:a16="http://schemas.microsoft.com/office/drawing/2014/main" id="{00000000-0008-0000-1A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199</xdr:row>
      <xdr:rowOff>104775</xdr:rowOff>
    </xdr:from>
    <xdr:to>
      <xdr:col>22</xdr:col>
      <xdr:colOff>809625</xdr:colOff>
      <xdr:row>200</xdr:row>
      <xdr:rowOff>133350</xdr:rowOff>
    </xdr:to>
    <xdr:pic>
      <xdr:nvPicPr>
        <xdr:cNvPr id="12" name="Picture 11" descr="C:\WINDOWS\TEMP\~0003946.gif">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05479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295</xdr:row>
      <xdr:rowOff>104775</xdr:rowOff>
    </xdr:from>
    <xdr:to>
      <xdr:col>22</xdr:col>
      <xdr:colOff>895350</xdr:colOff>
      <xdr:row>296</xdr:row>
      <xdr:rowOff>133350</xdr:rowOff>
    </xdr:to>
    <xdr:pic>
      <xdr:nvPicPr>
        <xdr:cNvPr id="13" name="Picture 12" descr="C:\WINDOWS\TEMP\~0003946.gif">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9836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15" name="Picture 14" descr="logoMTL">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199</xdr:row>
      <xdr:rowOff>28575</xdr:rowOff>
    </xdr:from>
    <xdr:to>
      <xdr:col>21</xdr:col>
      <xdr:colOff>1171575</xdr:colOff>
      <xdr:row>200</xdr:row>
      <xdr:rowOff>152400</xdr:rowOff>
    </xdr:to>
    <xdr:pic>
      <xdr:nvPicPr>
        <xdr:cNvPr id="16" name="Picture 15" descr="logoMTL">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04717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295</xdr:row>
      <xdr:rowOff>0</xdr:rowOff>
    </xdr:from>
    <xdr:to>
      <xdr:col>21</xdr:col>
      <xdr:colOff>1228725</xdr:colOff>
      <xdr:row>296</xdr:row>
      <xdr:rowOff>123825</xdr:rowOff>
    </xdr:to>
    <xdr:pic>
      <xdr:nvPicPr>
        <xdr:cNvPr id="17" name="Picture 16" descr="logoMTL">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97312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3" name="Picture 2" descr="C:\WINDOWS\TEMP\Symbol.gif">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199</xdr:row>
      <xdr:rowOff>171450</xdr:rowOff>
    </xdr:from>
    <xdr:to>
      <xdr:col>1</xdr:col>
      <xdr:colOff>47625</xdr:colOff>
      <xdr:row>200</xdr:row>
      <xdr:rowOff>209550</xdr:rowOff>
    </xdr:to>
    <xdr:pic>
      <xdr:nvPicPr>
        <xdr:cNvPr id="4" name="Picture 3" descr="C:\WINDOWS\TEMP\Symbol.gif">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06146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295</xdr:row>
      <xdr:rowOff>161925</xdr:rowOff>
    </xdr:from>
    <xdr:to>
      <xdr:col>1</xdr:col>
      <xdr:colOff>19050</xdr:colOff>
      <xdr:row>296</xdr:row>
      <xdr:rowOff>200025</xdr:rowOff>
    </xdr:to>
    <xdr:pic>
      <xdr:nvPicPr>
        <xdr:cNvPr id="5" name="Picture 4" descr="C:\WINDOWS\TEMP\Symbol.gif">
          <a:extLst>
            <a:ext uri="{FF2B5EF4-FFF2-40B4-BE49-F238E27FC236}">
              <a16:creationId xmlns:a16="http://schemas.microsoft.com/office/drawing/2014/main" id="{00000000-0008-0000-1B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8932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295</xdr:row>
      <xdr:rowOff>123825</xdr:rowOff>
    </xdr:from>
    <xdr:to>
      <xdr:col>22</xdr:col>
      <xdr:colOff>1895475</xdr:colOff>
      <xdr:row>296</xdr:row>
      <xdr:rowOff>152400</xdr:rowOff>
    </xdr:to>
    <xdr:pic>
      <xdr:nvPicPr>
        <xdr:cNvPr id="6" name="Picture 5" descr="C:\WINDOWS\TEMP\~0003946.gif">
          <a:extLst>
            <a:ext uri="{FF2B5EF4-FFF2-40B4-BE49-F238E27FC236}">
              <a16:creationId xmlns:a16="http://schemas.microsoft.com/office/drawing/2014/main" id="{00000000-0008-0000-1B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98551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199</xdr:row>
      <xdr:rowOff>152400</xdr:rowOff>
    </xdr:from>
    <xdr:to>
      <xdr:col>22</xdr:col>
      <xdr:colOff>1924050</xdr:colOff>
      <xdr:row>200</xdr:row>
      <xdr:rowOff>180975</xdr:rowOff>
    </xdr:to>
    <xdr:pic>
      <xdr:nvPicPr>
        <xdr:cNvPr id="7" name="Picture 6" descr="C:\WINDOWS\TEMP\~0003946.gif">
          <a:extLst>
            <a:ext uri="{FF2B5EF4-FFF2-40B4-BE49-F238E27FC236}">
              <a16:creationId xmlns:a16="http://schemas.microsoft.com/office/drawing/2014/main" id="{00000000-0008-0000-1B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05955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8" name="Picture 7" descr="C:\WINDOWS\TEMP\~0003946.gif">
          <a:extLst>
            <a:ext uri="{FF2B5EF4-FFF2-40B4-BE49-F238E27FC236}">
              <a16:creationId xmlns:a16="http://schemas.microsoft.com/office/drawing/2014/main" id="{00000000-0008-0000-1B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1B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1B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11" name="Picture 10" descr="C:\WINDOWS\TEMP\~0003946.gif">
          <a:extLst>
            <a:ext uri="{FF2B5EF4-FFF2-40B4-BE49-F238E27FC236}">
              <a16:creationId xmlns:a16="http://schemas.microsoft.com/office/drawing/2014/main" id="{00000000-0008-0000-1B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199</xdr:row>
      <xdr:rowOff>104775</xdr:rowOff>
    </xdr:from>
    <xdr:to>
      <xdr:col>22</xdr:col>
      <xdr:colOff>809625</xdr:colOff>
      <xdr:row>200</xdr:row>
      <xdr:rowOff>133350</xdr:rowOff>
    </xdr:to>
    <xdr:pic>
      <xdr:nvPicPr>
        <xdr:cNvPr id="12" name="Picture 11" descr="C:\WINDOWS\TEMP\~0003946.gif">
          <a:extLst>
            <a:ext uri="{FF2B5EF4-FFF2-40B4-BE49-F238E27FC236}">
              <a16:creationId xmlns:a16="http://schemas.microsoft.com/office/drawing/2014/main" id="{00000000-0008-0000-1B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05479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295</xdr:row>
      <xdr:rowOff>104775</xdr:rowOff>
    </xdr:from>
    <xdr:to>
      <xdr:col>22</xdr:col>
      <xdr:colOff>895350</xdr:colOff>
      <xdr:row>296</xdr:row>
      <xdr:rowOff>133350</xdr:rowOff>
    </xdr:to>
    <xdr:pic>
      <xdr:nvPicPr>
        <xdr:cNvPr id="13" name="Picture 12" descr="C:\WINDOWS\TEMP\~0003946.gif">
          <a:extLst>
            <a:ext uri="{FF2B5EF4-FFF2-40B4-BE49-F238E27FC236}">
              <a16:creationId xmlns:a16="http://schemas.microsoft.com/office/drawing/2014/main" id="{00000000-0008-0000-1B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9836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00000000-0008-0000-1B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15" name="Picture 14" descr="logoMTL">
          <a:extLst>
            <a:ext uri="{FF2B5EF4-FFF2-40B4-BE49-F238E27FC236}">
              <a16:creationId xmlns:a16="http://schemas.microsoft.com/office/drawing/2014/main" id="{00000000-0008-0000-1B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199</xdr:row>
      <xdr:rowOff>28575</xdr:rowOff>
    </xdr:from>
    <xdr:to>
      <xdr:col>21</xdr:col>
      <xdr:colOff>1171575</xdr:colOff>
      <xdr:row>200</xdr:row>
      <xdr:rowOff>152400</xdr:rowOff>
    </xdr:to>
    <xdr:pic>
      <xdr:nvPicPr>
        <xdr:cNvPr id="16" name="Picture 15" descr="logoMTL">
          <a:extLst>
            <a:ext uri="{FF2B5EF4-FFF2-40B4-BE49-F238E27FC236}">
              <a16:creationId xmlns:a16="http://schemas.microsoft.com/office/drawing/2014/main" id="{00000000-0008-0000-1B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04717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295</xdr:row>
      <xdr:rowOff>0</xdr:rowOff>
    </xdr:from>
    <xdr:to>
      <xdr:col>21</xdr:col>
      <xdr:colOff>1228725</xdr:colOff>
      <xdr:row>296</xdr:row>
      <xdr:rowOff>123825</xdr:rowOff>
    </xdr:to>
    <xdr:pic>
      <xdr:nvPicPr>
        <xdr:cNvPr id="17" name="Picture 16" descr="logoMTL">
          <a:extLst>
            <a:ext uri="{FF2B5EF4-FFF2-40B4-BE49-F238E27FC236}">
              <a16:creationId xmlns:a16="http://schemas.microsoft.com/office/drawing/2014/main" id="{00000000-0008-0000-1B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97312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3" name="Picture 2" descr="C:\WINDOWS\TEMP\Symbol.gif">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199</xdr:row>
      <xdr:rowOff>171450</xdr:rowOff>
    </xdr:from>
    <xdr:to>
      <xdr:col>1</xdr:col>
      <xdr:colOff>47625</xdr:colOff>
      <xdr:row>200</xdr:row>
      <xdr:rowOff>209550</xdr:rowOff>
    </xdr:to>
    <xdr:pic>
      <xdr:nvPicPr>
        <xdr:cNvPr id="4" name="Picture 3" descr="C:\WINDOWS\TEMP\Symbol.gif">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06146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295</xdr:row>
      <xdr:rowOff>161925</xdr:rowOff>
    </xdr:from>
    <xdr:to>
      <xdr:col>1</xdr:col>
      <xdr:colOff>19050</xdr:colOff>
      <xdr:row>296</xdr:row>
      <xdr:rowOff>200025</xdr:rowOff>
    </xdr:to>
    <xdr:pic>
      <xdr:nvPicPr>
        <xdr:cNvPr id="5" name="Picture 4" descr="C:\WINDOWS\TEMP\Symbol.gif">
          <a:extLst>
            <a:ext uri="{FF2B5EF4-FFF2-40B4-BE49-F238E27FC236}">
              <a16:creationId xmlns:a16="http://schemas.microsoft.com/office/drawing/2014/main" id="{00000000-0008-0000-1C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8932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295</xdr:row>
      <xdr:rowOff>123825</xdr:rowOff>
    </xdr:from>
    <xdr:to>
      <xdr:col>22</xdr:col>
      <xdr:colOff>1895475</xdr:colOff>
      <xdr:row>296</xdr:row>
      <xdr:rowOff>152400</xdr:rowOff>
    </xdr:to>
    <xdr:pic>
      <xdr:nvPicPr>
        <xdr:cNvPr id="6" name="Picture 5" descr="C:\WINDOWS\TEMP\~0003946.gif">
          <a:extLst>
            <a:ext uri="{FF2B5EF4-FFF2-40B4-BE49-F238E27FC236}">
              <a16:creationId xmlns:a16="http://schemas.microsoft.com/office/drawing/2014/main" id="{00000000-0008-0000-1C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98551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199</xdr:row>
      <xdr:rowOff>152400</xdr:rowOff>
    </xdr:from>
    <xdr:to>
      <xdr:col>22</xdr:col>
      <xdr:colOff>1924050</xdr:colOff>
      <xdr:row>200</xdr:row>
      <xdr:rowOff>180975</xdr:rowOff>
    </xdr:to>
    <xdr:pic>
      <xdr:nvPicPr>
        <xdr:cNvPr id="7" name="Picture 6" descr="C:\WINDOWS\TEMP\~0003946.gif">
          <a:extLst>
            <a:ext uri="{FF2B5EF4-FFF2-40B4-BE49-F238E27FC236}">
              <a16:creationId xmlns:a16="http://schemas.microsoft.com/office/drawing/2014/main" id="{00000000-0008-0000-1C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05955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8" name="Picture 7" descr="C:\WINDOWS\TEMP\~0003946.gif">
          <a:extLst>
            <a:ext uri="{FF2B5EF4-FFF2-40B4-BE49-F238E27FC236}">
              <a16:creationId xmlns:a16="http://schemas.microsoft.com/office/drawing/2014/main" id="{00000000-0008-0000-1C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1C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1C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11" name="Picture 10" descr="C:\WINDOWS\TEMP\~0003946.gif">
          <a:extLst>
            <a:ext uri="{FF2B5EF4-FFF2-40B4-BE49-F238E27FC236}">
              <a16:creationId xmlns:a16="http://schemas.microsoft.com/office/drawing/2014/main" id="{00000000-0008-0000-1C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199</xdr:row>
      <xdr:rowOff>104775</xdr:rowOff>
    </xdr:from>
    <xdr:to>
      <xdr:col>22</xdr:col>
      <xdr:colOff>809625</xdr:colOff>
      <xdr:row>200</xdr:row>
      <xdr:rowOff>133350</xdr:rowOff>
    </xdr:to>
    <xdr:pic>
      <xdr:nvPicPr>
        <xdr:cNvPr id="12" name="Picture 11" descr="C:\WINDOWS\TEMP\~0003946.gif">
          <a:extLst>
            <a:ext uri="{FF2B5EF4-FFF2-40B4-BE49-F238E27FC236}">
              <a16:creationId xmlns:a16="http://schemas.microsoft.com/office/drawing/2014/main" id="{00000000-0008-0000-1C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05479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295</xdr:row>
      <xdr:rowOff>104775</xdr:rowOff>
    </xdr:from>
    <xdr:to>
      <xdr:col>22</xdr:col>
      <xdr:colOff>895350</xdr:colOff>
      <xdr:row>296</xdr:row>
      <xdr:rowOff>133350</xdr:rowOff>
    </xdr:to>
    <xdr:pic>
      <xdr:nvPicPr>
        <xdr:cNvPr id="13" name="Picture 12" descr="C:\WINDOWS\TEMP\~0003946.gif">
          <a:extLst>
            <a:ext uri="{FF2B5EF4-FFF2-40B4-BE49-F238E27FC236}">
              <a16:creationId xmlns:a16="http://schemas.microsoft.com/office/drawing/2014/main" id="{00000000-0008-0000-1C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9836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00000000-0008-0000-1C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15" name="Picture 14" descr="logoMTL">
          <a:extLst>
            <a:ext uri="{FF2B5EF4-FFF2-40B4-BE49-F238E27FC236}">
              <a16:creationId xmlns:a16="http://schemas.microsoft.com/office/drawing/2014/main" id="{00000000-0008-0000-1C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199</xdr:row>
      <xdr:rowOff>28575</xdr:rowOff>
    </xdr:from>
    <xdr:to>
      <xdr:col>21</xdr:col>
      <xdr:colOff>1171575</xdr:colOff>
      <xdr:row>200</xdr:row>
      <xdr:rowOff>152400</xdr:rowOff>
    </xdr:to>
    <xdr:pic>
      <xdr:nvPicPr>
        <xdr:cNvPr id="16" name="Picture 15" descr="logoMTL">
          <a:extLst>
            <a:ext uri="{FF2B5EF4-FFF2-40B4-BE49-F238E27FC236}">
              <a16:creationId xmlns:a16="http://schemas.microsoft.com/office/drawing/2014/main" id="{00000000-0008-0000-1C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04717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295</xdr:row>
      <xdr:rowOff>0</xdr:rowOff>
    </xdr:from>
    <xdr:to>
      <xdr:col>21</xdr:col>
      <xdr:colOff>1228725</xdr:colOff>
      <xdr:row>296</xdr:row>
      <xdr:rowOff>123825</xdr:rowOff>
    </xdr:to>
    <xdr:pic>
      <xdr:nvPicPr>
        <xdr:cNvPr id="17" name="Picture 16" descr="logoMTL">
          <a:extLst>
            <a:ext uri="{FF2B5EF4-FFF2-40B4-BE49-F238E27FC236}">
              <a16:creationId xmlns:a16="http://schemas.microsoft.com/office/drawing/2014/main" id="{00000000-0008-0000-1C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97312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6385" name="Picture 1" descr="C:\WINDOWS\TEMP\Symbol.gif">
          <a:extLst>
            <a:ext uri="{FF2B5EF4-FFF2-40B4-BE49-F238E27FC236}">
              <a16:creationId xmlns:a16="http://schemas.microsoft.com/office/drawing/2014/main" id="{00000000-0008-0000-0200-00001167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26386" name="Picture 2" descr="C:\WINDOWS\TEMP\Symbol.gif">
          <a:extLst>
            <a:ext uri="{FF2B5EF4-FFF2-40B4-BE49-F238E27FC236}">
              <a16:creationId xmlns:a16="http://schemas.microsoft.com/office/drawing/2014/main" id="{00000000-0008-0000-0200-0000126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198</xdr:row>
      <xdr:rowOff>171450</xdr:rowOff>
    </xdr:from>
    <xdr:to>
      <xdr:col>1</xdr:col>
      <xdr:colOff>47625</xdr:colOff>
      <xdr:row>199</xdr:row>
      <xdr:rowOff>209550</xdr:rowOff>
    </xdr:to>
    <xdr:pic>
      <xdr:nvPicPr>
        <xdr:cNvPr id="26387" name="Picture 3" descr="C:\WINDOWS\TEMP\Symbol.gif">
          <a:extLst>
            <a:ext uri="{FF2B5EF4-FFF2-40B4-BE49-F238E27FC236}">
              <a16:creationId xmlns:a16="http://schemas.microsoft.com/office/drawing/2014/main" id="{00000000-0008-0000-0200-00001367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04145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282</xdr:row>
      <xdr:rowOff>161925</xdr:rowOff>
    </xdr:from>
    <xdr:to>
      <xdr:col>1</xdr:col>
      <xdr:colOff>19050</xdr:colOff>
      <xdr:row>283</xdr:row>
      <xdr:rowOff>200025</xdr:rowOff>
    </xdr:to>
    <xdr:pic>
      <xdr:nvPicPr>
        <xdr:cNvPr id="26388" name="Picture 4" descr="C:\WINDOWS\TEMP\Symbol.gif">
          <a:extLst>
            <a:ext uri="{FF2B5EF4-FFF2-40B4-BE49-F238E27FC236}">
              <a16:creationId xmlns:a16="http://schemas.microsoft.com/office/drawing/2014/main" id="{00000000-0008-0000-0200-00001467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72928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282</xdr:row>
      <xdr:rowOff>123825</xdr:rowOff>
    </xdr:from>
    <xdr:to>
      <xdr:col>22</xdr:col>
      <xdr:colOff>1895475</xdr:colOff>
      <xdr:row>283</xdr:row>
      <xdr:rowOff>152400</xdr:rowOff>
    </xdr:to>
    <xdr:pic>
      <xdr:nvPicPr>
        <xdr:cNvPr id="26389" name="Picture 5" descr="C:\WINDOWS\TEMP\~0003946.gif">
          <a:extLst>
            <a:ext uri="{FF2B5EF4-FFF2-40B4-BE49-F238E27FC236}">
              <a16:creationId xmlns:a16="http://schemas.microsoft.com/office/drawing/2014/main" id="{00000000-0008-0000-0200-00001567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5222200" y="57254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198</xdr:row>
      <xdr:rowOff>152400</xdr:rowOff>
    </xdr:from>
    <xdr:to>
      <xdr:col>22</xdr:col>
      <xdr:colOff>1924050</xdr:colOff>
      <xdr:row>199</xdr:row>
      <xdr:rowOff>180975</xdr:rowOff>
    </xdr:to>
    <xdr:pic>
      <xdr:nvPicPr>
        <xdr:cNvPr id="26390" name="Picture 6" descr="C:\WINDOWS\TEMP\~0003946.gif">
          <a:extLst>
            <a:ext uri="{FF2B5EF4-FFF2-40B4-BE49-F238E27FC236}">
              <a16:creationId xmlns:a16="http://schemas.microsoft.com/office/drawing/2014/main" id="{00000000-0008-0000-0200-00001667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5222200" y="403955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26391" name="Picture 7" descr="C:\WINDOWS\TEMP\~0003946.gif">
          <a:extLst>
            <a:ext uri="{FF2B5EF4-FFF2-40B4-BE49-F238E27FC236}">
              <a16:creationId xmlns:a16="http://schemas.microsoft.com/office/drawing/2014/main" id="{00000000-0008-0000-0200-00001767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26392" name="Picture 8" descr="C:\WINDOWS\TEMP\~0003946.gif">
          <a:extLst>
            <a:ext uri="{FF2B5EF4-FFF2-40B4-BE49-F238E27FC236}">
              <a16:creationId xmlns:a16="http://schemas.microsoft.com/office/drawing/2014/main" id="{00000000-0008-0000-0200-000018670000}"/>
            </a:ext>
          </a:extLst>
        </xdr:cNvPr>
        <xdr:cNvPicPr>
          <a:picLocks noChangeAspect="1" noChangeArrowheads="1"/>
        </xdr:cNvPicPr>
      </xdr:nvPicPr>
      <xdr:blipFill>
        <a:blip xmlns:r="http://schemas.openxmlformats.org/officeDocument/2006/relationships" r:embed="rId4" r:link="rId3">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26393" name="Picture 9" descr="C:\WINDOWS\TEMP\~0003946.gif">
          <a:extLst>
            <a:ext uri="{FF2B5EF4-FFF2-40B4-BE49-F238E27FC236}">
              <a16:creationId xmlns:a16="http://schemas.microsoft.com/office/drawing/2014/main" id="{00000000-0008-0000-0200-00001967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26394" name="Picture 10" descr="C:\WINDOWS\TEMP\~0003946.gif">
          <a:extLst>
            <a:ext uri="{FF2B5EF4-FFF2-40B4-BE49-F238E27FC236}">
              <a16:creationId xmlns:a16="http://schemas.microsoft.com/office/drawing/2014/main" id="{00000000-0008-0000-0200-00001A67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198</xdr:row>
      <xdr:rowOff>104775</xdr:rowOff>
    </xdr:from>
    <xdr:to>
      <xdr:col>22</xdr:col>
      <xdr:colOff>809625</xdr:colOff>
      <xdr:row>199</xdr:row>
      <xdr:rowOff>133350</xdr:rowOff>
    </xdr:to>
    <xdr:pic>
      <xdr:nvPicPr>
        <xdr:cNvPr id="26395" name="Picture 11" descr="C:\WINDOWS\TEMP\~0003946.gif">
          <a:extLst>
            <a:ext uri="{FF2B5EF4-FFF2-40B4-BE49-F238E27FC236}">
              <a16:creationId xmlns:a16="http://schemas.microsoft.com/office/drawing/2014/main" id="{00000000-0008-0000-0200-00001B67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4222075" y="403479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282</xdr:row>
      <xdr:rowOff>104775</xdr:rowOff>
    </xdr:from>
    <xdr:to>
      <xdr:col>22</xdr:col>
      <xdr:colOff>895350</xdr:colOff>
      <xdr:row>283</xdr:row>
      <xdr:rowOff>133350</xdr:rowOff>
    </xdr:to>
    <xdr:pic>
      <xdr:nvPicPr>
        <xdr:cNvPr id="26396" name="Picture 12" descr="C:\WINDOWS\TEMP\~0003946.gif">
          <a:extLst>
            <a:ext uri="{FF2B5EF4-FFF2-40B4-BE49-F238E27FC236}">
              <a16:creationId xmlns:a16="http://schemas.microsoft.com/office/drawing/2014/main" id="{00000000-0008-0000-0200-00001C67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4307800" y="572357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26397" name="Picture 13" descr="logoMTL">
          <a:extLst>
            <a:ext uri="{FF2B5EF4-FFF2-40B4-BE49-F238E27FC236}">
              <a16:creationId xmlns:a16="http://schemas.microsoft.com/office/drawing/2014/main" id="{00000000-0008-0000-0200-00001D6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26398" name="Picture 14" descr="logoMTL">
          <a:extLst>
            <a:ext uri="{FF2B5EF4-FFF2-40B4-BE49-F238E27FC236}">
              <a16:creationId xmlns:a16="http://schemas.microsoft.com/office/drawing/2014/main" id="{00000000-0008-0000-0200-00001E6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198</xdr:row>
      <xdr:rowOff>28575</xdr:rowOff>
    </xdr:from>
    <xdr:to>
      <xdr:col>21</xdr:col>
      <xdr:colOff>1171575</xdr:colOff>
      <xdr:row>199</xdr:row>
      <xdr:rowOff>152400</xdr:rowOff>
    </xdr:to>
    <xdr:pic>
      <xdr:nvPicPr>
        <xdr:cNvPr id="26399" name="Picture 15" descr="logoMTL">
          <a:extLst>
            <a:ext uri="{FF2B5EF4-FFF2-40B4-BE49-F238E27FC236}">
              <a16:creationId xmlns:a16="http://schemas.microsoft.com/office/drawing/2014/main" id="{00000000-0008-0000-0200-00001F6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02717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282</xdr:row>
      <xdr:rowOff>0</xdr:rowOff>
    </xdr:from>
    <xdr:to>
      <xdr:col>21</xdr:col>
      <xdr:colOff>1228725</xdr:colOff>
      <xdr:row>283</xdr:row>
      <xdr:rowOff>123825</xdr:rowOff>
    </xdr:to>
    <xdr:pic>
      <xdr:nvPicPr>
        <xdr:cNvPr id="26400" name="Picture 16" descr="logoMTL">
          <a:extLst>
            <a:ext uri="{FF2B5EF4-FFF2-40B4-BE49-F238E27FC236}">
              <a16:creationId xmlns:a16="http://schemas.microsoft.com/office/drawing/2014/main" id="{00000000-0008-0000-0200-0000206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71309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3" name="Picture 2" descr="C:\WINDOWS\TEMP\Symbol.gif">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199</xdr:row>
      <xdr:rowOff>171450</xdr:rowOff>
    </xdr:from>
    <xdr:to>
      <xdr:col>1</xdr:col>
      <xdr:colOff>47625</xdr:colOff>
      <xdr:row>200</xdr:row>
      <xdr:rowOff>209550</xdr:rowOff>
    </xdr:to>
    <xdr:pic>
      <xdr:nvPicPr>
        <xdr:cNvPr id="4" name="Picture 3" descr="C:\WINDOWS\TEMP\Symbol.gif">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06146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295</xdr:row>
      <xdr:rowOff>161925</xdr:rowOff>
    </xdr:from>
    <xdr:to>
      <xdr:col>1</xdr:col>
      <xdr:colOff>19050</xdr:colOff>
      <xdr:row>296</xdr:row>
      <xdr:rowOff>200025</xdr:rowOff>
    </xdr:to>
    <xdr:pic>
      <xdr:nvPicPr>
        <xdr:cNvPr id="5" name="Picture 4" descr="C:\WINDOWS\TEMP\Symbol.gif">
          <a:extLst>
            <a:ext uri="{FF2B5EF4-FFF2-40B4-BE49-F238E27FC236}">
              <a16:creationId xmlns:a16="http://schemas.microsoft.com/office/drawing/2014/main" id="{00000000-0008-0000-1D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8932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295</xdr:row>
      <xdr:rowOff>123825</xdr:rowOff>
    </xdr:from>
    <xdr:to>
      <xdr:col>22</xdr:col>
      <xdr:colOff>1895475</xdr:colOff>
      <xdr:row>296</xdr:row>
      <xdr:rowOff>152400</xdr:rowOff>
    </xdr:to>
    <xdr:pic>
      <xdr:nvPicPr>
        <xdr:cNvPr id="6" name="Picture 5" descr="C:\WINDOWS\TEMP\~0003946.gif">
          <a:extLst>
            <a:ext uri="{FF2B5EF4-FFF2-40B4-BE49-F238E27FC236}">
              <a16:creationId xmlns:a16="http://schemas.microsoft.com/office/drawing/2014/main" id="{00000000-0008-0000-1D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98551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199</xdr:row>
      <xdr:rowOff>152400</xdr:rowOff>
    </xdr:from>
    <xdr:to>
      <xdr:col>22</xdr:col>
      <xdr:colOff>1924050</xdr:colOff>
      <xdr:row>200</xdr:row>
      <xdr:rowOff>180975</xdr:rowOff>
    </xdr:to>
    <xdr:pic>
      <xdr:nvPicPr>
        <xdr:cNvPr id="7" name="Picture 6" descr="C:\WINDOWS\TEMP\~0003946.gif">
          <a:extLst>
            <a:ext uri="{FF2B5EF4-FFF2-40B4-BE49-F238E27FC236}">
              <a16:creationId xmlns:a16="http://schemas.microsoft.com/office/drawing/2014/main" id="{00000000-0008-0000-1D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05955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8" name="Picture 7" descr="C:\WINDOWS\TEMP\~0003946.gif">
          <a:extLst>
            <a:ext uri="{FF2B5EF4-FFF2-40B4-BE49-F238E27FC236}">
              <a16:creationId xmlns:a16="http://schemas.microsoft.com/office/drawing/2014/main" id="{00000000-0008-0000-1D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1D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1D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11" name="Picture 10" descr="C:\WINDOWS\TEMP\~0003946.gif">
          <a:extLst>
            <a:ext uri="{FF2B5EF4-FFF2-40B4-BE49-F238E27FC236}">
              <a16:creationId xmlns:a16="http://schemas.microsoft.com/office/drawing/2014/main" id="{00000000-0008-0000-1D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199</xdr:row>
      <xdr:rowOff>104775</xdr:rowOff>
    </xdr:from>
    <xdr:to>
      <xdr:col>22</xdr:col>
      <xdr:colOff>809625</xdr:colOff>
      <xdr:row>200</xdr:row>
      <xdr:rowOff>133350</xdr:rowOff>
    </xdr:to>
    <xdr:pic>
      <xdr:nvPicPr>
        <xdr:cNvPr id="12" name="Picture 11" descr="C:\WINDOWS\TEMP\~0003946.gif">
          <a:extLst>
            <a:ext uri="{FF2B5EF4-FFF2-40B4-BE49-F238E27FC236}">
              <a16:creationId xmlns:a16="http://schemas.microsoft.com/office/drawing/2014/main" id="{00000000-0008-0000-1D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05479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295</xdr:row>
      <xdr:rowOff>104775</xdr:rowOff>
    </xdr:from>
    <xdr:to>
      <xdr:col>22</xdr:col>
      <xdr:colOff>895350</xdr:colOff>
      <xdr:row>296</xdr:row>
      <xdr:rowOff>133350</xdr:rowOff>
    </xdr:to>
    <xdr:pic>
      <xdr:nvPicPr>
        <xdr:cNvPr id="13" name="Picture 12" descr="C:\WINDOWS\TEMP\~0003946.gif">
          <a:extLst>
            <a:ext uri="{FF2B5EF4-FFF2-40B4-BE49-F238E27FC236}">
              <a16:creationId xmlns:a16="http://schemas.microsoft.com/office/drawing/2014/main" id="{00000000-0008-0000-1D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9836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00000000-0008-0000-1D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15" name="Picture 14" descr="logoMTL">
          <a:extLst>
            <a:ext uri="{FF2B5EF4-FFF2-40B4-BE49-F238E27FC236}">
              <a16:creationId xmlns:a16="http://schemas.microsoft.com/office/drawing/2014/main" id="{00000000-0008-0000-1D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199</xdr:row>
      <xdr:rowOff>28575</xdr:rowOff>
    </xdr:from>
    <xdr:to>
      <xdr:col>21</xdr:col>
      <xdr:colOff>1171575</xdr:colOff>
      <xdr:row>200</xdr:row>
      <xdr:rowOff>152400</xdr:rowOff>
    </xdr:to>
    <xdr:pic>
      <xdr:nvPicPr>
        <xdr:cNvPr id="16" name="Picture 15" descr="logoMTL">
          <a:extLst>
            <a:ext uri="{FF2B5EF4-FFF2-40B4-BE49-F238E27FC236}">
              <a16:creationId xmlns:a16="http://schemas.microsoft.com/office/drawing/2014/main" id="{00000000-0008-0000-1D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04717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295</xdr:row>
      <xdr:rowOff>0</xdr:rowOff>
    </xdr:from>
    <xdr:to>
      <xdr:col>21</xdr:col>
      <xdr:colOff>1228725</xdr:colOff>
      <xdr:row>296</xdr:row>
      <xdr:rowOff>123825</xdr:rowOff>
    </xdr:to>
    <xdr:pic>
      <xdr:nvPicPr>
        <xdr:cNvPr id="17" name="Picture 16" descr="logoMTL">
          <a:extLst>
            <a:ext uri="{FF2B5EF4-FFF2-40B4-BE49-F238E27FC236}">
              <a16:creationId xmlns:a16="http://schemas.microsoft.com/office/drawing/2014/main" id="{00000000-0008-0000-1D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97312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3" name="Picture 2" descr="C:\WINDOWS\TEMP\Symbol.gif">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199</xdr:row>
      <xdr:rowOff>171450</xdr:rowOff>
    </xdr:from>
    <xdr:to>
      <xdr:col>1</xdr:col>
      <xdr:colOff>47625</xdr:colOff>
      <xdr:row>200</xdr:row>
      <xdr:rowOff>209550</xdr:rowOff>
    </xdr:to>
    <xdr:pic>
      <xdr:nvPicPr>
        <xdr:cNvPr id="4" name="Picture 3" descr="C:\WINDOWS\TEMP\Symbol.gif">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06146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295</xdr:row>
      <xdr:rowOff>161925</xdr:rowOff>
    </xdr:from>
    <xdr:to>
      <xdr:col>1</xdr:col>
      <xdr:colOff>19050</xdr:colOff>
      <xdr:row>296</xdr:row>
      <xdr:rowOff>200025</xdr:rowOff>
    </xdr:to>
    <xdr:pic>
      <xdr:nvPicPr>
        <xdr:cNvPr id="5" name="Picture 4" descr="C:\WINDOWS\TEMP\Symbol.gif">
          <a:extLst>
            <a:ext uri="{FF2B5EF4-FFF2-40B4-BE49-F238E27FC236}">
              <a16:creationId xmlns:a16="http://schemas.microsoft.com/office/drawing/2014/main" id="{00000000-0008-0000-1E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8932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295</xdr:row>
      <xdr:rowOff>123825</xdr:rowOff>
    </xdr:from>
    <xdr:to>
      <xdr:col>22</xdr:col>
      <xdr:colOff>1895475</xdr:colOff>
      <xdr:row>296</xdr:row>
      <xdr:rowOff>152400</xdr:rowOff>
    </xdr:to>
    <xdr:pic>
      <xdr:nvPicPr>
        <xdr:cNvPr id="6" name="Picture 5" descr="C:\WINDOWS\TEMP\~0003946.gif">
          <a:extLst>
            <a:ext uri="{FF2B5EF4-FFF2-40B4-BE49-F238E27FC236}">
              <a16:creationId xmlns:a16="http://schemas.microsoft.com/office/drawing/2014/main" id="{00000000-0008-0000-1E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98551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199</xdr:row>
      <xdr:rowOff>152400</xdr:rowOff>
    </xdr:from>
    <xdr:to>
      <xdr:col>22</xdr:col>
      <xdr:colOff>1924050</xdr:colOff>
      <xdr:row>200</xdr:row>
      <xdr:rowOff>180975</xdr:rowOff>
    </xdr:to>
    <xdr:pic>
      <xdr:nvPicPr>
        <xdr:cNvPr id="7" name="Picture 6" descr="C:\WINDOWS\TEMP\~0003946.gif">
          <a:extLst>
            <a:ext uri="{FF2B5EF4-FFF2-40B4-BE49-F238E27FC236}">
              <a16:creationId xmlns:a16="http://schemas.microsoft.com/office/drawing/2014/main" id="{00000000-0008-0000-1E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05955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8" name="Picture 7" descr="C:\WINDOWS\TEMP\~0003946.gif">
          <a:extLst>
            <a:ext uri="{FF2B5EF4-FFF2-40B4-BE49-F238E27FC236}">
              <a16:creationId xmlns:a16="http://schemas.microsoft.com/office/drawing/2014/main" id="{00000000-0008-0000-1E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1E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1E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11" name="Picture 10" descr="C:\WINDOWS\TEMP\~0003946.gif">
          <a:extLst>
            <a:ext uri="{FF2B5EF4-FFF2-40B4-BE49-F238E27FC236}">
              <a16:creationId xmlns:a16="http://schemas.microsoft.com/office/drawing/2014/main" id="{00000000-0008-0000-1E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199</xdr:row>
      <xdr:rowOff>104775</xdr:rowOff>
    </xdr:from>
    <xdr:to>
      <xdr:col>22</xdr:col>
      <xdr:colOff>809625</xdr:colOff>
      <xdr:row>200</xdr:row>
      <xdr:rowOff>133350</xdr:rowOff>
    </xdr:to>
    <xdr:pic>
      <xdr:nvPicPr>
        <xdr:cNvPr id="12" name="Picture 11" descr="C:\WINDOWS\TEMP\~0003946.gif">
          <a:extLst>
            <a:ext uri="{FF2B5EF4-FFF2-40B4-BE49-F238E27FC236}">
              <a16:creationId xmlns:a16="http://schemas.microsoft.com/office/drawing/2014/main" id="{00000000-0008-0000-1E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05479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295</xdr:row>
      <xdr:rowOff>104775</xdr:rowOff>
    </xdr:from>
    <xdr:to>
      <xdr:col>22</xdr:col>
      <xdr:colOff>895350</xdr:colOff>
      <xdr:row>296</xdr:row>
      <xdr:rowOff>133350</xdr:rowOff>
    </xdr:to>
    <xdr:pic>
      <xdr:nvPicPr>
        <xdr:cNvPr id="13" name="Picture 12" descr="C:\WINDOWS\TEMP\~0003946.gif">
          <a:extLst>
            <a:ext uri="{FF2B5EF4-FFF2-40B4-BE49-F238E27FC236}">
              <a16:creationId xmlns:a16="http://schemas.microsoft.com/office/drawing/2014/main" id="{00000000-0008-0000-1E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9836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00000000-0008-0000-1E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15" name="Picture 14" descr="logoMTL">
          <a:extLst>
            <a:ext uri="{FF2B5EF4-FFF2-40B4-BE49-F238E27FC236}">
              <a16:creationId xmlns:a16="http://schemas.microsoft.com/office/drawing/2014/main" id="{00000000-0008-0000-1E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199</xdr:row>
      <xdr:rowOff>28575</xdr:rowOff>
    </xdr:from>
    <xdr:to>
      <xdr:col>21</xdr:col>
      <xdr:colOff>1171575</xdr:colOff>
      <xdr:row>200</xdr:row>
      <xdr:rowOff>152400</xdr:rowOff>
    </xdr:to>
    <xdr:pic>
      <xdr:nvPicPr>
        <xdr:cNvPr id="16" name="Picture 15" descr="logoMTL">
          <a:extLst>
            <a:ext uri="{FF2B5EF4-FFF2-40B4-BE49-F238E27FC236}">
              <a16:creationId xmlns:a16="http://schemas.microsoft.com/office/drawing/2014/main" id="{00000000-0008-0000-1E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04717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295</xdr:row>
      <xdr:rowOff>0</xdr:rowOff>
    </xdr:from>
    <xdr:to>
      <xdr:col>21</xdr:col>
      <xdr:colOff>1228725</xdr:colOff>
      <xdr:row>296</xdr:row>
      <xdr:rowOff>123825</xdr:rowOff>
    </xdr:to>
    <xdr:pic>
      <xdr:nvPicPr>
        <xdr:cNvPr id="17" name="Picture 16" descr="logoMTL">
          <a:extLst>
            <a:ext uri="{FF2B5EF4-FFF2-40B4-BE49-F238E27FC236}">
              <a16:creationId xmlns:a16="http://schemas.microsoft.com/office/drawing/2014/main" id="{00000000-0008-0000-1E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97312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3" name="Picture 2" descr="C:\WINDOWS\TEMP\Symbol.gif">
          <a:extLst>
            <a:ext uri="{FF2B5EF4-FFF2-40B4-BE49-F238E27FC236}">
              <a16:creationId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199</xdr:row>
      <xdr:rowOff>171450</xdr:rowOff>
    </xdr:from>
    <xdr:to>
      <xdr:col>1</xdr:col>
      <xdr:colOff>47625</xdr:colOff>
      <xdr:row>200</xdr:row>
      <xdr:rowOff>209550</xdr:rowOff>
    </xdr:to>
    <xdr:pic>
      <xdr:nvPicPr>
        <xdr:cNvPr id="4" name="Picture 3" descr="C:\WINDOWS\TEMP\Symbol.gif">
          <a:extLst>
            <a:ext uri="{FF2B5EF4-FFF2-40B4-BE49-F238E27FC236}">
              <a16:creationId xmlns:a16="http://schemas.microsoft.com/office/drawing/2014/main" id="{00000000-0008-0000-1F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06146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295</xdr:row>
      <xdr:rowOff>161925</xdr:rowOff>
    </xdr:from>
    <xdr:to>
      <xdr:col>1</xdr:col>
      <xdr:colOff>19050</xdr:colOff>
      <xdr:row>296</xdr:row>
      <xdr:rowOff>200025</xdr:rowOff>
    </xdr:to>
    <xdr:pic>
      <xdr:nvPicPr>
        <xdr:cNvPr id="5" name="Picture 4" descr="C:\WINDOWS\TEMP\Symbol.gif">
          <a:extLst>
            <a:ext uri="{FF2B5EF4-FFF2-40B4-BE49-F238E27FC236}">
              <a16:creationId xmlns:a16="http://schemas.microsoft.com/office/drawing/2014/main" id="{00000000-0008-0000-1F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8932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295</xdr:row>
      <xdr:rowOff>123825</xdr:rowOff>
    </xdr:from>
    <xdr:to>
      <xdr:col>22</xdr:col>
      <xdr:colOff>1895475</xdr:colOff>
      <xdr:row>296</xdr:row>
      <xdr:rowOff>152400</xdr:rowOff>
    </xdr:to>
    <xdr:pic>
      <xdr:nvPicPr>
        <xdr:cNvPr id="6" name="Picture 5" descr="C:\WINDOWS\TEMP\~0003946.gif">
          <a:extLst>
            <a:ext uri="{FF2B5EF4-FFF2-40B4-BE49-F238E27FC236}">
              <a16:creationId xmlns:a16="http://schemas.microsoft.com/office/drawing/2014/main" id="{00000000-0008-0000-1F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98551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199</xdr:row>
      <xdr:rowOff>152400</xdr:rowOff>
    </xdr:from>
    <xdr:to>
      <xdr:col>22</xdr:col>
      <xdr:colOff>1924050</xdr:colOff>
      <xdr:row>200</xdr:row>
      <xdr:rowOff>180975</xdr:rowOff>
    </xdr:to>
    <xdr:pic>
      <xdr:nvPicPr>
        <xdr:cNvPr id="7" name="Picture 6" descr="C:\WINDOWS\TEMP\~0003946.gif">
          <a:extLst>
            <a:ext uri="{FF2B5EF4-FFF2-40B4-BE49-F238E27FC236}">
              <a16:creationId xmlns:a16="http://schemas.microsoft.com/office/drawing/2014/main" id="{00000000-0008-0000-1F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05955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8" name="Picture 7" descr="C:\WINDOWS\TEMP\~0003946.gif">
          <a:extLst>
            <a:ext uri="{FF2B5EF4-FFF2-40B4-BE49-F238E27FC236}">
              <a16:creationId xmlns:a16="http://schemas.microsoft.com/office/drawing/2014/main" id="{00000000-0008-0000-1F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1F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1F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11" name="Picture 10" descr="C:\WINDOWS\TEMP\~0003946.gif">
          <a:extLst>
            <a:ext uri="{FF2B5EF4-FFF2-40B4-BE49-F238E27FC236}">
              <a16:creationId xmlns:a16="http://schemas.microsoft.com/office/drawing/2014/main" id="{00000000-0008-0000-1F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199</xdr:row>
      <xdr:rowOff>104775</xdr:rowOff>
    </xdr:from>
    <xdr:to>
      <xdr:col>22</xdr:col>
      <xdr:colOff>809625</xdr:colOff>
      <xdr:row>200</xdr:row>
      <xdr:rowOff>133350</xdr:rowOff>
    </xdr:to>
    <xdr:pic>
      <xdr:nvPicPr>
        <xdr:cNvPr id="12" name="Picture 11" descr="C:\WINDOWS\TEMP\~0003946.gif">
          <a:extLst>
            <a:ext uri="{FF2B5EF4-FFF2-40B4-BE49-F238E27FC236}">
              <a16:creationId xmlns:a16="http://schemas.microsoft.com/office/drawing/2014/main" id="{00000000-0008-0000-1F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05479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295</xdr:row>
      <xdr:rowOff>104775</xdr:rowOff>
    </xdr:from>
    <xdr:to>
      <xdr:col>22</xdr:col>
      <xdr:colOff>895350</xdr:colOff>
      <xdr:row>296</xdr:row>
      <xdr:rowOff>133350</xdr:rowOff>
    </xdr:to>
    <xdr:pic>
      <xdr:nvPicPr>
        <xdr:cNvPr id="13" name="Picture 12" descr="C:\WINDOWS\TEMP\~0003946.gif">
          <a:extLst>
            <a:ext uri="{FF2B5EF4-FFF2-40B4-BE49-F238E27FC236}">
              <a16:creationId xmlns:a16="http://schemas.microsoft.com/office/drawing/2014/main" id="{00000000-0008-0000-1F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9836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00000000-0008-0000-1F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15" name="Picture 14" descr="logoMTL">
          <a:extLst>
            <a:ext uri="{FF2B5EF4-FFF2-40B4-BE49-F238E27FC236}">
              <a16:creationId xmlns:a16="http://schemas.microsoft.com/office/drawing/2014/main" id="{00000000-0008-0000-1F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199</xdr:row>
      <xdr:rowOff>28575</xdr:rowOff>
    </xdr:from>
    <xdr:to>
      <xdr:col>21</xdr:col>
      <xdr:colOff>1171575</xdr:colOff>
      <xdr:row>200</xdr:row>
      <xdr:rowOff>152400</xdr:rowOff>
    </xdr:to>
    <xdr:pic>
      <xdr:nvPicPr>
        <xdr:cNvPr id="16" name="Picture 15" descr="logoMTL">
          <a:extLst>
            <a:ext uri="{FF2B5EF4-FFF2-40B4-BE49-F238E27FC236}">
              <a16:creationId xmlns:a16="http://schemas.microsoft.com/office/drawing/2014/main" id="{00000000-0008-0000-1F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04717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295</xdr:row>
      <xdr:rowOff>0</xdr:rowOff>
    </xdr:from>
    <xdr:to>
      <xdr:col>21</xdr:col>
      <xdr:colOff>1228725</xdr:colOff>
      <xdr:row>296</xdr:row>
      <xdr:rowOff>123825</xdr:rowOff>
    </xdr:to>
    <xdr:pic>
      <xdr:nvPicPr>
        <xdr:cNvPr id="17" name="Picture 16" descr="logoMTL">
          <a:extLst>
            <a:ext uri="{FF2B5EF4-FFF2-40B4-BE49-F238E27FC236}">
              <a16:creationId xmlns:a16="http://schemas.microsoft.com/office/drawing/2014/main" id="{00000000-0008-0000-1F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97312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3" name="Picture 2" descr="C:\WINDOWS\TEMP\Symbol.gif">
          <a:extLst>
            <a:ext uri="{FF2B5EF4-FFF2-40B4-BE49-F238E27FC236}">
              <a16:creationId xmlns:a16="http://schemas.microsoft.com/office/drawing/2014/main" id="{00000000-0008-0000-20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199</xdr:row>
      <xdr:rowOff>171450</xdr:rowOff>
    </xdr:from>
    <xdr:to>
      <xdr:col>1</xdr:col>
      <xdr:colOff>47625</xdr:colOff>
      <xdr:row>200</xdr:row>
      <xdr:rowOff>209550</xdr:rowOff>
    </xdr:to>
    <xdr:pic>
      <xdr:nvPicPr>
        <xdr:cNvPr id="4" name="Picture 3" descr="C:\WINDOWS\TEMP\Symbol.gif">
          <a:extLst>
            <a:ext uri="{FF2B5EF4-FFF2-40B4-BE49-F238E27FC236}">
              <a16:creationId xmlns:a16="http://schemas.microsoft.com/office/drawing/2014/main" id="{00000000-0008-0000-20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06146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295</xdr:row>
      <xdr:rowOff>161925</xdr:rowOff>
    </xdr:from>
    <xdr:to>
      <xdr:col>1</xdr:col>
      <xdr:colOff>19050</xdr:colOff>
      <xdr:row>296</xdr:row>
      <xdr:rowOff>200025</xdr:rowOff>
    </xdr:to>
    <xdr:pic>
      <xdr:nvPicPr>
        <xdr:cNvPr id="5" name="Picture 4" descr="C:\WINDOWS\TEMP\Symbol.gif">
          <a:extLst>
            <a:ext uri="{FF2B5EF4-FFF2-40B4-BE49-F238E27FC236}">
              <a16:creationId xmlns:a16="http://schemas.microsoft.com/office/drawing/2014/main" id="{00000000-0008-0000-20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8932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295</xdr:row>
      <xdr:rowOff>123825</xdr:rowOff>
    </xdr:from>
    <xdr:to>
      <xdr:col>22</xdr:col>
      <xdr:colOff>1895475</xdr:colOff>
      <xdr:row>296</xdr:row>
      <xdr:rowOff>152400</xdr:rowOff>
    </xdr:to>
    <xdr:pic>
      <xdr:nvPicPr>
        <xdr:cNvPr id="6" name="Picture 5" descr="C:\WINDOWS\TEMP\~0003946.gif">
          <a:extLst>
            <a:ext uri="{FF2B5EF4-FFF2-40B4-BE49-F238E27FC236}">
              <a16:creationId xmlns:a16="http://schemas.microsoft.com/office/drawing/2014/main" id="{00000000-0008-0000-20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98551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199</xdr:row>
      <xdr:rowOff>152400</xdr:rowOff>
    </xdr:from>
    <xdr:to>
      <xdr:col>22</xdr:col>
      <xdr:colOff>1924050</xdr:colOff>
      <xdr:row>200</xdr:row>
      <xdr:rowOff>180975</xdr:rowOff>
    </xdr:to>
    <xdr:pic>
      <xdr:nvPicPr>
        <xdr:cNvPr id="7" name="Picture 6" descr="C:\WINDOWS\TEMP\~0003946.gif">
          <a:extLst>
            <a:ext uri="{FF2B5EF4-FFF2-40B4-BE49-F238E27FC236}">
              <a16:creationId xmlns:a16="http://schemas.microsoft.com/office/drawing/2014/main" id="{00000000-0008-0000-20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05955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8" name="Picture 7" descr="C:\WINDOWS\TEMP\~0003946.gif">
          <a:extLst>
            <a:ext uri="{FF2B5EF4-FFF2-40B4-BE49-F238E27FC236}">
              <a16:creationId xmlns:a16="http://schemas.microsoft.com/office/drawing/2014/main" id="{00000000-0008-0000-20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0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0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11" name="Picture 10" descr="C:\WINDOWS\TEMP\~0003946.gif">
          <a:extLst>
            <a:ext uri="{FF2B5EF4-FFF2-40B4-BE49-F238E27FC236}">
              <a16:creationId xmlns:a16="http://schemas.microsoft.com/office/drawing/2014/main" id="{00000000-0008-0000-20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199</xdr:row>
      <xdr:rowOff>104775</xdr:rowOff>
    </xdr:from>
    <xdr:to>
      <xdr:col>22</xdr:col>
      <xdr:colOff>809625</xdr:colOff>
      <xdr:row>200</xdr:row>
      <xdr:rowOff>133350</xdr:rowOff>
    </xdr:to>
    <xdr:pic>
      <xdr:nvPicPr>
        <xdr:cNvPr id="12" name="Picture 11" descr="C:\WINDOWS\TEMP\~0003946.gif">
          <a:extLst>
            <a:ext uri="{FF2B5EF4-FFF2-40B4-BE49-F238E27FC236}">
              <a16:creationId xmlns:a16="http://schemas.microsoft.com/office/drawing/2014/main" id="{00000000-0008-0000-20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05479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295</xdr:row>
      <xdr:rowOff>104775</xdr:rowOff>
    </xdr:from>
    <xdr:to>
      <xdr:col>22</xdr:col>
      <xdr:colOff>895350</xdr:colOff>
      <xdr:row>296</xdr:row>
      <xdr:rowOff>133350</xdr:rowOff>
    </xdr:to>
    <xdr:pic>
      <xdr:nvPicPr>
        <xdr:cNvPr id="13" name="Picture 12" descr="C:\WINDOWS\TEMP\~0003946.gif">
          <a:extLst>
            <a:ext uri="{FF2B5EF4-FFF2-40B4-BE49-F238E27FC236}">
              <a16:creationId xmlns:a16="http://schemas.microsoft.com/office/drawing/2014/main" id="{00000000-0008-0000-20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9836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00000000-0008-0000-20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15" name="Picture 14" descr="logoMTL">
          <a:extLst>
            <a:ext uri="{FF2B5EF4-FFF2-40B4-BE49-F238E27FC236}">
              <a16:creationId xmlns:a16="http://schemas.microsoft.com/office/drawing/2014/main" id="{00000000-0008-0000-20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199</xdr:row>
      <xdr:rowOff>28575</xdr:rowOff>
    </xdr:from>
    <xdr:to>
      <xdr:col>21</xdr:col>
      <xdr:colOff>1171575</xdr:colOff>
      <xdr:row>200</xdr:row>
      <xdr:rowOff>152400</xdr:rowOff>
    </xdr:to>
    <xdr:pic>
      <xdr:nvPicPr>
        <xdr:cNvPr id="16" name="Picture 15" descr="logoMTL">
          <a:extLst>
            <a:ext uri="{FF2B5EF4-FFF2-40B4-BE49-F238E27FC236}">
              <a16:creationId xmlns:a16="http://schemas.microsoft.com/office/drawing/2014/main" id="{00000000-0008-0000-20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04717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295</xdr:row>
      <xdr:rowOff>0</xdr:rowOff>
    </xdr:from>
    <xdr:to>
      <xdr:col>21</xdr:col>
      <xdr:colOff>1228725</xdr:colOff>
      <xdr:row>296</xdr:row>
      <xdr:rowOff>123825</xdr:rowOff>
    </xdr:to>
    <xdr:pic>
      <xdr:nvPicPr>
        <xdr:cNvPr id="17" name="Picture 16" descr="logoMTL">
          <a:extLst>
            <a:ext uri="{FF2B5EF4-FFF2-40B4-BE49-F238E27FC236}">
              <a16:creationId xmlns:a16="http://schemas.microsoft.com/office/drawing/2014/main" id="{00000000-0008-0000-20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97312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3" name="Picture 2" descr="C:\WINDOWS\TEMP\Symbol.gif">
          <a:extLst>
            <a:ext uri="{FF2B5EF4-FFF2-40B4-BE49-F238E27FC236}">
              <a16:creationId xmlns:a16="http://schemas.microsoft.com/office/drawing/2014/main" id="{00000000-0008-0000-21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199</xdr:row>
      <xdr:rowOff>171450</xdr:rowOff>
    </xdr:from>
    <xdr:to>
      <xdr:col>1</xdr:col>
      <xdr:colOff>47625</xdr:colOff>
      <xdr:row>200</xdr:row>
      <xdr:rowOff>209550</xdr:rowOff>
    </xdr:to>
    <xdr:pic>
      <xdr:nvPicPr>
        <xdr:cNvPr id="4" name="Picture 3" descr="C:\WINDOWS\TEMP\Symbol.gif">
          <a:extLst>
            <a:ext uri="{FF2B5EF4-FFF2-40B4-BE49-F238E27FC236}">
              <a16:creationId xmlns:a16="http://schemas.microsoft.com/office/drawing/2014/main" id="{00000000-0008-0000-21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06146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295</xdr:row>
      <xdr:rowOff>161925</xdr:rowOff>
    </xdr:from>
    <xdr:to>
      <xdr:col>1</xdr:col>
      <xdr:colOff>19050</xdr:colOff>
      <xdr:row>296</xdr:row>
      <xdr:rowOff>200025</xdr:rowOff>
    </xdr:to>
    <xdr:pic>
      <xdr:nvPicPr>
        <xdr:cNvPr id="5" name="Picture 4" descr="C:\WINDOWS\TEMP\Symbol.gif">
          <a:extLst>
            <a:ext uri="{FF2B5EF4-FFF2-40B4-BE49-F238E27FC236}">
              <a16:creationId xmlns:a16="http://schemas.microsoft.com/office/drawing/2014/main" id="{00000000-0008-0000-21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8932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295</xdr:row>
      <xdr:rowOff>123825</xdr:rowOff>
    </xdr:from>
    <xdr:to>
      <xdr:col>22</xdr:col>
      <xdr:colOff>1895475</xdr:colOff>
      <xdr:row>296</xdr:row>
      <xdr:rowOff>152400</xdr:rowOff>
    </xdr:to>
    <xdr:pic>
      <xdr:nvPicPr>
        <xdr:cNvPr id="6" name="Picture 5" descr="C:\WINDOWS\TEMP\~0003946.gif">
          <a:extLst>
            <a:ext uri="{FF2B5EF4-FFF2-40B4-BE49-F238E27FC236}">
              <a16:creationId xmlns:a16="http://schemas.microsoft.com/office/drawing/2014/main" id="{00000000-0008-0000-21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98551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199</xdr:row>
      <xdr:rowOff>152400</xdr:rowOff>
    </xdr:from>
    <xdr:to>
      <xdr:col>22</xdr:col>
      <xdr:colOff>1924050</xdr:colOff>
      <xdr:row>200</xdr:row>
      <xdr:rowOff>180975</xdr:rowOff>
    </xdr:to>
    <xdr:pic>
      <xdr:nvPicPr>
        <xdr:cNvPr id="7" name="Picture 6" descr="C:\WINDOWS\TEMP\~0003946.gif">
          <a:extLst>
            <a:ext uri="{FF2B5EF4-FFF2-40B4-BE49-F238E27FC236}">
              <a16:creationId xmlns:a16="http://schemas.microsoft.com/office/drawing/2014/main" id="{00000000-0008-0000-21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05955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8" name="Picture 7" descr="C:\WINDOWS\TEMP\~0003946.gif">
          <a:extLst>
            <a:ext uri="{FF2B5EF4-FFF2-40B4-BE49-F238E27FC236}">
              <a16:creationId xmlns:a16="http://schemas.microsoft.com/office/drawing/2014/main" id="{00000000-0008-0000-21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1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1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11" name="Picture 10" descr="C:\WINDOWS\TEMP\~0003946.gif">
          <a:extLst>
            <a:ext uri="{FF2B5EF4-FFF2-40B4-BE49-F238E27FC236}">
              <a16:creationId xmlns:a16="http://schemas.microsoft.com/office/drawing/2014/main" id="{00000000-0008-0000-21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199</xdr:row>
      <xdr:rowOff>104775</xdr:rowOff>
    </xdr:from>
    <xdr:to>
      <xdr:col>22</xdr:col>
      <xdr:colOff>809625</xdr:colOff>
      <xdr:row>200</xdr:row>
      <xdr:rowOff>133350</xdr:rowOff>
    </xdr:to>
    <xdr:pic>
      <xdr:nvPicPr>
        <xdr:cNvPr id="12" name="Picture 11" descr="C:\WINDOWS\TEMP\~0003946.gif">
          <a:extLst>
            <a:ext uri="{FF2B5EF4-FFF2-40B4-BE49-F238E27FC236}">
              <a16:creationId xmlns:a16="http://schemas.microsoft.com/office/drawing/2014/main" id="{00000000-0008-0000-21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05479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295</xdr:row>
      <xdr:rowOff>104775</xdr:rowOff>
    </xdr:from>
    <xdr:to>
      <xdr:col>22</xdr:col>
      <xdr:colOff>895350</xdr:colOff>
      <xdr:row>296</xdr:row>
      <xdr:rowOff>133350</xdr:rowOff>
    </xdr:to>
    <xdr:pic>
      <xdr:nvPicPr>
        <xdr:cNvPr id="13" name="Picture 12" descr="C:\WINDOWS\TEMP\~0003946.gif">
          <a:extLst>
            <a:ext uri="{FF2B5EF4-FFF2-40B4-BE49-F238E27FC236}">
              <a16:creationId xmlns:a16="http://schemas.microsoft.com/office/drawing/2014/main" id="{00000000-0008-0000-21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9836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00000000-0008-0000-21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15" name="Picture 14" descr="logoMTL">
          <a:extLst>
            <a:ext uri="{FF2B5EF4-FFF2-40B4-BE49-F238E27FC236}">
              <a16:creationId xmlns:a16="http://schemas.microsoft.com/office/drawing/2014/main" id="{00000000-0008-0000-21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199</xdr:row>
      <xdr:rowOff>28575</xdr:rowOff>
    </xdr:from>
    <xdr:to>
      <xdr:col>21</xdr:col>
      <xdr:colOff>1171575</xdr:colOff>
      <xdr:row>200</xdr:row>
      <xdr:rowOff>152400</xdr:rowOff>
    </xdr:to>
    <xdr:pic>
      <xdr:nvPicPr>
        <xdr:cNvPr id="16" name="Picture 15" descr="logoMTL">
          <a:extLst>
            <a:ext uri="{FF2B5EF4-FFF2-40B4-BE49-F238E27FC236}">
              <a16:creationId xmlns:a16="http://schemas.microsoft.com/office/drawing/2014/main" id="{00000000-0008-0000-21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04717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295</xdr:row>
      <xdr:rowOff>0</xdr:rowOff>
    </xdr:from>
    <xdr:to>
      <xdr:col>21</xdr:col>
      <xdr:colOff>1228725</xdr:colOff>
      <xdr:row>296</xdr:row>
      <xdr:rowOff>123825</xdr:rowOff>
    </xdr:to>
    <xdr:pic>
      <xdr:nvPicPr>
        <xdr:cNvPr id="17" name="Picture 16" descr="logoMTL">
          <a:extLst>
            <a:ext uri="{FF2B5EF4-FFF2-40B4-BE49-F238E27FC236}">
              <a16:creationId xmlns:a16="http://schemas.microsoft.com/office/drawing/2014/main" id="{00000000-0008-0000-21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97312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3" name="Picture 2" descr="C:\WINDOWS\TEMP\Symbol.gif">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199</xdr:row>
      <xdr:rowOff>171450</xdr:rowOff>
    </xdr:from>
    <xdr:to>
      <xdr:col>1</xdr:col>
      <xdr:colOff>47625</xdr:colOff>
      <xdr:row>200</xdr:row>
      <xdr:rowOff>209550</xdr:rowOff>
    </xdr:to>
    <xdr:pic>
      <xdr:nvPicPr>
        <xdr:cNvPr id="4" name="Picture 3" descr="C:\WINDOWS\TEMP\Symbol.gif">
          <a:extLst>
            <a:ext uri="{FF2B5EF4-FFF2-40B4-BE49-F238E27FC236}">
              <a16:creationId xmlns:a16="http://schemas.microsoft.com/office/drawing/2014/main" id="{00000000-0008-0000-22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06146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295</xdr:row>
      <xdr:rowOff>161925</xdr:rowOff>
    </xdr:from>
    <xdr:to>
      <xdr:col>1</xdr:col>
      <xdr:colOff>19050</xdr:colOff>
      <xdr:row>296</xdr:row>
      <xdr:rowOff>200025</xdr:rowOff>
    </xdr:to>
    <xdr:pic>
      <xdr:nvPicPr>
        <xdr:cNvPr id="5" name="Picture 4" descr="C:\WINDOWS\TEMP\Symbol.gif">
          <a:extLst>
            <a:ext uri="{FF2B5EF4-FFF2-40B4-BE49-F238E27FC236}">
              <a16:creationId xmlns:a16="http://schemas.microsoft.com/office/drawing/2014/main" id="{00000000-0008-0000-22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8932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295</xdr:row>
      <xdr:rowOff>123825</xdr:rowOff>
    </xdr:from>
    <xdr:to>
      <xdr:col>22</xdr:col>
      <xdr:colOff>1895475</xdr:colOff>
      <xdr:row>296</xdr:row>
      <xdr:rowOff>152400</xdr:rowOff>
    </xdr:to>
    <xdr:pic>
      <xdr:nvPicPr>
        <xdr:cNvPr id="6" name="Picture 5" descr="C:\WINDOWS\TEMP\~0003946.gif">
          <a:extLst>
            <a:ext uri="{FF2B5EF4-FFF2-40B4-BE49-F238E27FC236}">
              <a16:creationId xmlns:a16="http://schemas.microsoft.com/office/drawing/2014/main" id="{00000000-0008-0000-22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98551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199</xdr:row>
      <xdr:rowOff>152400</xdr:rowOff>
    </xdr:from>
    <xdr:to>
      <xdr:col>22</xdr:col>
      <xdr:colOff>1924050</xdr:colOff>
      <xdr:row>200</xdr:row>
      <xdr:rowOff>180975</xdr:rowOff>
    </xdr:to>
    <xdr:pic>
      <xdr:nvPicPr>
        <xdr:cNvPr id="7" name="Picture 6" descr="C:\WINDOWS\TEMP\~0003946.gif">
          <a:extLst>
            <a:ext uri="{FF2B5EF4-FFF2-40B4-BE49-F238E27FC236}">
              <a16:creationId xmlns:a16="http://schemas.microsoft.com/office/drawing/2014/main" id="{00000000-0008-0000-22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05955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8" name="Picture 7" descr="C:\WINDOWS\TEMP\~0003946.gif">
          <a:extLst>
            <a:ext uri="{FF2B5EF4-FFF2-40B4-BE49-F238E27FC236}">
              <a16:creationId xmlns:a16="http://schemas.microsoft.com/office/drawing/2014/main" id="{00000000-0008-0000-22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2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2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11" name="Picture 10" descr="C:\WINDOWS\TEMP\~0003946.gif">
          <a:extLst>
            <a:ext uri="{FF2B5EF4-FFF2-40B4-BE49-F238E27FC236}">
              <a16:creationId xmlns:a16="http://schemas.microsoft.com/office/drawing/2014/main" id="{00000000-0008-0000-22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199</xdr:row>
      <xdr:rowOff>104775</xdr:rowOff>
    </xdr:from>
    <xdr:to>
      <xdr:col>22</xdr:col>
      <xdr:colOff>809625</xdr:colOff>
      <xdr:row>200</xdr:row>
      <xdr:rowOff>133350</xdr:rowOff>
    </xdr:to>
    <xdr:pic>
      <xdr:nvPicPr>
        <xdr:cNvPr id="12" name="Picture 11" descr="C:\WINDOWS\TEMP\~0003946.gif">
          <a:extLst>
            <a:ext uri="{FF2B5EF4-FFF2-40B4-BE49-F238E27FC236}">
              <a16:creationId xmlns:a16="http://schemas.microsoft.com/office/drawing/2014/main" id="{00000000-0008-0000-22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05479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295</xdr:row>
      <xdr:rowOff>104775</xdr:rowOff>
    </xdr:from>
    <xdr:to>
      <xdr:col>22</xdr:col>
      <xdr:colOff>895350</xdr:colOff>
      <xdr:row>296</xdr:row>
      <xdr:rowOff>133350</xdr:rowOff>
    </xdr:to>
    <xdr:pic>
      <xdr:nvPicPr>
        <xdr:cNvPr id="13" name="Picture 12" descr="C:\WINDOWS\TEMP\~0003946.gif">
          <a:extLst>
            <a:ext uri="{FF2B5EF4-FFF2-40B4-BE49-F238E27FC236}">
              <a16:creationId xmlns:a16="http://schemas.microsoft.com/office/drawing/2014/main" id="{00000000-0008-0000-22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9836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00000000-0008-0000-22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15" name="Picture 14" descr="logoMTL">
          <a:extLst>
            <a:ext uri="{FF2B5EF4-FFF2-40B4-BE49-F238E27FC236}">
              <a16:creationId xmlns:a16="http://schemas.microsoft.com/office/drawing/2014/main" id="{00000000-0008-0000-22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199</xdr:row>
      <xdr:rowOff>28575</xdr:rowOff>
    </xdr:from>
    <xdr:to>
      <xdr:col>21</xdr:col>
      <xdr:colOff>1171575</xdr:colOff>
      <xdr:row>200</xdr:row>
      <xdr:rowOff>152400</xdr:rowOff>
    </xdr:to>
    <xdr:pic>
      <xdr:nvPicPr>
        <xdr:cNvPr id="16" name="Picture 15" descr="logoMTL">
          <a:extLst>
            <a:ext uri="{FF2B5EF4-FFF2-40B4-BE49-F238E27FC236}">
              <a16:creationId xmlns:a16="http://schemas.microsoft.com/office/drawing/2014/main" id="{00000000-0008-0000-22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04717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295</xdr:row>
      <xdr:rowOff>0</xdr:rowOff>
    </xdr:from>
    <xdr:to>
      <xdr:col>21</xdr:col>
      <xdr:colOff>1228725</xdr:colOff>
      <xdr:row>296</xdr:row>
      <xdr:rowOff>123825</xdr:rowOff>
    </xdr:to>
    <xdr:pic>
      <xdr:nvPicPr>
        <xdr:cNvPr id="17" name="Picture 16" descr="logoMTL">
          <a:extLst>
            <a:ext uri="{FF2B5EF4-FFF2-40B4-BE49-F238E27FC236}">
              <a16:creationId xmlns:a16="http://schemas.microsoft.com/office/drawing/2014/main" id="{00000000-0008-0000-22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97312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3" name="Picture 2" descr="C:\WINDOWS\TEMP\Symbol.gif">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199</xdr:row>
      <xdr:rowOff>171450</xdr:rowOff>
    </xdr:from>
    <xdr:to>
      <xdr:col>1</xdr:col>
      <xdr:colOff>47625</xdr:colOff>
      <xdr:row>200</xdr:row>
      <xdr:rowOff>209550</xdr:rowOff>
    </xdr:to>
    <xdr:pic>
      <xdr:nvPicPr>
        <xdr:cNvPr id="4" name="Picture 3" descr="C:\WINDOWS\TEMP\Symbol.gif">
          <a:extLst>
            <a:ext uri="{FF2B5EF4-FFF2-40B4-BE49-F238E27FC236}">
              <a16:creationId xmlns:a16="http://schemas.microsoft.com/office/drawing/2014/main" id="{00000000-0008-0000-23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06146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295</xdr:row>
      <xdr:rowOff>161925</xdr:rowOff>
    </xdr:from>
    <xdr:to>
      <xdr:col>1</xdr:col>
      <xdr:colOff>19050</xdr:colOff>
      <xdr:row>296</xdr:row>
      <xdr:rowOff>200025</xdr:rowOff>
    </xdr:to>
    <xdr:pic>
      <xdr:nvPicPr>
        <xdr:cNvPr id="5" name="Picture 4" descr="C:\WINDOWS\TEMP\Symbol.gif">
          <a:extLst>
            <a:ext uri="{FF2B5EF4-FFF2-40B4-BE49-F238E27FC236}">
              <a16:creationId xmlns:a16="http://schemas.microsoft.com/office/drawing/2014/main" id="{00000000-0008-0000-23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8932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295</xdr:row>
      <xdr:rowOff>123825</xdr:rowOff>
    </xdr:from>
    <xdr:to>
      <xdr:col>22</xdr:col>
      <xdr:colOff>1895475</xdr:colOff>
      <xdr:row>296</xdr:row>
      <xdr:rowOff>152400</xdr:rowOff>
    </xdr:to>
    <xdr:pic>
      <xdr:nvPicPr>
        <xdr:cNvPr id="6" name="Picture 5" descr="C:\WINDOWS\TEMP\~0003946.gif">
          <a:extLst>
            <a:ext uri="{FF2B5EF4-FFF2-40B4-BE49-F238E27FC236}">
              <a16:creationId xmlns:a16="http://schemas.microsoft.com/office/drawing/2014/main" id="{00000000-0008-0000-23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98551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199</xdr:row>
      <xdr:rowOff>152400</xdr:rowOff>
    </xdr:from>
    <xdr:to>
      <xdr:col>22</xdr:col>
      <xdr:colOff>1924050</xdr:colOff>
      <xdr:row>200</xdr:row>
      <xdr:rowOff>180975</xdr:rowOff>
    </xdr:to>
    <xdr:pic>
      <xdr:nvPicPr>
        <xdr:cNvPr id="7" name="Picture 6" descr="C:\WINDOWS\TEMP\~0003946.gif">
          <a:extLst>
            <a:ext uri="{FF2B5EF4-FFF2-40B4-BE49-F238E27FC236}">
              <a16:creationId xmlns:a16="http://schemas.microsoft.com/office/drawing/2014/main" id="{00000000-0008-0000-23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05955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8" name="Picture 7" descr="C:\WINDOWS\TEMP\~0003946.gif">
          <a:extLst>
            <a:ext uri="{FF2B5EF4-FFF2-40B4-BE49-F238E27FC236}">
              <a16:creationId xmlns:a16="http://schemas.microsoft.com/office/drawing/2014/main" id="{00000000-0008-0000-23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3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3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11" name="Picture 10" descr="C:\WINDOWS\TEMP\~0003946.gif">
          <a:extLst>
            <a:ext uri="{FF2B5EF4-FFF2-40B4-BE49-F238E27FC236}">
              <a16:creationId xmlns:a16="http://schemas.microsoft.com/office/drawing/2014/main" id="{00000000-0008-0000-23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199</xdr:row>
      <xdr:rowOff>104775</xdr:rowOff>
    </xdr:from>
    <xdr:to>
      <xdr:col>22</xdr:col>
      <xdr:colOff>809625</xdr:colOff>
      <xdr:row>200</xdr:row>
      <xdr:rowOff>133350</xdr:rowOff>
    </xdr:to>
    <xdr:pic>
      <xdr:nvPicPr>
        <xdr:cNvPr id="12" name="Picture 11" descr="C:\WINDOWS\TEMP\~0003946.gif">
          <a:extLst>
            <a:ext uri="{FF2B5EF4-FFF2-40B4-BE49-F238E27FC236}">
              <a16:creationId xmlns:a16="http://schemas.microsoft.com/office/drawing/2014/main" id="{00000000-0008-0000-23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05479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295</xdr:row>
      <xdr:rowOff>104775</xdr:rowOff>
    </xdr:from>
    <xdr:to>
      <xdr:col>22</xdr:col>
      <xdr:colOff>895350</xdr:colOff>
      <xdr:row>296</xdr:row>
      <xdr:rowOff>133350</xdr:rowOff>
    </xdr:to>
    <xdr:pic>
      <xdr:nvPicPr>
        <xdr:cNvPr id="13" name="Picture 12" descr="C:\WINDOWS\TEMP\~0003946.gif">
          <a:extLst>
            <a:ext uri="{FF2B5EF4-FFF2-40B4-BE49-F238E27FC236}">
              <a16:creationId xmlns:a16="http://schemas.microsoft.com/office/drawing/2014/main" id="{00000000-0008-0000-23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9836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00000000-0008-0000-23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15" name="Picture 14" descr="logoMTL">
          <a:extLst>
            <a:ext uri="{FF2B5EF4-FFF2-40B4-BE49-F238E27FC236}">
              <a16:creationId xmlns:a16="http://schemas.microsoft.com/office/drawing/2014/main" id="{00000000-0008-0000-23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199</xdr:row>
      <xdr:rowOff>28575</xdr:rowOff>
    </xdr:from>
    <xdr:to>
      <xdr:col>21</xdr:col>
      <xdr:colOff>1171575</xdr:colOff>
      <xdr:row>200</xdr:row>
      <xdr:rowOff>152400</xdr:rowOff>
    </xdr:to>
    <xdr:pic>
      <xdr:nvPicPr>
        <xdr:cNvPr id="16" name="Picture 15" descr="logoMTL">
          <a:extLst>
            <a:ext uri="{FF2B5EF4-FFF2-40B4-BE49-F238E27FC236}">
              <a16:creationId xmlns:a16="http://schemas.microsoft.com/office/drawing/2014/main" id="{00000000-0008-0000-23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04717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295</xdr:row>
      <xdr:rowOff>0</xdr:rowOff>
    </xdr:from>
    <xdr:to>
      <xdr:col>21</xdr:col>
      <xdr:colOff>1228725</xdr:colOff>
      <xdr:row>296</xdr:row>
      <xdr:rowOff>123825</xdr:rowOff>
    </xdr:to>
    <xdr:pic>
      <xdr:nvPicPr>
        <xdr:cNvPr id="17" name="Picture 16" descr="logoMTL">
          <a:extLst>
            <a:ext uri="{FF2B5EF4-FFF2-40B4-BE49-F238E27FC236}">
              <a16:creationId xmlns:a16="http://schemas.microsoft.com/office/drawing/2014/main" id="{00000000-0008-0000-23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97312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3" name="Picture 2" descr="C:\WINDOWS\TEMP\Symbol.gif">
          <a:extLst>
            <a:ext uri="{FF2B5EF4-FFF2-40B4-BE49-F238E27FC236}">
              <a16:creationId xmlns:a16="http://schemas.microsoft.com/office/drawing/2014/main" id="{00000000-0008-0000-24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199</xdr:row>
      <xdr:rowOff>171450</xdr:rowOff>
    </xdr:from>
    <xdr:to>
      <xdr:col>1</xdr:col>
      <xdr:colOff>47625</xdr:colOff>
      <xdr:row>200</xdr:row>
      <xdr:rowOff>209550</xdr:rowOff>
    </xdr:to>
    <xdr:pic>
      <xdr:nvPicPr>
        <xdr:cNvPr id="4" name="Picture 3" descr="C:\WINDOWS\TEMP\Symbol.gif">
          <a:extLst>
            <a:ext uri="{FF2B5EF4-FFF2-40B4-BE49-F238E27FC236}">
              <a16:creationId xmlns:a16="http://schemas.microsoft.com/office/drawing/2014/main" id="{00000000-0008-0000-24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06146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295</xdr:row>
      <xdr:rowOff>161925</xdr:rowOff>
    </xdr:from>
    <xdr:to>
      <xdr:col>1</xdr:col>
      <xdr:colOff>19050</xdr:colOff>
      <xdr:row>296</xdr:row>
      <xdr:rowOff>200025</xdr:rowOff>
    </xdr:to>
    <xdr:pic>
      <xdr:nvPicPr>
        <xdr:cNvPr id="5" name="Picture 4" descr="C:\WINDOWS\TEMP\Symbol.gif">
          <a:extLst>
            <a:ext uri="{FF2B5EF4-FFF2-40B4-BE49-F238E27FC236}">
              <a16:creationId xmlns:a16="http://schemas.microsoft.com/office/drawing/2014/main" id="{00000000-0008-0000-24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8932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295</xdr:row>
      <xdr:rowOff>123825</xdr:rowOff>
    </xdr:from>
    <xdr:to>
      <xdr:col>22</xdr:col>
      <xdr:colOff>1895475</xdr:colOff>
      <xdr:row>296</xdr:row>
      <xdr:rowOff>152400</xdr:rowOff>
    </xdr:to>
    <xdr:pic>
      <xdr:nvPicPr>
        <xdr:cNvPr id="6" name="Picture 5" descr="C:\WINDOWS\TEMP\~0003946.gif">
          <a:extLst>
            <a:ext uri="{FF2B5EF4-FFF2-40B4-BE49-F238E27FC236}">
              <a16:creationId xmlns:a16="http://schemas.microsoft.com/office/drawing/2014/main" id="{00000000-0008-0000-24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98551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199</xdr:row>
      <xdr:rowOff>152400</xdr:rowOff>
    </xdr:from>
    <xdr:to>
      <xdr:col>22</xdr:col>
      <xdr:colOff>1924050</xdr:colOff>
      <xdr:row>200</xdr:row>
      <xdr:rowOff>180975</xdr:rowOff>
    </xdr:to>
    <xdr:pic>
      <xdr:nvPicPr>
        <xdr:cNvPr id="7" name="Picture 6" descr="C:\WINDOWS\TEMP\~0003946.gif">
          <a:extLst>
            <a:ext uri="{FF2B5EF4-FFF2-40B4-BE49-F238E27FC236}">
              <a16:creationId xmlns:a16="http://schemas.microsoft.com/office/drawing/2014/main" id="{00000000-0008-0000-24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05955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8" name="Picture 7" descr="C:\WINDOWS\TEMP\~0003946.gif">
          <a:extLst>
            <a:ext uri="{FF2B5EF4-FFF2-40B4-BE49-F238E27FC236}">
              <a16:creationId xmlns:a16="http://schemas.microsoft.com/office/drawing/2014/main" id="{00000000-0008-0000-24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4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4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11" name="Picture 10" descr="C:\WINDOWS\TEMP\~0003946.gif">
          <a:extLst>
            <a:ext uri="{FF2B5EF4-FFF2-40B4-BE49-F238E27FC236}">
              <a16:creationId xmlns:a16="http://schemas.microsoft.com/office/drawing/2014/main" id="{00000000-0008-0000-24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199</xdr:row>
      <xdr:rowOff>104775</xdr:rowOff>
    </xdr:from>
    <xdr:to>
      <xdr:col>22</xdr:col>
      <xdr:colOff>809625</xdr:colOff>
      <xdr:row>200</xdr:row>
      <xdr:rowOff>133350</xdr:rowOff>
    </xdr:to>
    <xdr:pic>
      <xdr:nvPicPr>
        <xdr:cNvPr id="12" name="Picture 11" descr="C:\WINDOWS\TEMP\~0003946.gif">
          <a:extLst>
            <a:ext uri="{FF2B5EF4-FFF2-40B4-BE49-F238E27FC236}">
              <a16:creationId xmlns:a16="http://schemas.microsoft.com/office/drawing/2014/main" id="{00000000-0008-0000-24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05479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295</xdr:row>
      <xdr:rowOff>104775</xdr:rowOff>
    </xdr:from>
    <xdr:to>
      <xdr:col>22</xdr:col>
      <xdr:colOff>895350</xdr:colOff>
      <xdr:row>296</xdr:row>
      <xdr:rowOff>133350</xdr:rowOff>
    </xdr:to>
    <xdr:pic>
      <xdr:nvPicPr>
        <xdr:cNvPr id="13" name="Picture 12" descr="C:\WINDOWS\TEMP\~0003946.gif">
          <a:extLst>
            <a:ext uri="{FF2B5EF4-FFF2-40B4-BE49-F238E27FC236}">
              <a16:creationId xmlns:a16="http://schemas.microsoft.com/office/drawing/2014/main" id="{00000000-0008-0000-24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9836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00000000-0008-0000-24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15" name="Picture 14" descr="logoMTL">
          <a:extLst>
            <a:ext uri="{FF2B5EF4-FFF2-40B4-BE49-F238E27FC236}">
              <a16:creationId xmlns:a16="http://schemas.microsoft.com/office/drawing/2014/main" id="{00000000-0008-0000-24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199</xdr:row>
      <xdr:rowOff>28575</xdr:rowOff>
    </xdr:from>
    <xdr:to>
      <xdr:col>21</xdr:col>
      <xdr:colOff>1171575</xdr:colOff>
      <xdr:row>200</xdr:row>
      <xdr:rowOff>152400</xdr:rowOff>
    </xdr:to>
    <xdr:pic>
      <xdr:nvPicPr>
        <xdr:cNvPr id="16" name="Picture 15" descr="logoMTL">
          <a:extLst>
            <a:ext uri="{FF2B5EF4-FFF2-40B4-BE49-F238E27FC236}">
              <a16:creationId xmlns:a16="http://schemas.microsoft.com/office/drawing/2014/main" id="{00000000-0008-0000-24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04717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295</xdr:row>
      <xdr:rowOff>0</xdr:rowOff>
    </xdr:from>
    <xdr:to>
      <xdr:col>21</xdr:col>
      <xdr:colOff>1228725</xdr:colOff>
      <xdr:row>296</xdr:row>
      <xdr:rowOff>123825</xdr:rowOff>
    </xdr:to>
    <xdr:pic>
      <xdr:nvPicPr>
        <xdr:cNvPr id="17" name="Picture 16" descr="logoMTL">
          <a:extLst>
            <a:ext uri="{FF2B5EF4-FFF2-40B4-BE49-F238E27FC236}">
              <a16:creationId xmlns:a16="http://schemas.microsoft.com/office/drawing/2014/main" id="{00000000-0008-0000-24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97312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3" name="Picture 2" descr="C:\WINDOWS\TEMP\Symbol.gif">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199</xdr:row>
      <xdr:rowOff>171450</xdr:rowOff>
    </xdr:from>
    <xdr:to>
      <xdr:col>1</xdr:col>
      <xdr:colOff>47625</xdr:colOff>
      <xdr:row>200</xdr:row>
      <xdr:rowOff>209550</xdr:rowOff>
    </xdr:to>
    <xdr:pic>
      <xdr:nvPicPr>
        <xdr:cNvPr id="4" name="Picture 3" descr="C:\WINDOWS\TEMP\Symbol.gif">
          <a:extLst>
            <a:ext uri="{FF2B5EF4-FFF2-40B4-BE49-F238E27FC236}">
              <a16:creationId xmlns:a16="http://schemas.microsoft.com/office/drawing/2014/main" id="{00000000-0008-0000-25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06146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294</xdr:row>
      <xdr:rowOff>161925</xdr:rowOff>
    </xdr:from>
    <xdr:to>
      <xdr:col>1</xdr:col>
      <xdr:colOff>19050</xdr:colOff>
      <xdr:row>295</xdr:row>
      <xdr:rowOff>200025</xdr:rowOff>
    </xdr:to>
    <xdr:pic>
      <xdr:nvPicPr>
        <xdr:cNvPr id="5" name="Picture 4" descr="C:\WINDOWS\TEMP\Symbol.gif">
          <a:extLst>
            <a:ext uri="{FF2B5EF4-FFF2-40B4-BE49-F238E27FC236}">
              <a16:creationId xmlns:a16="http://schemas.microsoft.com/office/drawing/2014/main" id="{00000000-0008-0000-25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8932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294</xdr:row>
      <xdr:rowOff>123825</xdr:rowOff>
    </xdr:from>
    <xdr:to>
      <xdr:col>22</xdr:col>
      <xdr:colOff>1895475</xdr:colOff>
      <xdr:row>295</xdr:row>
      <xdr:rowOff>152400</xdr:rowOff>
    </xdr:to>
    <xdr:pic>
      <xdr:nvPicPr>
        <xdr:cNvPr id="6" name="Picture 5" descr="C:\WINDOWS\TEMP\~0003946.gif">
          <a:extLst>
            <a:ext uri="{FF2B5EF4-FFF2-40B4-BE49-F238E27FC236}">
              <a16:creationId xmlns:a16="http://schemas.microsoft.com/office/drawing/2014/main" id="{00000000-0008-0000-25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98551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199</xdr:row>
      <xdr:rowOff>152400</xdr:rowOff>
    </xdr:from>
    <xdr:to>
      <xdr:col>22</xdr:col>
      <xdr:colOff>1924050</xdr:colOff>
      <xdr:row>200</xdr:row>
      <xdr:rowOff>180975</xdr:rowOff>
    </xdr:to>
    <xdr:pic>
      <xdr:nvPicPr>
        <xdr:cNvPr id="7" name="Picture 6" descr="C:\WINDOWS\TEMP\~0003946.gif">
          <a:extLst>
            <a:ext uri="{FF2B5EF4-FFF2-40B4-BE49-F238E27FC236}">
              <a16:creationId xmlns:a16="http://schemas.microsoft.com/office/drawing/2014/main" id="{00000000-0008-0000-25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05955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8" name="Picture 7" descr="C:\WINDOWS\TEMP\~0003946.gif">
          <a:extLst>
            <a:ext uri="{FF2B5EF4-FFF2-40B4-BE49-F238E27FC236}">
              <a16:creationId xmlns:a16="http://schemas.microsoft.com/office/drawing/2014/main" id="{00000000-0008-0000-25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5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5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11" name="Picture 10" descr="C:\WINDOWS\TEMP\~0003946.gif">
          <a:extLst>
            <a:ext uri="{FF2B5EF4-FFF2-40B4-BE49-F238E27FC236}">
              <a16:creationId xmlns:a16="http://schemas.microsoft.com/office/drawing/2014/main" id="{00000000-0008-0000-25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199</xdr:row>
      <xdr:rowOff>104775</xdr:rowOff>
    </xdr:from>
    <xdr:to>
      <xdr:col>22</xdr:col>
      <xdr:colOff>809625</xdr:colOff>
      <xdr:row>200</xdr:row>
      <xdr:rowOff>133350</xdr:rowOff>
    </xdr:to>
    <xdr:pic>
      <xdr:nvPicPr>
        <xdr:cNvPr id="12" name="Picture 11" descr="C:\WINDOWS\TEMP\~0003946.gif">
          <a:extLst>
            <a:ext uri="{FF2B5EF4-FFF2-40B4-BE49-F238E27FC236}">
              <a16:creationId xmlns:a16="http://schemas.microsoft.com/office/drawing/2014/main" id="{00000000-0008-0000-25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05479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294</xdr:row>
      <xdr:rowOff>104775</xdr:rowOff>
    </xdr:from>
    <xdr:to>
      <xdr:col>22</xdr:col>
      <xdr:colOff>895350</xdr:colOff>
      <xdr:row>295</xdr:row>
      <xdr:rowOff>133350</xdr:rowOff>
    </xdr:to>
    <xdr:pic>
      <xdr:nvPicPr>
        <xdr:cNvPr id="13" name="Picture 12" descr="C:\WINDOWS\TEMP\~0003946.gif">
          <a:extLst>
            <a:ext uri="{FF2B5EF4-FFF2-40B4-BE49-F238E27FC236}">
              <a16:creationId xmlns:a16="http://schemas.microsoft.com/office/drawing/2014/main" id="{00000000-0008-0000-25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9836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00000000-0008-0000-25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15" name="Picture 14" descr="logoMTL">
          <a:extLst>
            <a:ext uri="{FF2B5EF4-FFF2-40B4-BE49-F238E27FC236}">
              <a16:creationId xmlns:a16="http://schemas.microsoft.com/office/drawing/2014/main" id="{00000000-0008-0000-25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199</xdr:row>
      <xdr:rowOff>28575</xdr:rowOff>
    </xdr:from>
    <xdr:to>
      <xdr:col>21</xdr:col>
      <xdr:colOff>1171575</xdr:colOff>
      <xdr:row>200</xdr:row>
      <xdr:rowOff>152400</xdr:rowOff>
    </xdr:to>
    <xdr:pic>
      <xdr:nvPicPr>
        <xdr:cNvPr id="16" name="Picture 15" descr="logoMTL">
          <a:extLst>
            <a:ext uri="{FF2B5EF4-FFF2-40B4-BE49-F238E27FC236}">
              <a16:creationId xmlns:a16="http://schemas.microsoft.com/office/drawing/2014/main" id="{00000000-0008-0000-25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04717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294</xdr:row>
      <xdr:rowOff>0</xdr:rowOff>
    </xdr:from>
    <xdr:to>
      <xdr:col>21</xdr:col>
      <xdr:colOff>1228725</xdr:colOff>
      <xdr:row>295</xdr:row>
      <xdr:rowOff>123825</xdr:rowOff>
    </xdr:to>
    <xdr:pic>
      <xdr:nvPicPr>
        <xdr:cNvPr id="17" name="Picture 16" descr="logoMTL">
          <a:extLst>
            <a:ext uri="{FF2B5EF4-FFF2-40B4-BE49-F238E27FC236}">
              <a16:creationId xmlns:a16="http://schemas.microsoft.com/office/drawing/2014/main" id="{00000000-0008-0000-25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97312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E4633472-B0D0-4A6C-8D99-8D7280CA21FC}"/>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3" name="Picture 2" descr="C:\WINDOWS\TEMP\Symbol.gif">
          <a:extLst>
            <a:ext uri="{FF2B5EF4-FFF2-40B4-BE49-F238E27FC236}">
              <a16:creationId xmlns:a16="http://schemas.microsoft.com/office/drawing/2014/main" id="{873154C2-85E7-44FE-A711-17312CADF04B}"/>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199</xdr:row>
      <xdr:rowOff>171450</xdr:rowOff>
    </xdr:from>
    <xdr:to>
      <xdr:col>1</xdr:col>
      <xdr:colOff>47625</xdr:colOff>
      <xdr:row>200</xdr:row>
      <xdr:rowOff>209550</xdr:rowOff>
    </xdr:to>
    <xdr:pic>
      <xdr:nvPicPr>
        <xdr:cNvPr id="4" name="Picture 3" descr="C:\WINDOWS\TEMP\Symbol.gif">
          <a:extLst>
            <a:ext uri="{FF2B5EF4-FFF2-40B4-BE49-F238E27FC236}">
              <a16:creationId xmlns:a16="http://schemas.microsoft.com/office/drawing/2014/main" id="{DBBDD1BE-FB28-4A63-8973-3E108EDED08F}"/>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06146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294</xdr:row>
      <xdr:rowOff>161925</xdr:rowOff>
    </xdr:from>
    <xdr:to>
      <xdr:col>1</xdr:col>
      <xdr:colOff>19050</xdr:colOff>
      <xdr:row>295</xdr:row>
      <xdr:rowOff>200025</xdr:rowOff>
    </xdr:to>
    <xdr:pic>
      <xdr:nvPicPr>
        <xdr:cNvPr id="5" name="Picture 4" descr="C:\WINDOWS\TEMP\Symbol.gif">
          <a:extLst>
            <a:ext uri="{FF2B5EF4-FFF2-40B4-BE49-F238E27FC236}">
              <a16:creationId xmlns:a16="http://schemas.microsoft.com/office/drawing/2014/main" id="{278A7C54-65FE-4F31-BC90-93AC5DDE9081}"/>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6931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294</xdr:row>
      <xdr:rowOff>123825</xdr:rowOff>
    </xdr:from>
    <xdr:to>
      <xdr:col>22</xdr:col>
      <xdr:colOff>1895475</xdr:colOff>
      <xdr:row>295</xdr:row>
      <xdr:rowOff>152400</xdr:rowOff>
    </xdr:to>
    <xdr:pic>
      <xdr:nvPicPr>
        <xdr:cNvPr id="6" name="Picture 5" descr="C:\WINDOWS\TEMP\~0003946.gif">
          <a:extLst>
            <a:ext uri="{FF2B5EF4-FFF2-40B4-BE49-F238E27FC236}">
              <a16:creationId xmlns:a16="http://schemas.microsoft.com/office/drawing/2014/main" id="{FD1D65FC-6C11-491C-886F-9B0E936B4593}"/>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965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199</xdr:row>
      <xdr:rowOff>152400</xdr:rowOff>
    </xdr:from>
    <xdr:to>
      <xdr:col>22</xdr:col>
      <xdr:colOff>1924050</xdr:colOff>
      <xdr:row>200</xdr:row>
      <xdr:rowOff>180975</xdr:rowOff>
    </xdr:to>
    <xdr:pic>
      <xdr:nvPicPr>
        <xdr:cNvPr id="7" name="Picture 6" descr="C:\WINDOWS\TEMP\~0003946.gif">
          <a:extLst>
            <a:ext uri="{FF2B5EF4-FFF2-40B4-BE49-F238E27FC236}">
              <a16:creationId xmlns:a16="http://schemas.microsoft.com/office/drawing/2014/main" id="{77277803-3F40-4158-8B0A-49A7EEDE7D1E}"/>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05955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8" name="Picture 7" descr="C:\WINDOWS\TEMP\~0003946.gif">
          <a:extLst>
            <a:ext uri="{FF2B5EF4-FFF2-40B4-BE49-F238E27FC236}">
              <a16:creationId xmlns:a16="http://schemas.microsoft.com/office/drawing/2014/main" id="{82912C8C-2835-43F0-BD7C-B24330D2493B}"/>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CAC5ED6C-CB7F-4A5D-8788-77CA7AA803E4}"/>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A5593733-4C78-4F38-A3AD-DD752C32E67D}"/>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11" name="Picture 10" descr="C:\WINDOWS\TEMP\~0003946.gif">
          <a:extLst>
            <a:ext uri="{FF2B5EF4-FFF2-40B4-BE49-F238E27FC236}">
              <a16:creationId xmlns:a16="http://schemas.microsoft.com/office/drawing/2014/main" id="{D047603C-10F5-41A6-84F5-6E29C7CEC7B2}"/>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199</xdr:row>
      <xdr:rowOff>104775</xdr:rowOff>
    </xdr:from>
    <xdr:to>
      <xdr:col>22</xdr:col>
      <xdr:colOff>809625</xdr:colOff>
      <xdr:row>200</xdr:row>
      <xdr:rowOff>133350</xdr:rowOff>
    </xdr:to>
    <xdr:pic>
      <xdr:nvPicPr>
        <xdr:cNvPr id="12" name="Picture 11" descr="C:\WINDOWS\TEMP\~0003946.gif">
          <a:extLst>
            <a:ext uri="{FF2B5EF4-FFF2-40B4-BE49-F238E27FC236}">
              <a16:creationId xmlns:a16="http://schemas.microsoft.com/office/drawing/2014/main" id="{DE556969-7D40-483D-AB98-E6A434CACA27}"/>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05479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294</xdr:row>
      <xdr:rowOff>104775</xdr:rowOff>
    </xdr:from>
    <xdr:to>
      <xdr:col>22</xdr:col>
      <xdr:colOff>895350</xdr:colOff>
      <xdr:row>295</xdr:row>
      <xdr:rowOff>133350</xdr:rowOff>
    </xdr:to>
    <xdr:pic>
      <xdr:nvPicPr>
        <xdr:cNvPr id="13" name="Picture 12" descr="C:\WINDOWS\TEMP\~0003946.gif">
          <a:extLst>
            <a:ext uri="{FF2B5EF4-FFF2-40B4-BE49-F238E27FC236}">
              <a16:creationId xmlns:a16="http://schemas.microsoft.com/office/drawing/2014/main" id="{AE197030-3554-4A14-9444-4541491DBD9A}"/>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96360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9FDF83B9-70ED-4390-93F4-E0DB1AD0743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15" name="Picture 14" descr="logoMTL">
          <a:extLst>
            <a:ext uri="{FF2B5EF4-FFF2-40B4-BE49-F238E27FC236}">
              <a16:creationId xmlns:a16="http://schemas.microsoft.com/office/drawing/2014/main" id="{57978442-FD84-4941-8747-B4223B6D45D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199</xdr:row>
      <xdr:rowOff>28575</xdr:rowOff>
    </xdr:from>
    <xdr:to>
      <xdr:col>21</xdr:col>
      <xdr:colOff>1171575</xdr:colOff>
      <xdr:row>200</xdr:row>
      <xdr:rowOff>152400</xdr:rowOff>
    </xdr:to>
    <xdr:pic>
      <xdr:nvPicPr>
        <xdr:cNvPr id="16" name="Picture 15" descr="logoMTL">
          <a:extLst>
            <a:ext uri="{FF2B5EF4-FFF2-40B4-BE49-F238E27FC236}">
              <a16:creationId xmlns:a16="http://schemas.microsoft.com/office/drawing/2014/main" id="{7E4EC6B1-87A1-4175-9E71-C174FF200B4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04717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294</xdr:row>
      <xdr:rowOff>0</xdr:rowOff>
    </xdr:from>
    <xdr:to>
      <xdr:col>21</xdr:col>
      <xdr:colOff>1228725</xdr:colOff>
      <xdr:row>295</xdr:row>
      <xdr:rowOff>123825</xdr:rowOff>
    </xdr:to>
    <xdr:pic>
      <xdr:nvPicPr>
        <xdr:cNvPr id="17" name="Picture 16" descr="logoMTL">
          <a:extLst>
            <a:ext uri="{FF2B5EF4-FFF2-40B4-BE49-F238E27FC236}">
              <a16:creationId xmlns:a16="http://schemas.microsoft.com/office/drawing/2014/main" id="{0BE35427-F5F2-4E16-B78C-E7124AA17E1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95312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7409" name="Picture 1" descr="C:\WINDOWS\TEMP\Symbol.gif">
          <a:extLst>
            <a:ext uri="{FF2B5EF4-FFF2-40B4-BE49-F238E27FC236}">
              <a16:creationId xmlns:a16="http://schemas.microsoft.com/office/drawing/2014/main" id="{00000000-0008-0000-0300-0000116B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27410" name="Picture 2" descr="C:\WINDOWS\TEMP\Symbol.gif">
          <a:extLst>
            <a:ext uri="{FF2B5EF4-FFF2-40B4-BE49-F238E27FC236}">
              <a16:creationId xmlns:a16="http://schemas.microsoft.com/office/drawing/2014/main" id="{00000000-0008-0000-0300-0000126B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198</xdr:row>
      <xdr:rowOff>171450</xdr:rowOff>
    </xdr:from>
    <xdr:to>
      <xdr:col>1</xdr:col>
      <xdr:colOff>47625</xdr:colOff>
      <xdr:row>199</xdr:row>
      <xdr:rowOff>209550</xdr:rowOff>
    </xdr:to>
    <xdr:pic>
      <xdr:nvPicPr>
        <xdr:cNvPr id="27411" name="Picture 3" descr="C:\WINDOWS\TEMP\Symbol.gif">
          <a:extLst>
            <a:ext uri="{FF2B5EF4-FFF2-40B4-BE49-F238E27FC236}">
              <a16:creationId xmlns:a16="http://schemas.microsoft.com/office/drawing/2014/main" id="{00000000-0008-0000-0300-0000136B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04145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282</xdr:row>
      <xdr:rowOff>161925</xdr:rowOff>
    </xdr:from>
    <xdr:to>
      <xdr:col>1</xdr:col>
      <xdr:colOff>19050</xdr:colOff>
      <xdr:row>283</xdr:row>
      <xdr:rowOff>200025</xdr:rowOff>
    </xdr:to>
    <xdr:pic>
      <xdr:nvPicPr>
        <xdr:cNvPr id="27412" name="Picture 4" descr="C:\WINDOWS\TEMP\Symbol.gif">
          <a:extLst>
            <a:ext uri="{FF2B5EF4-FFF2-40B4-BE49-F238E27FC236}">
              <a16:creationId xmlns:a16="http://schemas.microsoft.com/office/drawing/2014/main" id="{00000000-0008-0000-0300-0000146B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72928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282</xdr:row>
      <xdr:rowOff>123825</xdr:rowOff>
    </xdr:from>
    <xdr:to>
      <xdr:col>22</xdr:col>
      <xdr:colOff>1895475</xdr:colOff>
      <xdr:row>283</xdr:row>
      <xdr:rowOff>152400</xdr:rowOff>
    </xdr:to>
    <xdr:pic>
      <xdr:nvPicPr>
        <xdr:cNvPr id="27413" name="Picture 5" descr="C:\WINDOWS\TEMP\~0003946.gif">
          <a:extLst>
            <a:ext uri="{FF2B5EF4-FFF2-40B4-BE49-F238E27FC236}">
              <a16:creationId xmlns:a16="http://schemas.microsoft.com/office/drawing/2014/main" id="{00000000-0008-0000-0300-0000156B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7254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198</xdr:row>
      <xdr:rowOff>152400</xdr:rowOff>
    </xdr:from>
    <xdr:to>
      <xdr:col>22</xdr:col>
      <xdr:colOff>1924050</xdr:colOff>
      <xdr:row>199</xdr:row>
      <xdr:rowOff>180975</xdr:rowOff>
    </xdr:to>
    <xdr:pic>
      <xdr:nvPicPr>
        <xdr:cNvPr id="27414" name="Picture 6" descr="C:\WINDOWS\TEMP\~0003946.gif">
          <a:extLst>
            <a:ext uri="{FF2B5EF4-FFF2-40B4-BE49-F238E27FC236}">
              <a16:creationId xmlns:a16="http://schemas.microsoft.com/office/drawing/2014/main" id="{00000000-0008-0000-0300-0000166B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03955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27415" name="Picture 7" descr="C:\WINDOWS\TEMP\~0003946.gif">
          <a:extLst>
            <a:ext uri="{FF2B5EF4-FFF2-40B4-BE49-F238E27FC236}">
              <a16:creationId xmlns:a16="http://schemas.microsoft.com/office/drawing/2014/main" id="{00000000-0008-0000-0300-0000176B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27416" name="Picture 8" descr="C:\WINDOWS\TEMP\~0003946.gif">
          <a:extLst>
            <a:ext uri="{FF2B5EF4-FFF2-40B4-BE49-F238E27FC236}">
              <a16:creationId xmlns:a16="http://schemas.microsoft.com/office/drawing/2014/main" id="{00000000-0008-0000-0300-0000186B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27417" name="Picture 9" descr="C:\WINDOWS\TEMP\~0003946.gif">
          <a:extLst>
            <a:ext uri="{FF2B5EF4-FFF2-40B4-BE49-F238E27FC236}">
              <a16:creationId xmlns:a16="http://schemas.microsoft.com/office/drawing/2014/main" id="{00000000-0008-0000-0300-0000196B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27418" name="Picture 10" descr="C:\WINDOWS\TEMP\~0003946.gif">
          <a:extLst>
            <a:ext uri="{FF2B5EF4-FFF2-40B4-BE49-F238E27FC236}">
              <a16:creationId xmlns:a16="http://schemas.microsoft.com/office/drawing/2014/main" id="{00000000-0008-0000-0300-00001A6B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198</xdr:row>
      <xdr:rowOff>104775</xdr:rowOff>
    </xdr:from>
    <xdr:to>
      <xdr:col>22</xdr:col>
      <xdr:colOff>809625</xdr:colOff>
      <xdr:row>199</xdr:row>
      <xdr:rowOff>133350</xdr:rowOff>
    </xdr:to>
    <xdr:pic>
      <xdr:nvPicPr>
        <xdr:cNvPr id="27419" name="Picture 11" descr="C:\WINDOWS\TEMP\~0003946.gif">
          <a:extLst>
            <a:ext uri="{FF2B5EF4-FFF2-40B4-BE49-F238E27FC236}">
              <a16:creationId xmlns:a16="http://schemas.microsoft.com/office/drawing/2014/main" id="{00000000-0008-0000-0300-00001B6B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03479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282</xdr:row>
      <xdr:rowOff>104775</xdr:rowOff>
    </xdr:from>
    <xdr:to>
      <xdr:col>22</xdr:col>
      <xdr:colOff>895350</xdr:colOff>
      <xdr:row>283</xdr:row>
      <xdr:rowOff>133350</xdr:rowOff>
    </xdr:to>
    <xdr:pic>
      <xdr:nvPicPr>
        <xdr:cNvPr id="27420" name="Picture 12" descr="C:\WINDOWS\TEMP\~0003946.gif">
          <a:extLst>
            <a:ext uri="{FF2B5EF4-FFF2-40B4-BE49-F238E27FC236}">
              <a16:creationId xmlns:a16="http://schemas.microsoft.com/office/drawing/2014/main" id="{00000000-0008-0000-0300-00001C6B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72357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27421" name="Picture 13" descr="logoMTL">
          <a:extLst>
            <a:ext uri="{FF2B5EF4-FFF2-40B4-BE49-F238E27FC236}">
              <a16:creationId xmlns:a16="http://schemas.microsoft.com/office/drawing/2014/main" id="{00000000-0008-0000-0300-00001D6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27422" name="Picture 14" descr="logoMTL">
          <a:extLst>
            <a:ext uri="{FF2B5EF4-FFF2-40B4-BE49-F238E27FC236}">
              <a16:creationId xmlns:a16="http://schemas.microsoft.com/office/drawing/2014/main" id="{00000000-0008-0000-0300-00001E6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198</xdr:row>
      <xdr:rowOff>28575</xdr:rowOff>
    </xdr:from>
    <xdr:to>
      <xdr:col>21</xdr:col>
      <xdr:colOff>1171575</xdr:colOff>
      <xdr:row>199</xdr:row>
      <xdr:rowOff>152400</xdr:rowOff>
    </xdr:to>
    <xdr:pic>
      <xdr:nvPicPr>
        <xdr:cNvPr id="27423" name="Picture 15" descr="logoMTL">
          <a:extLst>
            <a:ext uri="{FF2B5EF4-FFF2-40B4-BE49-F238E27FC236}">
              <a16:creationId xmlns:a16="http://schemas.microsoft.com/office/drawing/2014/main" id="{00000000-0008-0000-0300-00001F6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02717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282</xdr:row>
      <xdr:rowOff>0</xdr:rowOff>
    </xdr:from>
    <xdr:to>
      <xdr:col>21</xdr:col>
      <xdr:colOff>1228725</xdr:colOff>
      <xdr:row>283</xdr:row>
      <xdr:rowOff>123825</xdr:rowOff>
    </xdr:to>
    <xdr:pic>
      <xdr:nvPicPr>
        <xdr:cNvPr id="27424" name="Picture 16" descr="logoMTL">
          <a:extLst>
            <a:ext uri="{FF2B5EF4-FFF2-40B4-BE49-F238E27FC236}">
              <a16:creationId xmlns:a16="http://schemas.microsoft.com/office/drawing/2014/main" id="{00000000-0008-0000-0300-0000206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71309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52D4DA78-F7E0-4341-BBE0-A44BCF6CA4DF}"/>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3" name="Picture 2" descr="C:\WINDOWS\TEMP\Symbol.gif">
          <a:extLst>
            <a:ext uri="{FF2B5EF4-FFF2-40B4-BE49-F238E27FC236}">
              <a16:creationId xmlns:a16="http://schemas.microsoft.com/office/drawing/2014/main" id="{187E711E-A831-42B2-BB82-1AF5D4E78425}"/>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199</xdr:row>
      <xdr:rowOff>171450</xdr:rowOff>
    </xdr:from>
    <xdr:to>
      <xdr:col>1</xdr:col>
      <xdr:colOff>47625</xdr:colOff>
      <xdr:row>200</xdr:row>
      <xdr:rowOff>209550</xdr:rowOff>
    </xdr:to>
    <xdr:pic>
      <xdr:nvPicPr>
        <xdr:cNvPr id="4" name="Picture 3" descr="C:\WINDOWS\TEMP\Symbol.gif">
          <a:extLst>
            <a:ext uri="{FF2B5EF4-FFF2-40B4-BE49-F238E27FC236}">
              <a16:creationId xmlns:a16="http://schemas.microsoft.com/office/drawing/2014/main" id="{1128E8F1-21B1-44DC-90F5-80300E50169D}"/>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06146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294</xdr:row>
      <xdr:rowOff>161925</xdr:rowOff>
    </xdr:from>
    <xdr:to>
      <xdr:col>1</xdr:col>
      <xdr:colOff>19050</xdr:colOff>
      <xdr:row>295</xdr:row>
      <xdr:rowOff>200025</xdr:rowOff>
    </xdr:to>
    <xdr:pic>
      <xdr:nvPicPr>
        <xdr:cNvPr id="5" name="Picture 4" descr="C:\WINDOWS\TEMP\Symbol.gif">
          <a:extLst>
            <a:ext uri="{FF2B5EF4-FFF2-40B4-BE49-F238E27FC236}">
              <a16:creationId xmlns:a16="http://schemas.microsoft.com/office/drawing/2014/main" id="{05C3BC9F-E1E6-4389-A3CA-92E90790BD26}"/>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6931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294</xdr:row>
      <xdr:rowOff>123825</xdr:rowOff>
    </xdr:from>
    <xdr:to>
      <xdr:col>22</xdr:col>
      <xdr:colOff>1895475</xdr:colOff>
      <xdr:row>295</xdr:row>
      <xdr:rowOff>152400</xdr:rowOff>
    </xdr:to>
    <xdr:pic>
      <xdr:nvPicPr>
        <xdr:cNvPr id="6" name="Picture 5" descr="C:\WINDOWS\TEMP\~0003946.gif">
          <a:extLst>
            <a:ext uri="{FF2B5EF4-FFF2-40B4-BE49-F238E27FC236}">
              <a16:creationId xmlns:a16="http://schemas.microsoft.com/office/drawing/2014/main" id="{A9F86001-DF4D-451C-99DE-A119DAB4E5B2}"/>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965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199</xdr:row>
      <xdr:rowOff>152400</xdr:rowOff>
    </xdr:from>
    <xdr:to>
      <xdr:col>22</xdr:col>
      <xdr:colOff>1924050</xdr:colOff>
      <xdr:row>200</xdr:row>
      <xdr:rowOff>180975</xdr:rowOff>
    </xdr:to>
    <xdr:pic>
      <xdr:nvPicPr>
        <xdr:cNvPr id="7" name="Picture 6" descr="C:\WINDOWS\TEMP\~0003946.gif">
          <a:extLst>
            <a:ext uri="{FF2B5EF4-FFF2-40B4-BE49-F238E27FC236}">
              <a16:creationId xmlns:a16="http://schemas.microsoft.com/office/drawing/2014/main" id="{88443C39-2C9B-449D-8DEF-6C1E768D2C0E}"/>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05955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8" name="Picture 7" descr="C:\WINDOWS\TEMP\~0003946.gif">
          <a:extLst>
            <a:ext uri="{FF2B5EF4-FFF2-40B4-BE49-F238E27FC236}">
              <a16:creationId xmlns:a16="http://schemas.microsoft.com/office/drawing/2014/main" id="{888B9BCA-7683-48A0-98BA-56AE548A0107}"/>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DC19580-3D1F-4F4C-8301-B8961E2633D7}"/>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76986E44-C333-4209-A628-FEA308B4BC45}"/>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11" name="Picture 10" descr="C:\WINDOWS\TEMP\~0003946.gif">
          <a:extLst>
            <a:ext uri="{FF2B5EF4-FFF2-40B4-BE49-F238E27FC236}">
              <a16:creationId xmlns:a16="http://schemas.microsoft.com/office/drawing/2014/main" id="{A5DCA33E-3EBC-4B6F-A101-D2A4FEF380A9}"/>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199</xdr:row>
      <xdr:rowOff>104775</xdr:rowOff>
    </xdr:from>
    <xdr:to>
      <xdr:col>22</xdr:col>
      <xdr:colOff>809625</xdr:colOff>
      <xdr:row>200</xdr:row>
      <xdr:rowOff>133350</xdr:rowOff>
    </xdr:to>
    <xdr:pic>
      <xdr:nvPicPr>
        <xdr:cNvPr id="12" name="Picture 11" descr="C:\WINDOWS\TEMP\~0003946.gif">
          <a:extLst>
            <a:ext uri="{FF2B5EF4-FFF2-40B4-BE49-F238E27FC236}">
              <a16:creationId xmlns:a16="http://schemas.microsoft.com/office/drawing/2014/main" id="{325DA362-A1FD-45FF-B3E3-7BC4C9C20208}"/>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05479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294</xdr:row>
      <xdr:rowOff>104775</xdr:rowOff>
    </xdr:from>
    <xdr:to>
      <xdr:col>22</xdr:col>
      <xdr:colOff>895350</xdr:colOff>
      <xdr:row>295</xdr:row>
      <xdr:rowOff>133350</xdr:rowOff>
    </xdr:to>
    <xdr:pic>
      <xdr:nvPicPr>
        <xdr:cNvPr id="13" name="Picture 12" descr="C:\WINDOWS\TEMP\~0003946.gif">
          <a:extLst>
            <a:ext uri="{FF2B5EF4-FFF2-40B4-BE49-F238E27FC236}">
              <a16:creationId xmlns:a16="http://schemas.microsoft.com/office/drawing/2014/main" id="{ECA6EA2E-1645-44AA-B6D3-AEB82495004B}"/>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96360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CC9CDE82-6C96-4AD5-888E-038EDEE9193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15" name="Picture 14" descr="logoMTL">
          <a:extLst>
            <a:ext uri="{FF2B5EF4-FFF2-40B4-BE49-F238E27FC236}">
              <a16:creationId xmlns:a16="http://schemas.microsoft.com/office/drawing/2014/main" id="{AB68287A-D40B-40B1-8BFF-40C8F0B8F6A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199</xdr:row>
      <xdr:rowOff>28575</xdr:rowOff>
    </xdr:from>
    <xdr:to>
      <xdr:col>21</xdr:col>
      <xdr:colOff>1171575</xdr:colOff>
      <xdr:row>200</xdr:row>
      <xdr:rowOff>152400</xdr:rowOff>
    </xdr:to>
    <xdr:pic>
      <xdr:nvPicPr>
        <xdr:cNvPr id="16" name="Picture 15" descr="logoMTL">
          <a:extLst>
            <a:ext uri="{FF2B5EF4-FFF2-40B4-BE49-F238E27FC236}">
              <a16:creationId xmlns:a16="http://schemas.microsoft.com/office/drawing/2014/main" id="{8C4C0306-AC34-4563-A3D4-078F65D7E9B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04717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294</xdr:row>
      <xdr:rowOff>0</xdr:rowOff>
    </xdr:from>
    <xdr:to>
      <xdr:col>21</xdr:col>
      <xdr:colOff>1228725</xdr:colOff>
      <xdr:row>295</xdr:row>
      <xdr:rowOff>123825</xdr:rowOff>
    </xdr:to>
    <xdr:pic>
      <xdr:nvPicPr>
        <xdr:cNvPr id="17" name="Picture 16" descr="logoMTL">
          <a:extLst>
            <a:ext uri="{FF2B5EF4-FFF2-40B4-BE49-F238E27FC236}">
              <a16:creationId xmlns:a16="http://schemas.microsoft.com/office/drawing/2014/main" id="{D1CF7E64-3795-4D89-BEB6-80ACEDB68D7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95312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22</xdr:col>
      <xdr:colOff>1095375</xdr:colOff>
      <xdr:row>294</xdr:row>
      <xdr:rowOff>123825</xdr:rowOff>
    </xdr:from>
    <xdr:to>
      <xdr:col>22</xdr:col>
      <xdr:colOff>1895475</xdr:colOff>
      <xdr:row>295</xdr:row>
      <xdr:rowOff>152400</xdr:rowOff>
    </xdr:to>
    <xdr:pic>
      <xdr:nvPicPr>
        <xdr:cNvPr id="6" name="Picture 5" descr="C:\WINDOWS\TEMP\~0003946.gif">
          <a:extLst>
            <a:ext uri="{FF2B5EF4-FFF2-40B4-BE49-F238E27FC236}">
              <a16:creationId xmlns:a16="http://schemas.microsoft.com/office/drawing/2014/main" id="{88EC33E5-23AB-445E-87B7-E01AEECB683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5965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199</xdr:row>
      <xdr:rowOff>152400</xdr:rowOff>
    </xdr:from>
    <xdr:to>
      <xdr:col>22</xdr:col>
      <xdr:colOff>1924050</xdr:colOff>
      <xdr:row>200</xdr:row>
      <xdr:rowOff>180975</xdr:rowOff>
    </xdr:to>
    <xdr:pic>
      <xdr:nvPicPr>
        <xdr:cNvPr id="7" name="Picture 6" descr="C:\WINDOWS\TEMP\~0003946.gif">
          <a:extLst>
            <a:ext uri="{FF2B5EF4-FFF2-40B4-BE49-F238E27FC236}">
              <a16:creationId xmlns:a16="http://schemas.microsoft.com/office/drawing/2014/main" id="{9C9A5F06-8D6B-4344-95EA-DF79106CE41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405955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8" name="Picture 7" descr="C:\WINDOWS\TEMP\~0003946.gif">
          <a:extLst>
            <a:ext uri="{FF2B5EF4-FFF2-40B4-BE49-F238E27FC236}">
              <a16:creationId xmlns:a16="http://schemas.microsoft.com/office/drawing/2014/main" id="{BD9D5CB3-4317-493E-870C-210552934CC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E070F56E-EC5D-4516-9AA6-24048C30DF7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13607</xdr:colOff>
      <xdr:row>294</xdr:row>
      <xdr:rowOff>27215</xdr:rowOff>
    </xdr:from>
    <xdr:to>
      <xdr:col>22</xdr:col>
      <xdr:colOff>897604</xdr:colOff>
      <xdr:row>295</xdr:row>
      <xdr:rowOff>121838</xdr:rowOff>
    </xdr:to>
    <xdr:pic>
      <xdr:nvPicPr>
        <xdr:cNvPr id="18" name="Picture 17">
          <a:extLst>
            <a:ext uri="{FF2B5EF4-FFF2-40B4-BE49-F238E27FC236}">
              <a16:creationId xmlns:a16="http://schemas.microsoft.com/office/drawing/2014/main" id="{9F81FA16-A974-4171-94B0-892F910EEC49}"/>
            </a:ext>
          </a:extLst>
        </xdr:cNvPr>
        <xdr:cNvPicPr>
          <a:picLocks noChangeAspect="1"/>
        </xdr:cNvPicPr>
      </xdr:nvPicPr>
      <xdr:blipFill>
        <a:blip xmlns:r="http://schemas.openxmlformats.org/officeDocument/2006/relationships" r:embed="rId3"/>
        <a:stretch>
          <a:fillRect/>
        </a:stretch>
      </xdr:blipFill>
      <xdr:spPr>
        <a:xfrm>
          <a:off x="24234321" y="60687858"/>
          <a:ext cx="883997" cy="298730"/>
        </a:xfrm>
        <a:prstGeom prst="rect">
          <a:avLst/>
        </a:prstGeom>
      </xdr:spPr>
    </xdr:pic>
    <xdr:clientData/>
  </xdr:twoCellAnchor>
  <xdr:twoCellAnchor editAs="oneCell">
    <xdr:from>
      <xdr:col>22</xdr:col>
      <xdr:colOff>0</xdr:colOff>
      <xdr:row>199</xdr:row>
      <xdr:rowOff>0</xdr:rowOff>
    </xdr:from>
    <xdr:to>
      <xdr:col>22</xdr:col>
      <xdr:colOff>883997</xdr:colOff>
      <xdr:row>200</xdr:row>
      <xdr:rowOff>94622</xdr:rowOff>
    </xdr:to>
    <xdr:pic>
      <xdr:nvPicPr>
        <xdr:cNvPr id="19" name="Picture 18">
          <a:extLst>
            <a:ext uri="{FF2B5EF4-FFF2-40B4-BE49-F238E27FC236}">
              <a16:creationId xmlns:a16="http://schemas.microsoft.com/office/drawing/2014/main" id="{AD74D022-2153-4F54-8BEC-84E2FA88CD6C}"/>
            </a:ext>
          </a:extLst>
        </xdr:cNvPr>
        <xdr:cNvPicPr>
          <a:picLocks noChangeAspect="1"/>
        </xdr:cNvPicPr>
      </xdr:nvPicPr>
      <xdr:blipFill>
        <a:blip xmlns:r="http://schemas.openxmlformats.org/officeDocument/2006/relationships" r:embed="rId3"/>
        <a:stretch>
          <a:fillRect/>
        </a:stretch>
      </xdr:blipFill>
      <xdr:spPr>
        <a:xfrm>
          <a:off x="24220714" y="41188821"/>
          <a:ext cx="883997" cy="298730"/>
        </a:xfrm>
        <a:prstGeom prst="rect">
          <a:avLst/>
        </a:prstGeom>
      </xdr:spPr>
    </xdr:pic>
    <xdr:clientData/>
  </xdr:twoCellAnchor>
  <xdr:twoCellAnchor editAs="oneCell">
    <xdr:from>
      <xdr:col>22</xdr:col>
      <xdr:colOff>0</xdr:colOff>
      <xdr:row>133</xdr:row>
      <xdr:rowOff>0</xdr:rowOff>
    </xdr:from>
    <xdr:to>
      <xdr:col>22</xdr:col>
      <xdr:colOff>883997</xdr:colOff>
      <xdr:row>134</xdr:row>
      <xdr:rowOff>94623</xdr:rowOff>
    </xdr:to>
    <xdr:pic>
      <xdr:nvPicPr>
        <xdr:cNvPr id="21" name="Picture 20">
          <a:extLst>
            <a:ext uri="{FF2B5EF4-FFF2-40B4-BE49-F238E27FC236}">
              <a16:creationId xmlns:a16="http://schemas.microsoft.com/office/drawing/2014/main" id="{690EE3EB-B32D-4C27-BD23-C5D1BD219030}"/>
            </a:ext>
          </a:extLst>
        </xdr:cNvPr>
        <xdr:cNvPicPr>
          <a:picLocks noChangeAspect="1"/>
        </xdr:cNvPicPr>
      </xdr:nvPicPr>
      <xdr:blipFill>
        <a:blip xmlns:r="http://schemas.openxmlformats.org/officeDocument/2006/relationships" r:embed="rId3"/>
        <a:stretch>
          <a:fillRect/>
        </a:stretch>
      </xdr:blipFill>
      <xdr:spPr>
        <a:xfrm>
          <a:off x="24220714" y="27676929"/>
          <a:ext cx="883997" cy="298730"/>
        </a:xfrm>
        <a:prstGeom prst="rect">
          <a:avLst/>
        </a:prstGeom>
      </xdr:spPr>
    </xdr:pic>
    <xdr:clientData/>
  </xdr:twoCellAnchor>
  <xdr:twoCellAnchor editAs="oneCell">
    <xdr:from>
      <xdr:col>22</xdr:col>
      <xdr:colOff>13607</xdr:colOff>
      <xdr:row>62</xdr:row>
      <xdr:rowOff>68035</xdr:rowOff>
    </xdr:from>
    <xdr:to>
      <xdr:col>22</xdr:col>
      <xdr:colOff>897604</xdr:colOff>
      <xdr:row>63</xdr:row>
      <xdr:rowOff>162658</xdr:rowOff>
    </xdr:to>
    <xdr:pic>
      <xdr:nvPicPr>
        <xdr:cNvPr id="22" name="Picture 21">
          <a:extLst>
            <a:ext uri="{FF2B5EF4-FFF2-40B4-BE49-F238E27FC236}">
              <a16:creationId xmlns:a16="http://schemas.microsoft.com/office/drawing/2014/main" id="{5655BBBD-B176-4C9B-9445-127096474AB1}"/>
            </a:ext>
          </a:extLst>
        </xdr:cNvPr>
        <xdr:cNvPicPr>
          <a:picLocks noChangeAspect="1"/>
        </xdr:cNvPicPr>
      </xdr:nvPicPr>
      <xdr:blipFill>
        <a:blip xmlns:r="http://schemas.openxmlformats.org/officeDocument/2006/relationships" r:embed="rId3"/>
        <a:stretch>
          <a:fillRect/>
        </a:stretch>
      </xdr:blipFill>
      <xdr:spPr>
        <a:xfrm>
          <a:off x="24234321" y="12817928"/>
          <a:ext cx="883997" cy="298730"/>
        </a:xfrm>
        <a:prstGeom prst="rect">
          <a:avLst/>
        </a:prstGeom>
      </xdr:spPr>
    </xdr:pic>
    <xdr:clientData/>
  </xdr:twoCellAnchor>
  <xdr:twoCellAnchor editAs="oneCell">
    <xdr:from>
      <xdr:col>0</xdr:col>
      <xdr:colOff>204107</xdr:colOff>
      <xdr:row>62</xdr:row>
      <xdr:rowOff>122465</xdr:rowOff>
    </xdr:from>
    <xdr:to>
      <xdr:col>1</xdr:col>
      <xdr:colOff>34631</xdr:colOff>
      <xdr:row>63</xdr:row>
      <xdr:rowOff>143930</xdr:rowOff>
    </xdr:to>
    <xdr:pic>
      <xdr:nvPicPr>
        <xdr:cNvPr id="23" name="Picture 22">
          <a:extLst>
            <a:ext uri="{FF2B5EF4-FFF2-40B4-BE49-F238E27FC236}">
              <a16:creationId xmlns:a16="http://schemas.microsoft.com/office/drawing/2014/main" id="{4F9E2F61-33E1-4B75-A255-3A472A633638}"/>
            </a:ext>
          </a:extLst>
        </xdr:cNvPr>
        <xdr:cNvPicPr>
          <a:picLocks noChangeAspect="1"/>
        </xdr:cNvPicPr>
      </xdr:nvPicPr>
      <xdr:blipFill>
        <a:blip xmlns:r="http://schemas.openxmlformats.org/officeDocument/2006/relationships" r:embed="rId4"/>
        <a:stretch>
          <a:fillRect/>
        </a:stretch>
      </xdr:blipFill>
      <xdr:spPr>
        <a:xfrm>
          <a:off x="204107" y="12872358"/>
          <a:ext cx="170703" cy="225572"/>
        </a:xfrm>
        <a:prstGeom prst="rect">
          <a:avLst/>
        </a:prstGeom>
      </xdr:spPr>
    </xdr:pic>
    <xdr:clientData/>
  </xdr:twoCellAnchor>
  <xdr:twoCellAnchor editAs="oneCell">
    <xdr:from>
      <xdr:col>0</xdr:col>
      <xdr:colOff>190500</xdr:colOff>
      <xdr:row>133</xdr:row>
      <xdr:rowOff>108857</xdr:rowOff>
    </xdr:from>
    <xdr:to>
      <xdr:col>1</xdr:col>
      <xdr:colOff>21024</xdr:colOff>
      <xdr:row>134</xdr:row>
      <xdr:rowOff>130322</xdr:rowOff>
    </xdr:to>
    <xdr:pic>
      <xdr:nvPicPr>
        <xdr:cNvPr id="25" name="Picture 24">
          <a:extLst>
            <a:ext uri="{FF2B5EF4-FFF2-40B4-BE49-F238E27FC236}">
              <a16:creationId xmlns:a16="http://schemas.microsoft.com/office/drawing/2014/main" id="{FB96714F-9C4E-4C16-8671-46230E139C53}"/>
            </a:ext>
          </a:extLst>
        </xdr:cNvPr>
        <xdr:cNvPicPr>
          <a:picLocks noChangeAspect="1"/>
        </xdr:cNvPicPr>
      </xdr:nvPicPr>
      <xdr:blipFill>
        <a:blip xmlns:r="http://schemas.openxmlformats.org/officeDocument/2006/relationships" r:embed="rId4"/>
        <a:stretch>
          <a:fillRect/>
        </a:stretch>
      </xdr:blipFill>
      <xdr:spPr>
        <a:xfrm>
          <a:off x="190500" y="27785786"/>
          <a:ext cx="170703" cy="225572"/>
        </a:xfrm>
        <a:prstGeom prst="rect">
          <a:avLst/>
        </a:prstGeom>
      </xdr:spPr>
    </xdr:pic>
    <xdr:clientData/>
  </xdr:twoCellAnchor>
  <xdr:twoCellAnchor editAs="oneCell">
    <xdr:from>
      <xdr:col>0</xdr:col>
      <xdr:colOff>190500</xdr:colOff>
      <xdr:row>199</xdr:row>
      <xdr:rowOff>95251</xdr:rowOff>
    </xdr:from>
    <xdr:to>
      <xdr:col>1</xdr:col>
      <xdr:colOff>21024</xdr:colOff>
      <xdr:row>200</xdr:row>
      <xdr:rowOff>116715</xdr:rowOff>
    </xdr:to>
    <xdr:pic>
      <xdr:nvPicPr>
        <xdr:cNvPr id="27" name="Picture 26">
          <a:extLst>
            <a:ext uri="{FF2B5EF4-FFF2-40B4-BE49-F238E27FC236}">
              <a16:creationId xmlns:a16="http://schemas.microsoft.com/office/drawing/2014/main" id="{2CD0CD37-0ED1-4894-B3B0-4C80E2F7D019}"/>
            </a:ext>
          </a:extLst>
        </xdr:cNvPr>
        <xdr:cNvPicPr>
          <a:picLocks noChangeAspect="1"/>
        </xdr:cNvPicPr>
      </xdr:nvPicPr>
      <xdr:blipFill>
        <a:blip xmlns:r="http://schemas.openxmlformats.org/officeDocument/2006/relationships" r:embed="rId4"/>
        <a:stretch>
          <a:fillRect/>
        </a:stretch>
      </xdr:blipFill>
      <xdr:spPr>
        <a:xfrm>
          <a:off x="190500" y="41284072"/>
          <a:ext cx="170703" cy="225572"/>
        </a:xfrm>
        <a:prstGeom prst="rect">
          <a:avLst/>
        </a:prstGeom>
      </xdr:spPr>
    </xdr:pic>
    <xdr:clientData/>
  </xdr:twoCellAnchor>
  <xdr:twoCellAnchor editAs="oneCell">
    <xdr:from>
      <xdr:col>0</xdr:col>
      <xdr:colOff>163286</xdr:colOff>
      <xdr:row>294</xdr:row>
      <xdr:rowOff>163286</xdr:rowOff>
    </xdr:from>
    <xdr:to>
      <xdr:col>0</xdr:col>
      <xdr:colOff>333989</xdr:colOff>
      <xdr:row>295</xdr:row>
      <xdr:rowOff>184751</xdr:rowOff>
    </xdr:to>
    <xdr:pic>
      <xdr:nvPicPr>
        <xdr:cNvPr id="29" name="Picture 28">
          <a:extLst>
            <a:ext uri="{FF2B5EF4-FFF2-40B4-BE49-F238E27FC236}">
              <a16:creationId xmlns:a16="http://schemas.microsoft.com/office/drawing/2014/main" id="{4E8F5524-1DFF-4BD8-8C2E-7CADE9DAFAA4}"/>
            </a:ext>
          </a:extLst>
        </xdr:cNvPr>
        <xdr:cNvPicPr>
          <a:picLocks noChangeAspect="1"/>
        </xdr:cNvPicPr>
      </xdr:nvPicPr>
      <xdr:blipFill>
        <a:blip xmlns:r="http://schemas.openxmlformats.org/officeDocument/2006/relationships" r:embed="rId4"/>
        <a:stretch>
          <a:fillRect/>
        </a:stretch>
      </xdr:blipFill>
      <xdr:spPr>
        <a:xfrm>
          <a:off x="163286" y="60823929"/>
          <a:ext cx="170703" cy="22557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22</xdr:col>
      <xdr:colOff>1095375</xdr:colOff>
      <xdr:row>294</xdr:row>
      <xdr:rowOff>123825</xdr:rowOff>
    </xdr:from>
    <xdr:to>
      <xdr:col>22</xdr:col>
      <xdr:colOff>1895475</xdr:colOff>
      <xdr:row>295</xdr:row>
      <xdr:rowOff>152400</xdr:rowOff>
    </xdr:to>
    <xdr:pic>
      <xdr:nvPicPr>
        <xdr:cNvPr id="2" name="Picture 1" descr="C:\WINDOWS\TEMP\~0003946.gif">
          <a:extLst>
            <a:ext uri="{FF2B5EF4-FFF2-40B4-BE49-F238E27FC236}">
              <a16:creationId xmlns:a16="http://schemas.microsoft.com/office/drawing/2014/main" id="{66728266-E113-4B5D-8309-B96F083C114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5965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199</xdr:row>
      <xdr:rowOff>152400</xdr:rowOff>
    </xdr:from>
    <xdr:to>
      <xdr:col>22</xdr:col>
      <xdr:colOff>1924050</xdr:colOff>
      <xdr:row>200</xdr:row>
      <xdr:rowOff>180975</xdr:rowOff>
    </xdr:to>
    <xdr:pic>
      <xdr:nvPicPr>
        <xdr:cNvPr id="3" name="Picture 2" descr="C:\WINDOWS\TEMP\~0003946.gif">
          <a:extLst>
            <a:ext uri="{FF2B5EF4-FFF2-40B4-BE49-F238E27FC236}">
              <a16:creationId xmlns:a16="http://schemas.microsoft.com/office/drawing/2014/main" id="{80CFD79C-E9FC-4502-B091-21F8BB093B2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405955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4" name="Picture 3" descr="C:\WINDOWS\TEMP\~0003946.gif">
          <a:extLst>
            <a:ext uri="{FF2B5EF4-FFF2-40B4-BE49-F238E27FC236}">
              <a16:creationId xmlns:a16="http://schemas.microsoft.com/office/drawing/2014/main" id="{55239A20-2FD2-47E4-B40F-3897B62CEFD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0BBB4AC1-F2F9-4F48-B3E0-4256B30187F7}"/>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13607</xdr:colOff>
      <xdr:row>294</xdr:row>
      <xdr:rowOff>27215</xdr:rowOff>
    </xdr:from>
    <xdr:to>
      <xdr:col>22</xdr:col>
      <xdr:colOff>897604</xdr:colOff>
      <xdr:row>295</xdr:row>
      <xdr:rowOff>121838</xdr:rowOff>
    </xdr:to>
    <xdr:pic>
      <xdr:nvPicPr>
        <xdr:cNvPr id="6" name="Picture 5">
          <a:extLst>
            <a:ext uri="{FF2B5EF4-FFF2-40B4-BE49-F238E27FC236}">
              <a16:creationId xmlns:a16="http://schemas.microsoft.com/office/drawing/2014/main" id="{8E851EC3-77F6-422A-BB26-45A37EEDC3CD}"/>
            </a:ext>
          </a:extLst>
        </xdr:cNvPr>
        <xdr:cNvPicPr>
          <a:picLocks noChangeAspect="1"/>
        </xdr:cNvPicPr>
      </xdr:nvPicPr>
      <xdr:blipFill>
        <a:blip xmlns:r="http://schemas.openxmlformats.org/officeDocument/2006/relationships" r:embed="rId3"/>
        <a:stretch>
          <a:fillRect/>
        </a:stretch>
      </xdr:blipFill>
      <xdr:spPr>
        <a:xfrm>
          <a:off x="24226157" y="59558465"/>
          <a:ext cx="883997" cy="294648"/>
        </a:xfrm>
        <a:prstGeom prst="rect">
          <a:avLst/>
        </a:prstGeom>
      </xdr:spPr>
    </xdr:pic>
    <xdr:clientData/>
  </xdr:twoCellAnchor>
  <xdr:twoCellAnchor editAs="oneCell">
    <xdr:from>
      <xdr:col>22</xdr:col>
      <xdr:colOff>0</xdr:colOff>
      <xdr:row>199</xdr:row>
      <xdr:rowOff>0</xdr:rowOff>
    </xdr:from>
    <xdr:to>
      <xdr:col>22</xdr:col>
      <xdr:colOff>883997</xdr:colOff>
      <xdr:row>200</xdr:row>
      <xdr:rowOff>94622</xdr:rowOff>
    </xdr:to>
    <xdr:pic>
      <xdr:nvPicPr>
        <xdr:cNvPr id="7" name="Picture 6">
          <a:extLst>
            <a:ext uri="{FF2B5EF4-FFF2-40B4-BE49-F238E27FC236}">
              <a16:creationId xmlns:a16="http://schemas.microsoft.com/office/drawing/2014/main" id="{B8BE5876-51C8-49BC-81CF-7F9BC54E3C81}"/>
            </a:ext>
          </a:extLst>
        </xdr:cNvPr>
        <xdr:cNvPicPr>
          <a:picLocks noChangeAspect="1"/>
        </xdr:cNvPicPr>
      </xdr:nvPicPr>
      <xdr:blipFill>
        <a:blip xmlns:r="http://schemas.openxmlformats.org/officeDocument/2006/relationships" r:embed="rId3"/>
        <a:stretch>
          <a:fillRect/>
        </a:stretch>
      </xdr:blipFill>
      <xdr:spPr>
        <a:xfrm>
          <a:off x="24212550" y="40443150"/>
          <a:ext cx="883997" cy="294647"/>
        </a:xfrm>
        <a:prstGeom prst="rect">
          <a:avLst/>
        </a:prstGeom>
      </xdr:spPr>
    </xdr:pic>
    <xdr:clientData/>
  </xdr:twoCellAnchor>
  <xdr:twoCellAnchor editAs="oneCell">
    <xdr:from>
      <xdr:col>22</xdr:col>
      <xdr:colOff>0</xdr:colOff>
      <xdr:row>133</xdr:row>
      <xdr:rowOff>0</xdr:rowOff>
    </xdr:from>
    <xdr:to>
      <xdr:col>22</xdr:col>
      <xdr:colOff>883997</xdr:colOff>
      <xdr:row>134</xdr:row>
      <xdr:rowOff>94623</xdr:rowOff>
    </xdr:to>
    <xdr:pic>
      <xdr:nvPicPr>
        <xdr:cNvPr id="8" name="Picture 7">
          <a:extLst>
            <a:ext uri="{FF2B5EF4-FFF2-40B4-BE49-F238E27FC236}">
              <a16:creationId xmlns:a16="http://schemas.microsoft.com/office/drawing/2014/main" id="{A003251F-395B-4F02-ACF4-5D57C6E84959}"/>
            </a:ext>
          </a:extLst>
        </xdr:cNvPr>
        <xdr:cNvPicPr>
          <a:picLocks noChangeAspect="1"/>
        </xdr:cNvPicPr>
      </xdr:nvPicPr>
      <xdr:blipFill>
        <a:blip xmlns:r="http://schemas.openxmlformats.org/officeDocument/2006/relationships" r:embed="rId3"/>
        <a:stretch>
          <a:fillRect/>
        </a:stretch>
      </xdr:blipFill>
      <xdr:spPr>
        <a:xfrm>
          <a:off x="24212550" y="27155775"/>
          <a:ext cx="883997" cy="294648"/>
        </a:xfrm>
        <a:prstGeom prst="rect">
          <a:avLst/>
        </a:prstGeom>
      </xdr:spPr>
    </xdr:pic>
    <xdr:clientData/>
  </xdr:twoCellAnchor>
  <xdr:twoCellAnchor editAs="oneCell">
    <xdr:from>
      <xdr:col>22</xdr:col>
      <xdr:colOff>13607</xdr:colOff>
      <xdr:row>62</xdr:row>
      <xdr:rowOff>68035</xdr:rowOff>
    </xdr:from>
    <xdr:to>
      <xdr:col>22</xdr:col>
      <xdr:colOff>897604</xdr:colOff>
      <xdr:row>63</xdr:row>
      <xdr:rowOff>162658</xdr:rowOff>
    </xdr:to>
    <xdr:pic>
      <xdr:nvPicPr>
        <xdr:cNvPr id="9" name="Picture 8">
          <a:extLst>
            <a:ext uri="{FF2B5EF4-FFF2-40B4-BE49-F238E27FC236}">
              <a16:creationId xmlns:a16="http://schemas.microsoft.com/office/drawing/2014/main" id="{CB480A99-B437-4810-912F-EAD02F8525BB}"/>
            </a:ext>
          </a:extLst>
        </xdr:cNvPr>
        <xdr:cNvPicPr>
          <a:picLocks noChangeAspect="1"/>
        </xdr:cNvPicPr>
      </xdr:nvPicPr>
      <xdr:blipFill>
        <a:blip xmlns:r="http://schemas.openxmlformats.org/officeDocument/2006/relationships" r:embed="rId3"/>
        <a:stretch>
          <a:fillRect/>
        </a:stretch>
      </xdr:blipFill>
      <xdr:spPr>
        <a:xfrm>
          <a:off x="24226157" y="12574360"/>
          <a:ext cx="883997" cy="294648"/>
        </a:xfrm>
        <a:prstGeom prst="rect">
          <a:avLst/>
        </a:prstGeom>
      </xdr:spPr>
    </xdr:pic>
    <xdr:clientData/>
  </xdr:twoCellAnchor>
  <xdr:twoCellAnchor editAs="oneCell">
    <xdr:from>
      <xdr:col>0</xdr:col>
      <xdr:colOff>204107</xdr:colOff>
      <xdr:row>62</xdr:row>
      <xdr:rowOff>122465</xdr:rowOff>
    </xdr:from>
    <xdr:to>
      <xdr:col>1</xdr:col>
      <xdr:colOff>34631</xdr:colOff>
      <xdr:row>63</xdr:row>
      <xdr:rowOff>143930</xdr:rowOff>
    </xdr:to>
    <xdr:pic>
      <xdr:nvPicPr>
        <xdr:cNvPr id="10" name="Picture 9">
          <a:extLst>
            <a:ext uri="{FF2B5EF4-FFF2-40B4-BE49-F238E27FC236}">
              <a16:creationId xmlns:a16="http://schemas.microsoft.com/office/drawing/2014/main" id="{50DD19E6-C4A2-418E-91D8-F57385846390}"/>
            </a:ext>
          </a:extLst>
        </xdr:cNvPr>
        <xdr:cNvPicPr>
          <a:picLocks noChangeAspect="1"/>
        </xdr:cNvPicPr>
      </xdr:nvPicPr>
      <xdr:blipFill>
        <a:blip xmlns:r="http://schemas.openxmlformats.org/officeDocument/2006/relationships" r:embed="rId4"/>
        <a:stretch>
          <a:fillRect/>
        </a:stretch>
      </xdr:blipFill>
      <xdr:spPr>
        <a:xfrm>
          <a:off x="204107" y="12628790"/>
          <a:ext cx="173424" cy="221490"/>
        </a:xfrm>
        <a:prstGeom prst="rect">
          <a:avLst/>
        </a:prstGeom>
      </xdr:spPr>
    </xdr:pic>
    <xdr:clientData/>
  </xdr:twoCellAnchor>
  <xdr:twoCellAnchor editAs="oneCell">
    <xdr:from>
      <xdr:col>0</xdr:col>
      <xdr:colOff>190500</xdr:colOff>
      <xdr:row>133</xdr:row>
      <xdr:rowOff>108857</xdr:rowOff>
    </xdr:from>
    <xdr:to>
      <xdr:col>1</xdr:col>
      <xdr:colOff>21024</xdr:colOff>
      <xdr:row>134</xdr:row>
      <xdr:rowOff>130322</xdr:rowOff>
    </xdr:to>
    <xdr:pic>
      <xdr:nvPicPr>
        <xdr:cNvPr id="11" name="Picture 10">
          <a:extLst>
            <a:ext uri="{FF2B5EF4-FFF2-40B4-BE49-F238E27FC236}">
              <a16:creationId xmlns:a16="http://schemas.microsoft.com/office/drawing/2014/main" id="{28978B58-AB89-4D23-B81A-264BBB8B3589}"/>
            </a:ext>
          </a:extLst>
        </xdr:cNvPr>
        <xdr:cNvPicPr>
          <a:picLocks noChangeAspect="1"/>
        </xdr:cNvPicPr>
      </xdr:nvPicPr>
      <xdr:blipFill>
        <a:blip xmlns:r="http://schemas.openxmlformats.org/officeDocument/2006/relationships" r:embed="rId4"/>
        <a:stretch>
          <a:fillRect/>
        </a:stretch>
      </xdr:blipFill>
      <xdr:spPr>
        <a:xfrm>
          <a:off x="190500" y="27264632"/>
          <a:ext cx="173424" cy="221490"/>
        </a:xfrm>
        <a:prstGeom prst="rect">
          <a:avLst/>
        </a:prstGeom>
      </xdr:spPr>
    </xdr:pic>
    <xdr:clientData/>
  </xdr:twoCellAnchor>
  <xdr:twoCellAnchor editAs="oneCell">
    <xdr:from>
      <xdr:col>0</xdr:col>
      <xdr:colOff>190500</xdr:colOff>
      <xdr:row>199</xdr:row>
      <xdr:rowOff>95251</xdr:rowOff>
    </xdr:from>
    <xdr:to>
      <xdr:col>1</xdr:col>
      <xdr:colOff>21024</xdr:colOff>
      <xdr:row>200</xdr:row>
      <xdr:rowOff>116715</xdr:rowOff>
    </xdr:to>
    <xdr:pic>
      <xdr:nvPicPr>
        <xdr:cNvPr id="12" name="Picture 11">
          <a:extLst>
            <a:ext uri="{FF2B5EF4-FFF2-40B4-BE49-F238E27FC236}">
              <a16:creationId xmlns:a16="http://schemas.microsoft.com/office/drawing/2014/main" id="{9EC048D4-ECE2-4A0A-AD0A-27CEE42893CB}"/>
            </a:ext>
          </a:extLst>
        </xdr:cNvPr>
        <xdr:cNvPicPr>
          <a:picLocks noChangeAspect="1"/>
        </xdr:cNvPicPr>
      </xdr:nvPicPr>
      <xdr:blipFill>
        <a:blip xmlns:r="http://schemas.openxmlformats.org/officeDocument/2006/relationships" r:embed="rId4"/>
        <a:stretch>
          <a:fillRect/>
        </a:stretch>
      </xdr:blipFill>
      <xdr:spPr>
        <a:xfrm>
          <a:off x="190500" y="40538401"/>
          <a:ext cx="173424" cy="221489"/>
        </a:xfrm>
        <a:prstGeom prst="rect">
          <a:avLst/>
        </a:prstGeom>
      </xdr:spPr>
    </xdr:pic>
    <xdr:clientData/>
  </xdr:twoCellAnchor>
  <xdr:twoCellAnchor editAs="oneCell">
    <xdr:from>
      <xdr:col>0</xdr:col>
      <xdr:colOff>163286</xdr:colOff>
      <xdr:row>294</xdr:row>
      <xdr:rowOff>163286</xdr:rowOff>
    </xdr:from>
    <xdr:to>
      <xdr:col>0</xdr:col>
      <xdr:colOff>333989</xdr:colOff>
      <xdr:row>295</xdr:row>
      <xdr:rowOff>184751</xdr:rowOff>
    </xdr:to>
    <xdr:pic>
      <xdr:nvPicPr>
        <xdr:cNvPr id="13" name="Picture 12">
          <a:extLst>
            <a:ext uri="{FF2B5EF4-FFF2-40B4-BE49-F238E27FC236}">
              <a16:creationId xmlns:a16="http://schemas.microsoft.com/office/drawing/2014/main" id="{CC4B3EBD-6E21-4AD3-8655-715243C4B0FF}"/>
            </a:ext>
          </a:extLst>
        </xdr:cNvPr>
        <xdr:cNvPicPr>
          <a:picLocks noChangeAspect="1"/>
        </xdr:cNvPicPr>
      </xdr:nvPicPr>
      <xdr:blipFill>
        <a:blip xmlns:r="http://schemas.openxmlformats.org/officeDocument/2006/relationships" r:embed="rId4"/>
        <a:stretch>
          <a:fillRect/>
        </a:stretch>
      </xdr:blipFill>
      <xdr:spPr>
        <a:xfrm>
          <a:off x="163286" y="59694536"/>
          <a:ext cx="170703" cy="22149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22</xdr:col>
      <xdr:colOff>1095375</xdr:colOff>
      <xdr:row>294</xdr:row>
      <xdr:rowOff>123825</xdr:rowOff>
    </xdr:from>
    <xdr:to>
      <xdr:col>22</xdr:col>
      <xdr:colOff>1895475</xdr:colOff>
      <xdr:row>295</xdr:row>
      <xdr:rowOff>152400</xdr:rowOff>
    </xdr:to>
    <xdr:pic>
      <xdr:nvPicPr>
        <xdr:cNvPr id="2" name="Picture 1" descr="C:\WINDOWS\TEMP\~0003946.gif">
          <a:extLst>
            <a:ext uri="{FF2B5EF4-FFF2-40B4-BE49-F238E27FC236}">
              <a16:creationId xmlns:a16="http://schemas.microsoft.com/office/drawing/2014/main" id="{457D441F-E59E-4471-8B6C-7FEF2B80EAD7}"/>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5965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199</xdr:row>
      <xdr:rowOff>152400</xdr:rowOff>
    </xdr:from>
    <xdr:to>
      <xdr:col>22</xdr:col>
      <xdr:colOff>1924050</xdr:colOff>
      <xdr:row>200</xdr:row>
      <xdr:rowOff>180975</xdr:rowOff>
    </xdr:to>
    <xdr:pic>
      <xdr:nvPicPr>
        <xdr:cNvPr id="3" name="Picture 2" descr="C:\WINDOWS\TEMP\~0003946.gif">
          <a:extLst>
            <a:ext uri="{FF2B5EF4-FFF2-40B4-BE49-F238E27FC236}">
              <a16:creationId xmlns:a16="http://schemas.microsoft.com/office/drawing/2014/main" id="{72B27A4A-768B-438B-B539-2EF86E9CAF1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405955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4" name="Picture 3" descr="C:\WINDOWS\TEMP\~0003946.gif">
          <a:extLst>
            <a:ext uri="{FF2B5EF4-FFF2-40B4-BE49-F238E27FC236}">
              <a16:creationId xmlns:a16="http://schemas.microsoft.com/office/drawing/2014/main" id="{F35C5AFE-1CD4-4474-AA55-BCCCDCDA613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FC4652C6-DDA8-4384-A092-4C07A46C213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13607</xdr:colOff>
      <xdr:row>294</xdr:row>
      <xdr:rowOff>27215</xdr:rowOff>
    </xdr:from>
    <xdr:to>
      <xdr:col>22</xdr:col>
      <xdr:colOff>897604</xdr:colOff>
      <xdr:row>295</xdr:row>
      <xdr:rowOff>121838</xdr:rowOff>
    </xdr:to>
    <xdr:pic>
      <xdr:nvPicPr>
        <xdr:cNvPr id="6" name="Picture 5">
          <a:extLst>
            <a:ext uri="{FF2B5EF4-FFF2-40B4-BE49-F238E27FC236}">
              <a16:creationId xmlns:a16="http://schemas.microsoft.com/office/drawing/2014/main" id="{979DB5EF-A4A8-4A5E-8C78-BF88D3FD2D61}"/>
            </a:ext>
          </a:extLst>
        </xdr:cNvPr>
        <xdr:cNvPicPr>
          <a:picLocks noChangeAspect="1"/>
        </xdr:cNvPicPr>
      </xdr:nvPicPr>
      <xdr:blipFill>
        <a:blip xmlns:r="http://schemas.openxmlformats.org/officeDocument/2006/relationships" r:embed="rId3"/>
        <a:stretch>
          <a:fillRect/>
        </a:stretch>
      </xdr:blipFill>
      <xdr:spPr>
        <a:xfrm>
          <a:off x="24226157" y="59558465"/>
          <a:ext cx="883997" cy="294648"/>
        </a:xfrm>
        <a:prstGeom prst="rect">
          <a:avLst/>
        </a:prstGeom>
      </xdr:spPr>
    </xdr:pic>
    <xdr:clientData/>
  </xdr:twoCellAnchor>
  <xdr:twoCellAnchor editAs="oneCell">
    <xdr:from>
      <xdr:col>22</xdr:col>
      <xdr:colOff>0</xdr:colOff>
      <xdr:row>199</xdr:row>
      <xdr:rowOff>0</xdr:rowOff>
    </xdr:from>
    <xdr:to>
      <xdr:col>22</xdr:col>
      <xdr:colOff>883997</xdr:colOff>
      <xdr:row>200</xdr:row>
      <xdr:rowOff>94622</xdr:rowOff>
    </xdr:to>
    <xdr:pic>
      <xdr:nvPicPr>
        <xdr:cNvPr id="7" name="Picture 6">
          <a:extLst>
            <a:ext uri="{FF2B5EF4-FFF2-40B4-BE49-F238E27FC236}">
              <a16:creationId xmlns:a16="http://schemas.microsoft.com/office/drawing/2014/main" id="{AFF0C4D4-A70A-4B7D-9F04-A2BFADF0FDA7}"/>
            </a:ext>
          </a:extLst>
        </xdr:cNvPr>
        <xdr:cNvPicPr>
          <a:picLocks noChangeAspect="1"/>
        </xdr:cNvPicPr>
      </xdr:nvPicPr>
      <xdr:blipFill>
        <a:blip xmlns:r="http://schemas.openxmlformats.org/officeDocument/2006/relationships" r:embed="rId3"/>
        <a:stretch>
          <a:fillRect/>
        </a:stretch>
      </xdr:blipFill>
      <xdr:spPr>
        <a:xfrm>
          <a:off x="24212550" y="40443150"/>
          <a:ext cx="883997" cy="294647"/>
        </a:xfrm>
        <a:prstGeom prst="rect">
          <a:avLst/>
        </a:prstGeom>
      </xdr:spPr>
    </xdr:pic>
    <xdr:clientData/>
  </xdr:twoCellAnchor>
  <xdr:twoCellAnchor editAs="oneCell">
    <xdr:from>
      <xdr:col>22</xdr:col>
      <xdr:colOff>0</xdr:colOff>
      <xdr:row>133</xdr:row>
      <xdr:rowOff>0</xdr:rowOff>
    </xdr:from>
    <xdr:to>
      <xdr:col>22</xdr:col>
      <xdr:colOff>883997</xdr:colOff>
      <xdr:row>134</xdr:row>
      <xdr:rowOff>94623</xdr:rowOff>
    </xdr:to>
    <xdr:pic>
      <xdr:nvPicPr>
        <xdr:cNvPr id="8" name="Picture 7">
          <a:extLst>
            <a:ext uri="{FF2B5EF4-FFF2-40B4-BE49-F238E27FC236}">
              <a16:creationId xmlns:a16="http://schemas.microsoft.com/office/drawing/2014/main" id="{1F5D42BC-5417-4B92-A346-E05F2EAD2CC7}"/>
            </a:ext>
          </a:extLst>
        </xdr:cNvPr>
        <xdr:cNvPicPr>
          <a:picLocks noChangeAspect="1"/>
        </xdr:cNvPicPr>
      </xdr:nvPicPr>
      <xdr:blipFill>
        <a:blip xmlns:r="http://schemas.openxmlformats.org/officeDocument/2006/relationships" r:embed="rId3"/>
        <a:stretch>
          <a:fillRect/>
        </a:stretch>
      </xdr:blipFill>
      <xdr:spPr>
        <a:xfrm>
          <a:off x="24212550" y="27155775"/>
          <a:ext cx="883997" cy="294648"/>
        </a:xfrm>
        <a:prstGeom prst="rect">
          <a:avLst/>
        </a:prstGeom>
      </xdr:spPr>
    </xdr:pic>
    <xdr:clientData/>
  </xdr:twoCellAnchor>
  <xdr:twoCellAnchor editAs="oneCell">
    <xdr:from>
      <xdr:col>22</xdr:col>
      <xdr:colOff>13607</xdr:colOff>
      <xdr:row>62</xdr:row>
      <xdr:rowOff>68035</xdr:rowOff>
    </xdr:from>
    <xdr:to>
      <xdr:col>22</xdr:col>
      <xdr:colOff>897604</xdr:colOff>
      <xdr:row>63</xdr:row>
      <xdr:rowOff>162658</xdr:rowOff>
    </xdr:to>
    <xdr:pic>
      <xdr:nvPicPr>
        <xdr:cNvPr id="9" name="Picture 8">
          <a:extLst>
            <a:ext uri="{FF2B5EF4-FFF2-40B4-BE49-F238E27FC236}">
              <a16:creationId xmlns:a16="http://schemas.microsoft.com/office/drawing/2014/main" id="{2C4DD113-1695-48B0-A433-D146734D87EE}"/>
            </a:ext>
          </a:extLst>
        </xdr:cNvPr>
        <xdr:cNvPicPr>
          <a:picLocks noChangeAspect="1"/>
        </xdr:cNvPicPr>
      </xdr:nvPicPr>
      <xdr:blipFill>
        <a:blip xmlns:r="http://schemas.openxmlformats.org/officeDocument/2006/relationships" r:embed="rId3"/>
        <a:stretch>
          <a:fillRect/>
        </a:stretch>
      </xdr:blipFill>
      <xdr:spPr>
        <a:xfrm>
          <a:off x="24226157" y="12574360"/>
          <a:ext cx="883997" cy="294648"/>
        </a:xfrm>
        <a:prstGeom prst="rect">
          <a:avLst/>
        </a:prstGeom>
      </xdr:spPr>
    </xdr:pic>
    <xdr:clientData/>
  </xdr:twoCellAnchor>
  <xdr:twoCellAnchor editAs="oneCell">
    <xdr:from>
      <xdr:col>0</xdr:col>
      <xdr:colOff>204107</xdr:colOff>
      <xdr:row>62</xdr:row>
      <xdr:rowOff>122465</xdr:rowOff>
    </xdr:from>
    <xdr:to>
      <xdr:col>1</xdr:col>
      <xdr:colOff>34631</xdr:colOff>
      <xdr:row>63</xdr:row>
      <xdr:rowOff>143930</xdr:rowOff>
    </xdr:to>
    <xdr:pic>
      <xdr:nvPicPr>
        <xdr:cNvPr id="10" name="Picture 9">
          <a:extLst>
            <a:ext uri="{FF2B5EF4-FFF2-40B4-BE49-F238E27FC236}">
              <a16:creationId xmlns:a16="http://schemas.microsoft.com/office/drawing/2014/main" id="{3A353655-068A-4246-97F4-5E3530361C59}"/>
            </a:ext>
          </a:extLst>
        </xdr:cNvPr>
        <xdr:cNvPicPr>
          <a:picLocks noChangeAspect="1"/>
        </xdr:cNvPicPr>
      </xdr:nvPicPr>
      <xdr:blipFill>
        <a:blip xmlns:r="http://schemas.openxmlformats.org/officeDocument/2006/relationships" r:embed="rId4"/>
        <a:stretch>
          <a:fillRect/>
        </a:stretch>
      </xdr:blipFill>
      <xdr:spPr>
        <a:xfrm>
          <a:off x="204107" y="12628790"/>
          <a:ext cx="173424" cy="221490"/>
        </a:xfrm>
        <a:prstGeom prst="rect">
          <a:avLst/>
        </a:prstGeom>
      </xdr:spPr>
    </xdr:pic>
    <xdr:clientData/>
  </xdr:twoCellAnchor>
  <xdr:twoCellAnchor editAs="oneCell">
    <xdr:from>
      <xdr:col>0</xdr:col>
      <xdr:colOff>190500</xdr:colOff>
      <xdr:row>133</xdr:row>
      <xdr:rowOff>108857</xdr:rowOff>
    </xdr:from>
    <xdr:to>
      <xdr:col>1</xdr:col>
      <xdr:colOff>21024</xdr:colOff>
      <xdr:row>134</xdr:row>
      <xdr:rowOff>130322</xdr:rowOff>
    </xdr:to>
    <xdr:pic>
      <xdr:nvPicPr>
        <xdr:cNvPr id="11" name="Picture 10">
          <a:extLst>
            <a:ext uri="{FF2B5EF4-FFF2-40B4-BE49-F238E27FC236}">
              <a16:creationId xmlns:a16="http://schemas.microsoft.com/office/drawing/2014/main" id="{0E6AC5A9-FD0B-4E1A-82B9-33FA03AD21CD}"/>
            </a:ext>
          </a:extLst>
        </xdr:cNvPr>
        <xdr:cNvPicPr>
          <a:picLocks noChangeAspect="1"/>
        </xdr:cNvPicPr>
      </xdr:nvPicPr>
      <xdr:blipFill>
        <a:blip xmlns:r="http://schemas.openxmlformats.org/officeDocument/2006/relationships" r:embed="rId4"/>
        <a:stretch>
          <a:fillRect/>
        </a:stretch>
      </xdr:blipFill>
      <xdr:spPr>
        <a:xfrm>
          <a:off x="190500" y="27264632"/>
          <a:ext cx="173424" cy="221490"/>
        </a:xfrm>
        <a:prstGeom prst="rect">
          <a:avLst/>
        </a:prstGeom>
      </xdr:spPr>
    </xdr:pic>
    <xdr:clientData/>
  </xdr:twoCellAnchor>
  <xdr:twoCellAnchor editAs="oneCell">
    <xdr:from>
      <xdr:col>0</xdr:col>
      <xdr:colOff>190500</xdr:colOff>
      <xdr:row>199</xdr:row>
      <xdr:rowOff>95251</xdr:rowOff>
    </xdr:from>
    <xdr:to>
      <xdr:col>1</xdr:col>
      <xdr:colOff>21024</xdr:colOff>
      <xdr:row>200</xdr:row>
      <xdr:rowOff>116715</xdr:rowOff>
    </xdr:to>
    <xdr:pic>
      <xdr:nvPicPr>
        <xdr:cNvPr id="12" name="Picture 11">
          <a:extLst>
            <a:ext uri="{FF2B5EF4-FFF2-40B4-BE49-F238E27FC236}">
              <a16:creationId xmlns:a16="http://schemas.microsoft.com/office/drawing/2014/main" id="{6C75CB11-A08E-4779-B48B-86E75811E58E}"/>
            </a:ext>
          </a:extLst>
        </xdr:cNvPr>
        <xdr:cNvPicPr>
          <a:picLocks noChangeAspect="1"/>
        </xdr:cNvPicPr>
      </xdr:nvPicPr>
      <xdr:blipFill>
        <a:blip xmlns:r="http://schemas.openxmlformats.org/officeDocument/2006/relationships" r:embed="rId4"/>
        <a:stretch>
          <a:fillRect/>
        </a:stretch>
      </xdr:blipFill>
      <xdr:spPr>
        <a:xfrm>
          <a:off x="190500" y="40538401"/>
          <a:ext cx="173424" cy="221489"/>
        </a:xfrm>
        <a:prstGeom prst="rect">
          <a:avLst/>
        </a:prstGeom>
      </xdr:spPr>
    </xdr:pic>
    <xdr:clientData/>
  </xdr:twoCellAnchor>
  <xdr:twoCellAnchor editAs="oneCell">
    <xdr:from>
      <xdr:col>0</xdr:col>
      <xdr:colOff>163286</xdr:colOff>
      <xdr:row>294</xdr:row>
      <xdr:rowOff>163286</xdr:rowOff>
    </xdr:from>
    <xdr:to>
      <xdr:col>0</xdr:col>
      <xdr:colOff>333989</xdr:colOff>
      <xdr:row>295</xdr:row>
      <xdr:rowOff>184751</xdr:rowOff>
    </xdr:to>
    <xdr:pic>
      <xdr:nvPicPr>
        <xdr:cNvPr id="13" name="Picture 12">
          <a:extLst>
            <a:ext uri="{FF2B5EF4-FFF2-40B4-BE49-F238E27FC236}">
              <a16:creationId xmlns:a16="http://schemas.microsoft.com/office/drawing/2014/main" id="{36D3774E-D5A2-4A50-810B-B82997DBB551}"/>
            </a:ext>
          </a:extLst>
        </xdr:cNvPr>
        <xdr:cNvPicPr>
          <a:picLocks noChangeAspect="1"/>
        </xdr:cNvPicPr>
      </xdr:nvPicPr>
      <xdr:blipFill>
        <a:blip xmlns:r="http://schemas.openxmlformats.org/officeDocument/2006/relationships" r:embed="rId4"/>
        <a:stretch>
          <a:fillRect/>
        </a:stretch>
      </xdr:blipFill>
      <xdr:spPr>
        <a:xfrm>
          <a:off x="163286" y="59694536"/>
          <a:ext cx="170703" cy="22149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22</xdr:col>
      <xdr:colOff>1095375</xdr:colOff>
      <xdr:row>294</xdr:row>
      <xdr:rowOff>123825</xdr:rowOff>
    </xdr:from>
    <xdr:to>
      <xdr:col>22</xdr:col>
      <xdr:colOff>1895475</xdr:colOff>
      <xdr:row>295</xdr:row>
      <xdr:rowOff>152400</xdr:rowOff>
    </xdr:to>
    <xdr:pic>
      <xdr:nvPicPr>
        <xdr:cNvPr id="2" name="Picture 1" descr="C:\WINDOWS\TEMP\~0003946.gif">
          <a:extLst>
            <a:ext uri="{FF2B5EF4-FFF2-40B4-BE49-F238E27FC236}">
              <a16:creationId xmlns:a16="http://schemas.microsoft.com/office/drawing/2014/main" id="{3702D403-5892-481D-9A75-2E32E86C52D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5965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199</xdr:row>
      <xdr:rowOff>152400</xdr:rowOff>
    </xdr:from>
    <xdr:to>
      <xdr:col>22</xdr:col>
      <xdr:colOff>1924050</xdr:colOff>
      <xdr:row>200</xdr:row>
      <xdr:rowOff>180975</xdr:rowOff>
    </xdr:to>
    <xdr:pic>
      <xdr:nvPicPr>
        <xdr:cNvPr id="3" name="Picture 2" descr="C:\WINDOWS\TEMP\~0003946.gif">
          <a:extLst>
            <a:ext uri="{FF2B5EF4-FFF2-40B4-BE49-F238E27FC236}">
              <a16:creationId xmlns:a16="http://schemas.microsoft.com/office/drawing/2014/main" id="{7F92140E-8AD2-4F3B-BA5A-958A3E804D7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405955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4" name="Picture 3" descr="C:\WINDOWS\TEMP\~0003946.gif">
          <a:extLst>
            <a:ext uri="{FF2B5EF4-FFF2-40B4-BE49-F238E27FC236}">
              <a16:creationId xmlns:a16="http://schemas.microsoft.com/office/drawing/2014/main" id="{15C27CA1-C93F-437C-BAA3-86FD76192471}"/>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3FDE4C19-604D-480E-BB61-C834E6BA86FB}"/>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13607</xdr:colOff>
      <xdr:row>294</xdr:row>
      <xdr:rowOff>27215</xdr:rowOff>
    </xdr:from>
    <xdr:to>
      <xdr:col>22</xdr:col>
      <xdr:colOff>897604</xdr:colOff>
      <xdr:row>295</xdr:row>
      <xdr:rowOff>121838</xdr:rowOff>
    </xdr:to>
    <xdr:pic>
      <xdr:nvPicPr>
        <xdr:cNvPr id="6" name="Picture 5">
          <a:extLst>
            <a:ext uri="{FF2B5EF4-FFF2-40B4-BE49-F238E27FC236}">
              <a16:creationId xmlns:a16="http://schemas.microsoft.com/office/drawing/2014/main" id="{39847682-12F5-4818-AC2D-C721BD600E74}"/>
            </a:ext>
          </a:extLst>
        </xdr:cNvPr>
        <xdr:cNvPicPr>
          <a:picLocks noChangeAspect="1"/>
        </xdr:cNvPicPr>
      </xdr:nvPicPr>
      <xdr:blipFill>
        <a:blip xmlns:r="http://schemas.openxmlformats.org/officeDocument/2006/relationships" r:embed="rId3"/>
        <a:stretch>
          <a:fillRect/>
        </a:stretch>
      </xdr:blipFill>
      <xdr:spPr>
        <a:xfrm>
          <a:off x="24226157" y="59558465"/>
          <a:ext cx="883997" cy="294648"/>
        </a:xfrm>
        <a:prstGeom prst="rect">
          <a:avLst/>
        </a:prstGeom>
      </xdr:spPr>
    </xdr:pic>
    <xdr:clientData/>
  </xdr:twoCellAnchor>
  <xdr:twoCellAnchor editAs="oneCell">
    <xdr:from>
      <xdr:col>22</xdr:col>
      <xdr:colOff>0</xdr:colOff>
      <xdr:row>199</xdr:row>
      <xdr:rowOff>0</xdr:rowOff>
    </xdr:from>
    <xdr:to>
      <xdr:col>22</xdr:col>
      <xdr:colOff>883997</xdr:colOff>
      <xdr:row>200</xdr:row>
      <xdr:rowOff>94622</xdr:rowOff>
    </xdr:to>
    <xdr:pic>
      <xdr:nvPicPr>
        <xdr:cNvPr id="7" name="Picture 6">
          <a:extLst>
            <a:ext uri="{FF2B5EF4-FFF2-40B4-BE49-F238E27FC236}">
              <a16:creationId xmlns:a16="http://schemas.microsoft.com/office/drawing/2014/main" id="{CBB89291-5DEE-45CC-BD86-E2B82C0A9567}"/>
            </a:ext>
          </a:extLst>
        </xdr:cNvPr>
        <xdr:cNvPicPr>
          <a:picLocks noChangeAspect="1"/>
        </xdr:cNvPicPr>
      </xdr:nvPicPr>
      <xdr:blipFill>
        <a:blip xmlns:r="http://schemas.openxmlformats.org/officeDocument/2006/relationships" r:embed="rId3"/>
        <a:stretch>
          <a:fillRect/>
        </a:stretch>
      </xdr:blipFill>
      <xdr:spPr>
        <a:xfrm>
          <a:off x="24212550" y="40443150"/>
          <a:ext cx="883997" cy="294647"/>
        </a:xfrm>
        <a:prstGeom prst="rect">
          <a:avLst/>
        </a:prstGeom>
      </xdr:spPr>
    </xdr:pic>
    <xdr:clientData/>
  </xdr:twoCellAnchor>
  <xdr:twoCellAnchor editAs="oneCell">
    <xdr:from>
      <xdr:col>22</xdr:col>
      <xdr:colOff>0</xdr:colOff>
      <xdr:row>133</xdr:row>
      <xdr:rowOff>0</xdr:rowOff>
    </xdr:from>
    <xdr:to>
      <xdr:col>22</xdr:col>
      <xdr:colOff>883997</xdr:colOff>
      <xdr:row>134</xdr:row>
      <xdr:rowOff>94623</xdr:rowOff>
    </xdr:to>
    <xdr:pic>
      <xdr:nvPicPr>
        <xdr:cNvPr id="8" name="Picture 7">
          <a:extLst>
            <a:ext uri="{FF2B5EF4-FFF2-40B4-BE49-F238E27FC236}">
              <a16:creationId xmlns:a16="http://schemas.microsoft.com/office/drawing/2014/main" id="{AAAFF0C7-B531-4A42-9A7C-F2DAA66F81AC}"/>
            </a:ext>
          </a:extLst>
        </xdr:cNvPr>
        <xdr:cNvPicPr>
          <a:picLocks noChangeAspect="1"/>
        </xdr:cNvPicPr>
      </xdr:nvPicPr>
      <xdr:blipFill>
        <a:blip xmlns:r="http://schemas.openxmlformats.org/officeDocument/2006/relationships" r:embed="rId3"/>
        <a:stretch>
          <a:fillRect/>
        </a:stretch>
      </xdr:blipFill>
      <xdr:spPr>
        <a:xfrm>
          <a:off x="24212550" y="27155775"/>
          <a:ext cx="883997" cy="294648"/>
        </a:xfrm>
        <a:prstGeom prst="rect">
          <a:avLst/>
        </a:prstGeom>
      </xdr:spPr>
    </xdr:pic>
    <xdr:clientData/>
  </xdr:twoCellAnchor>
  <xdr:twoCellAnchor editAs="oneCell">
    <xdr:from>
      <xdr:col>22</xdr:col>
      <xdr:colOff>13607</xdr:colOff>
      <xdr:row>62</xdr:row>
      <xdr:rowOff>68035</xdr:rowOff>
    </xdr:from>
    <xdr:to>
      <xdr:col>22</xdr:col>
      <xdr:colOff>897604</xdr:colOff>
      <xdr:row>63</xdr:row>
      <xdr:rowOff>162658</xdr:rowOff>
    </xdr:to>
    <xdr:pic>
      <xdr:nvPicPr>
        <xdr:cNvPr id="9" name="Picture 8">
          <a:extLst>
            <a:ext uri="{FF2B5EF4-FFF2-40B4-BE49-F238E27FC236}">
              <a16:creationId xmlns:a16="http://schemas.microsoft.com/office/drawing/2014/main" id="{8BB7AECB-9EBA-43EC-AC00-F0ABFBB305C9}"/>
            </a:ext>
          </a:extLst>
        </xdr:cNvPr>
        <xdr:cNvPicPr>
          <a:picLocks noChangeAspect="1"/>
        </xdr:cNvPicPr>
      </xdr:nvPicPr>
      <xdr:blipFill>
        <a:blip xmlns:r="http://schemas.openxmlformats.org/officeDocument/2006/relationships" r:embed="rId3"/>
        <a:stretch>
          <a:fillRect/>
        </a:stretch>
      </xdr:blipFill>
      <xdr:spPr>
        <a:xfrm>
          <a:off x="24226157" y="12574360"/>
          <a:ext cx="883997" cy="294648"/>
        </a:xfrm>
        <a:prstGeom prst="rect">
          <a:avLst/>
        </a:prstGeom>
      </xdr:spPr>
    </xdr:pic>
    <xdr:clientData/>
  </xdr:twoCellAnchor>
  <xdr:twoCellAnchor editAs="oneCell">
    <xdr:from>
      <xdr:col>0</xdr:col>
      <xdr:colOff>204107</xdr:colOff>
      <xdr:row>62</xdr:row>
      <xdr:rowOff>122465</xdr:rowOff>
    </xdr:from>
    <xdr:to>
      <xdr:col>1</xdr:col>
      <xdr:colOff>34631</xdr:colOff>
      <xdr:row>63</xdr:row>
      <xdr:rowOff>143930</xdr:rowOff>
    </xdr:to>
    <xdr:pic>
      <xdr:nvPicPr>
        <xdr:cNvPr id="10" name="Picture 9">
          <a:extLst>
            <a:ext uri="{FF2B5EF4-FFF2-40B4-BE49-F238E27FC236}">
              <a16:creationId xmlns:a16="http://schemas.microsoft.com/office/drawing/2014/main" id="{7CBDFF27-B21D-4A3D-8C66-25CEE31C0B0D}"/>
            </a:ext>
          </a:extLst>
        </xdr:cNvPr>
        <xdr:cNvPicPr>
          <a:picLocks noChangeAspect="1"/>
        </xdr:cNvPicPr>
      </xdr:nvPicPr>
      <xdr:blipFill>
        <a:blip xmlns:r="http://schemas.openxmlformats.org/officeDocument/2006/relationships" r:embed="rId4"/>
        <a:stretch>
          <a:fillRect/>
        </a:stretch>
      </xdr:blipFill>
      <xdr:spPr>
        <a:xfrm>
          <a:off x="204107" y="12628790"/>
          <a:ext cx="173424" cy="221490"/>
        </a:xfrm>
        <a:prstGeom prst="rect">
          <a:avLst/>
        </a:prstGeom>
      </xdr:spPr>
    </xdr:pic>
    <xdr:clientData/>
  </xdr:twoCellAnchor>
  <xdr:twoCellAnchor editAs="oneCell">
    <xdr:from>
      <xdr:col>0</xdr:col>
      <xdr:colOff>190500</xdr:colOff>
      <xdr:row>133</xdr:row>
      <xdr:rowOff>108857</xdr:rowOff>
    </xdr:from>
    <xdr:to>
      <xdr:col>1</xdr:col>
      <xdr:colOff>21024</xdr:colOff>
      <xdr:row>134</xdr:row>
      <xdr:rowOff>130322</xdr:rowOff>
    </xdr:to>
    <xdr:pic>
      <xdr:nvPicPr>
        <xdr:cNvPr id="11" name="Picture 10">
          <a:extLst>
            <a:ext uri="{FF2B5EF4-FFF2-40B4-BE49-F238E27FC236}">
              <a16:creationId xmlns:a16="http://schemas.microsoft.com/office/drawing/2014/main" id="{82237DE5-4D07-46AB-B9C9-59CC68757453}"/>
            </a:ext>
          </a:extLst>
        </xdr:cNvPr>
        <xdr:cNvPicPr>
          <a:picLocks noChangeAspect="1"/>
        </xdr:cNvPicPr>
      </xdr:nvPicPr>
      <xdr:blipFill>
        <a:blip xmlns:r="http://schemas.openxmlformats.org/officeDocument/2006/relationships" r:embed="rId4"/>
        <a:stretch>
          <a:fillRect/>
        </a:stretch>
      </xdr:blipFill>
      <xdr:spPr>
        <a:xfrm>
          <a:off x="190500" y="27264632"/>
          <a:ext cx="173424" cy="221490"/>
        </a:xfrm>
        <a:prstGeom prst="rect">
          <a:avLst/>
        </a:prstGeom>
      </xdr:spPr>
    </xdr:pic>
    <xdr:clientData/>
  </xdr:twoCellAnchor>
  <xdr:twoCellAnchor editAs="oneCell">
    <xdr:from>
      <xdr:col>0</xdr:col>
      <xdr:colOff>190500</xdr:colOff>
      <xdr:row>199</xdr:row>
      <xdr:rowOff>95251</xdr:rowOff>
    </xdr:from>
    <xdr:to>
      <xdr:col>1</xdr:col>
      <xdr:colOff>21024</xdr:colOff>
      <xdr:row>200</xdr:row>
      <xdr:rowOff>116715</xdr:rowOff>
    </xdr:to>
    <xdr:pic>
      <xdr:nvPicPr>
        <xdr:cNvPr id="12" name="Picture 11">
          <a:extLst>
            <a:ext uri="{FF2B5EF4-FFF2-40B4-BE49-F238E27FC236}">
              <a16:creationId xmlns:a16="http://schemas.microsoft.com/office/drawing/2014/main" id="{278770FF-30E0-4D4D-B286-7922988FE7A6}"/>
            </a:ext>
          </a:extLst>
        </xdr:cNvPr>
        <xdr:cNvPicPr>
          <a:picLocks noChangeAspect="1"/>
        </xdr:cNvPicPr>
      </xdr:nvPicPr>
      <xdr:blipFill>
        <a:blip xmlns:r="http://schemas.openxmlformats.org/officeDocument/2006/relationships" r:embed="rId4"/>
        <a:stretch>
          <a:fillRect/>
        </a:stretch>
      </xdr:blipFill>
      <xdr:spPr>
        <a:xfrm>
          <a:off x="190500" y="40538401"/>
          <a:ext cx="173424" cy="221489"/>
        </a:xfrm>
        <a:prstGeom prst="rect">
          <a:avLst/>
        </a:prstGeom>
      </xdr:spPr>
    </xdr:pic>
    <xdr:clientData/>
  </xdr:twoCellAnchor>
  <xdr:twoCellAnchor editAs="oneCell">
    <xdr:from>
      <xdr:col>0</xdr:col>
      <xdr:colOff>163286</xdr:colOff>
      <xdr:row>294</xdr:row>
      <xdr:rowOff>163286</xdr:rowOff>
    </xdr:from>
    <xdr:to>
      <xdr:col>0</xdr:col>
      <xdr:colOff>333989</xdr:colOff>
      <xdr:row>295</xdr:row>
      <xdr:rowOff>184751</xdr:rowOff>
    </xdr:to>
    <xdr:pic>
      <xdr:nvPicPr>
        <xdr:cNvPr id="13" name="Picture 12">
          <a:extLst>
            <a:ext uri="{FF2B5EF4-FFF2-40B4-BE49-F238E27FC236}">
              <a16:creationId xmlns:a16="http://schemas.microsoft.com/office/drawing/2014/main" id="{AE312A2D-C610-4337-9379-9CE02330F2B5}"/>
            </a:ext>
          </a:extLst>
        </xdr:cNvPr>
        <xdr:cNvPicPr>
          <a:picLocks noChangeAspect="1"/>
        </xdr:cNvPicPr>
      </xdr:nvPicPr>
      <xdr:blipFill>
        <a:blip xmlns:r="http://schemas.openxmlformats.org/officeDocument/2006/relationships" r:embed="rId4"/>
        <a:stretch>
          <a:fillRect/>
        </a:stretch>
      </xdr:blipFill>
      <xdr:spPr>
        <a:xfrm>
          <a:off x="163286" y="59694536"/>
          <a:ext cx="170703" cy="22149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22</xdr:col>
      <xdr:colOff>1095375</xdr:colOff>
      <xdr:row>294</xdr:row>
      <xdr:rowOff>123825</xdr:rowOff>
    </xdr:from>
    <xdr:to>
      <xdr:col>22</xdr:col>
      <xdr:colOff>1895475</xdr:colOff>
      <xdr:row>295</xdr:row>
      <xdr:rowOff>152400</xdr:rowOff>
    </xdr:to>
    <xdr:pic>
      <xdr:nvPicPr>
        <xdr:cNvPr id="2" name="Picture 1" descr="C:\WINDOWS\TEMP\~0003946.gif">
          <a:extLst>
            <a:ext uri="{FF2B5EF4-FFF2-40B4-BE49-F238E27FC236}">
              <a16:creationId xmlns:a16="http://schemas.microsoft.com/office/drawing/2014/main" id="{AFE7C9AC-5A9B-46F9-B700-390A3328CB7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5965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199</xdr:row>
      <xdr:rowOff>152400</xdr:rowOff>
    </xdr:from>
    <xdr:to>
      <xdr:col>22</xdr:col>
      <xdr:colOff>1924050</xdr:colOff>
      <xdr:row>200</xdr:row>
      <xdr:rowOff>180975</xdr:rowOff>
    </xdr:to>
    <xdr:pic>
      <xdr:nvPicPr>
        <xdr:cNvPr id="3" name="Picture 2" descr="C:\WINDOWS\TEMP\~0003946.gif">
          <a:extLst>
            <a:ext uri="{FF2B5EF4-FFF2-40B4-BE49-F238E27FC236}">
              <a16:creationId xmlns:a16="http://schemas.microsoft.com/office/drawing/2014/main" id="{325ACD42-C98D-41BE-BA0E-0D8822B036C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405955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4" name="Picture 3" descr="C:\WINDOWS\TEMP\~0003946.gif">
          <a:extLst>
            <a:ext uri="{FF2B5EF4-FFF2-40B4-BE49-F238E27FC236}">
              <a16:creationId xmlns:a16="http://schemas.microsoft.com/office/drawing/2014/main" id="{4278E8CF-1AB8-4B44-9D70-21ACB36804D7}"/>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88D04F06-B769-4ACE-B3DB-5C4A3068EA3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13607</xdr:colOff>
      <xdr:row>294</xdr:row>
      <xdr:rowOff>27215</xdr:rowOff>
    </xdr:from>
    <xdr:to>
      <xdr:col>22</xdr:col>
      <xdr:colOff>897604</xdr:colOff>
      <xdr:row>295</xdr:row>
      <xdr:rowOff>121838</xdr:rowOff>
    </xdr:to>
    <xdr:pic>
      <xdr:nvPicPr>
        <xdr:cNvPr id="6" name="Picture 5">
          <a:extLst>
            <a:ext uri="{FF2B5EF4-FFF2-40B4-BE49-F238E27FC236}">
              <a16:creationId xmlns:a16="http://schemas.microsoft.com/office/drawing/2014/main" id="{E9CDAA16-A5E0-4913-A484-AA49EA3CEECB}"/>
            </a:ext>
          </a:extLst>
        </xdr:cNvPr>
        <xdr:cNvPicPr>
          <a:picLocks noChangeAspect="1"/>
        </xdr:cNvPicPr>
      </xdr:nvPicPr>
      <xdr:blipFill>
        <a:blip xmlns:r="http://schemas.openxmlformats.org/officeDocument/2006/relationships" r:embed="rId3"/>
        <a:stretch>
          <a:fillRect/>
        </a:stretch>
      </xdr:blipFill>
      <xdr:spPr>
        <a:xfrm>
          <a:off x="24226157" y="59558465"/>
          <a:ext cx="883997" cy="294648"/>
        </a:xfrm>
        <a:prstGeom prst="rect">
          <a:avLst/>
        </a:prstGeom>
      </xdr:spPr>
    </xdr:pic>
    <xdr:clientData/>
  </xdr:twoCellAnchor>
  <xdr:twoCellAnchor editAs="oneCell">
    <xdr:from>
      <xdr:col>22</xdr:col>
      <xdr:colOff>0</xdr:colOff>
      <xdr:row>199</xdr:row>
      <xdr:rowOff>0</xdr:rowOff>
    </xdr:from>
    <xdr:to>
      <xdr:col>22</xdr:col>
      <xdr:colOff>883997</xdr:colOff>
      <xdr:row>200</xdr:row>
      <xdr:rowOff>94623</xdr:rowOff>
    </xdr:to>
    <xdr:pic>
      <xdr:nvPicPr>
        <xdr:cNvPr id="7" name="Picture 6">
          <a:extLst>
            <a:ext uri="{FF2B5EF4-FFF2-40B4-BE49-F238E27FC236}">
              <a16:creationId xmlns:a16="http://schemas.microsoft.com/office/drawing/2014/main" id="{5BB8937D-DC18-4DE6-9BD8-6CC47F5CDB81}"/>
            </a:ext>
          </a:extLst>
        </xdr:cNvPr>
        <xdr:cNvPicPr>
          <a:picLocks noChangeAspect="1"/>
        </xdr:cNvPicPr>
      </xdr:nvPicPr>
      <xdr:blipFill>
        <a:blip xmlns:r="http://schemas.openxmlformats.org/officeDocument/2006/relationships" r:embed="rId3"/>
        <a:stretch>
          <a:fillRect/>
        </a:stretch>
      </xdr:blipFill>
      <xdr:spPr>
        <a:xfrm>
          <a:off x="24212550" y="40443150"/>
          <a:ext cx="883997" cy="294647"/>
        </a:xfrm>
        <a:prstGeom prst="rect">
          <a:avLst/>
        </a:prstGeom>
      </xdr:spPr>
    </xdr:pic>
    <xdr:clientData/>
  </xdr:twoCellAnchor>
  <xdr:twoCellAnchor editAs="oneCell">
    <xdr:from>
      <xdr:col>22</xdr:col>
      <xdr:colOff>0</xdr:colOff>
      <xdr:row>133</xdr:row>
      <xdr:rowOff>0</xdr:rowOff>
    </xdr:from>
    <xdr:to>
      <xdr:col>22</xdr:col>
      <xdr:colOff>883997</xdr:colOff>
      <xdr:row>134</xdr:row>
      <xdr:rowOff>94623</xdr:rowOff>
    </xdr:to>
    <xdr:pic>
      <xdr:nvPicPr>
        <xdr:cNvPr id="8" name="Picture 7">
          <a:extLst>
            <a:ext uri="{FF2B5EF4-FFF2-40B4-BE49-F238E27FC236}">
              <a16:creationId xmlns:a16="http://schemas.microsoft.com/office/drawing/2014/main" id="{36900E1D-526C-467E-BF95-E8F2B24F3642}"/>
            </a:ext>
          </a:extLst>
        </xdr:cNvPr>
        <xdr:cNvPicPr>
          <a:picLocks noChangeAspect="1"/>
        </xdr:cNvPicPr>
      </xdr:nvPicPr>
      <xdr:blipFill>
        <a:blip xmlns:r="http://schemas.openxmlformats.org/officeDocument/2006/relationships" r:embed="rId3"/>
        <a:stretch>
          <a:fillRect/>
        </a:stretch>
      </xdr:blipFill>
      <xdr:spPr>
        <a:xfrm>
          <a:off x="24212550" y="27155775"/>
          <a:ext cx="883997" cy="294648"/>
        </a:xfrm>
        <a:prstGeom prst="rect">
          <a:avLst/>
        </a:prstGeom>
      </xdr:spPr>
    </xdr:pic>
    <xdr:clientData/>
  </xdr:twoCellAnchor>
  <xdr:twoCellAnchor editAs="oneCell">
    <xdr:from>
      <xdr:col>22</xdr:col>
      <xdr:colOff>13607</xdr:colOff>
      <xdr:row>62</xdr:row>
      <xdr:rowOff>68035</xdr:rowOff>
    </xdr:from>
    <xdr:to>
      <xdr:col>22</xdr:col>
      <xdr:colOff>897604</xdr:colOff>
      <xdr:row>63</xdr:row>
      <xdr:rowOff>162658</xdr:rowOff>
    </xdr:to>
    <xdr:pic>
      <xdr:nvPicPr>
        <xdr:cNvPr id="9" name="Picture 8">
          <a:extLst>
            <a:ext uri="{FF2B5EF4-FFF2-40B4-BE49-F238E27FC236}">
              <a16:creationId xmlns:a16="http://schemas.microsoft.com/office/drawing/2014/main" id="{37039845-1A35-4EB7-8F11-FCDCED5C9D82}"/>
            </a:ext>
          </a:extLst>
        </xdr:cNvPr>
        <xdr:cNvPicPr>
          <a:picLocks noChangeAspect="1"/>
        </xdr:cNvPicPr>
      </xdr:nvPicPr>
      <xdr:blipFill>
        <a:blip xmlns:r="http://schemas.openxmlformats.org/officeDocument/2006/relationships" r:embed="rId3"/>
        <a:stretch>
          <a:fillRect/>
        </a:stretch>
      </xdr:blipFill>
      <xdr:spPr>
        <a:xfrm>
          <a:off x="24226157" y="12574360"/>
          <a:ext cx="883997" cy="294648"/>
        </a:xfrm>
        <a:prstGeom prst="rect">
          <a:avLst/>
        </a:prstGeom>
      </xdr:spPr>
    </xdr:pic>
    <xdr:clientData/>
  </xdr:twoCellAnchor>
  <xdr:twoCellAnchor editAs="oneCell">
    <xdr:from>
      <xdr:col>0</xdr:col>
      <xdr:colOff>204107</xdr:colOff>
      <xdr:row>62</xdr:row>
      <xdr:rowOff>122465</xdr:rowOff>
    </xdr:from>
    <xdr:to>
      <xdr:col>1</xdr:col>
      <xdr:colOff>34631</xdr:colOff>
      <xdr:row>63</xdr:row>
      <xdr:rowOff>143930</xdr:rowOff>
    </xdr:to>
    <xdr:pic>
      <xdr:nvPicPr>
        <xdr:cNvPr id="10" name="Picture 9">
          <a:extLst>
            <a:ext uri="{FF2B5EF4-FFF2-40B4-BE49-F238E27FC236}">
              <a16:creationId xmlns:a16="http://schemas.microsoft.com/office/drawing/2014/main" id="{F622D8B2-1E96-4FDE-B918-DAF90EB8D4D1}"/>
            </a:ext>
          </a:extLst>
        </xdr:cNvPr>
        <xdr:cNvPicPr>
          <a:picLocks noChangeAspect="1"/>
        </xdr:cNvPicPr>
      </xdr:nvPicPr>
      <xdr:blipFill>
        <a:blip xmlns:r="http://schemas.openxmlformats.org/officeDocument/2006/relationships" r:embed="rId4"/>
        <a:stretch>
          <a:fillRect/>
        </a:stretch>
      </xdr:blipFill>
      <xdr:spPr>
        <a:xfrm>
          <a:off x="204107" y="12628790"/>
          <a:ext cx="173424" cy="221490"/>
        </a:xfrm>
        <a:prstGeom prst="rect">
          <a:avLst/>
        </a:prstGeom>
      </xdr:spPr>
    </xdr:pic>
    <xdr:clientData/>
  </xdr:twoCellAnchor>
  <xdr:twoCellAnchor editAs="oneCell">
    <xdr:from>
      <xdr:col>0</xdr:col>
      <xdr:colOff>190500</xdr:colOff>
      <xdr:row>133</xdr:row>
      <xdr:rowOff>108857</xdr:rowOff>
    </xdr:from>
    <xdr:to>
      <xdr:col>1</xdr:col>
      <xdr:colOff>21024</xdr:colOff>
      <xdr:row>134</xdr:row>
      <xdr:rowOff>130322</xdr:rowOff>
    </xdr:to>
    <xdr:pic>
      <xdr:nvPicPr>
        <xdr:cNvPr id="11" name="Picture 10">
          <a:extLst>
            <a:ext uri="{FF2B5EF4-FFF2-40B4-BE49-F238E27FC236}">
              <a16:creationId xmlns:a16="http://schemas.microsoft.com/office/drawing/2014/main" id="{B9F3703C-6F0C-4E6E-B9F9-689FC6FC1B17}"/>
            </a:ext>
          </a:extLst>
        </xdr:cNvPr>
        <xdr:cNvPicPr>
          <a:picLocks noChangeAspect="1"/>
        </xdr:cNvPicPr>
      </xdr:nvPicPr>
      <xdr:blipFill>
        <a:blip xmlns:r="http://schemas.openxmlformats.org/officeDocument/2006/relationships" r:embed="rId4"/>
        <a:stretch>
          <a:fillRect/>
        </a:stretch>
      </xdr:blipFill>
      <xdr:spPr>
        <a:xfrm>
          <a:off x="190500" y="27264632"/>
          <a:ext cx="173424" cy="221490"/>
        </a:xfrm>
        <a:prstGeom prst="rect">
          <a:avLst/>
        </a:prstGeom>
      </xdr:spPr>
    </xdr:pic>
    <xdr:clientData/>
  </xdr:twoCellAnchor>
  <xdr:twoCellAnchor editAs="oneCell">
    <xdr:from>
      <xdr:col>0</xdr:col>
      <xdr:colOff>190500</xdr:colOff>
      <xdr:row>199</xdr:row>
      <xdr:rowOff>95251</xdr:rowOff>
    </xdr:from>
    <xdr:to>
      <xdr:col>1</xdr:col>
      <xdr:colOff>21024</xdr:colOff>
      <xdr:row>200</xdr:row>
      <xdr:rowOff>116716</xdr:rowOff>
    </xdr:to>
    <xdr:pic>
      <xdr:nvPicPr>
        <xdr:cNvPr id="12" name="Picture 11">
          <a:extLst>
            <a:ext uri="{FF2B5EF4-FFF2-40B4-BE49-F238E27FC236}">
              <a16:creationId xmlns:a16="http://schemas.microsoft.com/office/drawing/2014/main" id="{2CE7F115-903D-4A99-85E8-A4D184174E9B}"/>
            </a:ext>
          </a:extLst>
        </xdr:cNvPr>
        <xdr:cNvPicPr>
          <a:picLocks noChangeAspect="1"/>
        </xdr:cNvPicPr>
      </xdr:nvPicPr>
      <xdr:blipFill>
        <a:blip xmlns:r="http://schemas.openxmlformats.org/officeDocument/2006/relationships" r:embed="rId4"/>
        <a:stretch>
          <a:fillRect/>
        </a:stretch>
      </xdr:blipFill>
      <xdr:spPr>
        <a:xfrm>
          <a:off x="190500" y="40538401"/>
          <a:ext cx="173424" cy="221489"/>
        </a:xfrm>
        <a:prstGeom prst="rect">
          <a:avLst/>
        </a:prstGeom>
      </xdr:spPr>
    </xdr:pic>
    <xdr:clientData/>
  </xdr:twoCellAnchor>
  <xdr:twoCellAnchor editAs="oneCell">
    <xdr:from>
      <xdr:col>0</xdr:col>
      <xdr:colOff>163286</xdr:colOff>
      <xdr:row>294</xdr:row>
      <xdr:rowOff>163286</xdr:rowOff>
    </xdr:from>
    <xdr:to>
      <xdr:col>0</xdr:col>
      <xdr:colOff>333989</xdr:colOff>
      <xdr:row>295</xdr:row>
      <xdr:rowOff>184751</xdr:rowOff>
    </xdr:to>
    <xdr:pic>
      <xdr:nvPicPr>
        <xdr:cNvPr id="13" name="Picture 12">
          <a:extLst>
            <a:ext uri="{FF2B5EF4-FFF2-40B4-BE49-F238E27FC236}">
              <a16:creationId xmlns:a16="http://schemas.microsoft.com/office/drawing/2014/main" id="{516DF022-66EF-4DAA-9D64-0FDCFA3F5CAC}"/>
            </a:ext>
          </a:extLst>
        </xdr:cNvPr>
        <xdr:cNvPicPr>
          <a:picLocks noChangeAspect="1"/>
        </xdr:cNvPicPr>
      </xdr:nvPicPr>
      <xdr:blipFill>
        <a:blip xmlns:r="http://schemas.openxmlformats.org/officeDocument/2006/relationships" r:embed="rId4"/>
        <a:stretch>
          <a:fillRect/>
        </a:stretch>
      </xdr:blipFill>
      <xdr:spPr>
        <a:xfrm>
          <a:off x="163286" y="59694536"/>
          <a:ext cx="170703" cy="22149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22</xdr:col>
      <xdr:colOff>1095375</xdr:colOff>
      <xdr:row>294</xdr:row>
      <xdr:rowOff>123825</xdr:rowOff>
    </xdr:from>
    <xdr:to>
      <xdr:col>22</xdr:col>
      <xdr:colOff>1895475</xdr:colOff>
      <xdr:row>295</xdr:row>
      <xdr:rowOff>152400</xdr:rowOff>
    </xdr:to>
    <xdr:pic>
      <xdr:nvPicPr>
        <xdr:cNvPr id="2" name="Picture 1" descr="C:\WINDOWS\TEMP\~0003946.gif">
          <a:extLst>
            <a:ext uri="{FF2B5EF4-FFF2-40B4-BE49-F238E27FC236}">
              <a16:creationId xmlns:a16="http://schemas.microsoft.com/office/drawing/2014/main" id="{06C9B48F-01C6-4220-98A0-E60D5302A10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5965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199</xdr:row>
      <xdr:rowOff>152400</xdr:rowOff>
    </xdr:from>
    <xdr:to>
      <xdr:col>22</xdr:col>
      <xdr:colOff>1924050</xdr:colOff>
      <xdr:row>200</xdr:row>
      <xdr:rowOff>180975</xdr:rowOff>
    </xdr:to>
    <xdr:pic>
      <xdr:nvPicPr>
        <xdr:cNvPr id="3" name="Picture 2" descr="C:\WINDOWS\TEMP\~0003946.gif">
          <a:extLst>
            <a:ext uri="{FF2B5EF4-FFF2-40B4-BE49-F238E27FC236}">
              <a16:creationId xmlns:a16="http://schemas.microsoft.com/office/drawing/2014/main" id="{1FB2840D-95A5-4CA5-A694-D33D141CC63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405955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4" name="Picture 3" descr="C:\WINDOWS\TEMP\~0003946.gif">
          <a:extLst>
            <a:ext uri="{FF2B5EF4-FFF2-40B4-BE49-F238E27FC236}">
              <a16:creationId xmlns:a16="http://schemas.microsoft.com/office/drawing/2014/main" id="{F0391C47-C4DC-4CDC-9032-329C918305E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FFF46AE7-5A4C-4E19-95E7-6A3C8907F891}"/>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13607</xdr:colOff>
      <xdr:row>294</xdr:row>
      <xdr:rowOff>27215</xdr:rowOff>
    </xdr:from>
    <xdr:to>
      <xdr:col>22</xdr:col>
      <xdr:colOff>897604</xdr:colOff>
      <xdr:row>295</xdr:row>
      <xdr:rowOff>121838</xdr:rowOff>
    </xdr:to>
    <xdr:pic>
      <xdr:nvPicPr>
        <xdr:cNvPr id="6" name="Picture 5">
          <a:extLst>
            <a:ext uri="{FF2B5EF4-FFF2-40B4-BE49-F238E27FC236}">
              <a16:creationId xmlns:a16="http://schemas.microsoft.com/office/drawing/2014/main" id="{9CFE37CC-9CF7-40C8-B540-4F6268819A16}"/>
            </a:ext>
          </a:extLst>
        </xdr:cNvPr>
        <xdr:cNvPicPr>
          <a:picLocks noChangeAspect="1"/>
        </xdr:cNvPicPr>
      </xdr:nvPicPr>
      <xdr:blipFill>
        <a:blip xmlns:r="http://schemas.openxmlformats.org/officeDocument/2006/relationships" r:embed="rId3"/>
        <a:stretch>
          <a:fillRect/>
        </a:stretch>
      </xdr:blipFill>
      <xdr:spPr>
        <a:xfrm>
          <a:off x="24226157" y="59558465"/>
          <a:ext cx="883997" cy="294648"/>
        </a:xfrm>
        <a:prstGeom prst="rect">
          <a:avLst/>
        </a:prstGeom>
      </xdr:spPr>
    </xdr:pic>
    <xdr:clientData/>
  </xdr:twoCellAnchor>
  <xdr:twoCellAnchor editAs="oneCell">
    <xdr:from>
      <xdr:col>22</xdr:col>
      <xdr:colOff>0</xdr:colOff>
      <xdr:row>199</xdr:row>
      <xdr:rowOff>0</xdr:rowOff>
    </xdr:from>
    <xdr:to>
      <xdr:col>22</xdr:col>
      <xdr:colOff>883997</xdr:colOff>
      <xdr:row>200</xdr:row>
      <xdr:rowOff>94623</xdr:rowOff>
    </xdr:to>
    <xdr:pic>
      <xdr:nvPicPr>
        <xdr:cNvPr id="7" name="Picture 6">
          <a:extLst>
            <a:ext uri="{FF2B5EF4-FFF2-40B4-BE49-F238E27FC236}">
              <a16:creationId xmlns:a16="http://schemas.microsoft.com/office/drawing/2014/main" id="{55DDBD34-5843-4CA9-AC9E-6CEBCA0DDBAA}"/>
            </a:ext>
          </a:extLst>
        </xdr:cNvPr>
        <xdr:cNvPicPr>
          <a:picLocks noChangeAspect="1"/>
        </xdr:cNvPicPr>
      </xdr:nvPicPr>
      <xdr:blipFill>
        <a:blip xmlns:r="http://schemas.openxmlformats.org/officeDocument/2006/relationships" r:embed="rId3"/>
        <a:stretch>
          <a:fillRect/>
        </a:stretch>
      </xdr:blipFill>
      <xdr:spPr>
        <a:xfrm>
          <a:off x="24212550" y="40443150"/>
          <a:ext cx="883997" cy="294647"/>
        </a:xfrm>
        <a:prstGeom prst="rect">
          <a:avLst/>
        </a:prstGeom>
      </xdr:spPr>
    </xdr:pic>
    <xdr:clientData/>
  </xdr:twoCellAnchor>
  <xdr:twoCellAnchor editAs="oneCell">
    <xdr:from>
      <xdr:col>22</xdr:col>
      <xdr:colOff>0</xdr:colOff>
      <xdr:row>133</xdr:row>
      <xdr:rowOff>0</xdr:rowOff>
    </xdr:from>
    <xdr:to>
      <xdr:col>22</xdr:col>
      <xdr:colOff>883997</xdr:colOff>
      <xdr:row>134</xdr:row>
      <xdr:rowOff>94623</xdr:rowOff>
    </xdr:to>
    <xdr:pic>
      <xdr:nvPicPr>
        <xdr:cNvPr id="8" name="Picture 7">
          <a:extLst>
            <a:ext uri="{FF2B5EF4-FFF2-40B4-BE49-F238E27FC236}">
              <a16:creationId xmlns:a16="http://schemas.microsoft.com/office/drawing/2014/main" id="{0C30501A-91A0-47E3-8CF9-4853661F652E}"/>
            </a:ext>
          </a:extLst>
        </xdr:cNvPr>
        <xdr:cNvPicPr>
          <a:picLocks noChangeAspect="1"/>
        </xdr:cNvPicPr>
      </xdr:nvPicPr>
      <xdr:blipFill>
        <a:blip xmlns:r="http://schemas.openxmlformats.org/officeDocument/2006/relationships" r:embed="rId3"/>
        <a:stretch>
          <a:fillRect/>
        </a:stretch>
      </xdr:blipFill>
      <xdr:spPr>
        <a:xfrm>
          <a:off x="24212550" y="27155775"/>
          <a:ext cx="883997" cy="294648"/>
        </a:xfrm>
        <a:prstGeom prst="rect">
          <a:avLst/>
        </a:prstGeom>
      </xdr:spPr>
    </xdr:pic>
    <xdr:clientData/>
  </xdr:twoCellAnchor>
  <xdr:twoCellAnchor editAs="oneCell">
    <xdr:from>
      <xdr:col>22</xdr:col>
      <xdr:colOff>13607</xdr:colOff>
      <xdr:row>62</xdr:row>
      <xdr:rowOff>68035</xdr:rowOff>
    </xdr:from>
    <xdr:to>
      <xdr:col>22</xdr:col>
      <xdr:colOff>897604</xdr:colOff>
      <xdr:row>63</xdr:row>
      <xdr:rowOff>162658</xdr:rowOff>
    </xdr:to>
    <xdr:pic>
      <xdr:nvPicPr>
        <xdr:cNvPr id="9" name="Picture 8">
          <a:extLst>
            <a:ext uri="{FF2B5EF4-FFF2-40B4-BE49-F238E27FC236}">
              <a16:creationId xmlns:a16="http://schemas.microsoft.com/office/drawing/2014/main" id="{CC3AF6AD-BA26-4038-8EC9-08446266F324}"/>
            </a:ext>
          </a:extLst>
        </xdr:cNvPr>
        <xdr:cNvPicPr>
          <a:picLocks noChangeAspect="1"/>
        </xdr:cNvPicPr>
      </xdr:nvPicPr>
      <xdr:blipFill>
        <a:blip xmlns:r="http://schemas.openxmlformats.org/officeDocument/2006/relationships" r:embed="rId3"/>
        <a:stretch>
          <a:fillRect/>
        </a:stretch>
      </xdr:blipFill>
      <xdr:spPr>
        <a:xfrm>
          <a:off x="24226157" y="12574360"/>
          <a:ext cx="883997" cy="294648"/>
        </a:xfrm>
        <a:prstGeom prst="rect">
          <a:avLst/>
        </a:prstGeom>
      </xdr:spPr>
    </xdr:pic>
    <xdr:clientData/>
  </xdr:twoCellAnchor>
  <xdr:twoCellAnchor editAs="oneCell">
    <xdr:from>
      <xdr:col>0</xdr:col>
      <xdr:colOff>204107</xdr:colOff>
      <xdr:row>62</xdr:row>
      <xdr:rowOff>122465</xdr:rowOff>
    </xdr:from>
    <xdr:to>
      <xdr:col>1</xdr:col>
      <xdr:colOff>34631</xdr:colOff>
      <xdr:row>63</xdr:row>
      <xdr:rowOff>143930</xdr:rowOff>
    </xdr:to>
    <xdr:pic>
      <xdr:nvPicPr>
        <xdr:cNvPr id="10" name="Picture 9">
          <a:extLst>
            <a:ext uri="{FF2B5EF4-FFF2-40B4-BE49-F238E27FC236}">
              <a16:creationId xmlns:a16="http://schemas.microsoft.com/office/drawing/2014/main" id="{9C2CBD76-220C-4BD7-8A22-30DE36AE9B68}"/>
            </a:ext>
          </a:extLst>
        </xdr:cNvPr>
        <xdr:cNvPicPr>
          <a:picLocks noChangeAspect="1"/>
        </xdr:cNvPicPr>
      </xdr:nvPicPr>
      <xdr:blipFill>
        <a:blip xmlns:r="http://schemas.openxmlformats.org/officeDocument/2006/relationships" r:embed="rId4"/>
        <a:stretch>
          <a:fillRect/>
        </a:stretch>
      </xdr:blipFill>
      <xdr:spPr>
        <a:xfrm>
          <a:off x="204107" y="12628790"/>
          <a:ext cx="173424" cy="221490"/>
        </a:xfrm>
        <a:prstGeom prst="rect">
          <a:avLst/>
        </a:prstGeom>
      </xdr:spPr>
    </xdr:pic>
    <xdr:clientData/>
  </xdr:twoCellAnchor>
  <xdr:twoCellAnchor editAs="oneCell">
    <xdr:from>
      <xdr:col>0</xdr:col>
      <xdr:colOff>190500</xdr:colOff>
      <xdr:row>133</xdr:row>
      <xdr:rowOff>108857</xdr:rowOff>
    </xdr:from>
    <xdr:to>
      <xdr:col>1</xdr:col>
      <xdr:colOff>21024</xdr:colOff>
      <xdr:row>134</xdr:row>
      <xdr:rowOff>130322</xdr:rowOff>
    </xdr:to>
    <xdr:pic>
      <xdr:nvPicPr>
        <xdr:cNvPr id="11" name="Picture 10">
          <a:extLst>
            <a:ext uri="{FF2B5EF4-FFF2-40B4-BE49-F238E27FC236}">
              <a16:creationId xmlns:a16="http://schemas.microsoft.com/office/drawing/2014/main" id="{BCFD6A7F-F08B-4B5C-AB3A-433E5BC32C48}"/>
            </a:ext>
          </a:extLst>
        </xdr:cNvPr>
        <xdr:cNvPicPr>
          <a:picLocks noChangeAspect="1"/>
        </xdr:cNvPicPr>
      </xdr:nvPicPr>
      <xdr:blipFill>
        <a:blip xmlns:r="http://schemas.openxmlformats.org/officeDocument/2006/relationships" r:embed="rId4"/>
        <a:stretch>
          <a:fillRect/>
        </a:stretch>
      </xdr:blipFill>
      <xdr:spPr>
        <a:xfrm>
          <a:off x="190500" y="27264632"/>
          <a:ext cx="173424" cy="221490"/>
        </a:xfrm>
        <a:prstGeom prst="rect">
          <a:avLst/>
        </a:prstGeom>
      </xdr:spPr>
    </xdr:pic>
    <xdr:clientData/>
  </xdr:twoCellAnchor>
  <xdr:twoCellAnchor editAs="oneCell">
    <xdr:from>
      <xdr:col>0</xdr:col>
      <xdr:colOff>190500</xdr:colOff>
      <xdr:row>199</xdr:row>
      <xdr:rowOff>95251</xdr:rowOff>
    </xdr:from>
    <xdr:to>
      <xdr:col>1</xdr:col>
      <xdr:colOff>21024</xdr:colOff>
      <xdr:row>200</xdr:row>
      <xdr:rowOff>116716</xdr:rowOff>
    </xdr:to>
    <xdr:pic>
      <xdr:nvPicPr>
        <xdr:cNvPr id="12" name="Picture 11">
          <a:extLst>
            <a:ext uri="{FF2B5EF4-FFF2-40B4-BE49-F238E27FC236}">
              <a16:creationId xmlns:a16="http://schemas.microsoft.com/office/drawing/2014/main" id="{0C303A71-1EB3-4C9C-A23F-BA92C25E766C}"/>
            </a:ext>
          </a:extLst>
        </xdr:cNvPr>
        <xdr:cNvPicPr>
          <a:picLocks noChangeAspect="1"/>
        </xdr:cNvPicPr>
      </xdr:nvPicPr>
      <xdr:blipFill>
        <a:blip xmlns:r="http://schemas.openxmlformats.org/officeDocument/2006/relationships" r:embed="rId4"/>
        <a:stretch>
          <a:fillRect/>
        </a:stretch>
      </xdr:blipFill>
      <xdr:spPr>
        <a:xfrm>
          <a:off x="190500" y="40538401"/>
          <a:ext cx="173424" cy="221489"/>
        </a:xfrm>
        <a:prstGeom prst="rect">
          <a:avLst/>
        </a:prstGeom>
      </xdr:spPr>
    </xdr:pic>
    <xdr:clientData/>
  </xdr:twoCellAnchor>
  <xdr:twoCellAnchor editAs="oneCell">
    <xdr:from>
      <xdr:col>0</xdr:col>
      <xdr:colOff>163286</xdr:colOff>
      <xdr:row>294</xdr:row>
      <xdr:rowOff>163286</xdr:rowOff>
    </xdr:from>
    <xdr:to>
      <xdr:col>0</xdr:col>
      <xdr:colOff>333989</xdr:colOff>
      <xdr:row>295</xdr:row>
      <xdr:rowOff>184751</xdr:rowOff>
    </xdr:to>
    <xdr:pic>
      <xdr:nvPicPr>
        <xdr:cNvPr id="13" name="Picture 12">
          <a:extLst>
            <a:ext uri="{FF2B5EF4-FFF2-40B4-BE49-F238E27FC236}">
              <a16:creationId xmlns:a16="http://schemas.microsoft.com/office/drawing/2014/main" id="{4A1F5F18-C390-4A50-822A-BC4999A8DA97}"/>
            </a:ext>
          </a:extLst>
        </xdr:cNvPr>
        <xdr:cNvPicPr>
          <a:picLocks noChangeAspect="1"/>
        </xdr:cNvPicPr>
      </xdr:nvPicPr>
      <xdr:blipFill>
        <a:blip xmlns:r="http://schemas.openxmlformats.org/officeDocument/2006/relationships" r:embed="rId4"/>
        <a:stretch>
          <a:fillRect/>
        </a:stretch>
      </xdr:blipFill>
      <xdr:spPr>
        <a:xfrm>
          <a:off x="163286" y="59694536"/>
          <a:ext cx="170703" cy="22149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22</xdr:col>
      <xdr:colOff>1095375</xdr:colOff>
      <xdr:row>294</xdr:row>
      <xdr:rowOff>123825</xdr:rowOff>
    </xdr:from>
    <xdr:to>
      <xdr:col>22</xdr:col>
      <xdr:colOff>1895475</xdr:colOff>
      <xdr:row>295</xdr:row>
      <xdr:rowOff>152400</xdr:rowOff>
    </xdr:to>
    <xdr:pic>
      <xdr:nvPicPr>
        <xdr:cNvPr id="2" name="Picture 1" descr="C:\WINDOWS\TEMP\~0003946.gif">
          <a:extLst>
            <a:ext uri="{FF2B5EF4-FFF2-40B4-BE49-F238E27FC236}">
              <a16:creationId xmlns:a16="http://schemas.microsoft.com/office/drawing/2014/main" id="{A3C76541-3535-4AA7-978A-FAAE49809EA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596646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199</xdr:row>
      <xdr:rowOff>152400</xdr:rowOff>
    </xdr:from>
    <xdr:to>
      <xdr:col>22</xdr:col>
      <xdr:colOff>1924050</xdr:colOff>
      <xdr:row>200</xdr:row>
      <xdr:rowOff>180975</xdr:rowOff>
    </xdr:to>
    <xdr:pic>
      <xdr:nvPicPr>
        <xdr:cNvPr id="3" name="Picture 2" descr="C:\WINDOWS\TEMP\~0003946.gif">
          <a:extLst>
            <a:ext uri="{FF2B5EF4-FFF2-40B4-BE49-F238E27FC236}">
              <a16:creationId xmlns:a16="http://schemas.microsoft.com/office/drawing/2014/main" id="{11A5A210-68C3-4F6B-812B-BB15007BE1C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4060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4" name="Picture 3" descr="C:\WINDOWS\TEMP\~0003946.gif">
          <a:extLst>
            <a:ext uri="{FF2B5EF4-FFF2-40B4-BE49-F238E27FC236}">
              <a16:creationId xmlns:a16="http://schemas.microsoft.com/office/drawing/2014/main" id="{AC7D324D-938C-4DB1-8826-757051BAD2FD}"/>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27327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CA676962-FE63-4BDF-9830-313FF4AE398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1267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13607</xdr:colOff>
      <xdr:row>294</xdr:row>
      <xdr:rowOff>27215</xdr:rowOff>
    </xdr:from>
    <xdr:to>
      <xdr:col>22</xdr:col>
      <xdr:colOff>897604</xdr:colOff>
      <xdr:row>295</xdr:row>
      <xdr:rowOff>121838</xdr:rowOff>
    </xdr:to>
    <xdr:pic>
      <xdr:nvPicPr>
        <xdr:cNvPr id="6" name="Picture 5">
          <a:extLst>
            <a:ext uri="{FF2B5EF4-FFF2-40B4-BE49-F238E27FC236}">
              <a16:creationId xmlns:a16="http://schemas.microsoft.com/office/drawing/2014/main" id="{AC0B03D4-73D4-4B2F-B87B-9041CEA2026E}"/>
            </a:ext>
          </a:extLst>
        </xdr:cNvPr>
        <xdr:cNvPicPr>
          <a:picLocks noChangeAspect="1"/>
        </xdr:cNvPicPr>
      </xdr:nvPicPr>
      <xdr:blipFill>
        <a:blip xmlns:r="http://schemas.openxmlformats.org/officeDocument/2006/relationships" r:embed="rId3"/>
        <a:stretch>
          <a:fillRect/>
        </a:stretch>
      </xdr:blipFill>
      <xdr:spPr>
        <a:xfrm>
          <a:off x="24226157" y="59567990"/>
          <a:ext cx="883997" cy="294648"/>
        </a:xfrm>
        <a:prstGeom prst="rect">
          <a:avLst/>
        </a:prstGeom>
      </xdr:spPr>
    </xdr:pic>
    <xdr:clientData/>
  </xdr:twoCellAnchor>
  <xdr:twoCellAnchor editAs="oneCell">
    <xdr:from>
      <xdr:col>22</xdr:col>
      <xdr:colOff>0</xdr:colOff>
      <xdr:row>199</xdr:row>
      <xdr:rowOff>0</xdr:rowOff>
    </xdr:from>
    <xdr:to>
      <xdr:col>22</xdr:col>
      <xdr:colOff>883997</xdr:colOff>
      <xdr:row>200</xdr:row>
      <xdr:rowOff>94623</xdr:rowOff>
    </xdr:to>
    <xdr:pic>
      <xdr:nvPicPr>
        <xdr:cNvPr id="7" name="Picture 6">
          <a:extLst>
            <a:ext uri="{FF2B5EF4-FFF2-40B4-BE49-F238E27FC236}">
              <a16:creationId xmlns:a16="http://schemas.microsoft.com/office/drawing/2014/main" id="{15939F09-38E7-429A-8D91-8E09298A081E}"/>
            </a:ext>
          </a:extLst>
        </xdr:cNvPr>
        <xdr:cNvPicPr>
          <a:picLocks noChangeAspect="1"/>
        </xdr:cNvPicPr>
      </xdr:nvPicPr>
      <xdr:blipFill>
        <a:blip xmlns:r="http://schemas.openxmlformats.org/officeDocument/2006/relationships" r:embed="rId3"/>
        <a:stretch>
          <a:fillRect/>
        </a:stretch>
      </xdr:blipFill>
      <xdr:spPr>
        <a:xfrm>
          <a:off x="24212550" y="40452675"/>
          <a:ext cx="883997" cy="294648"/>
        </a:xfrm>
        <a:prstGeom prst="rect">
          <a:avLst/>
        </a:prstGeom>
      </xdr:spPr>
    </xdr:pic>
    <xdr:clientData/>
  </xdr:twoCellAnchor>
  <xdr:twoCellAnchor editAs="oneCell">
    <xdr:from>
      <xdr:col>22</xdr:col>
      <xdr:colOff>0</xdr:colOff>
      <xdr:row>133</xdr:row>
      <xdr:rowOff>0</xdr:rowOff>
    </xdr:from>
    <xdr:to>
      <xdr:col>22</xdr:col>
      <xdr:colOff>883997</xdr:colOff>
      <xdr:row>134</xdr:row>
      <xdr:rowOff>94623</xdr:rowOff>
    </xdr:to>
    <xdr:pic>
      <xdr:nvPicPr>
        <xdr:cNvPr id="8" name="Picture 7">
          <a:extLst>
            <a:ext uri="{FF2B5EF4-FFF2-40B4-BE49-F238E27FC236}">
              <a16:creationId xmlns:a16="http://schemas.microsoft.com/office/drawing/2014/main" id="{AA893922-0DBD-4B91-82EC-949941189136}"/>
            </a:ext>
          </a:extLst>
        </xdr:cNvPr>
        <xdr:cNvPicPr>
          <a:picLocks noChangeAspect="1"/>
        </xdr:cNvPicPr>
      </xdr:nvPicPr>
      <xdr:blipFill>
        <a:blip xmlns:r="http://schemas.openxmlformats.org/officeDocument/2006/relationships" r:embed="rId3"/>
        <a:stretch>
          <a:fillRect/>
        </a:stretch>
      </xdr:blipFill>
      <xdr:spPr>
        <a:xfrm>
          <a:off x="24212550" y="27165300"/>
          <a:ext cx="883997" cy="294648"/>
        </a:xfrm>
        <a:prstGeom prst="rect">
          <a:avLst/>
        </a:prstGeom>
      </xdr:spPr>
    </xdr:pic>
    <xdr:clientData/>
  </xdr:twoCellAnchor>
  <xdr:twoCellAnchor editAs="oneCell">
    <xdr:from>
      <xdr:col>22</xdr:col>
      <xdr:colOff>13607</xdr:colOff>
      <xdr:row>62</xdr:row>
      <xdr:rowOff>68035</xdr:rowOff>
    </xdr:from>
    <xdr:to>
      <xdr:col>22</xdr:col>
      <xdr:colOff>897604</xdr:colOff>
      <xdr:row>63</xdr:row>
      <xdr:rowOff>162658</xdr:rowOff>
    </xdr:to>
    <xdr:pic>
      <xdr:nvPicPr>
        <xdr:cNvPr id="9" name="Picture 8">
          <a:extLst>
            <a:ext uri="{FF2B5EF4-FFF2-40B4-BE49-F238E27FC236}">
              <a16:creationId xmlns:a16="http://schemas.microsoft.com/office/drawing/2014/main" id="{DD875C64-CFE7-43C9-96D2-13D5B30A3A60}"/>
            </a:ext>
          </a:extLst>
        </xdr:cNvPr>
        <xdr:cNvPicPr>
          <a:picLocks noChangeAspect="1"/>
        </xdr:cNvPicPr>
      </xdr:nvPicPr>
      <xdr:blipFill>
        <a:blip xmlns:r="http://schemas.openxmlformats.org/officeDocument/2006/relationships" r:embed="rId3"/>
        <a:stretch>
          <a:fillRect/>
        </a:stretch>
      </xdr:blipFill>
      <xdr:spPr>
        <a:xfrm>
          <a:off x="24226157" y="12583885"/>
          <a:ext cx="883997" cy="294648"/>
        </a:xfrm>
        <a:prstGeom prst="rect">
          <a:avLst/>
        </a:prstGeom>
      </xdr:spPr>
    </xdr:pic>
    <xdr:clientData/>
  </xdr:twoCellAnchor>
  <xdr:twoCellAnchor editAs="oneCell">
    <xdr:from>
      <xdr:col>0</xdr:col>
      <xdr:colOff>204107</xdr:colOff>
      <xdr:row>62</xdr:row>
      <xdr:rowOff>122465</xdr:rowOff>
    </xdr:from>
    <xdr:to>
      <xdr:col>1</xdr:col>
      <xdr:colOff>28281</xdr:colOff>
      <xdr:row>63</xdr:row>
      <xdr:rowOff>143930</xdr:rowOff>
    </xdr:to>
    <xdr:pic>
      <xdr:nvPicPr>
        <xdr:cNvPr id="10" name="Picture 9">
          <a:extLst>
            <a:ext uri="{FF2B5EF4-FFF2-40B4-BE49-F238E27FC236}">
              <a16:creationId xmlns:a16="http://schemas.microsoft.com/office/drawing/2014/main" id="{D3011114-810D-4487-BF0B-C906171C8FE5}"/>
            </a:ext>
          </a:extLst>
        </xdr:cNvPr>
        <xdr:cNvPicPr>
          <a:picLocks noChangeAspect="1"/>
        </xdr:cNvPicPr>
      </xdr:nvPicPr>
      <xdr:blipFill>
        <a:blip xmlns:r="http://schemas.openxmlformats.org/officeDocument/2006/relationships" r:embed="rId4"/>
        <a:stretch>
          <a:fillRect/>
        </a:stretch>
      </xdr:blipFill>
      <xdr:spPr>
        <a:xfrm>
          <a:off x="204107" y="12638315"/>
          <a:ext cx="173424" cy="221490"/>
        </a:xfrm>
        <a:prstGeom prst="rect">
          <a:avLst/>
        </a:prstGeom>
      </xdr:spPr>
    </xdr:pic>
    <xdr:clientData/>
  </xdr:twoCellAnchor>
  <xdr:twoCellAnchor editAs="oneCell">
    <xdr:from>
      <xdr:col>0</xdr:col>
      <xdr:colOff>190500</xdr:colOff>
      <xdr:row>133</xdr:row>
      <xdr:rowOff>108857</xdr:rowOff>
    </xdr:from>
    <xdr:to>
      <xdr:col>1</xdr:col>
      <xdr:colOff>21024</xdr:colOff>
      <xdr:row>134</xdr:row>
      <xdr:rowOff>130322</xdr:rowOff>
    </xdr:to>
    <xdr:pic>
      <xdr:nvPicPr>
        <xdr:cNvPr id="11" name="Picture 10">
          <a:extLst>
            <a:ext uri="{FF2B5EF4-FFF2-40B4-BE49-F238E27FC236}">
              <a16:creationId xmlns:a16="http://schemas.microsoft.com/office/drawing/2014/main" id="{13AFF0E1-F2CA-402B-A6F2-3890A3CDE88E}"/>
            </a:ext>
          </a:extLst>
        </xdr:cNvPr>
        <xdr:cNvPicPr>
          <a:picLocks noChangeAspect="1"/>
        </xdr:cNvPicPr>
      </xdr:nvPicPr>
      <xdr:blipFill>
        <a:blip xmlns:r="http://schemas.openxmlformats.org/officeDocument/2006/relationships" r:embed="rId4"/>
        <a:stretch>
          <a:fillRect/>
        </a:stretch>
      </xdr:blipFill>
      <xdr:spPr>
        <a:xfrm>
          <a:off x="190500" y="27274157"/>
          <a:ext cx="173424" cy="221490"/>
        </a:xfrm>
        <a:prstGeom prst="rect">
          <a:avLst/>
        </a:prstGeom>
      </xdr:spPr>
    </xdr:pic>
    <xdr:clientData/>
  </xdr:twoCellAnchor>
  <xdr:twoCellAnchor editAs="oneCell">
    <xdr:from>
      <xdr:col>0</xdr:col>
      <xdr:colOff>190500</xdr:colOff>
      <xdr:row>199</xdr:row>
      <xdr:rowOff>95251</xdr:rowOff>
    </xdr:from>
    <xdr:to>
      <xdr:col>1</xdr:col>
      <xdr:colOff>21024</xdr:colOff>
      <xdr:row>200</xdr:row>
      <xdr:rowOff>116716</xdr:rowOff>
    </xdr:to>
    <xdr:pic>
      <xdr:nvPicPr>
        <xdr:cNvPr id="12" name="Picture 11">
          <a:extLst>
            <a:ext uri="{FF2B5EF4-FFF2-40B4-BE49-F238E27FC236}">
              <a16:creationId xmlns:a16="http://schemas.microsoft.com/office/drawing/2014/main" id="{A78B8C14-94F6-44E3-9D24-186551E7A5D3}"/>
            </a:ext>
          </a:extLst>
        </xdr:cNvPr>
        <xdr:cNvPicPr>
          <a:picLocks noChangeAspect="1"/>
        </xdr:cNvPicPr>
      </xdr:nvPicPr>
      <xdr:blipFill>
        <a:blip xmlns:r="http://schemas.openxmlformats.org/officeDocument/2006/relationships" r:embed="rId4"/>
        <a:stretch>
          <a:fillRect/>
        </a:stretch>
      </xdr:blipFill>
      <xdr:spPr>
        <a:xfrm>
          <a:off x="190500" y="40547926"/>
          <a:ext cx="173424" cy="221490"/>
        </a:xfrm>
        <a:prstGeom prst="rect">
          <a:avLst/>
        </a:prstGeom>
      </xdr:spPr>
    </xdr:pic>
    <xdr:clientData/>
  </xdr:twoCellAnchor>
  <xdr:twoCellAnchor editAs="oneCell">
    <xdr:from>
      <xdr:col>0</xdr:col>
      <xdr:colOff>163286</xdr:colOff>
      <xdr:row>294</xdr:row>
      <xdr:rowOff>163286</xdr:rowOff>
    </xdr:from>
    <xdr:to>
      <xdr:col>0</xdr:col>
      <xdr:colOff>333989</xdr:colOff>
      <xdr:row>295</xdr:row>
      <xdr:rowOff>178401</xdr:rowOff>
    </xdr:to>
    <xdr:pic>
      <xdr:nvPicPr>
        <xdr:cNvPr id="13" name="Picture 12">
          <a:extLst>
            <a:ext uri="{FF2B5EF4-FFF2-40B4-BE49-F238E27FC236}">
              <a16:creationId xmlns:a16="http://schemas.microsoft.com/office/drawing/2014/main" id="{52DF7312-5399-485B-A166-C9DD36334617}"/>
            </a:ext>
          </a:extLst>
        </xdr:cNvPr>
        <xdr:cNvPicPr>
          <a:picLocks noChangeAspect="1"/>
        </xdr:cNvPicPr>
      </xdr:nvPicPr>
      <xdr:blipFill>
        <a:blip xmlns:r="http://schemas.openxmlformats.org/officeDocument/2006/relationships" r:embed="rId4"/>
        <a:stretch>
          <a:fillRect/>
        </a:stretch>
      </xdr:blipFill>
      <xdr:spPr>
        <a:xfrm>
          <a:off x="163286" y="59704061"/>
          <a:ext cx="170703" cy="22149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22</xdr:col>
      <xdr:colOff>1095375</xdr:colOff>
      <xdr:row>297</xdr:row>
      <xdr:rowOff>123825</xdr:rowOff>
    </xdr:from>
    <xdr:to>
      <xdr:col>22</xdr:col>
      <xdr:colOff>1895475</xdr:colOff>
      <xdr:row>298</xdr:row>
      <xdr:rowOff>152400</xdr:rowOff>
    </xdr:to>
    <xdr:pic>
      <xdr:nvPicPr>
        <xdr:cNvPr id="2" name="Picture 1" descr="C:\WINDOWS\TEMP\~0003946.gif">
          <a:extLst>
            <a:ext uri="{FF2B5EF4-FFF2-40B4-BE49-F238E27FC236}">
              <a16:creationId xmlns:a16="http://schemas.microsoft.com/office/drawing/2014/main" id="{8FD71E50-E432-4AD7-B79D-8C9E96CC25B7}"/>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596646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202</xdr:row>
      <xdr:rowOff>152400</xdr:rowOff>
    </xdr:from>
    <xdr:to>
      <xdr:col>22</xdr:col>
      <xdr:colOff>1924050</xdr:colOff>
      <xdr:row>203</xdr:row>
      <xdr:rowOff>180975</xdr:rowOff>
    </xdr:to>
    <xdr:pic>
      <xdr:nvPicPr>
        <xdr:cNvPr id="3" name="Picture 2" descr="C:\WINDOWS\TEMP\~0003946.gif">
          <a:extLst>
            <a:ext uri="{FF2B5EF4-FFF2-40B4-BE49-F238E27FC236}">
              <a16:creationId xmlns:a16="http://schemas.microsoft.com/office/drawing/2014/main" id="{9967EF47-9A0A-4650-94FA-0D102E89553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4060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4" name="Picture 3" descr="C:\WINDOWS\TEMP\~0003946.gif">
          <a:extLst>
            <a:ext uri="{FF2B5EF4-FFF2-40B4-BE49-F238E27FC236}">
              <a16:creationId xmlns:a16="http://schemas.microsoft.com/office/drawing/2014/main" id="{52186D0C-3038-42F7-817F-02307C45FC7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27327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8983B503-3633-45D7-9C2C-657E3B5CF89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1267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13607</xdr:colOff>
      <xdr:row>297</xdr:row>
      <xdr:rowOff>27215</xdr:rowOff>
    </xdr:from>
    <xdr:to>
      <xdr:col>22</xdr:col>
      <xdr:colOff>897604</xdr:colOff>
      <xdr:row>298</xdr:row>
      <xdr:rowOff>121838</xdr:rowOff>
    </xdr:to>
    <xdr:pic>
      <xdr:nvPicPr>
        <xdr:cNvPr id="6" name="Picture 5">
          <a:extLst>
            <a:ext uri="{FF2B5EF4-FFF2-40B4-BE49-F238E27FC236}">
              <a16:creationId xmlns:a16="http://schemas.microsoft.com/office/drawing/2014/main" id="{7E8F08E9-CAA3-45C7-841A-AA93317C6AB9}"/>
            </a:ext>
          </a:extLst>
        </xdr:cNvPr>
        <xdr:cNvPicPr>
          <a:picLocks noChangeAspect="1"/>
        </xdr:cNvPicPr>
      </xdr:nvPicPr>
      <xdr:blipFill>
        <a:blip xmlns:r="http://schemas.openxmlformats.org/officeDocument/2006/relationships" r:embed="rId3"/>
        <a:stretch>
          <a:fillRect/>
        </a:stretch>
      </xdr:blipFill>
      <xdr:spPr>
        <a:xfrm>
          <a:off x="24226157" y="59567990"/>
          <a:ext cx="883997" cy="294648"/>
        </a:xfrm>
        <a:prstGeom prst="rect">
          <a:avLst/>
        </a:prstGeom>
      </xdr:spPr>
    </xdr:pic>
    <xdr:clientData/>
  </xdr:twoCellAnchor>
  <xdr:twoCellAnchor editAs="oneCell">
    <xdr:from>
      <xdr:col>22</xdr:col>
      <xdr:colOff>0</xdr:colOff>
      <xdr:row>202</xdr:row>
      <xdr:rowOff>0</xdr:rowOff>
    </xdr:from>
    <xdr:to>
      <xdr:col>22</xdr:col>
      <xdr:colOff>883997</xdr:colOff>
      <xdr:row>203</xdr:row>
      <xdr:rowOff>94623</xdr:rowOff>
    </xdr:to>
    <xdr:pic>
      <xdr:nvPicPr>
        <xdr:cNvPr id="7" name="Picture 6">
          <a:extLst>
            <a:ext uri="{FF2B5EF4-FFF2-40B4-BE49-F238E27FC236}">
              <a16:creationId xmlns:a16="http://schemas.microsoft.com/office/drawing/2014/main" id="{9A78A0B3-C3AC-4DCA-9425-9BE810C3B50C}"/>
            </a:ext>
          </a:extLst>
        </xdr:cNvPr>
        <xdr:cNvPicPr>
          <a:picLocks noChangeAspect="1"/>
        </xdr:cNvPicPr>
      </xdr:nvPicPr>
      <xdr:blipFill>
        <a:blip xmlns:r="http://schemas.openxmlformats.org/officeDocument/2006/relationships" r:embed="rId3"/>
        <a:stretch>
          <a:fillRect/>
        </a:stretch>
      </xdr:blipFill>
      <xdr:spPr>
        <a:xfrm>
          <a:off x="24212550" y="40452675"/>
          <a:ext cx="883997" cy="294648"/>
        </a:xfrm>
        <a:prstGeom prst="rect">
          <a:avLst/>
        </a:prstGeom>
      </xdr:spPr>
    </xdr:pic>
    <xdr:clientData/>
  </xdr:twoCellAnchor>
  <xdr:twoCellAnchor editAs="oneCell">
    <xdr:from>
      <xdr:col>22</xdr:col>
      <xdr:colOff>0</xdr:colOff>
      <xdr:row>136</xdr:row>
      <xdr:rowOff>0</xdr:rowOff>
    </xdr:from>
    <xdr:to>
      <xdr:col>22</xdr:col>
      <xdr:colOff>883997</xdr:colOff>
      <xdr:row>137</xdr:row>
      <xdr:rowOff>94623</xdr:rowOff>
    </xdr:to>
    <xdr:pic>
      <xdr:nvPicPr>
        <xdr:cNvPr id="8" name="Picture 7">
          <a:extLst>
            <a:ext uri="{FF2B5EF4-FFF2-40B4-BE49-F238E27FC236}">
              <a16:creationId xmlns:a16="http://schemas.microsoft.com/office/drawing/2014/main" id="{4C15F987-B3F7-40EB-A5C6-4F58A1961FD9}"/>
            </a:ext>
          </a:extLst>
        </xdr:cNvPr>
        <xdr:cNvPicPr>
          <a:picLocks noChangeAspect="1"/>
        </xdr:cNvPicPr>
      </xdr:nvPicPr>
      <xdr:blipFill>
        <a:blip xmlns:r="http://schemas.openxmlformats.org/officeDocument/2006/relationships" r:embed="rId3"/>
        <a:stretch>
          <a:fillRect/>
        </a:stretch>
      </xdr:blipFill>
      <xdr:spPr>
        <a:xfrm>
          <a:off x="24212550" y="27165300"/>
          <a:ext cx="883997" cy="294648"/>
        </a:xfrm>
        <a:prstGeom prst="rect">
          <a:avLst/>
        </a:prstGeom>
      </xdr:spPr>
    </xdr:pic>
    <xdr:clientData/>
  </xdr:twoCellAnchor>
  <xdr:twoCellAnchor editAs="oneCell">
    <xdr:from>
      <xdr:col>22</xdr:col>
      <xdr:colOff>13607</xdr:colOff>
      <xdr:row>62</xdr:row>
      <xdr:rowOff>68035</xdr:rowOff>
    </xdr:from>
    <xdr:to>
      <xdr:col>22</xdr:col>
      <xdr:colOff>897604</xdr:colOff>
      <xdr:row>63</xdr:row>
      <xdr:rowOff>162658</xdr:rowOff>
    </xdr:to>
    <xdr:pic>
      <xdr:nvPicPr>
        <xdr:cNvPr id="9" name="Picture 8">
          <a:extLst>
            <a:ext uri="{FF2B5EF4-FFF2-40B4-BE49-F238E27FC236}">
              <a16:creationId xmlns:a16="http://schemas.microsoft.com/office/drawing/2014/main" id="{752E7F97-94CA-4E55-98D8-C1D14CA04DF4}"/>
            </a:ext>
          </a:extLst>
        </xdr:cNvPr>
        <xdr:cNvPicPr>
          <a:picLocks noChangeAspect="1"/>
        </xdr:cNvPicPr>
      </xdr:nvPicPr>
      <xdr:blipFill>
        <a:blip xmlns:r="http://schemas.openxmlformats.org/officeDocument/2006/relationships" r:embed="rId3"/>
        <a:stretch>
          <a:fillRect/>
        </a:stretch>
      </xdr:blipFill>
      <xdr:spPr>
        <a:xfrm>
          <a:off x="24226157" y="12583885"/>
          <a:ext cx="883997" cy="294648"/>
        </a:xfrm>
        <a:prstGeom prst="rect">
          <a:avLst/>
        </a:prstGeom>
      </xdr:spPr>
    </xdr:pic>
    <xdr:clientData/>
  </xdr:twoCellAnchor>
  <xdr:twoCellAnchor editAs="oneCell">
    <xdr:from>
      <xdr:col>0</xdr:col>
      <xdr:colOff>204107</xdr:colOff>
      <xdr:row>62</xdr:row>
      <xdr:rowOff>122465</xdr:rowOff>
    </xdr:from>
    <xdr:to>
      <xdr:col>1</xdr:col>
      <xdr:colOff>28281</xdr:colOff>
      <xdr:row>63</xdr:row>
      <xdr:rowOff>143930</xdr:rowOff>
    </xdr:to>
    <xdr:pic>
      <xdr:nvPicPr>
        <xdr:cNvPr id="10" name="Picture 9">
          <a:extLst>
            <a:ext uri="{FF2B5EF4-FFF2-40B4-BE49-F238E27FC236}">
              <a16:creationId xmlns:a16="http://schemas.microsoft.com/office/drawing/2014/main" id="{1779B0CE-8BAE-49F6-A35E-BC256632E433}"/>
            </a:ext>
          </a:extLst>
        </xdr:cNvPr>
        <xdr:cNvPicPr>
          <a:picLocks noChangeAspect="1"/>
        </xdr:cNvPicPr>
      </xdr:nvPicPr>
      <xdr:blipFill>
        <a:blip xmlns:r="http://schemas.openxmlformats.org/officeDocument/2006/relationships" r:embed="rId4"/>
        <a:stretch>
          <a:fillRect/>
        </a:stretch>
      </xdr:blipFill>
      <xdr:spPr>
        <a:xfrm>
          <a:off x="204107" y="12638315"/>
          <a:ext cx="167074" cy="221490"/>
        </a:xfrm>
        <a:prstGeom prst="rect">
          <a:avLst/>
        </a:prstGeom>
      </xdr:spPr>
    </xdr:pic>
    <xdr:clientData/>
  </xdr:twoCellAnchor>
  <xdr:twoCellAnchor editAs="oneCell">
    <xdr:from>
      <xdr:col>0</xdr:col>
      <xdr:colOff>190500</xdr:colOff>
      <xdr:row>136</xdr:row>
      <xdr:rowOff>108857</xdr:rowOff>
    </xdr:from>
    <xdr:to>
      <xdr:col>1</xdr:col>
      <xdr:colOff>21024</xdr:colOff>
      <xdr:row>137</xdr:row>
      <xdr:rowOff>130322</xdr:rowOff>
    </xdr:to>
    <xdr:pic>
      <xdr:nvPicPr>
        <xdr:cNvPr id="11" name="Picture 10">
          <a:extLst>
            <a:ext uri="{FF2B5EF4-FFF2-40B4-BE49-F238E27FC236}">
              <a16:creationId xmlns:a16="http://schemas.microsoft.com/office/drawing/2014/main" id="{E91B1E64-F78C-4EAF-A1CD-5270DCD2D91B}"/>
            </a:ext>
          </a:extLst>
        </xdr:cNvPr>
        <xdr:cNvPicPr>
          <a:picLocks noChangeAspect="1"/>
        </xdr:cNvPicPr>
      </xdr:nvPicPr>
      <xdr:blipFill>
        <a:blip xmlns:r="http://schemas.openxmlformats.org/officeDocument/2006/relationships" r:embed="rId4"/>
        <a:stretch>
          <a:fillRect/>
        </a:stretch>
      </xdr:blipFill>
      <xdr:spPr>
        <a:xfrm>
          <a:off x="190500" y="27274157"/>
          <a:ext cx="173424" cy="221490"/>
        </a:xfrm>
        <a:prstGeom prst="rect">
          <a:avLst/>
        </a:prstGeom>
      </xdr:spPr>
    </xdr:pic>
    <xdr:clientData/>
  </xdr:twoCellAnchor>
  <xdr:twoCellAnchor editAs="oneCell">
    <xdr:from>
      <xdr:col>0</xdr:col>
      <xdr:colOff>190500</xdr:colOff>
      <xdr:row>202</xdr:row>
      <xdr:rowOff>95251</xdr:rowOff>
    </xdr:from>
    <xdr:to>
      <xdr:col>1</xdr:col>
      <xdr:colOff>21024</xdr:colOff>
      <xdr:row>203</xdr:row>
      <xdr:rowOff>116716</xdr:rowOff>
    </xdr:to>
    <xdr:pic>
      <xdr:nvPicPr>
        <xdr:cNvPr id="12" name="Picture 11">
          <a:extLst>
            <a:ext uri="{FF2B5EF4-FFF2-40B4-BE49-F238E27FC236}">
              <a16:creationId xmlns:a16="http://schemas.microsoft.com/office/drawing/2014/main" id="{6CE7FA82-853B-4A36-AA65-6D81758F0D2F}"/>
            </a:ext>
          </a:extLst>
        </xdr:cNvPr>
        <xdr:cNvPicPr>
          <a:picLocks noChangeAspect="1"/>
        </xdr:cNvPicPr>
      </xdr:nvPicPr>
      <xdr:blipFill>
        <a:blip xmlns:r="http://schemas.openxmlformats.org/officeDocument/2006/relationships" r:embed="rId4"/>
        <a:stretch>
          <a:fillRect/>
        </a:stretch>
      </xdr:blipFill>
      <xdr:spPr>
        <a:xfrm>
          <a:off x="190500" y="40547926"/>
          <a:ext cx="173424" cy="221490"/>
        </a:xfrm>
        <a:prstGeom prst="rect">
          <a:avLst/>
        </a:prstGeom>
      </xdr:spPr>
    </xdr:pic>
    <xdr:clientData/>
  </xdr:twoCellAnchor>
  <xdr:twoCellAnchor editAs="oneCell">
    <xdr:from>
      <xdr:col>0</xdr:col>
      <xdr:colOff>163286</xdr:colOff>
      <xdr:row>297</xdr:row>
      <xdr:rowOff>163286</xdr:rowOff>
    </xdr:from>
    <xdr:to>
      <xdr:col>0</xdr:col>
      <xdr:colOff>333989</xdr:colOff>
      <xdr:row>298</xdr:row>
      <xdr:rowOff>178401</xdr:rowOff>
    </xdr:to>
    <xdr:pic>
      <xdr:nvPicPr>
        <xdr:cNvPr id="13" name="Picture 12">
          <a:extLst>
            <a:ext uri="{FF2B5EF4-FFF2-40B4-BE49-F238E27FC236}">
              <a16:creationId xmlns:a16="http://schemas.microsoft.com/office/drawing/2014/main" id="{2F7F7119-2108-4746-AE73-FC7E90BF12C5}"/>
            </a:ext>
          </a:extLst>
        </xdr:cNvPr>
        <xdr:cNvPicPr>
          <a:picLocks noChangeAspect="1"/>
        </xdr:cNvPicPr>
      </xdr:nvPicPr>
      <xdr:blipFill>
        <a:blip xmlns:r="http://schemas.openxmlformats.org/officeDocument/2006/relationships" r:embed="rId4"/>
        <a:stretch>
          <a:fillRect/>
        </a:stretch>
      </xdr:blipFill>
      <xdr:spPr>
        <a:xfrm>
          <a:off x="163286" y="59704061"/>
          <a:ext cx="170703" cy="21514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22</xdr:col>
      <xdr:colOff>1095375</xdr:colOff>
      <xdr:row>297</xdr:row>
      <xdr:rowOff>123825</xdr:rowOff>
    </xdr:from>
    <xdr:to>
      <xdr:col>22</xdr:col>
      <xdr:colOff>1895475</xdr:colOff>
      <xdr:row>298</xdr:row>
      <xdr:rowOff>152400</xdr:rowOff>
    </xdr:to>
    <xdr:pic>
      <xdr:nvPicPr>
        <xdr:cNvPr id="2" name="Picture 1" descr="C:\WINDOWS\TEMP\~0003946.gif">
          <a:extLst>
            <a:ext uri="{FF2B5EF4-FFF2-40B4-BE49-F238E27FC236}">
              <a16:creationId xmlns:a16="http://schemas.microsoft.com/office/drawing/2014/main" id="{72872A7C-1C11-4731-ACBD-1FC2529DBCA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60264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202</xdr:row>
      <xdr:rowOff>152400</xdr:rowOff>
    </xdr:from>
    <xdr:to>
      <xdr:col>22</xdr:col>
      <xdr:colOff>1924050</xdr:colOff>
      <xdr:row>203</xdr:row>
      <xdr:rowOff>180975</xdr:rowOff>
    </xdr:to>
    <xdr:pic>
      <xdr:nvPicPr>
        <xdr:cNvPr id="3" name="Picture 2" descr="C:\WINDOWS\TEMP\~0003946.gif">
          <a:extLst>
            <a:ext uri="{FF2B5EF4-FFF2-40B4-BE49-F238E27FC236}">
              <a16:creationId xmlns:a16="http://schemas.microsoft.com/office/drawing/2014/main" id="{242B2EB5-2085-4F68-B331-91352D49EF7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412051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4" name="Picture 3" descr="C:\WINDOWS\TEMP\~0003946.gif">
          <a:extLst>
            <a:ext uri="{FF2B5EF4-FFF2-40B4-BE49-F238E27FC236}">
              <a16:creationId xmlns:a16="http://schemas.microsoft.com/office/drawing/2014/main" id="{27F6775B-E3A2-4B86-8D41-337EB9E431B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279273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63EA9BE6-AAFC-435B-8B8A-0385451E7E6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1267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13607</xdr:colOff>
      <xdr:row>297</xdr:row>
      <xdr:rowOff>27215</xdr:rowOff>
    </xdr:from>
    <xdr:to>
      <xdr:col>22</xdr:col>
      <xdr:colOff>897604</xdr:colOff>
      <xdr:row>298</xdr:row>
      <xdr:rowOff>121838</xdr:rowOff>
    </xdr:to>
    <xdr:pic>
      <xdr:nvPicPr>
        <xdr:cNvPr id="6" name="Picture 5">
          <a:extLst>
            <a:ext uri="{FF2B5EF4-FFF2-40B4-BE49-F238E27FC236}">
              <a16:creationId xmlns:a16="http://schemas.microsoft.com/office/drawing/2014/main" id="{DE80F975-9623-4484-B16C-4F012EBAD869}"/>
            </a:ext>
          </a:extLst>
        </xdr:cNvPr>
        <xdr:cNvPicPr>
          <a:picLocks noChangeAspect="1"/>
        </xdr:cNvPicPr>
      </xdr:nvPicPr>
      <xdr:blipFill>
        <a:blip xmlns:r="http://schemas.openxmlformats.org/officeDocument/2006/relationships" r:embed="rId3"/>
        <a:stretch>
          <a:fillRect/>
        </a:stretch>
      </xdr:blipFill>
      <xdr:spPr>
        <a:xfrm>
          <a:off x="24226157" y="60168065"/>
          <a:ext cx="883997" cy="294648"/>
        </a:xfrm>
        <a:prstGeom prst="rect">
          <a:avLst/>
        </a:prstGeom>
      </xdr:spPr>
    </xdr:pic>
    <xdr:clientData/>
  </xdr:twoCellAnchor>
  <xdr:twoCellAnchor editAs="oneCell">
    <xdr:from>
      <xdr:col>22</xdr:col>
      <xdr:colOff>0</xdr:colOff>
      <xdr:row>202</xdr:row>
      <xdr:rowOff>0</xdr:rowOff>
    </xdr:from>
    <xdr:to>
      <xdr:col>22</xdr:col>
      <xdr:colOff>883997</xdr:colOff>
      <xdr:row>203</xdr:row>
      <xdr:rowOff>94623</xdr:rowOff>
    </xdr:to>
    <xdr:pic>
      <xdr:nvPicPr>
        <xdr:cNvPr id="7" name="Picture 6">
          <a:extLst>
            <a:ext uri="{FF2B5EF4-FFF2-40B4-BE49-F238E27FC236}">
              <a16:creationId xmlns:a16="http://schemas.microsoft.com/office/drawing/2014/main" id="{902ED10C-CBF6-4AFF-B661-A5257E48133C}"/>
            </a:ext>
          </a:extLst>
        </xdr:cNvPr>
        <xdr:cNvPicPr>
          <a:picLocks noChangeAspect="1"/>
        </xdr:cNvPicPr>
      </xdr:nvPicPr>
      <xdr:blipFill>
        <a:blip xmlns:r="http://schemas.openxmlformats.org/officeDocument/2006/relationships" r:embed="rId3"/>
        <a:stretch>
          <a:fillRect/>
        </a:stretch>
      </xdr:blipFill>
      <xdr:spPr>
        <a:xfrm>
          <a:off x="24212550" y="41052750"/>
          <a:ext cx="883997" cy="294648"/>
        </a:xfrm>
        <a:prstGeom prst="rect">
          <a:avLst/>
        </a:prstGeom>
      </xdr:spPr>
    </xdr:pic>
    <xdr:clientData/>
  </xdr:twoCellAnchor>
  <xdr:twoCellAnchor editAs="oneCell">
    <xdr:from>
      <xdr:col>22</xdr:col>
      <xdr:colOff>0</xdr:colOff>
      <xdr:row>136</xdr:row>
      <xdr:rowOff>0</xdr:rowOff>
    </xdr:from>
    <xdr:to>
      <xdr:col>22</xdr:col>
      <xdr:colOff>883997</xdr:colOff>
      <xdr:row>137</xdr:row>
      <xdr:rowOff>94623</xdr:rowOff>
    </xdr:to>
    <xdr:pic>
      <xdr:nvPicPr>
        <xdr:cNvPr id="8" name="Picture 7">
          <a:extLst>
            <a:ext uri="{FF2B5EF4-FFF2-40B4-BE49-F238E27FC236}">
              <a16:creationId xmlns:a16="http://schemas.microsoft.com/office/drawing/2014/main" id="{CAF4E77B-A3BA-4A4C-B19B-8B327440BE99}"/>
            </a:ext>
          </a:extLst>
        </xdr:cNvPr>
        <xdr:cNvPicPr>
          <a:picLocks noChangeAspect="1"/>
        </xdr:cNvPicPr>
      </xdr:nvPicPr>
      <xdr:blipFill>
        <a:blip xmlns:r="http://schemas.openxmlformats.org/officeDocument/2006/relationships" r:embed="rId3"/>
        <a:stretch>
          <a:fillRect/>
        </a:stretch>
      </xdr:blipFill>
      <xdr:spPr>
        <a:xfrm>
          <a:off x="24212550" y="27765375"/>
          <a:ext cx="883997" cy="294648"/>
        </a:xfrm>
        <a:prstGeom prst="rect">
          <a:avLst/>
        </a:prstGeom>
      </xdr:spPr>
    </xdr:pic>
    <xdr:clientData/>
  </xdr:twoCellAnchor>
  <xdr:twoCellAnchor editAs="oneCell">
    <xdr:from>
      <xdr:col>22</xdr:col>
      <xdr:colOff>13607</xdr:colOff>
      <xdr:row>62</xdr:row>
      <xdr:rowOff>68035</xdr:rowOff>
    </xdr:from>
    <xdr:to>
      <xdr:col>22</xdr:col>
      <xdr:colOff>897604</xdr:colOff>
      <xdr:row>63</xdr:row>
      <xdr:rowOff>162658</xdr:rowOff>
    </xdr:to>
    <xdr:pic>
      <xdr:nvPicPr>
        <xdr:cNvPr id="9" name="Picture 8">
          <a:extLst>
            <a:ext uri="{FF2B5EF4-FFF2-40B4-BE49-F238E27FC236}">
              <a16:creationId xmlns:a16="http://schemas.microsoft.com/office/drawing/2014/main" id="{550D6C85-A07C-4CC6-B8C9-D0515D3753E3}"/>
            </a:ext>
          </a:extLst>
        </xdr:cNvPr>
        <xdr:cNvPicPr>
          <a:picLocks noChangeAspect="1"/>
        </xdr:cNvPicPr>
      </xdr:nvPicPr>
      <xdr:blipFill>
        <a:blip xmlns:r="http://schemas.openxmlformats.org/officeDocument/2006/relationships" r:embed="rId3"/>
        <a:stretch>
          <a:fillRect/>
        </a:stretch>
      </xdr:blipFill>
      <xdr:spPr>
        <a:xfrm>
          <a:off x="24226157" y="12583885"/>
          <a:ext cx="883997" cy="294648"/>
        </a:xfrm>
        <a:prstGeom prst="rect">
          <a:avLst/>
        </a:prstGeom>
      </xdr:spPr>
    </xdr:pic>
    <xdr:clientData/>
  </xdr:twoCellAnchor>
  <xdr:twoCellAnchor editAs="oneCell">
    <xdr:from>
      <xdr:col>0</xdr:col>
      <xdr:colOff>204107</xdr:colOff>
      <xdr:row>62</xdr:row>
      <xdr:rowOff>122465</xdr:rowOff>
    </xdr:from>
    <xdr:to>
      <xdr:col>1</xdr:col>
      <xdr:colOff>28281</xdr:colOff>
      <xdr:row>63</xdr:row>
      <xdr:rowOff>143930</xdr:rowOff>
    </xdr:to>
    <xdr:pic>
      <xdr:nvPicPr>
        <xdr:cNvPr id="10" name="Picture 9">
          <a:extLst>
            <a:ext uri="{FF2B5EF4-FFF2-40B4-BE49-F238E27FC236}">
              <a16:creationId xmlns:a16="http://schemas.microsoft.com/office/drawing/2014/main" id="{50567475-877B-469C-A617-173A664E692C}"/>
            </a:ext>
          </a:extLst>
        </xdr:cNvPr>
        <xdr:cNvPicPr>
          <a:picLocks noChangeAspect="1"/>
        </xdr:cNvPicPr>
      </xdr:nvPicPr>
      <xdr:blipFill>
        <a:blip xmlns:r="http://schemas.openxmlformats.org/officeDocument/2006/relationships" r:embed="rId4"/>
        <a:stretch>
          <a:fillRect/>
        </a:stretch>
      </xdr:blipFill>
      <xdr:spPr>
        <a:xfrm>
          <a:off x="204107" y="12638315"/>
          <a:ext cx="167074" cy="221490"/>
        </a:xfrm>
        <a:prstGeom prst="rect">
          <a:avLst/>
        </a:prstGeom>
      </xdr:spPr>
    </xdr:pic>
    <xdr:clientData/>
  </xdr:twoCellAnchor>
  <xdr:twoCellAnchor editAs="oneCell">
    <xdr:from>
      <xdr:col>0</xdr:col>
      <xdr:colOff>190500</xdr:colOff>
      <xdr:row>136</xdr:row>
      <xdr:rowOff>108857</xdr:rowOff>
    </xdr:from>
    <xdr:to>
      <xdr:col>1</xdr:col>
      <xdr:colOff>21024</xdr:colOff>
      <xdr:row>137</xdr:row>
      <xdr:rowOff>130322</xdr:rowOff>
    </xdr:to>
    <xdr:pic>
      <xdr:nvPicPr>
        <xdr:cNvPr id="11" name="Picture 10">
          <a:extLst>
            <a:ext uri="{FF2B5EF4-FFF2-40B4-BE49-F238E27FC236}">
              <a16:creationId xmlns:a16="http://schemas.microsoft.com/office/drawing/2014/main" id="{AF4FD19D-093C-41BD-B399-E3F350EE7983}"/>
            </a:ext>
          </a:extLst>
        </xdr:cNvPr>
        <xdr:cNvPicPr>
          <a:picLocks noChangeAspect="1"/>
        </xdr:cNvPicPr>
      </xdr:nvPicPr>
      <xdr:blipFill>
        <a:blip xmlns:r="http://schemas.openxmlformats.org/officeDocument/2006/relationships" r:embed="rId4"/>
        <a:stretch>
          <a:fillRect/>
        </a:stretch>
      </xdr:blipFill>
      <xdr:spPr>
        <a:xfrm>
          <a:off x="190500" y="27874232"/>
          <a:ext cx="173424" cy="221490"/>
        </a:xfrm>
        <a:prstGeom prst="rect">
          <a:avLst/>
        </a:prstGeom>
      </xdr:spPr>
    </xdr:pic>
    <xdr:clientData/>
  </xdr:twoCellAnchor>
  <xdr:twoCellAnchor editAs="oneCell">
    <xdr:from>
      <xdr:col>0</xdr:col>
      <xdr:colOff>190500</xdr:colOff>
      <xdr:row>202</xdr:row>
      <xdr:rowOff>95251</xdr:rowOff>
    </xdr:from>
    <xdr:to>
      <xdr:col>1</xdr:col>
      <xdr:colOff>21024</xdr:colOff>
      <xdr:row>203</xdr:row>
      <xdr:rowOff>116716</xdr:rowOff>
    </xdr:to>
    <xdr:pic>
      <xdr:nvPicPr>
        <xdr:cNvPr id="12" name="Picture 11">
          <a:extLst>
            <a:ext uri="{FF2B5EF4-FFF2-40B4-BE49-F238E27FC236}">
              <a16:creationId xmlns:a16="http://schemas.microsoft.com/office/drawing/2014/main" id="{A48CE6B6-328E-43B1-AE1E-4E843113A860}"/>
            </a:ext>
          </a:extLst>
        </xdr:cNvPr>
        <xdr:cNvPicPr>
          <a:picLocks noChangeAspect="1"/>
        </xdr:cNvPicPr>
      </xdr:nvPicPr>
      <xdr:blipFill>
        <a:blip xmlns:r="http://schemas.openxmlformats.org/officeDocument/2006/relationships" r:embed="rId4"/>
        <a:stretch>
          <a:fillRect/>
        </a:stretch>
      </xdr:blipFill>
      <xdr:spPr>
        <a:xfrm>
          <a:off x="190500" y="41148001"/>
          <a:ext cx="173424" cy="221490"/>
        </a:xfrm>
        <a:prstGeom prst="rect">
          <a:avLst/>
        </a:prstGeom>
      </xdr:spPr>
    </xdr:pic>
    <xdr:clientData/>
  </xdr:twoCellAnchor>
  <xdr:twoCellAnchor editAs="oneCell">
    <xdr:from>
      <xdr:col>0</xdr:col>
      <xdr:colOff>163286</xdr:colOff>
      <xdr:row>297</xdr:row>
      <xdr:rowOff>163286</xdr:rowOff>
    </xdr:from>
    <xdr:to>
      <xdr:col>0</xdr:col>
      <xdr:colOff>333989</xdr:colOff>
      <xdr:row>298</xdr:row>
      <xdr:rowOff>178401</xdr:rowOff>
    </xdr:to>
    <xdr:pic>
      <xdr:nvPicPr>
        <xdr:cNvPr id="13" name="Picture 12">
          <a:extLst>
            <a:ext uri="{FF2B5EF4-FFF2-40B4-BE49-F238E27FC236}">
              <a16:creationId xmlns:a16="http://schemas.microsoft.com/office/drawing/2014/main" id="{487D405F-B7D8-4B39-8B76-19B48D02C93E}"/>
            </a:ext>
          </a:extLst>
        </xdr:cNvPr>
        <xdr:cNvPicPr>
          <a:picLocks noChangeAspect="1"/>
        </xdr:cNvPicPr>
      </xdr:nvPicPr>
      <xdr:blipFill>
        <a:blip xmlns:r="http://schemas.openxmlformats.org/officeDocument/2006/relationships" r:embed="rId4"/>
        <a:stretch>
          <a:fillRect/>
        </a:stretch>
      </xdr:blipFill>
      <xdr:spPr>
        <a:xfrm>
          <a:off x="163286" y="60304136"/>
          <a:ext cx="170703" cy="2151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8433" name="Picture 1" descr="C:\WINDOWS\TEMP\Symbol.gif">
          <a:extLst>
            <a:ext uri="{FF2B5EF4-FFF2-40B4-BE49-F238E27FC236}">
              <a16:creationId xmlns:a16="http://schemas.microsoft.com/office/drawing/2014/main" id="{00000000-0008-0000-0400-0000116F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28434" name="Picture 2" descr="C:\WINDOWS\TEMP\Symbol.gif">
          <a:extLst>
            <a:ext uri="{FF2B5EF4-FFF2-40B4-BE49-F238E27FC236}">
              <a16:creationId xmlns:a16="http://schemas.microsoft.com/office/drawing/2014/main" id="{00000000-0008-0000-0400-0000126F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198</xdr:row>
      <xdr:rowOff>171450</xdr:rowOff>
    </xdr:from>
    <xdr:to>
      <xdr:col>1</xdr:col>
      <xdr:colOff>47625</xdr:colOff>
      <xdr:row>199</xdr:row>
      <xdr:rowOff>209550</xdr:rowOff>
    </xdr:to>
    <xdr:pic>
      <xdr:nvPicPr>
        <xdr:cNvPr id="28435" name="Picture 3" descr="C:\WINDOWS\TEMP\Symbol.gif">
          <a:extLst>
            <a:ext uri="{FF2B5EF4-FFF2-40B4-BE49-F238E27FC236}">
              <a16:creationId xmlns:a16="http://schemas.microsoft.com/office/drawing/2014/main" id="{00000000-0008-0000-0400-0000136F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04145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282</xdr:row>
      <xdr:rowOff>161925</xdr:rowOff>
    </xdr:from>
    <xdr:to>
      <xdr:col>1</xdr:col>
      <xdr:colOff>19050</xdr:colOff>
      <xdr:row>283</xdr:row>
      <xdr:rowOff>200025</xdr:rowOff>
    </xdr:to>
    <xdr:pic>
      <xdr:nvPicPr>
        <xdr:cNvPr id="28436" name="Picture 4" descr="C:\WINDOWS\TEMP\Symbol.gif">
          <a:extLst>
            <a:ext uri="{FF2B5EF4-FFF2-40B4-BE49-F238E27FC236}">
              <a16:creationId xmlns:a16="http://schemas.microsoft.com/office/drawing/2014/main" id="{00000000-0008-0000-0400-0000146F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72928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282</xdr:row>
      <xdr:rowOff>123825</xdr:rowOff>
    </xdr:from>
    <xdr:to>
      <xdr:col>22</xdr:col>
      <xdr:colOff>1895475</xdr:colOff>
      <xdr:row>283</xdr:row>
      <xdr:rowOff>152400</xdr:rowOff>
    </xdr:to>
    <xdr:pic>
      <xdr:nvPicPr>
        <xdr:cNvPr id="28437" name="Picture 5" descr="C:\WINDOWS\TEMP\~0003946.gif">
          <a:extLst>
            <a:ext uri="{FF2B5EF4-FFF2-40B4-BE49-F238E27FC236}">
              <a16:creationId xmlns:a16="http://schemas.microsoft.com/office/drawing/2014/main" id="{00000000-0008-0000-0400-0000156F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7254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198</xdr:row>
      <xdr:rowOff>152400</xdr:rowOff>
    </xdr:from>
    <xdr:to>
      <xdr:col>22</xdr:col>
      <xdr:colOff>1924050</xdr:colOff>
      <xdr:row>199</xdr:row>
      <xdr:rowOff>180975</xdr:rowOff>
    </xdr:to>
    <xdr:pic>
      <xdr:nvPicPr>
        <xdr:cNvPr id="28438" name="Picture 6" descr="C:\WINDOWS\TEMP\~0003946.gif">
          <a:extLst>
            <a:ext uri="{FF2B5EF4-FFF2-40B4-BE49-F238E27FC236}">
              <a16:creationId xmlns:a16="http://schemas.microsoft.com/office/drawing/2014/main" id="{00000000-0008-0000-0400-0000166F0000}"/>
            </a:ext>
          </a:extLst>
        </xdr:cNvPr>
        <xdr:cNvPicPr>
          <a:picLocks noChangeAspect="1" noChangeArrowheads="1"/>
        </xdr:cNvPicPr>
      </xdr:nvPicPr>
      <xdr:blipFill>
        <a:blip xmlns:r="http://schemas.openxmlformats.org/officeDocument/2006/relationships" r:link="rId4">
          <a:extLst>
            <a:ext uri="{28A0092B-C50C-407E-A947-70E740481C1C}">
              <a14:useLocalDpi xmlns:a14="http://schemas.microsoft.com/office/drawing/2010/main" val="0"/>
            </a:ext>
          </a:extLst>
        </a:blip>
        <a:srcRect/>
        <a:stretch>
          <a:fillRect/>
        </a:stretch>
      </xdr:blipFill>
      <xdr:spPr bwMode="auto">
        <a:xfrm>
          <a:off x="25222200" y="403955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28439" name="Picture 7" descr="C:\WINDOWS\TEMP\~0003946.gif">
          <a:extLst>
            <a:ext uri="{FF2B5EF4-FFF2-40B4-BE49-F238E27FC236}">
              <a16:creationId xmlns:a16="http://schemas.microsoft.com/office/drawing/2014/main" id="{00000000-0008-0000-0400-0000176F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28440" name="Picture 8" descr="C:\WINDOWS\TEMP\~0003946.gif">
          <a:extLst>
            <a:ext uri="{FF2B5EF4-FFF2-40B4-BE49-F238E27FC236}">
              <a16:creationId xmlns:a16="http://schemas.microsoft.com/office/drawing/2014/main" id="{00000000-0008-0000-0400-0000186F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28441" name="Picture 9" descr="C:\WINDOWS\TEMP\~0003946.gif">
          <a:extLst>
            <a:ext uri="{FF2B5EF4-FFF2-40B4-BE49-F238E27FC236}">
              <a16:creationId xmlns:a16="http://schemas.microsoft.com/office/drawing/2014/main" id="{00000000-0008-0000-0400-0000196F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28442" name="Picture 10" descr="C:\WINDOWS\TEMP\~0003946.gif">
          <a:extLst>
            <a:ext uri="{FF2B5EF4-FFF2-40B4-BE49-F238E27FC236}">
              <a16:creationId xmlns:a16="http://schemas.microsoft.com/office/drawing/2014/main" id="{00000000-0008-0000-0400-00001A6F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198</xdr:row>
      <xdr:rowOff>104775</xdr:rowOff>
    </xdr:from>
    <xdr:to>
      <xdr:col>22</xdr:col>
      <xdr:colOff>809625</xdr:colOff>
      <xdr:row>199</xdr:row>
      <xdr:rowOff>133350</xdr:rowOff>
    </xdr:to>
    <xdr:pic>
      <xdr:nvPicPr>
        <xdr:cNvPr id="28443" name="Picture 11" descr="C:\WINDOWS\TEMP\~0003946.gif">
          <a:extLst>
            <a:ext uri="{FF2B5EF4-FFF2-40B4-BE49-F238E27FC236}">
              <a16:creationId xmlns:a16="http://schemas.microsoft.com/office/drawing/2014/main" id="{00000000-0008-0000-0400-00001B6F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03479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282</xdr:row>
      <xdr:rowOff>104775</xdr:rowOff>
    </xdr:from>
    <xdr:to>
      <xdr:col>22</xdr:col>
      <xdr:colOff>895350</xdr:colOff>
      <xdr:row>283</xdr:row>
      <xdr:rowOff>133350</xdr:rowOff>
    </xdr:to>
    <xdr:pic>
      <xdr:nvPicPr>
        <xdr:cNvPr id="28444" name="Picture 12" descr="C:\WINDOWS\TEMP\~0003946.gif">
          <a:extLst>
            <a:ext uri="{FF2B5EF4-FFF2-40B4-BE49-F238E27FC236}">
              <a16:creationId xmlns:a16="http://schemas.microsoft.com/office/drawing/2014/main" id="{00000000-0008-0000-0400-00001C6F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72357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28445" name="Picture 13" descr="logoMTL">
          <a:extLst>
            <a:ext uri="{FF2B5EF4-FFF2-40B4-BE49-F238E27FC236}">
              <a16:creationId xmlns:a16="http://schemas.microsoft.com/office/drawing/2014/main" id="{00000000-0008-0000-0400-00001D6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28446" name="Picture 14" descr="logoMTL">
          <a:extLst>
            <a:ext uri="{FF2B5EF4-FFF2-40B4-BE49-F238E27FC236}">
              <a16:creationId xmlns:a16="http://schemas.microsoft.com/office/drawing/2014/main" id="{00000000-0008-0000-0400-00001E6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198</xdr:row>
      <xdr:rowOff>28575</xdr:rowOff>
    </xdr:from>
    <xdr:to>
      <xdr:col>21</xdr:col>
      <xdr:colOff>1171575</xdr:colOff>
      <xdr:row>199</xdr:row>
      <xdr:rowOff>152400</xdr:rowOff>
    </xdr:to>
    <xdr:pic>
      <xdr:nvPicPr>
        <xdr:cNvPr id="28447" name="Picture 15" descr="logoMTL">
          <a:extLst>
            <a:ext uri="{FF2B5EF4-FFF2-40B4-BE49-F238E27FC236}">
              <a16:creationId xmlns:a16="http://schemas.microsoft.com/office/drawing/2014/main" id="{00000000-0008-0000-0400-00001F6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02717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282</xdr:row>
      <xdr:rowOff>0</xdr:rowOff>
    </xdr:from>
    <xdr:to>
      <xdr:col>21</xdr:col>
      <xdr:colOff>1228725</xdr:colOff>
      <xdr:row>283</xdr:row>
      <xdr:rowOff>123825</xdr:rowOff>
    </xdr:to>
    <xdr:pic>
      <xdr:nvPicPr>
        <xdr:cNvPr id="28448" name="Picture 16" descr="logoMTL">
          <a:extLst>
            <a:ext uri="{FF2B5EF4-FFF2-40B4-BE49-F238E27FC236}">
              <a16:creationId xmlns:a16="http://schemas.microsoft.com/office/drawing/2014/main" id="{00000000-0008-0000-0400-0000206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71309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22</xdr:col>
      <xdr:colOff>1095375</xdr:colOff>
      <xdr:row>297</xdr:row>
      <xdr:rowOff>123825</xdr:rowOff>
    </xdr:from>
    <xdr:to>
      <xdr:col>22</xdr:col>
      <xdr:colOff>1895475</xdr:colOff>
      <xdr:row>298</xdr:row>
      <xdr:rowOff>152400</xdr:rowOff>
    </xdr:to>
    <xdr:pic>
      <xdr:nvPicPr>
        <xdr:cNvPr id="2" name="Picture 1" descr="C:\WINDOWS\TEMP\~0003946.gif">
          <a:extLst>
            <a:ext uri="{FF2B5EF4-FFF2-40B4-BE49-F238E27FC236}">
              <a16:creationId xmlns:a16="http://schemas.microsoft.com/office/drawing/2014/main" id="{867D69CA-E0F9-4E41-9D2A-1D1FE81E0C5D}"/>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60264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202</xdr:row>
      <xdr:rowOff>152400</xdr:rowOff>
    </xdr:from>
    <xdr:to>
      <xdr:col>22</xdr:col>
      <xdr:colOff>1924050</xdr:colOff>
      <xdr:row>203</xdr:row>
      <xdr:rowOff>180975</xdr:rowOff>
    </xdr:to>
    <xdr:pic>
      <xdr:nvPicPr>
        <xdr:cNvPr id="3" name="Picture 2" descr="C:\WINDOWS\TEMP\~0003946.gif">
          <a:extLst>
            <a:ext uri="{FF2B5EF4-FFF2-40B4-BE49-F238E27FC236}">
              <a16:creationId xmlns:a16="http://schemas.microsoft.com/office/drawing/2014/main" id="{1F08C727-3393-4F6B-9BC9-D623E514893D}"/>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412051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4" name="Picture 3" descr="C:\WINDOWS\TEMP\~0003946.gif">
          <a:extLst>
            <a:ext uri="{FF2B5EF4-FFF2-40B4-BE49-F238E27FC236}">
              <a16:creationId xmlns:a16="http://schemas.microsoft.com/office/drawing/2014/main" id="{AD7CF930-6CCA-44A1-9646-E9719894736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279273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8C153C75-0921-4BB4-B647-DA9770805C7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1267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13607</xdr:colOff>
      <xdr:row>297</xdr:row>
      <xdr:rowOff>27215</xdr:rowOff>
    </xdr:from>
    <xdr:to>
      <xdr:col>22</xdr:col>
      <xdr:colOff>897604</xdr:colOff>
      <xdr:row>298</xdr:row>
      <xdr:rowOff>121838</xdr:rowOff>
    </xdr:to>
    <xdr:pic>
      <xdr:nvPicPr>
        <xdr:cNvPr id="6" name="Picture 5">
          <a:extLst>
            <a:ext uri="{FF2B5EF4-FFF2-40B4-BE49-F238E27FC236}">
              <a16:creationId xmlns:a16="http://schemas.microsoft.com/office/drawing/2014/main" id="{43475C3A-1868-4F74-BAF2-0F8725FC8B3C}"/>
            </a:ext>
          </a:extLst>
        </xdr:cNvPr>
        <xdr:cNvPicPr>
          <a:picLocks noChangeAspect="1"/>
        </xdr:cNvPicPr>
      </xdr:nvPicPr>
      <xdr:blipFill>
        <a:blip xmlns:r="http://schemas.openxmlformats.org/officeDocument/2006/relationships" r:embed="rId3"/>
        <a:stretch>
          <a:fillRect/>
        </a:stretch>
      </xdr:blipFill>
      <xdr:spPr>
        <a:xfrm>
          <a:off x="24226157" y="60168065"/>
          <a:ext cx="883997" cy="294648"/>
        </a:xfrm>
        <a:prstGeom prst="rect">
          <a:avLst/>
        </a:prstGeom>
      </xdr:spPr>
    </xdr:pic>
    <xdr:clientData/>
  </xdr:twoCellAnchor>
  <xdr:twoCellAnchor editAs="oneCell">
    <xdr:from>
      <xdr:col>22</xdr:col>
      <xdr:colOff>0</xdr:colOff>
      <xdr:row>202</xdr:row>
      <xdr:rowOff>0</xdr:rowOff>
    </xdr:from>
    <xdr:to>
      <xdr:col>22</xdr:col>
      <xdr:colOff>883997</xdr:colOff>
      <xdr:row>203</xdr:row>
      <xdr:rowOff>94623</xdr:rowOff>
    </xdr:to>
    <xdr:pic>
      <xdr:nvPicPr>
        <xdr:cNvPr id="7" name="Picture 6">
          <a:extLst>
            <a:ext uri="{FF2B5EF4-FFF2-40B4-BE49-F238E27FC236}">
              <a16:creationId xmlns:a16="http://schemas.microsoft.com/office/drawing/2014/main" id="{CE56623B-31D1-4434-A64F-3F4B2E11DDB9}"/>
            </a:ext>
          </a:extLst>
        </xdr:cNvPr>
        <xdr:cNvPicPr>
          <a:picLocks noChangeAspect="1"/>
        </xdr:cNvPicPr>
      </xdr:nvPicPr>
      <xdr:blipFill>
        <a:blip xmlns:r="http://schemas.openxmlformats.org/officeDocument/2006/relationships" r:embed="rId3"/>
        <a:stretch>
          <a:fillRect/>
        </a:stretch>
      </xdr:blipFill>
      <xdr:spPr>
        <a:xfrm>
          <a:off x="24212550" y="41052750"/>
          <a:ext cx="883997" cy="294648"/>
        </a:xfrm>
        <a:prstGeom prst="rect">
          <a:avLst/>
        </a:prstGeom>
      </xdr:spPr>
    </xdr:pic>
    <xdr:clientData/>
  </xdr:twoCellAnchor>
  <xdr:twoCellAnchor editAs="oneCell">
    <xdr:from>
      <xdr:col>22</xdr:col>
      <xdr:colOff>0</xdr:colOff>
      <xdr:row>136</xdr:row>
      <xdr:rowOff>0</xdr:rowOff>
    </xdr:from>
    <xdr:to>
      <xdr:col>22</xdr:col>
      <xdr:colOff>883997</xdr:colOff>
      <xdr:row>137</xdr:row>
      <xdr:rowOff>94623</xdr:rowOff>
    </xdr:to>
    <xdr:pic>
      <xdr:nvPicPr>
        <xdr:cNvPr id="8" name="Picture 7">
          <a:extLst>
            <a:ext uri="{FF2B5EF4-FFF2-40B4-BE49-F238E27FC236}">
              <a16:creationId xmlns:a16="http://schemas.microsoft.com/office/drawing/2014/main" id="{E7BEC582-2F2C-4D11-ADA2-6D12BD4644AE}"/>
            </a:ext>
          </a:extLst>
        </xdr:cNvPr>
        <xdr:cNvPicPr>
          <a:picLocks noChangeAspect="1"/>
        </xdr:cNvPicPr>
      </xdr:nvPicPr>
      <xdr:blipFill>
        <a:blip xmlns:r="http://schemas.openxmlformats.org/officeDocument/2006/relationships" r:embed="rId3"/>
        <a:stretch>
          <a:fillRect/>
        </a:stretch>
      </xdr:blipFill>
      <xdr:spPr>
        <a:xfrm>
          <a:off x="24212550" y="27765375"/>
          <a:ext cx="883997" cy="294648"/>
        </a:xfrm>
        <a:prstGeom prst="rect">
          <a:avLst/>
        </a:prstGeom>
      </xdr:spPr>
    </xdr:pic>
    <xdr:clientData/>
  </xdr:twoCellAnchor>
  <xdr:twoCellAnchor editAs="oneCell">
    <xdr:from>
      <xdr:col>22</xdr:col>
      <xdr:colOff>13607</xdr:colOff>
      <xdr:row>62</xdr:row>
      <xdr:rowOff>68035</xdr:rowOff>
    </xdr:from>
    <xdr:to>
      <xdr:col>22</xdr:col>
      <xdr:colOff>897604</xdr:colOff>
      <xdr:row>63</xdr:row>
      <xdr:rowOff>162658</xdr:rowOff>
    </xdr:to>
    <xdr:pic>
      <xdr:nvPicPr>
        <xdr:cNvPr id="9" name="Picture 8">
          <a:extLst>
            <a:ext uri="{FF2B5EF4-FFF2-40B4-BE49-F238E27FC236}">
              <a16:creationId xmlns:a16="http://schemas.microsoft.com/office/drawing/2014/main" id="{11168DC8-7217-4873-A0A1-116470593E4D}"/>
            </a:ext>
          </a:extLst>
        </xdr:cNvPr>
        <xdr:cNvPicPr>
          <a:picLocks noChangeAspect="1"/>
        </xdr:cNvPicPr>
      </xdr:nvPicPr>
      <xdr:blipFill>
        <a:blip xmlns:r="http://schemas.openxmlformats.org/officeDocument/2006/relationships" r:embed="rId3"/>
        <a:stretch>
          <a:fillRect/>
        </a:stretch>
      </xdr:blipFill>
      <xdr:spPr>
        <a:xfrm>
          <a:off x="24226157" y="12583885"/>
          <a:ext cx="883997" cy="294648"/>
        </a:xfrm>
        <a:prstGeom prst="rect">
          <a:avLst/>
        </a:prstGeom>
      </xdr:spPr>
    </xdr:pic>
    <xdr:clientData/>
  </xdr:twoCellAnchor>
  <xdr:twoCellAnchor editAs="oneCell">
    <xdr:from>
      <xdr:col>0</xdr:col>
      <xdr:colOff>204107</xdr:colOff>
      <xdr:row>62</xdr:row>
      <xdr:rowOff>122465</xdr:rowOff>
    </xdr:from>
    <xdr:to>
      <xdr:col>1</xdr:col>
      <xdr:colOff>28281</xdr:colOff>
      <xdr:row>63</xdr:row>
      <xdr:rowOff>143930</xdr:rowOff>
    </xdr:to>
    <xdr:pic>
      <xdr:nvPicPr>
        <xdr:cNvPr id="10" name="Picture 9">
          <a:extLst>
            <a:ext uri="{FF2B5EF4-FFF2-40B4-BE49-F238E27FC236}">
              <a16:creationId xmlns:a16="http://schemas.microsoft.com/office/drawing/2014/main" id="{170BB064-5C42-49AA-9DCB-70A8C318C454}"/>
            </a:ext>
          </a:extLst>
        </xdr:cNvPr>
        <xdr:cNvPicPr>
          <a:picLocks noChangeAspect="1"/>
        </xdr:cNvPicPr>
      </xdr:nvPicPr>
      <xdr:blipFill>
        <a:blip xmlns:r="http://schemas.openxmlformats.org/officeDocument/2006/relationships" r:embed="rId4"/>
        <a:stretch>
          <a:fillRect/>
        </a:stretch>
      </xdr:blipFill>
      <xdr:spPr>
        <a:xfrm>
          <a:off x="204107" y="12638315"/>
          <a:ext cx="167074" cy="221490"/>
        </a:xfrm>
        <a:prstGeom prst="rect">
          <a:avLst/>
        </a:prstGeom>
      </xdr:spPr>
    </xdr:pic>
    <xdr:clientData/>
  </xdr:twoCellAnchor>
  <xdr:twoCellAnchor editAs="oneCell">
    <xdr:from>
      <xdr:col>0</xdr:col>
      <xdr:colOff>190500</xdr:colOff>
      <xdr:row>136</xdr:row>
      <xdr:rowOff>108857</xdr:rowOff>
    </xdr:from>
    <xdr:to>
      <xdr:col>1</xdr:col>
      <xdr:colOff>21024</xdr:colOff>
      <xdr:row>137</xdr:row>
      <xdr:rowOff>130322</xdr:rowOff>
    </xdr:to>
    <xdr:pic>
      <xdr:nvPicPr>
        <xdr:cNvPr id="11" name="Picture 10">
          <a:extLst>
            <a:ext uri="{FF2B5EF4-FFF2-40B4-BE49-F238E27FC236}">
              <a16:creationId xmlns:a16="http://schemas.microsoft.com/office/drawing/2014/main" id="{05F3FADA-D055-46A6-B5E1-0C30C9E03CB8}"/>
            </a:ext>
          </a:extLst>
        </xdr:cNvPr>
        <xdr:cNvPicPr>
          <a:picLocks noChangeAspect="1"/>
        </xdr:cNvPicPr>
      </xdr:nvPicPr>
      <xdr:blipFill>
        <a:blip xmlns:r="http://schemas.openxmlformats.org/officeDocument/2006/relationships" r:embed="rId4"/>
        <a:stretch>
          <a:fillRect/>
        </a:stretch>
      </xdr:blipFill>
      <xdr:spPr>
        <a:xfrm>
          <a:off x="190500" y="27874232"/>
          <a:ext cx="173424" cy="221490"/>
        </a:xfrm>
        <a:prstGeom prst="rect">
          <a:avLst/>
        </a:prstGeom>
      </xdr:spPr>
    </xdr:pic>
    <xdr:clientData/>
  </xdr:twoCellAnchor>
  <xdr:twoCellAnchor editAs="oneCell">
    <xdr:from>
      <xdr:col>0</xdr:col>
      <xdr:colOff>190500</xdr:colOff>
      <xdr:row>202</xdr:row>
      <xdr:rowOff>95251</xdr:rowOff>
    </xdr:from>
    <xdr:to>
      <xdr:col>1</xdr:col>
      <xdr:colOff>21024</xdr:colOff>
      <xdr:row>203</xdr:row>
      <xdr:rowOff>116716</xdr:rowOff>
    </xdr:to>
    <xdr:pic>
      <xdr:nvPicPr>
        <xdr:cNvPr id="12" name="Picture 11">
          <a:extLst>
            <a:ext uri="{FF2B5EF4-FFF2-40B4-BE49-F238E27FC236}">
              <a16:creationId xmlns:a16="http://schemas.microsoft.com/office/drawing/2014/main" id="{365B7555-6A59-4E83-A389-725FD9E07BD8}"/>
            </a:ext>
          </a:extLst>
        </xdr:cNvPr>
        <xdr:cNvPicPr>
          <a:picLocks noChangeAspect="1"/>
        </xdr:cNvPicPr>
      </xdr:nvPicPr>
      <xdr:blipFill>
        <a:blip xmlns:r="http://schemas.openxmlformats.org/officeDocument/2006/relationships" r:embed="rId4"/>
        <a:stretch>
          <a:fillRect/>
        </a:stretch>
      </xdr:blipFill>
      <xdr:spPr>
        <a:xfrm>
          <a:off x="190500" y="41148001"/>
          <a:ext cx="173424" cy="221490"/>
        </a:xfrm>
        <a:prstGeom prst="rect">
          <a:avLst/>
        </a:prstGeom>
      </xdr:spPr>
    </xdr:pic>
    <xdr:clientData/>
  </xdr:twoCellAnchor>
  <xdr:twoCellAnchor editAs="oneCell">
    <xdr:from>
      <xdr:col>0</xdr:col>
      <xdr:colOff>163286</xdr:colOff>
      <xdr:row>297</xdr:row>
      <xdr:rowOff>163286</xdr:rowOff>
    </xdr:from>
    <xdr:to>
      <xdr:col>0</xdr:col>
      <xdr:colOff>333989</xdr:colOff>
      <xdr:row>298</xdr:row>
      <xdr:rowOff>178401</xdr:rowOff>
    </xdr:to>
    <xdr:pic>
      <xdr:nvPicPr>
        <xdr:cNvPr id="13" name="Picture 12">
          <a:extLst>
            <a:ext uri="{FF2B5EF4-FFF2-40B4-BE49-F238E27FC236}">
              <a16:creationId xmlns:a16="http://schemas.microsoft.com/office/drawing/2014/main" id="{17E453AD-77A1-4186-AF78-C7389230244C}"/>
            </a:ext>
          </a:extLst>
        </xdr:cNvPr>
        <xdr:cNvPicPr>
          <a:picLocks noChangeAspect="1"/>
        </xdr:cNvPicPr>
      </xdr:nvPicPr>
      <xdr:blipFill>
        <a:blip xmlns:r="http://schemas.openxmlformats.org/officeDocument/2006/relationships" r:embed="rId4"/>
        <a:stretch>
          <a:fillRect/>
        </a:stretch>
      </xdr:blipFill>
      <xdr:spPr>
        <a:xfrm>
          <a:off x="163286" y="60304136"/>
          <a:ext cx="170703" cy="21514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22</xdr:col>
      <xdr:colOff>1095375</xdr:colOff>
      <xdr:row>322</xdr:row>
      <xdr:rowOff>123825</xdr:rowOff>
    </xdr:from>
    <xdr:to>
      <xdr:col>22</xdr:col>
      <xdr:colOff>1895475</xdr:colOff>
      <xdr:row>323</xdr:row>
      <xdr:rowOff>152400</xdr:rowOff>
    </xdr:to>
    <xdr:pic>
      <xdr:nvPicPr>
        <xdr:cNvPr id="2" name="Picture 1" descr="C:\WINDOWS\TEMP\~0003946.gif">
          <a:extLst>
            <a:ext uri="{FF2B5EF4-FFF2-40B4-BE49-F238E27FC236}">
              <a16:creationId xmlns:a16="http://schemas.microsoft.com/office/drawing/2014/main" id="{809AAE45-8630-4174-BC2A-C55B28F1CA7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276050" y="6017577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202</xdr:row>
      <xdr:rowOff>152400</xdr:rowOff>
    </xdr:from>
    <xdr:to>
      <xdr:col>22</xdr:col>
      <xdr:colOff>1924050</xdr:colOff>
      <xdr:row>203</xdr:row>
      <xdr:rowOff>180975</xdr:rowOff>
    </xdr:to>
    <xdr:pic>
      <xdr:nvPicPr>
        <xdr:cNvPr id="3" name="Picture 2" descr="C:\WINDOWS\TEMP\~0003946.gif">
          <a:extLst>
            <a:ext uri="{FF2B5EF4-FFF2-40B4-BE49-F238E27FC236}">
              <a16:creationId xmlns:a16="http://schemas.microsoft.com/office/drawing/2014/main" id="{E6B67FB6-8FA2-49E3-A809-0526764EA8E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279225" y="4112895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4" name="Picture 3" descr="C:\WINDOWS\TEMP\~0003946.gif">
          <a:extLst>
            <a:ext uri="{FF2B5EF4-FFF2-40B4-BE49-F238E27FC236}">
              <a16:creationId xmlns:a16="http://schemas.microsoft.com/office/drawing/2014/main" id="{83579C7B-AB44-486C-BE1A-6202F389364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276050" y="2789555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692DB2E7-010B-4DF8-96EE-CE72F3F0508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276050" y="1266507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13607</xdr:colOff>
      <xdr:row>322</xdr:row>
      <xdr:rowOff>27215</xdr:rowOff>
    </xdr:from>
    <xdr:to>
      <xdr:col>22</xdr:col>
      <xdr:colOff>897604</xdr:colOff>
      <xdr:row>323</xdr:row>
      <xdr:rowOff>125013</xdr:rowOff>
    </xdr:to>
    <xdr:pic>
      <xdr:nvPicPr>
        <xdr:cNvPr id="6" name="Picture 5">
          <a:extLst>
            <a:ext uri="{FF2B5EF4-FFF2-40B4-BE49-F238E27FC236}">
              <a16:creationId xmlns:a16="http://schemas.microsoft.com/office/drawing/2014/main" id="{A3EAAC05-62BE-4BBD-8EB3-E1BD739DAE3C}"/>
            </a:ext>
          </a:extLst>
        </xdr:cNvPr>
        <xdr:cNvPicPr>
          <a:picLocks noChangeAspect="1"/>
        </xdr:cNvPicPr>
      </xdr:nvPicPr>
      <xdr:blipFill>
        <a:blip xmlns:r="http://schemas.openxmlformats.org/officeDocument/2006/relationships" r:embed="rId3"/>
        <a:stretch>
          <a:fillRect/>
        </a:stretch>
      </xdr:blipFill>
      <xdr:spPr>
        <a:xfrm>
          <a:off x="23308582" y="60085515"/>
          <a:ext cx="887172" cy="294648"/>
        </a:xfrm>
        <a:prstGeom prst="rect">
          <a:avLst/>
        </a:prstGeom>
      </xdr:spPr>
    </xdr:pic>
    <xdr:clientData/>
  </xdr:twoCellAnchor>
  <xdr:twoCellAnchor editAs="oneCell">
    <xdr:from>
      <xdr:col>22</xdr:col>
      <xdr:colOff>0</xdr:colOff>
      <xdr:row>202</xdr:row>
      <xdr:rowOff>0</xdr:rowOff>
    </xdr:from>
    <xdr:to>
      <xdr:col>22</xdr:col>
      <xdr:colOff>887172</xdr:colOff>
      <xdr:row>203</xdr:row>
      <xdr:rowOff>94623</xdr:rowOff>
    </xdr:to>
    <xdr:pic>
      <xdr:nvPicPr>
        <xdr:cNvPr id="7" name="Picture 6">
          <a:extLst>
            <a:ext uri="{FF2B5EF4-FFF2-40B4-BE49-F238E27FC236}">
              <a16:creationId xmlns:a16="http://schemas.microsoft.com/office/drawing/2014/main" id="{745820E3-42A0-49EC-ACFF-55F176D4125E}"/>
            </a:ext>
          </a:extLst>
        </xdr:cNvPr>
        <xdr:cNvPicPr>
          <a:picLocks noChangeAspect="1"/>
        </xdr:cNvPicPr>
      </xdr:nvPicPr>
      <xdr:blipFill>
        <a:blip xmlns:r="http://schemas.openxmlformats.org/officeDocument/2006/relationships" r:embed="rId3"/>
        <a:stretch>
          <a:fillRect/>
        </a:stretch>
      </xdr:blipFill>
      <xdr:spPr>
        <a:xfrm>
          <a:off x="23298150" y="40976550"/>
          <a:ext cx="887172" cy="294648"/>
        </a:xfrm>
        <a:prstGeom prst="rect">
          <a:avLst/>
        </a:prstGeom>
      </xdr:spPr>
    </xdr:pic>
    <xdr:clientData/>
  </xdr:twoCellAnchor>
  <xdr:twoCellAnchor editAs="oneCell">
    <xdr:from>
      <xdr:col>22</xdr:col>
      <xdr:colOff>0</xdr:colOff>
      <xdr:row>136</xdr:row>
      <xdr:rowOff>0</xdr:rowOff>
    </xdr:from>
    <xdr:to>
      <xdr:col>22</xdr:col>
      <xdr:colOff>887172</xdr:colOff>
      <xdr:row>137</xdr:row>
      <xdr:rowOff>94623</xdr:rowOff>
    </xdr:to>
    <xdr:pic>
      <xdr:nvPicPr>
        <xdr:cNvPr id="8" name="Picture 7">
          <a:extLst>
            <a:ext uri="{FF2B5EF4-FFF2-40B4-BE49-F238E27FC236}">
              <a16:creationId xmlns:a16="http://schemas.microsoft.com/office/drawing/2014/main" id="{3F7DEEE4-9868-46CC-8852-4E5A8E5C4FBA}"/>
            </a:ext>
          </a:extLst>
        </xdr:cNvPr>
        <xdr:cNvPicPr>
          <a:picLocks noChangeAspect="1"/>
        </xdr:cNvPicPr>
      </xdr:nvPicPr>
      <xdr:blipFill>
        <a:blip xmlns:r="http://schemas.openxmlformats.org/officeDocument/2006/relationships" r:embed="rId3"/>
        <a:stretch>
          <a:fillRect/>
        </a:stretch>
      </xdr:blipFill>
      <xdr:spPr>
        <a:xfrm>
          <a:off x="23298150" y="27736800"/>
          <a:ext cx="887172" cy="294648"/>
        </a:xfrm>
        <a:prstGeom prst="rect">
          <a:avLst/>
        </a:prstGeom>
      </xdr:spPr>
    </xdr:pic>
    <xdr:clientData/>
  </xdr:twoCellAnchor>
  <xdr:twoCellAnchor editAs="oneCell">
    <xdr:from>
      <xdr:col>22</xdr:col>
      <xdr:colOff>13607</xdr:colOff>
      <xdr:row>62</xdr:row>
      <xdr:rowOff>68035</xdr:rowOff>
    </xdr:from>
    <xdr:to>
      <xdr:col>22</xdr:col>
      <xdr:colOff>897604</xdr:colOff>
      <xdr:row>63</xdr:row>
      <xdr:rowOff>159483</xdr:rowOff>
    </xdr:to>
    <xdr:pic>
      <xdr:nvPicPr>
        <xdr:cNvPr id="9" name="Picture 8">
          <a:extLst>
            <a:ext uri="{FF2B5EF4-FFF2-40B4-BE49-F238E27FC236}">
              <a16:creationId xmlns:a16="http://schemas.microsoft.com/office/drawing/2014/main" id="{9E0C8631-7D4E-4369-A46D-1F8544EF1377}"/>
            </a:ext>
          </a:extLst>
        </xdr:cNvPr>
        <xdr:cNvPicPr>
          <a:picLocks noChangeAspect="1"/>
        </xdr:cNvPicPr>
      </xdr:nvPicPr>
      <xdr:blipFill>
        <a:blip xmlns:r="http://schemas.openxmlformats.org/officeDocument/2006/relationships" r:embed="rId3"/>
        <a:stretch>
          <a:fillRect/>
        </a:stretch>
      </xdr:blipFill>
      <xdr:spPr>
        <a:xfrm>
          <a:off x="23308582" y="12571185"/>
          <a:ext cx="887172" cy="294648"/>
        </a:xfrm>
        <a:prstGeom prst="rect">
          <a:avLst/>
        </a:prstGeom>
      </xdr:spPr>
    </xdr:pic>
    <xdr:clientData/>
  </xdr:twoCellAnchor>
  <xdr:twoCellAnchor editAs="oneCell">
    <xdr:from>
      <xdr:col>0</xdr:col>
      <xdr:colOff>204107</xdr:colOff>
      <xdr:row>62</xdr:row>
      <xdr:rowOff>122465</xdr:rowOff>
    </xdr:from>
    <xdr:to>
      <xdr:col>1</xdr:col>
      <xdr:colOff>31456</xdr:colOff>
      <xdr:row>63</xdr:row>
      <xdr:rowOff>140755</xdr:rowOff>
    </xdr:to>
    <xdr:pic>
      <xdr:nvPicPr>
        <xdr:cNvPr id="10" name="Picture 9">
          <a:extLst>
            <a:ext uri="{FF2B5EF4-FFF2-40B4-BE49-F238E27FC236}">
              <a16:creationId xmlns:a16="http://schemas.microsoft.com/office/drawing/2014/main" id="{E6201A3D-4A69-45B7-A73A-068AAD71FF36}"/>
            </a:ext>
          </a:extLst>
        </xdr:cNvPr>
        <xdr:cNvPicPr>
          <a:picLocks noChangeAspect="1"/>
        </xdr:cNvPicPr>
      </xdr:nvPicPr>
      <xdr:blipFill>
        <a:blip xmlns:r="http://schemas.openxmlformats.org/officeDocument/2006/relationships" r:embed="rId4"/>
        <a:stretch>
          <a:fillRect/>
        </a:stretch>
      </xdr:blipFill>
      <xdr:spPr>
        <a:xfrm>
          <a:off x="200932" y="12631965"/>
          <a:ext cx="163899" cy="215140"/>
        </a:xfrm>
        <a:prstGeom prst="rect">
          <a:avLst/>
        </a:prstGeom>
      </xdr:spPr>
    </xdr:pic>
    <xdr:clientData/>
  </xdr:twoCellAnchor>
  <xdr:twoCellAnchor editAs="oneCell">
    <xdr:from>
      <xdr:col>0</xdr:col>
      <xdr:colOff>190500</xdr:colOff>
      <xdr:row>136</xdr:row>
      <xdr:rowOff>108857</xdr:rowOff>
    </xdr:from>
    <xdr:to>
      <xdr:col>1</xdr:col>
      <xdr:colOff>21024</xdr:colOff>
      <xdr:row>137</xdr:row>
      <xdr:rowOff>130322</xdr:rowOff>
    </xdr:to>
    <xdr:pic>
      <xdr:nvPicPr>
        <xdr:cNvPr id="11" name="Picture 10">
          <a:extLst>
            <a:ext uri="{FF2B5EF4-FFF2-40B4-BE49-F238E27FC236}">
              <a16:creationId xmlns:a16="http://schemas.microsoft.com/office/drawing/2014/main" id="{0420F5BF-654B-47FD-8885-80583EB7DA90}"/>
            </a:ext>
          </a:extLst>
        </xdr:cNvPr>
        <xdr:cNvPicPr>
          <a:picLocks noChangeAspect="1"/>
        </xdr:cNvPicPr>
      </xdr:nvPicPr>
      <xdr:blipFill>
        <a:blip xmlns:r="http://schemas.openxmlformats.org/officeDocument/2006/relationships" r:embed="rId4"/>
        <a:stretch>
          <a:fillRect/>
        </a:stretch>
      </xdr:blipFill>
      <xdr:spPr>
        <a:xfrm>
          <a:off x="190500" y="27842482"/>
          <a:ext cx="163899" cy="224665"/>
        </a:xfrm>
        <a:prstGeom prst="rect">
          <a:avLst/>
        </a:prstGeom>
      </xdr:spPr>
    </xdr:pic>
    <xdr:clientData/>
  </xdr:twoCellAnchor>
  <xdr:twoCellAnchor editAs="oneCell">
    <xdr:from>
      <xdr:col>0</xdr:col>
      <xdr:colOff>190500</xdr:colOff>
      <xdr:row>202</xdr:row>
      <xdr:rowOff>95251</xdr:rowOff>
    </xdr:from>
    <xdr:to>
      <xdr:col>1</xdr:col>
      <xdr:colOff>21024</xdr:colOff>
      <xdr:row>203</xdr:row>
      <xdr:rowOff>116716</xdr:rowOff>
    </xdr:to>
    <xdr:pic>
      <xdr:nvPicPr>
        <xdr:cNvPr id="12" name="Picture 11">
          <a:extLst>
            <a:ext uri="{FF2B5EF4-FFF2-40B4-BE49-F238E27FC236}">
              <a16:creationId xmlns:a16="http://schemas.microsoft.com/office/drawing/2014/main" id="{38040D47-7980-4EB6-A1EE-41E4A5874E8D}"/>
            </a:ext>
          </a:extLst>
        </xdr:cNvPr>
        <xdr:cNvPicPr>
          <a:picLocks noChangeAspect="1"/>
        </xdr:cNvPicPr>
      </xdr:nvPicPr>
      <xdr:blipFill>
        <a:blip xmlns:r="http://schemas.openxmlformats.org/officeDocument/2006/relationships" r:embed="rId4"/>
        <a:stretch>
          <a:fillRect/>
        </a:stretch>
      </xdr:blipFill>
      <xdr:spPr>
        <a:xfrm>
          <a:off x="190500" y="41071801"/>
          <a:ext cx="163899" cy="221490"/>
        </a:xfrm>
        <a:prstGeom prst="rect">
          <a:avLst/>
        </a:prstGeom>
      </xdr:spPr>
    </xdr:pic>
    <xdr:clientData/>
  </xdr:twoCellAnchor>
  <xdr:twoCellAnchor editAs="oneCell">
    <xdr:from>
      <xdr:col>0</xdr:col>
      <xdr:colOff>163286</xdr:colOff>
      <xdr:row>322</xdr:row>
      <xdr:rowOff>163286</xdr:rowOff>
    </xdr:from>
    <xdr:to>
      <xdr:col>0</xdr:col>
      <xdr:colOff>330814</xdr:colOff>
      <xdr:row>323</xdr:row>
      <xdr:rowOff>181576</xdr:rowOff>
    </xdr:to>
    <xdr:pic>
      <xdr:nvPicPr>
        <xdr:cNvPr id="13" name="Picture 12">
          <a:extLst>
            <a:ext uri="{FF2B5EF4-FFF2-40B4-BE49-F238E27FC236}">
              <a16:creationId xmlns:a16="http://schemas.microsoft.com/office/drawing/2014/main" id="{D050017A-F805-4596-9D35-E8FE670D8D8A}"/>
            </a:ext>
          </a:extLst>
        </xdr:cNvPr>
        <xdr:cNvPicPr>
          <a:picLocks noChangeAspect="1"/>
        </xdr:cNvPicPr>
      </xdr:nvPicPr>
      <xdr:blipFill>
        <a:blip xmlns:r="http://schemas.openxmlformats.org/officeDocument/2006/relationships" r:embed="rId4"/>
        <a:stretch>
          <a:fillRect/>
        </a:stretch>
      </xdr:blipFill>
      <xdr:spPr>
        <a:xfrm>
          <a:off x="160111" y="60215236"/>
          <a:ext cx="170703" cy="22149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22</xdr:col>
      <xdr:colOff>1095375</xdr:colOff>
      <xdr:row>325</xdr:row>
      <xdr:rowOff>123825</xdr:rowOff>
    </xdr:from>
    <xdr:to>
      <xdr:col>22</xdr:col>
      <xdr:colOff>1895475</xdr:colOff>
      <xdr:row>326</xdr:row>
      <xdr:rowOff>152400</xdr:rowOff>
    </xdr:to>
    <xdr:pic>
      <xdr:nvPicPr>
        <xdr:cNvPr id="2" name="Picture 1" descr="C:\WINDOWS\TEMP\~0003946.gif">
          <a:extLst>
            <a:ext uri="{FF2B5EF4-FFF2-40B4-BE49-F238E27FC236}">
              <a16:creationId xmlns:a16="http://schemas.microsoft.com/office/drawing/2014/main" id="{6590CD82-B96E-4527-AA83-C392F9A4DF8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276050" y="6521450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202</xdr:row>
      <xdr:rowOff>152400</xdr:rowOff>
    </xdr:from>
    <xdr:to>
      <xdr:col>22</xdr:col>
      <xdr:colOff>1924050</xdr:colOff>
      <xdr:row>203</xdr:row>
      <xdr:rowOff>180975</xdr:rowOff>
    </xdr:to>
    <xdr:pic>
      <xdr:nvPicPr>
        <xdr:cNvPr id="3" name="Picture 2" descr="C:\WINDOWS\TEMP\~0003946.gif">
          <a:extLst>
            <a:ext uri="{FF2B5EF4-FFF2-40B4-BE49-F238E27FC236}">
              <a16:creationId xmlns:a16="http://schemas.microsoft.com/office/drawing/2014/main" id="{79AEA12C-6375-4048-9D5C-D882F65D0FB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279225" y="4112895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4" name="Picture 3" descr="C:\WINDOWS\TEMP\~0003946.gif">
          <a:extLst>
            <a:ext uri="{FF2B5EF4-FFF2-40B4-BE49-F238E27FC236}">
              <a16:creationId xmlns:a16="http://schemas.microsoft.com/office/drawing/2014/main" id="{09E80ED9-07C2-4C13-A7DD-852FCB4072F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276050" y="2789555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CBBEFCC0-0A14-45B7-98A7-07EED688A09B}"/>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276050" y="1266507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13607</xdr:colOff>
      <xdr:row>325</xdr:row>
      <xdr:rowOff>27215</xdr:rowOff>
    </xdr:from>
    <xdr:to>
      <xdr:col>22</xdr:col>
      <xdr:colOff>897604</xdr:colOff>
      <xdr:row>326</xdr:row>
      <xdr:rowOff>121838</xdr:rowOff>
    </xdr:to>
    <xdr:pic>
      <xdr:nvPicPr>
        <xdr:cNvPr id="6" name="Picture 5">
          <a:extLst>
            <a:ext uri="{FF2B5EF4-FFF2-40B4-BE49-F238E27FC236}">
              <a16:creationId xmlns:a16="http://schemas.microsoft.com/office/drawing/2014/main" id="{354F7B9C-641B-40B6-BBEF-352B04419184}"/>
            </a:ext>
          </a:extLst>
        </xdr:cNvPr>
        <xdr:cNvPicPr>
          <a:picLocks noChangeAspect="1"/>
        </xdr:cNvPicPr>
      </xdr:nvPicPr>
      <xdr:blipFill>
        <a:blip xmlns:r="http://schemas.openxmlformats.org/officeDocument/2006/relationships" r:embed="rId3"/>
        <a:stretch>
          <a:fillRect/>
        </a:stretch>
      </xdr:blipFill>
      <xdr:spPr>
        <a:xfrm>
          <a:off x="23308582" y="65124240"/>
          <a:ext cx="887172" cy="291473"/>
        </a:xfrm>
        <a:prstGeom prst="rect">
          <a:avLst/>
        </a:prstGeom>
      </xdr:spPr>
    </xdr:pic>
    <xdr:clientData/>
  </xdr:twoCellAnchor>
  <xdr:twoCellAnchor editAs="oneCell">
    <xdr:from>
      <xdr:col>22</xdr:col>
      <xdr:colOff>0</xdr:colOff>
      <xdr:row>202</xdr:row>
      <xdr:rowOff>0</xdr:rowOff>
    </xdr:from>
    <xdr:to>
      <xdr:col>22</xdr:col>
      <xdr:colOff>883997</xdr:colOff>
      <xdr:row>203</xdr:row>
      <xdr:rowOff>94623</xdr:rowOff>
    </xdr:to>
    <xdr:pic>
      <xdr:nvPicPr>
        <xdr:cNvPr id="7" name="Picture 6">
          <a:extLst>
            <a:ext uri="{FF2B5EF4-FFF2-40B4-BE49-F238E27FC236}">
              <a16:creationId xmlns:a16="http://schemas.microsoft.com/office/drawing/2014/main" id="{77410333-F704-4DAF-BD23-1262B5DFC002}"/>
            </a:ext>
          </a:extLst>
        </xdr:cNvPr>
        <xdr:cNvPicPr>
          <a:picLocks noChangeAspect="1"/>
        </xdr:cNvPicPr>
      </xdr:nvPicPr>
      <xdr:blipFill>
        <a:blip xmlns:r="http://schemas.openxmlformats.org/officeDocument/2006/relationships" r:embed="rId3"/>
        <a:stretch>
          <a:fillRect/>
        </a:stretch>
      </xdr:blipFill>
      <xdr:spPr>
        <a:xfrm>
          <a:off x="23298150" y="40976550"/>
          <a:ext cx="883997" cy="294648"/>
        </a:xfrm>
        <a:prstGeom prst="rect">
          <a:avLst/>
        </a:prstGeom>
      </xdr:spPr>
    </xdr:pic>
    <xdr:clientData/>
  </xdr:twoCellAnchor>
  <xdr:twoCellAnchor editAs="oneCell">
    <xdr:from>
      <xdr:col>22</xdr:col>
      <xdr:colOff>0</xdr:colOff>
      <xdr:row>136</xdr:row>
      <xdr:rowOff>0</xdr:rowOff>
    </xdr:from>
    <xdr:to>
      <xdr:col>22</xdr:col>
      <xdr:colOff>883997</xdr:colOff>
      <xdr:row>137</xdr:row>
      <xdr:rowOff>94623</xdr:rowOff>
    </xdr:to>
    <xdr:pic>
      <xdr:nvPicPr>
        <xdr:cNvPr id="8" name="Picture 7">
          <a:extLst>
            <a:ext uri="{FF2B5EF4-FFF2-40B4-BE49-F238E27FC236}">
              <a16:creationId xmlns:a16="http://schemas.microsoft.com/office/drawing/2014/main" id="{C6028496-7F2C-47C7-B916-570378667B77}"/>
            </a:ext>
          </a:extLst>
        </xdr:cNvPr>
        <xdr:cNvPicPr>
          <a:picLocks noChangeAspect="1"/>
        </xdr:cNvPicPr>
      </xdr:nvPicPr>
      <xdr:blipFill>
        <a:blip xmlns:r="http://schemas.openxmlformats.org/officeDocument/2006/relationships" r:embed="rId3"/>
        <a:stretch>
          <a:fillRect/>
        </a:stretch>
      </xdr:blipFill>
      <xdr:spPr>
        <a:xfrm>
          <a:off x="23298150" y="27736800"/>
          <a:ext cx="883997" cy="294648"/>
        </a:xfrm>
        <a:prstGeom prst="rect">
          <a:avLst/>
        </a:prstGeom>
      </xdr:spPr>
    </xdr:pic>
    <xdr:clientData/>
  </xdr:twoCellAnchor>
  <xdr:twoCellAnchor editAs="oneCell">
    <xdr:from>
      <xdr:col>22</xdr:col>
      <xdr:colOff>13607</xdr:colOff>
      <xdr:row>62</xdr:row>
      <xdr:rowOff>68035</xdr:rowOff>
    </xdr:from>
    <xdr:to>
      <xdr:col>22</xdr:col>
      <xdr:colOff>897604</xdr:colOff>
      <xdr:row>63</xdr:row>
      <xdr:rowOff>162658</xdr:rowOff>
    </xdr:to>
    <xdr:pic>
      <xdr:nvPicPr>
        <xdr:cNvPr id="9" name="Picture 8">
          <a:extLst>
            <a:ext uri="{FF2B5EF4-FFF2-40B4-BE49-F238E27FC236}">
              <a16:creationId xmlns:a16="http://schemas.microsoft.com/office/drawing/2014/main" id="{09040D83-6B38-458C-8324-CB5B630DDA0A}"/>
            </a:ext>
          </a:extLst>
        </xdr:cNvPr>
        <xdr:cNvPicPr>
          <a:picLocks noChangeAspect="1"/>
        </xdr:cNvPicPr>
      </xdr:nvPicPr>
      <xdr:blipFill>
        <a:blip xmlns:r="http://schemas.openxmlformats.org/officeDocument/2006/relationships" r:embed="rId3"/>
        <a:stretch>
          <a:fillRect/>
        </a:stretch>
      </xdr:blipFill>
      <xdr:spPr>
        <a:xfrm>
          <a:off x="23308582" y="12571185"/>
          <a:ext cx="887172" cy="297823"/>
        </a:xfrm>
        <a:prstGeom prst="rect">
          <a:avLst/>
        </a:prstGeom>
      </xdr:spPr>
    </xdr:pic>
    <xdr:clientData/>
  </xdr:twoCellAnchor>
  <xdr:twoCellAnchor editAs="oneCell">
    <xdr:from>
      <xdr:col>0</xdr:col>
      <xdr:colOff>204107</xdr:colOff>
      <xdr:row>62</xdr:row>
      <xdr:rowOff>122465</xdr:rowOff>
    </xdr:from>
    <xdr:to>
      <xdr:col>1</xdr:col>
      <xdr:colOff>28281</xdr:colOff>
      <xdr:row>63</xdr:row>
      <xdr:rowOff>143930</xdr:rowOff>
    </xdr:to>
    <xdr:pic>
      <xdr:nvPicPr>
        <xdr:cNvPr id="10" name="Picture 9">
          <a:extLst>
            <a:ext uri="{FF2B5EF4-FFF2-40B4-BE49-F238E27FC236}">
              <a16:creationId xmlns:a16="http://schemas.microsoft.com/office/drawing/2014/main" id="{E87E4921-70CE-4429-83FC-0252B86FBE92}"/>
            </a:ext>
          </a:extLst>
        </xdr:cNvPr>
        <xdr:cNvPicPr>
          <a:picLocks noChangeAspect="1"/>
        </xdr:cNvPicPr>
      </xdr:nvPicPr>
      <xdr:blipFill>
        <a:blip xmlns:r="http://schemas.openxmlformats.org/officeDocument/2006/relationships" r:embed="rId4"/>
        <a:stretch>
          <a:fillRect/>
        </a:stretch>
      </xdr:blipFill>
      <xdr:spPr>
        <a:xfrm>
          <a:off x="200932" y="12631965"/>
          <a:ext cx="160724" cy="218315"/>
        </a:xfrm>
        <a:prstGeom prst="rect">
          <a:avLst/>
        </a:prstGeom>
      </xdr:spPr>
    </xdr:pic>
    <xdr:clientData/>
  </xdr:twoCellAnchor>
  <xdr:twoCellAnchor editAs="oneCell">
    <xdr:from>
      <xdr:col>0</xdr:col>
      <xdr:colOff>190500</xdr:colOff>
      <xdr:row>136</xdr:row>
      <xdr:rowOff>108857</xdr:rowOff>
    </xdr:from>
    <xdr:to>
      <xdr:col>1</xdr:col>
      <xdr:colOff>21024</xdr:colOff>
      <xdr:row>137</xdr:row>
      <xdr:rowOff>130322</xdr:rowOff>
    </xdr:to>
    <xdr:pic>
      <xdr:nvPicPr>
        <xdr:cNvPr id="11" name="Picture 10">
          <a:extLst>
            <a:ext uri="{FF2B5EF4-FFF2-40B4-BE49-F238E27FC236}">
              <a16:creationId xmlns:a16="http://schemas.microsoft.com/office/drawing/2014/main" id="{FE7C7159-F22C-48A9-A869-665C021BFA2D}"/>
            </a:ext>
          </a:extLst>
        </xdr:cNvPr>
        <xdr:cNvPicPr>
          <a:picLocks noChangeAspect="1"/>
        </xdr:cNvPicPr>
      </xdr:nvPicPr>
      <xdr:blipFill>
        <a:blip xmlns:r="http://schemas.openxmlformats.org/officeDocument/2006/relationships" r:embed="rId4"/>
        <a:stretch>
          <a:fillRect/>
        </a:stretch>
      </xdr:blipFill>
      <xdr:spPr>
        <a:xfrm>
          <a:off x="190500" y="27842482"/>
          <a:ext cx="163899" cy="224665"/>
        </a:xfrm>
        <a:prstGeom prst="rect">
          <a:avLst/>
        </a:prstGeom>
      </xdr:spPr>
    </xdr:pic>
    <xdr:clientData/>
  </xdr:twoCellAnchor>
  <xdr:twoCellAnchor editAs="oneCell">
    <xdr:from>
      <xdr:col>0</xdr:col>
      <xdr:colOff>190500</xdr:colOff>
      <xdr:row>202</xdr:row>
      <xdr:rowOff>95251</xdr:rowOff>
    </xdr:from>
    <xdr:to>
      <xdr:col>1</xdr:col>
      <xdr:colOff>21024</xdr:colOff>
      <xdr:row>203</xdr:row>
      <xdr:rowOff>116716</xdr:rowOff>
    </xdr:to>
    <xdr:pic>
      <xdr:nvPicPr>
        <xdr:cNvPr id="12" name="Picture 11">
          <a:extLst>
            <a:ext uri="{FF2B5EF4-FFF2-40B4-BE49-F238E27FC236}">
              <a16:creationId xmlns:a16="http://schemas.microsoft.com/office/drawing/2014/main" id="{07EAFCF6-F76A-4141-88FF-11F06092A897}"/>
            </a:ext>
          </a:extLst>
        </xdr:cNvPr>
        <xdr:cNvPicPr>
          <a:picLocks noChangeAspect="1"/>
        </xdr:cNvPicPr>
      </xdr:nvPicPr>
      <xdr:blipFill>
        <a:blip xmlns:r="http://schemas.openxmlformats.org/officeDocument/2006/relationships" r:embed="rId4"/>
        <a:stretch>
          <a:fillRect/>
        </a:stretch>
      </xdr:blipFill>
      <xdr:spPr>
        <a:xfrm>
          <a:off x="190500" y="41071801"/>
          <a:ext cx="163899" cy="221490"/>
        </a:xfrm>
        <a:prstGeom prst="rect">
          <a:avLst/>
        </a:prstGeom>
      </xdr:spPr>
    </xdr:pic>
    <xdr:clientData/>
  </xdr:twoCellAnchor>
  <xdr:twoCellAnchor editAs="oneCell">
    <xdr:from>
      <xdr:col>0</xdr:col>
      <xdr:colOff>163286</xdr:colOff>
      <xdr:row>325</xdr:row>
      <xdr:rowOff>163286</xdr:rowOff>
    </xdr:from>
    <xdr:to>
      <xdr:col>1</xdr:col>
      <xdr:colOff>614</xdr:colOff>
      <xdr:row>326</xdr:row>
      <xdr:rowOff>178401</xdr:rowOff>
    </xdr:to>
    <xdr:pic>
      <xdr:nvPicPr>
        <xdr:cNvPr id="13" name="Picture 12">
          <a:extLst>
            <a:ext uri="{FF2B5EF4-FFF2-40B4-BE49-F238E27FC236}">
              <a16:creationId xmlns:a16="http://schemas.microsoft.com/office/drawing/2014/main" id="{66D87147-D07D-4943-8EE1-950E337FEF6C}"/>
            </a:ext>
          </a:extLst>
        </xdr:cNvPr>
        <xdr:cNvPicPr>
          <a:picLocks noChangeAspect="1"/>
        </xdr:cNvPicPr>
      </xdr:nvPicPr>
      <xdr:blipFill>
        <a:blip xmlns:r="http://schemas.openxmlformats.org/officeDocument/2006/relationships" r:embed="rId4"/>
        <a:stretch>
          <a:fillRect/>
        </a:stretch>
      </xdr:blipFill>
      <xdr:spPr>
        <a:xfrm>
          <a:off x="160111" y="65253961"/>
          <a:ext cx="173878" cy="218315"/>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22</xdr:col>
      <xdr:colOff>1095375</xdr:colOff>
      <xdr:row>326</xdr:row>
      <xdr:rowOff>123825</xdr:rowOff>
    </xdr:from>
    <xdr:to>
      <xdr:col>22</xdr:col>
      <xdr:colOff>1895475</xdr:colOff>
      <xdr:row>327</xdr:row>
      <xdr:rowOff>152400</xdr:rowOff>
    </xdr:to>
    <xdr:pic>
      <xdr:nvPicPr>
        <xdr:cNvPr id="2" name="Picture 1" descr="C:\WINDOWS\TEMP\~0003946.gif">
          <a:extLst>
            <a:ext uri="{FF2B5EF4-FFF2-40B4-BE49-F238E27FC236}">
              <a16:creationId xmlns:a16="http://schemas.microsoft.com/office/drawing/2014/main" id="{BCEB6E5B-CCD4-4868-94A2-E4AF0C01589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276050" y="6581457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203</xdr:row>
      <xdr:rowOff>152400</xdr:rowOff>
    </xdr:from>
    <xdr:to>
      <xdr:col>22</xdr:col>
      <xdr:colOff>1924050</xdr:colOff>
      <xdr:row>204</xdr:row>
      <xdr:rowOff>180975</xdr:rowOff>
    </xdr:to>
    <xdr:pic>
      <xdr:nvPicPr>
        <xdr:cNvPr id="3" name="Picture 2" descr="C:\WINDOWS\TEMP\~0003946.gif">
          <a:extLst>
            <a:ext uri="{FF2B5EF4-FFF2-40B4-BE49-F238E27FC236}">
              <a16:creationId xmlns:a16="http://schemas.microsoft.com/office/drawing/2014/main" id="{3219085B-FA14-494F-9DFE-9222345F2D6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279225" y="4112895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137</xdr:row>
      <xdr:rowOff>161925</xdr:rowOff>
    </xdr:from>
    <xdr:to>
      <xdr:col>22</xdr:col>
      <xdr:colOff>1952625</xdr:colOff>
      <xdr:row>138</xdr:row>
      <xdr:rowOff>190500</xdr:rowOff>
    </xdr:to>
    <xdr:pic>
      <xdr:nvPicPr>
        <xdr:cNvPr id="4" name="Picture 3" descr="C:\WINDOWS\TEMP\~0003946.gif">
          <a:extLst>
            <a:ext uri="{FF2B5EF4-FFF2-40B4-BE49-F238E27FC236}">
              <a16:creationId xmlns:a16="http://schemas.microsoft.com/office/drawing/2014/main" id="{2C68A6A8-C53A-482C-BCD4-94BC525914A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276050" y="2789555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4A5A98B3-0566-4704-8B44-CE3170C6C58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276050" y="1266507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13607</xdr:colOff>
      <xdr:row>326</xdr:row>
      <xdr:rowOff>27215</xdr:rowOff>
    </xdr:from>
    <xdr:to>
      <xdr:col>22</xdr:col>
      <xdr:colOff>897604</xdr:colOff>
      <xdr:row>327</xdr:row>
      <xdr:rowOff>125013</xdr:rowOff>
    </xdr:to>
    <xdr:pic>
      <xdr:nvPicPr>
        <xdr:cNvPr id="6" name="Picture 5">
          <a:extLst>
            <a:ext uri="{FF2B5EF4-FFF2-40B4-BE49-F238E27FC236}">
              <a16:creationId xmlns:a16="http://schemas.microsoft.com/office/drawing/2014/main" id="{75199D06-74F1-4A1A-B3F7-B7DA77541B6D}"/>
            </a:ext>
          </a:extLst>
        </xdr:cNvPr>
        <xdr:cNvPicPr>
          <a:picLocks noChangeAspect="1"/>
        </xdr:cNvPicPr>
      </xdr:nvPicPr>
      <xdr:blipFill>
        <a:blip xmlns:r="http://schemas.openxmlformats.org/officeDocument/2006/relationships" r:embed="rId3"/>
        <a:stretch>
          <a:fillRect/>
        </a:stretch>
      </xdr:blipFill>
      <xdr:spPr>
        <a:xfrm>
          <a:off x="23308582" y="65724315"/>
          <a:ext cx="887172" cy="294648"/>
        </a:xfrm>
        <a:prstGeom prst="rect">
          <a:avLst/>
        </a:prstGeom>
      </xdr:spPr>
    </xdr:pic>
    <xdr:clientData/>
  </xdr:twoCellAnchor>
  <xdr:twoCellAnchor editAs="oneCell">
    <xdr:from>
      <xdr:col>22</xdr:col>
      <xdr:colOff>0</xdr:colOff>
      <xdr:row>203</xdr:row>
      <xdr:rowOff>0</xdr:rowOff>
    </xdr:from>
    <xdr:to>
      <xdr:col>22</xdr:col>
      <xdr:colOff>887172</xdr:colOff>
      <xdr:row>204</xdr:row>
      <xdr:rowOff>94623</xdr:rowOff>
    </xdr:to>
    <xdr:pic>
      <xdr:nvPicPr>
        <xdr:cNvPr id="7" name="Picture 6">
          <a:extLst>
            <a:ext uri="{FF2B5EF4-FFF2-40B4-BE49-F238E27FC236}">
              <a16:creationId xmlns:a16="http://schemas.microsoft.com/office/drawing/2014/main" id="{1BF7344B-48EF-4BFA-9351-BE06D4629CD0}"/>
            </a:ext>
          </a:extLst>
        </xdr:cNvPr>
        <xdr:cNvPicPr>
          <a:picLocks noChangeAspect="1"/>
        </xdr:cNvPicPr>
      </xdr:nvPicPr>
      <xdr:blipFill>
        <a:blip xmlns:r="http://schemas.openxmlformats.org/officeDocument/2006/relationships" r:embed="rId3"/>
        <a:stretch>
          <a:fillRect/>
        </a:stretch>
      </xdr:blipFill>
      <xdr:spPr>
        <a:xfrm>
          <a:off x="23298150" y="40976550"/>
          <a:ext cx="887172" cy="294648"/>
        </a:xfrm>
        <a:prstGeom prst="rect">
          <a:avLst/>
        </a:prstGeom>
      </xdr:spPr>
    </xdr:pic>
    <xdr:clientData/>
  </xdr:twoCellAnchor>
  <xdr:twoCellAnchor editAs="oneCell">
    <xdr:from>
      <xdr:col>22</xdr:col>
      <xdr:colOff>0</xdr:colOff>
      <xdr:row>137</xdr:row>
      <xdr:rowOff>0</xdr:rowOff>
    </xdr:from>
    <xdr:to>
      <xdr:col>22</xdr:col>
      <xdr:colOff>887172</xdr:colOff>
      <xdr:row>138</xdr:row>
      <xdr:rowOff>94624</xdr:rowOff>
    </xdr:to>
    <xdr:pic>
      <xdr:nvPicPr>
        <xdr:cNvPr id="8" name="Picture 7">
          <a:extLst>
            <a:ext uri="{FF2B5EF4-FFF2-40B4-BE49-F238E27FC236}">
              <a16:creationId xmlns:a16="http://schemas.microsoft.com/office/drawing/2014/main" id="{90635BD4-39B5-4E2B-85A3-1C24CD6482A6}"/>
            </a:ext>
          </a:extLst>
        </xdr:cNvPr>
        <xdr:cNvPicPr>
          <a:picLocks noChangeAspect="1"/>
        </xdr:cNvPicPr>
      </xdr:nvPicPr>
      <xdr:blipFill>
        <a:blip xmlns:r="http://schemas.openxmlformats.org/officeDocument/2006/relationships" r:embed="rId3"/>
        <a:stretch>
          <a:fillRect/>
        </a:stretch>
      </xdr:blipFill>
      <xdr:spPr>
        <a:xfrm>
          <a:off x="23298150" y="27736800"/>
          <a:ext cx="887172" cy="294648"/>
        </a:xfrm>
        <a:prstGeom prst="rect">
          <a:avLst/>
        </a:prstGeom>
      </xdr:spPr>
    </xdr:pic>
    <xdr:clientData/>
  </xdr:twoCellAnchor>
  <xdr:twoCellAnchor editAs="oneCell">
    <xdr:from>
      <xdr:col>22</xdr:col>
      <xdr:colOff>13607</xdr:colOff>
      <xdr:row>62</xdr:row>
      <xdr:rowOff>68035</xdr:rowOff>
    </xdr:from>
    <xdr:to>
      <xdr:col>22</xdr:col>
      <xdr:colOff>897604</xdr:colOff>
      <xdr:row>63</xdr:row>
      <xdr:rowOff>159483</xdr:rowOff>
    </xdr:to>
    <xdr:pic>
      <xdr:nvPicPr>
        <xdr:cNvPr id="9" name="Picture 8">
          <a:extLst>
            <a:ext uri="{FF2B5EF4-FFF2-40B4-BE49-F238E27FC236}">
              <a16:creationId xmlns:a16="http://schemas.microsoft.com/office/drawing/2014/main" id="{85BF4DE4-335D-433B-828B-70A78662C30D}"/>
            </a:ext>
          </a:extLst>
        </xdr:cNvPr>
        <xdr:cNvPicPr>
          <a:picLocks noChangeAspect="1"/>
        </xdr:cNvPicPr>
      </xdr:nvPicPr>
      <xdr:blipFill>
        <a:blip xmlns:r="http://schemas.openxmlformats.org/officeDocument/2006/relationships" r:embed="rId3"/>
        <a:stretch>
          <a:fillRect/>
        </a:stretch>
      </xdr:blipFill>
      <xdr:spPr>
        <a:xfrm>
          <a:off x="23308582" y="12571185"/>
          <a:ext cx="887172" cy="294648"/>
        </a:xfrm>
        <a:prstGeom prst="rect">
          <a:avLst/>
        </a:prstGeom>
      </xdr:spPr>
    </xdr:pic>
    <xdr:clientData/>
  </xdr:twoCellAnchor>
  <xdr:twoCellAnchor editAs="oneCell">
    <xdr:from>
      <xdr:col>0</xdr:col>
      <xdr:colOff>204107</xdr:colOff>
      <xdr:row>62</xdr:row>
      <xdr:rowOff>122465</xdr:rowOff>
    </xdr:from>
    <xdr:to>
      <xdr:col>1</xdr:col>
      <xdr:colOff>31456</xdr:colOff>
      <xdr:row>63</xdr:row>
      <xdr:rowOff>140755</xdr:rowOff>
    </xdr:to>
    <xdr:pic>
      <xdr:nvPicPr>
        <xdr:cNvPr id="10" name="Picture 9">
          <a:extLst>
            <a:ext uri="{FF2B5EF4-FFF2-40B4-BE49-F238E27FC236}">
              <a16:creationId xmlns:a16="http://schemas.microsoft.com/office/drawing/2014/main" id="{E1CBA8B4-C9B1-44F7-845B-A92E4AB5D8E0}"/>
            </a:ext>
          </a:extLst>
        </xdr:cNvPr>
        <xdr:cNvPicPr>
          <a:picLocks noChangeAspect="1"/>
        </xdr:cNvPicPr>
      </xdr:nvPicPr>
      <xdr:blipFill>
        <a:blip xmlns:r="http://schemas.openxmlformats.org/officeDocument/2006/relationships" r:embed="rId4"/>
        <a:stretch>
          <a:fillRect/>
        </a:stretch>
      </xdr:blipFill>
      <xdr:spPr>
        <a:xfrm>
          <a:off x="200932" y="12631965"/>
          <a:ext cx="163899" cy="215140"/>
        </a:xfrm>
        <a:prstGeom prst="rect">
          <a:avLst/>
        </a:prstGeom>
      </xdr:spPr>
    </xdr:pic>
    <xdr:clientData/>
  </xdr:twoCellAnchor>
  <xdr:twoCellAnchor editAs="oneCell">
    <xdr:from>
      <xdr:col>0</xdr:col>
      <xdr:colOff>190500</xdr:colOff>
      <xdr:row>137</xdr:row>
      <xdr:rowOff>108857</xdr:rowOff>
    </xdr:from>
    <xdr:to>
      <xdr:col>1</xdr:col>
      <xdr:colOff>21024</xdr:colOff>
      <xdr:row>138</xdr:row>
      <xdr:rowOff>130323</xdr:rowOff>
    </xdr:to>
    <xdr:pic>
      <xdr:nvPicPr>
        <xdr:cNvPr id="11" name="Picture 10">
          <a:extLst>
            <a:ext uri="{FF2B5EF4-FFF2-40B4-BE49-F238E27FC236}">
              <a16:creationId xmlns:a16="http://schemas.microsoft.com/office/drawing/2014/main" id="{4C83992E-052A-4D6A-9E7B-BF5F8C025F0B}"/>
            </a:ext>
          </a:extLst>
        </xdr:cNvPr>
        <xdr:cNvPicPr>
          <a:picLocks noChangeAspect="1"/>
        </xdr:cNvPicPr>
      </xdr:nvPicPr>
      <xdr:blipFill>
        <a:blip xmlns:r="http://schemas.openxmlformats.org/officeDocument/2006/relationships" r:embed="rId4"/>
        <a:stretch>
          <a:fillRect/>
        </a:stretch>
      </xdr:blipFill>
      <xdr:spPr>
        <a:xfrm>
          <a:off x="190500" y="27842482"/>
          <a:ext cx="163899" cy="224665"/>
        </a:xfrm>
        <a:prstGeom prst="rect">
          <a:avLst/>
        </a:prstGeom>
      </xdr:spPr>
    </xdr:pic>
    <xdr:clientData/>
  </xdr:twoCellAnchor>
  <xdr:twoCellAnchor editAs="oneCell">
    <xdr:from>
      <xdr:col>0</xdr:col>
      <xdr:colOff>190500</xdr:colOff>
      <xdr:row>203</xdr:row>
      <xdr:rowOff>95251</xdr:rowOff>
    </xdr:from>
    <xdr:to>
      <xdr:col>1</xdr:col>
      <xdr:colOff>21024</xdr:colOff>
      <xdr:row>204</xdr:row>
      <xdr:rowOff>116716</xdr:rowOff>
    </xdr:to>
    <xdr:pic>
      <xdr:nvPicPr>
        <xdr:cNvPr id="12" name="Picture 11">
          <a:extLst>
            <a:ext uri="{FF2B5EF4-FFF2-40B4-BE49-F238E27FC236}">
              <a16:creationId xmlns:a16="http://schemas.microsoft.com/office/drawing/2014/main" id="{26A98830-5D1D-4CC3-95C5-9168220D1F6B}"/>
            </a:ext>
          </a:extLst>
        </xdr:cNvPr>
        <xdr:cNvPicPr>
          <a:picLocks noChangeAspect="1"/>
        </xdr:cNvPicPr>
      </xdr:nvPicPr>
      <xdr:blipFill>
        <a:blip xmlns:r="http://schemas.openxmlformats.org/officeDocument/2006/relationships" r:embed="rId4"/>
        <a:stretch>
          <a:fillRect/>
        </a:stretch>
      </xdr:blipFill>
      <xdr:spPr>
        <a:xfrm>
          <a:off x="190500" y="41071801"/>
          <a:ext cx="163899" cy="221490"/>
        </a:xfrm>
        <a:prstGeom prst="rect">
          <a:avLst/>
        </a:prstGeom>
      </xdr:spPr>
    </xdr:pic>
    <xdr:clientData/>
  </xdr:twoCellAnchor>
  <xdr:twoCellAnchor editAs="oneCell">
    <xdr:from>
      <xdr:col>0</xdr:col>
      <xdr:colOff>163286</xdr:colOff>
      <xdr:row>326</xdr:row>
      <xdr:rowOff>163286</xdr:rowOff>
    </xdr:from>
    <xdr:to>
      <xdr:col>1</xdr:col>
      <xdr:colOff>614</xdr:colOff>
      <xdr:row>327</xdr:row>
      <xdr:rowOff>181576</xdr:rowOff>
    </xdr:to>
    <xdr:pic>
      <xdr:nvPicPr>
        <xdr:cNvPr id="13" name="Picture 12">
          <a:extLst>
            <a:ext uri="{FF2B5EF4-FFF2-40B4-BE49-F238E27FC236}">
              <a16:creationId xmlns:a16="http://schemas.microsoft.com/office/drawing/2014/main" id="{D9023237-9DB7-48F3-B65B-693A8B25B297}"/>
            </a:ext>
          </a:extLst>
        </xdr:cNvPr>
        <xdr:cNvPicPr>
          <a:picLocks noChangeAspect="1"/>
        </xdr:cNvPicPr>
      </xdr:nvPicPr>
      <xdr:blipFill>
        <a:blip xmlns:r="http://schemas.openxmlformats.org/officeDocument/2006/relationships" r:embed="rId4"/>
        <a:stretch>
          <a:fillRect/>
        </a:stretch>
      </xdr:blipFill>
      <xdr:spPr>
        <a:xfrm>
          <a:off x="160111" y="65854036"/>
          <a:ext cx="173878" cy="2214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9457" name="Picture 1" descr="C:\WINDOWS\TEMP\Symbol.gif">
          <a:extLst>
            <a:ext uri="{FF2B5EF4-FFF2-40B4-BE49-F238E27FC236}">
              <a16:creationId xmlns:a16="http://schemas.microsoft.com/office/drawing/2014/main" id="{00000000-0008-0000-0500-0000117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29458" name="Picture 2" descr="C:\WINDOWS\TEMP\Symbol.gif">
          <a:extLst>
            <a:ext uri="{FF2B5EF4-FFF2-40B4-BE49-F238E27FC236}">
              <a16:creationId xmlns:a16="http://schemas.microsoft.com/office/drawing/2014/main" id="{00000000-0008-0000-0500-0000127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198</xdr:row>
      <xdr:rowOff>171450</xdr:rowOff>
    </xdr:from>
    <xdr:to>
      <xdr:col>1</xdr:col>
      <xdr:colOff>47625</xdr:colOff>
      <xdr:row>199</xdr:row>
      <xdr:rowOff>209550</xdr:rowOff>
    </xdr:to>
    <xdr:pic>
      <xdr:nvPicPr>
        <xdr:cNvPr id="29459" name="Picture 3" descr="C:\WINDOWS\TEMP\Symbol.gif">
          <a:extLst>
            <a:ext uri="{FF2B5EF4-FFF2-40B4-BE49-F238E27FC236}">
              <a16:creationId xmlns:a16="http://schemas.microsoft.com/office/drawing/2014/main" id="{00000000-0008-0000-0500-0000137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04145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282</xdr:row>
      <xdr:rowOff>161925</xdr:rowOff>
    </xdr:from>
    <xdr:to>
      <xdr:col>1</xdr:col>
      <xdr:colOff>19050</xdr:colOff>
      <xdr:row>283</xdr:row>
      <xdr:rowOff>200025</xdr:rowOff>
    </xdr:to>
    <xdr:pic>
      <xdr:nvPicPr>
        <xdr:cNvPr id="29460" name="Picture 4" descr="C:\WINDOWS\TEMP\Symbol.gif">
          <a:extLst>
            <a:ext uri="{FF2B5EF4-FFF2-40B4-BE49-F238E27FC236}">
              <a16:creationId xmlns:a16="http://schemas.microsoft.com/office/drawing/2014/main" id="{00000000-0008-0000-0500-0000147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72928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282</xdr:row>
      <xdr:rowOff>123825</xdr:rowOff>
    </xdr:from>
    <xdr:to>
      <xdr:col>22</xdr:col>
      <xdr:colOff>1895475</xdr:colOff>
      <xdr:row>283</xdr:row>
      <xdr:rowOff>152400</xdr:rowOff>
    </xdr:to>
    <xdr:pic>
      <xdr:nvPicPr>
        <xdr:cNvPr id="29461" name="Picture 5" descr="C:\WINDOWS\TEMP\~0003946.gif">
          <a:extLst>
            <a:ext uri="{FF2B5EF4-FFF2-40B4-BE49-F238E27FC236}">
              <a16:creationId xmlns:a16="http://schemas.microsoft.com/office/drawing/2014/main" id="{00000000-0008-0000-0500-00001573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7254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198</xdr:row>
      <xdr:rowOff>152400</xdr:rowOff>
    </xdr:from>
    <xdr:to>
      <xdr:col>22</xdr:col>
      <xdr:colOff>1924050</xdr:colOff>
      <xdr:row>199</xdr:row>
      <xdr:rowOff>180975</xdr:rowOff>
    </xdr:to>
    <xdr:pic>
      <xdr:nvPicPr>
        <xdr:cNvPr id="29462" name="Picture 6" descr="C:\WINDOWS\TEMP\~0003946.gif">
          <a:extLst>
            <a:ext uri="{FF2B5EF4-FFF2-40B4-BE49-F238E27FC236}">
              <a16:creationId xmlns:a16="http://schemas.microsoft.com/office/drawing/2014/main" id="{00000000-0008-0000-0500-00001673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03955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29463" name="Picture 7" descr="C:\WINDOWS\TEMP\~0003946.gif">
          <a:extLst>
            <a:ext uri="{FF2B5EF4-FFF2-40B4-BE49-F238E27FC236}">
              <a16:creationId xmlns:a16="http://schemas.microsoft.com/office/drawing/2014/main" id="{00000000-0008-0000-0500-00001773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29464" name="Picture 8" descr="C:\WINDOWS\TEMP\~0003946.gif">
          <a:extLst>
            <a:ext uri="{FF2B5EF4-FFF2-40B4-BE49-F238E27FC236}">
              <a16:creationId xmlns:a16="http://schemas.microsoft.com/office/drawing/2014/main" id="{00000000-0008-0000-0500-00001873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29465" name="Picture 9" descr="C:\WINDOWS\TEMP\~0003946.gif">
          <a:extLst>
            <a:ext uri="{FF2B5EF4-FFF2-40B4-BE49-F238E27FC236}">
              <a16:creationId xmlns:a16="http://schemas.microsoft.com/office/drawing/2014/main" id="{00000000-0008-0000-0500-00001973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29466" name="Picture 10" descr="C:\WINDOWS\TEMP\~0003946.gif">
          <a:extLst>
            <a:ext uri="{FF2B5EF4-FFF2-40B4-BE49-F238E27FC236}">
              <a16:creationId xmlns:a16="http://schemas.microsoft.com/office/drawing/2014/main" id="{00000000-0008-0000-0500-00001A73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198</xdr:row>
      <xdr:rowOff>104775</xdr:rowOff>
    </xdr:from>
    <xdr:to>
      <xdr:col>22</xdr:col>
      <xdr:colOff>809625</xdr:colOff>
      <xdr:row>199</xdr:row>
      <xdr:rowOff>133350</xdr:rowOff>
    </xdr:to>
    <xdr:pic>
      <xdr:nvPicPr>
        <xdr:cNvPr id="29467" name="Picture 11" descr="C:\WINDOWS\TEMP\~0003946.gif">
          <a:extLst>
            <a:ext uri="{FF2B5EF4-FFF2-40B4-BE49-F238E27FC236}">
              <a16:creationId xmlns:a16="http://schemas.microsoft.com/office/drawing/2014/main" id="{00000000-0008-0000-0500-00001B73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03479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282</xdr:row>
      <xdr:rowOff>104775</xdr:rowOff>
    </xdr:from>
    <xdr:to>
      <xdr:col>22</xdr:col>
      <xdr:colOff>895350</xdr:colOff>
      <xdr:row>283</xdr:row>
      <xdr:rowOff>133350</xdr:rowOff>
    </xdr:to>
    <xdr:pic>
      <xdr:nvPicPr>
        <xdr:cNvPr id="29468" name="Picture 12" descr="C:\WINDOWS\TEMP\~0003946.gif">
          <a:extLst>
            <a:ext uri="{FF2B5EF4-FFF2-40B4-BE49-F238E27FC236}">
              <a16:creationId xmlns:a16="http://schemas.microsoft.com/office/drawing/2014/main" id="{00000000-0008-0000-0500-00001C73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72357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29469" name="Picture 13" descr="logoMTL">
          <a:extLst>
            <a:ext uri="{FF2B5EF4-FFF2-40B4-BE49-F238E27FC236}">
              <a16:creationId xmlns:a16="http://schemas.microsoft.com/office/drawing/2014/main" id="{00000000-0008-0000-0500-00001D7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29470" name="Picture 14" descr="logoMTL">
          <a:extLst>
            <a:ext uri="{FF2B5EF4-FFF2-40B4-BE49-F238E27FC236}">
              <a16:creationId xmlns:a16="http://schemas.microsoft.com/office/drawing/2014/main" id="{00000000-0008-0000-0500-00001E7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198</xdr:row>
      <xdr:rowOff>28575</xdr:rowOff>
    </xdr:from>
    <xdr:to>
      <xdr:col>21</xdr:col>
      <xdr:colOff>1171575</xdr:colOff>
      <xdr:row>199</xdr:row>
      <xdr:rowOff>152400</xdr:rowOff>
    </xdr:to>
    <xdr:pic>
      <xdr:nvPicPr>
        <xdr:cNvPr id="29471" name="Picture 15" descr="logoMTL">
          <a:extLst>
            <a:ext uri="{FF2B5EF4-FFF2-40B4-BE49-F238E27FC236}">
              <a16:creationId xmlns:a16="http://schemas.microsoft.com/office/drawing/2014/main" id="{00000000-0008-0000-0500-00001F7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02717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282</xdr:row>
      <xdr:rowOff>0</xdr:rowOff>
    </xdr:from>
    <xdr:to>
      <xdr:col>21</xdr:col>
      <xdr:colOff>1228725</xdr:colOff>
      <xdr:row>283</xdr:row>
      <xdr:rowOff>123825</xdr:rowOff>
    </xdr:to>
    <xdr:pic>
      <xdr:nvPicPr>
        <xdr:cNvPr id="29472" name="Picture 16" descr="logoMTL">
          <a:extLst>
            <a:ext uri="{FF2B5EF4-FFF2-40B4-BE49-F238E27FC236}">
              <a16:creationId xmlns:a16="http://schemas.microsoft.com/office/drawing/2014/main" id="{00000000-0008-0000-0500-0000207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71309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30481" name="Picture 1" descr="C:\WINDOWS\TEMP\Symbol.gif">
          <a:extLst>
            <a:ext uri="{FF2B5EF4-FFF2-40B4-BE49-F238E27FC236}">
              <a16:creationId xmlns:a16="http://schemas.microsoft.com/office/drawing/2014/main" id="{00000000-0008-0000-0600-00001177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30482" name="Picture 2" descr="C:\WINDOWS\TEMP\Symbol.gif">
          <a:extLst>
            <a:ext uri="{FF2B5EF4-FFF2-40B4-BE49-F238E27FC236}">
              <a16:creationId xmlns:a16="http://schemas.microsoft.com/office/drawing/2014/main" id="{00000000-0008-0000-0600-00001277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198</xdr:row>
      <xdr:rowOff>171450</xdr:rowOff>
    </xdr:from>
    <xdr:to>
      <xdr:col>1</xdr:col>
      <xdr:colOff>47625</xdr:colOff>
      <xdr:row>199</xdr:row>
      <xdr:rowOff>209550</xdr:rowOff>
    </xdr:to>
    <xdr:pic>
      <xdr:nvPicPr>
        <xdr:cNvPr id="30483" name="Picture 3" descr="C:\WINDOWS\TEMP\Symbol.gif">
          <a:extLst>
            <a:ext uri="{FF2B5EF4-FFF2-40B4-BE49-F238E27FC236}">
              <a16:creationId xmlns:a16="http://schemas.microsoft.com/office/drawing/2014/main" id="{00000000-0008-0000-0600-0000137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47625" y="404145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282</xdr:row>
      <xdr:rowOff>161925</xdr:rowOff>
    </xdr:from>
    <xdr:to>
      <xdr:col>1</xdr:col>
      <xdr:colOff>19050</xdr:colOff>
      <xdr:row>283</xdr:row>
      <xdr:rowOff>200025</xdr:rowOff>
    </xdr:to>
    <xdr:pic>
      <xdr:nvPicPr>
        <xdr:cNvPr id="30484" name="Picture 4" descr="C:\WINDOWS\TEMP\Symbol.gif">
          <a:extLst>
            <a:ext uri="{FF2B5EF4-FFF2-40B4-BE49-F238E27FC236}">
              <a16:creationId xmlns:a16="http://schemas.microsoft.com/office/drawing/2014/main" id="{00000000-0008-0000-0600-0000147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9525" y="572928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282</xdr:row>
      <xdr:rowOff>123825</xdr:rowOff>
    </xdr:from>
    <xdr:to>
      <xdr:col>22</xdr:col>
      <xdr:colOff>1895475</xdr:colOff>
      <xdr:row>283</xdr:row>
      <xdr:rowOff>152400</xdr:rowOff>
    </xdr:to>
    <xdr:pic>
      <xdr:nvPicPr>
        <xdr:cNvPr id="30485" name="Picture 5" descr="C:\WINDOWS\TEMP\~0003946.gif">
          <a:extLst>
            <a:ext uri="{FF2B5EF4-FFF2-40B4-BE49-F238E27FC236}">
              <a16:creationId xmlns:a16="http://schemas.microsoft.com/office/drawing/2014/main" id="{00000000-0008-0000-0600-00001577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7254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198</xdr:row>
      <xdr:rowOff>152400</xdr:rowOff>
    </xdr:from>
    <xdr:to>
      <xdr:col>22</xdr:col>
      <xdr:colOff>1924050</xdr:colOff>
      <xdr:row>199</xdr:row>
      <xdr:rowOff>180975</xdr:rowOff>
    </xdr:to>
    <xdr:pic>
      <xdr:nvPicPr>
        <xdr:cNvPr id="30486" name="Picture 6" descr="C:\WINDOWS\TEMP\~0003946.gif">
          <a:extLst>
            <a:ext uri="{FF2B5EF4-FFF2-40B4-BE49-F238E27FC236}">
              <a16:creationId xmlns:a16="http://schemas.microsoft.com/office/drawing/2014/main" id="{00000000-0008-0000-0600-000016770000}"/>
            </a:ext>
          </a:extLst>
        </xdr:cNvPr>
        <xdr:cNvPicPr>
          <a:picLocks noChangeAspect="1" noChangeArrowheads="1"/>
        </xdr:cNvPicPr>
      </xdr:nvPicPr>
      <xdr:blipFill>
        <a:blip xmlns:r="http://schemas.openxmlformats.org/officeDocument/2006/relationships" r:link="rId4">
          <a:extLst>
            <a:ext uri="{28A0092B-C50C-407E-A947-70E740481C1C}">
              <a14:useLocalDpi xmlns:a14="http://schemas.microsoft.com/office/drawing/2010/main" val="0"/>
            </a:ext>
          </a:extLst>
        </a:blip>
        <a:srcRect/>
        <a:stretch>
          <a:fillRect/>
        </a:stretch>
      </xdr:blipFill>
      <xdr:spPr bwMode="auto">
        <a:xfrm>
          <a:off x="25222200" y="403955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30487" name="Picture 7" descr="C:\WINDOWS\TEMP\~0003946.gif">
          <a:extLst>
            <a:ext uri="{FF2B5EF4-FFF2-40B4-BE49-F238E27FC236}">
              <a16:creationId xmlns:a16="http://schemas.microsoft.com/office/drawing/2014/main" id="{00000000-0008-0000-0600-00001777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30488" name="Picture 8" descr="C:\WINDOWS\TEMP\~0003946.gif">
          <a:extLst>
            <a:ext uri="{FF2B5EF4-FFF2-40B4-BE49-F238E27FC236}">
              <a16:creationId xmlns:a16="http://schemas.microsoft.com/office/drawing/2014/main" id="{00000000-0008-0000-0600-00001877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30489" name="Picture 9" descr="C:\WINDOWS\TEMP\~0003946.gif">
          <a:extLst>
            <a:ext uri="{FF2B5EF4-FFF2-40B4-BE49-F238E27FC236}">
              <a16:creationId xmlns:a16="http://schemas.microsoft.com/office/drawing/2014/main" id="{00000000-0008-0000-0600-00001977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30490" name="Picture 10" descr="C:\WINDOWS\TEMP\~0003946.gif">
          <a:extLst>
            <a:ext uri="{FF2B5EF4-FFF2-40B4-BE49-F238E27FC236}">
              <a16:creationId xmlns:a16="http://schemas.microsoft.com/office/drawing/2014/main" id="{00000000-0008-0000-0600-00001A77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198</xdr:row>
      <xdr:rowOff>104775</xdr:rowOff>
    </xdr:from>
    <xdr:to>
      <xdr:col>22</xdr:col>
      <xdr:colOff>809625</xdr:colOff>
      <xdr:row>199</xdr:row>
      <xdr:rowOff>133350</xdr:rowOff>
    </xdr:to>
    <xdr:pic>
      <xdr:nvPicPr>
        <xdr:cNvPr id="30491" name="Picture 11" descr="C:\WINDOWS\TEMP\~0003946.gif">
          <a:extLst>
            <a:ext uri="{FF2B5EF4-FFF2-40B4-BE49-F238E27FC236}">
              <a16:creationId xmlns:a16="http://schemas.microsoft.com/office/drawing/2014/main" id="{00000000-0008-0000-0600-00001B77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03479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282</xdr:row>
      <xdr:rowOff>104775</xdr:rowOff>
    </xdr:from>
    <xdr:to>
      <xdr:col>22</xdr:col>
      <xdr:colOff>895350</xdr:colOff>
      <xdr:row>283</xdr:row>
      <xdr:rowOff>133350</xdr:rowOff>
    </xdr:to>
    <xdr:pic>
      <xdr:nvPicPr>
        <xdr:cNvPr id="30492" name="Picture 12" descr="C:\WINDOWS\TEMP\~0003946.gif">
          <a:extLst>
            <a:ext uri="{FF2B5EF4-FFF2-40B4-BE49-F238E27FC236}">
              <a16:creationId xmlns:a16="http://schemas.microsoft.com/office/drawing/2014/main" id="{00000000-0008-0000-0600-00001C77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72357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30493" name="Picture 13" descr="logoMTL">
          <a:extLst>
            <a:ext uri="{FF2B5EF4-FFF2-40B4-BE49-F238E27FC236}">
              <a16:creationId xmlns:a16="http://schemas.microsoft.com/office/drawing/2014/main" id="{00000000-0008-0000-0600-00001D7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30494" name="Picture 14" descr="logoMTL">
          <a:extLst>
            <a:ext uri="{FF2B5EF4-FFF2-40B4-BE49-F238E27FC236}">
              <a16:creationId xmlns:a16="http://schemas.microsoft.com/office/drawing/2014/main" id="{00000000-0008-0000-0600-00001E7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198</xdr:row>
      <xdr:rowOff>28575</xdr:rowOff>
    </xdr:from>
    <xdr:to>
      <xdr:col>21</xdr:col>
      <xdr:colOff>1171575</xdr:colOff>
      <xdr:row>199</xdr:row>
      <xdr:rowOff>152400</xdr:rowOff>
    </xdr:to>
    <xdr:pic>
      <xdr:nvPicPr>
        <xdr:cNvPr id="30495" name="Picture 15" descr="logoMTL">
          <a:extLst>
            <a:ext uri="{FF2B5EF4-FFF2-40B4-BE49-F238E27FC236}">
              <a16:creationId xmlns:a16="http://schemas.microsoft.com/office/drawing/2014/main" id="{00000000-0008-0000-0600-00001F7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02717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282</xdr:row>
      <xdr:rowOff>0</xdr:rowOff>
    </xdr:from>
    <xdr:to>
      <xdr:col>21</xdr:col>
      <xdr:colOff>1228725</xdr:colOff>
      <xdr:row>283</xdr:row>
      <xdr:rowOff>123825</xdr:rowOff>
    </xdr:to>
    <xdr:pic>
      <xdr:nvPicPr>
        <xdr:cNvPr id="30496" name="Picture 16" descr="logoMTL">
          <a:extLst>
            <a:ext uri="{FF2B5EF4-FFF2-40B4-BE49-F238E27FC236}">
              <a16:creationId xmlns:a16="http://schemas.microsoft.com/office/drawing/2014/main" id="{00000000-0008-0000-0600-0000207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71309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31505" name="Picture 1" descr="C:\WINDOWS\TEMP\Symbol.gif">
          <a:extLst>
            <a:ext uri="{FF2B5EF4-FFF2-40B4-BE49-F238E27FC236}">
              <a16:creationId xmlns:a16="http://schemas.microsoft.com/office/drawing/2014/main" id="{00000000-0008-0000-0700-0000117B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31506" name="Picture 2" descr="C:\WINDOWS\TEMP\Symbol.gif">
          <a:extLst>
            <a:ext uri="{FF2B5EF4-FFF2-40B4-BE49-F238E27FC236}">
              <a16:creationId xmlns:a16="http://schemas.microsoft.com/office/drawing/2014/main" id="{00000000-0008-0000-0700-0000127B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198</xdr:row>
      <xdr:rowOff>171450</xdr:rowOff>
    </xdr:from>
    <xdr:to>
      <xdr:col>1</xdr:col>
      <xdr:colOff>47625</xdr:colOff>
      <xdr:row>199</xdr:row>
      <xdr:rowOff>209550</xdr:rowOff>
    </xdr:to>
    <xdr:pic>
      <xdr:nvPicPr>
        <xdr:cNvPr id="31507" name="Picture 3" descr="C:\WINDOWS\TEMP\Symbol.gif">
          <a:extLst>
            <a:ext uri="{FF2B5EF4-FFF2-40B4-BE49-F238E27FC236}">
              <a16:creationId xmlns:a16="http://schemas.microsoft.com/office/drawing/2014/main" id="{00000000-0008-0000-0700-0000137B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04145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282</xdr:row>
      <xdr:rowOff>161925</xdr:rowOff>
    </xdr:from>
    <xdr:to>
      <xdr:col>1</xdr:col>
      <xdr:colOff>19050</xdr:colOff>
      <xdr:row>283</xdr:row>
      <xdr:rowOff>200025</xdr:rowOff>
    </xdr:to>
    <xdr:pic>
      <xdr:nvPicPr>
        <xdr:cNvPr id="31508" name="Picture 4" descr="C:\WINDOWS\TEMP\Symbol.gif">
          <a:extLst>
            <a:ext uri="{FF2B5EF4-FFF2-40B4-BE49-F238E27FC236}">
              <a16:creationId xmlns:a16="http://schemas.microsoft.com/office/drawing/2014/main" id="{00000000-0008-0000-0700-0000147B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72928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282</xdr:row>
      <xdr:rowOff>123825</xdr:rowOff>
    </xdr:from>
    <xdr:to>
      <xdr:col>22</xdr:col>
      <xdr:colOff>1895475</xdr:colOff>
      <xdr:row>283</xdr:row>
      <xdr:rowOff>152400</xdr:rowOff>
    </xdr:to>
    <xdr:pic>
      <xdr:nvPicPr>
        <xdr:cNvPr id="31509" name="Picture 5" descr="C:\WINDOWS\TEMP\~0003946.gif">
          <a:extLst>
            <a:ext uri="{FF2B5EF4-FFF2-40B4-BE49-F238E27FC236}">
              <a16:creationId xmlns:a16="http://schemas.microsoft.com/office/drawing/2014/main" id="{00000000-0008-0000-0700-0000157B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7254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198</xdr:row>
      <xdr:rowOff>152400</xdr:rowOff>
    </xdr:from>
    <xdr:to>
      <xdr:col>22</xdr:col>
      <xdr:colOff>1924050</xdr:colOff>
      <xdr:row>199</xdr:row>
      <xdr:rowOff>180975</xdr:rowOff>
    </xdr:to>
    <xdr:pic>
      <xdr:nvPicPr>
        <xdr:cNvPr id="31510" name="Picture 6" descr="C:\WINDOWS\TEMP\~0003946.gif">
          <a:extLst>
            <a:ext uri="{FF2B5EF4-FFF2-40B4-BE49-F238E27FC236}">
              <a16:creationId xmlns:a16="http://schemas.microsoft.com/office/drawing/2014/main" id="{00000000-0008-0000-0700-0000167B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03955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31511" name="Picture 7" descr="C:\WINDOWS\TEMP\~0003946.gif">
          <a:extLst>
            <a:ext uri="{FF2B5EF4-FFF2-40B4-BE49-F238E27FC236}">
              <a16:creationId xmlns:a16="http://schemas.microsoft.com/office/drawing/2014/main" id="{00000000-0008-0000-0700-0000177B0000}"/>
            </a:ext>
          </a:extLst>
        </xdr:cNvPr>
        <xdr:cNvPicPr>
          <a:picLocks noChangeAspect="1" noChangeArrowheads="1"/>
        </xdr:cNvPicPr>
      </xdr:nvPicPr>
      <xdr:blipFill>
        <a:blip xmlns:r="http://schemas.openxmlformats.org/officeDocument/2006/relationships" r:link="rId4">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31512" name="Picture 8" descr="C:\WINDOWS\TEMP\~0003946.gif">
          <a:extLst>
            <a:ext uri="{FF2B5EF4-FFF2-40B4-BE49-F238E27FC236}">
              <a16:creationId xmlns:a16="http://schemas.microsoft.com/office/drawing/2014/main" id="{00000000-0008-0000-0700-0000187B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31513" name="Picture 9" descr="C:\WINDOWS\TEMP\~0003946.gif">
          <a:extLst>
            <a:ext uri="{FF2B5EF4-FFF2-40B4-BE49-F238E27FC236}">
              <a16:creationId xmlns:a16="http://schemas.microsoft.com/office/drawing/2014/main" id="{00000000-0008-0000-0700-0000197B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31514" name="Picture 10" descr="C:\WINDOWS\TEMP\~0003946.gif">
          <a:extLst>
            <a:ext uri="{FF2B5EF4-FFF2-40B4-BE49-F238E27FC236}">
              <a16:creationId xmlns:a16="http://schemas.microsoft.com/office/drawing/2014/main" id="{00000000-0008-0000-0700-00001A7B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198</xdr:row>
      <xdr:rowOff>104775</xdr:rowOff>
    </xdr:from>
    <xdr:to>
      <xdr:col>22</xdr:col>
      <xdr:colOff>809625</xdr:colOff>
      <xdr:row>199</xdr:row>
      <xdr:rowOff>133350</xdr:rowOff>
    </xdr:to>
    <xdr:pic>
      <xdr:nvPicPr>
        <xdr:cNvPr id="31515" name="Picture 11" descr="C:\WINDOWS\TEMP\~0003946.gif">
          <a:extLst>
            <a:ext uri="{FF2B5EF4-FFF2-40B4-BE49-F238E27FC236}">
              <a16:creationId xmlns:a16="http://schemas.microsoft.com/office/drawing/2014/main" id="{00000000-0008-0000-0700-00001B7B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03479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282</xdr:row>
      <xdr:rowOff>104775</xdr:rowOff>
    </xdr:from>
    <xdr:to>
      <xdr:col>22</xdr:col>
      <xdr:colOff>895350</xdr:colOff>
      <xdr:row>283</xdr:row>
      <xdr:rowOff>133350</xdr:rowOff>
    </xdr:to>
    <xdr:pic>
      <xdr:nvPicPr>
        <xdr:cNvPr id="31516" name="Picture 12" descr="C:\WINDOWS\TEMP\~0003946.gif">
          <a:extLst>
            <a:ext uri="{FF2B5EF4-FFF2-40B4-BE49-F238E27FC236}">
              <a16:creationId xmlns:a16="http://schemas.microsoft.com/office/drawing/2014/main" id="{00000000-0008-0000-0700-00001C7B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72357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31517" name="Picture 13" descr="logoMTL">
          <a:extLst>
            <a:ext uri="{FF2B5EF4-FFF2-40B4-BE49-F238E27FC236}">
              <a16:creationId xmlns:a16="http://schemas.microsoft.com/office/drawing/2014/main" id="{00000000-0008-0000-0700-00001D7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31518" name="Picture 14" descr="logoMTL">
          <a:extLst>
            <a:ext uri="{FF2B5EF4-FFF2-40B4-BE49-F238E27FC236}">
              <a16:creationId xmlns:a16="http://schemas.microsoft.com/office/drawing/2014/main" id="{00000000-0008-0000-0700-00001E7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198</xdr:row>
      <xdr:rowOff>28575</xdr:rowOff>
    </xdr:from>
    <xdr:to>
      <xdr:col>21</xdr:col>
      <xdr:colOff>1171575</xdr:colOff>
      <xdr:row>199</xdr:row>
      <xdr:rowOff>152400</xdr:rowOff>
    </xdr:to>
    <xdr:pic>
      <xdr:nvPicPr>
        <xdr:cNvPr id="31519" name="Picture 15" descr="logoMTL">
          <a:extLst>
            <a:ext uri="{FF2B5EF4-FFF2-40B4-BE49-F238E27FC236}">
              <a16:creationId xmlns:a16="http://schemas.microsoft.com/office/drawing/2014/main" id="{00000000-0008-0000-0700-00001F7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02717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282</xdr:row>
      <xdr:rowOff>0</xdr:rowOff>
    </xdr:from>
    <xdr:to>
      <xdr:col>21</xdr:col>
      <xdr:colOff>1228725</xdr:colOff>
      <xdr:row>283</xdr:row>
      <xdr:rowOff>123825</xdr:rowOff>
    </xdr:to>
    <xdr:pic>
      <xdr:nvPicPr>
        <xdr:cNvPr id="31520" name="Picture 16" descr="logoMTL">
          <a:extLst>
            <a:ext uri="{FF2B5EF4-FFF2-40B4-BE49-F238E27FC236}">
              <a16:creationId xmlns:a16="http://schemas.microsoft.com/office/drawing/2014/main" id="{00000000-0008-0000-0700-0000207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71309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32529" name="Picture 1" descr="C:\WINDOWS\TEMP\Symbol.gif">
          <a:extLst>
            <a:ext uri="{FF2B5EF4-FFF2-40B4-BE49-F238E27FC236}">
              <a16:creationId xmlns:a16="http://schemas.microsoft.com/office/drawing/2014/main" id="{00000000-0008-0000-0800-0000117F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32530" name="Picture 2" descr="C:\WINDOWS\TEMP\Symbol.gif">
          <a:extLst>
            <a:ext uri="{FF2B5EF4-FFF2-40B4-BE49-F238E27FC236}">
              <a16:creationId xmlns:a16="http://schemas.microsoft.com/office/drawing/2014/main" id="{00000000-0008-0000-0800-0000127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199</xdr:row>
      <xdr:rowOff>171450</xdr:rowOff>
    </xdr:from>
    <xdr:to>
      <xdr:col>1</xdr:col>
      <xdr:colOff>47625</xdr:colOff>
      <xdr:row>200</xdr:row>
      <xdr:rowOff>209550</xdr:rowOff>
    </xdr:to>
    <xdr:pic>
      <xdr:nvPicPr>
        <xdr:cNvPr id="32531" name="Picture 3" descr="C:\WINDOWS\TEMP\Symbol.gif">
          <a:extLst>
            <a:ext uri="{FF2B5EF4-FFF2-40B4-BE49-F238E27FC236}">
              <a16:creationId xmlns:a16="http://schemas.microsoft.com/office/drawing/2014/main" id="{00000000-0008-0000-0800-0000137F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06146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283</xdr:row>
      <xdr:rowOff>161925</xdr:rowOff>
    </xdr:from>
    <xdr:to>
      <xdr:col>1</xdr:col>
      <xdr:colOff>19050</xdr:colOff>
      <xdr:row>284</xdr:row>
      <xdr:rowOff>200025</xdr:rowOff>
    </xdr:to>
    <xdr:pic>
      <xdr:nvPicPr>
        <xdr:cNvPr id="32532" name="Picture 4" descr="C:\WINDOWS\TEMP\Symbol.gif">
          <a:extLst>
            <a:ext uri="{FF2B5EF4-FFF2-40B4-BE49-F238E27FC236}">
              <a16:creationId xmlns:a16="http://schemas.microsoft.com/office/drawing/2014/main" id="{00000000-0008-0000-0800-0000147F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74929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283</xdr:row>
      <xdr:rowOff>123825</xdr:rowOff>
    </xdr:from>
    <xdr:to>
      <xdr:col>22</xdr:col>
      <xdr:colOff>1895475</xdr:colOff>
      <xdr:row>284</xdr:row>
      <xdr:rowOff>152400</xdr:rowOff>
    </xdr:to>
    <xdr:pic>
      <xdr:nvPicPr>
        <xdr:cNvPr id="32533" name="Picture 5" descr="C:\WINDOWS\TEMP\~0003946.gif">
          <a:extLst>
            <a:ext uri="{FF2B5EF4-FFF2-40B4-BE49-F238E27FC236}">
              <a16:creationId xmlns:a16="http://schemas.microsoft.com/office/drawing/2014/main" id="{00000000-0008-0000-0800-0000157F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7454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199</xdr:row>
      <xdr:rowOff>152400</xdr:rowOff>
    </xdr:from>
    <xdr:to>
      <xdr:col>22</xdr:col>
      <xdr:colOff>1924050</xdr:colOff>
      <xdr:row>200</xdr:row>
      <xdr:rowOff>180975</xdr:rowOff>
    </xdr:to>
    <xdr:pic>
      <xdr:nvPicPr>
        <xdr:cNvPr id="32534" name="Picture 6" descr="C:\WINDOWS\TEMP\~0003946.gif">
          <a:extLst>
            <a:ext uri="{FF2B5EF4-FFF2-40B4-BE49-F238E27FC236}">
              <a16:creationId xmlns:a16="http://schemas.microsoft.com/office/drawing/2014/main" id="{00000000-0008-0000-0800-0000167F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05955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32535" name="Picture 7" descr="C:\WINDOWS\TEMP\~0003946.gif">
          <a:extLst>
            <a:ext uri="{FF2B5EF4-FFF2-40B4-BE49-F238E27FC236}">
              <a16:creationId xmlns:a16="http://schemas.microsoft.com/office/drawing/2014/main" id="{00000000-0008-0000-0800-0000177F0000}"/>
            </a:ext>
          </a:extLst>
        </xdr:cNvPr>
        <xdr:cNvPicPr>
          <a:picLocks noChangeAspect="1" noChangeArrowheads="1"/>
        </xdr:cNvPicPr>
      </xdr:nvPicPr>
      <xdr:blipFill>
        <a:blip xmlns:r="http://schemas.openxmlformats.org/officeDocument/2006/relationships" r:link="rId4">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32536" name="Picture 8" descr="C:\WINDOWS\TEMP\~0003946.gif">
          <a:extLst>
            <a:ext uri="{FF2B5EF4-FFF2-40B4-BE49-F238E27FC236}">
              <a16:creationId xmlns:a16="http://schemas.microsoft.com/office/drawing/2014/main" id="{00000000-0008-0000-0800-0000187F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32537" name="Picture 9" descr="C:\WINDOWS\TEMP\~0003946.gif">
          <a:extLst>
            <a:ext uri="{FF2B5EF4-FFF2-40B4-BE49-F238E27FC236}">
              <a16:creationId xmlns:a16="http://schemas.microsoft.com/office/drawing/2014/main" id="{00000000-0008-0000-0800-0000197F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32538" name="Picture 10" descr="C:\WINDOWS\TEMP\~0003946.gif">
          <a:extLst>
            <a:ext uri="{FF2B5EF4-FFF2-40B4-BE49-F238E27FC236}">
              <a16:creationId xmlns:a16="http://schemas.microsoft.com/office/drawing/2014/main" id="{00000000-0008-0000-0800-00001A7F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199</xdr:row>
      <xdr:rowOff>104775</xdr:rowOff>
    </xdr:from>
    <xdr:to>
      <xdr:col>22</xdr:col>
      <xdr:colOff>809625</xdr:colOff>
      <xdr:row>200</xdr:row>
      <xdr:rowOff>133350</xdr:rowOff>
    </xdr:to>
    <xdr:pic>
      <xdr:nvPicPr>
        <xdr:cNvPr id="32539" name="Picture 11" descr="C:\WINDOWS\TEMP\~0003946.gif">
          <a:extLst>
            <a:ext uri="{FF2B5EF4-FFF2-40B4-BE49-F238E27FC236}">
              <a16:creationId xmlns:a16="http://schemas.microsoft.com/office/drawing/2014/main" id="{00000000-0008-0000-0800-00001B7F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05479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283</xdr:row>
      <xdr:rowOff>104775</xdr:rowOff>
    </xdr:from>
    <xdr:to>
      <xdr:col>22</xdr:col>
      <xdr:colOff>895350</xdr:colOff>
      <xdr:row>284</xdr:row>
      <xdr:rowOff>133350</xdr:rowOff>
    </xdr:to>
    <xdr:pic>
      <xdr:nvPicPr>
        <xdr:cNvPr id="32540" name="Picture 12" descr="C:\WINDOWS\TEMP\~0003946.gif">
          <a:extLst>
            <a:ext uri="{FF2B5EF4-FFF2-40B4-BE49-F238E27FC236}">
              <a16:creationId xmlns:a16="http://schemas.microsoft.com/office/drawing/2014/main" id="{00000000-0008-0000-0800-00001C7F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7435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32541" name="Picture 13" descr="logoMTL">
          <a:extLst>
            <a:ext uri="{FF2B5EF4-FFF2-40B4-BE49-F238E27FC236}">
              <a16:creationId xmlns:a16="http://schemas.microsoft.com/office/drawing/2014/main" id="{00000000-0008-0000-0800-00001D7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32542" name="Picture 14" descr="logoMTL">
          <a:extLst>
            <a:ext uri="{FF2B5EF4-FFF2-40B4-BE49-F238E27FC236}">
              <a16:creationId xmlns:a16="http://schemas.microsoft.com/office/drawing/2014/main" id="{00000000-0008-0000-0800-00001E7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199</xdr:row>
      <xdr:rowOff>28575</xdr:rowOff>
    </xdr:from>
    <xdr:to>
      <xdr:col>21</xdr:col>
      <xdr:colOff>1171575</xdr:colOff>
      <xdr:row>200</xdr:row>
      <xdr:rowOff>152400</xdr:rowOff>
    </xdr:to>
    <xdr:pic>
      <xdr:nvPicPr>
        <xdr:cNvPr id="32543" name="Picture 15" descr="logoMTL">
          <a:extLst>
            <a:ext uri="{FF2B5EF4-FFF2-40B4-BE49-F238E27FC236}">
              <a16:creationId xmlns:a16="http://schemas.microsoft.com/office/drawing/2014/main" id="{00000000-0008-0000-0800-00001F7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04717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283</xdr:row>
      <xdr:rowOff>0</xdr:rowOff>
    </xdr:from>
    <xdr:to>
      <xdr:col>21</xdr:col>
      <xdr:colOff>1228725</xdr:colOff>
      <xdr:row>284</xdr:row>
      <xdr:rowOff>123825</xdr:rowOff>
    </xdr:to>
    <xdr:pic>
      <xdr:nvPicPr>
        <xdr:cNvPr id="32544" name="Picture 16" descr="logoMTL">
          <a:extLst>
            <a:ext uri="{FF2B5EF4-FFF2-40B4-BE49-F238E27FC236}">
              <a16:creationId xmlns:a16="http://schemas.microsoft.com/office/drawing/2014/main" id="{00000000-0008-0000-0800-0000207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73309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New Branding">
      <a:dk1>
        <a:sysClr val="windowText" lastClr="000000"/>
      </a:dk1>
      <a:lt1>
        <a:sysClr val="window" lastClr="FFFFFF"/>
      </a:lt1>
      <a:dk2>
        <a:srgbClr val="44546A"/>
      </a:dk2>
      <a:lt2>
        <a:srgbClr val="E7E6E6"/>
      </a:lt2>
      <a:accent1>
        <a:srgbClr val="89CB31"/>
      </a:accent1>
      <a:accent2>
        <a:srgbClr val="D0EBAB"/>
      </a:accent2>
      <a:accent3>
        <a:srgbClr val="2D2926"/>
      </a:accent3>
      <a:accent4>
        <a:srgbClr val="F0F0F0"/>
      </a:accent4>
      <a:accent5>
        <a:srgbClr val="5B8721"/>
      </a:accent5>
      <a:accent6>
        <a:srgbClr val="009999"/>
      </a:accent6>
      <a:hlink>
        <a:srgbClr val="BDFFEE"/>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4"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4"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4"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4"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4"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4"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4"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4"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4"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4"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5" Type="http://schemas.openxmlformats.org/officeDocument/2006/relationships/drawing" Target="../drawings/drawing51.xml"/><Relationship Id="rId4"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5" Type="http://schemas.openxmlformats.org/officeDocument/2006/relationships/drawing" Target="../drawings/drawing52.xml"/><Relationship Id="rId4"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5" Type="http://schemas.openxmlformats.org/officeDocument/2006/relationships/drawing" Target="../drawings/drawing53.xml"/><Relationship Id="rId4"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sheetPr>
  <dimension ref="A1:IV285"/>
  <sheetViews>
    <sheetView showGridLines="0" showOutlineSymbols="0" zoomScale="70" zoomScaleNormal="70" workbookViewId="0"/>
  </sheetViews>
  <sheetFormatPr defaultColWidth="9.6640625" defaultRowHeight="15" x14ac:dyDescent="0.2"/>
  <cols>
    <col min="1" max="1" width="4" style="1" customWidth="1"/>
    <col min="2" max="2" width="71.21875" style="1" customWidth="1"/>
    <col min="3" max="3" width="2.21875" style="1" customWidth="1"/>
    <col min="4" max="4" width="19.33203125" style="1" customWidth="1"/>
    <col min="5" max="5" width="2.21875" style="1" customWidth="1"/>
    <col min="6" max="6" width="25.109375" style="1" customWidth="1"/>
    <col min="7" max="7" width="2.21875" style="1" customWidth="1"/>
    <col min="8" max="8" width="16.21875" style="1" customWidth="1"/>
    <col min="9" max="9" width="2.88671875" style="1" customWidth="1"/>
    <col min="10" max="10" width="16.21875" style="1" customWidth="1"/>
    <col min="11" max="11" width="2.21875" style="1" customWidth="1"/>
    <col min="12" max="12" width="17.88671875" style="1" customWidth="1"/>
    <col min="13" max="13" width="2.33203125" style="1" customWidth="1"/>
    <col min="14" max="14" width="14.88671875" style="1" customWidth="1"/>
    <col min="15" max="15" width="2.33203125" style="1" customWidth="1"/>
    <col min="16" max="16" width="15.5546875" style="1" customWidth="1"/>
    <col min="17" max="17" width="2.21875" style="1" customWidth="1"/>
    <col min="18" max="18" width="15.5546875" style="1" customWidth="1"/>
    <col min="19" max="20" width="12.6640625" style="1" customWidth="1"/>
    <col min="21" max="21" width="7.77734375" style="1" customWidth="1"/>
    <col min="22" max="22" width="14.6640625" style="1" customWidth="1"/>
    <col min="23" max="23" width="11.77734375" style="1" customWidth="1"/>
    <col min="24" max="16384" width="9.6640625" style="1"/>
  </cols>
  <sheetData>
    <row r="1" spans="1:24" ht="20.25" x14ac:dyDescent="0.3">
      <c r="A1" s="2"/>
      <c r="B1" s="3" t="s">
        <v>237</v>
      </c>
      <c r="C1" s="4"/>
      <c r="D1" s="4"/>
      <c r="E1" s="4"/>
      <c r="F1" s="4"/>
      <c r="G1" s="4"/>
      <c r="H1" s="4"/>
      <c r="I1" s="4"/>
      <c r="J1" s="4"/>
      <c r="K1" s="4"/>
      <c r="L1" s="4"/>
      <c r="M1" s="4"/>
      <c r="N1" s="4"/>
      <c r="O1" s="4"/>
      <c r="P1" s="4"/>
      <c r="Q1" s="4"/>
      <c r="R1" s="4"/>
      <c r="S1" s="4"/>
      <c r="T1" s="4"/>
      <c r="U1" s="4"/>
      <c r="V1" s="4"/>
      <c r="W1" s="4"/>
      <c r="X1" s="5"/>
    </row>
    <row r="2" spans="1:24" ht="15.75" x14ac:dyDescent="0.25">
      <c r="A2" s="6"/>
      <c r="B2" s="7"/>
      <c r="C2" s="8"/>
      <c r="D2" s="8"/>
      <c r="E2" s="8"/>
      <c r="F2" s="8"/>
      <c r="G2" s="8"/>
      <c r="H2" s="8"/>
      <c r="I2" s="8"/>
      <c r="J2" s="8"/>
      <c r="K2" s="8"/>
      <c r="L2" s="8"/>
      <c r="M2" s="8"/>
      <c r="N2" s="8"/>
      <c r="O2" s="8"/>
      <c r="P2" s="8"/>
      <c r="Q2" s="8"/>
      <c r="R2" s="8"/>
      <c r="S2" s="8"/>
      <c r="T2" s="8"/>
      <c r="U2" s="8"/>
      <c r="V2" s="8"/>
      <c r="W2" s="8"/>
      <c r="X2" s="5"/>
    </row>
    <row r="3" spans="1:24" ht="15.75" x14ac:dyDescent="0.25">
      <c r="A3" s="9"/>
      <c r="B3" s="111" t="s">
        <v>238</v>
      </c>
      <c r="C3" s="8"/>
      <c r="D3" s="8"/>
      <c r="E3" s="8"/>
      <c r="F3" s="8"/>
      <c r="G3" s="8"/>
      <c r="H3" s="8"/>
      <c r="I3" s="8"/>
      <c r="J3" s="8"/>
      <c r="K3" s="8"/>
      <c r="L3" s="8"/>
      <c r="M3" s="8"/>
      <c r="N3" s="8"/>
      <c r="O3" s="8"/>
      <c r="P3" s="8"/>
      <c r="Q3" s="8"/>
      <c r="R3" s="8"/>
      <c r="S3" s="8"/>
      <c r="T3" s="8"/>
      <c r="U3" s="8"/>
      <c r="V3" s="8"/>
      <c r="W3" s="8"/>
      <c r="X3" s="5"/>
    </row>
    <row r="4" spans="1:24" ht="15.75" x14ac:dyDescent="0.25">
      <c r="A4" s="6"/>
      <c r="B4" s="7"/>
      <c r="C4" s="8"/>
      <c r="D4" s="8"/>
      <c r="E4" s="8"/>
      <c r="F4" s="8"/>
      <c r="G4" s="8"/>
      <c r="H4" s="8"/>
      <c r="I4" s="8"/>
      <c r="J4" s="8"/>
      <c r="K4" s="8"/>
      <c r="L4" s="8"/>
      <c r="M4" s="8"/>
      <c r="N4" s="8"/>
      <c r="O4" s="8"/>
      <c r="P4" s="8"/>
      <c r="Q4" s="8"/>
      <c r="R4" s="8"/>
      <c r="S4" s="8"/>
      <c r="T4" s="8"/>
      <c r="U4" s="8"/>
      <c r="V4" s="8"/>
      <c r="W4" s="8"/>
      <c r="X4" s="5"/>
    </row>
    <row r="5" spans="1:24" ht="15.75" x14ac:dyDescent="0.25">
      <c r="A5" s="6"/>
      <c r="B5" s="11" t="s">
        <v>137</v>
      </c>
      <c r="C5" s="8"/>
      <c r="D5" s="8"/>
      <c r="E5" s="8"/>
      <c r="F5" s="8"/>
      <c r="G5" s="8"/>
      <c r="H5" s="8"/>
      <c r="I5" s="8"/>
      <c r="J5" s="8"/>
      <c r="K5" s="8"/>
      <c r="L5" s="8"/>
      <c r="M5" s="8"/>
      <c r="N5" s="8"/>
      <c r="O5" s="8"/>
      <c r="P5" s="8"/>
      <c r="Q5" s="8"/>
      <c r="R5" s="8"/>
      <c r="S5" s="8"/>
      <c r="T5" s="8"/>
      <c r="U5" s="8"/>
      <c r="V5" s="8"/>
      <c r="W5" s="8"/>
      <c r="X5" s="5"/>
    </row>
    <row r="6" spans="1:24" ht="15.75" x14ac:dyDescent="0.25">
      <c r="A6" s="6"/>
      <c r="B6" s="11" t="s">
        <v>139</v>
      </c>
      <c r="C6" s="8"/>
      <c r="D6" s="8"/>
      <c r="E6" s="8"/>
      <c r="F6" s="8"/>
      <c r="G6" s="8"/>
      <c r="H6" s="8"/>
      <c r="I6" s="8"/>
      <c r="J6" s="8"/>
      <c r="K6" s="8"/>
      <c r="L6" s="8"/>
      <c r="M6" s="8"/>
      <c r="N6" s="8"/>
      <c r="O6" s="8"/>
      <c r="P6" s="8"/>
      <c r="Q6" s="8"/>
      <c r="R6" s="8"/>
      <c r="S6" s="8"/>
      <c r="T6" s="8"/>
      <c r="U6" s="8"/>
      <c r="V6" s="8"/>
      <c r="W6" s="8"/>
      <c r="X6" s="5"/>
    </row>
    <row r="7" spans="1:24" ht="15.75" x14ac:dyDescent="0.25">
      <c r="A7" s="6"/>
      <c r="B7" s="11" t="s">
        <v>138</v>
      </c>
      <c r="C7" s="8"/>
      <c r="D7" s="8"/>
      <c r="E7" s="8"/>
      <c r="F7" s="8"/>
      <c r="G7" s="8"/>
      <c r="H7" s="8"/>
      <c r="I7" s="8"/>
      <c r="J7" s="8"/>
      <c r="K7" s="8"/>
      <c r="L7" s="8"/>
      <c r="M7" s="8"/>
      <c r="N7" s="8"/>
      <c r="O7" s="8"/>
      <c r="P7" s="8"/>
      <c r="Q7" s="8"/>
      <c r="R7" s="8"/>
      <c r="S7" s="8"/>
      <c r="T7" s="8"/>
      <c r="U7" s="8"/>
      <c r="V7" s="8"/>
      <c r="W7" s="8"/>
      <c r="X7" s="5"/>
    </row>
    <row r="8" spans="1:24" ht="15.75" x14ac:dyDescent="0.25">
      <c r="A8" s="6"/>
      <c r="B8" s="11"/>
      <c r="C8" s="8"/>
      <c r="D8" s="8"/>
      <c r="E8" s="8"/>
      <c r="F8" s="8"/>
      <c r="G8" s="8"/>
      <c r="H8" s="8"/>
      <c r="I8" s="8"/>
      <c r="J8" s="8"/>
      <c r="K8" s="8"/>
      <c r="L8" s="8"/>
      <c r="M8" s="8"/>
      <c r="N8" s="8"/>
      <c r="O8" s="8"/>
      <c r="P8" s="8"/>
      <c r="Q8" s="8"/>
      <c r="R8" s="8"/>
      <c r="S8" s="8"/>
      <c r="T8" s="8"/>
      <c r="U8" s="8"/>
      <c r="V8" s="8"/>
      <c r="W8" s="8"/>
      <c r="X8" s="5"/>
    </row>
    <row r="9" spans="1:24" ht="18.75" x14ac:dyDescent="0.3">
      <c r="A9" s="6"/>
      <c r="B9" s="144" t="s">
        <v>166</v>
      </c>
      <c r="C9" s="8"/>
      <c r="D9" s="8"/>
      <c r="E9" s="8"/>
      <c r="F9" s="8"/>
      <c r="G9" s="8"/>
      <c r="H9" s="8"/>
      <c r="I9" s="145" t="s">
        <v>167</v>
      </c>
      <c r="J9" s="8"/>
      <c r="K9" s="8"/>
      <c r="L9" s="145"/>
      <c r="M9" s="8"/>
      <c r="N9" s="145"/>
      <c r="O9" s="8"/>
      <c r="P9" s="8"/>
      <c r="Q9" s="8"/>
      <c r="R9" s="8"/>
      <c r="S9" s="8"/>
      <c r="T9" s="8"/>
      <c r="U9" s="8"/>
      <c r="V9" s="8"/>
      <c r="W9" s="8"/>
      <c r="X9" s="5"/>
    </row>
    <row r="10" spans="1:24" ht="15.75" x14ac:dyDescent="0.25">
      <c r="A10" s="6"/>
      <c r="B10" s="11"/>
      <c r="C10" s="13"/>
      <c r="D10" s="13"/>
      <c r="E10" s="13"/>
      <c r="F10" s="8"/>
      <c r="G10" s="8"/>
      <c r="H10" s="8"/>
      <c r="I10" s="8"/>
      <c r="J10" s="8"/>
      <c r="K10" s="8"/>
      <c r="L10" s="8"/>
      <c r="M10" s="8"/>
      <c r="N10" s="8"/>
      <c r="O10" s="8"/>
      <c r="P10" s="8"/>
      <c r="Q10" s="8"/>
      <c r="R10" s="8"/>
      <c r="S10" s="8"/>
      <c r="T10" s="8"/>
      <c r="U10" s="8"/>
      <c r="V10" s="8"/>
      <c r="W10" s="8"/>
      <c r="X10" s="5"/>
    </row>
    <row r="11" spans="1:24" ht="15.75" x14ac:dyDescent="0.25">
      <c r="A11" s="6"/>
      <c r="B11" s="14" t="s">
        <v>0</v>
      </c>
      <c r="C11" s="8"/>
      <c r="D11" s="8"/>
      <c r="E11" s="8"/>
      <c r="F11" s="8"/>
      <c r="G11" s="8"/>
      <c r="H11" s="8"/>
      <c r="I11" s="8"/>
      <c r="J11" s="8"/>
      <c r="K11" s="8"/>
      <c r="L11" s="8"/>
      <c r="M11" s="8"/>
      <c r="N11" s="8"/>
      <c r="O11" s="8"/>
      <c r="P11" s="8"/>
      <c r="Q11" s="8"/>
      <c r="R11" s="8"/>
      <c r="S11" s="8"/>
      <c r="T11" s="8"/>
      <c r="U11" s="8"/>
      <c r="V11" s="8"/>
      <c r="W11" s="8"/>
      <c r="X11" s="5"/>
    </row>
    <row r="12" spans="1:24" ht="16.5" thickBot="1" x14ac:dyDescent="0.3">
      <c r="A12" s="6"/>
      <c r="B12" s="13"/>
      <c r="C12" s="8"/>
      <c r="D12" s="8"/>
      <c r="E12" s="8"/>
      <c r="F12" s="8"/>
      <c r="G12" s="8"/>
      <c r="H12" s="8"/>
      <c r="I12" s="8"/>
      <c r="J12" s="8"/>
      <c r="K12" s="8"/>
      <c r="L12" s="8"/>
      <c r="M12" s="8"/>
      <c r="N12" s="8"/>
      <c r="O12" s="8"/>
      <c r="P12" s="8"/>
      <c r="Q12" s="8"/>
      <c r="R12" s="8"/>
      <c r="S12" s="8"/>
      <c r="T12" s="8"/>
      <c r="U12" s="8"/>
      <c r="V12" s="8"/>
      <c r="W12" s="8"/>
      <c r="X12" s="5"/>
    </row>
    <row r="13" spans="1:24" ht="15.75" x14ac:dyDescent="0.25">
      <c r="A13" s="2"/>
      <c r="B13" s="4"/>
      <c r="C13" s="4"/>
      <c r="D13" s="4"/>
      <c r="E13" s="4"/>
      <c r="F13" s="4"/>
      <c r="G13" s="4"/>
      <c r="H13" s="4"/>
      <c r="I13" s="4"/>
      <c r="J13" s="4"/>
      <c r="K13" s="4"/>
      <c r="L13" s="4"/>
      <c r="M13" s="4"/>
      <c r="N13" s="4"/>
      <c r="O13" s="4"/>
      <c r="P13" s="4"/>
      <c r="Q13" s="4"/>
      <c r="R13" s="4"/>
      <c r="S13" s="4"/>
      <c r="T13" s="4"/>
      <c r="U13" s="4"/>
      <c r="V13" s="4"/>
      <c r="W13" s="4"/>
      <c r="X13" s="5"/>
    </row>
    <row r="14" spans="1:24" ht="15.75" x14ac:dyDescent="0.25">
      <c r="A14" s="6"/>
      <c r="B14" s="14" t="s">
        <v>1</v>
      </c>
      <c r="C14" s="15"/>
      <c r="D14" s="15"/>
      <c r="E14" s="15"/>
      <c r="F14" s="15"/>
      <c r="G14" s="15"/>
      <c r="H14" s="15"/>
      <c r="I14" s="15"/>
      <c r="J14" s="15"/>
      <c r="K14" s="15"/>
      <c r="L14" s="15"/>
      <c r="M14" s="15"/>
      <c r="N14" s="15"/>
      <c r="O14" s="15"/>
      <c r="P14" s="15"/>
      <c r="Q14" s="15"/>
      <c r="R14" s="15"/>
      <c r="S14" s="15"/>
      <c r="T14" s="15"/>
      <c r="U14" s="15"/>
      <c r="V14" s="16" t="s">
        <v>239</v>
      </c>
      <c r="W14" s="15"/>
      <c r="X14" s="5"/>
    </row>
    <row r="15" spans="1:24" ht="15.75" x14ac:dyDescent="0.25">
      <c r="A15" s="6"/>
      <c r="B15" s="14" t="s">
        <v>2</v>
      </c>
      <c r="C15" s="15"/>
      <c r="D15" s="15"/>
      <c r="E15" s="15"/>
      <c r="F15" s="15"/>
      <c r="G15" s="15"/>
      <c r="H15" s="18"/>
      <c r="I15" s="18"/>
      <c r="J15" s="18"/>
      <c r="K15" s="18"/>
      <c r="L15" s="18"/>
      <c r="M15" s="18"/>
      <c r="N15" s="18"/>
      <c r="O15" s="18"/>
      <c r="P15" s="18"/>
      <c r="Q15" s="18"/>
      <c r="R15" s="18" t="s">
        <v>104</v>
      </c>
      <c r="S15" s="134">
        <v>0.47189999999999999</v>
      </c>
      <c r="T15" s="17" t="s">
        <v>140</v>
      </c>
      <c r="U15" s="134">
        <v>0.52810000000000001</v>
      </c>
      <c r="V15" s="16"/>
      <c r="W15" s="15"/>
      <c r="X15" s="5"/>
    </row>
    <row r="16" spans="1:24" ht="15.75" x14ac:dyDescent="0.25">
      <c r="A16" s="6"/>
      <c r="B16" s="14" t="s">
        <v>3</v>
      </c>
      <c r="C16" s="15"/>
      <c r="D16" s="15"/>
      <c r="E16" s="15"/>
      <c r="F16" s="15"/>
      <c r="G16" s="15"/>
      <c r="H16" s="18"/>
      <c r="I16" s="18"/>
      <c r="J16" s="18"/>
      <c r="K16" s="18"/>
      <c r="L16" s="18"/>
      <c r="M16" s="18"/>
      <c r="N16" s="18"/>
      <c r="O16" s="18"/>
      <c r="P16" s="18"/>
      <c r="Q16" s="18"/>
      <c r="R16" s="18" t="s">
        <v>104</v>
      </c>
      <c r="S16" s="134">
        <v>0.48139999999999999</v>
      </c>
      <c r="T16" s="17" t="s">
        <v>140</v>
      </c>
      <c r="U16" s="134">
        <v>0.51859999999999995</v>
      </c>
      <c r="V16" s="16"/>
      <c r="W16" s="15"/>
      <c r="X16" s="5"/>
    </row>
    <row r="17" spans="1:24" ht="15.75" x14ac:dyDescent="0.25">
      <c r="A17" s="6"/>
      <c r="B17" s="14" t="s">
        <v>4</v>
      </c>
      <c r="C17" s="15"/>
      <c r="D17" s="15"/>
      <c r="E17" s="15"/>
      <c r="F17" s="15"/>
      <c r="G17" s="15"/>
      <c r="H17" s="15"/>
      <c r="I17" s="15"/>
      <c r="J17" s="15"/>
      <c r="K17" s="15"/>
      <c r="L17" s="15"/>
      <c r="M17" s="15"/>
      <c r="N17" s="15"/>
      <c r="O17" s="15"/>
      <c r="P17" s="15"/>
      <c r="Q17" s="15"/>
      <c r="R17" s="15"/>
      <c r="S17" s="15"/>
      <c r="T17" s="15"/>
      <c r="U17" s="15"/>
      <c r="V17" s="19">
        <v>39282</v>
      </c>
      <c r="W17" s="15"/>
      <c r="X17" s="5"/>
    </row>
    <row r="18" spans="1:24" ht="15.75" x14ac:dyDescent="0.25">
      <c r="A18" s="6"/>
      <c r="B18" s="14" t="s">
        <v>5</v>
      </c>
      <c r="C18" s="15"/>
      <c r="D18" s="15"/>
      <c r="E18" s="15"/>
      <c r="F18" s="15"/>
      <c r="G18" s="15"/>
      <c r="H18" s="15"/>
      <c r="I18" s="15"/>
      <c r="J18" s="15"/>
      <c r="K18" s="15"/>
      <c r="L18" s="15"/>
      <c r="M18" s="15"/>
      <c r="N18" s="15"/>
      <c r="O18" s="15"/>
      <c r="P18" s="15"/>
      <c r="Q18" s="15"/>
      <c r="R18" s="15"/>
      <c r="S18" s="15"/>
      <c r="T18" s="15"/>
      <c r="U18" s="15"/>
      <c r="V18" s="19">
        <v>39437</v>
      </c>
      <c r="W18" s="15"/>
      <c r="X18" s="5"/>
    </row>
    <row r="19" spans="1:24" ht="15.75" x14ac:dyDescent="0.25">
      <c r="A19" s="6"/>
      <c r="B19" s="8"/>
      <c r="C19" s="8"/>
      <c r="D19" s="8"/>
      <c r="E19" s="8"/>
      <c r="F19" s="8"/>
      <c r="G19" s="8"/>
      <c r="H19" s="8"/>
      <c r="I19" s="8"/>
      <c r="J19" s="8"/>
      <c r="K19" s="8"/>
      <c r="L19" s="8"/>
      <c r="M19" s="8"/>
      <c r="N19" s="8"/>
      <c r="O19" s="8"/>
      <c r="P19" s="8"/>
      <c r="Q19" s="8"/>
      <c r="R19" s="8"/>
      <c r="S19" s="8"/>
      <c r="T19" s="8"/>
      <c r="U19" s="8"/>
      <c r="V19" s="20"/>
      <c r="W19" s="8"/>
      <c r="X19" s="5"/>
    </row>
    <row r="20" spans="1:24" ht="15.75" x14ac:dyDescent="0.25">
      <c r="A20" s="6"/>
      <c r="B20" s="21" t="s">
        <v>6</v>
      </c>
      <c r="C20" s="8"/>
      <c r="D20" s="8"/>
      <c r="E20" s="8"/>
      <c r="F20" s="8"/>
      <c r="G20" s="8"/>
      <c r="H20" s="8"/>
      <c r="I20" s="8"/>
      <c r="J20" s="8"/>
      <c r="K20" s="8"/>
      <c r="L20" s="8"/>
      <c r="M20" s="8"/>
      <c r="N20" s="8"/>
      <c r="O20" s="8"/>
      <c r="P20" s="8"/>
      <c r="Q20" s="8"/>
      <c r="R20" s="8"/>
      <c r="S20" s="8"/>
      <c r="T20" s="20" t="s">
        <v>105</v>
      </c>
      <c r="U20" s="8"/>
      <c r="V20" s="12"/>
      <c r="W20" s="8"/>
      <c r="X20" s="5"/>
    </row>
    <row r="21" spans="1:24" ht="15.75" x14ac:dyDescent="0.25">
      <c r="A21" s="6"/>
      <c r="B21" s="8"/>
      <c r="C21" s="8"/>
      <c r="D21" s="8"/>
      <c r="E21" s="8"/>
      <c r="F21" s="8"/>
      <c r="G21" s="8"/>
      <c r="H21" s="8"/>
      <c r="I21" s="8"/>
      <c r="J21" s="8"/>
      <c r="K21" s="8"/>
      <c r="L21" s="8"/>
      <c r="M21" s="8"/>
      <c r="N21" s="8"/>
      <c r="O21" s="8"/>
      <c r="P21" s="8"/>
      <c r="Q21" s="8"/>
      <c r="R21" s="8"/>
      <c r="S21" s="8"/>
      <c r="T21" s="8"/>
      <c r="U21" s="8"/>
      <c r="V21" s="22"/>
      <c r="W21" s="8"/>
      <c r="X21" s="5"/>
    </row>
    <row r="22" spans="1:24" ht="15.75" x14ac:dyDescent="0.25">
      <c r="A22" s="6"/>
      <c r="B22" s="8"/>
      <c r="C22" s="112"/>
      <c r="D22" s="112" t="s">
        <v>177</v>
      </c>
      <c r="E22" s="112"/>
      <c r="F22" s="112" t="s">
        <v>178</v>
      </c>
      <c r="G22" s="112"/>
      <c r="H22" s="112" t="s">
        <v>179</v>
      </c>
      <c r="I22" s="112"/>
      <c r="J22" s="112" t="s">
        <v>219</v>
      </c>
      <c r="K22" s="112"/>
      <c r="L22" s="112" t="s">
        <v>180</v>
      </c>
      <c r="M22" s="112"/>
      <c r="N22" s="112" t="s">
        <v>181</v>
      </c>
      <c r="O22" s="112"/>
      <c r="P22" s="112" t="s">
        <v>182</v>
      </c>
      <c r="Q22" s="112"/>
      <c r="R22" s="112"/>
      <c r="S22" s="113"/>
      <c r="T22" s="23"/>
      <c r="U22" s="12"/>
      <c r="V22" s="12"/>
      <c r="W22" s="8"/>
      <c r="X22" s="5"/>
    </row>
    <row r="23" spans="1:24" ht="15.75" x14ac:dyDescent="0.25">
      <c r="A23" s="24"/>
      <c r="B23" s="25" t="s">
        <v>7</v>
      </c>
      <c r="C23" s="26"/>
      <c r="D23" s="26" t="s">
        <v>212</v>
      </c>
      <c r="E23" s="26"/>
      <c r="F23" s="26" t="s">
        <v>141</v>
      </c>
      <c r="G23" s="26"/>
      <c r="H23" s="26" t="s">
        <v>141</v>
      </c>
      <c r="I23" s="26"/>
      <c r="J23" s="26" t="s">
        <v>141</v>
      </c>
      <c r="K23" s="26"/>
      <c r="L23" s="26" t="s">
        <v>183</v>
      </c>
      <c r="M23" s="26"/>
      <c r="N23" s="26" t="s">
        <v>183</v>
      </c>
      <c r="O23" s="26"/>
      <c r="P23" s="26" t="s">
        <v>142</v>
      </c>
      <c r="Q23" s="26"/>
      <c r="R23" s="26"/>
      <c r="S23" s="26"/>
      <c r="T23" s="26"/>
      <c r="U23" s="27"/>
      <c r="V23" s="27"/>
      <c r="W23" s="25"/>
      <c r="X23" s="5"/>
    </row>
    <row r="24" spans="1:24" ht="15.75" x14ac:dyDescent="0.25">
      <c r="A24" s="24"/>
      <c r="B24" s="25" t="s">
        <v>8</v>
      </c>
      <c r="C24" s="26"/>
      <c r="D24" s="26" t="s">
        <v>213</v>
      </c>
      <c r="E24" s="26"/>
      <c r="F24" s="26" t="s">
        <v>143</v>
      </c>
      <c r="G24" s="26"/>
      <c r="H24" s="26" t="s">
        <v>143</v>
      </c>
      <c r="I24" s="26"/>
      <c r="J24" s="26" t="s">
        <v>143</v>
      </c>
      <c r="K24" s="26"/>
      <c r="L24" s="26" t="s">
        <v>165</v>
      </c>
      <c r="M24" s="26"/>
      <c r="N24" s="26" t="s">
        <v>165</v>
      </c>
      <c r="O24" s="26"/>
      <c r="P24" s="26" t="s">
        <v>144</v>
      </c>
      <c r="Q24" s="26"/>
      <c r="R24" s="26"/>
      <c r="S24" s="26"/>
      <c r="T24" s="26"/>
      <c r="U24" s="27"/>
      <c r="V24" s="27"/>
      <c r="W24" s="25"/>
      <c r="X24" s="5"/>
    </row>
    <row r="25" spans="1:24" ht="15.75" x14ac:dyDescent="0.25">
      <c r="A25" s="28"/>
      <c r="B25" s="130" t="s">
        <v>190</v>
      </c>
      <c r="C25" s="123"/>
      <c r="D25" s="26" t="s">
        <v>214</v>
      </c>
      <c r="E25" s="26"/>
      <c r="F25" s="26" t="s">
        <v>143</v>
      </c>
      <c r="G25" s="26"/>
      <c r="H25" s="26" t="s">
        <v>143</v>
      </c>
      <c r="I25" s="26"/>
      <c r="J25" s="26" t="s">
        <v>143</v>
      </c>
      <c r="K25" s="26"/>
      <c r="L25" s="26" t="s">
        <v>165</v>
      </c>
      <c r="M25" s="26"/>
      <c r="N25" s="26" t="s">
        <v>165</v>
      </c>
      <c r="O25" s="26"/>
      <c r="P25" s="26" t="s">
        <v>144</v>
      </c>
      <c r="Q25" s="26"/>
      <c r="R25" s="26"/>
      <c r="S25" s="123"/>
      <c r="T25" s="26"/>
      <c r="U25" s="27"/>
      <c r="V25" s="27"/>
      <c r="W25" s="25"/>
      <c r="X25" s="5"/>
    </row>
    <row r="26" spans="1:24" ht="15.75" x14ac:dyDescent="0.25">
      <c r="A26" s="28"/>
      <c r="B26" s="29" t="s">
        <v>9</v>
      </c>
      <c r="C26" s="123"/>
      <c r="D26" s="123" t="s">
        <v>212</v>
      </c>
      <c r="E26" s="123"/>
      <c r="F26" s="123" t="s">
        <v>141</v>
      </c>
      <c r="G26" s="123"/>
      <c r="H26" s="123" t="s">
        <v>141</v>
      </c>
      <c r="I26" s="123"/>
      <c r="J26" s="123" t="s">
        <v>141</v>
      </c>
      <c r="K26" s="123"/>
      <c r="L26" s="123" t="s">
        <v>183</v>
      </c>
      <c r="M26" s="123"/>
      <c r="N26" s="123" t="s">
        <v>183</v>
      </c>
      <c r="O26" s="123"/>
      <c r="P26" s="123" t="s">
        <v>142</v>
      </c>
      <c r="Q26" s="123"/>
      <c r="R26" s="123"/>
      <c r="S26" s="123"/>
      <c r="T26" s="26"/>
      <c r="U26" s="27"/>
      <c r="V26" s="27"/>
      <c r="W26" s="25"/>
      <c r="X26" s="5"/>
    </row>
    <row r="27" spans="1:24" ht="15.75" x14ac:dyDescent="0.25">
      <c r="A27" s="24"/>
      <c r="B27" s="29" t="s">
        <v>191</v>
      </c>
      <c r="C27" s="26"/>
      <c r="D27" s="123" t="s">
        <v>213</v>
      </c>
      <c r="E27" s="123"/>
      <c r="F27" s="123" t="s">
        <v>143</v>
      </c>
      <c r="G27" s="123"/>
      <c r="H27" s="123" t="s">
        <v>143</v>
      </c>
      <c r="I27" s="123"/>
      <c r="J27" s="123" t="s">
        <v>143</v>
      </c>
      <c r="K27" s="123"/>
      <c r="L27" s="123" t="s">
        <v>165</v>
      </c>
      <c r="M27" s="123"/>
      <c r="N27" s="123" t="s">
        <v>165</v>
      </c>
      <c r="O27" s="123"/>
      <c r="P27" s="123" t="s">
        <v>144</v>
      </c>
      <c r="Q27" s="123"/>
      <c r="R27" s="123"/>
      <c r="S27" s="26"/>
      <c r="T27" s="30"/>
      <c r="U27" s="27"/>
      <c r="V27" s="27"/>
      <c r="W27" s="25"/>
      <c r="X27" s="5"/>
    </row>
    <row r="28" spans="1:24" ht="15.75" x14ac:dyDescent="0.25">
      <c r="A28" s="24"/>
      <c r="B28" s="149" t="s">
        <v>192</v>
      </c>
      <c r="C28" s="26"/>
      <c r="D28" s="123" t="s">
        <v>214</v>
      </c>
      <c r="E28" s="123"/>
      <c r="F28" s="123" t="s">
        <v>143</v>
      </c>
      <c r="G28" s="123"/>
      <c r="H28" s="123" t="s">
        <v>143</v>
      </c>
      <c r="I28" s="123"/>
      <c r="J28" s="123" t="s">
        <v>143</v>
      </c>
      <c r="K28" s="123"/>
      <c r="L28" s="123" t="s">
        <v>165</v>
      </c>
      <c r="M28" s="123"/>
      <c r="N28" s="123" t="s">
        <v>165</v>
      </c>
      <c r="O28" s="123"/>
      <c r="P28" s="123" t="s">
        <v>144</v>
      </c>
      <c r="Q28" s="123"/>
      <c r="R28" s="123"/>
      <c r="S28" s="26"/>
      <c r="T28" s="30"/>
      <c r="U28" s="27"/>
      <c r="V28" s="27"/>
      <c r="W28" s="25"/>
      <c r="X28" s="5"/>
    </row>
    <row r="29" spans="1:24" ht="15.75" x14ac:dyDescent="0.25">
      <c r="A29" s="24"/>
      <c r="B29" s="25" t="s">
        <v>10</v>
      </c>
      <c r="C29" s="32"/>
      <c r="D29" s="26" t="s">
        <v>242</v>
      </c>
      <c r="E29" s="26"/>
      <c r="F29" s="30" t="s">
        <v>244</v>
      </c>
      <c r="G29" s="26"/>
      <c r="H29" s="26" t="s">
        <v>245</v>
      </c>
      <c r="I29" s="26"/>
      <c r="J29" s="26" t="s">
        <v>247</v>
      </c>
      <c r="K29" s="26"/>
      <c r="L29" s="26" t="s">
        <v>248</v>
      </c>
      <c r="M29" s="26"/>
      <c r="N29" s="26" t="s">
        <v>249</v>
      </c>
      <c r="O29" s="26"/>
      <c r="P29" s="26" t="s">
        <v>250</v>
      </c>
      <c r="Q29" s="26"/>
      <c r="R29" s="26"/>
      <c r="S29" s="31"/>
      <c r="T29" s="31"/>
      <c r="U29" s="33"/>
      <c r="V29" s="31"/>
      <c r="W29" s="34"/>
      <c r="X29" s="5"/>
    </row>
    <row r="30" spans="1:24" ht="15.75" x14ac:dyDescent="0.25">
      <c r="A30" s="24"/>
      <c r="B30" s="25" t="s">
        <v>10</v>
      </c>
      <c r="C30" s="32"/>
      <c r="D30" s="26" t="s">
        <v>243</v>
      </c>
      <c r="E30" s="26"/>
      <c r="F30" s="30" t="s">
        <v>118</v>
      </c>
      <c r="G30" s="26"/>
      <c r="H30" s="26" t="s">
        <v>118</v>
      </c>
      <c r="I30" s="26"/>
      <c r="J30" s="26" t="s">
        <v>246</v>
      </c>
      <c r="K30" s="26"/>
      <c r="L30" s="26" t="s">
        <v>118</v>
      </c>
      <c r="M30" s="26"/>
      <c r="N30" s="26" t="s">
        <v>118</v>
      </c>
      <c r="O30" s="26"/>
      <c r="P30" s="26" t="s">
        <v>118</v>
      </c>
      <c r="Q30" s="26"/>
      <c r="R30" s="26"/>
      <c r="S30" s="31"/>
      <c r="T30" s="31"/>
      <c r="U30" s="33"/>
      <c r="V30" s="31"/>
      <c r="W30" s="34"/>
      <c r="X30" s="5"/>
    </row>
    <row r="31" spans="1:24" ht="15.75" x14ac:dyDescent="0.25">
      <c r="A31" s="28"/>
      <c r="B31" s="25" t="s">
        <v>133</v>
      </c>
      <c r="C31" s="36"/>
      <c r="D31" s="143">
        <v>1000000</v>
      </c>
      <c r="E31" s="32"/>
      <c r="F31" s="31">
        <v>209500</v>
      </c>
      <c r="G31" s="31"/>
      <c r="H31" s="124">
        <v>110000</v>
      </c>
      <c r="I31" s="124"/>
      <c r="J31" s="143">
        <v>150000</v>
      </c>
      <c r="K31" s="31"/>
      <c r="L31" s="31">
        <v>17000</v>
      </c>
      <c r="M31" s="31"/>
      <c r="N31" s="124">
        <v>85500</v>
      </c>
      <c r="O31" s="31"/>
      <c r="P31" s="124">
        <v>110500</v>
      </c>
      <c r="Q31" s="31"/>
      <c r="R31" s="124"/>
      <c r="S31" s="35"/>
      <c r="T31" s="35"/>
      <c r="U31" s="37"/>
      <c r="V31" s="35"/>
      <c r="W31" s="34"/>
      <c r="X31" s="5"/>
    </row>
    <row r="32" spans="1:24" ht="15.75" x14ac:dyDescent="0.25">
      <c r="A32" s="24"/>
      <c r="B32" s="25" t="s">
        <v>132</v>
      </c>
      <c r="C32" s="32"/>
      <c r="D32" s="143">
        <v>0</v>
      </c>
      <c r="E32" s="32"/>
      <c r="F32" s="31">
        <v>0</v>
      </c>
      <c r="G32" s="31"/>
      <c r="H32" s="124">
        <v>0</v>
      </c>
      <c r="I32" s="124"/>
      <c r="J32" s="143">
        <v>0</v>
      </c>
      <c r="K32" s="31"/>
      <c r="L32" s="31">
        <v>0</v>
      </c>
      <c r="M32" s="31"/>
      <c r="N32" s="124">
        <v>0</v>
      </c>
      <c r="O32" s="31"/>
      <c r="P32" s="124">
        <v>0</v>
      </c>
      <c r="Q32" s="31"/>
      <c r="R32" s="124"/>
      <c r="S32" s="31"/>
      <c r="T32" s="31"/>
      <c r="U32" s="33"/>
      <c r="V32" s="31"/>
      <c r="W32" s="34"/>
      <c r="X32" s="5"/>
    </row>
    <row r="33" spans="1:27" ht="15.75" x14ac:dyDescent="0.25">
      <c r="A33" s="24"/>
      <c r="B33" s="29" t="s">
        <v>134</v>
      </c>
      <c r="C33" s="32"/>
      <c r="D33" s="170">
        <f>D37*D31</f>
        <v>986394.6</v>
      </c>
      <c r="E33" s="36"/>
      <c r="F33" s="35">
        <f>F37*F31</f>
        <v>206649.66870000001</v>
      </c>
      <c r="G33" s="35"/>
      <c r="H33" s="125">
        <f>H31*H37</f>
        <v>108503.45</v>
      </c>
      <c r="I33" s="125"/>
      <c r="J33" s="170">
        <f>J37*J31</f>
        <v>147959.19</v>
      </c>
      <c r="K33" s="35"/>
      <c r="L33" s="35">
        <f>L31*L37</f>
        <v>17000</v>
      </c>
      <c r="M33" s="35"/>
      <c r="N33" s="125">
        <f>N31*N37</f>
        <v>85500</v>
      </c>
      <c r="O33" s="35"/>
      <c r="P33" s="125">
        <f>P31*P37</f>
        <v>110500</v>
      </c>
      <c r="Q33" s="35"/>
      <c r="R33" s="125"/>
      <c r="S33" s="31"/>
      <c r="T33" s="31"/>
      <c r="U33" s="33"/>
      <c r="V33" s="31"/>
      <c r="W33" s="34"/>
      <c r="X33" s="5"/>
    </row>
    <row r="34" spans="1:27" ht="15.75" x14ac:dyDescent="0.25">
      <c r="A34" s="28"/>
      <c r="B34" s="25" t="s">
        <v>286</v>
      </c>
      <c r="C34" s="36"/>
      <c r="D34" s="31">
        <v>492951</v>
      </c>
      <c r="E34" s="32"/>
      <c r="F34" s="31">
        <v>209500</v>
      </c>
      <c r="G34" s="31"/>
      <c r="H34" s="31">
        <v>74677</v>
      </c>
      <c r="I34" s="31"/>
      <c r="J34" s="31">
        <v>73943</v>
      </c>
      <c r="K34" s="31"/>
      <c r="L34" s="31">
        <v>17000</v>
      </c>
      <c r="M34" s="31"/>
      <c r="N34" s="31">
        <v>58045</v>
      </c>
      <c r="O34" s="31"/>
      <c r="P34" s="31">
        <v>75017</v>
      </c>
      <c r="Q34" s="31"/>
      <c r="R34" s="31"/>
      <c r="S34" s="35"/>
      <c r="T34" s="35"/>
      <c r="U34" s="37"/>
      <c r="V34" s="150">
        <f>SUM(C34:R34)</f>
        <v>1001133</v>
      </c>
      <c r="W34" s="34"/>
      <c r="X34" s="5"/>
    </row>
    <row r="35" spans="1:27" ht="15.75" x14ac:dyDescent="0.25">
      <c r="A35" s="28"/>
      <c r="B35" s="25" t="s">
        <v>287</v>
      </c>
      <c r="C35" s="126"/>
      <c r="D35" s="31">
        <v>0</v>
      </c>
      <c r="E35" s="32"/>
      <c r="F35" s="31">
        <v>0</v>
      </c>
      <c r="G35" s="31"/>
      <c r="H35" s="31">
        <v>0</v>
      </c>
      <c r="I35" s="31"/>
      <c r="J35" s="31">
        <v>0</v>
      </c>
      <c r="K35" s="31"/>
      <c r="L35" s="31">
        <v>0</v>
      </c>
      <c r="M35" s="31"/>
      <c r="N35" s="31">
        <v>0</v>
      </c>
      <c r="O35" s="31"/>
      <c r="P35" s="31">
        <v>0</v>
      </c>
      <c r="Q35" s="31"/>
      <c r="R35" s="31"/>
      <c r="S35" s="31"/>
      <c r="T35" s="31"/>
      <c r="U35" s="33"/>
      <c r="V35" s="150">
        <f>SUM(C35:R35)</f>
        <v>0</v>
      </c>
      <c r="W35" s="34"/>
      <c r="X35" s="5"/>
    </row>
    <row r="36" spans="1:27" ht="15.75" x14ac:dyDescent="0.25">
      <c r="A36" s="28"/>
      <c r="B36" s="29" t="s">
        <v>288</v>
      </c>
      <c r="C36" s="126"/>
      <c r="D36" s="35">
        <f>D34*D37</f>
        <v>486244.20446460001</v>
      </c>
      <c r="E36" s="36"/>
      <c r="F36" s="35">
        <f>F34*F37</f>
        <v>206649.66870000001</v>
      </c>
      <c r="G36" s="35"/>
      <c r="H36" s="35">
        <f>H34*H37</f>
        <v>73661.019415000002</v>
      </c>
      <c r="I36" s="35"/>
      <c r="J36" s="35">
        <f>J34*J37</f>
        <v>72936.975907800006</v>
      </c>
      <c r="K36" s="35"/>
      <c r="L36" s="35">
        <f>L34*L37</f>
        <v>17000</v>
      </c>
      <c r="M36" s="35"/>
      <c r="N36" s="35">
        <f>N34*N37</f>
        <v>58045</v>
      </c>
      <c r="O36" s="35"/>
      <c r="P36" s="35">
        <f>P34*P37</f>
        <v>75017</v>
      </c>
      <c r="Q36" s="35"/>
      <c r="R36" s="35"/>
      <c r="S36" s="128"/>
      <c r="T36" s="128"/>
      <c r="U36" s="33"/>
      <c r="V36" s="151">
        <f>SUM(C36:R36)</f>
        <v>989553.8684874</v>
      </c>
      <c r="W36" s="34"/>
      <c r="X36" s="5"/>
    </row>
    <row r="37" spans="1:27" ht="15.75" x14ac:dyDescent="0.25">
      <c r="A37" s="24"/>
      <c r="B37" s="122" t="s">
        <v>130</v>
      </c>
      <c r="C37" s="25"/>
      <c r="D37" s="168">
        <v>0.98639460000000001</v>
      </c>
      <c r="E37" s="168"/>
      <c r="F37" s="168">
        <v>0.98639460000000001</v>
      </c>
      <c r="G37" s="168"/>
      <c r="H37" s="168">
        <v>0.98639500000000002</v>
      </c>
      <c r="I37" s="168"/>
      <c r="J37" s="168">
        <v>0.98639460000000001</v>
      </c>
      <c r="K37" s="168"/>
      <c r="L37" s="168">
        <v>1</v>
      </c>
      <c r="M37" s="168"/>
      <c r="N37" s="168">
        <v>1</v>
      </c>
      <c r="O37" s="168"/>
      <c r="P37" s="168">
        <v>1</v>
      </c>
      <c r="Q37" s="168"/>
      <c r="R37" s="168"/>
      <c r="S37" s="30"/>
      <c r="T37" s="30"/>
      <c r="U37" s="27"/>
      <c r="V37" s="27"/>
      <c r="W37" s="25"/>
      <c r="X37" s="5"/>
    </row>
    <row r="38" spans="1:27" ht="15.75" x14ac:dyDescent="0.25">
      <c r="A38" s="24"/>
      <c r="B38" s="122" t="s">
        <v>131</v>
      </c>
      <c r="C38" s="25"/>
      <c r="D38" s="168">
        <v>1</v>
      </c>
      <c r="E38" s="169"/>
      <c r="F38" s="168">
        <v>1</v>
      </c>
      <c r="G38" s="168"/>
      <c r="H38" s="168">
        <v>1</v>
      </c>
      <c r="I38" s="168"/>
      <c r="J38" s="168">
        <v>1</v>
      </c>
      <c r="K38" s="168"/>
      <c r="L38" s="168">
        <v>1</v>
      </c>
      <c r="M38" s="168"/>
      <c r="N38" s="168">
        <v>1</v>
      </c>
      <c r="O38" s="168"/>
      <c r="P38" s="168">
        <v>1</v>
      </c>
      <c r="Q38" s="168"/>
      <c r="R38" s="168"/>
      <c r="S38" s="39"/>
      <c r="T38" s="38"/>
      <c r="U38" s="27"/>
      <c r="V38" s="39"/>
      <c r="W38" s="25"/>
      <c r="X38" s="5"/>
    </row>
    <row r="39" spans="1:27" ht="15.75" x14ac:dyDescent="0.25">
      <c r="A39" s="24"/>
      <c r="B39" s="25" t="s">
        <v>11</v>
      </c>
      <c r="C39" s="25"/>
      <c r="D39" s="30" t="s">
        <v>224</v>
      </c>
      <c r="E39" s="25"/>
      <c r="F39" s="30" t="s">
        <v>251</v>
      </c>
      <c r="G39" s="30"/>
      <c r="H39" s="30" t="s">
        <v>252</v>
      </c>
      <c r="I39" s="30"/>
      <c r="J39" s="30" t="s">
        <v>253</v>
      </c>
      <c r="K39" s="30"/>
      <c r="L39" s="30" t="s">
        <v>254</v>
      </c>
      <c r="M39" s="30"/>
      <c r="N39" s="30" t="s">
        <v>254</v>
      </c>
      <c r="O39" s="30"/>
      <c r="P39" s="30" t="s">
        <v>255</v>
      </c>
      <c r="Q39" s="30"/>
      <c r="R39" s="30"/>
      <c r="S39" s="39"/>
      <c r="T39" s="38"/>
      <c r="U39" s="27"/>
      <c r="V39" s="27"/>
      <c r="W39" s="25"/>
      <c r="X39" s="5"/>
    </row>
    <row r="40" spans="1:27" ht="15.75" x14ac:dyDescent="0.25">
      <c r="A40" s="24"/>
      <c r="B40" s="25" t="s">
        <v>12</v>
      </c>
      <c r="C40" s="25"/>
      <c r="D40" s="38">
        <v>4.6518799999999999E-2</v>
      </c>
      <c r="E40" s="25"/>
      <c r="F40" s="38">
        <v>6.2570399999999998E-2</v>
      </c>
      <c r="G40" s="39"/>
      <c r="H40" s="38">
        <v>4.419E-2</v>
      </c>
      <c r="I40" s="38"/>
      <c r="J40" s="38">
        <v>5.4893299999999999E-2</v>
      </c>
      <c r="K40" s="39"/>
      <c r="L40" s="38">
        <v>6.3970399999999997E-2</v>
      </c>
      <c r="M40" s="39"/>
      <c r="N40" s="38">
        <v>4.5690000000000001E-2</v>
      </c>
      <c r="O40" s="39"/>
      <c r="P40" s="38">
        <v>4.8489999999999998E-2</v>
      </c>
      <c r="Q40" s="39"/>
      <c r="R40" s="38"/>
      <c r="S40" s="39"/>
      <c r="T40" s="38"/>
      <c r="U40" s="27"/>
      <c r="V40" s="30"/>
      <c r="W40" s="25"/>
      <c r="X40" s="5"/>
      <c r="AA40" s="1" t="s">
        <v>193</v>
      </c>
    </row>
    <row r="41" spans="1:27" ht="15.75" x14ac:dyDescent="0.25">
      <c r="A41" s="24"/>
      <c r="B41" s="25" t="s">
        <v>13</v>
      </c>
      <c r="C41" s="25"/>
      <c r="D41" s="38">
        <v>0</v>
      </c>
      <c r="E41" s="25"/>
      <c r="F41" s="38">
        <v>0</v>
      </c>
      <c r="G41" s="39"/>
      <c r="H41" s="38">
        <v>0</v>
      </c>
      <c r="I41" s="38"/>
      <c r="J41" s="38">
        <v>0</v>
      </c>
      <c r="K41" s="38"/>
      <c r="L41" s="38">
        <v>0</v>
      </c>
      <c r="M41" s="38"/>
      <c r="N41" s="38">
        <v>0</v>
      </c>
      <c r="O41" s="38"/>
      <c r="P41" s="38">
        <v>0</v>
      </c>
      <c r="Q41" s="38"/>
      <c r="R41" s="38"/>
      <c r="S41" s="39"/>
      <c r="T41" s="38"/>
      <c r="U41" s="27"/>
      <c r="V41" s="39" t="s">
        <v>193</v>
      </c>
      <c r="W41" s="25"/>
      <c r="X41" s="5"/>
    </row>
    <row r="42" spans="1:27" ht="15.75" x14ac:dyDescent="0.25">
      <c r="A42" s="24"/>
      <c r="B42" s="25" t="s">
        <v>289</v>
      </c>
      <c r="C42" s="25"/>
      <c r="D42" s="30" t="s">
        <v>273</v>
      </c>
      <c r="E42" s="25"/>
      <c r="F42" s="30" t="s">
        <v>251</v>
      </c>
      <c r="G42" s="30"/>
      <c r="H42" s="30" t="s">
        <v>229</v>
      </c>
      <c r="I42" s="30"/>
      <c r="J42" s="30" t="s">
        <v>229</v>
      </c>
      <c r="K42" s="30"/>
      <c r="L42" s="30" t="s">
        <v>254</v>
      </c>
      <c r="M42" s="30"/>
      <c r="N42" s="30" t="s">
        <v>262</v>
      </c>
      <c r="O42" s="30"/>
      <c r="P42" s="30" t="s">
        <v>263</v>
      </c>
      <c r="Q42" s="30"/>
      <c r="R42" s="30"/>
      <c r="S42" s="39"/>
      <c r="T42" s="38"/>
      <c r="U42" s="27"/>
      <c r="V42" s="27"/>
      <c r="W42" s="25"/>
      <c r="X42" s="5"/>
    </row>
    <row r="43" spans="1:27" ht="15.75" x14ac:dyDescent="0.25">
      <c r="A43" s="24"/>
      <c r="B43" s="25" t="s">
        <v>290</v>
      </c>
      <c r="C43" s="110"/>
      <c r="D43" s="38">
        <v>6.1457400000000002E-2</v>
      </c>
      <c r="E43" s="38"/>
      <c r="F43" s="38">
        <f>+F40</f>
        <v>6.2570399999999998E-2</v>
      </c>
      <c r="G43" s="38"/>
      <c r="H43" s="38">
        <v>6.2645400000000004E-2</v>
      </c>
      <c r="I43" s="38"/>
      <c r="J43" s="38">
        <v>6.2660400000000005E-2</v>
      </c>
      <c r="K43" s="38"/>
      <c r="L43" s="38">
        <f>+L40</f>
        <v>6.3970399999999997E-2</v>
      </c>
      <c r="M43" s="38"/>
      <c r="N43" s="38">
        <v>6.4337400000000003E-2</v>
      </c>
      <c r="O43" s="38"/>
      <c r="P43" s="38">
        <v>6.7417400000000002E-2</v>
      </c>
      <c r="Q43" s="39"/>
      <c r="R43" s="38"/>
      <c r="S43" s="30"/>
      <c r="T43" s="30"/>
      <c r="U43" s="27"/>
      <c r="V43" s="39">
        <f>SUMPRODUCT(D43:R43,D34:R34)/V34</f>
        <v>6.2524026637020252E-2</v>
      </c>
      <c r="W43" s="25"/>
      <c r="X43" s="5"/>
    </row>
    <row r="44" spans="1:27" ht="15.75" x14ac:dyDescent="0.25">
      <c r="A44" s="24"/>
      <c r="B44" s="25" t="s">
        <v>291</v>
      </c>
      <c r="C44" s="110"/>
      <c r="D44" s="38">
        <v>0</v>
      </c>
      <c r="E44" s="25"/>
      <c r="F44" s="38">
        <v>0</v>
      </c>
      <c r="G44" s="39"/>
      <c r="H44" s="38">
        <v>0</v>
      </c>
      <c r="I44" s="38"/>
      <c r="J44" s="38">
        <v>0</v>
      </c>
      <c r="K44" s="39"/>
      <c r="L44" s="38">
        <v>0</v>
      </c>
      <c r="M44" s="39"/>
      <c r="N44" s="38">
        <v>0</v>
      </c>
      <c r="O44" s="39"/>
      <c r="P44" s="38">
        <v>0</v>
      </c>
      <c r="Q44" s="39"/>
      <c r="R44" s="38"/>
      <c r="S44" s="30"/>
      <c r="T44" s="30"/>
      <c r="U44" s="27"/>
      <c r="V44" s="27"/>
      <c r="W44" s="25"/>
      <c r="X44" s="5"/>
    </row>
    <row r="45" spans="1:27" ht="15.75" x14ac:dyDescent="0.25">
      <c r="A45" s="24"/>
      <c r="B45" s="25" t="s">
        <v>14</v>
      </c>
      <c r="C45" s="25"/>
      <c r="D45" s="110">
        <v>40709</v>
      </c>
      <c r="E45" s="110"/>
      <c r="F45" s="110">
        <v>40709</v>
      </c>
      <c r="G45" s="110"/>
      <c r="H45" s="110">
        <v>40709</v>
      </c>
      <c r="I45" s="110"/>
      <c r="J45" s="110">
        <v>40709</v>
      </c>
      <c r="K45" s="110"/>
      <c r="L45" s="110">
        <v>40709</v>
      </c>
      <c r="M45" s="110"/>
      <c r="N45" s="110">
        <v>40709</v>
      </c>
      <c r="O45" s="110"/>
      <c r="P45" s="110">
        <v>40709</v>
      </c>
      <c r="Q45" s="110"/>
      <c r="R45" s="110"/>
      <c r="S45" s="30"/>
      <c r="T45" s="30"/>
      <c r="U45" s="27"/>
      <c r="V45" s="27"/>
      <c r="W45" s="25"/>
      <c r="X45" s="5"/>
    </row>
    <row r="46" spans="1:27" ht="15.75" x14ac:dyDescent="0.25">
      <c r="A46" s="24"/>
      <c r="B46" s="25" t="s">
        <v>15</v>
      </c>
      <c r="C46" s="25"/>
      <c r="D46" s="110" t="s">
        <v>118</v>
      </c>
      <c r="E46" s="110"/>
      <c r="F46" s="110">
        <v>41075</v>
      </c>
      <c r="G46" s="110"/>
      <c r="H46" s="110">
        <v>41075</v>
      </c>
      <c r="I46" s="110"/>
      <c r="J46" s="110">
        <v>41075</v>
      </c>
      <c r="K46" s="30"/>
      <c r="L46" s="110">
        <v>41075</v>
      </c>
      <c r="M46" s="30"/>
      <c r="N46" s="110">
        <v>41075</v>
      </c>
      <c r="O46" s="30"/>
      <c r="P46" s="110">
        <v>41075</v>
      </c>
      <c r="Q46" s="30"/>
      <c r="R46" s="110"/>
      <c r="S46" s="30"/>
      <c r="T46" s="30"/>
      <c r="U46" s="27"/>
      <c r="V46" s="27"/>
      <c r="W46" s="25"/>
      <c r="X46" s="5"/>
    </row>
    <row r="47" spans="1:27" ht="15.75" x14ac:dyDescent="0.25">
      <c r="A47" s="24"/>
      <c r="B47" s="25" t="s">
        <v>119</v>
      </c>
      <c r="C47" s="25"/>
      <c r="D47" s="171" t="s">
        <v>118</v>
      </c>
      <c r="E47" s="25"/>
      <c r="F47" s="30" t="s">
        <v>256</v>
      </c>
      <c r="G47" s="30"/>
      <c r="H47" s="30" t="s">
        <v>257</v>
      </c>
      <c r="I47" s="30"/>
      <c r="J47" s="30" t="s">
        <v>258</v>
      </c>
      <c r="K47" s="30"/>
      <c r="L47" s="30" t="s">
        <v>259</v>
      </c>
      <c r="M47" s="30"/>
      <c r="N47" s="30" t="s">
        <v>259</v>
      </c>
      <c r="O47" s="30"/>
      <c r="P47" s="30" t="s">
        <v>260</v>
      </c>
      <c r="Q47" s="30"/>
      <c r="R47" s="30"/>
      <c r="S47" s="40"/>
      <c r="T47" s="40"/>
      <c r="U47" s="40"/>
      <c r="V47" s="40"/>
      <c r="W47" s="25"/>
      <c r="X47" s="5"/>
    </row>
    <row r="48" spans="1:27" ht="15.75" x14ac:dyDescent="0.25">
      <c r="A48" s="24"/>
      <c r="B48" s="25" t="s">
        <v>292</v>
      </c>
      <c r="C48" s="25"/>
      <c r="D48" s="30" t="s">
        <v>200</v>
      </c>
      <c r="E48" s="25"/>
      <c r="F48" s="30" t="s">
        <v>256</v>
      </c>
      <c r="G48" s="30"/>
      <c r="H48" s="30" t="s">
        <v>261</v>
      </c>
      <c r="I48" s="30"/>
      <c r="J48" s="30" t="s">
        <v>261</v>
      </c>
      <c r="K48" s="30"/>
      <c r="L48" s="30" t="s">
        <v>259</v>
      </c>
      <c r="M48" s="30"/>
      <c r="N48" s="30" t="s">
        <v>263</v>
      </c>
      <c r="O48" s="30"/>
      <c r="P48" s="30" t="s">
        <v>264</v>
      </c>
      <c r="Q48" s="30"/>
      <c r="R48" s="30"/>
      <c r="S48" s="25"/>
      <c r="T48" s="25"/>
      <c r="U48" s="25"/>
      <c r="V48" s="39"/>
      <c r="W48" s="25"/>
      <c r="X48" s="5"/>
    </row>
    <row r="49" spans="1:25" ht="15.75" x14ac:dyDescent="0.25">
      <c r="A49" s="24"/>
      <c r="B49" s="25"/>
      <c r="C49" s="25"/>
      <c r="D49" s="30"/>
      <c r="E49" s="25"/>
      <c r="F49" s="30"/>
      <c r="G49" s="30"/>
      <c r="H49" s="30"/>
      <c r="I49" s="30"/>
      <c r="J49" s="30"/>
      <c r="K49" s="30"/>
      <c r="L49" s="30"/>
      <c r="M49" s="30"/>
      <c r="N49" s="30"/>
      <c r="O49" s="30"/>
      <c r="P49" s="30"/>
      <c r="Q49" s="30"/>
      <c r="R49" s="30"/>
      <c r="S49" s="25"/>
      <c r="T49" s="25"/>
      <c r="U49" s="25"/>
      <c r="V49" s="39" t="s">
        <v>193</v>
      </c>
      <c r="W49" s="25"/>
      <c r="X49" s="5"/>
    </row>
    <row r="50" spans="1:25" ht="15.75" x14ac:dyDescent="0.25">
      <c r="A50" s="24"/>
      <c r="B50" s="25" t="s">
        <v>169</v>
      </c>
      <c r="C50" s="25"/>
      <c r="D50" s="30"/>
      <c r="E50" s="25"/>
      <c r="F50" s="30"/>
      <c r="G50" s="30"/>
      <c r="H50" s="30"/>
      <c r="I50" s="30"/>
      <c r="J50" s="30"/>
      <c r="K50" s="30"/>
      <c r="L50" s="30"/>
      <c r="M50" s="30"/>
      <c r="N50" s="30"/>
      <c r="O50" s="30"/>
      <c r="P50" s="30"/>
      <c r="Q50" s="30"/>
      <c r="R50" s="30"/>
      <c r="S50" s="25"/>
      <c r="T50" s="25"/>
      <c r="U50" s="25"/>
      <c r="V50" s="39">
        <f>SUM(L34:R34)/SUM(D34:J34)</f>
        <v>0.17632136449250416</v>
      </c>
      <c r="W50" s="25"/>
      <c r="X50" s="5"/>
    </row>
    <row r="51" spans="1:25" ht="15.75" x14ac:dyDescent="0.25">
      <c r="A51" s="24"/>
      <c r="B51" s="25" t="s">
        <v>170</v>
      </c>
      <c r="C51" s="25"/>
      <c r="D51" s="25"/>
      <c r="E51" s="25"/>
      <c r="F51" s="41"/>
      <c r="G51" s="25"/>
      <c r="H51" s="25"/>
      <c r="I51" s="25"/>
      <c r="J51" s="25"/>
      <c r="K51" s="25"/>
      <c r="L51" s="25"/>
      <c r="M51" s="25"/>
      <c r="N51" s="25"/>
      <c r="O51" s="25"/>
      <c r="P51" s="25"/>
      <c r="Q51" s="25"/>
      <c r="R51" s="25"/>
      <c r="S51" s="25"/>
      <c r="T51" s="25"/>
      <c r="U51" s="25"/>
      <c r="V51" s="39">
        <f>SUM(L36:R36)/SUM(D36:J36)</f>
        <v>0.17875336930943994</v>
      </c>
      <c r="W51" s="25"/>
      <c r="X51" s="5"/>
    </row>
    <row r="52" spans="1:25" ht="15.75" x14ac:dyDescent="0.25">
      <c r="A52" s="24"/>
      <c r="B52" s="25" t="s">
        <v>171</v>
      </c>
      <c r="C52" s="25"/>
      <c r="D52" s="25"/>
      <c r="E52" s="25"/>
      <c r="F52" s="25"/>
      <c r="G52" s="25"/>
      <c r="H52" s="25"/>
      <c r="I52" s="25"/>
      <c r="J52" s="25"/>
      <c r="K52" s="25"/>
      <c r="L52" s="25"/>
      <c r="M52" s="25"/>
      <c r="N52" s="25"/>
      <c r="O52" s="25"/>
      <c r="P52" s="25"/>
      <c r="Q52" s="25"/>
      <c r="R52" s="25"/>
      <c r="S52" s="25"/>
      <c r="T52" s="30"/>
      <c r="U52" s="30"/>
      <c r="V52" s="31" t="s">
        <v>268</v>
      </c>
      <c r="W52" s="25"/>
      <c r="X52" s="5"/>
    </row>
    <row r="53" spans="1:25" ht="15.75" x14ac:dyDescent="0.25">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75" x14ac:dyDescent="0.25">
      <c r="A54" s="24"/>
      <c r="B54" s="25" t="s">
        <v>202</v>
      </c>
      <c r="C54" s="25"/>
      <c r="D54" s="25"/>
      <c r="E54" s="25"/>
      <c r="F54" s="25"/>
      <c r="G54" s="25"/>
      <c r="H54" s="25"/>
      <c r="I54" s="25"/>
      <c r="J54" s="25"/>
      <c r="K54" s="25"/>
      <c r="L54" s="25"/>
      <c r="M54" s="25"/>
      <c r="N54" s="25"/>
      <c r="O54" s="25"/>
      <c r="P54" s="25"/>
      <c r="Q54" s="25"/>
      <c r="R54" s="25"/>
      <c r="S54" s="25"/>
      <c r="T54" s="25"/>
      <c r="U54" s="25"/>
      <c r="V54" s="152" t="s">
        <v>203</v>
      </c>
      <c r="W54" s="25"/>
      <c r="X54" s="5"/>
    </row>
    <row r="55" spans="1:25" ht="15.75" x14ac:dyDescent="0.25">
      <c r="A55" s="24"/>
      <c r="B55" s="25" t="s">
        <v>270</v>
      </c>
      <c r="C55" s="25"/>
      <c r="D55" s="25"/>
      <c r="E55" s="25"/>
      <c r="F55" s="25"/>
      <c r="G55" s="25"/>
      <c r="H55" s="25"/>
      <c r="I55" s="25"/>
      <c r="J55" s="25"/>
      <c r="K55" s="25"/>
      <c r="L55" s="25"/>
      <c r="M55" s="25"/>
      <c r="N55" s="25"/>
      <c r="O55" s="25"/>
      <c r="P55" s="25"/>
      <c r="Q55" s="25"/>
      <c r="R55" s="25"/>
      <c r="S55" s="25"/>
      <c r="T55" s="30"/>
      <c r="U55" s="30"/>
      <c r="V55" s="153" t="s">
        <v>111</v>
      </c>
      <c r="W55" s="25"/>
      <c r="X55" s="5"/>
    </row>
    <row r="56" spans="1:25" ht="15.75" x14ac:dyDescent="0.25">
      <c r="A56" s="24"/>
      <c r="B56" s="29" t="s">
        <v>201</v>
      </c>
      <c r="C56" s="29"/>
      <c r="D56" s="29"/>
      <c r="E56" s="29"/>
      <c r="F56" s="29"/>
      <c r="G56" s="29"/>
      <c r="H56" s="29"/>
      <c r="I56" s="29"/>
      <c r="J56" s="29"/>
      <c r="K56" s="29"/>
      <c r="L56" s="29"/>
      <c r="M56" s="29"/>
      <c r="N56" s="29"/>
      <c r="O56" s="29"/>
      <c r="P56" s="29"/>
      <c r="Q56" s="29"/>
      <c r="R56" s="29"/>
      <c r="S56" s="29"/>
      <c r="T56" s="43"/>
      <c r="U56" s="43"/>
      <c r="V56" s="44">
        <v>39433</v>
      </c>
      <c r="W56" s="25"/>
      <c r="X56" s="5"/>
    </row>
    <row r="57" spans="1:25" ht="15.75" x14ac:dyDescent="0.25">
      <c r="A57" s="24"/>
      <c r="B57" s="25" t="s">
        <v>121</v>
      </c>
      <c r="C57" s="25"/>
      <c r="D57" s="25"/>
      <c r="E57" s="25"/>
      <c r="F57" s="25"/>
      <c r="G57" s="25"/>
      <c r="H57" s="58"/>
      <c r="I57" s="58"/>
      <c r="J57" s="58"/>
      <c r="K57" s="58"/>
      <c r="L57" s="58"/>
      <c r="M57" s="58"/>
      <c r="N57" s="58"/>
      <c r="O57" s="58"/>
      <c r="P57" s="58"/>
      <c r="Q57" s="58"/>
      <c r="R57" s="58"/>
      <c r="S57" s="58"/>
      <c r="T57" s="45"/>
      <c r="U57" s="46"/>
      <c r="V57" s="45"/>
      <c r="W57" s="25"/>
      <c r="X57" s="5"/>
    </row>
    <row r="58" spans="1:25" ht="15.75" x14ac:dyDescent="0.25">
      <c r="A58" s="24"/>
      <c r="B58" s="25" t="s">
        <v>122</v>
      </c>
      <c r="C58" s="25"/>
      <c r="D58" s="25"/>
      <c r="E58" s="25"/>
      <c r="F58" s="25"/>
      <c r="G58" s="25"/>
      <c r="H58" s="25"/>
      <c r="I58" s="25"/>
      <c r="J58" s="25"/>
      <c r="K58" s="25"/>
      <c r="L58" s="25"/>
      <c r="M58" s="25"/>
      <c r="N58" s="25"/>
      <c r="O58" s="25"/>
      <c r="P58" s="25"/>
      <c r="Q58" s="25"/>
      <c r="R58" s="25">
        <f>+V58-T58+1</f>
        <v>151</v>
      </c>
      <c r="S58" s="25"/>
      <c r="T58" s="45">
        <v>39282</v>
      </c>
      <c r="U58" s="46"/>
      <c r="V58" s="45">
        <v>39432</v>
      </c>
      <c r="W58" s="25"/>
      <c r="X58" s="5"/>
    </row>
    <row r="59" spans="1:25" ht="15.75" x14ac:dyDescent="0.25">
      <c r="A59" s="24"/>
      <c r="B59" s="25" t="s">
        <v>223</v>
      </c>
      <c r="C59" s="25"/>
      <c r="D59" s="25"/>
      <c r="E59" s="25"/>
      <c r="F59" s="25"/>
      <c r="G59" s="25"/>
      <c r="H59" s="25"/>
      <c r="I59" s="25"/>
      <c r="J59" s="25"/>
      <c r="K59" s="25"/>
      <c r="L59" s="25"/>
      <c r="M59" s="25"/>
      <c r="N59" s="25"/>
      <c r="O59" s="25"/>
      <c r="P59" s="25"/>
      <c r="Q59" s="25"/>
      <c r="R59" s="25"/>
      <c r="S59" s="25"/>
      <c r="T59" s="45"/>
      <c r="U59" s="46"/>
      <c r="V59" s="45" t="s">
        <v>120</v>
      </c>
      <c r="W59" s="25"/>
      <c r="X59" s="5"/>
    </row>
    <row r="60" spans="1:25" ht="15.75" x14ac:dyDescent="0.25">
      <c r="A60" s="24"/>
      <c r="B60" s="25" t="s">
        <v>271</v>
      </c>
      <c r="C60" s="25"/>
      <c r="D60" s="25"/>
      <c r="E60" s="25"/>
      <c r="F60" s="25"/>
      <c r="G60" s="25"/>
      <c r="H60" s="25"/>
      <c r="I60" s="25"/>
      <c r="J60" s="25"/>
      <c r="K60" s="25"/>
      <c r="L60" s="25"/>
      <c r="M60" s="25"/>
      <c r="N60" s="25"/>
      <c r="O60" s="25"/>
      <c r="P60" s="25"/>
      <c r="Q60" s="25"/>
      <c r="R60" s="25"/>
      <c r="S60" s="25"/>
      <c r="T60" s="45"/>
      <c r="U60" s="46"/>
      <c r="V60" s="45" t="s">
        <v>154</v>
      </c>
      <c r="W60" s="25"/>
      <c r="X60" s="5"/>
      <c r="Y60" s="133"/>
    </row>
    <row r="61" spans="1:25" ht="15.75" x14ac:dyDescent="0.25">
      <c r="A61" s="24"/>
      <c r="B61" s="25" t="s">
        <v>16</v>
      </c>
      <c r="C61" s="25"/>
      <c r="D61" s="25"/>
      <c r="E61" s="25"/>
      <c r="F61" s="25"/>
      <c r="G61" s="25"/>
      <c r="H61" s="25"/>
      <c r="I61" s="25"/>
      <c r="J61" s="25"/>
      <c r="K61" s="25"/>
      <c r="L61" s="25"/>
      <c r="M61" s="25"/>
      <c r="N61" s="25"/>
      <c r="O61" s="25"/>
      <c r="P61" s="25"/>
      <c r="Q61" s="25"/>
      <c r="R61" s="25"/>
      <c r="S61" s="25"/>
      <c r="T61" s="45"/>
      <c r="U61" s="46"/>
      <c r="V61" s="45">
        <v>39419</v>
      </c>
      <c r="W61" s="25"/>
      <c r="X61" s="5"/>
    </row>
    <row r="62" spans="1:25" ht="15.75" x14ac:dyDescent="0.25">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75" x14ac:dyDescent="0.25">
      <c r="A63" s="6"/>
      <c r="B63" s="8"/>
      <c r="C63" s="8"/>
      <c r="D63" s="8"/>
      <c r="E63" s="8"/>
      <c r="F63" s="8"/>
      <c r="G63" s="8"/>
      <c r="H63" s="8"/>
      <c r="I63" s="8"/>
      <c r="J63" s="8"/>
      <c r="K63" s="8"/>
      <c r="L63" s="8"/>
      <c r="M63" s="8"/>
      <c r="N63" s="8"/>
      <c r="O63" s="8"/>
      <c r="P63" s="8"/>
      <c r="Q63" s="8"/>
      <c r="R63" s="8"/>
      <c r="S63" s="8"/>
      <c r="T63" s="47"/>
      <c r="U63" s="48"/>
      <c r="V63" s="47"/>
      <c r="W63" s="8"/>
      <c r="X63" s="5"/>
    </row>
    <row r="64" spans="1:25" ht="19.5" thickBot="1" x14ac:dyDescent="0.35">
      <c r="A64" s="101"/>
      <c r="B64" s="102" t="s">
        <v>240</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75" x14ac:dyDescent="0.25">
      <c r="A65" s="2"/>
      <c r="B65" s="4"/>
      <c r="C65" s="4"/>
      <c r="D65" s="4"/>
      <c r="E65" s="4"/>
      <c r="F65" s="4"/>
      <c r="G65" s="4"/>
      <c r="H65" s="4"/>
      <c r="I65" s="4"/>
      <c r="J65" s="4"/>
      <c r="K65" s="4"/>
      <c r="L65" s="4"/>
      <c r="M65" s="4"/>
      <c r="N65" s="4"/>
      <c r="O65" s="4"/>
      <c r="P65" s="4"/>
      <c r="Q65" s="4"/>
      <c r="R65" s="4"/>
      <c r="S65" s="4"/>
      <c r="T65" s="4"/>
      <c r="U65" s="4"/>
      <c r="V65" s="50"/>
      <c r="W65" s="4"/>
      <c r="X65" s="5"/>
    </row>
    <row r="66" spans="1:24" ht="15.75" x14ac:dyDescent="0.25">
      <c r="A66" s="6"/>
      <c r="B66" s="51" t="s">
        <v>17</v>
      </c>
      <c r="C66" s="8"/>
      <c r="D66" s="8"/>
      <c r="E66" s="8"/>
      <c r="F66" s="8"/>
      <c r="G66" s="8"/>
      <c r="H66" s="8"/>
      <c r="I66" s="8"/>
      <c r="J66" s="8"/>
      <c r="K66" s="8"/>
      <c r="L66" s="8"/>
      <c r="M66" s="8"/>
      <c r="N66" s="8"/>
      <c r="O66" s="8"/>
      <c r="P66" s="8"/>
      <c r="Q66" s="8"/>
      <c r="R66" s="8"/>
      <c r="S66" s="8"/>
      <c r="T66" s="8"/>
      <c r="U66" s="8"/>
      <c r="V66" s="52"/>
      <c r="W66" s="8"/>
      <c r="X66" s="5"/>
    </row>
    <row r="67" spans="1:24" ht="15.75" x14ac:dyDescent="0.25">
      <c r="A67" s="6"/>
      <c r="B67" s="13"/>
      <c r="C67" s="8"/>
      <c r="D67" s="8"/>
      <c r="E67" s="8"/>
      <c r="F67" s="8"/>
      <c r="G67" s="8"/>
      <c r="H67" s="8"/>
      <c r="I67" s="8"/>
      <c r="J67" s="8"/>
      <c r="K67" s="8"/>
      <c r="L67" s="8"/>
      <c r="M67" s="8"/>
      <c r="N67" s="8"/>
      <c r="O67" s="8"/>
      <c r="P67" s="8"/>
      <c r="Q67" s="8"/>
      <c r="R67" s="8"/>
      <c r="S67" s="8"/>
      <c r="T67" s="8"/>
      <c r="U67" s="8"/>
      <c r="V67" s="52"/>
      <c r="W67" s="8"/>
      <c r="X67" s="5"/>
    </row>
    <row r="68" spans="1:24" ht="47.25" x14ac:dyDescent="0.25">
      <c r="A68" s="6"/>
      <c r="B68" s="114" t="s">
        <v>18</v>
      </c>
      <c r="C68" s="115"/>
      <c r="D68" s="115"/>
      <c r="E68" s="115"/>
      <c r="F68" s="115"/>
      <c r="G68" s="115"/>
      <c r="H68" s="115"/>
      <c r="I68" s="115"/>
      <c r="J68" s="115"/>
      <c r="K68" s="115"/>
      <c r="L68" s="115" t="s">
        <v>94</v>
      </c>
      <c r="M68" s="115"/>
      <c r="N68" s="115" t="s">
        <v>96</v>
      </c>
      <c r="O68" s="115"/>
      <c r="P68" s="115" t="s">
        <v>98</v>
      </c>
      <c r="Q68" s="115"/>
      <c r="R68" s="115" t="s">
        <v>100</v>
      </c>
      <c r="S68" s="115"/>
      <c r="T68" s="115" t="s">
        <v>106</v>
      </c>
      <c r="U68" s="115"/>
      <c r="V68" s="116" t="s">
        <v>112</v>
      </c>
      <c r="W68" s="117"/>
      <c r="X68" s="5"/>
    </row>
    <row r="69" spans="1:24" ht="15.75" x14ac:dyDescent="0.25">
      <c r="A69" s="24"/>
      <c r="B69" s="25" t="s">
        <v>19</v>
      </c>
      <c r="C69" s="34"/>
      <c r="D69" s="34"/>
      <c r="E69" s="34"/>
      <c r="F69" s="34"/>
      <c r="G69" s="34"/>
      <c r="H69" s="34"/>
      <c r="I69" s="34"/>
      <c r="J69" s="34"/>
      <c r="K69" s="34"/>
      <c r="L69" s="34">
        <v>812446</v>
      </c>
      <c r="M69" s="34"/>
      <c r="N69" s="53">
        <v>812446</v>
      </c>
      <c r="O69" s="34"/>
      <c r="P69" s="34">
        <f>11579+5658+352</f>
        <v>17589</v>
      </c>
      <c r="Q69" s="34"/>
      <c r="R69" s="34">
        <f>5658+352+188687</f>
        <v>194697</v>
      </c>
      <c r="S69" s="34"/>
      <c r="T69" s="34">
        <v>0</v>
      </c>
      <c r="U69" s="34"/>
      <c r="V69" s="53">
        <f>+L69-P69+R69-T69</f>
        <v>989554</v>
      </c>
      <c r="W69" s="25"/>
      <c r="X69" s="5"/>
    </row>
    <row r="70" spans="1:24" ht="15.75" x14ac:dyDescent="0.25">
      <c r="A70" s="24"/>
      <c r="B70" s="25" t="s">
        <v>20</v>
      </c>
      <c r="C70" s="34"/>
      <c r="D70" s="34"/>
      <c r="E70" s="34"/>
      <c r="F70" s="34"/>
      <c r="G70" s="34"/>
      <c r="H70" s="34"/>
      <c r="I70" s="34"/>
      <c r="J70" s="34"/>
      <c r="K70" s="34"/>
      <c r="L70" s="34">
        <v>0</v>
      </c>
      <c r="M70" s="34"/>
      <c r="N70" s="53">
        <v>0</v>
      </c>
      <c r="O70" s="34"/>
      <c r="P70" s="34">
        <v>0</v>
      </c>
      <c r="Q70" s="34"/>
      <c r="R70" s="34">
        <v>0</v>
      </c>
      <c r="S70" s="34"/>
      <c r="T70" s="34">
        <v>0</v>
      </c>
      <c r="U70" s="34"/>
      <c r="V70" s="53">
        <f>+L70-P70</f>
        <v>0</v>
      </c>
      <c r="W70" s="25"/>
      <c r="X70" s="5"/>
    </row>
    <row r="71" spans="1:24" ht="15.75" x14ac:dyDescent="0.25">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75" x14ac:dyDescent="0.25">
      <c r="A72" s="24"/>
      <c r="B72" s="25" t="s">
        <v>21</v>
      </c>
      <c r="C72" s="34"/>
      <c r="D72" s="34"/>
      <c r="E72" s="34"/>
      <c r="F72" s="34"/>
      <c r="G72" s="34"/>
      <c r="H72" s="34"/>
      <c r="I72" s="34"/>
      <c r="J72" s="34"/>
      <c r="K72" s="34"/>
      <c r="L72" s="34">
        <f>SUM(L69:L71)</f>
        <v>812446</v>
      </c>
      <c r="M72" s="34"/>
      <c r="N72" s="54">
        <f>N69+N70</f>
        <v>812446</v>
      </c>
      <c r="O72" s="34"/>
      <c r="P72" s="34">
        <f>SUM(P69:P71)</f>
        <v>17589</v>
      </c>
      <c r="Q72" s="34"/>
      <c r="R72" s="34">
        <f>SUM(R69:R71)</f>
        <v>194697</v>
      </c>
      <c r="S72" s="34"/>
      <c r="T72" s="34">
        <f>SUM(T69:T71)</f>
        <v>0</v>
      </c>
      <c r="U72" s="34"/>
      <c r="V72" s="54">
        <f>SUM(V69:V71)</f>
        <v>989554</v>
      </c>
      <c r="W72" s="25"/>
      <c r="X72" s="5"/>
    </row>
    <row r="73" spans="1:24" ht="15.75" x14ac:dyDescent="0.25">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75" x14ac:dyDescent="0.25">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75" x14ac:dyDescent="0.25">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75" x14ac:dyDescent="0.25">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75" x14ac:dyDescent="0.25">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75" x14ac:dyDescent="0.25">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75" x14ac:dyDescent="0.25">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75" x14ac:dyDescent="0.25">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75" x14ac:dyDescent="0.25">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75" x14ac:dyDescent="0.25">
      <c r="A82" s="24"/>
      <c r="B82" s="25" t="s">
        <v>117</v>
      </c>
      <c r="C82" s="34"/>
      <c r="D82" s="34"/>
      <c r="E82" s="34"/>
      <c r="F82" s="34"/>
      <c r="G82" s="34"/>
      <c r="H82" s="34"/>
      <c r="I82" s="34"/>
      <c r="J82" s="34"/>
      <c r="K82" s="34"/>
      <c r="L82" s="34">
        <v>188687</v>
      </c>
      <c r="M82" s="34"/>
      <c r="N82" s="34">
        <v>188687</v>
      </c>
      <c r="O82" s="34"/>
      <c r="P82" s="34">
        <v>-188687</v>
      </c>
      <c r="Q82" s="34"/>
      <c r="R82" s="34"/>
      <c r="S82" s="34"/>
      <c r="T82" s="34"/>
      <c r="U82" s="34"/>
      <c r="V82" s="54">
        <f>SUM(N82:R82)</f>
        <v>0</v>
      </c>
      <c r="W82" s="25"/>
      <c r="X82" s="5"/>
    </row>
    <row r="83" spans="1:24" ht="15.75" x14ac:dyDescent="0.25">
      <c r="A83" s="24"/>
      <c r="B83" s="25" t="s">
        <v>146</v>
      </c>
      <c r="C83" s="34"/>
      <c r="D83" s="34"/>
      <c r="E83" s="34"/>
      <c r="F83" s="34"/>
      <c r="G83" s="34"/>
      <c r="H83" s="34"/>
      <c r="I83" s="34"/>
      <c r="J83" s="34"/>
      <c r="K83" s="34"/>
      <c r="L83" s="34">
        <v>0</v>
      </c>
      <c r="M83" s="34"/>
      <c r="N83" s="34">
        <v>0</v>
      </c>
      <c r="O83" s="34"/>
      <c r="P83" s="34">
        <v>0</v>
      </c>
      <c r="Q83" s="34"/>
      <c r="R83" s="34"/>
      <c r="S83" s="34"/>
      <c r="T83" s="34"/>
      <c r="U83" s="34"/>
      <c r="V83" s="54">
        <f>+N83+P83</f>
        <v>0</v>
      </c>
      <c r="W83" s="25"/>
      <c r="X83" s="5"/>
    </row>
    <row r="84" spans="1:24" ht="15.75" x14ac:dyDescent="0.25">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75" x14ac:dyDescent="0.25">
      <c r="A85" s="24"/>
      <c r="B85" s="25" t="s">
        <v>26</v>
      </c>
      <c r="C85" s="34"/>
      <c r="D85" s="34"/>
      <c r="E85" s="34"/>
      <c r="F85" s="54"/>
      <c r="G85" s="34"/>
      <c r="H85" s="54"/>
      <c r="I85" s="54"/>
      <c r="J85" s="54"/>
      <c r="K85" s="54"/>
      <c r="L85" s="54">
        <f>SUM(L72:L84)</f>
        <v>1001133</v>
      </c>
      <c r="M85" s="34"/>
      <c r="N85" s="54">
        <f>SUM(N72:N84)</f>
        <v>1001133</v>
      </c>
      <c r="O85" s="34"/>
      <c r="P85" s="34"/>
      <c r="Q85" s="34"/>
      <c r="R85" s="34"/>
      <c r="S85" s="34"/>
      <c r="T85" s="54"/>
      <c r="U85" s="34"/>
      <c r="V85" s="54">
        <f>SUM(V72:V84)</f>
        <v>989554</v>
      </c>
      <c r="W85" s="25"/>
      <c r="X85" s="5"/>
    </row>
    <row r="86" spans="1:24" ht="15.75" x14ac:dyDescent="0.25">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75" x14ac:dyDescent="0.25">
      <c r="A87" s="6"/>
      <c r="B87" s="8"/>
      <c r="C87" s="8"/>
      <c r="D87" s="8"/>
      <c r="E87" s="8"/>
      <c r="F87" s="8"/>
      <c r="G87" s="8"/>
      <c r="H87" s="8"/>
      <c r="I87" s="8"/>
      <c r="J87" s="8"/>
      <c r="K87" s="8"/>
      <c r="L87" s="8"/>
      <c r="M87" s="8"/>
      <c r="N87" s="8"/>
      <c r="O87" s="8"/>
      <c r="P87" s="8"/>
      <c r="Q87" s="8"/>
      <c r="R87" s="8"/>
      <c r="S87" s="8"/>
      <c r="T87" s="8"/>
      <c r="U87" s="8"/>
      <c r="V87" s="8"/>
      <c r="W87" s="8"/>
      <c r="X87" s="5"/>
    </row>
    <row r="88" spans="1:24" ht="15.75" x14ac:dyDescent="0.25">
      <c r="A88" s="6"/>
      <c r="B88" s="51" t="s">
        <v>27</v>
      </c>
      <c r="C88" s="14"/>
      <c r="D88" s="14"/>
      <c r="E88" s="14"/>
      <c r="F88" s="14"/>
      <c r="G88" s="14"/>
      <c r="H88" s="17"/>
      <c r="I88" s="17"/>
      <c r="J88" s="17"/>
      <c r="K88" s="17"/>
      <c r="L88" s="155" t="s">
        <v>95</v>
      </c>
      <c r="M88" s="17"/>
      <c r="N88" s="154">
        <f>+T201</f>
        <v>39416</v>
      </c>
      <c r="O88" s="17"/>
      <c r="P88" s="17"/>
      <c r="Q88" s="17"/>
      <c r="R88" s="17"/>
      <c r="S88" s="17"/>
      <c r="T88" s="17" t="s">
        <v>107</v>
      </c>
      <c r="U88" s="17"/>
      <c r="V88" s="17" t="s">
        <v>113</v>
      </c>
      <c r="W88" s="8"/>
      <c r="X88" s="5"/>
    </row>
    <row r="89" spans="1:24" ht="15.75" x14ac:dyDescent="0.25">
      <c r="A89" s="24"/>
      <c r="B89" s="25" t="s">
        <v>28</v>
      </c>
      <c r="C89" s="25"/>
      <c r="D89" s="25"/>
      <c r="E89" s="25"/>
      <c r="F89" s="25"/>
      <c r="G89" s="25"/>
      <c r="H89" s="25"/>
      <c r="I89" s="25"/>
      <c r="J89" s="25"/>
      <c r="K89" s="25"/>
      <c r="L89" s="25"/>
      <c r="M89" s="25"/>
      <c r="N89" s="25"/>
      <c r="O89" s="25"/>
      <c r="P89" s="25"/>
      <c r="Q89" s="25"/>
      <c r="R89" s="25"/>
      <c r="S89" s="25"/>
      <c r="T89" s="34">
        <v>0</v>
      </c>
      <c r="U89" s="25"/>
      <c r="V89" s="53">
        <v>12</v>
      </c>
      <c r="W89" s="25"/>
      <c r="X89" s="5"/>
    </row>
    <row r="90" spans="1:24" ht="15.75" x14ac:dyDescent="0.25">
      <c r="A90" s="24"/>
      <c r="B90" s="25" t="s">
        <v>29</v>
      </c>
      <c r="C90" s="25"/>
      <c r="D90" s="25"/>
      <c r="E90" s="25"/>
      <c r="F90" s="25"/>
      <c r="G90" s="25"/>
      <c r="H90" s="40"/>
      <c r="I90" s="40"/>
      <c r="J90" s="40"/>
      <c r="K90" s="57"/>
      <c r="L90" s="40"/>
      <c r="M90" s="25"/>
      <c r="N90" s="127"/>
      <c r="O90" s="25"/>
      <c r="P90" s="25"/>
      <c r="Q90" s="25"/>
      <c r="R90" s="25"/>
      <c r="S90" s="25"/>
      <c r="T90" s="34">
        <v>17589</v>
      </c>
      <c r="U90" s="25"/>
      <c r="V90" s="53"/>
      <c r="W90" s="25"/>
      <c r="X90" s="5"/>
    </row>
    <row r="91" spans="1:24" ht="15.75" x14ac:dyDescent="0.25">
      <c r="A91" s="24"/>
      <c r="B91" s="25" t="s">
        <v>215</v>
      </c>
      <c r="C91" s="25"/>
      <c r="D91" s="25"/>
      <c r="E91" s="25"/>
      <c r="F91" s="25"/>
      <c r="G91" s="25"/>
      <c r="H91" s="40"/>
      <c r="I91" s="40"/>
      <c r="J91" s="40"/>
      <c r="K91" s="57"/>
      <c r="L91" s="40"/>
      <c r="M91" s="25"/>
      <c r="N91" s="127"/>
      <c r="O91" s="25"/>
      <c r="P91" s="25"/>
      <c r="Q91" s="25"/>
      <c r="R91" s="25"/>
      <c r="S91" s="25"/>
      <c r="T91" s="34"/>
      <c r="U91" s="25"/>
      <c r="V91" s="53">
        <f>10556+10794-335-349</f>
        <v>20666</v>
      </c>
      <c r="W91" s="25"/>
      <c r="X91" s="5"/>
    </row>
    <row r="92" spans="1:24" ht="15.75" x14ac:dyDescent="0.25">
      <c r="A92" s="24"/>
      <c r="B92" s="25" t="s">
        <v>210</v>
      </c>
      <c r="C92" s="25"/>
      <c r="D92" s="25"/>
      <c r="E92" s="25"/>
      <c r="F92" s="25"/>
      <c r="G92" s="25"/>
      <c r="H92" s="40"/>
      <c r="I92" s="40"/>
      <c r="J92" s="40"/>
      <c r="K92" s="57"/>
      <c r="L92" s="40"/>
      <c r="M92" s="25"/>
      <c r="N92" s="127"/>
      <c r="O92" s="25"/>
      <c r="P92" s="25"/>
      <c r="Q92" s="25"/>
      <c r="R92" s="25"/>
      <c r="S92" s="25"/>
      <c r="T92" s="34"/>
      <c r="U92" s="25"/>
      <c r="V92" s="53">
        <f>65+90</f>
        <v>155</v>
      </c>
      <c r="W92" s="25"/>
      <c r="X92" s="5"/>
    </row>
    <row r="93" spans="1:24" ht="15.75" x14ac:dyDescent="0.25">
      <c r="A93" s="24"/>
      <c r="B93" s="25" t="s">
        <v>211</v>
      </c>
      <c r="C93" s="25"/>
      <c r="D93" s="25"/>
      <c r="E93" s="25"/>
      <c r="F93" s="25"/>
      <c r="G93" s="25"/>
      <c r="H93" s="40"/>
      <c r="I93" s="40"/>
      <c r="J93" s="40"/>
      <c r="K93" s="57"/>
      <c r="L93" s="40"/>
      <c r="M93" s="25"/>
      <c r="N93" s="127"/>
      <c r="O93" s="25"/>
      <c r="P93" s="25"/>
      <c r="Q93" s="25"/>
      <c r="R93" s="25"/>
      <c r="S93" s="25"/>
      <c r="T93" s="34"/>
      <c r="U93" s="25"/>
      <c r="V93" s="53">
        <v>2128</v>
      </c>
      <c r="W93" s="25"/>
      <c r="X93" s="5"/>
    </row>
    <row r="94" spans="1:24" ht="15.75" x14ac:dyDescent="0.25">
      <c r="A94" s="24"/>
      <c r="B94" s="25" t="s">
        <v>233</v>
      </c>
      <c r="C94" s="25"/>
      <c r="D94" s="25"/>
      <c r="E94" s="25"/>
      <c r="F94" s="25"/>
      <c r="G94" s="25"/>
      <c r="H94" s="40"/>
      <c r="I94" s="40"/>
      <c r="J94" s="40"/>
      <c r="K94" s="57"/>
      <c r="L94" s="40"/>
      <c r="M94" s="25"/>
      <c r="N94" s="127"/>
      <c r="O94" s="25"/>
      <c r="P94" s="25"/>
      <c r="Q94" s="25"/>
      <c r="R94" s="25"/>
      <c r="S94" s="25"/>
      <c r="T94" s="34"/>
      <c r="U94" s="25"/>
      <c r="V94" s="53">
        <f>10+1242</f>
        <v>1252</v>
      </c>
      <c r="W94" s="25"/>
      <c r="X94" s="5"/>
    </row>
    <row r="95" spans="1:24" ht="15.75" x14ac:dyDescent="0.25">
      <c r="A95" s="24"/>
      <c r="B95" s="25" t="s">
        <v>235</v>
      </c>
      <c r="C95" s="25"/>
      <c r="D95" s="25"/>
      <c r="E95" s="25"/>
      <c r="F95" s="25"/>
      <c r="G95" s="25"/>
      <c r="H95" s="40"/>
      <c r="I95" s="40"/>
      <c r="J95" s="40"/>
      <c r="K95" s="57"/>
      <c r="L95" s="40"/>
      <c r="M95" s="25"/>
      <c r="N95" s="127"/>
      <c r="O95" s="25"/>
      <c r="P95" s="25"/>
      <c r="Q95" s="25"/>
      <c r="R95" s="25"/>
      <c r="S95" s="25"/>
      <c r="T95" s="34"/>
      <c r="U95" s="25"/>
      <c r="V95" s="53">
        <f>V172</f>
        <v>3173</v>
      </c>
      <c r="W95" s="25"/>
      <c r="X95" s="5"/>
    </row>
    <row r="96" spans="1:24" ht="15.75" x14ac:dyDescent="0.25">
      <c r="A96" s="24"/>
      <c r="B96" s="25" t="s">
        <v>135</v>
      </c>
      <c r="C96" s="25"/>
      <c r="D96" s="25"/>
      <c r="E96" s="25"/>
      <c r="F96" s="25"/>
      <c r="G96" s="25"/>
      <c r="H96" s="25"/>
      <c r="I96" s="25"/>
      <c r="J96" s="25"/>
      <c r="K96" s="25"/>
      <c r="L96" s="25"/>
      <c r="M96" s="25"/>
      <c r="N96" s="25"/>
      <c r="O96" s="25"/>
      <c r="P96" s="25"/>
      <c r="Q96" s="25"/>
      <c r="R96" s="25"/>
      <c r="S96" s="25"/>
      <c r="T96" s="34"/>
      <c r="U96" s="25"/>
      <c r="V96" s="53">
        <v>116</v>
      </c>
      <c r="W96" s="25"/>
      <c r="X96" s="5"/>
    </row>
    <row r="97" spans="1:25" ht="15.75" x14ac:dyDescent="0.25">
      <c r="A97" s="24"/>
      <c r="B97" s="25" t="s">
        <v>272</v>
      </c>
      <c r="C97" s="25"/>
      <c r="D97" s="25"/>
      <c r="E97" s="25"/>
      <c r="F97" s="25"/>
      <c r="G97" s="25"/>
      <c r="H97" s="25"/>
      <c r="I97" s="25"/>
      <c r="J97" s="25"/>
      <c r="K97" s="25"/>
      <c r="L97" s="25"/>
      <c r="M97" s="25"/>
      <c r="N97" s="25"/>
      <c r="O97" s="25"/>
      <c r="P97" s="25"/>
      <c r="Q97" s="25"/>
      <c r="R97" s="25"/>
      <c r="S97" s="25"/>
      <c r="T97" s="34"/>
      <c r="U97" s="25"/>
      <c r="V97" s="53">
        <v>1301</v>
      </c>
      <c r="W97" s="25"/>
      <c r="X97" s="5"/>
    </row>
    <row r="98" spans="1:25" ht="15.75" x14ac:dyDescent="0.25">
      <c r="A98" s="24"/>
      <c r="B98" s="25" t="s">
        <v>30</v>
      </c>
      <c r="C98" s="25"/>
      <c r="D98" s="25"/>
      <c r="E98" s="25"/>
      <c r="F98" s="25"/>
      <c r="G98" s="25"/>
      <c r="H98" s="25"/>
      <c r="I98" s="25"/>
      <c r="J98" s="25"/>
      <c r="K98" s="25"/>
      <c r="L98" s="25"/>
      <c r="M98" s="25"/>
      <c r="N98" s="25"/>
      <c r="O98" s="25"/>
      <c r="P98" s="25"/>
      <c r="Q98" s="25"/>
      <c r="R98" s="25"/>
      <c r="S98" s="25"/>
      <c r="T98" s="34">
        <f>SUM(T89:T97)</f>
        <v>17589</v>
      </c>
      <c r="U98" s="25"/>
      <c r="V98" s="54">
        <f>SUM(V89:V97)</f>
        <v>28803</v>
      </c>
      <c r="W98" s="25"/>
      <c r="X98" s="5"/>
    </row>
    <row r="99" spans="1:25" ht="15.75" x14ac:dyDescent="0.25">
      <c r="A99" s="24"/>
      <c r="B99" s="25" t="s">
        <v>161</v>
      </c>
      <c r="C99" s="25"/>
      <c r="D99" s="25"/>
      <c r="E99" s="25"/>
      <c r="F99" s="25"/>
      <c r="G99" s="25"/>
      <c r="H99" s="25"/>
      <c r="I99" s="25"/>
      <c r="J99" s="25"/>
      <c r="K99" s="25"/>
      <c r="L99" s="25"/>
      <c r="M99" s="25"/>
      <c r="N99" s="25"/>
      <c r="O99" s="25"/>
      <c r="P99" s="25"/>
      <c r="Q99" s="25"/>
      <c r="R99" s="25"/>
      <c r="S99" s="25"/>
      <c r="T99" s="34">
        <f>-V99</f>
        <v>-33</v>
      </c>
      <c r="U99" s="25"/>
      <c r="V99" s="54">
        <v>33</v>
      </c>
      <c r="W99" s="25"/>
      <c r="X99" s="5"/>
    </row>
    <row r="100" spans="1:25" ht="15.75" x14ac:dyDescent="0.25">
      <c r="A100" s="24"/>
      <c r="B100" s="25" t="s">
        <v>31</v>
      </c>
      <c r="C100" s="25"/>
      <c r="D100" s="25"/>
      <c r="E100" s="25"/>
      <c r="F100" s="25"/>
      <c r="G100" s="25"/>
      <c r="H100" s="25"/>
      <c r="I100" s="25"/>
      <c r="J100" s="25"/>
      <c r="K100" s="25"/>
      <c r="L100" s="25"/>
      <c r="M100" s="25"/>
      <c r="N100" s="25"/>
      <c r="O100" s="25"/>
      <c r="P100" s="25"/>
      <c r="Q100" s="25"/>
      <c r="R100" s="25"/>
      <c r="S100" s="25"/>
      <c r="T100" s="34">
        <f>-V100</f>
        <v>0</v>
      </c>
      <c r="U100" s="25"/>
      <c r="V100" s="53">
        <v>0</v>
      </c>
      <c r="W100" s="25"/>
      <c r="X100" s="5"/>
    </row>
    <row r="101" spans="1:25" ht="15.75" x14ac:dyDescent="0.25">
      <c r="A101" s="24"/>
      <c r="B101" s="25" t="s">
        <v>274</v>
      </c>
      <c r="C101" s="25"/>
      <c r="D101" s="25"/>
      <c r="E101" s="25"/>
      <c r="F101" s="25"/>
      <c r="G101" s="25"/>
      <c r="H101" s="25"/>
      <c r="I101" s="25"/>
      <c r="J101" s="25"/>
      <c r="K101" s="25"/>
      <c r="L101" s="25"/>
      <c r="M101" s="25"/>
      <c r="N101" s="25"/>
      <c r="O101" s="25"/>
      <c r="P101" s="25"/>
      <c r="Q101" s="25"/>
      <c r="R101" s="25"/>
      <c r="S101" s="25"/>
      <c r="T101" s="34"/>
      <c r="U101" s="25"/>
      <c r="V101" s="53">
        <v>0</v>
      </c>
      <c r="W101" s="25"/>
      <c r="X101" s="5"/>
    </row>
    <row r="102" spans="1:25" ht="15.75" x14ac:dyDescent="0.25">
      <c r="A102" s="24"/>
      <c r="B102" s="25" t="s">
        <v>32</v>
      </c>
      <c r="C102" s="25"/>
      <c r="D102" s="25"/>
      <c r="E102" s="25"/>
      <c r="F102" s="25"/>
      <c r="G102" s="25"/>
      <c r="H102" s="25"/>
      <c r="I102" s="25"/>
      <c r="J102" s="25"/>
      <c r="K102" s="25"/>
      <c r="L102" s="25"/>
      <c r="M102" s="25"/>
      <c r="N102" s="25"/>
      <c r="O102" s="25"/>
      <c r="P102" s="25"/>
      <c r="Q102" s="25"/>
      <c r="R102" s="25"/>
      <c r="S102" s="25"/>
      <c r="T102" s="34">
        <f>T98+T100+T99</f>
        <v>17556</v>
      </c>
      <c r="U102" s="25"/>
      <c r="V102" s="54">
        <f>V98+V100+V99+V101</f>
        <v>28836</v>
      </c>
      <c r="W102" s="25"/>
      <c r="X102" s="5"/>
    </row>
    <row r="103" spans="1:25" ht="15.75" x14ac:dyDescent="0.25">
      <c r="A103" s="24"/>
      <c r="B103" s="118" t="s">
        <v>33</v>
      </c>
      <c r="C103" s="25"/>
      <c r="D103" s="25"/>
      <c r="E103" s="25"/>
      <c r="F103" s="25"/>
      <c r="G103" s="25"/>
      <c r="H103" s="25"/>
      <c r="I103" s="25"/>
      <c r="J103" s="25"/>
      <c r="K103" s="25"/>
      <c r="L103" s="25"/>
      <c r="M103" s="25"/>
      <c r="N103" s="25"/>
      <c r="O103" s="25"/>
      <c r="P103" s="25"/>
      <c r="Q103" s="25"/>
      <c r="R103" s="25"/>
      <c r="S103" s="25"/>
      <c r="T103" s="34"/>
      <c r="U103" s="25"/>
      <c r="V103" s="53"/>
      <c r="W103" s="25"/>
      <c r="X103" s="5"/>
    </row>
    <row r="104" spans="1:25" ht="15.75" x14ac:dyDescent="0.25">
      <c r="A104" s="24">
        <v>1</v>
      </c>
      <c r="B104" s="25" t="s">
        <v>34</v>
      </c>
      <c r="C104" s="25"/>
      <c r="D104" s="25"/>
      <c r="E104" s="25"/>
      <c r="F104" s="25"/>
      <c r="G104" s="25"/>
      <c r="H104" s="25"/>
      <c r="I104" s="25"/>
      <c r="J104" s="25"/>
      <c r="K104" s="25"/>
      <c r="L104" s="25"/>
      <c r="M104" s="25"/>
      <c r="N104" s="25"/>
      <c r="O104" s="25"/>
      <c r="P104" s="25"/>
      <c r="Q104" s="25"/>
      <c r="R104" s="25"/>
      <c r="S104" s="25"/>
      <c r="T104" s="25"/>
      <c r="U104" s="25"/>
      <c r="V104" s="53">
        <f>-1107-1352</f>
        <v>-2459</v>
      </c>
      <c r="W104" s="25"/>
      <c r="X104" s="5"/>
    </row>
    <row r="105" spans="1:25" ht="15.75" x14ac:dyDescent="0.25">
      <c r="A105" s="24">
        <f>+A104+1</f>
        <v>2</v>
      </c>
      <c r="B105" s="25" t="s">
        <v>221</v>
      </c>
      <c r="C105" s="25"/>
      <c r="D105" s="25"/>
      <c r="E105" s="25"/>
      <c r="F105" s="25"/>
      <c r="G105" s="25"/>
      <c r="H105" s="25"/>
      <c r="I105" s="25"/>
      <c r="J105" s="25"/>
      <c r="K105" s="25"/>
      <c r="L105" s="25"/>
      <c r="M105" s="25"/>
      <c r="N105" s="25"/>
      <c r="O105" s="25"/>
      <c r="P105" s="25"/>
      <c r="Q105" s="25"/>
      <c r="R105" s="25"/>
      <c r="S105" s="25"/>
      <c r="T105" s="25"/>
      <c r="U105" s="25"/>
      <c r="V105" s="53">
        <v>-2</v>
      </c>
      <c r="W105" s="25"/>
      <c r="X105" s="5"/>
    </row>
    <row r="106" spans="1:25" ht="15.75" x14ac:dyDescent="0.25">
      <c r="A106" s="24">
        <f>+A105+1</f>
        <v>3</v>
      </c>
      <c r="B106" s="25" t="s">
        <v>204</v>
      </c>
      <c r="C106" s="25"/>
      <c r="D106" s="25"/>
      <c r="E106" s="25"/>
      <c r="F106" s="25"/>
      <c r="G106" s="25"/>
      <c r="H106" s="25"/>
      <c r="I106" s="25"/>
      <c r="J106" s="25"/>
      <c r="K106" s="25"/>
      <c r="L106" s="25"/>
      <c r="M106" s="25"/>
      <c r="N106" s="25"/>
      <c r="O106" s="25"/>
      <c r="P106" s="25"/>
      <c r="Q106" s="25"/>
      <c r="R106" s="25"/>
      <c r="S106" s="25"/>
      <c r="T106" s="25"/>
      <c r="U106" s="25"/>
      <c r="V106" s="53">
        <f>-451-1-16</f>
        <v>-468</v>
      </c>
      <c r="W106" s="25"/>
      <c r="X106" s="5"/>
    </row>
    <row r="107" spans="1:25" ht="15.75" x14ac:dyDescent="0.25">
      <c r="A107" s="24" t="s">
        <v>127</v>
      </c>
      <c r="B107" s="25" t="s">
        <v>116</v>
      </c>
      <c r="C107" s="25"/>
      <c r="D107" s="25"/>
      <c r="E107" s="25"/>
      <c r="F107" s="25"/>
      <c r="G107" s="25"/>
      <c r="H107" s="25"/>
      <c r="I107" s="25"/>
      <c r="J107" s="25"/>
      <c r="K107" s="25"/>
      <c r="L107" s="25"/>
      <c r="M107" s="25"/>
      <c r="N107" s="25"/>
      <c r="O107" s="25"/>
      <c r="P107" s="25"/>
      <c r="Q107" s="25"/>
      <c r="R107" s="25"/>
      <c r="S107" s="25"/>
      <c r="T107" s="25"/>
      <c r="U107" s="25"/>
      <c r="V107" s="53">
        <v>0</v>
      </c>
      <c r="W107" s="25"/>
      <c r="X107" s="5"/>
    </row>
    <row r="108" spans="1:25" ht="15.75" x14ac:dyDescent="0.25">
      <c r="A108" s="24" t="s">
        <v>128</v>
      </c>
      <c r="B108" s="25" t="s">
        <v>220</v>
      </c>
      <c r="C108" s="25"/>
      <c r="D108" s="25"/>
      <c r="E108" s="25"/>
      <c r="F108" s="25"/>
      <c r="G108" s="25"/>
      <c r="H108" s="25"/>
      <c r="I108" s="25"/>
      <c r="J108" s="25"/>
      <c r="K108" s="25"/>
      <c r="L108" s="25"/>
      <c r="M108" s="25"/>
      <c r="N108" s="25"/>
      <c r="O108" s="25"/>
      <c r="P108" s="25"/>
      <c r="Q108" s="25"/>
      <c r="R108" s="25"/>
      <c r="S108" s="25"/>
      <c r="T108" s="25"/>
      <c r="U108" s="25"/>
      <c r="V108" s="53">
        <v>-16385</v>
      </c>
      <c r="W108" s="25"/>
      <c r="X108" s="5"/>
      <c r="Y108" s="109"/>
    </row>
    <row r="109" spans="1:25" ht="15.75" x14ac:dyDescent="0.25">
      <c r="A109" s="24" t="s">
        <v>150</v>
      </c>
      <c r="B109" s="25" t="s">
        <v>184</v>
      </c>
      <c r="C109" s="25"/>
      <c r="D109" s="25"/>
      <c r="E109" s="25"/>
      <c r="F109" s="25"/>
      <c r="G109" s="25"/>
      <c r="H109" s="25"/>
      <c r="I109" s="25"/>
      <c r="J109" s="25"/>
      <c r="K109" s="25"/>
      <c r="L109" s="25"/>
      <c r="M109" s="25"/>
      <c r="N109" s="25"/>
      <c r="O109" s="25"/>
      <c r="P109" s="25"/>
      <c r="Q109" s="25"/>
      <c r="R109" s="25"/>
      <c r="S109" s="25"/>
      <c r="T109" s="25"/>
      <c r="U109" s="25"/>
      <c r="V109" s="53">
        <v>-5423</v>
      </c>
      <c r="W109" s="25"/>
      <c r="X109" s="5"/>
      <c r="Y109" s="109"/>
    </row>
    <row r="110" spans="1:25" ht="15.75" x14ac:dyDescent="0.25">
      <c r="A110" s="24" t="s">
        <v>205</v>
      </c>
      <c r="B110" s="25" t="s">
        <v>185</v>
      </c>
      <c r="C110" s="25"/>
      <c r="D110" s="25"/>
      <c r="E110" s="25"/>
      <c r="F110" s="25"/>
      <c r="G110" s="25"/>
      <c r="H110" s="25"/>
      <c r="I110" s="25"/>
      <c r="J110" s="25"/>
      <c r="K110" s="25"/>
      <c r="L110" s="25"/>
      <c r="M110" s="25"/>
      <c r="N110" s="25"/>
      <c r="O110" s="25"/>
      <c r="P110" s="25"/>
      <c r="Q110" s="25"/>
      <c r="R110" s="25"/>
      <c r="S110" s="25"/>
      <c r="T110" s="25"/>
      <c r="U110" s="25"/>
      <c r="V110" s="53">
        <v>-1545</v>
      </c>
      <c r="W110" s="25"/>
      <c r="X110" s="5"/>
      <c r="Y110" s="109"/>
    </row>
    <row r="111" spans="1:25" ht="15.75" x14ac:dyDescent="0.25">
      <c r="A111" s="24" t="s">
        <v>206</v>
      </c>
      <c r="B111" s="25" t="s">
        <v>186</v>
      </c>
      <c r="C111" s="25"/>
      <c r="D111" s="25"/>
      <c r="E111" s="25"/>
      <c r="F111" s="25"/>
      <c r="G111" s="25"/>
      <c r="H111" s="25"/>
      <c r="I111" s="25"/>
      <c r="J111" s="25"/>
      <c r="K111" s="25"/>
      <c r="L111" s="25"/>
      <c r="M111" s="25"/>
      <c r="N111" s="25"/>
      <c r="O111" s="25"/>
      <c r="P111" s="25"/>
      <c r="Q111" s="25"/>
      <c r="R111" s="25"/>
      <c r="S111" s="25"/>
      <c r="T111" s="25"/>
      <c r="U111" s="25"/>
      <c r="V111" s="53">
        <v>-450</v>
      </c>
      <c r="W111" s="25"/>
      <c r="X111" s="5"/>
      <c r="Y111" s="109"/>
    </row>
    <row r="112" spans="1:25" ht="15.75" x14ac:dyDescent="0.25">
      <c r="A112" s="24">
        <v>6</v>
      </c>
      <c r="B112" s="25" t="s">
        <v>196</v>
      </c>
      <c r="C112" s="25"/>
      <c r="D112" s="25"/>
      <c r="E112" s="25"/>
      <c r="F112" s="25"/>
      <c r="G112" s="25"/>
      <c r="H112" s="25"/>
      <c r="I112" s="25"/>
      <c r="J112" s="25"/>
      <c r="K112" s="25"/>
      <c r="L112" s="25"/>
      <c r="M112" s="25"/>
      <c r="N112" s="25"/>
      <c r="O112" s="25"/>
      <c r="P112" s="25"/>
      <c r="Q112" s="25"/>
      <c r="R112" s="25"/>
      <c r="S112" s="25"/>
      <c r="T112" s="25"/>
      <c r="U112" s="25"/>
      <c r="V112" s="53">
        <v>-2092</v>
      </c>
      <c r="W112" s="25"/>
      <c r="X112" s="5"/>
      <c r="Y112" s="109"/>
    </row>
    <row r="113" spans="1:24" ht="15.75" x14ac:dyDescent="0.25">
      <c r="A113" s="24">
        <v>7</v>
      </c>
      <c r="B113" s="25" t="s">
        <v>35</v>
      </c>
      <c r="C113" s="25"/>
      <c r="D113" s="25"/>
      <c r="E113" s="25"/>
      <c r="F113" s="25"/>
      <c r="G113" s="25"/>
      <c r="H113" s="25"/>
      <c r="I113" s="25"/>
      <c r="J113" s="25"/>
      <c r="K113" s="25"/>
      <c r="L113" s="25"/>
      <c r="M113" s="25"/>
      <c r="N113" s="25"/>
      <c r="O113" s="25"/>
      <c r="P113" s="25"/>
      <c r="Q113" s="25"/>
      <c r="R113" s="25"/>
      <c r="S113" s="25"/>
      <c r="T113" s="25"/>
      <c r="U113" s="25"/>
      <c r="V113" s="53">
        <v>-12</v>
      </c>
      <c r="W113" s="25"/>
      <c r="X113" s="5"/>
    </row>
    <row r="114" spans="1:24" ht="15.75" x14ac:dyDescent="0.25">
      <c r="A114" s="24">
        <f t="shared" ref="A114:A119" si="0">+A113+1</f>
        <v>8</v>
      </c>
      <c r="B114" s="25" t="s">
        <v>45</v>
      </c>
      <c r="C114" s="25"/>
      <c r="D114" s="25"/>
      <c r="E114" s="25"/>
      <c r="F114" s="25"/>
      <c r="G114" s="25"/>
      <c r="H114" s="25"/>
      <c r="I114" s="25"/>
      <c r="J114" s="25"/>
      <c r="K114" s="25"/>
      <c r="L114" s="25"/>
      <c r="M114" s="25"/>
      <c r="N114" s="25"/>
      <c r="O114" s="25"/>
      <c r="P114" s="25"/>
      <c r="Q114" s="25"/>
      <c r="R114" s="25"/>
      <c r="S114" s="25"/>
      <c r="T114" s="25">
        <v>0</v>
      </c>
      <c r="U114" s="25"/>
      <c r="V114" s="53">
        <v>0</v>
      </c>
      <c r="W114" s="25"/>
      <c r="X114" s="5"/>
    </row>
    <row r="115" spans="1:24" ht="15.75" x14ac:dyDescent="0.25">
      <c r="A115" s="24">
        <f t="shared" si="0"/>
        <v>9</v>
      </c>
      <c r="B115" s="25" t="s">
        <v>125</v>
      </c>
      <c r="C115" s="25"/>
      <c r="D115" s="25"/>
      <c r="E115" s="25"/>
      <c r="F115" s="25"/>
      <c r="G115" s="25"/>
      <c r="H115" s="25"/>
      <c r="I115" s="25"/>
      <c r="J115" s="25"/>
      <c r="K115" s="25"/>
      <c r="L115" s="25"/>
      <c r="M115" s="25"/>
      <c r="N115" s="25"/>
      <c r="O115" s="25"/>
      <c r="P115" s="25"/>
      <c r="Q115" s="25"/>
      <c r="R115" s="25"/>
      <c r="S115" s="25"/>
      <c r="T115" s="25"/>
      <c r="U115" s="25"/>
      <c r="V115" s="53">
        <v>0</v>
      </c>
      <c r="W115" s="25"/>
      <c r="X115" s="5"/>
    </row>
    <row r="116" spans="1:24" ht="15.75" x14ac:dyDescent="0.25">
      <c r="A116" s="24">
        <f t="shared" si="0"/>
        <v>10</v>
      </c>
      <c r="B116" s="25" t="s">
        <v>225</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4" ht="15.75" x14ac:dyDescent="0.25">
      <c r="A117" s="24">
        <f t="shared" si="0"/>
        <v>11</v>
      </c>
      <c r="B117" s="25" t="s">
        <v>36</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4" ht="15.75" x14ac:dyDescent="0.25">
      <c r="A118" s="24">
        <f>+A117+1</f>
        <v>12</v>
      </c>
      <c r="B118" s="25" t="s">
        <v>149</v>
      </c>
      <c r="C118" s="25"/>
      <c r="D118" s="25"/>
      <c r="E118" s="25"/>
      <c r="F118" s="25"/>
      <c r="G118" s="25"/>
      <c r="H118" s="25"/>
      <c r="I118" s="25"/>
      <c r="J118" s="25"/>
      <c r="K118" s="25"/>
      <c r="L118" s="25"/>
      <c r="M118" s="25"/>
      <c r="N118" s="25"/>
      <c r="O118" s="25"/>
      <c r="P118" s="25"/>
      <c r="Q118" s="25"/>
      <c r="R118" s="25"/>
      <c r="S118" s="25"/>
      <c r="T118" s="25"/>
      <c r="U118" s="25"/>
      <c r="V118" s="53">
        <v>0</v>
      </c>
      <c r="W118" s="25"/>
      <c r="X118" s="5"/>
    </row>
    <row r="119" spans="1:24" ht="15.75" x14ac:dyDescent="0.25">
      <c r="A119" s="24">
        <f t="shared" si="0"/>
        <v>13</v>
      </c>
      <c r="B119" s="25" t="s">
        <v>126</v>
      </c>
      <c r="C119" s="25"/>
      <c r="D119" s="25"/>
      <c r="E119" s="25"/>
      <c r="F119" s="25"/>
      <c r="G119" s="25"/>
      <c r="H119" s="25"/>
      <c r="I119" s="25"/>
      <c r="J119" s="25"/>
      <c r="K119" s="25"/>
      <c r="L119" s="25"/>
      <c r="M119" s="25"/>
      <c r="N119" s="25"/>
      <c r="O119" s="25"/>
      <c r="P119" s="25"/>
      <c r="Q119" s="25"/>
      <c r="R119" s="25"/>
      <c r="S119" s="25"/>
      <c r="T119" s="25"/>
      <c r="U119" s="25"/>
      <c r="V119" s="53">
        <f>-V102-SUM(V104:V118)</f>
        <v>0</v>
      </c>
      <c r="W119" s="25"/>
      <c r="X119" s="5"/>
    </row>
    <row r="120" spans="1:24" ht="15.75" x14ac:dyDescent="0.25">
      <c r="A120" s="24"/>
      <c r="B120" s="118" t="s">
        <v>37</v>
      </c>
      <c r="C120" s="25"/>
      <c r="D120" s="25"/>
      <c r="E120" s="25"/>
      <c r="F120" s="25"/>
      <c r="G120" s="25"/>
      <c r="H120" s="25"/>
      <c r="I120" s="25"/>
      <c r="J120" s="25"/>
      <c r="K120" s="25"/>
      <c r="L120" s="25"/>
      <c r="M120" s="25"/>
      <c r="N120" s="25"/>
      <c r="O120" s="25"/>
      <c r="P120" s="25"/>
      <c r="Q120" s="25"/>
      <c r="R120" s="25"/>
      <c r="S120" s="25"/>
      <c r="T120" s="25"/>
      <c r="U120" s="25"/>
      <c r="V120" s="59"/>
      <c r="W120" s="25"/>
      <c r="X120" s="5"/>
    </row>
    <row r="121" spans="1:24" ht="15.75" x14ac:dyDescent="0.25">
      <c r="A121" s="24"/>
      <c r="B121" s="25" t="s">
        <v>173</v>
      </c>
      <c r="C121" s="25"/>
      <c r="D121" s="25"/>
      <c r="E121" s="25"/>
      <c r="F121" s="25"/>
      <c r="G121" s="25"/>
      <c r="H121" s="25"/>
      <c r="I121" s="25"/>
      <c r="J121" s="25"/>
      <c r="K121" s="25"/>
      <c r="L121" s="25"/>
      <c r="M121" s="25"/>
      <c r="N121" s="25"/>
      <c r="O121" s="25"/>
      <c r="P121" s="25"/>
      <c r="Q121" s="25"/>
      <c r="R121" s="25"/>
      <c r="S121" s="25"/>
      <c r="T121" s="34">
        <f>-T185</f>
        <v>-3603</v>
      </c>
      <c r="U121" s="34"/>
      <c r="V121" s="53"/>
      <c r="W121" s="25"/>
      <c r="X121" s="5"/>
    </row>
    <row r="122" spans="1:24" ht="15.75" x14ac:dyDescent="0.25">
      <c r="A122" s="24"/>
      <c r="B122" s="25" t="s">
        <v>174</v>
      </c>
      <c r="C122" s="25"/>
      <c r="D122" s="25"/>
      <c r="E122" s="25"/>
      <c r="F122" s="25"/>
      <c r="G122" s="25"/>
      <c r="H122" s="25"/>
      <c r="I122" s="25"/>
      <c r="J122" s="25"/>
      <c r="K122" s="25"/>
      <c r="L122" s="25"/>
      <c r="M122" s="25"/>
      <c r="N122" s="25"/>
      <c r="O122" s="25"/>
      <c r="P122" s="25"/>
      <c r="Q122" s="25"/>
      <c r="R122" s="25"/>
      <c r="S122" s="25"/>
      <c r="T122" s="34">
        <v>-89</v>
      </c>
      <c r="U122" s="34"/>
      <c r="V122" s="53"/>
      <c r="W122" s="25"/>
      <c r="X122" s="5"/>
    </row>
    <row r="123" spans="1:24" ht="15.75" x14ac:dyDescent="0.25">
      <c r="A123" s="24"/>
      <c r="B123" s="25" t="s">
        <v>38</v>
      </c>
      <c r="C123" s="25"/>
      <c r="D123" s="25"/>
      <c r="E123" s="25"/>
      <c r="F123" s="25"/>
      <c r="G123" s="25"/>
      <c r="H123" s="25"/>
      <c r="I123" s="25"/>
      <c r="J123" s="25"/>
      <c r="K123" s="25"/>
      <c r="L123" s="25"/>
      <c r="M123" s="25"/>
      <c r="N123" s="25"/>
      <c r="O123" s="25"/>
      <c r="P123" s="25"/>
      <c r="Q123" s="25"/>
      <c r="R123" s="25"/>
      <c r="S123" s="25"/>
      <c r="T123" s="34">
        <f>-S185</f>
        <v>-2283</v>
      </c>
      <c r="U123" s="34"/>
      <c r="V123" s="53"/>
      <c r="W123" s="25"/>
      <c r="X123" s="5"/>
    </row>
    <row r="124" spans="1:24" ht="15.75" x14ac:dyDescent="0.25">
      <c r="A124" s="24"/>
      <c r="B124" s="25" t="s">
        <v>197</v>
      </c>
      <c r="C124" s="25"/>
      <c r="D124" s="25"/>
      <c r="E124" s="25"/>
      <c r="F124" s="25"/>
      <c r="G124" s="25"/>
      <c r="H124" s="25"/>
      <c r="I124" s="25"/>
      <c r="J124" s="25"/>
      <c r="K124" s="25"/>
      <c r="L124" s="25"/>
      <c r="M124" s="25"/>
      <c r="N124" s="25"/>
      <c r="O124" s="25"/>
      <c r="P124" s="25"/>
      <c r="Q124" s="25"/>
      <c r="R124" s="25"/>
      <c r="S124" s="25"/>
      <c r="T124" s="34">
        <v>-6707</v>
      </c>
      <c r="U124" s="34"/>
      <c r="V124" s="53"/>
      <c r="W124" s="25"/>
      <c r="X124" s="5"/>
    </row>
    <row r="125" spans="1:24" ht="15.75" x14ac:dyDescent="0.25">
      <c r="A125" s="24"/>
      <c r="B125" s="25" t="s">
        <v>195</v>
      </c>
      <c r="C125" s="25"/>
      <c r="D125" s="25"/>
      <c r="E125" s="25"/>
      <c r="F125" s="25"/>
      <c r="G125" s="25"/>
      <c r="H125" s="25"/>
      <c r="I125" s="25"/>
      <c r="J125" s="25"/>
      <c r="K125" s="25"/>
      <c r="L125" s="25"/>
      <c r="M125" s="25"/>
      <c r="N125" s="25"/>
      <c r="O125" s="25"/>
      <c r="P125" s="25"/>
      <c r="Q125" s="25"/>
      <c r="R125" s="25"/>
      <c r="S125" s="25"/>
      <c r="T125" s="34">
        <v>-2851</v>
      </c>
      <c r="U125" s="34"/>
      <c r="V125" s="53"/>
      <c r="W125" s="25"/>
      <c r="X125" s="5"/>
    </row>
    <row r="126" spans="1:24" ht="15.75" x14ac:dyDescent="0.25">
      <c r="A126" s="24"/>
      <c r="B126" s="25" t="s">
        <v>194</v>
      </c>
      <c r="C126" s="25"/>
      <c r="D126" s="25"/>
      <c r="E126" s="25"/>
      <c r="F126" s="25"/>
      <c r="G126" s="25"/>
      <c r="H126" s="25"/>
      <c r="I126" s="25"/>
      <c r="J126" s="25"/>
      <c r="K126" s="25"/>
      <c r="L126" s="25"/>
      <c r="M126" s="25"/>
      <c r="N126" s="25"/>
      <c r="O126" s="25"/>
      <c r="P126" s="25"/>
      <c r="Q126" s="25"/>
      <c r="R126" s="25"/>
      <c r="S126" s="25"/>
      <c r="T126" s="34">
        <v>-1016</v>
      </c>
      <c r="U126" s="34"/>
      <c r="V126" s="53"/>
      <c r="W126" s="25"/>
      <c r="X126" s="5"/>
    </row>
    <row r="127" spans="1:24" ht="15.75" x14ac:dyDescent="0.25">
      <c r="A127" s="24"/>
      <c r="B127" s="25" t="s">
        <v>222</v>
      </c>
      <c r="C127" s="25"/>
      <c r="D127" s="25"/>
      <c r="E127" s="25"/>
      <c r="F127" s="25"/>
      <c r="G127" s="25"/>
      <c r="H127" s="25"/>
      <c r="I127" s="25"/>
      <c r="J127" s="25"/>
      <c r="K127" s="25"/>
      <c r="L127" s="25"/>
      <c r="M127" s="25"/>
      <c r="N127" s="25"/>
      <c r="O127" s="25"/>
      <c r="P127" s="25"/>
      <c r="Q127" s="25"/>
      <c r="R127" s="25"/>
      <c r="S127" s="25"/>
      <c r="T127" s="34">
        <v>-1007</v>
      </c>
      <c r="U127" s="34"/>
      <c r="V127" s="53"/>
      <c r="W127" s="25"/>
      <c r="X127" s="5"/>
    </row>
    <row r="128" spans="1:24" ht="15.75" x14ac:dyDescent="0.25">
      <c r="A128" s="24"/>
      <c r="B128" s="25" t="s">
        <v>189</v>
      </c>
      <c r="C128" s="25"/>
      <c r="D128" s="25"/>
      <c r="E128" s="25"/>
      <c r="F128" s="25"/>
      <c r="G128" s="25"/>
      <c r="H128" s="25"/>
      <c r="I128" s="25"/>
      <c r="J128" s="25"/>
      <c r="K128" s="25"/>
      <c r="L128" s="25"/>
      <c r="M128" s="25"/>
      <c r="N128" s="25"/>
      <c r="O128" s="25"/>
      <c r="P128" s="25"/>
      <c r="Q128" s="25"/>
      <c r="R128" s="25"/>
      <c r="S128" s="25"/>
      <c r="T128" s="34">
        <v>0</v>
      </c>
      <c r="U128" s="34"/>
      <c r="V128" s="53"/>
      <c r="W128" s="25"/>
      <c r="X128" s="5"/>
    </row>
    <row r="129" spans="1:24" ht="15.75" x14ac:dyDescent="0.25">
      <c r="A129" s="24"/>
      <c r="B129" s="25" t="s">
        <v>188</v>
      </c>
      <c r="C129" s="25"/>
      <c r="D129" s="25"/>
      <c r="E129" s="25"/>
      <c r="F129" s="25"/>
      <c r="G129" s="25"/>
      <c r="H129" s="25"/>
      <c r="I129" s="25"/>
      <c r="J129" s="25"/>
      <c r="K129" s="25"/>
      <c r="L129" s="25"/>
      <c r="M129" s="25"/>
      <c r="N129" s="25"/>
      <c r="O129" s="25"/>
      <c r="P129" s="25"/>
      <c r="Q129" s="25"/>
      <c r="R129" s="25"/>
      <c r="S129" s="25"/>
      <c r="T129" s="34">
        <v>0</v>
      </c>
      <c r="U129" s="34"/>
      <c r="V129" s="53"/>
      <c r="W129" s="25"/>
      <c r="X129" s="5"/>
    </row>
    <row r="130" spans="1:24" ht="15.75" x14ac:dyDescent="0.25">
      <c r="A130" s="24"/>
      <c r="B130" s="25" t="s">
        <v>187</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75" x14ac:dyDescent="0.25">
      <c r="A131" s="24"/>
      <c r="B131" s="25" t="s">
        <v>39</v>
      </c>
      <c r="C131" s="25"/>
      <c r="D131" s="25"/>
      <c r="E131" s="25"/>
      <c r="F131" s="25"/>
      <c r="G131" s="25"/>
      <c r="H131" s="25"/>
      <c r="I131" s="25"/>
      <c r="J131" s="25"/>
      <c r="K131" s="25"/>
      <c r="L131" s="25"/>
      <c r="M131" s="25"/>
      <c r="N131" s="25"/>
      <c r="O131" s="25"/>
      <c r="P131" s="25"/>
      <c r="Q131" s="25"/>
      <c r="R131" s="25"/>
      <c r="S131" s="25"/>
      <c r="T131" s="34">
        <f>SUM(T121:T130)</f>
        <v>-17556</v>
      </c>
      <c r="U131" s="34"/>
      <c r="V131" s="34">
        <f>SUM(V103:V129)</f>
        <v>-28836</v>
      </c>
      <c r="W131" s="25"/>
      <c r="X131" s="5"/>
    </row>
    <row r="132" spans="1:24" ht="15.75" x14ac:dyDescent="0.25">
      <c r="A132" s="24"/>
      <c r="B132" s="25" t="s">
        <v>40</v>
      </c>
      <c r="C132" s="25"/>
      <c r="D132" s="25"/>
      <c r="E132" s="25"/>
      <c r="F132" s="25"/>
      <c r="G132" s="25"/>
      <c r="H132" s="25"/>
      <c r="I132" s="25"/>
      <c r="J132" s="25"/>
      <c r="K132" s="25"/>
      <c r="L132" s="25"/>
      <c r="M132" s="25"/>
      <c r="N132" s="25"/>
      <c r="O132" s="25"/>
      <c r="P132" s="25"/>
      <c r="Q132" s="25"/>
      <c r="R132" s="25"/>
      <c r="S132" s="25"/>
      <c r="T132" s="34">
        <f>T102+T131+T114</f>
        <v>0</v>
      </c>
      <c r="U132" s="34"/>
      <c r="V132" s="34">
        <f>V102+V131</f>
        <v>0</v>
      </c>
      <c r="W132" s="25"/>
      <c r="X132" s="5"/>
    </row>
    <row r="133" spans="1:24" ht="15.75" x14ac:dyDescent="0.25">
      <c r="A133" s="24"/>
      <c r="B133" s="25"/>
      <c r="C133" s="25"/>
      <c r="D133" s="25"/>
      <c r="E133" s="25"/>
      <c r="F133" s="25"/>
      <c r="G133" s="25"/>
      <c r="H133" s="25"/>
      <c r="I133" s="25"/>
      <c r="J133" s="25"/>
      <c r="K133" s="25"/>
      <c r="L133" s="25"/>
      <c r="M133" s="25"/>
      <c r="N133" s="25"/>
      <c r="O133" s="25"/>
      <c r="P133" s="25"/>
      <c r="Q133" s="25"/>
      <c r="R133" s="25"/>
      <c r="S133" s="25"/>
      <c r="T133" s="34"/>
      <c r="U133" s="34"/>
      <c r="V133" s="34"/>
      <c r="W133" s="25"/>
      <c r="X133" s="5"/>
    </row>
    <row r="134" spans="1:24" ht="15.75" x14ac:dyDescent="0.25">
      <c r="A134" s="6"/>
      <c r="B134" s="8"/>
      <c r="C134" s="8"/>
      <c r="D134" s="8"/>
      <c r="E134" s="8"/>
      <c r="F134" s="8"/>
      <c r="G134" s="8"/>
      <c r="H134" s="8"/>
      <c r="I134" s="8"/>
      <c r="J134" s="8"/>
      <c r="K134" s="8"/>
      <c r="L134" s="8"/>
      <c r="M134" s="8"/>
      <c r="N134" s="8"/>
      <c r="O134" s="8"/>
      <c r="P134" s="8"/>
      <c r="Q134" s="8"/>
      <c r="R134" s="8"/>
      <c r="S134" s="8"/>
      <c r="T134" s="8"/>
      <c r="U134" s="8"/>
      <c r="V134" s="52"/>
      <c r="W134" s="8"/>
      <c r="X134" s="5"/>
    </row>
    <row r="135" spans="1:24" ht="19.5" thickBot="1" x14ac:dyDescent="0.35">
      <c r="A135" s="101"/>
      <c r="B135" s="102" t="str">
        <f>B64</f>
        <v>PM15 INVESTOR REPORT QUARTER ENDING NOVEMBER 2007</v>
      </c>
      <c r="C135" s="103"/>
      <c r="D135" s="103"/>
      <c r="E135" s="103"/>
      <c r="F135" s="103"/>
      <c r="G135" s="103"/>
      <c r="H135" s="103"/>
      <c r="I135" s="103"/>
      <c r="J135" s="103"/>
      <c r="K135" s="103"/>
      <c r="L135" s="103"/>
      <c r="M135" s="103"/>
      <c r="N135" s="103"/>
      <c r="O135" s="103"/>
      <c r="P135" s="103"/>
      <c r="Q135" s="103"/>
      <c r="R135" s="103"/>
      <c r="S135" s="103"/>
      <c r="T135" s="103"/>
      <c r="U135" s="103"/>
      <c r="V135" s="106"/>
      <c r="W135" s="105"/>
      <c r="X135" s="5"/>
    </row>
    <row r="136" spans="1:24" ht="15.75" x14ac:dyDescent="0.25">
      <c r="A136" s="2"/>
      <c r="B136" s="60" t="s">
        <v>41</v>
      </c>
      <c r="C136" s="4"/>
      <c r="D136" s="4"/>
      <c r="E136" s="4"/>
      <c r="F136" s="4"/>
      <c r="G136" s="4"/>
      <c r="H136" s="4"/>
      <c r="I136" s="4"/>
      <c r="J136" s="4"/>
      <c r="K136" s="4"/>
      <c r="L136" s="4"/>
      <c r="M136" s="4"/>
      <c r="N136" s="4"/>
      <c r="O136" s="4"/>
      <c r="P136" s="4"/>
      <c r="Q136" s="4"/>
      <c r="R136" s="4"/>
      <c r="S136" s="4"/>
      <c r="T136" s="4"/>
      <c r="U136" s="4"/>
      <c r="V136" s="50"/>
      <c r="W136" s="4"/>
      <c r="X136" s="5"/>
    </row>
    <row r="137" spans="1:24" ht="15.75" x14ac:dyDescent="0.25">
      <c r="A137" s="6"/>
      <c r="B137" s="21"/>
      <c r="C137" s="8"/>
      <c r="D137" s="8"/>
      <c r="E137" s="8"/>
      <c r="F137" s="8"/>
      <c r="G137" s="8"/>
      <c r="H137" s="8"/>
      <c r="I137" s="8"/>
      <c r="J137" s="8"/>
      <c r="K137" s="8"/>
      <c r="L137" s="8"/>
      <c r="M137" s="8"/>
      <c r="N137" s="8"/>
      <c r="O137" s="8"/>
      <c r="P137" s="8"/>
      <c r="Q137" s="8"/>
      <c r="R137" s="8"/>
      <c r="S137" s="8"/>
      <c r="T137" s="8"/>
      <c r="U137" s="8"/>
      <c r="V137" s="52"/>
      <c r="W137" s="8"/>
      <c r="X137" s="5"/>
    </row>
    <row r="138" spans="1:24" ht="15.75" x14ac:dyDescent="0.25">
      <c r="A138" s="6"/>
      <c r="B138" s="119" t="s">
        <v>42</v>
      </c>
      <c r="C138" s="8"/>
      <c r="D138" s="8"/>
      <c r="E138" s="8"/>
      <c r="F138" s="8"/>
      <c r="G138" s="8"/>
      <c r="H138" s="8"/>
      <c r="I138" s="8"/>
      <c r="J138" s="8"/>
      <c r="K138" s="8"/>
      <c r="L138" s="8"/>
      <c r="M138" s="8"/>
      <c r="N138" s="8"/>
      <c r="O138" s="8"/>
      <c r="P138" s="8"/>
      <c r="Q138" s="8"/>
      <c r="R138" s="8"/>
      <c r="S138" s="8"/>
      <c r="T138" s="8"/>
      <c r="U138" s="8"/>
      <c r="V138" s="52"/>
      <c r="W138" s="8"/>
      <c r="X138" s="5"/>
    </row>
    <row r="139" spans="1:24" ht="15.75" x14ac:dyDescent="0.25">
      <c r="A139" s="24"/>
      <c r="B139" s="25" t="s">
        <v>43</v>
      </c>
      <c r="C139" s="25"/>
      <c r="D139" s="25"/>
      <c r="E139" s="25"/>
      <c r="F139" s="25"/>
      <c r="G139" s="25"/>
      <c r="H139" s="25"/>
      <c r="I139" s="25"/>
      <c r="J139" s="25"/>
      <c r="K139" s="25"/>
      <c r="L139" s="25"/>
      <c r="M139" s="25"/>
      <c r="N139" s="25"/>
      <c r="O139" s="25"/>
      <c r="P139" s="25"/>
      <c r="Q139" s="25"/>
      <c r="R139" s="25"/>
      <c r="S139" s="25"/>
      <c r="T139" s="25"/>
      <c r="U139" s="25"/>
      <c r="V139" s="53">
        <f>+V34*0.019</f>
        <v>19021.526999999998</v>
      </c>
      <c r="W139" s="25"/>
      <c r="X139" s="5"/>
    </row>
    <row r="140" spans="1:24" ht="15.75" x14ac:dyDescent="0.25">
      <c r="A140" s="24"/>
      <c r="B140" s="25" t="s">
        <v>44</v>
      </c>
      <c r="C140" s="25"/>
      <c r="D140" s="25"/>
      <c r="E140" s="25"/>
      <c r="F140" s="25"/>
      <c r="G140" s="25"/>
      <c r="H140" s="25"/>
      <c r="I140" s="25"/>
      <c r="J140" s="25"/>
      <c r="K140" s="25"/>
      <c r="L140" s="25"/>
      <c r="M140" s="25"/>
      <c r="N140" s="25"/>
      <c r="O140" s="25"/>
      <c r="P140" s="25"/>
      <c r="Q140" s="25"/>
      <c r="R140" s="25"/>
      <c r="S140" s="25"/>
      <c r="T140" s="25"/>
      <c r="U140" s="25"/>
      <c r="V140" s="53">
        <v>0</v>
      </c>
      <c r="W140" s="25"/>
      <c r="X140" s="5"/>
    </row>
    <row r="141" spans="1:24" ht="15.75" x14ac:dyDescent="0.25">
      <c r="A141" s="24"/>
      <c r="B141" s="25" t="s">
        <v>136</v>
      </c>
      <c r="C141" s="25"/>
      <c r="D141" s="25"/>
      <c r="E141" s="25"/>
      <c r="F141" s="25"/>
      <c r="G141" s="25"/>
      <c r="H141" s="25"/>
      <c r="I141" s="25"/>
      <c r="J141" s="25"/>
      <c r="K141" s="25"/>
      <c r="L141" s="25"/>
      <c r="M141" s="25"/>
      <c r="N141" s="25"/>
      <c r="O141" s="25"/>
      <c r="P141" s="25"/>
      <c r="Q141" s="25"/>
      <c r="R141" s="25"/>
      <c r="S141" s="25"/>
      <c r="T141" s="25"/>
      <c r="U141" s="25"/>
      <c r="V141" s="53"/>
      <c r="W141" s="25"/>
      <c r="X141" s="5"/>
    </row>
    <row r="142" spans="1:24" ht="15.75" x14ac:dyDescent="0.25">
      <c r="A142" s="24"/>
      <c r="B142" s="25" t="s">
        <v>123</v>
      </c>
      <c r="C142" s="25"/>
      <c r="D142" s="25"/>
      <c r="E142" s="25"/>
      <c r="F142" s="25"/>
      <c r="G142" s="25"/>
      <c r="H142" s="25"/>
      <c r="I142" s="25"/>
      <c r="J142" s="25"/>
      <c r="K142" s="25"/>
      <c r="L142" s="25"/>
      <c r="M142" s="25"/>
      <c r="N142" s="25"/>
      <c r="O142" s="25"/>
      <c r="P142" s="25"/>
      <c r="Q142" s="25"/>
      <c r="R142" s="25"/>
      <c r="S142" s="25"/>
      <c r="T142" s="25"/>
      <c r="U142" s="25"/>
      <c r="V142" s="53">
        <v>0</v>
      </c>
      <c r="W142" s="25"/>
      <c r="X142" s="5"/>
    </row>
    <row r="143" spans="1:24" ht="15.75" x14ac:dyDescent="0.25">
      <c r="A143" s="24"/>
      <c r="B143" s="25" t="s">
        <v>124</v>
      </c>
      <c r="C143" s="25"/>
      <c r="D143" s="25"/>
      <c r="E143" s="25"/>
      <c r="F143" s="25"/>
      <c r="G143" s="25"/>
      <c r="H143" s="25"/>
      <c r="I143" s="25"/>
      <c r="J143" s="25"/>
      <c r="K143" s="25"/>
      <c r="L143" s="25"/>
      <c r="M143" s="25"/>
      <c r="N143" s="25"/>
      <c r="O143" s="25"/>
      <c r="P143" s="25"/>
      <c r="Q143" s="25"/>
      <c r="R143" s="25"/>
      <c r="S143" s="25"/>
      <c r="T143" s="25"/>
      <c r="U143" s="25"/>
      <c r="V143" s="53">
        <v>0</v>
      </c>
      <c r="W143" s="25"/>
      <c r="X143" s="5"/>
    </row>
    <row r="144" spans="1:24" ht="15.75" x14ac:dyDescent="0.25">
      <c r="A144" s="24"/>
      <c r="B144" s="25" t="s">
        <v>175</v>
      </c>
      <c r="C144" s="25"/>
      <c r="D144" s="25"/>
      <c r="E144" s="25"/>
      <c r="F144" s="25"/>
      <c r="G144" s="25"/>
      <c r="H144" s="25"/>
      <c r="I144" s="25"/>
      <c r="J144" s="25"/>
      <c r="K144" s="25"/>
      <c r="L144" s="25"/>
      <c r="M144" s="25"/>
      <c r="N144" s="25"/>
      <c r="O144" s="25"/>
      <c r="P144" s="25"/>
      <c r="Q144" s="25"/>
      <c r="R144" s="25"/>
      <c r="S144" s="25"/>
      <c r="T144" s="25"/>
      <c r="U144" s="25"/>
      <c r="V144" s="53">
        <v>-116</v>
      </c>
      <c r="W144" s="25"/>
      <c r="X144" s="5"/>
    </row>
    <row r="145" spans="1:25" ht="15.75" x14ac:dyDescent="0.25">
      <c r="A145" s="24"/>
      <c r="B145" s="25" t="s">
        <v>45</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75" x14ac:dyDescent="0.25">
      <c r="A146" s="24"/>
      <c r="B146" s="25" t="s">
        <v>129</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75" x14ac:dyDescent="0.25">
      <c r="A147" s="24"/>
      <c r="B147" s="25" t="s">
        <v>241</v>
      </c>
      <c r="C147" s="25"/>
      <c r="D147" s="25"/>
      <c r="E147" s="25"/>
      <c r="F147" s="25"/>
      <c r="G147" s="25"/>
      <c r="H147" s="25"/>
      <c r="I147" s="25"/>
      <c r="J147" s="25"/>
      <c r="K147" s="25"/>
      <c r="L147" s="25"/>
      <c r="M147" s="25"/>
      <c r="N147" s="25"/>
      <c r="O147" s="25"/>
      <c r="P147" s="25"/>
      <c r="Q147" s="25"/>
      <c r="R147" s="25"/>
      <c r="S147" s="25"/>
      <c r="T147" s="25"/>
      <c r="U147" s="25"/>
      <c r="V147" s="53">
        <v>116</v>
      </c>
      <c r="W147" s="25"/>
      <c r="X147" s="5"/>
      <c r="Y147" s="109"/>
    </row>
    <row r="148" spans="1:25" ht="15.75" x14ac:dyDescent="0.25">
      <c r="A148" s="24"/>
      <c r="B148" s="25" t="s">
        <v>46</v>
      </c>
      <c r="C148" s="25"/>
      <c r="D148" s="25"/>
      <c r="E148" s="25"/>
      <c r="F148" s="25"/>
      <c r="G148" s="25"/>
      <c r="H148" s="25"/>
      <c r="I148" s="25"/>
      <c r="J148" s="25"/>
      <c r="K148" s="25"/>
      <c r="L148" s="25"/>
      <c r="M148" s="25"/>
      <c r="N148" s="25"/>
      <c r="O148" s="25"/>
      <c r="P148" s="25"/>
      <c r="Q148" s="25"/>
      <c r="R148" s="25"/>
      <c r="S148" s="25"/>
      <c r="T148" s="25"/>
      <c r="U148" s="25"/>
      <c r="V148" s="53">
        <f>SUM(V139:V147)</f>
        <v>19021.526999999998</v>
      </c>
      <c r="W148" s="25"/>
      <c r="X148" s="5"/>
    </row>
    <row r="149" spans="1:25" ht="15.75" x14ac:dyDescent="0.25">
      <c r="A149" s="24"/>
      <c r="B149" s="25"/>
      <c r="C149" s="25"/>
      <c r="D149" s="25"/>
      <c r="E149" s="25"/>
      <c r="F149" s="25"/>
      <c r="G149" s="25"/>
      <c r="H149" s="25"/>
      <c r="I149" s="25"/>
      <c r="J149" s="25"/>
      <c r="K149" s="25"/>
      <c r="L149" s="25"/>
      <c r="M149" s="25"/>
      <c r="N149" s="25"/>
      <c r="O149" s="25"/>
      <c r="P149" s="25"/>
      <c r="Q149" s="25"/>
      <c r="R149" s="25"/>
      <c r="S149" s="25"/>
      <c r="T149" s="25"/>
      <c r="U149" s="25"/>
      <c r="V149" s="53"/>
      <c r="W149" s="25"/>
      <c r="X149" s="5"/>
    </row>
    <row r="150" spans="1:25" ht="15.75" x14ac:dyDescent="0.25">
      <c r="A150" s="24"/>
      <c r="B150" s="135" t="s">
        <v>269</v>
      </c>
      <c r="C150" s="25"/>
      <c r="D150" s="25"/>
      <c r="E150" s="25"/>
      <c r="F150" s="25"/>
      <c r="G150" s="25"/>
      <c r="H150" s="25"/>
      <c r="I150" s="25"/>
      <c r="J150" s="25"/>
      <c r="K150" s="25"/>
      <c r="L150" s="25"/>
      <c r="M150" s="25"/>
      <c r="N150" s="25"/>
      <c r="O150" s="25"/>
      <c r="P150" s="25"/>
      <c r="Q150" s="25"/>
      <c r="R150" s="25"/>
      <c r="S150" s="25"/>
      <c r="T150" s="25"/>
      <c r="U150" s="25"/>
      <c r="V150" s="53"/>
      <c r="W150" s="25"/>
      <c r="X150" s="5"/>
    </row>
    <row r="151" spans="1:25" ht="15.75" x14ac:dyDescent="0.25">
      <c r="A151" s="24"/>
      <c r="B151" s="25" t="s">
        <v>155</v>
      </c>
      <c r="C151" s="25"/>
      <c r="D151" s="25"/>
      <c r="E151" s="25"/>
      <c r="F151" s="25"/>
      <c r="G151" s="25"/>
      <c r="H151" s="25"/>
      <c r="I151" s="25"/>
      <c r="J151" s="25"/>
      <c r="K151" s="25"/>
      <c r="L151" s="25"/>
      <c r="M151" s="25"/>
      <c r="N151" s="25"/>
      <c r="O151" s="25"/>
      <c r="P151" s="25"/>
      <c r="Q151" s="25"/>
      <c r="R151" s="25"/>
      <c r="S151" s="25"/>
      <c r="T151" s="25"/>
      <c r="U151" s="25"/>
      <c r="V151" s="53">
        <v>0</v>
      </c>
      <c r="W151" s="25"/>
      <c r="X151" s="5"/>
    </row>
    <row r="152" spans="1:25" ht="15.75" x14ac:dyDescent="0.25">
      <c r="A152" s="24"/>
      <c r="B152" s="25" t="s">
        <v>172</v>
      </c>
      <c r="C152" s="25"/>
      <c r="D152" s="25"/>
      <c r="E152" s="25"/>
      <c r="F152" s="25"/>
      <c r="G152" s="25"/>
      <c r="H152" s="25"/>
      <c r="I152" s="25"/>
      <c r="J152" s="25"/>
      <c r="K152" s="25"/>
      <c r="L152" s="25"/>
      <c r="M152" s="25"/>
      <c r="N152" s="25"/>
      <c r="O152" s="25"/>
      <c r="P152" s="25"/>
      <c r="Q152" s="25"/>
      <c r="R152" s="25"/>
      <c r="S152" s="25"/>
      <c r="T152" s="25"/>
      <c r="U152" s="25"/>
      <c r="V152" s="53">
        <v>0</v>
      </c>
      <c r="W152" s="25"/>
      <c r="X152" s="5"/>
    </row>
    <row r="153" spans="1:25" ht="15.75" x14ac:dyDescent="0.25">
      <c r="A153" s="24"/>
      <c r="B153" s="25" t="s">
        <v>226</v>
      </c>
      <c r="C153" s="25"/>
      <c r="D153" s="25"/>
      <c r="E153" s="25"/>
      <c r="F153" s="25"/>
      <c r="G153" s="25"/>
      <c r="H153" s="25"/>
      <c r="I153" s="25"/>
      <c r="J153" s="25"/>
      <c r="K153" s="25"/>
      <c r="L153" s="25"/>
      <c r="M153" s="25"/>
      <c r="N153" s="25"/>
      <c r="O153" s="25"/>
      <c r="P153" s="25"/>
      <c r="Q153" s="25"/>
      <c r="R153" s="25"/>
      <c r="S153" s="25"/>
      <c r="T153" s="25"/>
      <c r="U153" s="25"/>
      <c r="V153" s="53">
        <v>0</v>
      </c>
      <c r="W153" s="25"/>
      <c r="X153" s="5"/>
    </row>
    <row r="154" spans="1:25" ht="15.75" x14ac:dyDescent="0.25">
      <c r="A154" s="24"/>
      <c r="B154" s="25"/>
      <c r="C154" s="25"/>
      <c r="D154" s="25"/>
      <c r="E154" s="25"/>
      <c r="F154" s="25"/>
      <c r="G154" s="25"/>
      <c r="H154" s="25"/>
      <c r="I154" s="25"/>
      <c r="J154" s="25"/>
      <c r="K154" s="25"/>
      <c r="L154" s="25"/>
      <c r="M154" s="25"/>
      <c r="N154" s="25"/>
      <c r="O154" s="25"/>
      <c r="P154" s="25"/>
      <c r="Q154" s="25"/>
      <c r="R154" s="25"/>
      <c r="S154" s="25"/>
      <c r="T154" s="25"/>
      <c r="U154" s="25"/>
      <c r="V154" s="53"/>
      <c r="W154" s="25"/>
      <c r="X154" s="5"/>
    </row>
    <row r="155" spans="1:25" ht="15.75" x14ac:dyDescent="0.25">
      <c r="A155" s="24"/>
      <c r="B155" s="25"/>
      <c r="C155" s="25"/>
      <c r="D155" s="25"/>
      <c r="E155" s="25"/>
      <c r="F155" s="25"/>
      <c r="G155" s="25"/>
      <c r="H155" s="25"/>
      <c r="I155" s="25"/>
      <c r="J155" s="25"/>
      <c r="K155" s="25"/>
      <c r="L155" s="25"/>
      <c r="M155" s="25"/>
      <c r="N155" s="25"/>
      <c r="O155" s="25"/>
      <c r="P155" s="25"/>
      <c r="Q155" s="25"/>
      <c r="R155" s="25"/>
      <c r="S155" s="25"/>
      <c r="T155" s="25"/>
      <c r="U155" s="25"/>
      <c r="V155" s="61"/>
      <c r="W155" s="25"/>
      <c r="X155" s="5"/>
    </row>
    <row r="156" spans="1:25" ht="15.75" x14ac:dyDescent="0.25">
      <c r="A156" s="6"/>
      <c r="B156" s="119" t="s">
        <v>24</v>
      </c>
      <c r="C156" s="8"/>
      <c r="D156" s="8"/>
      <c r="E156" s="8"/>
      <c r="F156" s="8"/>
      <c r="G156" s="8"/>
      <c r="H156" s="8"/>
      <c r="I156" s="8"/>
      <c r="J156" s="8"/>
      <c r="K156" s="8"/>
      <c r="L156" s="8"/>
      <c r="M156" s="8"/>
      <c r="N156" s="8"/>
      <c r="O156" s="8"/>
      <c r="P156" s="8"/>
      <c r="Q156" s="8"/>
      <c r="R156" s="8"/>
      <c r="S156" s="8"/>
      <c r="T156" s="8"/>
      <c r="U156" s="8"/>
      <c r="V156" s="52"/>
      <c r="W156" s="8"/>
      <c r="X156" s="5"/>
    </row>
    <row r="157" spans="1:25" ht="15.75" x14ac:dyDescent="0.25">
      <c r="A157" s="24"/>
      <c r="B157" s="25" t="s">
        <v>47</v>
      </c>
      <c r="C157" s="25"/>
      <c r="D157" s="25"/>
      <c r="E157" s="25"/>
      <c r="F157" s="25"/>
      <c r="G157" s="25"/>
      <c r="H157" s="25"/>
      <c r="I157" s="25"/>
      <c r="J157" s="25"/>
      <c r="K157" s="25"/>
      <c r="L157" s="25"/>
      <c r="M157" s="25"/>
      <c r="N157" s="25"/>
      <c r="O157" s="25"/>
      <c r="P157" s="25"/>
      <c r="Q157" s="25"/>
      <c r="R157" s="25"/>
      <c r="S157" s="25"/>
      <c r="T157" s="25"/>
      <c r="U157" s="25"/>
      <c r="V157" s="59" t="s">
        <v>118</v>
      </c>
      <c r="W157" s="25"/>
      <c r="X157" s="5"/>
    </row>
    <row r="158" spans="1:25" ht="15.75" x14ac:dyDescent="0.25">
      <c r="A158" s="24"/>
      <c r="B158" s="25" t="s">
        <v>48</v>
      </c>
      <c r="C158" s="27"/>
      <c r="D158" s="27"/>
      <c r="E158" s="27"/>
      <c r="F158" s="27"/>
      <c r="G158" s="27"/>
      <c r="H158" s="27"/>
      <c r="I158" s="27"/>
      <c r="J158" s="27"/>
      <c r="K158" s="27"/>
      <c r="L158" s="27"/>
      <c r="M158" s="27"/>
      <c r="N158" s="27"/>
      <c r="O158" s="27"/>
      <c r="P158" s="27"/>
      <c r="Q158" s="27"/>
      <c r="R158" s="27"/>
      <c r="S158" s="27"/>
      <c r="T158" s="27"/>
      <c r="U158" s="27"/>
      <c r="V158" s="59" t="s">
        <v>118</v>
      </c>
      <c r="W158" s="25"/>
      <c r="X158" s="5"/>
    </row>
    <row r="159" spans="1:25" ht="15.75" x14ac:dyDescent="0.25">
      <c r="A159" s="24"/>
      <c r="B159" s="25" t="s">
        <v>49</v>
      </c>
      <c r="C159" s="25"/>
      <c r="D159" s="25"/>
      <c r="E159" s="25"/>
      <c r="F159" s="25"/>
      <c r="G159" s="25"/>
      <c r="H159" s="25"/>
      <c r="I159" s="25"/>
      <c r="J159" s="25"/>
      <c r="K159" s="25"/>
      <c r="L159" s="25"/>
      <c r="M159" s="25"/>
      <c r="N159" s="25"/>
      <c r="O159" s="25"/>
      <c r="P159" s="25"/>
      <c r="Q159" s="25"/>
      <c r="R159" s="25"/>
      <c r="S159" s="25"/>
      <c r="T159" s="25"/>
      <c r="U159" s="25"/>
      <c r="V159" s="59" t="s">
        <v>118</v>
      </c>
      <c r="W159" s="25"/>
      <c r="X159" s="5"/>
    </row>
    <row r="160" spans="1:25" ht="15.75" x14ac:dyDescent="0.25">
      <c r="A160" s="24"/>
      <c r="B160" s="25" t="s">
        <v>50</v>
      </c>
      <c r="C160" s="25"/>
      <c r="D160" s="25"/>
      <c r="E160" s="25"/>
      <c r="F160" s="25"/>
      <c r="G160" s="25"/>
      <c r="H160" s="25"/>
      <c r="I160" s="25"/>
      <c r="J160" s="25"/>
      <c r="K160" s="25"/>
      <c r="L160" s="25"/>
      <c r="M160" s="25"/>
      <c r="N160" s="25"/>
      <c r="O160" s="25"/>
      <c r="P160" s="25"/>
      <c r="Q160" s="25"/>
      <c r="R160" s="25"/>
      <c r="S160" s="25"/>
      <c r="T160" s="25"/>
      <c r="U160" s="25"/>
      <c r="V160" s="59" t="s">
        <v>118</v>
      </c>
      <c r="W160" s="25"/>
      <c r="X160" s="5"/>
    </row>
    <row r="161" spans="1:256" ht="15.75" x14ac:dyDescent="0.25">
      <c r="A161" s="24"/>
      <c r="B161" s="25"/>
      <c r="C161" s="25"/>
      <c r="D161" s="25"/>
      <c r="E161" s="25"/>
      <c r="F161" s="25"/>
      <c r="G161" s="25"/>
      <c r="H161" s="25"/>
      <c r="I161" s="25"/>
      <c r="J161" s="25"/>
      <c r="K161" s="25"/>
      <c r="L161" s="25"/>
      <c r="M161" s="25"/>
      <c r="N161" s="25"/>
      <c r="O161" s="25"/>
      <c r="P161" s="25"/>
      <c r="Q161" s="25"/>
      <c r="R161" s="25"/>
      <c r="S161" s="25"/>
      <c r="T161" s="25"/>
      <c r="U161" s="25"/>
      <c r="V161" s="61"/>
      <c r="W161" s="25"/>
      <c r="X161" s="5"/>
    </row>
    <row r="162" spans="1:256" ht="15.75" x14ac:dyDescent="0.25">
      <c r="A162" s="6"/>
      <c r="B162" s="119" t="s">
        <v>51</v>
      </c>
      <c r="C162" s="8"/>
      <c r="D162" s="8"/>
      <c r="E162" s="8"/>
      <c r="F162" s="8"/>
      <c r="G162" s="8"/>
      <c r="H162" s="8"/>
      <c r="I162" s="8"/>
      <c r="J162" s="8"/>
      <c r="K162" s="8"/>
      <c r="L162" s="8"/>
      <c r="M162" s="8"/>
      <c r="N162" s="8"/>
      <c r="O162" s="8"/>
      <c r="P162" s="8"/>
      <c r="Q162" s="8"/>
      <c r="R162" s="8"/>
      <c r="S162" s="8"/>
      <c r="T162" s="8"/>
      <c r="U162" s="8"/>
      <c r="V162" s="63"/>
      <c r="W162" s="8"/>
      <c r="X162" s="5"/>
    </row>
    <row r="163" spans="1:256" ht="15.75" x14ac:dyDescent="0.25">
      <c r="A163" s="24"/>
      <c r="B163" s="25" t="s">
        <v>52</v>
      </c>
      <c r="C163" s="25"/>
      <c r="D163" s="25"/>
      <c r="E163" s="25"/>
      <c r="F163" s="25"/>
      <c r="G163" s="25"/>
      <c r="H163" s="25"/>
      <c r="I163" s="25"/>
      <c r="J163" s="25"/>
      <c r="K163" s="25"/>
      <c r="L163" s="25"/>
      <c r="M163" s="25"/>
      <c r="N163" s="25"/>
      <c r="O163" s="25"/>
      <c r="P163" s="25"/>
      <c r="Q163" s="25"/>
      <c r="R163" s="25"/>
      <c r="S163" s="25"/>
      <c r="T163" s="25"/>
      <c r="U163" s="25"/>
      <c r="V163" s="53">
        <v>0</v>
      </c>
      <c r="W163" s="25"/>
      <c r="X163" s="5"/>
    </row>
    <row r="164" spans="1:256" ht="15.75" x14ac:dyDescent="0.25">
      <c r="A164" s="24"/>
      <c r="B164" s="25" t="s">
        <v>53</v>
      </c>
      <c r="C164" s="25"/>
      <c r="D164" s="25"/>
      <c r="E164" s="25"/>
      <c r="F164" s="25"/>
      <c r="G164" s="25"/>
      <c r="H164" s="25"/>
      <c r="I164" s="25"/>
      <c r="J164" s="25"/>
      <c r="K164" s="25"/>
      <c r="L164" s="25"/>
      <c r="M164" s="25"/>
      <c r="N164" s="25"/>
      <c r="O164" s="25"/>
      <c r="P164" s="25"/>
      <c r="Q164" s="25"/>
      <c r="R164" s="25"/>
      <c r="S164" s="25"/>
      <c r="T164" s="25"/>
      <c r="U164" s="25"/>
      <c r="V164" s="53">
        <v>0</v>
      </c>
      <c r="W164" s="25"/>
      <c r="X164" s="5"/>
    </row>
    <row r="165" spans="1:256" ht="15.75" x14ac:dyDescent="0.25">
      <c r="A165" s="24"/>
      <c r="B165" s="25" t="s">
        <v>54</v>
      </c>
      <c r="C165" s="25"/>
      <c r="D165" s="25"/>
      <c r="E165" s="25"/>
      <c r="F165" s="25"/>
      <c r="G165" s="25"/>
      <c r="H165" s="25"/>
      <c r="I165" s="25"/>
      <c r="J165" s="25"/>
      <c r="K165" s="25"/>
      <c r="L165" s="25"/>
      <c r="M165" s="25"/>
      <c r="N165" s="25"/>
      <c r="O165" s="25"/>
      <c r="P165" s="25"/>
      <c r="Q165" s="25"/>
      <c r="R165" s="25"/>
      <c r="S165" s="25"/>
      <c r="T165" s="25"/>
      <c r="U165" s="25"/>
      <c r="V165" s="53">
        <f>V164+V163</f>
        <v>0</v>
      </c>
      <c r="W165" s="25"/>
      <c r="X165" s="5"/>
    </row>
    <row r="166" spans="1:256" ht="15.75" x14ac:dyDescent="0.25">
      <c r="A166" s="24"/>
      <c r="B166" s="25" t="s">
        <v>303</v>
      </c>
      <c r="C166" s="25"/>
      <c r="D166" s="25"/>
      <c r="E166" s="25"/>
      <c r="F166" s="25"/>
      <c r="G166" s="25"/>
      <c r="H166" s="25"/>
      <c r="I166" s="25"/>
      <c r="J166" s="25"/>
      <c r="K166" s="25"/>
      <c r="L166" s="25"/>
      <c r="M166" s="25"/>
      <c r="N166" s="25"/>
      <c r="O166" s="25"/>
      <c r="P166" s="25"/>
      <c r="Q166" s="25"/>
      <c r="R166" s="25"/>
      <c r="S166" s="25"/>
      <c r="T166" s="25"/>
      <c r="U166" s="25"/>
      <c r="V166" s="53">
        <f>V115</f>
        <v>0</v>
      </c>
      <c r="W166" s="25"/>
      <c r="X166" s="5"/>
    </row>
    <row r="167" spans="1:256" ht="15.75" x14ac:dyDescent="0.25">
      <c r="A167" s="24"/>
      <c r="B167" s="25" t="s">
        <v>55</v>
      </c>
      <c r="C167" s="25"/>
      <c r="D167" s="25"/>
      <c r="E167" s="25"/>
      <c r="F167" s="25"/>
      <c r="G167" s="25"/>
      <c r="H167" s="25"/>
      <c r="I167" s="25"/>
      <c r="J167" s="25"/>
      <c r="K167" s="25"/>
      <c r="L167" s="25"/>
      <c r="M167" s="25"/>
      <c r="N167" s="25"/>
      <c r="O167" s="25"/>
      <c r="P167" s="25"/>
      <c r="Q167" s="25"/>
      <c r="R167" s="25"/>
      <c r="S167" s="25"/>
      <c r="T167" s="25"/>
      <c r="U167" s="25"/>
      <c r="V167" s="53">
        <f>V165+V166</f>
        <v>0</v>
      </c>
      <c r="W167" s="25"/>
      <c r="X167" s="5"/>
    </row>
    <row r="168" spans="1:256" ht="16.5" thickBot="1" x14ac:dyDescent="0.3">
      <c r="A168" s="24"/>
      <c r="B168" s="25"/>
      <c r="C168" s="25"/>
      <c r="D168" s="25"/>
      <c r="E168" s="25"/>
      <c r="F168" s="25"/>
      <c r="G168" s="25"/>
      <c r="H168" s="25"/>
      <c r="I168" s="25"/>
      <c r="J168" s="25"/>
      <c r="K168" s="25"/>
      <c r="L168" s="25"/>
      <c r="M168" s="25"/>
      <c r="N168" s="25"/>
      <c r="O168" s="25"/>
      <c r="P168" s="25"/>
      <c r="Q168" s="25"/>
      <c r="R168" s="25"/>
      <c r="S168" s="25"/>
      <c r="T168" s="25"/>
      <c r="U168" s="25"/>
      <c r="V168" s="61"/>
      <c r="W168" s="25"/>
      <c r="X168" s="5"/>
    </row>
    <row r="169" spans="1:256" ht="15.75" x14ac:dyDescent="0.25">
      <c r="A169" s="2"/>
      <c r="B169" s="4"/>
      <c r="C169" s="4"/>
      <c r="D169" s="4"/>
      <c r="E169" s="4"/>
      <c r="F169" s="4"/>
      <c r="G169" s="4"/>
      <c r="H169" s="4"/>
      <c r="I169" s="4"/>
      <c r="J169" s="4"/>
      <c r="K169" s="4"/>
      <c r="L169" s="4"/>
      <c r="M169" s="4"/>
      <c r="N169" s="4"/>
      <c r="O169" s="4"/>
      <c r="P169" s="4"/>
      <c r="Q169" s="4"/>
      <c r="R169" s="4"/>
      <c r="S169" s="4"/>
      <c r="T169" s="4"/>
      <c r="U169" s="4"/>
      <c r="V169" s="50"/>
      <c r="W169" s="4"/>
      <c r="X169" s="5"/>
    </row>
    <row r="170" spans="1:256" s="158" customFormat="1" ht="15.75" x14ac:dyDescent="0.25">
      <c r="A170" s="6"/>
      <c r="B170" s="119" t="s">
        <v>230</v>
      </c>
      <c r="C170" s="157"/>
      <c r="D170" s="157"/>
      <c r="E170" s="157"/>
      <c r="F170" s="157"/>
      <c r="G170" s="157"/>
      <c r="H170" s="157"/>
      <c r="I170" s="157"/>
      <c r="J170" s="157"/>
      <c r="K170" s="157"/>
      <c r="L170" s="157"/>
      <c r="M170" s="157"/>
      <c r="N170" s="157"/>
      <c r="O170" s="157"/>
      <c r="P170" s="157"/>
      <c r="Q170" s="157"/>
      <c r="R170" s="157"/>
      <c r="S170" s="157"/>
      <c r="T170" s="157"/>
      <c r="U170" s="157"/>
      <c r="V170" s="165"/>
      <c r="W170" s="157"/>
      <c r="X170" s="5"/>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s="160" customFormat="1" ht="15.75" x14ac:dyDescent="0.25">
      <c r="A171" s="24"/>
      <c r="B171" s="159" t="s">
        <v>231</v>
      </c>
      <c r="C171" s="159"/>
      <c r="D171" s="159"/>
      <c r="E171" s="159"/>
      <c r="F171" s="159"/>
      <c r="G171" s="159"/>
      <c r="H171" s="159"/>
      <c r="I171" s="159"/>
      <c r="J171" s="159"/>
      <c r="K171" s="159"/>
      <c r="L171" s="159"/>
      <c r="M171" s="159"/>
      <c r="N171" s="159"/>
      <c r="O171" s="159"/>
      <c r="P171" s="159"/>
      <c r="Q171" s="159"/>
      <c r="R171" s="159"/>
      <c r="S171" s="159"/>
      <c r="T171" s="159"/>
      <c r="U171" s="159"/>
      <c r="V171" s="166">
        <v>6201</v>
      </c>
      <c r="W171" s="159"/>
      <c r="X171" s="5"/>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s="160" customFormat="1" ht="15.75" x14ac:dyDescent="0.25">
      <c r="A172" s="24"/>
      <c r="B172" s="159" t="s">
        <v>234</v>
      </c>
      <c r="C172" s="159"/>
      <c r="D172" s="159"/>
      <c r="E172" s="159"/>
      <c r="F172" s="159"/>
      <c r="G172" s="159"/>
      <c r="H172" s="159"/>
      <c r="I172" s="159"/>
      <c r="J172" s="159"/>
      <c r="K172" s="159"/>
      <c r="L172" s="159"/>
      <c r="M172" s="159"/>
      <c r="N172" s="159"/>
      <c r="O172" s="159"/>
      <c r="P172" s="159"/>
      <c r="Q172" s="159"/>
      <c r="R172" s="159"/>
      <c r="S172" s="159"/>
      <c r="T172" s="159"/>
      <c r="U172" s="159"/>
      <c r="V172" s="166">
        <v>3173</v>
      </c>
      <c r="W172" s="159"/>
      <c r="X172" s="5"/>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s="160" customFormat="1" ht="15.75" x14ac:dyDescent="0.25">
      <c r="A173" s="24"/>
      <c r="B173" s="159" t="s">
        <v>232</v>
      </c>
      <c r="C173" s="159"/>
      <c r="D173" s="159"/>
      <c r="E173" s="159"/>
      <c r="F173" s="159"/>
      <c r="G173" s="159"/>
      <c r="H173" s="159"/>
      <c r="I173" s="159"/>
      <c r="J173" s="159"/>
      <c r="K173" s="159"/>
      <c r="L173" s="159"/>
      <c r="M173" s="159"/>
      <c r="N173" s="159"/>
      <c r="O173" s="159"/>
      <c r="P173" s="159"/>
      <c r="Q173" s="159"/>
      <c r="R173" s="159"/>
      <c r="S173" s="159"/>
      <c r="T173" s="159"/>
      <c r="U173" s="159"/>
      <c r="V173" s="166">
        <f>+V171-V172</f>
        <v>3028</v>
      </c>
      <c r="W173" s="159"/>
      <c r="X173" s="5"/>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s="163" customFormat="1" ht="16.5" thickBot="1" x14ac:dyDescent="0.3">
      <c r="A174" s="167"/>
      <c r="B174" s="161"/>
      <c r="C174" s="161"/>
      <c r="D174" s="161"/>
      <c r="E174" s="161"/>
      <c r="F174" s="161"/>
      <c r="G174" s="161"/>
      <c r="H174" s="161"/>
      <c r="I174" s="161"/>
      <c r="J174" s="161"/>
      <c r="K174" s="161"/>
      <c r="L174" s="161"/>
      <c r="M174" s="161"/>
      <c r="N174" s="161"/>
      <c r="O174" s="161"/>
      <c r="P174" s="161"/>
      <c r="Q174" s="161"/>
      <c r="R174" s="161"/>
      <c r="S174" s="161"/>
      <c r="T174" s="161"/>
      <c r="U174" s="161"/>
      <c r="V174" s="162"/>
      <c r="W174" s="161"/>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4" customFormat="1" ht="15.75" x14ac:dyDescent="0.25">
      <c r="A175" s="2"/>
      <c r="B175" s="4"/>
      <c r="C175" s="4"/>
      <c r="D175" s="4"/>
      <c r="E175" s="4"/>
      <c r="F175" s="4"/>
      <c r="G175" s="4"/>
      <c r="H175" s="4"/>
      <c r="I175" s="4"/>
      <c r="J175" s="4"/>
      <c r="K175" s="4"/>
      <c r="L175" s="4"/>
      <c r="M175" s="4"/>
      <c r="N175" s="4"/>
      <c r="O175" s="4"/>
      <c r="P175" s="4"/>
      <c r="Q175" s="4"/>
      <c r="R175" s="4"/>
      <c r="S175" s="4"/>
      <c r="T175" s="4"/>
      <c r="U175" s="4"/>
      <c r="V175" s="50"/>
      <c r="W175" s="4"/>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ht="15.75" x14ac:dyDescent="0.25">
      <c r="A176" s="6"/>
      <c r="B176" s="119" t="s">
        <v>56</v>
      </c>
      <c r="C176" s="8"/>
      <c r="D176" s="8"/>
      <c r="E176" s="8"/>
      <c r="F176" s="8"/>
      <c r="G176" s="8"/>
      <c r="H176" s="8"/>
      <c r="I176" s="8"/>
      <c r="J176" s="8"/>
      <c r="K176" s="8"/>
      <c r="L176" s="8"/>
      <c r="M176" s="8"/>
      <c r="N176" s="8"/>
      <c r="O176" s="8"/>
      <c r="P176" s="8"/>
      <c r="Q176" s="8"/>
      <c r="R176" s="8"/>
      <c r="S176" s="8"/>
      <c r="T176" s="8"/>
      <c r="U176" s="8"/>
      <c r="V176" s="52"/>
      <c r="W176" s="8"/>
      <c r="X176" s="5"/>
    </row>
    <row r="177" spans="1:24" ht="15.75" x14ac:dyDescent="0.25">
      <c r="A177" s="6"/>
      <c r="B177" s="21"/>
      <c r="C177" s="8"/>
      <c r="D177" s="8"/>
      <c r="E177" s="8"/>
      <c r="F177" s="8"/>
      <c r="G177" s="8"/>
      <c r="H177" s="8"/>
      <c r="I177" s="8"/>
      <c r="J177" s="8"/>
      <c r="K177" s="8"/>
      <c r="L177" s="8"/>
      <c r="M177" s="8"/>
      <c r="N177" s="8"/>
      <c r="O177" s="8"/>
      <c r="P177" s="8"/>
      <c r="Q177" s="8"/>
      <c r="R177" s="8"/>
      <c r="S177" s="8"/>
      <c r="T177" s="8"/>
      <c r="U177" s="8"/>
      <c r="V177" s="52"/>
      <c r="W177" s="8"/>
      <c r="X177" s="5"/>
    </row>
    <row r="178" spans="1:24" ht="15.75" x14ac:dyDescent="0.25">
      <c r="A178" s="24"/>
      <c r="B178" s="25" t="s">
        <v>57</v>
      </c>
      <c r="C178" s="25"/>
      <c r="D178" s="25"/>
      <c r="E178" s="25"/>
      <c r="F178" s="25"/>
      <c r="G178" s="25"/>
      <c r="H178" s="25"/>
      <c r="I178" s="25"/>
      <c r="J178" s="25"/>
      <c r="K178" s="25"/>
      <c r="L178" s="25"/>
      <c r="M178" s="25"/>
      <c r="N178" s="25"/>
      <c r="O178" s="25"/>
      <c r="P178" s="25"/>
      <c r="Q178" s="25"/>
      <c r="R178" s="25"/>
      <c r="S178" s="25"/>
      <c r="T178" s="25"/>
      <c r="U178" s="25"/>
      <c r="V178" s="53">
        <f>V72</f>
        <v>989554</v>
      </c>
      <c r="W178" s="25"/>
      <c r="X178" s="5"/>
    </row>
    <row r="179" spans="1:24" ht="15.75" x14ac:dyDescent="0.25">
      <c r="A179" s="24"/>
      <c r="B179" s="25" t="s">
        <v>58</v>
      </c>
      <c r="C179" s="25"/>
      <c r="D179" s="25"/>
      <c r="E179" s="25"/>
      <c r="F179" s="25"/>
      <c r="G179" s="25"/>
      <c r="H179" s="25"/>
      <c r="I179" s="25"/>
      <c r="J179" s="25"/>
      <c r="K179" s="25"/>
      <c r="L179" s="25"/>
      <c r="M179" s="25"/>
      <c r="N179" s="25"/>
      <c r="O179" s="25"/>
      <c r="P179" s="25"/>
      <c r="Q179" s="25"/>
      <c r="R179" s="25"/>
      <c r="S179" s="25"/>
      <c r="T179" s="25"/>
      <c r="U179" s="25"/>
      <c r="V179" s="53">
        <f>V85</f>
        <v>989554</v>
      </c>
      <c r="W179" s="25"/>
      <c r="X179" s="5"/>
    </row>
    <row r="180" spans="1:24" ht="16.5" thickBot="1" x14ac:dyDescent="0.3">
      <c r="A180" s="24"/>
      <c r="B180" s="25"/>
      <c r="C180" s="25"/>
      <c r="D180" s="25"/>
      <c r="E180" s="25"/>
      <c r="F180" s="25"/>
      <c r="G180" s="25"/>
      <c r="H180" s="25"/>
      <c r="I180" s="25"/>
      <c r="J180" s="25"/>
      <c r="K180" s="25"/>
      <c r="L180" s="25"/>
      <c r="M180" s="25"/>
      <c r="N180" s="25"/>
      <c r="O180" s="25"/>
      <c r="P180" s="25"/>
      <c r="Q180" s="25"/>
      <c r="R180" s="25"/>
      <c r="S180" s="25"/>
      <c r="T180" s="25"/>
      <c r="U180" s="25"/>
      <c r="V180" s="61"/>
      <c r="W180" s="25"/>
      <c r="X180" s="5"/>
    </row>
    <row r="181" spans="1:24" ht="15.75" x14ac:dyDescent="0.25">
      <c r="A181" s="2"/>
      <c r="B181" s="4"/>
      <c r="C181" s="4"/>
      <c r="D181" s="4"/>
      <c r="E181" s="4"/>
      <c r="F181" s="4"/>
      <c r="G181" s="4"/>
      <c r="H181" s="4"/>
      <c r="I181" s="4"/>
      <c r="J181" s="4"/>
      <c r="K181" s="4"/>
      <c r="L181" s="4"/>
      <c r="M181" s="4"/>
      <c r="N181" s="4"/>
      <c r="O181" s="4"/>
      <c r="P181" s="4"/>
      <c r="Q181" s="4"/>
      <c r="R181" s="4"/>
      <c r="S181" s="4"/>
      <c r="T181" s="4"/>
      <c r="U181" s="4"/>
      <c r="V181" s="50"/>
      <c r="W181" s="4"/>
      <c r="X181" s="5"/>
    </row>
    <row r="182" spans="1:24" ht="15.75" x14ac:dyDescent="0.25">
      <c r="A182" s="6"/>
      <c r="B182" s="119" t="s">
        <v>59</v>
      </c>
      <c r="C182" s="117"/>
      <c r="D182" s="117"/>
      <c r="E182" s="117"/>
      <c r="F182" s="117"/>
      <c r="G182" s="117"/>
      <c r="H182" s="120"/>
      <c r="I182" s="120"/>
      <c r="J182" s="120"/>
      <c r="K182" s="120"/>
      <c r="L182" s="120"/>
      <c r="M182" s="120"/>
      <c r="N182" s="120"/>
      <c r="O182" s="120"/>
      <c r="P182" s="120"/>
      <c r="Q182" s="120"/>
      <c r="R182" s="120"/>
      <c r="S182" s="120" t="s">
        <v>101</v>
      </c>
      <c r="T182" s="120" t="s">
        <v>176</v>
      </c>
      <c r="U182" s="111"/>
      <c r="V182" s="121" t="s">
        <v>114</v>
      </c>
      <c r="W182" s="10"/>
      <c r="X182" s="5"/>
    </row>
    <row r="183" spans="1:24" ht="15.75" x14ac:dyDescent="0.25">
      <c r="A183" s="24"/>
      <c r="B183" s="25" t="s">
        <v>60</v>
      </c>
      <c r="C183" s="25"/>
      <c r="D183" s="25"/>
      <c r="E183" s="25"/>
      <c r="F183" s="25"/>
      <c r="G183" s="25"/>
      <c r="H183" s="25"/>
      <c r="I183" s="25"/>
      <c r="J183" s="25"/>
      <c r="K183" s="25"/>
      <c r="L183" s="25"/>
      <c r="M183" s="25"/>
      <c r="N183" s="25"/>
      <c r="O183" s="25"/>
      <c r="P183" s="25"/>
      <c r="Q183" s="25"/>
      <c r="R183" s="25"/>
      <c r="S183" s="53">
        <f>+V34*0.16</f>
        <v>160181.28</v>
      </c>
      <c r="T183" s="40"/>
      <c r="U183" s="25"/>
      <c r="V183" s="53"/>
      <c r="W183" s="25"/>
      <c r="X183" s="5"/>
    </row>
    <row r="184" spans="1:24" ht="15.75" x14ac:dyDescent="0.25">
      <c r="A184" s="24"/>
      <c r="B184" s="25" t="s">
        <v>61</v>
      </c>
      <c r="C184" s="25"/>
      <c r="D184" s="25"/>
      <c r="E184" s="25"/>
      <c r="F184" s="25"/>
      <c r="G184" s="25"/>
      <c r="H184" s="25"/>
      <c r="I184" s="25"/>
      <c r="J184" s="25"/>
      <c r="K184" s="25"/>
      <c r="L184" s="25"/>
      <c r="M184" s="25"/>
      <c r="N184" s="25"/>
      <c r="O184" s="25"/>
      <c r="P184" s="25"/>
      <c r="Q184" s="25"/>
      <c r="R184" s="25"/>
      <c r="S184" s="53">
        <v>0</v>
      </c>
      <c r="T184" s="53">
        <v>0</v>
      </c>
      <c r="U184" s="25"/>
      <c r="V184" s="53">
        <f>S184+T184</f>
        <v>0</v>
      </c>
      <c r="W184" s="25"/>
      <c r="X184" s="5"/>
    </row>
    <row r="185" spans="1:24" ht="15.75" x14ac:dyDescent="0.25">
      <c r="A185" s="24"/>
      <c r="B185" s="25" t="s">
        <v>62</v>
      </c>
      <c r="C185" s="25"/>
      <c r="D185" s="25"/>
      <c r="E185" s="25"/>
      <c r="F185" s="25"/>
      <c r="G185" s="25"/>
      <c r="H185" s="25"/>
      <c r="I185" s="25"/>
      <c r="J185" s="25"/>
      <c r="K185" s="25"/>
      <c r="L185" s="25"/>
      <c r="M185" s="25"/>
      <c r="N185" s="25"/>
      <c r="O185" s="25"/>
      <c r="P185" s="25"/>
      <c r="Q185" s="25"/>
      <c r="R185" s="25"/>
      <c r="S185" s="34">
        <v>2283</v>
      </c>
      <c r="T185" s="34">
        <v>3603</v>
      </c>
      <c r="U185" s="25"/>
      <c r="V185" s="53">
        <f>S185+T185</f>
        <v>5886</v>
      </c>
      <c r="W185" s="25"/>
      <c r="X185" s="5"/>
    </row>
    <row r="186" spans="1:24" ht="15.75" x14ac:dyDescent="0.25">
      <c r="A186" s="24"/>
      <c r="B186" s="25" t="s">
        <v>63</v>
      </c>
      <c r="C186" s="25"/>
      <c r="D186" s="25"/>
      <c r="E186" s="25"/>
      <c r="F186" s="25"/>
      <c r="G186" s="25"/>
      <c r="H186" s="25"/>
      <c r="I186" s="25"/>
      <c r="J186" s="25"/>
      <c r="K186" s="25"/>
      <c r="L186" s="25"/>
      <c r="M186" s="25"/>
      <c r="N186" s="25"/>
      <c r="O186" s="25"/>
      <c r="P186" s="25"/>
      <c r="Q186" s="25"/>
      <c r="R186" s="25"/>
      <c r="S186" s="53">
        <f>S184+S185</f>
        <v>2283</v>
      </c>
      <c r="T186" s="53">
        <f>T185+T184</f>
        <v>3603</v>
      </c>
      <c r="U186" s="25"/>
      <c r="V186" s="53">
        <f>S186+T186</f>
        <v>5886</v>
      </c>
      <c r="W186" s="25"/>
      <c r="X186" s="5"/>
    </row>
    <row r="187" spans="1:24" ht="15.75" x14ac:dyDescent="0.25">
      <c r="A187" s="24"/>
      <c r="B187" s="25" t="s">
        <v>64</v>
      </c>
      <c r="C187" s="25"/>
      <c r="D187" s="25"/>
      <c r="E187" s="25"/>
      <c r="F187" s="25"/>
      <c r="G187" s="25"/>
      <c r="H187" s="25"/>
      <c r="I187" s="25"/>
      <c r="J187" s="25"/>
      <c r="K187" s="25"/>
      <c r="L187" s="25"/>
      <c r="M187" s="25"/>
      <c r="N187" s="25"/>
      <c r="O187" s="25"/>
      <c r="P187" s="25"/>
      <c r="Q187" s="25"/>
      <c r="R187" s="25"/>
      <c r="S187" s="53">
        <f>S183-S186-T186</f>
        <v>154295.28</v>
      </c>
      <c r="T187" s="40"/>
      <c r="U187" s="25"/>
      <c r="V187" s="53"/>
      <c r="W187" s="25"/>
      <c r="X187" s="5"/>
    </row>
    <row r="188" spans="1:24" ht="16.5" thickBot="1" x14ac:dyDescent="0.3">
      <c r="A188" s="24"/>
      <c r="B188" s="25"/>
      <c r="C188" s="25"/>
      <c r="D188" s="25"/>
      <c r="E188" s="25"/>
      <c r="F188" s="25"/>
      <c r="G188" s="25"/>
      <c r="H188" s="25"/>
      <c r="I188" s="25"/>
      <c r="J188" s="25"/>
      <c r="K188" s="25"/>
      <c r="L188" s="25"/>
      <c r="M188" s="25"/>
      <c r="N188" s="25"/>
      <c r="O188" s="25"/>
      <c r="P188" s="25"/>
      <c r="Q188" s="25"/>
      <c r="R188" s="25"/>
      <c r="S188" s="25"/>
      <c r="T188" s="25"/>
      <c r="U188" s="25"/>
      <c r="V188" s="61"/>
      <c r="W188" s="25"/>
      <c r="X188" s="5"/>
    </row>
    <row r="189" spans="1:24" ht="15.75" x14ac:dyDescent="0.25">
      <c r="A189" s="2"/>
      <c r="B189" s="4"/>
      <c r="C189" s="4"/>
      <c r="D189" s="4"/>
      <c r="E189" s="4"/>
      <c r="F189" s="4"/>
      <c r="G189" s="4"/>
      <c r="H189" s="4"/>
      <c r="I189" s="4"/>
      <c r="J189" s="4"/>
      <c r="K189" s="4"/>
      <c r="L189" s="4"/>
      <c r="M189" s="4"/>
      <c r="N189" s="4"/>
      <c r="O189" s="4"/>
      <c r="P189" s="4"/>
      <c r="Q189" s="4"/>
      <c r="R189" s="4"/>
      <c r="S189" s="4"/>
      <c r="T189" s="4"/>
      <c r="U189" s="4"/>
      <c r="V189" s="50"/>
      <c r="W189" s="4"/>
      <c r="X189" s="5"/>
    </row>
    <row r="190" spans="1:24" ht="15.75" x14ac:dyDescent="0.25">
      <c r="A190" s="6"/>
      <c r="B190" s="119" t="s">
        <v>65</v>
      </c>
      <c r="C190" s="8"/>
      <c r="D190" s="8"/>
      <c r="E190" s="8"/>
      <c r="F190" s="8"/>
      <c r="G190" s="8"/>
      <c r="H190" s="8"/>
      <c r="I190" s="8"/>
      <c r="J190" s="8"/>
      <c r="K190" s="8"/>
      <c r="L190" s="8"/>
      <c r="M190" s="8"/>
      <c r="N190" s="8"/>
      <c r="O190" s="8"/>
      <c r="P190" s="8"/>
      <c r="Q190" s="8"/>
      <c r="R190" s="8"/>
      <c r="S190" s="8"/>
      <c r="T190" s="8"/>
      <c r="U190" s="8"/>
      <c r="V190" s="65"/>
      <c r="W190" s="8"/>
      <c r="X190" s="5"/>
    </row>
    <row r="191" spans="1:24" ht="15.75" x14ac:dyDescent="0.25">
      <c r="A191" s="24"/>
      <c r="B191" s="25" t="s">
        <v>66</v>
      </c>
      <c r="C191" s="25"/>
      <c r="D191" s="25"/>
      <c r="E191" s="25"/>
      <c r="F191" s="25"/>
      <c r="G191" s="25"/>
      <c r="H191" s="25"/>
      <c r="I191" s="25"/>
      <c r="J191" s="25"/>
      <c r="K191" s="25"/>
      <c r="L191" s="25"/>
      <c r="M191" s="25"/>
      <c r="N191" s="25"/>
      <c r="O191" s="25"/>
      <c r="P191" s="25"/>
      <c r="Q191" s="25"/>
      <c r="R191" s="25"/>
      <c r="S191" s="25"/>
      <c r="T191" s="25"/>
      <c r="U191" s="25"/>
      <c r="V191" s="59">
        <f>(V102+V104+V105+V106+V107)/-(V108+V109)</f>
        <v>1.1879585473220837</v>
      </c>
      <c r="W191" s="25" t="s">
        <v>115</v>
      </c>
      <c r="X191" s="5"/>
    </row>
    <row r="192" spans="1:24" ht="15.75" x14ac:dyDescent="0.25">
      <c r="A192" s="24"/>
      <c r="B192" s="25" t="s">
        <v>67</v>
      </c>
      <c r="C192" s="25"/>
      <c r="D192" s="25"/>
      <c r="E192" s="25"/>
      <c r="F192" s="25"/>
      <c r="G192" s="25"/>
      <c r="H192" s="25"/>
      <c r="I192" s="25"/>
      <c r="J192" s="25"/>
      <c r="K192" s="25"/>
      <c r="L192" s="25"/>
      <c r="M192" s="25"/>
      <c r="N192" s="25"/>
      <c r="O192" s="25"/>
      <c r="P192" s="25"/>
      <c r="Q192" s="25"/>
      <c r="R192" s="25"/>
      <c r="S192" s="25"/>
      <c r="T192" s="25"/>
      <c r="U192" s="25"/>
      <c r="V192" s="66">
        <v>1.19</v>
      </c>
      <c r="W192" s="25" t="s">
        <v>115</v>
      </c>
      <c r="X192" s="5"/>
    </row>
    <row r="193" spans="1:24" ht="15.75" x14ac:dyDescent="0.25">
      <c r="A193" s="24"/>
      <c r="B193" s="25" t="s">
        <v>68</v>
      </c>
      <c r="C193" s="25"/>
      <c r="D193" s="25"/>
      <c r="E193" s="25"/>
      <c r="F193" s="25"/>
      <c r="G193" s="25"/>
      <c r="H193" s="25"/>
      <c r="I193" s="25"/>
      <c r="J193" s="25"/>
      <c r="K193" s="25"/>
      <c r="L193" s="25"/>
      <c r="M193" s="25"/>
      <c r="N193" s="25"/>
      <c r="O193" s="25"/>
      <c r="P193" s="25"/>
      <c r="Q193" s="25"/>
      <c r="R193" s="25"/>
      <c r="S193" s="25"/>
      <c r="T193" s="25"/>
      <c r="U193" s="25"/>
      <c r="V193" s="59">
        <f>(V102+V104+V105+V106+V107+V108+V109)/-(V110+V111)</f>
        <v>2.0546365914786966</v>
      </c>
      <c r="W193" s="25" t="s">
        <v>115</v>
      </c>
      <c r="X193" s="5"/>
    </row>
    <row r="194" spans="1:24" ht="15.75" x14ac:dyDescent="0.25">
      <c r="A194" s="24"/>
      <c r="B194" s="25" t="s">
        <v>69</v>
      </c>
      <c r="C194" s="25"/>
      <c r="D194" s="25"/>
      <c r="E194" s="25"/>
      <c r="F194" s="25"/>
      <c r="G194" s="25"/>
      <c r="H194" s="25"/>
      <c r="I194" s="25"/>
      <c r="J194" s="25"/>
      <c r="K194" s="25"/>
      <c r="L194" s="25"/>
      <c r="M194" s="25"/>
      <c r="N194" s="25"/>
      <c r="O194" s="25"/>
      <c r="P194" s="25"/>
      <c r="Q194" s="25"/>
      <c r="R194" s="25"/>
      <c r="S194" s="25"/>
      <c r="T194" s="25"/>
      <c r="U194" s="25"/>
      <c r="V194" s="66">
        <v>2.0499999999999998</v>
      </c>
      <c r="W194" s="25" t="s">
        <v>115</v>
      </c>
      <c r="X194" s="5"/>
    </row>
    <row r="195" spans="1:24" ht="15.75" x14ac:dyDescent="0.25">
      <c r="A195" s="24"/>
      <c r="B195" s="25" t="s">
        <v>198</v>
      </c>
      <c r="C195" s="25"/>
      <c r="D195" s="25"/>
      <c r="E195" s="25"/>
      <c r="F195" s="25"/>
      <c r="G195" s="25"/>
      <c r="H195" s="25"/>
      <c r="I195" s="25"/>
      <c r="J195" s="25"/>
      <c r="K195" s="25"/>
      <c r="L195" s="25"/>
      <c r="M195" s="25"/>
      <c r="N195" s="25"/>
      <c r="O195" s="25"/>
      <c r="P195" s="25"/>
      <c r="Q195" s="25"/>
      <c r="R195" s="25"/>
      <c r="S195" s="25"/>
      <c r="T195" s="25"/>
      <c r="U195" s="25"/>
      <c r="V195" s="59">
        <f>(V102+V104+V105+V106+V107+V108+V109+V110+V111)/-(V112)</f>
        <v>1.005736137667304</v>
      </c>
      <c r="W195" s="25" t="s">
        <v>115</v>
      </c>
      <c r="X195" s="5"/>
    </row>
    <row r="196" spans="1:24" ht="15.75" x14ac:dyDescent="0.25">
      <c r="A196" s="24"/>
      <c r="B196" s="25" t="s">
        <v>199</v>
      </c>
      <c r="C196" s="25"/>
      <c r="D196" s="25"/>
      <c r="E196" s="25"/>
      <c r="F196" s="25"/>
      <c r="G196" s="25"/>
      <c r="H196" s="25"/>
      <c r="I196" s="25"/>
      <c r="J196" s="25"/>
      <c r="K196" s="25"/>
      <c r="L196" s="25"/>
      <c r="M196" s="25"/>
      <c r="N196" s="25"/>
      <c r="O196" s="25"/>
      <c r="P196" s="25"/>
      <c r="Q196" s="25"/>
      <c r="R196" s="25"/>
      <c r="S196" s="25"/>
      <c r="T196" s="25"/>
      <c r="U196" s="25"/>
      <c r="V196" s="66">
        <v>1.01</v>
      </c>
      <c r="W196" s="25" t="s">
        <v>115</v>
      </c>
      <c r="X196" s="5"/>
    </row>
    <row r="197" spans="1:24" ht="15.75" x14ac:dyDescent="0.25">
      <c r="A197" s="24"/>
      <c r="B197" s="25"/>
      <c r="C197" s="25"/>
      <c r="D197" s="25"/>
      <c r="E197" s="25"/>
      <c r="F197" s="25"/>
      <c r="G197" s="25"/>
      <c r="H197" s="25"/>
      <c r="I197" s="25"/>
      <c r="J197" s="25"/>
      <c r="K197" s="25"/>
      <c r="L197" s="25"/>
      <c r="M197" s="25"/>
      <c r="N197" s="25"/>
      <c r="O197" s="25"/>
      <c r="P197" s="25"/>
      <c r="Q197" s="25"/>
      <c r="R197" s="25"/>
      <c r="S197" s="25"/>
      <c r="T197" s="25"/>
      <c r="U197" s="25"/>
      <c r="V197" s="25"/>
      <c r="W197" s="25"/>
      <c r="X197" s="5"/>
    </row>
    <row r="198" spans="1:24" ht="15.75" x14ac:dyDescent="0.25">
      <c r="A198" s="24"/>
      <c r="B198" s="25"/>
      <c r="C198" s="25"/>
      <c r="D198" s="25"/>
      <c r="E198" s="25"/>
      <c r="F198" s="25"/>
      <c r="G198" s="25"/>
      <c r="H198" s="25"/>
      <c r="I198" s="25"/>
      <c r="J198" s="25"/>
      <c r="K198" s="25"/>
      <c r="L198" s="25"/>
      <c r="M198" s="25"/>
      <c r="N198" s="25"/>
      <c r="O198" s="25"/>
      <c r="P198" s="25"/>
      <c r="Q198" s="25"/>
      <c r="R198" s="25"/>
      <c r="S198" s="25"/>
      <c r="T198" s="25"/>
      <c r="U198" s="25"/>
      <c r="V198" s="25"/>
      <c r="W198" s="25"/>
      <c r="X198" s="5"/>
    </row>
    <row r="199" spans="1:24" ht="15.75" x14ac:dyDescent="0.25">
      <c r="A199" s="6"/>
      <c r="B199" s="8"/>
      <c r="C199" s="8"/>
      <c r="D199" s="8"/>
      <c r="E199" s="8"/>
      <c r="F199" s="8"/>
      <c r="G199" s="8"/>
      <c r="H199" s="8"/>
      <c r="I199" s="8"/>
      <c r="J199" s="8"/>
      <c r="K199" s="8"/>
      <c r="L199" s="8"/>
      <c r="M199" s="8"/>
      <c r="N199" s="8"/>
      <c r="O199" s="8"/>
      <c r="P199" s="8"/>
      <c r="Q199" s="8"/>
      <c r="R199" s="8"/>
      <c r="S199" s="8"/>
      <c r="T199" s="8"/>
      <c r="U199" s="8"/>
      <c r="V199" s="8"/>
      <c r="W199" s="8"/>
      <c r="X199" s="5"/>
    </row>
    <row r="200" spans="1:24" ht="19.5" thickBot="1" x14ac:dyDescent="0.35">
      <c r="A200" s="101"/>
      <c r="B200" s="102" t="str">
        <f>B135</f>
        <v>PM15 INVESTOR REPORT QUARTER ENDING NOVEMBER 2007</v>
      </c>
      <c r="C200" s="107"/>
      <c r="D200" s="107"/>
      <c r="E200" s="107"/>
      <c r="F200" s="107"/>
      <c r="G200" s="107"/>
      <c r="H200" s="107"/>
      <c r="I200" s="107"/>
      <c r="J200" s="107"/>
      <c r="K200" s="107"/>
      <c r="L200" s="107"/>
      <c r="M200" s="107"/>
      <c r="N200" s="107"/>
      <c r="O200" s="107"/>
      <c r="P200" s="107"/>
      <c r="Q200" s="107"/>
      <c r="R200" s="107"/>
      <c r="S200" s="107"/>
      <c r="T200" s="107"/>
      <c r="U200" s="107"/>
      <c r="V200" s="107"/>
      <c r="W200" s="108"/>
      <c r="X200" s="5"/>
    </row>
    <row r="201" spans="1:24" ht="15.75" x14ac:dyDescent="0.25">
      <c r="A201" s="67"/>
      <c r="B201" s="60" t="s">
        <v>70</v>
      </c>
      <c r="C201" s="68"/>
      <c r="D201" s="68"/>
      <c r="E201" s="68"/>
      <c r="F201" s="68"/>
      <c r="G201" s="69"/>
      <c r="H201" s="69"/>
      <c r="I201" s="69"/>
      <c r="J201" s="69"/>
      <c r="K201" s="69"/>
      <c r="L201" s="69"/>
      <c r="M201" s="69"/>
      <c r="N201" s="69"/>
      <c r="O201" s="69"/>
      <c r="P201" s="69"/>
      <c r="Q201" s="69"/>
      <c r="R201" s="69"/>
      <c r="S201" s="69"/>
      <c r="T201" s="70">
        <v>39416</v>
      </c>
      <c r="U201" s="4"/>
      <c r="V201" s="4"/>
      <c r="W201" s="4"/>
      <c r="X201" s="5"/>
    </row>
    <row r="202" spans="1:24" ht="15.75" x14ac:dyDescent="0.25">
      <c r="A202" s="71"/>
      <c r="B202" s="72"/>
      <c r="C202" s="73"/>
      <c r="D202" s="73"/>
      <c r="E202" s="73"/>
      <c r="F202" s="73"/>
      <c r="G202" s="74"/>
      <c r="H202" s="74"/>
      <c r="I202" s="74"/>
      <c r="J202" s="74"/>
      <c r="K202" s="74"/>
      <c r="L202" s="74"/>
      <c r="M202" s="74"/>
      <c r="N202" s="74"/>
      <c r="O202" s="74"/>
      <c r="P202" s="74"/>
      <c r="Q202" s="74"/>
      <c r="R202" s="74"/>
      <c r="S202" s="74"/>
      <c r="T202" s="74"/>
      <c r="U202" s="8"/>
      <c r="V202" s="8"/>
      <c r="W202" s="8"/>
      <c r="X202" s="5"/>
    </row>
    <row r="203" spans="1:24" ht="15.75" x14ac:dyDescent="0.25">
      <c r="A203" s="75"/>
      <c r="B203" s="76" t="s">
        <v>71</v>
      </c>
      <c r="C203" s="77"/>
      <c r="D203" s="77"/>
      <c r="E203" s="77"/>
      <c r="F203" s="77"/>
      <c r="G203" s="64"/>
      <c r="H203" s="64"/>
      <c r="I203" s="64"/>
      <c r="J203" s="64"/>
      <c r="K203" s="64"/>
      <c r="L203" s="64"/>
      <c r="M203" s="64"/>
      <c r="N203" s="64"/>
      <c r="O203" s="64"/>
      <c r="P203" s="64"/>
      <c r="Q203" s="64"/>
      <c r="R203" s="64"/>
      <c r="S203" s="64"/>
      <c r="T203" s="78">
        <v>5.3830000000000003E-2</v>
      </c>
      <c r="U203" s="25"/>
      <c r="V203" s="25"/>
      <c r="W203" s="25"/>
      <c r="X203" s="5"/>
    </row>
    <row r="204" spans="1:24" ht="15.75" x14ac:dyDescent="0.25">
      <c r="A204" s="75"/>
      <c r="B204" s="76" t="s">
        <v>151</v>
      </c>
      <c r="C204" s="77"/>
      <c r="D204" s="77"/>
      <c r="E204" s="77"/>
      <c r="F204" s="77"/>
      <c r="G204" s="64"/>
      <c r="H204" s="64"/>
      <c r="I204" s="64"/>
      <c r="J204" s="64"/>
      <c r="K204" s="64"/>
      <c r="L204" s="64"/>
      <c r="M204" s="64"/>
      <c r="N204" s="64"/>
      <c r="O204" s="64"/>
      <c r="P204" s="64"/>
      <c r="Q204" s="64"/>
      <c r="R204" s="64"/>
      <c r="S204" s="64"/>
      <c r="T204" s="39">
        <f>+V43</f>
        <v>6.2524026637020252E-2</v>
      </c>
      <c r="U204" s="25"/>
      <c r="V204" s="25"/>
      <c r="W204" s="25"/>
      <c r="X204" s="5"/>
    </row>
    <row r="205" spans="1:24" ht="15.75" x14ac:dyDescent="0.25">
      <c r="A205" s="75"/>
      <c r="B205" s="76" t="s">
        <v>72</v>
      </c>
      <c r="C205" s="77"/>
      <c r="D205" s="77"/>
      <c r="E205" s="77"/>
      <c r="F205" s="77"/>
      <c r="G205" s="64"/>
      <c r="H205" s="64"/>
      <c r="I205" s="64"/>
      <c r="J205" s="64"/>
      <c r="K205" s="64"/>
      <c r="L205" s="64"/>
      <c r="M205" s="64"/>
      <c r="N205" s="64"/>
      <c r="O205" s="64"/>
      <c r="P205" s="64"/>
      <c r="Q205" s="64"/>
      <c r="R205" s="64"/>
      <c r="S205" s="64"/>
      <c r="T205" s="78">
        <f>T203-T204</f>
        <v>-8.6940266370202496E-3</v>
      </c>
      <c r="U205" s="25"/>
      <c r="V205" s="25"/>
      <c r="W205" s="25"/>
      <c r="X205" s="5"/>
    </row>
    <row r="206" spans="1:24" ht="15.75" x14ac:dyDescent="0.25">
      <c r="A206" s="75"/>
      <c r="B206" s="76" t="s">
        <v>73</v>
      </c>
      <c r="C206" s="77"/>
      <c r="D206" s="77"/>
      <c r="E206" s="77"/>
      <c r="F206" s="77"/>
      <c r="G206" s="64"/>
      <c r="H206" s="64"/>
      <c r="I206" s="64"/>
      <c r="J206" s="64"/>
      <c r="K206" s="64"/>
      <c r="L206" s="64"/>
      <c r="M206" s="64"/>
      <c r="N206" s="64"/>
      <c r="O206" s="64"/>
      <c r="P206" s="64"/>
      <c r="Q206" s="64"/>
      <c r="R206" s="64"/>
      <c r="S206" s="64"/>
      <c r="T206" s="78">
        <v>5.4129999999999998E-2</v>
      </c>
      <c r="U206" s="25"/>
      <c r="V206" s="25"/>
      <c r="W206" s="25"/>
      <c r="X206" s="5"/>
    </row>
    <row r="207" spans="1:24" ht="15.75" x14ac:dyDescent="0.25">
      <c r="A207" s="75"/>
      <c r="B207" s="76" t="s">
        <v>218</v>
      </c>
      <c r="C207" s="77"/>
      <c r="D207" s="77"/>
      <c r="E207" s="77"/>
      <c r="F207" s="77"/>
      <c r="G207" s="64"/>
      <c r="H207" s="64"/>
      <c r="I207" s="64"/>
      <c r="J207" s="64"/>
      <c r="K207" s="64"/>
      <c r="L207" s="64"/>
      <c r="M207" s="64"/>
      <c r="N207" s="64"/>
      <c r="O207" s="64"/>
      <c r="P207" s="64"/>
      <c r="Q207" s="64"/>
      <c r="R207" s="64"/>
      <c r="S207" s="64"/>
      <c r="T207" s="78">
        <f>V43</f>
        <v>6.2524026637020252E-2</v>
      </c>
      <c r="U207" s="25"/>
      <c r="V207" s="25"/>
      <c r="W207" s="25"/>
      <c r="X207" s="5"/>
    </row>
    <row r="208" spans="1:24" ht="15.75" x14ac:dyDescent="0.25">
      <c r="A208" s="75"/>
      <c r="B208" s="76" t="s">
        <v>74</v>
      </c>
      <c r="C208" s="77"/>
      <c r="D208" s="77"/>
      <c r="E208" s="77"/>
      <c r="F208" s="77"/>
      <c r="G208" s="64"/>
      <c r="H208" s="64"/>
      <c r="I208" s="64"/>
      <c r="J208" s="64"/>
      <c r="K208" s="64"/>
      <c r="L208" s="64"/>
      <c r="M208" s="64"/>
      <c r="N208" s="64"/>
      <c r="O208" s="64"/>
      <c r="P208" s="64"/>
      <c r="Q208" s="64"/>
      <c r="R208" s="64"/>
      <c r="S208" s="64"/>
      <c r="T208" s="78">
        <f>T206-T207</f>
        <v>-8.3940266370202549E-3</v>
      </c>
      <c r="U208" s="25"/>
      <c r="V208" s="25"/>
      <c r="W208" s="25"/>
      <c r="X208" s="5"/>
    </row>
    <row r="209" spans="1:24" ht="15.75" x14ac:dyDescent="0.25">
      <c r="A209" s="75"/>
      <c r="B209" s="76" t="s">
        <v>227</v>
      </c>
      <c r="C209" s="77"/>
      <c r="D209" s="77"/>
      <c r="E209" s="77"/>
      <c r="F209" s="77"/>
      <c r="G209" s="64"/>
      <c r="H209" s="64"/>
      <c r="I209" s="64"/>
      <c r="J209" s="64"/>
      <c r="K209" s="64"/>
      <c r="L209" s="64"/>
      <c r="M209" s="64"/>
      <c r="N209" s="64"/>
      <c r="O209" s="64"/>
      <c r="P209" s="64"/>
      <c r="Q209" s="64"/>
      <c r="R209" s="64"/>
      <c r="S209" s="64"/>
      <c r="T209" s="78">
        <f>(+V102+V104)/L72</f>
        <v>3.2466157750792056E-2</v>
      </c>
      <c r="U209" s="25"/>
      <c r="V209" s="25"/>
      <c r="W209" s="25"/>
      <c r="X209" s="5"/>
    </row>
    <row r="210" spans="1:24" ht="15.75" x14ac:dyDescent="0.25">
      <c r="A210" s="75"/>
      <c r="B210" s="76" t="s">
        <v>207</v>
      </c>
      <c r="C210" s="77"/>
      <c r="D210" s="77"/>
      <c r="E210" s="77"/>
      <c r="F210" s="77"/>
      <c r="G210" s="64"/>
      <c r="H210" s="64"/>
      <c r="I210" s="64"/>
      <c r="J210" s="64"/>
      <c r="K210" s="64"/>
      <c r="L210" s="64"/>
      <c r="M210" s="64"/>
      <c r="N210" s="64"/>
      <c r="O210" s="64"/>
      <c r="P210" s="64"/>
      <c r="Q210" s="64"/>
      <c r="R210" s="64"/>
      <c r="S210" s="64"/>
      <c r="T210" s="172">
        <v>51105</v>
      </c>
      <c r="U210" s="25"/>
      <c r="V210" s="25"/>
      <c r="W210" s="25"/>
      <c r="X210" s="5"/>
    </row>
    <row r="211" spans="1:24" ht="15.75" x14ac:dyDescent="0.25">
      <c r="A211" s="75"/>
      <c r="B211" s="76" t="s">
        <v>208</v>
      </c>
      <c r="C211" s="77"/>
      <c r="D211" s="77"/>
      <c r="E211" s="77"/>
      <c r="F211" s="77"/>
      <c r="G211" s="64"/>
      <c r="H211" s="64"/>
      <c r="I211" s="64"/>
      <c r="J211" s="64"/>
      <c r="K211" s="64"/>
      <c r="L211" s="64"/>
      <c r="M211" s="64"/>
      <c r="N211" s="64"/>
      <c r="O211" s="64"/>
      <c r="P211" s="64"/>
      <c r="Q211" s="64"/>
      <c r="R211" s="64"/>
      <c r="S211" s="64"/>
      <c r="T211" s="172">
        <v>51105</v>
      </c>
      <c r="U211" s="25"/>
      <c r="V211" s="25"/>
      <c r="W211" s="25"/>
      <c r="X211" s="5"/>
    </row>
    <row r="212" spans="1:24" ht="15.75" x14ac:dyDescent="0.25">
      <c r="A212" s="75"/>
      <c r="B212" s="76" t="s">
        <v>209</v>
      </c>
      <c r="C212" s="77"/>
      <c r="D212" s="77"/>
      <c r="E212" s="77"/>
      <c r="F212" s="77"/>
      <c r="G212" s="64"/>
      <c r="H212" s="64"/>
      <c r="I212" s="64"/>
      <c r="J212" s="64"/>
      <c r="K212" s="64"/>
      <c r="L212" s="64"/>
      <c r="M212" s="64"/>
      <c r="N212" s="64"/>
      <c r="O212" s="64"/>
      <c r="P212" s="64"/>
      <c r="Q212" s="64"/>
      <c r="R212" s="64"/>
      <c r="S212" s="64"/>
      <c r="T212" s="172">
        <v>51105</v>
      </c>
      <c r="U212" s="25"/>
      <c r="V212" s="25"/>
      <c r="W212" s="25"/>
      <c r="X212" s="5"/>
    </row>
    <row r="213" spans="1:24" ht="15.75" x14ac:dyDescent="0.25">
      <c r="A213" s="75"/>
      <c r="B213" s="76" t="s">
        <v>75</v>
      </c>
      <c r="C213" s="77"/>
      <c r="D213" s="77"/>
      <c r="E213" s="77"/>
      <c r="F213" s="77"/>
      <c r="G213" s="64"/>
      <c r="H213" s="64"/>
      <c r="I213" s="64"/>
      <c r="J213" s="64"/>
      <c r="K213" s="64"/>
      <c r="L213" s="64"/>
      <c r="M213" s="64"/>
      <c r="N213" s="64"/>
      <c r="O213" s="64"/>
      <c r="P213" s="64"/>
      <c r="Q213" s="64"/>
      <c r="R213" s="64"/>
      <c r="S213" s="64"/>
      <c r="T213" s="132">
        <v>21.06</v>
      </c>
      <c r="U213" s="25" t="s">
        <v>110</v>
      </c>
      <c r="V213" s="25"/>
      <c r="W213" s="25"/>
      <c r="X213" s="5"/>
    </row>
    <row r="214" spans="1:24" ht="15.75" x14ac:dyDescent="0.25">
      <c r="A214" s="75"/>
      <c r="B214" s="76" t="s">
        <v>76</v>
      </c>
      <c r="C214" s="77"/>
      <c r="D214" s="77"/>
      <c r="E214" s="77"/>
      <c r="F214" s="77"/>
      <c r="G214" s="64"/>
      <c r="H214" s="64"/>
      <c r="I214" s="64"/>
      <c r="J214" s="64"/>
      <c r="K214" s="64"/>
      <c r="L214" s="64"/>
      <c r="M214" s="64"/>
      <c r="N214" s="64"/>
      <c r="O214" s="64"/>
      <c r="P214" s="64"/>
      <c r="Q214" s="64"/>
      <c r="R214" s="64"/>
      <c r="S214" s="64"/>
      <c r="T214" s="132">
        <v>20.74</v>
      </c>
      <c r="U214" s="25" t="s">
        <v>110</v>
      </c>
      <c r="V214" s="25"/>
      <c r="W214" s="25"/>
      <c r="X214" s="5"/>
    </row>
    <row r="215" spans="1:24" ht="15.75" x14ac:dyDescent="0.25">
      <c r="A215" s="75"/>
      <c r="B215" s="76" t="s">
        <v>77</v>
      </c>
      <c r="C215" s="77"/>
      <c r="D215" s="77"/>
      <c r="E215" s="77"/>
      <c r="F215" s="77"/>
      <c r="G215" s="64"/>
      <c r="H215" s="64"/>
      <c r="I215" s="64"/>
      <c r="J215" s="64"/>
      <c r="K215" s="64"/>
      <c r="L215" s="64"/>
      <c r="M215" s="64"/>
      <c r="N215" s="64"/>
      <c r="O215" s="64"/>
      <c r="P215" s="64"/>
      <c r="Q215" s="64"/>
      <c r="R215" s="64"/>
      <c r="S215" s="64"/>
      <c r="T215" s="78">
        <v>1.7600000000000001E-2</v>
      </c>
      <c r="U215" s="25"/>
      <c r="V215" s="25"/>
      <c r="W215" s="25"/>
      <c r="X215" s="5"/>
    </row>
    <row r="216" spans="1:24" ht="15.75" x14ac:dyDescent="0.25">
      <c r="A216" s="75"/>
      <c r="B216" s="76" t="s">
        <v>78</v>
      </c>
      <c r="C216" s="77"/>
      <c r="D216" s="77"/>
      <c r="E216" s="77"/>
      <c r="F216" s="77"/>
      <c r="G216" s="64"/>
      <c r="H216" s="64"/>
      <c r="I216" s="64"/>
      <c r="J216" s="64"/>
      <c r="K216" s="64"/>
      <c r="L216" s="64"/>
      <c r="M216" s="64"/>
      <c r="N216" s="64"/>
      <c r="O216" s="64"/>
      <c r="P216" s="64"/>
      <c r="Q216" s="64"/>
      <c r="R216" s="64"/>
      <c r="S216" s="64"/>
      <c r="T216" s="78">
        <v>3.9E-2</v>
      </c>
      <c r="U216" s="25"/>
      <c r="V216" s="25"/>
      <c r="W216" s="25"/>
      <c r="X216" s="5"/>
    </row>
    <row r="217" spans="1:24" ht="15.75" x14ac:dyDescent="0.25">
      <c r="A217" s="75"/>
      <c r="B217" s="76"/>
      <c r="C217" s="76"/>
      <c r="D217" s="76"/>
      <c r="E217" s="76"/>
      <c r="F217" s="76"/>
      <c r="G217" s="25"/>
      <c r="H217" s="25"/>
      <c r="I217" s="25"/>
      <c r="J217" s="25"/>
      <c r="K217" s="25"/>
      <c r="L217" s="25"/>
      <c r="M217" s="25"/>
      <c r="N217" s="25"/>
      <c r="O217" s="25"/>
      <c r="P217" s="25"/>
      <c r="Q217" s="25"/>
      <c r="R217" s="25"/>
      <c r="S217" s="25"/>
      <c r="T217" s="61"/>
      <c r="U217" s="25"/>
      <c r="V217" s="79"/>
      <c r="W217" s="25"/>
      <c r="X217" s="5"/>
    </row>
    <row r="218" spans="1:24" ht="15.75" x14ac:dyDescent="0.25">
      <c r="A218" s="80"/>
      <c r="B218" s="14" t="s">
        <v>79</v>
      </c>
      <c r="C218" s="81"/>
      <c r="D218" s="81"/>
      <c r="E218" s="81"/>
      <c r="F218" s="82"/>
      <c r="G218" s="81"/>
      <c r="H218" s="17"/>
      <c r="I218" s="17"/>
      <c r="J218" s="17"/>
      <c r="K218" s="17"/>
      <c r="L218" s="17"/>
      <c r="M218" s="17"/>
      <c r="N218" s="17"/>
      <c r="O218" s="17"/>
      <c r="P218" s="17"/>
      <c r="Q218" s="17"/>
      <c r="R218" s="17"/>
      <c r="S218" s="17" t="s">
        <v>102</v>
      </c>
      <c r="T218" s="83" t="s">
        <v>108</v>
      </c>
      <c r="U218" s="8"/>
      <c r="V218" s="8"/>
      <c r="W218" s="8"/>
      <c r="X218" s="5"/>
    </row>
    <row r="219" spans="1:24" ht="15.75" x14ac:dyDescent="0.25">
      <c r="A219" s="84"/>
      <c r="B219" s="76" t="s">
        <v>80</v>
      </c>
      <c r="C219" s="54"/>
      <c r="D219" s="54"/>
      <c r="E219" s="54"/>
      <c r="F219" s="25"/>
      <c r="G219" s="25"/>
      <c r="H219" s="30"/>
      <c r="I219" s="30"/>
      <c r="J219" s="30"/>
      <c r="K219" s="30"/>
      <c r="L219" s="30"/>
      <c r="M219" s="30"/>
      <c r="N219" s="30"/>
      <c r="O219" s="30"/>
      <c r="P219" s="30"/>
      <c r="Q219" s="30"/>
      <c r="R219" s="30"/>
      <c r="S219" s="30">
        <v>0</v>
      </c>
      <c r="T219" s="85">
        <v>0</v>
      </c>
      <c r="U219" s="25"/>
      <c r="V219" s="79"/>
      <c r="W219" s="86"/>
      <c r="X219" s="5"/>
    </row>
    <row r="220" spans="1:24" ht="15.75" x14ac:dyDescent="0.25">
      <c r="A220" s="84"/>
      <c r="B220" s="76" t="s">
        <v>145</v>
      </c>
      <c r="C220" s="54"/>
      <c r="D220" s="54"/>
      <c r="E220" s="54"/>
      <c r="F220" s="25"/>
      <c r="G220" s="25"/>
      <c r="H220" s="30"/>
      <c r="I220" s="30"/>
      <c r="J220" s="30"/>
      <c r="K220" s="30"/>
      <c r="L220" s="30"/>
      <c r="M220" s="30"/>
      <c r="N220" s="30"/>
      <c r="O220" s="30"/>
      <c r="P220" s="30"/>
      <c r="Q220" s="30"/>
      <c r="R220" s="30"/>
      <c r="S220" s="148">
        <f>+R260</f>
        <v>2</v>
      </c>
      <c r="T220" s="85">
        <f>+T260</f>
        <v>299</v>
      </c>
      <c r="U220" s="25"/>
      <c r="V220" s="79"/>
      <c r="W220" s="86"/>
      <c r="X220" s="5"/>
    </row>
    <row r="221" spans="1:24" ht="15.75" x14ac:dyDescent="0.25">
      <c r="A221" s="84"/>
      <c r="B221" s="76" t="s">
        <v>81</v>
      </c>
      <c r="C221" s="54"/>
      <c r="D221" s="54"/>
      <c r="E221" s="54"/>
      <c r="F221" s="25"/>
      <c r="G221" s="25"/>
      <c r="H221" s="30"/>
      <c r="I221" s="30"/>
      <c r="J221" s="30"/>
      <c r="K221" s="30"/>
      <c r="L221" s="30"/>
      <c r="M221" s="30"/>
      <c r="N221" s="30"/>
      <c r="O221" s="30"/>
      <c r="P221" s="30"/>
      <c r="Q221" s="30"/>
      <c r="R221" s="30"/>
      <c r="S221" s="30">
        <v>0</v>
      </c>
      <c r="T221" s="85">
        <v>0</v>
      </c>
      <c r="U221" s="25"/>
      <c r="V221" s="79"/>
      <c r="W221" s="86"/>
      <c r="X221" s="5"/>
    </row>
    <row r="222" spans="1:24" ht="15.75" x14ac:dyDescent="0.25">
      <c r="A222" s="84"/>
      <c r="B222" s="122" t="s">
        <v>82</v>
      </c>
      <c r="C222" s="54"/>
      <c r="D222" s="54"/>
      <c r="E222" s="54"/>
      <c r="F222" s="25"/>
      <c r="G222" s="25"/>
      <c r="H222" s="25"/>
      <c r="I222" s="25"/>
      <c r="J222" s="25"/>
      <c r="K222" s="25"/>
      <c r="L222" s="25"/>
      <c r="M222" s="25"/>
      <c r="N222" s="25"/>
      <c r="O222" s="25"/>
      <c r="P222" s="25"/>
      <c r="Q222" s="25"/>
      <c r="R222" s="25"/>
      <c r="S222" s="25"/>
      <c r="T222" s="85">
        <v>0</v>
      </c>
      <c r="U222" s="25"/>
      <c r="V222" s="79"/>
      <c r="W222" s="86"/>
      <c r="X222" s="5"/>
    </row>
    <row r="223" spans="1:24" ht="15.75" x14ac:dyDescent="0.25">
      <c r="A223" s="84"/>
      <c r="B223" s="122" t="s">
        <v>228</v>
      </c>
      <c r="C223" s="54"/>
      <c r="D223" s="54"/>
      <c r="E223" s="54"/>
      <c r="F223" s="25"/>
      <c r="G223" s="25"/>
      <c r="H223" s="25"/>
      <c r="I223" s="25"/>
      <c r="J223" s="25"/>
      <c r="K223" s="25"/>
      <c r="L223" s="25"/>
      <c r="M223" s="25"/>
      <c r="N223" s="25"/>
      <c r="O223" s="25"/>
      <c r="P223" s="25"/>
      <c r="Q223" s="25"/>
      <c r="R223" s="25"/>
      <c r="S223" s="25"/>
      <c r="T223" s="85">
        <f>+N82</f>
        <v>188687</v>
      </c>
      <c r="U223" s="25"/>
      <c r="V223" s="79"/>
      <c r="W223" s="86"/>
      <c r="X223" s="5"/>
    </row>
    <row r="224" spans="1:24" ht="15.75" x14ac:dyDescent="0.25">
      <c r="A224" s="87"/>
      <c r="B224" s="122" t="s">
        <v>83</v>
      </c>
      <c r="C224" s="76"/>
      <c r="D224" s="76"/>
      <c r="E224" s="76"/>
      <c r="F224" s="76"/>
      <c r="G224" s="25"/>
      <c r="H224" s="25"/>
      <c r="I224" s="25"/>
      <c r="J224" s="25"/>
      <c r="K224" s="25"/>
      <c r="L224" s="25"/>
      <c r="M224" s="25"/>
      <c r="N224" s="25"/>
      <c r="O224" s="25"/>
      <c r="P224" s="25"/>
      <c r="Q224" s="25"/>
      <c r="R224" s="25"/>
      <c r="S224" s="25"/>
      <c r="T224" s="85"/>
      <c r="U224" s="25"/>
      <c r="V224" s="79"/>
      <c r="W224" s="88"/>
      <c r="X224" s="5"/>
    </row>
    <row r="225" spans="1:25" ht="15.75" x14ac:dyDescent="0.25">
      <c r="A225" s="87"/>
      <c r="B225" s="130" t="s">
        <v>84</v>
      </c>
      <c r="C225" s="76"/>
      <c r="D225" s="76"/>
      <c r="E225" s="76"/>
      <c r="F225" s="76"/>
      <c r="G225" s="25"/>
      <c r="H225" s="25"/>
      <c r="I225" s="25"/>
      <c r="J225" s="25"/>
      <c r="K225" s="25"/>
      <c r="L225" s="25"/>
      <c r="M225" s="25"/>
      <c r="N225" s="25"/>
      <c r="O225" s="25"/>
      <c r="P225" s="25"/>
      <c r="Q225" s="25"/>
      <c r="R225" s="25"/>
      <c r="S225" s="30"/>
      <c r="T225" s="85">
        <f>V164</f>
        <v>0</v>
      </c>
      <c r="U225" s="25"/>
      <c r="V225" s="79"/>
      <c r="W225" s="88"/>
      <c r="X225" s="5"/>
    </row>
    <row r="226" spans="1:25" ht="15.75" x14ac:dyDescent="0.25">
      <c r="A226" s="84"/>
      <c r="B226" s="76" t="s">
        <v>85</v>
      </c>
      <c r="C226" s="54"/>
      <c r="D226" s="54"/>
      <c r="E226" s="54"/>
      <c r="F226" s="54"/>
      <c r="G226" s="25"/>
      <c r="H226" s="25"/>
      <c r="I226" s="25"/>
      <c r="J226" s="25"/>
      <c r="K226" s="25"/>
      <c r="L226" s="25"/>
      <c r="M226" s="25"/>
      <c r="N226" s="25"/>
      <c r="O226" s="25"/>
      <c r="P226" s="25"/>
      <c r="Q226" s="25"/>
      <c r="R226" s="25"/>
      <c r="S226" s="30"/>
      <c r="T226" s="85">
        <f>+T225</f>
        <v>0</v>
      </c>
      <c r="U226" s="25"/>
      <c r="V226" s="79"/>
      <c r="W226" s="88"/>
      <c r="X226" s="5"/>
    </row>
    <row r="227" spans="1:25" ht="15.75" x14ac:dyDescent="0.25">
      <c r="A227" s="87"/>
      <c r="B227" s="122" t="s">
        <v>285</v>
      </c>
      <c r="C227" s="76"/>
      <c r="D227" s="76"/>
      <c r="E227" s="76"/>
      <c r="F227" s="76"/>
      <c r="G227" s="25"/>
      <c r="H227" s="25"/>
      <c r="I227" s="25"/>
      <c r="J227" s="25"/>
      <c r="K227" s="25"/>
      <c r="L227" s="25"/>
      <c r="M227" s="25"/>
      <c r="N227" s="25"/>
      <c r="O227" s="25"/>
      <c r="P227" s="25"/>
      <c r="Q227" s="25"/>
      <c r="R227" s="25"/>
      <c r="S227" s="30"/>
      <c r="T227" s="85"/>
      <c r="U227" s="25"/>
      <c r="V227" s="79"/>
      <c r="W227" s="88"/>
      <c r="X227" s="5"/>
    </row>
    <row r="228" spans="1:25" ht="15.75" x14ac:dyDescent="0.25">
      <c r="A228" s="87"/>
      <c r="B228" s="76" t="s">
        <v>282</v>
      </c>
      <c r="C228" s="76"/>
      <c r="D228" s="76"/>
      <c r="E228" s="76"/>
      <c r="F228" s="76"/>
      <c r="G228" s="25"/>
      <c r="H228" s="25"/>
      <c r="I228" s="25"/>
      <c r="J228" s="25"/>
      <c r="K228" s="25"/>
      <c r="L228" s="25"/>
      <c r="M228" s="25"/>
      <c r="N228" s="25"/>
      <c r="O228" s="25"/>
      <c r="P228" s="25"/>
      <c r="Q228" s="25"/>
      <c r="R228" s="25"/>
      <c r="S228" s="30">
        <v>0</v>
      </c>
      <c r="T228" s="85">
        <v>0</v>
      </c>
      <c r="U228" s="25"/>
      <c r="V228" s="79"/>
      <c r="W228" s="88"/>
      <c r="X228" s="5"/>
    </row>
    <row r="229" spans="1:25" ht="15.75" x14ac:dyDescent="0.25">
      <c r="A229" s="84"/>
      <c r="B229" s="76" t="s">
        <v>86</v>
      </c>
      <c r="C229" s="89"/>
      <c r="D229" s="89"/>
      <c r="E229" s="89"/>
      <c r="F229" s="90"/>
      <c r="G229" s="25"/>
      <c r="H229" s="25"/>
      <c r="I229" s="25"/>
      <c r="J229" s="25"/>
      <c r="K229" s="25"/>
      <c r="L229" s="25"/>
      <c r="M229" s="25"/>
      <c r="N229" s="25"/>
      <c r="O229" s="25"/>
      <c r="P229" s="25"/>
      <c r="Q229" s="25"/>
      <c r="R229" s="25"/>
      <c r="S229" s="25"/>
      <c r="T229" s="62">
        <v>0</v>
      </c>
      <c r="U229" s="25"/>
      <c r="V229" s="79"/>
      <c r="W229" s="88"/>
      <c r="X229" s="5"/>
    </row>
    <row r="230" spans="1:25" ht="15.75" x14ac:dyDescent="0.25">
      <c r="A230" s="84"/>
      <c r="B230" s="76" t="s">
        <v>87</v>
      </c>
      <c r="C230" s="89"/>
      <c r="D230" s="89"/>
      <c r="E230" s="89"/>
      <c r="F230" s="90"/>
      <c r="G230" s="25"/>
      <c r="H230" s="25"/>
      <c r="I230" s="25"/>
      <c r="J230" s="25"/>
      <c r="K230" s="25"/>
      <c r="L230" s="25"/>
      <c r="M230" s="25"/>
      <c r="N230" s="25"/>
      <c r="O230" s="25"/>
      <c r="P230" s="25"/>
      <c r="Q230" s="25"/>
      <c r="R230" s="25"/>
      <c r="S230" s="25"/>
      <c r="T230" s="62">
        <v>0</v>
      </c>
      <c r="U230" s="25"/>
      <c r="V230" s="79"/>
      <c r="W230" s="88"/>
      <c r="X230" s="5"/>
    </row>
    <row r="231" spans="1:25" ht="15.75" x14ac:dyDescent="0.25">
      <c r="A231" s="84"/>
      <c r="B231" s="122" t="s">
        <v>216</v>
      </c>
      <c r="C231" s="89"/>
      <c r="D231" s="89"/>
      <c r="E231" s="89"/>
      <c r="F231" s="90"/>
      <c r="G231" s="25"/>
      <c r="H231" s="25"/>
      <c r="I231" s="25"/>
      <c r="J231" s="25"/>
      <c r="K231" s="25"/>
      <c r="L231" s="25"/>
      <c r="M231" s="25"/>
      <c r="N231" s="25"/>
      <c r="O231" s="25"/>
      <c r="P231" s="25"/>
      <c r="Q231" s="25"/>
      <c r="R231" s="25"/>
      <c r="S231" s="25"/>
      <c r="T231" s="91"/>
      <c r="U231" s="25"/>
      <c r="V231" s="79"/>
      <c r="W231" s="88"/>
      <c r="X231" s="5"/>
    </row>
    <row r="232" spans="1:25" ht="15.75" x14ac:dyDescent="0.25">
      <c r="A232" s="84"/>
      <c r="B232" s="76" t="s">
        <v>282</v>
      </c>
      <c r="C232" s="89"/>
      <c r="D232" s="89"/>
      <c r="E232" s="89"/>
      <c r="F232" s="90"/>
      <c r="G232" s="25"/>
      <c r="H232" s="25"/>
      <c r="I232" s="25"/>
      <c r="J232" s="25"/>
      <c r="K232" s="25"/>
      <c r="L232" s="25"/>
      <c r="M232" s="25"/>
      <c r="N232" s="25"/>
      <c r="O232" s="25"/>
      <c r="P232" s="25"/>
      <c r="Q232" s="25"/>
      <c r="R232" s="25"/>
      <c r="S232" s="30">
        <v>0</v>
      </c>
      <c r="T232" s="85">
        <v>0</v>
      </c>
      <c r="U232" s="25"/>
      <c r="V232" s="79"/>
      <c r="W232" s="88"/>
      <c r="X232" s="5"/>
    </row>
    <row r="233" spans="1:25" ht="15.75" x14ac:dyDescent="0.25">
      <c r="A233" s="84"/>
      <c r="B233" s="76" t="s">
        <v>217</v>
      </c>
      <c r="C233" s="89"/>
      <c r="D233" s="89"/>
      <c r="E233" s="89"/>
      <c r="F233" s="90"/>
      <c r="G233" s="25"/>
      <c r="H233" s="25"/>
      <c r="I233" s="25"/>
      <c r="J233" s="25"/>
      <c r="K233" s="25"/>
      <c r="L233" s="25"/>
      <c r="M233" s="25"/>
      <c r="N233" s="25"/>
      <c r="O233" s="25"/>
      <c r="P233" s="25"/>
      <c r="Q233" s="25"/>
      <c r="R233" s="25"/>
      <c r="S233" s="25"/>
      <c r="T233" s="62">
        <v>0</v>
      </c>
      <c r="U233" s="25"/>
      <c r="V233" s="79"/>
      <c r="W233" s="88"/>
      <c r="X233" s="5"/>
    </row>
    <row r="234" spans="1:25" ht="15.75" x14ac:dyDescent="0.25">
      <c r="A234" s="84"/>
      <c r="B234" s="76"/>
      <c r="C234" s="89"/>
      <c r="D234" s="89"/>
      <c r="E234" s="89"/>
      <c r="F234" s="90"/>
      <c r="G234" s="25"/>
      <c r="H234" s="25"/>
      <c r="I234" s="25"/>
      <c r="J234" s="25"/>
      <c r="K234" s="25"/>
      <c r="L234" s="25"/>
      <c r="M234" s="25"/>
      <c r="N234" s="25"/>
      <c r="O234" s="25"/>
      <c r="P234" s="25"/>
      <c r="Q234" s="25"/>
      <c r="R234" s="25"/>
      <c r="S234" s="25"/>
      <c r="T234" s="91"/>
      <c r="U234" s="25"/>
      <c r="V234" s="79"/>
      <c r="W234" s="88"/>
      <c r="X234" s="5"/>
    </row>
    <row r="235" spans="1:25" ht="15.75" x14ac:dyDescent="0.25">
      <c r="A235" s="84"/>
      <c r="B235" s="76"/>
      <c r="C235" s="89"/>
      <c r="D235" s="89"/>
      <c r="E235" s="89"/>
      <c r="F235" s="90"/>
      <c r="G235" s="25"/>
      <c r="H235" s="25"/>
      <c r="I235" s="25"/>
      <c r="J235" s="25"/>
      <c r="K235" s="25"/>
      <c r="L235" s="25"/>
      <c r="M235" s="25"/>
      <c r="N235" s="25"/>
      <c r="O235" s="25"/>
      <c r="P235" s="25"/>
      <c r="Q235" s="25"/>
      <c r="R235" s="25"/>
      <c r="S235" s="25"/>
      <c r="T235" s="91"/>
      <c r="U235" s="25"/>
      <c r="V235" s="79"/>
      <c r="W235" s="88"/>
      <c r="X235" s="5"/>
    </row>
    <row r="236" spans="1:25" ht="18.75" x14ac:dyDescent="0.3">
      <c r="A236" s="84"/>
      <c r="B236" s="146" t="s">
        <v>168</v>
      </c>
      <c r="C236" s="89"/>
      <c r="D236" s="89"/>
      <c r="E236" s="89"/>
      <c r="F236" s="90"/>
      <c r="G236" s="25"/>
      <c r="H236" s="25"/>
      <c r="I236" s="25"/>
      <c r="J236" s="25"/>
      <c r="K236" s="25"/>
      <c r="L236" s="25"/>
      <c r="M236" s="25"/>
      <c r="N236" s="25"/>
      <c r="O236" s="25"/>
      <c r="P236" s="147" t="s">
        <v>167</v>
      </c>
      <c r="Q236" s="25"/>
      <c r="R236" s="25"/>
      <c r="S236" s="25"/>
      <c r="T236" s="91"/>
      <c r="U236" s="25"/>
      <c r="V236" s="79"/>
      <c r="W236" s="88"/>
      <c r="X236" s="5"/>
    </row>
    <row r="237" spans="1:25" ht="15.75" x14ac:dyDescent="0.25">
      <c r="A237" s="84"/>
      <c r="B237" s="76"/>
      <c r="C237" s="89"/>
      <c r="D237" s="89"/>
      <c r="E237" s="89"/>
      <c r="F237" s="90"/>
      <c r="G237" s="25"/>
      <c r="H237" s="25"/>
      <c r="I237" s="25"/>
      <c r="J237" s="25"/>
      <c r="K237" s="25"/>
      <c r="L237" s="25"/>
      <c r="M237" s="25"/>
      <c r="N237" s="25"/>
      <c r="O237" s="25"/>
      <c r="P237" s="25"/>
      <c r="Q237" s="25"/>
      <c r="R237" s="25"/>
      <c r="S237" s="25"/>
      <c r="T237" s="91"/>
      <c r="U237" s="25"/>
      <c r="V237" s="79"/>
      <c r="W237" s="88"/>
      <c r="X237" s="5"/>
    </row>
    <row r="238" spans="1:25" ht="15.75" x14ac:dyDescent="0.25">
      <c r="A238" s="6"/>
      <c r="B238" s="14" t="s">
        <v>162</v>
      </c>
      <c r="C238" s="81"/>
      <c r="D238" s="81"/>
      <c r="E238" s="81"/>
      <c r="F238" s="82"/>
      <c r="G238" s="81"/>
      <c r="H238" s="17"/>
      <c r="I238" s="17"/>
      <c r="J238" s="17"/>
      <c r="K238" s="17"/>
      <c r="L238" s="17"/>
      <c r="M238" s="17"/>
      <c r="N238" s="17"/>
      <c r="O238" s="17"/>
      <c r="P238" s="17"/>
      <c r="Q238" s="17"/>
      <c r="R238" s="83" t="s">
        <v>102</v>
      </c>
      <c r="S238" s="17" t="s">
        <v>103</v>
      </c>
      <c r="T238" s="83" t="s">
        <v>109</v>
      </c>
      <c r="U238" s="17" t="s">
        <v>103</v>
      </c>
      <c r="V238" s="8"/>
      <c r="W238" s="92"/>
      <c r="X238" s="5"/>
    </row>
    <row r="239" spans="1:25" ht="15.75" x14ac:dyDescent="0.25">
      <c r="A239" s="24"/>
      <c r="B239" s="54" t="s">
        <v>88</v>
      </c>
      <c r="C239" s="93"/>
      <c r="D239" s="93"/>
      <c r="E239" s="93"/>
      <c r="F239" s="25"/>
      <c r="G239" s="93"/>
      <c r="H239" s="93"/>
      <c r="I239" s="93"/>
      <c r="J239" s="93"/>
      <c r="K239" s="93"/>
      <c r="L239" s="93"/>
      <c r="M239" s="93"/>
      <c r="N239" s="93"/>
      <c r="O239" s="93"/>
      <c r="P239" s="93"/>
      <c r="Q239" s="93"/>
      <c r="R239" s="54">
        <v>6759</v>
      </c>
      <c r="S239" s="94">
        <f t="shared" ref="S239:S246" si="1">R239/$R$248</f>
        <v>0.9971968132192387</v>
      </c>
      <c r="T239" s="53">
        <v>986883</v>
      </c>
      <c r="U239" s="131">
        <f t="shared" ref="U239:U246" si="2">T239/$T$248</f>
        <v>0.99760223602610043</v>
      </c>
      <c r="V239" s="79"/>
      <c r="W239" s="88"/>
      <c r="X239" s="5"/>
    </row>
    <row r="240" spans="1:25" ht="15.75" x14ac:dyDescent="0.25">
      <c r="A240" s="24"/>
      <c r="B240" s="54" t="s">
        <v>89</v>
      </c>
      <c r="C240" s="93"/>
      <c r="D240" s="93"/>
      <c r="E240" s="93"/>
      <c r="F240" s="25"/>
      <c r="G240" s="94"/>
      <c r="H240" s="93"/>
      <c r="I240" s="93"/>
      <c r="J240" s="93"/>
      <c r="K240" s="93"/>
      <c r="L240" s="93"/>
      <c r="M240" s="93"/>
      <c r="N240" s="93"/>
      <c r="O240" s="93"/>
      <c r="P240" s="93"/>
      <c r="Q240" s="93"/>
      <c r="R240" s="54">
        <v>10</v>
      </c>
      <c r="S240" s="94">
        <f t="shared" si="1"/>
        <v>1.4753614635585719E-3</v>
      </c>
      <c r="T240" s="53">
        <v>1066</v>
      </c>
      <c r="U240" s="131">
        <f t="shared" si="2"/>
        <v>1.0775785818621085E-3</v>
      </c>
      <c r="V240" s="79"/>
      <c r="W240" s="88"/>
      <c r="X240" s="5"/>
      <c r="Y240" s="109"/>
    </row>
    <row r="241" spans="1:25" ht="15.75" x14ac:dyDescent="0.25">
      <c r="A241" s="24"/>
      <c r="B241" s="54" t="s">
        <v>90</v>
      </c>
      <c r="C241" s="93"/>
      <c r="D241" s="93"/>
      <c r="E241" s="93"/>
      <c r="F241" s="25"/>
      <c r="G241" s="94"/>
      <c r="H241" s="93"/>
      <c r="I241" s="93"/>
      <c r="J241" s="93"/>
      <c r="K241" s="93"/>
      <c r="L241" s="93"/>
      <c r="M241" s="93"/>
      <c r="N241" s="93"/>
      <c r="O241" s="93"/>
      <c r="P241" s="93"/>
      <c r="Q241" s="93"/>
      <c r="R241" s="54">
        <v>6</v>
      </c>
      <c r="S241" s="94">
        <f t="shared" si="1"/>
        <v>8.8521687813514314E-4</v>
      </c>
      <c r="T241" s="53">
        <v>825</v>
      </c>
      <c r="U241" s="131">
        <f t="shared" si="2"/>
        <v>8.339609099777105E-4</v>
      </c>
      <c r="V241" s="79"/>
      <c r="W241" s="88"/>
      <c r="X241" s="5"/>
    </row>
    <row r="242" spans="1:25" ht="15.75" x14ac:dyDescent="0.25">
      <c r="A242" s="24"/>
      <c r="B242" s="54" t="s">
        <v>156</v>
      </c>
      <c r="C242" s="93"/>
      <c r="D242" s="93"/>
      <c r="E242" s="93"/>
      <c r="F242" s="25"/>
      <c r="G242" s="94"/>
      <c r="H242" s="93"/>
      <c r="I242" s="93"/>
      <c r="J242" s="93"/>
      <c r="K242" s="93"/>
      <c r="L242" s="93"/>
      <c r="M242" s="93"/>
      <c r="N242" s="93"/>
      <c r="O242" s="93"/>
      <c r="P242" s="93"/>
      <c r="Q242" s="93"/>
      <c r="R242" s="54">
        <v>2</v>
      </c>
      <c r="S242" s="94">
        <f t="shared" si="1"/>
        <v>2.9507229271171436E-4</v>
      </c>
      <c r="T242" s="53">
        <v>395</v>
      </c>
      <c r="U242" s="131">
        <f t="shared" si="2"/>
        <v>3.9929037508023717E-4</v>
      </c>
      <c r="V242" s="79"/>
      <c r="W242" s="88"/>
      <c r="X242" s="5"/>
      <c r="Y242" s="109"/>
    </row>
    <row r="243" spans="1:25" ht="15.75" x14ac:dyDescent="0.25">
      <c r="A243" s="24"/>
      <c r="B243" s="54" t="s">
        <v>157</v>
      </c>
      <c r="C243" s="93"/>
      <c r="D243" s="93"/>
      <c r="E243" s="93"/>
      <c r="F243" s="25"/>
      <c r="G243" s="94"/>
      <c r="H243" s="93"/>
      <c r="I243" s="93"/>
      <c r="J243" s="93"/>
      <c r="K243" s="93"/>
      <c r="L243" s="93"/>
      <c r="M243" s="93"/>
      <c r="N243" s="93"/>
      <c r="O243" s="93"/>
      <c r="P243" s="93"/>
      <c r="Q243" s="93"/>
      <c r="R243" s="54">
        <v>1</v>
      </c>
      <c r="S243" s="94">
        <f t="shared" si="1"/>
        <v>1.4753614635585718E-4</v>
      </c>
      <c r="T243" s="53">
        <v>86</v>
      </c>
      <c r="U243" s="131">
        <f t="shared" si="2"/>
        <v>8.6934106979494671E-5</v>
      </c>
      <c r="V243" s="79"/>
      <c r="W243" s="88"/>
      <c r="X243" s="5"/>
    </row>
    <row r="244" spans="1:25" ht="15.75" x14ac:dyDescent="0.25">
      <c r="A244" s="24"/>
      <c r="B244" s="54" t="s">
        <v>158</v>
      </c>
      <c r="C244" s="93"/>
      <c r="D244" s="93"/>
      <c r="E244" s="93"/>
      <c r="F244" s="25"/>
      <c r="G244" s="94"/>
      <c r="H244" s="93"/>
      <c r="I244" s="93"/>
      <c r="J244" s="93"/>
      <c r="K244" s="93"/>
      <c r="L244" s="93"/>
      <c r="M244" s="93"/>
      <c r="N244" s="93"/>
      <c r="O244" s="93"/>
      <c r="P244" s="93"/>
      <c r="Q244" s="93"/>
      <c r="R244" s="54">
        <v>0</v>
      </c>
      <c r="S244" s="94">
        <f t="shared" si="1"/>
        <v>0</v>
      </c>
      <c r="T244" s="53">
        <v>0</v>
      </c>
      <c r="U244" s="131">
        <f t="shared" si="2"/>
        <v>0</v>
      </c>
      <c r="V244" s="79"/>
      <c r="W244" s="88"/>
      <c r="X244" s="5"/>
      <c r="Y244" s="109"/>
    </row>
    <row r="245" spans="1:25" ht="15.75" x14ac:dyDescent="0.25">
      <c r="A245" s="24"/>
      <c r="B245" s="54" t="s">
        <v>159</v>
      </c>
      <c r="C245" s="93"/>
      <c r="D245" s="93"/>
      <c r="E245" s="93"/>
      <c r="F245" s="25"/>
      <c r="G245" s="94"/>
      <c r="H245" s="93"/>
      <c r="I245" s="93"/>
      <c r="J245" s="93"/>
      <c r="K245" s="93"/>
      <c r="L245" s="93"/>
      <c r="M245" s="93"/>
      <c r="N245" s="93"/>
      <c r="O245" s="93"/>
      <c r="P245" s="93"/>
      <c r="Q245" s="93"/>
      <c r="R245" s="54">
        <v>0</v>
      </c>
      <c r="S245" s="94">
        <f t="shared" si="1"/>
        <v>0</v>
      </c>
      <c r="T245" s="53">
        <v>0</v>
      </c>
      <c r="U245" s="131">
        <f t="shared" si="2"/>
        <v>0</v>
      </c>
      <c r="V245" s="79"/>
      <c r="W245" s="88"/>
      <c r="X245" s="5"/>
    </row>
    <row r="246" spans="1:25" ht="15.75" x14ac:dyDescent="0.25">
      <c r="A246" s="24"/>
      <c r="B246" s="54" t="s">
        <v>160</v>
      </c>
      <c r="C246" s="93"/>
      <c r="D246" s="93"/>
      <c r="E246" s="93"/>
      <c r="F246" s="25"/>
      <c r="G246" s="94"/>
      <c r="H246" s="93"/>
      <c r="I246" s="93"/>
      <c r="J246" s="93"/>
      <c r="K246" s="93"/>
      <c r="L246" s="93"/>
      <c r="M246" s="93"/>
      <c r="N246" s="93"/>
      <c r="O246" s="93"/>
      <c r="P246" s="93"/>
      <c r="Q246" s="93"/>
      <c r="R246" s="54">
        <v>0</v>
      </c>
      <c r="S246" s="94">
        <f t="shared" si="1"/>
        <v>0</v>
      </c>
      <c r="T246" s="53">
        <v>0</v>
      </c>
      <c r="U246" s="131">
        <f t="shared" si="2"/>
        <v>0</v>
      </c>
      <c r="V246" s="79"/>
      <c r="W246" s="88"/>
      <c r="X246" s="5"/>
      <c r="Y246" s="109"/>
    </row>
    <row r="247" spans="1:25" ht="15.75" x14ac:dyDescent="0.25">
      <c r="A247" s="24"/>
      <c r="B247" s="54"/>
      <c r="C247" s="93"/>
      <c r="D247" s="93"/>
      <c r="E247" s="93"/>
      <c r="F247" s="25"/>
      <c r="G247" s="94"/>
      <c r="H247" s="93"/>
      <c r="I247" s="93"/>
      <c r="J247" s="93"/>
      <c r="K247" s="93"/>
      <c r="L247" s="93"/>
      <c r="M247" s="93"/>
      <c r="N247" s="93"/>
      <c r="O247" s="93"/>
      <c r="P247" s="93"/>
      <c r="Q247" s="93"/>
      <c r="R247" s="54"/>
      <c r="S247" s="94"/>
      <c r="T247" s="53"/>
      <c r="U247" s="131"/>
      <c r="V247" s="79"/>
      <c r="W247" s="88"/>
      <c r="X247" s="5"/>
    </row>
    <row r="248" spans="1:25" ht="15.75" x14ac:dyDescent="0.25">
      <c r="A248" s="24"/>
      <c r="B248" s="25"/>
      <c r="C248" s="25"/>
      <c r="D248" s="25"/>
      <c r="E248" s="25"/>
      <c r="F248" s="25"/>
      <c r="G248" s="25"/>
      <c r="H248" s="95"/>
      <c r="I248" s="95"/>
      <c r="J248" s="95"/>
      <c r="K248" s="95"/>
      <c r="L248" s="95"/>
      <c r="M248" s="95"/>
      <c r="N248" s="95"/>
      <c r="O248" s="95"/>
      <c r="P248" s="95"/>
      <c r="Q248" s="95"/>
      <c r="R248" s="34">
        <f>SUM(R239:R247)</f>
        <v>6778</v>
      </c>
      <c r="S248" s="131">
        <f>SUM(S239:S247)</f>
        <v>1</v>
      </c>
      <c r="T248" s="53">
        <f>SUM(T239:T247)</f>
        <v>989255</v>
      </c>
      <c r="U248" s="131">
        <f>SUM(U239:U247)</f>
        <v>0.99999999999999989</v>
      </c>
      <c r="V248" s="25"/>
      <c r="W248" s="25"/>
      <c r="X248" s="5"/>
    </row>
    <row r="249" spans="1:25" ht="15.75" x14ac:dyDescent="0.25">
      <c r="A249" s="24"/>
      <c r="B249" s="25"/>
      <c r="C249" s="25"/>
      <c r="D249" s="25"/>
      <c r="E249" s="25"/>
      <c r="F249" s="25"/>
      <c r="G249" s="25"/>
      <c r="H249" s="95"/>
      <c r="I249" s="95"/>
      <c r="J249" s="95"/>
      <c r="K249" s="95"/>
      <c r="L249" s="95"/>
      <c r="M249" s="95"/>
      <c r="N249" s="95"/>
      <c r="O249" s="95"/>
      <c r="P249" s="95"/>
      <c r="Q249" s="95"/>
      <c r="R249" s="34"/>
      <c r="S249" s="131"/>
      <c r="T249" s="53"/>
      <c r="U249" s="131"/>
      <c r="V249" s="25"/>
      <c r="W249" s="25"/>
      <c r="X249" s="5"/>
    </row>
    <row r="250" spans="1:25" ht="15.75" x14ac:dyDescent="0.25">
      <c r="A250" s="138"/>
      <c r="B250" s="14" t="s">
        <v>236</v>
      </c>
      <c r="C250" s="81"/>
      <c r="D250" s="81"/>
      <c r="E250" s="81"/>
      <c r="F250" s="82"/>
      <c r="G250" s="81"/>
      <c r="H250" s="17"/>
      <c r="I250" s="17"/>
      <c r="J250" s="17"/>
      <c r="K250" s="17"/>
      <c r="L250" s="17"/>
      <c r="M250" s="17"/>
      <c r="N250" s="17"/>
      <c r="O250" s="17"/>
      <c r="P250" s="17"/>
      <c r="Q250" s="17"/>
      <c r="R250" s="83" t="s">
        <v>102</v>
      </c>
      <c r="S250" s="17" t="s">
        <v>103</v>
      </c>
      <c r="T250" s="83" t="s">
        <v>109</v>
      </c>
      <c r="U250" s="17" t="s">
        <v>103</v>
      </c>
      <c r="V250" s="136"/>
      <c r="W250" s="137"/>
      <c r="X250" s="5"/>
    </row>
    <row r="251" spans="1:25" ht="15.75" x14ac:dyDescent="0.25">
      <c r="A251" s="24"/>
      <c r="B251" s="54" t="s">
        <v>88</v>
      </c>
      <c r="C251" s="93"/>
      <c r="D251" s="93"/>
      <c r="E251" s="93"/>
      <c r="F251" s="25"/>
      <c r="G251" s="93"/>
      <c r="H251" s="93"/>
      <c r="I251" s="93"/>
      <c r="J251" s="93"/>
      <c r="K251" s="93"/>
      <c r="L251" s="93"/>
      <c r="M251" s="93"/>
      <c r="N251" s="93"/>
      <c r="O251" s="93"/>
      <c r="P251" s="93"/>
      <c r="Q251" s="93"/>
      <c r="R251" s="54">
        <v>1</v>
      </c>
      <c r="S251" s="94">
        <f t="shared" ref="S251:S258" si="3">R251/$R$260</f>
        <v>0.5</v>
      </c>
      <c r="T251" s="53">
        <v>117</v>
      </c>
      <c r="U251" s="131">
        <f t="shared" ref="U251:U258" si="4">T251/$T$260</f>
        <v>0.39130434782608697</v>
      </c>
      <c r="V251" s="25"/>
      <c r="W251" s="25"/>
      <c r="X251" s="5"/>
    </row>
    <row r="252" spans="1:25" ht="15.75" x14ac:dyDescent="0.25">
      <c r="A252" s="24"/>
      <c r="B252" s="54" t="s">
        <v>89</v>
      </c>
      <c r="C252" s="93"/>
      <c r="D252" s="93"/>
      <c r="E252" s="93"/>
      <c r="F252" s="25"/>
      <c r="G252" s="94"/>
      <c r="H252" s="93"/>
      <c r="I252" s="93"/>
      <c r="J252" s="93"/>
      <c r="K252" s="93"/>
      <c r="L252" s="93"/>
      <c r="M252" s="93"/>
      <c r="N252" s="93"/>
      <c r="O252" s="93"/>
      <c r="P252" s="93"/>
      <c r="Q252" s="93"/>
      <c r="R252" s="54">
        <v>0</v>
      </c>
      <c r="S252" s="94">
        <f t="shared" si="3"/>
        <v>0</v>
      </c>
      <c r="T252" s="53">
        <v>0</v>
      </c>
      <c r="U252" s="131">
        <f t="shared" si="4"/>
        <v>0</v>
      </c>
      <c r="V252" s="25"/>
      <c r="W252" s="25"/>
      <c r="X252" s="5"/>
    </row>
    <row r="253" spans="1:25" ht="15.75" x14ac:dyDescent="0.25">
      <c r="A253" s="24"/>
      <c r="B253" s="54" t="s">
        <v>90</v>
      </c>
      <c r="C253" s="93"/>
      <c r="D253" s="93"/>
      <c r="E253" s="93"/>
      <c r="F253" s="25"/>
      <c r="G253" s="94"/>
      <c r="H253" s="93"/>
      <c r="I253" s="93"/>
      <c r="J253" s="93"/>
      <c r="K253" s="93"/>
      <c r="L253" s="93"/>
      <c r="M253" s="93"/>
      <c r="N253" s="93"/>
      <c r="O253" s="93"/>
      <c r="P253" s="93"/>
      <c r="Q253" s="93"/>
      <c r="R253" s="54">
        <v>0</v>
      </c>
      <c r="S253" s="94">
        <f t="shared" si="3"/>
        <v>0</v>
      </c>
      <c r="T253" s="53">
        <v>0</v>
      </c>
      <c r="U253" s="131">
        <f t="shared" si="4"/>
        <v>0</v>
      </c>
      <c r="V253" s="25"/>
      <c r="W253" s="25"/>
      <c r="X253" s="5"/>
    </row>
    <row r="254" spans="1:25" ht="15.75" x14ac:dyDescent="0.25">
      <c r="A254" s="24"/>
      <c r="B254" s="54" t="s">
        <v>156</v>
      </c>
      <c r="C254" s="93"/>
      <c r="D254" s="93"/>
      <c r="E254" s="93"/>
      <c r="F254" s="25"/>
      <c r="G254" s="94"/>
      <c r="H254" s="93"/>
      <c r="I254" s="93"/>
      <c r="J254" s="93"/>
      <c r="K254" s="93"/>
      <c r="L254" s="93"/>
      <c r="M254" s="93"/>
      <c r="N254" s="93"/>
      <c r="O254" s="93"/>
      <c r="P254" s="93"/>
      <c r="Q254" s="93"/>
      <c r="R254" s="54">
        <v>0</v>
      </c>
      <c r="S254" s="94">
        <f t="shared" si="3"/>
        <v>0</v>
      </c>
      <c r="T254" s="53">
        <v>0</v>
      </c>
      <c r="U254" s="131">
        <f t="shared" si="4"/>
        <v>0</v>
      </c>
      <c r="V254" s="25"/>
      <c r="W254" s="25"/>
      <c r="X254" s="5"/>
    </row>
    <row r="255" spans="1:25" ht="15.75" x14ac:dyDescent="0.25">
      <c r="A255" s="24"/>
      <c r="B255" s="54" t="s">
        <v>157</v>
      </c>
      <c r="C255" s="93"/>
      <c r="D255" s="93"/>
      <c r="E255" s="93"/>
      <c r="F255" s="25"/>
      <c r="G255" s="94"/>
      <c r="H255" s="93"/>
      <c r="I255" s="93"/>
      <c r="J255" s="93"/>
      <c r="K255" s="93"/>
      <c r="L255" s="93"/>
      <c r="M255" s="93"/>
      <c r="N255" s="93"/>
      <c r="O255" s="93"/>
      <c r="P255" s="93"/>
      <c r="Q255" s="93"/>
      <c r="R255" s="54">
        <v>0</v>
      </c>
      <c r="S255" s="94">
        <f t="shared" si="3"/>
        <v>0</v>
      </c>
      <c r="T255" s="53">
        <v>0</v>
      </c>
      <c r="U255" s="131">
        <f t="shared" si="4"/>
        <v>0</v>
      </c>
      <c r="V255" s="25"/>
      <c r="W255" s="25"/>
      <c r="X255" s="5"/>
    </row>
    <row r="256" spans="1:25" ht="15.75" x14ac:dyDescent="0.25">
      <c r="A256" s="24"/>
      <c r="B256" s="54" t="s">
        <v>158</v>
      </c>
      <c r="C256" s="93"/>
      <c r="D256" s="93"/>
      <c r="E256" s="93"/>
      <c r="F256" s="25"/>
      <c r="G256" s="94"/>
      <c r="H256" s="93"/>
      <c r="I256" s="93"/>
      <c r="J256" s="93"/>
      <c r="K256" s="93"/>
      <c r="L256" s="93"/>
      <c r="M256" s="93"/>
      <c r="N256" s="93"/>
      <c r="O256" s="93"/>
      <c r="P256" s="93"/>
      <c r="Q256" s="93"/>
      <c r="R256" s="54">
        <v>0</v>
      </c>
      <c r="S256" s="94">
        <f t="shared" si="3"/>
        <v>0</v>
      </c>
      <c r="T256" s="53">
        <v>0</v>
      </c>
      <c r="U256" s="131">
        <f t="shared" si="4"/>
        <v>0</v>
      </c>
      <c r="V256" s="25"/>
      <c r="W256" s="25"/>
      <c r="X256" s="5"/>
    </row>
    <row r="257" spans="1:24" ht="15.75" x14ac:dyDescent="0.25">
      <c r="A257" s="24"/>
      <c r="B257" s="54" t="s">
        <v>159</v>
      </c>
      <c r="C257" s="93"/>
      <c r="D257" s="93"/>
      <c r="E257" s="93"/>
      <c r="F257" s="25"/>
      <c r="G257" s="94"/>
      <c r="H257" s="93"/>
      <c r="I257" s="93"/>
      <c r="J257" s="93"/>
      <c r="K257" s="93"/>
      <c r="L257" s="93"/>
      <c r="M257" s="93"/>
      <c r="N257" s="93"/>
      <c r="O257" s="93"/>
      <c r="P257" s="93"/>
      <c r="Q257" s="93"/>
      <c r="R257" s="54">
        <v>1</v>
      </c>
      <c r="S257" s="94">
        <f t="shared" si="3"/>
        <v>0.5</v>
      </c>
      <c r="T257" s="53">
        <v>182</v>
      </c>
      <c r="U257" s="131">
        <f t="shared" si="4"/>
        <v>0.60869565217391308</v>
      </c>
      <c r="V257" s="25"/>
      <c r="W257" s="25"/>
      <c r="X257" s="5"/>
    </row>
    <row r="258" spans="1:24" ht="15.75" x14ac:dyDescent="0.25">
      <c r="A258" s="24"/>
      <c r="B258" s="54" t="s">
        <v>160</v>
      </c>
      <c r="C258" s="93"/>
      <c r="D258" s="93"/>
      <c r="E258" s="93"/>
      <c r="F258" s="25"/>
      <c r="G258" s="94"/>
      <c r="H258" s="93"/>
      <c r="I258" s="93"/>
      <c r="J258" s="93"/>
      <c r="K258" s="93"/>
      <c r="L258" s="93"/>
      <c r="M258" s="93"/>
      <c r="N258" s="93"/>
      <c r="O258" s="93"/>
      <c r="P258" s="93"/>
      <c r="Q258" s="93"/>
      <c r="R258" s="54">
        <v>0</v>
      </c>
      <c r="S258" s="94">
        <f t="shared" si="3"/>
        <v>0</v>
      </c>
      <c r="T258" s="53">
        <v>0</v>
      </c>
      <c r="U258" s="131">
        <f t="shared" si="4"/>
        <v>0</v>
      </c>
      <c r="V258" s="25"/>
      <c r="W258" s="25"/>
      <c r="X258" s="5"/>
    </row>
    <row r="259" spans="1:24" ht="15.75" x14ac:dyDescent="0.25">
      <c r="A259" s="24"/>
      <c r="B259" s="54"/>
      <c r="C259" s="93"/>
      <c r="D259" s="93"/>
      <c r="E259" s="93"/>
      <c r="F259" s="25"/>
      <c r="G259" s="94"/>
      <c r="H259" s="93"/>
      <c r="I259" s="93"/>
      <c r="J259" s="93"/>
      <c r="K259" s="93"/>
      <c r="L259" s="93"/>
      <c r="M259" s="93"/>
      <c r="N259" s="93"/>
      <c r="O259" s="93"/>
      <c r="P259" s="93"/>
      <c r="Q259" s="93"/>
      <c r="R259" s="54"/>
      <c r="S259" s="94"/>
      <c r="T259" s="53"/>
      <c r="U259" s="131"/>
      <c r="V259" s="25"/>
      <c r="W259" s="25"/>
      <c r="X259" s="5"/>
    </row>
    <row r="260" spans="1:24" ht="15.75" x14ac:dyDescent="0.25">
      <c r="A260" s="24"/>
      <c r="B260" s="25"/>
      <c r="C260" s="25"/>
      <c r="D260" s="25"/>
      <c r="E260" s="25"/>
      <c r="F260" s="25"/>
      <c r="G260" s="25"/>
      <c r="H260" s="95"/>
      <c r="I260" s="95"/>
      <c r="J260" s="95"/>
      <c r="K260" s="95"/>
      <c r="L260" s="95"/>
      <c r="M260" s="95"/>
      <c r="N260" s="95"/>
      <c r="O260" s="95"/>
      <c r="P260" s="95"/>
      <c r="Q260" s="95"/>
      <c r="R260" s="34">
        <f>SUM(R251:R259)</f>
        <v>2</v>
      </c>
      <c r="S260" s="131">
        <f>SUM(S251:S259)</f>
        <v>1</v>
      </c>
      <c r="T260" s="53">
        <f>SUM(T251:T259)</f>
        <v>299</v>
      </c>
      <c r="U260" s="131">
        <f>SUM(U251:U259)</f>
        <v>1</v>
      </c>
      <c r="V260" s="25"/>
      <c r="W260" s="25"/>
      <c r="X260" s="5"/>
    </row>
    <row r="261" spans="1:24" ht="15.75" x14ac:dyDescent="0.25">
      <c r="A261" s="24"/>
      <c r="B261" s="25"/>
      <c r="C261" s="25"/>
      <c r="D261" s="25"/>
      <c r="E261" s="25"/>
      <c r="F261" s="25"/>
      <c r="G261" s="25"/>
      <c r="H261" s="95"/>
      <c r="I261" s="95"/>
      <c r="J261" s="95"/>
      <c r="K261" s="95"/>
      <c r="L261" s="95"/>
      <c r="M261" s="95"/>
      <c r="N261" s="95"/>
      <c r="O261" s="95"/>
      <c r="P261" s="95"/>
      <c r="Q261" s="95"/>
      <c r="R261" s="34"/>
      <c r="S261" s="131"/>
      <c r="T261" s="53"/>
      <c r="U261" s="131"/>
      <c r="V261" s="25"/>
      <c r="W261" s="25"/>
      <c r="X261" s="5"/>
    </row>
    <row r="262" spans="1:24" ht="15.75" x14ac:dyDescent="0.25">
      <c r="A262" s="138"/>
      <c r="B262" s="14" t="s">
        <v>163</v>
      </c>
      <c r="C262" s="136"/>
      <c r="D262" s="136"/>
      <c r="E262" s="136"/>
      <c r="F262" s="136"/>
      <c r="G262" s="136"/>
      <c r="H262" s="142"/>
      <c r="I262" s="142"/>
      <c r="J262" s="142"/>
      <c r="K262" s="142"/>
      <c r="L262" s="142"/>
      <c r="M262" s="142"/>
      <c r="N262" s="142"/>
      <c r="O262" s="142"/>
      <c r="P262" s="142"/>
      <c r="Q262" s="142"/>
      <c r="R262" s="83" t="s">
        <v>102</v>
      </c>
      <c r="S262" s="17" t="s">
        <v>103</v>
      </c>
      <c r="T262" s="83" t="s">
        <v>109</v>
      </c>
      <c r="U262" s="17" t="s">
        <v>103</v>
      </c>
      <c r="V262" s="136"/>
      <c r="W262" s="137"/>
      <c r="X262" s="5"/>
    </row>
    <row r="263" spans="1:24" ht="15.75" x14ac:dyDescent="0.25">
      <c r="A263" s="24"/>
      <c r="B263" s="54" t="s">
        <v>88</v>
      </c>
      <c r="C263" s="25"/>
      <c r="D263" s="25"/>
      <c r="E263" s="25"/>
      <c r="F263" s="25"/>
      <c r="G263" s="25"/>
      <c r="H263" s="95"/>
      <c r="I263" s="95"/>
      <c r="J263" s="95"/>
      <c r="K263" s="95"/>
      <c r="L263" s="95"/>
      <c r="M263" s="95"/>
      <c r="N263" s="95"/>
      <c r="O263" s="95"/>
      <c r="P263" s="95"/>
      <c r="Q263" s="95"/>
      <c r="R263" s="54">
        <v>0</v>
      </c>
      <c r="S263" s="94">
        <v>0</v>
      </c>
      <c r="T263" s="53">
        <v>0</v>
      </c>
      <c r="U263" s="131">
        <v>0</v>
      </c>
      <c r="V263" s="25"/>
      <c r="W263" s="25"/>
      <c r="X263" s="5"/>
    </row>
    <row r="264" spans="1:24" ht="15.75" x14ac:dyDescent="0.25">
      <c r="A264" s="24"/>
      <c r="B264" s="54" t="s">
        <v>89</v>
      </c>
      <c r="C264" s="25"/>
      <c r="D264" s="25"/>
      <c r="E264" s="25"/>
      <c r="F264" s="25"/>
      <c r="G264" s="25"/>
      <c r="H264" s="95"/>
      <c r="I264" s="95"/>
      <c r="J264" s="95"/>
      <c r="K264" s="95"/>
      <c r="L264" s="95"/>
      <c r="M264" s="95"/>
      <c r="N264" s="95"/>
      <c r="O264" s="95"/>
      <c r="P264" s="95"/>
      <c r="Q264" s="95"/>
      <c r="R264" s="54">
        <v>0</v>
      </c>
      <c r="S264" s="94">
        <v>0</v>
      </c>
      <c r="T264" s="53">
        <v>0</v>
      </c>
      <c r="U264" s="131">
        <v>0</v>
      </c>
      <c r="V264" s="25"/>
      <c r="W264" s="25"/>
      <c r="X264" s="5"/>
    </row>
    <row r="265" spans="1:24" ht="15.75" x14ac:dyDescent="0.25">
      <c r="A265" s="24"/>
      <c r="B265" s="54" t="s">
        <v>90</v>
      </c>
      <c r="C265" s="25"/>
      <c r="D265" s="25"/>
      <c r="E265" s="25"/>
      <c r="F265" s="25"/>
      <c r="G265" s="25"/>
      <c r="H265" s="95"/>
      <c r="I265" s="95"/>
      <c r="J265" s="95"/>
      <c r="K265" s="95"/>
      <c r="L265" s="95"/>
      <c r="M265" s="95"/>
      <c r="N265" s="95"/>
      <c r="O265" s="95"/>
      <c r="P265" s="95"/>
      <c r="Q265" s="95"/>
      <c r="R265" s="54">
        <v>0</v>
      </c>
      <c r="S265" s="94">
        <v>0</v>
      </c>
      <c r="T265" s="53">
        <v>0</v>
      </c>
      <c r="U265" s="131">
        <v>0</v>
      </c>
      <c r="V265" s="25"/>
      <c r="W265" s="25"/>
      <c r="X265" s="5"/>
    </row>
    <row r="266" spans="1:24" ht="15.75" x14ac:dyDescent="0.25">
      <c r="A266" s="24"/>
      <c r="B266" s="54" t="s">
        <v>156</v>
      </c>
      <c r="C266" s="25"/>
      <c r="D266" s="25"/>
      <c r="E266" s="25"/>
      <c r="F266" s="25"/>
      <c r="G266" s="25"/>
      <c r="H266" s="95"/>
      <c r="I266" s="95"/>
      <c r="J266" s="95"/>
      <c r="K266" s="95"/>
      <c r="L266" s="95"/>
      <c r="M266" s="95"/>
      <c r="N266" s="95"/>
      <c r="O266" s="95"/>
      <c r="P266" s="95"/>
      <c r="Q266" s="95"/>
      <c r="R266" s="54">
        <v>0</v>
      </c>
      <c r="S266" s="94">
        <v>0</v>
      </c>
      <c r="T266" s="53">
        <v>0</v>
      </c>
      <c r="U266" s="131">
        <v>0</v>
      </c>
      <c r="V266" s="25"/>
      <c r="W266" s="25"/>
      <c r="X266" s="5"/>
    </row>
    <row r="267" spans="1:24" ht="15.75" x14ac:dyDescent="0.25">
      <c r="A267" s="24"/>
      <c r="B267" s="54" t="s">
        <v>157</v>
      </c>
      <c r="C267" s="25"/>
      <c r="D267" s="25"/>
      <c r="E267" s="25"/>
      <c r="F267" s="25"/>
      <c r="G267" s="25"/>
      <c r="H267" s="95"/>
      <c r="I267" s="95"/>
      <c r="J267" s="95"/>
      <c r="K267" s="95"/>
      <c r="L267" s="95"/>
      <c r="M267" s="95"/>
      <c r="N267" s="95"/>
      <c r="O267" s="95"/>
      <c r="P267" s="95"/>
      <c r="Q267" s="95"/>
      <c r="R267" s="54">
        <v>0</v>
      </c>
      <c r="S267" s="94">
        <v>0</v>
      </c>
      <c r="T267" s="53">
        <v>0</v>
      </c>
      <c r="U267" s="131">
        <v>0</v>
      </c>
      <c r="V267" s="25"/>
      <c r="W267" s="25"/>
      <c r="X267" s="5"/>
    </row>
    <row r="268" spans="1:24" ht="15.75" x14ac:dyDescent="0.25">
      <c r="A268" s="24"/>
      <c r="B268" s="54" t="s">
        <v>158</v>
      </c>
      <c r="C268" s="25"/>
      <c r="D268" s="25"/>
      <c r="E268" s="25"/>
      <c r="F268" s="25"/>
      <c r="G268" s="25"/>
      <c r="H268" s="95"/>
      <c r="I268" s="95"/>
      <c r="J268" s="95"/>
      <c r="K268" s="95"/>
      <c r="L268" s="95"/>
      <c r="M268" s="95"/>
      <c r="N268" s="95"/>
      <c r="O268" s="95"/>
      <c r="P268" s="95"/>
      <c r="Q268" s="95"/>
      <c r="R268" s="54">
        <v>0</v>
      </c>
      <c r="S268" s="94">
        <v>0</v>
      </c>
      <c r="T268" s="53">
        <v>0</v>
      </c>
      <c r="U268" s="131">
        <v>0</v>
      </c>
      <c r="V268" s="25"/>
      <c r="W268" s="25"/>
      <c r="X268" s="5"/>
    </row>
    <row r="269" spans="1:24" ht="15.75" x14ac:dyDescent="0.25">
      <c r="A269" s="24"/>
      <c r="B269" s="54" t="s">
        <v>159</v>
      </c>
      <c r="C269" s="25"/>
      <c r="D269" s="25"/>
      <c r="E269" s="25"/>
      <c r="F269" s="25"/>
      <c r="G269" s="25"/>
      <c r="H269" s="95"/>
      <c r="I269" s="95"/>
      <c r="J269" s="95"/>
      <c r="K269" s="95"/>
      <c r="L269" s="95"/>
      <c r="M269" s="95"/>
      <c r="N269" s="95"/>
      <c r="O269" s="95"/>
      <c r="P269" s="95"/>
      <c r="Q269" s="95"/>
      <c r="R269" s="54">
        <v>0</v>
      </c>
      <c r="S269" s="94">
        <v>0</v>
      </c>
      <c r="T269" s="53">
        <v>0</v>
      </c>
      <c r="U269" s="131">
        <v>0</v>
      </c>
      <c r="V269" s="25"/>
      <c r="W269" s="25"/>
      <c r="X269" s="5"/>
    </row>
    <row r="270" spans="1:24" ht="15.75" x14ac:dyDescent="0.25">
      <c r="A270" s="24"/>
      <c r="B270" s="54" t="s">
        <v>160</v>
      </c>
      <c r="C270" s="25"/>
      <c r="D270" s="25"/>
      <c r="E270" s="25"/>
      <c r="F270" s="25"/>
      <c r="G270" s="25"/>
      <c r="H270" s="95"/>
      <c r="I270" s="95"/>
      <c r="J270" s="95"/>
      <c r="K270" s="95"/>
      <c r="L270" s="95"/>
      <c r="M270" s="95"/>
      <c r="N270" s="95"/>
      <c r="O270" s="95"/>
      <c r="P270" s="95"/>
      <c r="Q270" s="95"/>
      <c r="R270" s="54">
        <v>0</v>
      </c>
      <c r="S270" s="94">
        <v>0</v>
      </c>
      <c r="T270" s="53">
        <v>0</v>
      </c>
      <c r="U270" s="131">
        <v>0</v>
      </c>
      <c r="V270" s="25"/>
      <c r="W270" s="25"/>
      <c r="X270" s="5"/>
    </row>
    <row r="271" spans="1:24" ht="15.75" x14ac:dyDescent="0.25">
      <c r="A271" s="24"/>
      <c r="B271" s="54"/>
      <c r="C271" s="25"/>
      <c r="D271" s="25"/>
      <c r="E271" s="25"/>
      <c r="F271" s="25"/>
      <c r="G271" s="25"/>
      <c r="H271" s="95"/>
      <c r="I271" s="95"/>
      <c r="J271" s="95"/>
      <c r="K271" s="95"/>
      <c r="L271" s="95"/>
      <c r="M271" s="95"/>
      <c r="N271" s="95"/>
      <c r="O271" s="95"/>
      <c r="P271" s="95"/>
      <c r="Q271" s="95"/>
      <c r="R271" s="54"/>
      <c r="S271" s="94"/>
      <c r="T271" s="53"/>
      <c r="U271" s="131"/>
      <c r="V271" s="25"/>
      <c r="W271" s="25"/>
      <c r="X271" s="5"/>
    </row>
    <row r="272" spans="1:24" ht="15.75" x14ac:dyDescent="0.25">
      <c r="A272" s="24"/>
      <c r="B272" s="25" t="s">
        <v>114</v>
      </c>
      <c r="C272" s="25"/>
      <c r="D272" s="25"/>
      <c r="E272" s="25"/>
      <c r="F272" s="25"/>
      <c r="G272" s="25"/>
      <c r="H272" s="95"/>
      <c r="I272" s="95"/>
      <c r="J272" s="95"/>
      <c r="K272" s="95"/>
      <c r="L272" s="95"/>
      <c r="M272" s="95"/>
      <c r="N272" s="95"/>
      <c r="O272" s="95"/>
      <c r="P272" s="95"/>
      <c r="Q272" s="95"/>
      <c r="R272" s="34">
        <f>SUM(R263:R270)</f>
        <v>0</v>
      </c>
      <c r="S272" s="94">
        <f>SUM(S263:S270)</f>
        <v>0</v>
      </c>
      <c r="T272" s="53">
        <f>SUM(T263:T270)</f>
        <v>0</v>
      </c>
      <c r="U272" s="131">
        <f>SUM(U263:U270)</f>
        <v>0</v>
      </c>
      <c r="V272" s="25"/>
      <c r="W272" s="25"/>
      <c r="X272" s="5"/>
    </row>
    <row r="273" spans="1:24" ht="15.75" x14ac:dyDescent="0.25">
      <c r="A273" s="24"/>
      <c r="B273" s="25"/>
      <c r="C273" s="25"/>
      <c r="D273" s="25"/>
      <c r="E273" s="25"/>
      <c r="F273" s="25"/>
      <c r="G273" s="25"/>
      <c r="H273" s="95"/>
      <c r="I273" s="95"/>
      <c r="J273" s="95"/>
      <c r="K273" s="95"/>
      <c r="L273" s="95"/>
      <c r="M273" s="95"/>
      <c r="N273" s="95"/>
      <c r="O273" s="95"/>
      <c r="P273" s="95"/>
      <c r="Q273" s="95"/>
      <c r="R273" s="34"/>
      <c r="S273" s="131"/>
      <c r="T273" s="53"/>
      <c r="U273" s="131"/>
      <c r="V273" s="25"/>
      <c r="W273" s="25"/>
      <c r="X273" s="5"/>
    </row>
    <row r="274" spans="1:24" ht="15.75" x14ac:dyDescent="0.25">
      <c r="A274" s="24"/>
      <c r="B274" s="139" t="s">
        <v>164</v>
      </c>
      <c r="C274" s="25"/>
      <c r="D274" s="25"/>
      <c r="E274" s="25"/>
      <c r="F274" s="25"/>
      <c r="G274" s="25"/>
      <c r="H274" s="95"/>
      <c r="I274" s="95"/>
      <c r="J274" s="95"/>
      <c r="K274" s="95"/>
      <c r="L274" s="95"/>
      <c r="M274" s="95"/>
      <c r="N274" s="95"/>
      <c r="O274" s="95"/>
      <c r="P274" s="95"/>
      <c r="Q274" s="95"/>
      <c r="R274" s="156">
        <f>R272+R260+R248</f>
        <v>6780</v>
      </c>
      <c r="S274" s="140"/>
      <c r="T274" s="141">
        <f>+T272+T260+T248</f>
        <v>989554</v>
      </c>
      <c r="U274" s="140"/>
      <c r="V274" s="25"/>
      <c r="W274" s="25"/>
      <c r="X274" s="5"/>
    </row>
    <row r="275" spans="1:24" ht="15.75" x14ac:dyDescent="0.25">
      <c r="A275" s="24"/>
      <c r="B275" s="25"/>
      <c r="C275" s="25"/>
      <c r="D275" s="25"/>
      <c r="E275" s="25"/>
      <c r="F275" s="25"/>
      <c r="G275" s="25"/>
      <c r="H275" s="95"/>
      <c r="I275" s="95"/>
      <c r="J275" s="95"/>
      <c r="K275" s="95"/>
      <c r="L275" s="95"/>
      <c r="M275" s="95"/>
      <c r="N275" s="95"/>
      <c r="O275" s="95"/>
      <c r="P275" s="95"/>
      <c r="Q275" s="95"/>
      <c r="R275" s="95"/>
      <c r="S275" s="95"/>
      <c r="T275" s="53"/>
      <c r="U275" s="95"/>
      <c r="V275" s="25"/>
      <c r="W275" s="25"/>
      <c r="X275" s="5"/>
    </row>
    <row r="276" spans="1:24" ht="15.75" x14ac:dyDescent="0.25">
      <c r="A276" s="6"/>
      <c r="B276" s="8"/>
      <c r="C276" s="8"/>
      <c r="D276" s="8"/>
      <c r="E276" s="8"/>
      <c r="F276" s="8"/>
      <c r="G276" s="8"/>
      <c r="H276" s="96"/>
      <c r="I276" s="96"/>
      <c r="J276" s="96"/>
      <c r="K276" s="96"/>
      <c r="L276" s="96"/>
      <c r="M276" s="96"/>
      <c r="N276" s="96"/>
      <c r="O276" s="96"/>
      <c r="P276" s="96"/>
      <c r="Q276" s="96"/>
      <c r="R276" s="96"/>
      <c r="S276" s="96"/>
      <c r="T276" s="97"/>
      <c r="U276" s="96"/>
      <c r="V276" s="8"/>
      <c r="W276" s="8"/>
      <c r="X276" s="5"/>
    </row>
    <row r="277" spans="1:24" ht="15.75" x14ac:dyDescent="0.25">
      <c r="A277" s="98"/>
      <c r="B277" s="14" t="s">
        <v>91</v>
      </c>
      <c r="C277" s="15"/>
      <c r="D277" s="15"/>
      <c r="E277" s="15"/>
      <c r="F277" s="17" t="s">
        <v>97</v>
      </c>
      <c r="G277" s="15"/>
      <c r="H277" s="14" t="s">
        <v>99</v>
      </c>
      <c r="I277" s="14"/>
      <c r="J277" s="14"/>
      <c r="K277" s="12"/>
      <c r="L277" s="12"/>
      <c r="M277" s="12"/>
      <c r="N277" s="12"/>
      <c r="O277" s="12"/>
      <c r="P277" s="12"/>
      <c r="Q277" s="12"/>
      <c r="R277" s="12"/>
      <c r="S277" s="12"/>
      <c r="T277" s="12"/>
      <c r="U277" s="12"/>
      <c r="V277" s="12"/>
      <c r="W277" s="12"/>
      <c r="X277" s="5"/>
    </row>
    <row r="278" spans="1:24" ht="15.75" x14ac:dyDescent="0.25">
      <c r="A278" s="98"/>
      <c r="B278" s="12"/>
      <c r="C278" s="8"/>
      <c r="D278" s="8"/>
      <c r="E278" s="8"/>
      <c r="F278" s="8"/>
      <c r="G278" s="8"/>
      <c r="H278" s="8"/>
      <c r="I278" s="8"/>
      <c r="J278" s="8"/>
      <c r="K278" s="12"/>
      <c r="L278" s="12"/>
      <c r="M278" s="12"/>
      <c r="N278" s="12"/>
      <c r="O278" s="12"/>
      <c r="P278" s="12"/>
      <c r="Q278" s="12"/>
      <c r="R278" s="12"/>
      <c r="S278" s="12"/>
      <c r="T278" s="12"/>
      <c r="U278" s="12"/>
      <c r="V278" s="12"/>
      <c r="W278" s="12"/>
      <c r="X278" s="5"/>
    </row>
    <row r="279" spans="1:24" ht="15.75" x14ac:dyDescent="0.25">
      <c r="A279" s="98"/>
      <c r="B279" s="13" t="s">
        <v>92</v>
      </c>
      <c r="C279" s="13"/>
      <c r="D279" s="13"/>
      <c r="E279" s="13"/>
      <c r="F279" s="129" t="s">
        <v>148</v>
      </c>
      <c r="G279" s="13"/>
      <c r="H279" s="13" t="s">
        <v>152</v>
      </c>
      <c r="I279" s="13"/>
      <c r="J279" s="13"/>
      <c r="K279" s="12"/>
      <c r="L279" s="12"/>
      <c r="M279" s="12"/>
      <c r="N279" s="12"/>
      <c r="O279" s="12"/>
      <c r="P279" s="12"/>
      <c r="Q279" s="12"/>
      <c r="R279" s="12"/>
      <c r="S279" s="12"/>
      <c r="T279" s="12"/>
      <c r="U279" s="12"/>
      <c r="V279" s="12"/>
      <c r="W279" s="12"/>
      <c r="X279" s="5"/>
    </row>
    <row r="280" spans="1:24" ht="15.75" x14ac:dyDescent="0.25">
      <c r="A280" s="98"/>
      <c r="B280" s="13" t="s">
        <v>265</v>
      </c>
      <c r="C280" s="13"/>
      <c r="D280" s="13"/>
      <c r="E280" s="13"/>
      <c r="F280" s="129" t="s">
        <v>266</v>
      </c>
      <c r="G280" s="13"/>
      <c r="H280" s="13" t="s">
        <v>267</v>
      </c>
      <c r="I280" s="13"/>
      <c r="J280" s="13"/>
      <c r="K280" s="12"/>
      <c r="L280" s="12"/>
      <c r="M280" s="12"/>
      <c r="N280" s="12"/>
      <c r="O280" s="12"/>
      <c r="P280" s="12"/>
      <c r="Q280" s="12"/>
      <c r="R280" s="12"/>
      <c r="S280" s="12"/>
      <c r="T280" s="12"/>
      <c r="U280" s="12"/>
      <c r="V280" s="12"/>
      <c r="W280" s="12"/>
      <c r="X280" s="5"/>
    </row>
    <row r="281" spans="1:24" ht="15.75" x14ac:dyDescent="0.25">
      <c r="A281" s="98"/>
      <c r="B281" s="13" t="s">
        <v>93</v>
      </c>
      <c r="C281" s="13"/>
      <c r="D281" s="13"/>
      <c r="E281" s="13"/>
      <c r="F281" s="129" t="s">
        <v>147</v>
      </c>
      <c r="G281" s="13"/>
      <c r="H281" s="13" t="s">
        <v>153</v>
      </c>
      <c r="I281" s="13"/>
      <c r="J281" s="13"/>
      <c r="K281" s="12"/>
      <c r="L281" s="12"/>
      <c r="M281" s="12"/>
      <c r="N281" s="12"/>
      <c r="O281" s="12"/>
      <c r="P281" s="12"/>
      <c r="Q281" s="12"/>
      <c r="R281" s="12"/>
      <c r="S281" s="12"/>
      <c r="T281" s="12"/>
      <c r="U281" s="12"/>
      <c r="V281" s="12"/>
      <c r="W281" s="12"/>
      <c r="X281" s="5"/>
    </row>
    <row r="282" spans="1:24" ht="15.75" x14ac:dyDescent="0.25">
      <c r="A282" s="98"/>
      <c r="B282" s="13"/>
      <c r="C282" s="13"/>
      <c r="D282" s="13"/>
      <c r="E282" s="13"/>
      <c r="F282" s="13"/>
      <c r="G282" s="99"/>
      <c r="H282" s="12"/>
      <c r="I282" s="12"/>
      <c r="J282" s="12"/>
      <c r="K282" s="12"/>
      <c r="L282" s="12"/>
      <c r="M282" s="12"/>
      <c r="N282" s="12"/>
      <c r="O282" s="12"/>
      <c r="P282" s="12"/>
      <c r="Q282" s="12"/>
      <c r="R282" s="12"/>
      <c r="S282" s="12"/>
      <c r="T282" s="12"/>
      <c r="U282" s="12"/>
      <c r="V282" s="12"/>
      <c r="W282" s="12"/>
      <c r="X282" s="5"/>
    </row>
    <row r="283" spans="1:24" ht="15.75" x14ac:dyDescent="0.25">
      <c r="A283" s="98"/>
      <c r="B283" s="13"/>
      <c r="C283" s="13"/>
      <c r="D283" s="13"/>
      <c r="E283" s="13"/>
      <c r="F283" s="13"/>
      <c r="G283" s="99"/>
      <c r="H283" s="12"/>
      <c r="I283" s="12"/>
      <c r="J283" s="12"/>
      <c r="K283" s="12"/>
      <c r="L283" s="12"/>
      <c r="M283" s="12"/>
      <c r="N283" s="12"/>
      <c r="O283" s="12"/>
      <c r="P283" s="12"/>
      <c r="Q283" s="12"/>
      <c r="R283" s="12"/>
      <c r="S283" s="12"/>
      <c r="T283" s="12"/>
      <c r="U283" s="12"/>
      <c r="V283" s="12"/>
      <c r="W283" s="12"/>
      <c r="X283" s="5"/>
    </row>
    <row r="284" spans="1:24" ht="19.5" thickBot="1" x14ac:dyDescent="0.35">
      <c r="A284" s="98"/>
      <c r="B284" s="49" t="str">
        <f>B200</f>
        <v>PM15 INVESTOR REPORT QUARTER ENDING NOVEMBER 2007</v>
      </c>
      <c r="C284" s="13"/>
      <c r="D284" s="13"/>
      <c r="E284" s="13"/>
      <c r="F284" s="13"/>
      <c r="G284" s="99"/>
      <c r="H284" s="12"/>
      <c r="I284" s="12"/>
      <c r="J284" s="12"/>
      <c r="K284" s="12"/>
      <c r="L284" s="12"/>
      <c r="M284" s="12"/>
      <c r="N284" s="12"/>
      <c r="O284" s="12"/>
      <c r="P284" s="12"/>
      <c r="Q284" s="12"/>
      <c r="R284" s="12"/>
      <c r="S284" s="12"/>
      <c r="T284" s="12"/>
      <c r="U284" s="12"/>
      <c r="V284" s="12"/>
      <c r="W284" s="12"/>
      <c r="X284" s="5"/>
    </row>
    <row r="285" spans="1:24" x14ac:dyDescent="0.2">
      <c r="A285" s="100"/>
      <c r="B285" s="100"/>
      <c r="C285" s="100"/>
      <c r="D285" s="100"/>
      <c r="E285" s="100"/>
      <c r="F285" s="100"/>
      <c r="G285" s="100"/>
      <c r="H285" s="100"/>
      <c r="I285" s="100"/>
      <c r="J285" s="100"/>
      <c r="K285" s="100"/>
      <c r="L285" s="100"/>
      <c r="M285" s="100"/>
      <c r="N285" s="100"/>
      <c r="O285" s="100"/>
      <c r="P285" s="100"/>
      <c r="Q285" s="100"/>
      <c r="R285" s="100"/>
      <c r="S285" s="100"/>
      <c r="T285" s="100"/>
      <c r="U285" s="100"/>
      <c r="V285" s="100"/>
      <c r="W285" s="100"/>
    </row>
  </sheetData>
  <phoneticPr fontId="0" type="noConversion"/>
  <hyperlinks>
    <hyperlink ref="P236" r:id="rId1" xr:uid="{00000000-0004-0000-0000-000000000000}"/>
    <hyperlink ref="I9" r:id="rId2" xr:uid="{00000000-0004-0000-00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5" max="14" man="1"/>
    <brk id="200" max="14" man="1"/>
  </rowBreak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sheetPr>
  <dimension ref="A1:IV286"/>
  <sheetViews>
    <sheetView showGridLines="0" showOutlineSymbols="0" zoomScale="70" zoomScaleNormal="70" workbookViewId="0"/>
  </sheetViews>
  <sheetFormatPr defaultColWidth="9.6640625" defaultRowHeight="15" x14ac:dyDescent="0.2"/>
  <cols>
    <col min="1" max="1" width="4" style="1" customWidth="1"/>
    <col min="2" max="2" width="71.21875" style="1" customWidth="1"/>
    <col min="3" max="3" width="2.21875" style="1" customWidth="1"/>
    <col min="4" max="4" width="19.33203125" style="1" customWidth="1"/>
    <col min="5" max="5" width="2.21875" style="1" customWidth="1"/>
    <col min="6" max="6" width="25.109375" style="1" customWidth="1"/>
    <col min="7" max="7" width="2.21875" style="1" customWidth="1"/>
    <col min="8" max="8" width="16.21875" style="1" customWidth="1"/>
    <col min="9" max="9" width="2.88671875" style="1" customWidth="1"/>
    <col min="10" max="10" width="16.21875" style="1" customWidth="1"/>
    <col min="11" max="11" width="2.21875" style="1" customWidth="1"/>
    <col min="12" max="12" width="17.88671875" style="1" customWidth="1"/>
    <col min="13" max="13" width="2.33203125" style="1" customWidth="1"/>
    <col min="14" max="14" width="14.88671875" style="1" customWidth="1"/>
    <col min="15" max="15" width="2.33203125" style="1" customWidth="1"/>
    <col min="16" max="16" width="15.5546875" style="1" customWidth="1"/>
    <col min="17" max="17" width="2.21875" style="1" customWidth="1"/>
    <col min="18" max="18" width="15.5546875" style="1" customWidth="1"/>
    <col min="19" max="20" width="12.6640625" style="1" customWidth="1"/>
    <col min="21" max="21" width="7.77734375" style="1" customWidth="1"/>
    <col min="22" max="22" width="14.6640625" style="1" customWidth="1"/>
    <col min="23" max="23" width="11.77734375" style="1" customWidth="1"/>
    <col min="24" max="16384" width="9.6640625" style="1"/>
  </cols>
  <sheetData>
    <row r="1" spans="1:24" ht="20.25" x14ac:dyDescent="0.3">
      <c r="A1" s="2"/>
      <c r="B1" s="3" t="s">
        <v>237</v>
      </c>
      <c r="C1" s="4"/>
      <c r="D1" s="4"/>
      <c r="E1" s="4"/>
      <c r="F1" s="4"/>
      <c r="G1" s="4"/>
      <c r="H1" s="4"/>
      <c r="I1" s="4"/>
      <c r="J1" s="4"/>
      <c r="K1" s="4"/>
      <c r="L1" s="4"/>
      <c r="M1" s="4"/>
      <c r="N1" s="4"/>
      <c r="O1" s="4"/>
      <c r="P1" s="4"/>
      <c r="Q1" s="4"/>
      <c r="R1" s="4"/>
      <c r="S1" s="4"/>
      <c r="T1" s="4"/>
      <c r="U1" s="4"/>
      <c r="V1" s="4"/>
      <c r="W1" s="4"/>
      <c r="X1" s="5"/>
    </row>
    <row r="2" spans="1:24" ht="15.75" x14ac:dyDescent="0.25">
      <c r="A2" s="6"/>
      <c r="B2" s="7"/>
      <c r="C2" s="8"/>
      <c r="D2" s="8"/>
      <c r="E2" s="8"/>
      <c r="F2" s="8"/>
      <c r="G2" s="8"/>
      <c r="H2" s="8"/>
      <c r="I2" s="8"/>
      <c r="J2" s="8"/>
      <c r="K2" s="8"/>
      <c r="L2" s="8"/>
      <c r="M2" s="8"/>
      <c r="N2" s="8"/>
      <c r="O2" s="8"/>
      <c r="P2" s="8"/>
      <c r="Q2" s="8"/>
      <c r="R2" s="8"/>
      <c r="S2" s="8"/>
      <c r="T2" s="8"/>
      <c r="U2" s="8"/>
      <c r="V2" s="8"/>
      <c r="W2" s="8"/>
      <c r="X2" s="5"/>
    </row>
    <row r="3" spans="1:24" ht="15.75" x14ac:dyDescent="0.25">
      <c r="A3" s="9"/>
      <c r="B3" s="111" t="s">
        <v>238</v>
      </c>
      <c r="C3" s="8"/>
      <c r="D3" s="8"/>
      <c r="E3" s="8"/>
      <c r="F3" s="8"/>
      <c r="G3" s="8"/>
      <c r="H3" s="8"/>
      <c r="I3" s="8"/>
      <c r="J3" s="8"/>
      <c r="K3" s="8"/>
      <c r="L3" s="8"/>
      <c r="M3" s="8"/>
      <c r="N3" s="8"/>
      <c r="O3" s="8"/>
      <c r="P3" s="8"/>
      <c r="Q3" s="8"/>
      <c r="R3" s="8"/>
      <c r="S3" s="8"/>
      <c r="T3" s="8"/>
      <c r="U3" s="8"/>
      <c r="V3" s="8"/>
      <c r="W3" s="8"/>
      <c r="X3" s="5"/>
    </row>
    <row r="4" spans="1:24" ht="15.75" x14ac:dyDescent="0.25">
      <c r="A4" s="6"/>
      <c r="B4" s="7"/>
      <c r="C4" s="8"/>
      <c r="D4" s="8"/>
      <c r="E4" s="8"/>
      <c r="F4" s="8"/>
      <c r="G4" s="8"/>
      <c r="H4" s="8"/>
      <c r="I4" s="8"/>
      <c r="J4" s="8"/>
      <c r="K4" s="8"/>
      <c r="L4" s="8"/>
      <c r="M4" s="8"/>
      <c r="N4" s="8"/>
      <c r="O4" s="8"/>
      <c r="P4" s="8"/>
      <c r="Q4" s="8"/>
      <c r="R4" s="8"/>
      <c r="S4" s="8"/>
      <c r="T4" s="8"/>
      <c r="U4" s="8"/>
      <c r="V4" s="8"/>
      <c r="W4" s="8"/>
      <c r="X4" s="5"/>
    </row>
    <row r="5" spans="1:24" ht="15.75" x14ac:dyDescent="0.25">
      <c r="A5" s="6"/>
      <c r="B5" s="11" t="s">
        <v>137</v>
      </c>
      <c r="C5" s="8"/>
      <c r="D5" s="8"/>
      <c r="E5" s="8"/>
      <c r="F5" s="8"/>
      <c r="G5" s="8"/>
      <c r="H5" s="8"/>
      <c r="I5" s="8"/>
      <c r="J5" s="8"/>
      <c r="K5" s="8"/>
      <c r="L5" s="8"/>
      <c r="M5" s="8"/>
      <c r="N5" s="8"/>
      <c r="O5" s="8"/>
      <c r="P5" s="8"/>
      <c r="Q5" s="8"/>
      <c r="R5" s="8"/>
      <c r="S5" s="8"/>
      <c r="T5" s="8"/>
      <c r="U5" s="8"/>
      <c r="V5" s="8"/>
      <c r="W5" s="8"/>
      <c r="X5" s="5"/>
    </row>
    <row r="6" spans="1:24" ht="15.75" x14ac:dyDescent="0.25">
      <c r="A6" s="6"/>
      <c r="B6" s="11" t="s">
        <v>139</v>
      </c>
      <c r="C6" s="8"/>
      <c r="D6" s="8"/>
      <c r="E6" s="8"/>
      <c r="F6" s="8"/>
      <c r="G6" s="8"/>
      <c r="H6" s="8"/>
      <c r="I6" s="8"/>
      <c r="J6" s="8"/>
      <c r="K6" s="8"/>
      <c r="L6" s="8"/>
      <c r="M6" s="8"/>
      <c r="N6" s="8"/>
      <c r="O6" s="8"/>
      <c r="P6" s="8"/>
      <c r="Q6" s="8"/>
      <c r="R6" s="8"/>
      <c r="S6" s="8"/>
      <c r="T6" s="8"/>
      <c r="U6" s="8"/>
      <c r="V6" s="8"/>
      <c r="W6" s="8"/>
      <c r="X6" s="5"/>
    </row>
    <row r="7" spans="1:24" ht="15.75" x14ac:dyDescent="0.25">
      <c r="A7" s="6"/>
      <c r="B7" s="11" t="s">
        <v>138</v>
      </c>
      <c r="C7" s="8"/>
      <c r="D7" s="8"/>
      <c r="E7" s="8"/>
      <c r="F7" s="8"/>
      <c r="G7" s="8"/>
      <c r="H7" s="8"/>
      <c r="I7" s="8"/>
      <c r="J7" s="8"/>
      <c r="K7" s="8"/>
      <c r="L7" s="8"/>
      <c r="M7" s="8"/>
      <c r="N7" s="8"/>
      <c r="O7" s="8"/>
      <c r="P7" s="8"/>
      <c r="Q7" s="8"/>
      <c r="R7" s="8"/>
      <c r="S7" s="8"/>
      <c r="T7" s="8"/>
      <c r="U7" s="8"/>
      <c r="V7" s="8"/>
      <c r="W7" s="8"/>
      <c r="X7" s="5"/>
    </row>
    <row r="8" spans="1:24" ht="15.75" x14ac:dyDescent="0.25">
      <c r="A8" s="6"/>
      <c r="B8" s="11"/>
      <c r="C8" s="8"/>
      <c r="D8" s="8"/>
      <c r="E8" s="8"/>
      <c r="F8" s="8"/>
      <c r="G8" s="8"/>
      <c r="H8" s="8"/>
      <c r="I8" s="8"/>
      <c r="J8" s="8"/>
      <c r="K8" s="8"/>
      <c r="L8" s="8"/>
      <c r="M8" s="8"/>
      <c r="N8" s="8"/>
      <c r="O8" s="8"/>
      <c r="P8" s="8"/>
      <c r="Q8" s="8"/>
      <c r="R8" s="8"/>
      <c r="S8" s="8"/>
      <c r="T8" s="8"/>
      <c r="U8" s="8"/>
      <c r="V8" s="8"/>
      <c r="W8" s="8"/>
      <c r="X8" s="5"/>
    </row>
    <row r="9" spans="1:24" ht="18.75" x14ac:dyDescent="0.3">
      <c r="A9" s="6"/>
      <c r="B9" s="144" t="s">
        <v>166</v>
      </c>
      <c r="C9" s="8"/>
      <c r="D9" s="8"/>
      <c r="E9" s="8"/>
      <c r="F9" s="8"/>
      <c r="G9" s="8"/>
      <c r="H9" s="8"/>
      <c r="I9" s="145" t="s">
        <v>167</v>
      </c>
      <c r="J9" s="8"/>
      <c r="K9" s="8"/>
      <c r="L9" s="145"/>
      <c r="M9" s="8"/>
      <c r="N9" s="145"/>
      <c r="O9" s="8"/>
      <c r="P9" s="8"/>
      <c r="Q9" s="8"/>
      <c r="R9" s="8"/>
      <c r="S9" s="8"/>
      <c r="T9" s="8"/>
      <c r="U9" s="8"/>
      <c r="V9" s="8"/>
      <c r="W9" s="8"/>
      <c r="X9" s="5"/>
    </row>
    <row r="10" spans="1:24" ht="15.75" x14ac:dyDescent="0.25">
      <c r="A10" s="6"/>
      <c r="B10" s="11"/>
      <c r="C10" s="13"/>
      <c r="D10" s="13"/>
      <c r="E10" s="13"/>
      <c r="F10" s="8"/>
      <c r="G10" s="8"/>
      <c r="H10" s="8"/>
      <c r="I10" s="8"/>
      <c r="J10" s="8"/>
      <c r="K10" s="8"/>
      <c r="L10" s="8"/>
      <c r="M10" s="8"/>
      <c r="N10" s="8"/>
      <c r="O10" s="8"/>
      <c r="P10" s="8"/>
      <c r="Q10" s="8"/>
      <c r="R10" s="8"/>
      <c r="S10" s="8"/>
      <c r="T10" s="8"/>
      <c r="U10" s="8"/>
      <c r="V10" s="8"/>
      <c r="W10" s="8"/>
      <c r="X10" s="5"/>
    </row>
    <row r="11" spans="1:24" ht="15.75" x14ac:dyDescent="0.25">
      <c r="A11" s="6"/>
      <c r="B11" s="14" t="s">
        <v>0</v>
      </c>
      <c r="C11" s="8"/>
      <c r="D11" s="8"/>
      <c r="E11" s="8"/>
      <c r="F11" s="8"/>
      <c r="G11" s="8"/>
      <c r="H11" s="8"/>
      <c r="I11" s="8"/>
      <c r="J11" s="8"/>
      <c r="K11" s="8"/>
      <c r="L11" s="8"/>
      <c r="M11" s="8"/>
      <c r="N11" s="8"/>
      <c r="O11" s="8"/>
      <c r="P11" s="8"/>
      <c r="Q11" s="8"/>
      <c r="R11" s="8"/>
      <c r="S11" s="8"/>
      <c r="T11" s="8"/>
      <c r="U11" s="8"/>
      <c r="V11" s="8"/>
      <c r="W11" s="8"/>
      <c r="X11" s="5"/>
    </row>
    <row r="12" spans="1:24" ht="16.5" thickBot="1" x14ac:dyDescent="0.3">
      <c r="A12" s="6"/>
      <c r="B12" s="13"/>
      <c r="C12" s="8"/>
      <c r="D12" s="8"/>
      <c r="E12" s="8"/>
      <c r="F12" s="8"/>
      <c r="G12" s="8"/>
      <c r="H12" s="8"/>
      <c r="I12" s="8"/>
      <c r="J12" s="8"/>
      <c r="K12" s="8"/>
      <c r="L12" s="8"/>
      <c r="M12" s="8"/>
      <c r="N12" s="8"/>
      <c r="O12" s="8"/>
      <c r="P12" s="8"/>
      <c r="Q12" s="8"/>
      <c r="R12" s="8"/>
      <c r="S12" s="8"/>
      <c r="T12" s="8"/>
      <c r="U12" s="8"/>
      <c r="V12" s="8"/>
      <c r="W12" s="8"/>
      <c r="X12" s="5"/>
    </row>
    <row r="13" spans="1:24" ht="15.75" x14ac:dyDescent="0.25">
      <c r="A13" s="2"/>
      <c r="B13" s="4"/>
      <c r="C13" s="4"/>
      <c r="D13" s="4"/>
      <c r="E13" s="4"/>
      <c r="F13" s="4"/>
      <c r="G13" s="4"/>
      <c r="H13" s="4"/>
      <c r="I13" s="4"/>
      <c r="J13" s="4"/>
      <c r="K13" s="4"/>
      <c r="L13" s="4"/>
      <c r="M13" s="4"/>
      <c r="N13" s="4"/>
      <c r="O13" s="4"/>
      <c r="P13" s="4"/>
      <c r="Q13" s="4"/>
      <c r="R13" s="4"/>
      <c r="S13" s="4"/>
      <c r="T13" s="4"/>
      <c r="U13" s="4"/>
      <c r="V13" s="4"/>
      <c r="W13" s="4"/>
      <c r="X13" s="5"/>
    </row>
    <row r="14" spans="1:24" ht="15.75" x14ac:dyDescent="0.25">
      <c r="A14" s="6"/>
      <c r="B14" s="14" t="s">
        <v>1</v>
      </c>
      <c r="C14" s="15"/>
      <c r="D14" s="15"/>
      <c r="E14" s="15"/>
      <c r="F14" s="15"/>
      <c r="G14" s="15"/>
      <c r="H14" s="15"/>
      <c r="I14" s="15"/>
      <c r="J14" s="15"/>
      <c r="K14" s="15"/>
      <c r="L14" s="15"/>
      <c r="M14" s="15"/>
      <c r="N14" s="15"/>
      <c r="O14" s="15"/>
      <c r="P14" s="15"/>
      <c r="Q14" s="15"/>
      <c r="R14" s="15"/>
      <c r="S14" s="15"/>
      <c r="T14" s="15"/>
      <c r="U14" s="15"/>
      <c r="V14" s="16" t="s">
        <v>239</v>
      </c>
      <c r="W14" s="15"/>
      <c r="X14" s="5"/>
    </row>
    <row r="15" spans="1:24" ht="15.75" x14ac:dyDescent="0.25">
      <c r="A15" s="6"/>
      <c r="B15" s="14" t="s">
        <v>2</v>
      </c>
      <c r="C15" s="15"/>
      <c r="D15" s="15"/>
      <c r="E15" s="15"/>
      <c r="F15" s="15"/>
      <c r="G15" s="15"/>
      <c r="H15" s="18"/>
      <c r="I15" s="18"/>
      <c r="J15" s="18"/>
      <c r="K15" s="18"/>
      <c r="L15" s="18"/>
      <c r="M15" s="18"/>
      <c r="N15" s="18"/>
      <c r="O15" s="18"/>
      <c r="P15" s="18"/>
      <c r="Q15" s="18"/>
      <c r="R15" s="18" t="s">
        <v>104</v>
      </c>
      <c r="S15" s="134">
        <v>0.47189999999999999</v>
      </c>
      <c r="T15" s="17" t="s">
        <v>140</v>
      </c>
      <c r="U15" s="134">
        <v>0.52810000000000001</v>
      </c>
      <c r="V15" s="16"/>
      <c r="W15" s="15"/>
      <c r="X15" s="5"/>
    </row>
    <row r="16" spans="1:24" ht="15.75" x14ac:dyDescent="0.25">
      <c r="A16" s="6"/>
      <c r="B16" s="14" t="s">
        <v>3</v>
      </c>
      <c r="C16" s="15"/>
      <c r="D16" s="15"/>
      <c r="E16" s="15"/>
      <c r="F16" s="15"/>
      <c r="G16" s="15"/>
      <c r="H16" s="18"/>
      <c r="I16" s="18"/>
      <c r="J16" s="18"/>
      <c r="K16" s="18"/>
      <c r="L16" s="18"/>
      <c r="M16" s="18"/>
      <c r="N16" s="18"/>
      <c r="O16" s="18"/>
      <c r="P16" s="18"/>
      <c r="Q16" s="18"/>
      <c r="R16" s="18" t="s">
        <v>104</v>
      </c>
      <c r="S16" s="134">
        <v>0.53590000000000004</v>
      </c>
      <c r="T16" s="17" t="s">
        <v>140</v>
      </c>
      <c r="U16" s="134">
        <v>0.46410000000000001</v>
      </c>
      <c r="V16" s="16"/>
      <c r="W16" s="15"/>
      <c r="X16" s="5"/>
    </row>
    <row r="17" spans="1:24" ht="15.75" x14ac:dyDescent="0.25">
      <c r="A17" s="6"/>
      <c r="B17" s="14" t="s">
        <v>4</v>
      </c>
      <c r="C17" s="15"/>
      <c r="D17" s="15"/>
      <c r="E17" s="15"/>
      <c r="F17" s="15"/>
      <c r="G17" s="15"/>
      <c r="H17" s="15"/>
      <c r="I17" s="15"/>
      <c r="J17" s="15"/>
      <c r="K17" s="15"/>
      <c r="L17" s="15"/>
      <c r="M17" s="15"/>
      <c r="N17" s="15"/>
      <c r="O17" s="15"/>
      <c r="P17" s="15"/>
      <c r="Q17" s="15"/>
      <c r="R17" s="15"/>
      <c r="S17" s="15"/>
      <c r="T17" s="15"/>
      <c r="U17" s="15"/>
      <c r="V17" s="19">
        <v>39282</v>
      </c>
      <c r="W17" s="15"/>
      <c r="X17" s="5"/>
    </row>
    <row r="18" spans="1:24" ht="15.75" x14ac:dyDescent="0.25">
      <c r="A18" s="6"/>
      <c r="B18" s="14" t="s">
        <v>5</v>
      </c>
      <c r="C18" s="15"/>
      <c r="D18" s="15"/>
      <c r="E18" s="15"/>
      <c r="F18" s="15"/>
      <c r="G18" s="15"/>
      <c r="H18" s="15"/>
      <c r="I18" s="15"/>
      <c r="J18" s="15"/>
      <c r="K18" s="15"/>
      <c r="L18" s="15"/>
      <c r="M18" s="15"/>
      <c r="N18" s="15"/>
      <c r="O18" s="15"/>
      <c r="P18" s="15"/>
      <c r="Q18" s="15"/>
      <c r="R18" s="15"/>
      <c r="S18" s="15"/>
      <c r="T18" s="15"/>
      <c r="U18" s="15"/>
      <c r="V18" s="19">
        <v>40256</v>
      </c>
      <c r="W18" s="15"/>
      <c r="X18" s="5"/>
    </row>
    <row r="19" spans="1:24" ht="15.75" x14ac:dyDescent="0.25">
      <c r="A19" s="6"/>
      <c r="B19" s="8"/>
      <c r="C19" s="8"/>
      <c r="D19" s="8"/>
      <c r="E19" s="8"/>
      <c r="F19" s="8"/>
      <c r="G19" s="8"/>
      <c r="H19" s="8"/>
      <c r="I19" s="8"/>
      <c r="J19" s="8"/>
      <c r="K19" s="8"/>
      <c r="L19" s="8"/>
      <c r="M19" s="8"/>
      <c r="N19" s="8"/>
      <c r="O19" s="8"/>
      <c r="P19" s="8"/>
      <c r="Q19" s="8"/>
      <c r="R19" s="8"/>
      <c r="S19" s="8"/>
      <c r="T19" s="8"/>
      <c r="U19" s="8"/>
      <c r="V19" s="20"/>
      <c r="W19" s="8"/>
      <c r="X19" s="5"/>
    </row>
    <row r="20" spans="1:24" ht="15.75" x14ac:dyDescent="0.25">
      <c r="A20" s="6"/>
      <c r="B20" s="21" t="s">
        <v>6</v>
      </c>
      <c r="C20" s="8"/>
      <c r="D20" s="8"/>
      <c r="E20" s="8"/>
      <c r="F20" s="8"/>
      <c r="G20" s="8"/>
      <c r="H20" s="8"/>
      <c r="I20" s="8"/>
      <c r="J20" s="8"/>
      <c r="K20" s="8"/>
      <c r="L20" s="8"/>
      <c r="M20" s="8"/>
      <c r="N20" s="8"/>
      <c r="O20" s="8"/>
      <c r="P20" s="8"/>
      <c r="Q20" s="8"/>
      <c r="R20" s="8"/>
      <c r="S20" s="8"/>
      <c r="T20" s="20" t="s">
        <v>105</v>
      </c>
      <c r="U20" s="8"/>
      <c r="V20" s="173"/>
      <c r="W20" s="8"/>
      <c r="X20" s="5"/>
    </row>
    <row r="21" spans="1:24" ht="15.75" x14ac:dyDescent="0.25">
      <c r="A21" s="6"/>
      <c r="B21" s="8"/>
      <c r="C21" s="8"/>
      <c r="D21" s="8"/>
      <c r="E21" s="8"/>
      <c r="F21" s="8"/>
      <c r="G21" s="8"/>
      <c r="H21" s="8"/>
      <c r="I21" s="8"/>
      <c r="J21" s="8"/>
      <c r="K21" s="8"/>
      <c r="L21" s="8"/>
      <c r="M21" s="8"/>
      <c r="N21" s="8"/>
      <c r="O21" s="8"/>
      <c r="P21" s="8"/>
      <c r="Q21" s="8"/>
      <c r="R21" s="8"/>
      <c r="S21" s="8"/>
      <c r="T21" s="8"/>
      <c r="U21" s="8"/>
      <c r="V21" s="22"/>
      <c r="W21" s="8"/>
      <c r="X21" s="5"/>
    </row>
    <row r="22" spans="1:24" ht="15.75" x14ac:dyDescent="0.25">
      <c r="A22" s="6"/>
      <c r="B22" s="8"/>
      <c r="C22" s="112"/>
      <c r="D22" s="112" t="s">
        <v>177</v>
      </c>
      <c r="E22" s="112"/>
      <c r="F22" s="112" t="s">
        <v>178</v>
      </c>
      <c r="G22" s="112"/>
      <c r="H22" s="112" t="s">
        <v>179</v>
      </c>
      <c r="I22" s="112"/>
      <c r="J22" s="112" t="s">
        <v>219</v>
      </c>
      <c r="K22" s="112"/>
      <c r="L22" s="112" t="s">
        <v>180</v>
      </c>
      <c r="M22" s="112"/>
      <c r="N22" s="112" t="s">
        <v>181</v>
      </c>
      <c r="O22" s="112"/>
      <c r="P22" s="112" t="s">
        <v>182</v>
      </c>
      <c r="Q22" s="112"/>
      <c r="R22" s="112"/>
      <c r="S22" s="113"/>
      <c r="T22" s="23"/>
      <c r="U22" s="173"/>
      <c r="V22" s="173"/>
      <c r="W22" s="8"/>
      <c r="X22" s="5"/>
    </row>
    <row r="23" spans="1:24" ht="15.75" x14ac:dyDescent="0.25">
      <c r="A23" s="24"/>
      <c r="B23" s="25" t="s">
        <v>7</v>
      </c>
      <c r="C23" s="26"/>
      <c r="D23" s="26" t="s">
        <v>212</v>
      </c>
      <c r="E23" s="26"/>
      <c r="F23" s="26" t="s">
        <v>141</v>
      </c>
      <c r="G23" s="26"/>
      <c r="H23" s="26" t="s">
        <v>141</v>
      </c>
      <c r="I23" s="26"/>
      <c r="J23" s="26" t="s">
        <v>141</v>
      </c>
      <c r="K23" s="26"/>
      <c r="L23" s="26" t="s">
        <v>183</v>
      </c>
      <c r="M23" s="26"/>
      <c r="N23" s="26" t="s">
        <v>183</v>
      </c>
      <c r="O23" s="26"/>
      <c r="P23" s="26" t="s">
        <v>142</v>
      </c>
      <c r="Q23" s="26"/>
      <c r="R23" s="26"/>
      <c r="S23" s="26"/>
      <c r="T23" s="26"/>
      <c r="U23" s="174"/>
      <c r="V23" s="174"/>
      <c r="W23" s="25"/>
      <c r="X23" s="5"/>
    </row>
    <row r="24" spans="1:24" ht="15.75" x14ac:dyDescent="0.25">
      <c r="A24" s="24"/>
      <c r="B24" s="25" t="s">
        <v>8</v>
      </c>
      <c r="C24" s="26"/>
      <c r="D24" s="26" t="s">
        <v>213</v>
      </c>
      <c r="E24" s="26"/>
      <c r="F24" s="26" t="s">
        <v>143</v>
      </c>
      <c r="G24" s="26"/>
      <c r="H24" s="26" t="s">
        <v>143</v>
      </c>
      <c r="I24" s="26"/>
      <c r="J24" s="26" t="s">
        <v>143</v>
      </c>
      <c r="K24" s="26"/>
      <c r="L24" s="26" t="s">
        <v>165</v>
      </c>
      <c r="M24" s="26"/>
      <c r="N24" s="26" t="s">
        <v>165</v>
      </c>
      <c r="O24" s="26"/>
      <c r="P24" s="26" t="s">
        <v>144</v>
      </c>
      <c r="Q24" s="26"/>
      <c r="R24" s="26"/>
      <c r="S24" s="26"/>
      <c r="T24" s="26"/>
      <c r="U24" s="174"/>
      <c r="V24" s="174"/>
      <c r="W24" s="25"/>
      <c r="X24" s="5"/>
    </row>
    <row r="25" spans="1:24" ht="15.75" x14ac:dyDescent="0.25">
      <c r="A25" s="28"/>
      <c r="B25" s="130" t="s">
        <v>190</v>
      </c>
      <c r="C25" s="123"/>
      <c r="D25" s="26" t="s">
        <v>214</v>
      </c>
      <c r="E25" s="26"/>
      <c r="F25" s="26" t="s">
        <v>143</v>
      </c>
      <c r="G25" s="26"/>
      <c r="H25" s="26" t="s">
        <v>143</v>
      </c>
      <c r="I25" s="26"/>
      <c r="J25" s="26" t="s">
        <v>143</v>
      </c>
      <c r="K25" s="26"/>
      <c r="L25" s="26" t="s">
        <v>165</v>
      </c>
      <c r="M25" s="26"/>
      <c r="N25" s="26" t="s">
        <v>165</v>
      </c>
      <c r="O25" s="26"/>
      <c r="P25" s="26" t="s">
        <v>144</v>
      </c>
      <c r="Q25" s="26"/>
      <c r="R25" s="26"/>
      <c r="S25" s="123"/>
      <c r="T25" s="26"/>
      <c r="U25" s="174"/>
      <c r="V25" s="174"/>
      <c r="W25" s="25"/>
      <c r="X25" s="5"/>
    </row>
    <row r="26" spans="1:24" ht="15.75" x14ac:dyDescent="0.25">
      <c r="A26" s="28"/>
      <c r="B26" s="29" t="s">
        <v>9</v>
      </c>
      <c r="C26" s="123"/>
      <c r="D26" s="123" t="s">
        <v>141</v>
      </c>
      <c r="E26" s="123"/>
      <c r="F26" s="123" t="s">
        <v>141</v>
      </c>
      <c r="G26" s="123"/>
      <c r="H26" s="123" t="s">
        <v>141</v>
      </c>
      <c r="I26" s="123"/>
      <c r="J26" s="123" t="s">
        <v>141</v>
      </c>
      <c r="K26" s="123"/>
      <c r="L26" s="123" t="s">
        <v>183</v>
      </c>
      <c r="M26" s="123"/>
      <c r="N26" s="123" t="s">
        <v>183</v>
      </c>
      <c r="O26" s="123"/>
      <c r="P26" s="123" t="s">
        <v>142</v>
      </c>
      <c r="Q26" s="123"/>
      <c r="R26" s="123"/>
      <c r="S26" s="123"/>
      <c r="T26" s="26"/>
      <c r="U26" s="174"/>
      <c r="V26" s="174"/>
      <c r="W26" s="25"/>
      <c r="X26" s="5"/>
    </row>
    <row r="27" spans="1:24" ht="15.75" x14ac:dyDescent="0.25">
      <c r="A27" s="24"/>
      <c r="B27" s="29" t="s">
        <v>191</v>
      </c>
      <c r="C27" s="26"/>
      <c r="D27" s="123" t="s">
        <v>143</v>
      </c>
      <c r="E27" s="123"/>
      <c r="F27" s="123" t="s">
        <v>143</v>
      </c>
      <c r="G27" s="123"/>
      <c r="H27" s="123" t="s">
        <v>143</v>
      </c>
      <c r="I27" s="123"/>
      <c r="J27" s="123" t="s">
        <v>143</v>
      </c>
      <c r="K27" s="123"/>
      <c r="L27" s="123" t="s">
        <v>165</v>
      </c>
      <c r="M27" s="123"/>
      <c r="N27" s="123" t="s">
        <v>165</v>
      </c>
      <c r="O27" s="123"/>
      <c r="P27" s="123" t="s">
        <v>144</v>
      </c>
      <c r="Q27" s="123"/>
      <c r="R27" s="123"/>
      <c r="S27" s="26"/>
      <c r="T27" s="30"/>
      <c r="U27" s="174"/>
      <c r="V27" s="174"/>
      <c r="W27" s="25"/>
      <c r="X27" s="5"/>
    </row>
    <row r="28" spans="1:24" ht="15.75" x14ac:dyDescent="0.25">
      <c r="A28" s="24"/>
      <c r="B28" s="149" t="s">
        <v>192</v>
      </c>
      <c r="C28" s="26"/>
      <c r="D28" s="123" t="s">
        <v>143</v>
      </c>
      <c r="E28" s="123"/>
      <c r="F28" s="123" t="s">
        <v>143</v>
      </c>
      <c r="G28" s="123"/>
      <c r="H28" s="123" t="s">
        <v>143</v>
      </c>
      <c r="I28" s="123"/>
      <c r="J28" s="123" t="s">
        <v>143</v>
      </c>
      <c r="K28" s="123"/>
      <c r="L28" s="123" t="s">
        <v>165</v>
      </c>
      <c r="M28" s="123"/>
      <c r="N28" s="123" t="s">
        <v>165</v>
      </c>
      <c r="O28" s="123"/>
      <c r="P28" s="123" t="s">
        <v>144</v>
      </c>
      <c r="Q28" s="123"/>
      <c r="R28" s="123"/>
      <c r="S28" s="26"/>
      <c r="T28" s="30"/>
      <c r="U28" s="174"/>
      <c r="V28" s="174"/>
      <c r="W28" s="25"/>
      <c r="X28" s="5"/>
    </row>
    <row r="29" spans="1:24" ht="15.75" x14ac:dyDescent="0.25">
      <c r="A29" s="24"/>
      <c r="B29" s="25" t="s">
        <v>10</v>
      </c>
      <c r="C29" s="32"/>
      <c r="D29" s="26" t="s">
        <v>242</v>
      </c>
      <c r="E29" s="26"/>
      <c r="F29" s="30" t="s">
        <v>244</v>
      </c>
      <c r="G29" s="26"/>
      <c r="H29" s="26" t="s">
        <v>245</v>
      </c>
      <c r="I29" s="26"/>
      <c r="J29" s="26" t="s">
        <v>247</v>
      </c>
      <c r="K29" s="26"/>
      <c r="L29" s="26" t="s">
        <v>248</v>
      </c>
      <c r="M29" s="26"/>
      <c r="N29" s="26" t="s">
        <v>249</v>
      </c>
      <c r="O29" s="26"/>
      <c r="P29" s="26" t="s">
        <v>250</v>
      </c>
      <c r="Q29" s="26"/>
      <c r="R29" s="26"/>
      <c r="S29" s="31"/>
      <c r="T29" s="31"/>
      <c r="U29" s="175"/>
      <c r="V29" s="31"/>
      <c r="W29" s="34"/>
      <c r="X29" s="5"/>
    </row>
    <row r="30" spans="1:24" ht="15.75" x14ac:dyDescent="0.25">
      <c r="A30" s="24"/>
      <c r="B30" s="25" t="s">
        <v>10</v>
      </c>
      <c r="C30" s="32"/>
      <c r="D30" s="26" t="s">
        <v>243</v>
      </c>
      <c r="E30" s="26"/>
      <c r="F30" s="30" t="s">
        <v>118</v>
      </c>
      <c r="G30" s="26"/>
      <c r="H30" s="26" t="s">
        <v>118</v>
      </c>
      <c r="I30" s="26"/>
      <c r="J30" s="26" t="s">
        <v>246</v>
      </c>
      <c r="K30" s="26"/>
      <c r="L30" s="26" t="s">
        <v>118</v>
      </c>
      <c r="M30" s="26"/>
      <c r="N30" s="26" t="s">
        <v>118</v>
      </c>
      <c r="O30" s="26"/>
      <c r="P30" s="26" t="s">
        <v>118</v>
      </c>
      <c r="Q30" s="26"/>
      <c r="R30" s="26"/>
      <c r="S30" s="31"/>
      <c r="T30" s="31"/>
      <c r="U30" s="175"/>
      <c r="V30" s="31"/>
      <c r="W30" s="34"/>
      <c r="X30" s="5"/>
    </row>
    <row r="31" spans="1:24" ht="15.75" x14ac:dyDescent="0.25">
      <c r="A31" s="28"/>
      <c r="B31" s="25" t="s">
        <v>133</v>
      </c>
      <c r="C31" s="36"/>
      <c r="D31" s="143">
        <v>1000000</v>
      </c>
      <c r="E31" s="32"/>
      <c r="F31" s="31">
        <v>209500</v>
      </c>
      <c r="G31" s="31"/>
      <c r="H31" s="124">
        <v>110000</v>
      </c>
      <c r="I31" s="124"/>
      <c r="J31" s="143">
        <v>150000</v>
      </c>
      <c r="K31" s="31"/>
      <c r="L31" s="31">
        <v>17000</v>
      </c>
      <c r="M31" s="31"/>
      <c r="N31" s="124">
        <v>85500</v>
      </c>
      <c r="O31" s="31"/>
      <c r="P31" s="124">
        <v>110500</v>
      </c>
      <c r="Q31" s="31"/>
      <c r="R31" s="124"/>
      <c r="S31" s="35"/>
      <c r="T31" s="35"/>
      <c r="U31" s="37"/>
      <c r="V31" s="35"/>
      <c r="W31" s="34"/>
      <c r="X31" s="5"/>
    </row>
    <row r="32" spans="1:24" ht="15.75" x14ac:dyDescent="0.25">
      <c r="A32" s="24"/>
      <c r="B32" s="25" t="s">
        <v>132</v>
      </c>
      <c r="C32" s="32"/>
      <c r="D32" s="143">
        <f>D31*D38</f>
        <v>847513.59999999998</v>
      </c>
      <c r="E32" s="32"/>
      <c r="F32" s="31">
        <f>F31*F38</f>
        <v>177554.18299999999</v>
      </c>
      <c r="G32" s="31"/>
      <c r="H32" s="124">
        <f>H31*H38</f>
        <v>93226.891999999993</v>
      </c>
      <c r="I32" s="124"/>
      <c r="J32" s="143">
        <f>J31*J38</f>
        <v>127127.03999999999</v>
      </c>
      <c r="K32" s="31"/>
      <c r="L32" s="31">
        <f>L31*L38</f>
        <v>17000</v>
      </c>
      <c r="M32" s="31"/>
      <c r="N32" s="124">
        <f>N31*N38</f>
        <v>85500</v>
      </c>
      <c r="O32" s="31"/>
      <c r="P32" s="124">
        <f>P31*P38</f>
        <v>110500</v>
      </c>
      <c r="Q32" s="31"/>
      <c r="R32" s="124"/>
      <c r="S32" s="31"/>
      <c r="T32" s="31"/>
      <c r="U32" s="175"/>
      <c r="V32" s="31"/>
      <c r="W32" s="34"/>
      <c r="X32" s="5"/>
    </row>
    <row r="33" spans="1:27" ht="15.75" x14ac:dyDescent="0.25">
      <c r="A33" s="24"/>
      <c r="B33" s="29" t="s">
        <v>134</v>
      </c>
      <c r="C33" s="32"/>
      <c r="D33" s="170">
        <f>D37*D31</f>
        <v>841764.70000000007</v>
      </c>
      <c r="E33" s="36"/>
      <c r="F33" s="35">
        <f>F37*F31</f>
        <v>176349.8094</v>
      </c>
      <c r="G33" s="35"/>
      <c r="H33" s="125">
        <f>H31*H37</f>
        <v>92594.52399999999</v>
      </c>
      <c r="I33" s="125"/>
      <c r="J33" s="170">
        <f>J37*J31</f>
        <v>126264.705</v>
      </c>
      <c r="K33" s="35"/>
      <c r="L33" s="35">
        <f>L31*L37</f>
        <v>17000</v>
      </c>
      <c r="M33" s="35"/>
      <c r="N33" s="125">
        <f>N31*N37</f>
        <v>85500</v>
      </c>
      <c r="O33" s="35"/>
      <c r="P33" s="125">
        <f>P31*P37</f>
        <v>110500</v>
      </c>
      <c r="Q33" s="35"/>
      <c r="R33" s="125"/>
      <c r="S33" s="31"/>
      <c r="T33" s="31"/>
      <c r="U33" s="175"/>
      <c r="V33" s="31"/>
      <c r="W33" s="34"/>
      <c r="X33" s="5"/>
    </row>
    <row r="34" spans="1:27" ht="15.75" x14ac:dyDescent="0.25">
      <c r="A34" s="28"/>
      <c r="B34" s="25" t="s">
        <v>286</v>
      </c>
      <c r="C34" s="36"/>
      <c r="D34" s="31">
        <v>492951</v>
      </c>
      <c r="E34" s="32"/>
      <c r="F34" s="31">
        <v>209500</v>
      </c>
      <c r="G34" s="31"/>
      <c r="H34" s="31">
        <v>74677</v>
      </c>
      <c r="I34" s="31"/>
      <c r="J34" s="31">
        <v>73943</v>
      </c>
      <c r="K34" s="31"/>
      <c r="L34" s="31">
        <v>17000</v>
      </c>
      <c r="M34" s="31"/>
      <c r="N34" s="31">
        <v>58045</v>
      </c>
      <c r="O34" s="31"/>
      <c r="P34" s="31">
        <v>75017</v>
      </c>
      <c r="Q34" s="31"/>
      <c r="R34" s="31"/>
      <c r="S34" s="35"/>
      <c r="T34" s="35"/>
      <c r="U34" s="37"/>
      <c r="V34" s="150">
        <f>SUM(C34:R34)</f>
        <v>1001133</v>
      </c>
      <c r="W34" s="34"/>
      <c r="X34" s="5"/>
    </row>
    <row r="35" spans="1:27" ht="15.75" x14ac:dyDescent="0.25">
      <c r="A35" s="28"/>
      <c r="B35" s="25" t="s">
        <v>287</v>
      </c>
      <c r="C35" s="126"/>
      <c r="D35" s="31">
        <f>D34*D38</f>
        <v>417782.67663359997</v>
      </c>
      <c r="E35" s="32"/>
      <c r="F35" s="31">
        <f>F34*F38</f>
        <v>177554.18299999999</v>
      </c>
      <c r="G35" s="31"/>
      <c r="H35" s="31">
        <f>H34*H38</f>
        <v>63290.0419444</v>
      </c>
      <c r="I35" s="31"/>
      <c r="J35" s="31">
        <f>J34*J38</f>
        <v>62667.698124800001</v>
      </c>
      <c r="K35" s="31"/>
      <c r="L35" s="31">
        <f>L34*L38</f>
        <v>17000</v>
      </c>
      <c r="M35" s="31"/>
      <c r="N35" s="31">
        <f>N34*N38</f>
        <v>58045</v>
      </c>
      <c r="O35" s="31"/>
      <c r="P35" s="31">
        <f>P34*P38</f>
        <v>75017</v>
      </c>
      <c r="Q35" s="31"/>
      <c r="R35" s="31"/>
      <c r="S35" s="31"/>
      <c r="T35" s="31"/>
      <c r="U35" s="175"/>
      <c r="V35" s="150">
        <f>SUM(C35:R35)-1</f>
        <v>871355.59970280004</v>
      </c>
      <c r="W35" s="34"/>
      <c r="X35" s="5"/>
    </row>
    <row r="36" spans="1:27" ht="15.75" x14ac:dyDescent="0.25">
      <c r="A36" s="28"/>
      <c r="B36" s="29" t="s">
        <v>288</v>
      </c>
      <c r="C36" s="126"/>
      <c r="D36" s="35">
        <f>D34*D37</f>
        <v>414948.75062970002</v>
      </c>
      <c r="E36" s="36"/>
      <c r="F36" s="35">
        <f>F34*F37</f>
        <v>176349.8094</v>
      </c>
      <c r="G36" s="35"/>
      <c r="H36" s="35">
        <f>H34*H37</f>
        <v>62860.7388068</v>
      </c>
      <c r="I36" s="35"/>
      <c r="J36" s="35">
        <f>J34*J37</f>
        <v>62242.607212100003</v>
      </c>
      <c r="K36" s="35"/>
      <c r="L36" s="35">
        <f>L34*L37</f>
        <v>17000</v>
      </c>
      <c r="M36" s="35"/>
      <c r="N36" s="35">
        <f>N34*N37</f>
        <v>58045</v>
      </c>
      <c r="O36" s="35"/>
      <c r="P36" s="35">
        <f>P34*P37</f>
        <v>75017</v>
      </c>
      <c r="Q36" s="35"/>
      <c r="R36" s="35"/>
      <c r="S36" s="128"/>
      <c r="T36" s="128"/>
      <c r="U36" s="175"/>
      <c r="V36" s="151">
        <f>SUM(C36:R36)</f>
        <v>866463.9060486001</v>
      </c>
      <c r="W36" s="34"/>
      <c r="X36" s="5"/>
    </row>
    <row r="37" spans="1:27" ht="15.75" x14ac:dyDescent="0.25">
      <c r="A37" s="24"/>
      <c r="B37" s="122" t="s">
        <v>130</v>
      </c>
      <c r="C37" s="25"/>
      <c r="D37" s="168">
        <v>0.84176470000000003</v>
      </c>
      <c r="E37" s="168"/>
      <c r="F37" s="168">
        <v>0.84176519999999999</v>
      </c>
      <c r="G37" s="168"/>
      <c r="H37" s="168">
        <v>0.84176839999999997</v>
      </c>
      <c r="I37" s="168"/>
      <c r="J37" s="168">
        <v>0.84176470000000003</v>
      </c>
      <c r="K37" s="168"/>
      <c r="L37" s="168">
        <v>1</v>
      </c>
      <c r="M37" s="168"/>
      <c r="N37" s="168">
        <v>1</v>
      </c>
      <c r="O37" s="168"/>
      <c r="P37" s="168">
        <v>1</v>
      </c>
      <c r="Q37" s="168"/>
      <c r="R37" s="168"/>
      <c r="S37" s="30"/>
      <c r="T37" s="30"/>
      <c r="U37" s="174"/>
      <c r="V37" s="174"/>
      <c r="W37" s="25"/>
      <c r="X37" s="5"/>
    </row>
    <row r="38" spans="1:27" ht="15.75" x14ac:dyDescent="0.25">
      <c r="A38" s="24"/>
      <c r="B38" s="122" t="s">
        <v>131</v>
      </c>
      <c r="C38" s="25"/>
      <c r="D38" s="168">
        <v>0.84751359999999998</v>
      </c>
      <c r="E38" s="168"/>
      <c r="F38" s="168">
        <v>0.84751399999999999</v>
      </c>
      <c r="G38" s="168"/>
      <c r="H38" s="168">
        <v>0.84751719999999997</v>
      </c>
      <c r="I38" s="168"/>
      <c r="J38" s="168">
        <v>0.84751359999999998</v>
      </c>
      <c r="K38" s="168"/>
      <c r="L38" s="168">
        <v>1</v>
      </c>
      <c r="M38" s="168"/>
      <c r="N38" s="168">
        <v>1</v>
      </c>
      <c r="O38" s="168"/>
      <c r="P38" s="168">
        <v>1</v>
      </c>
      <c r="Q38" s="168"/>
      <c r="R38" s="168"/>
      <c r="S38" s="39"/>
      <c r="T38" s="38"/>
      <c r="U38" s="174"/>
      <c r="V38" s="39"/>
      <c r="W38" s="25"/>
      <c r="X38" s="5"/>
    </row>
    <row r="39" spans="1:27" ht="15.75" x14ac:dyDescent="0.25">
      <c r="A39" s="24"/>
      <c r="B39" s="25" t="s">
        <v>11</v>
      </c>
      <c r="C39" s="25"/>
      <c r="D39" s="30" t="s">
        <v>278</v>
      </c>
      <c r="E39" s="25"/>
      <c r="F39" s="30" t="s">
        <v>251</v>
      </c>
      <c r="G39" s="30"/>
      <c r="H39" s="30" t="s">
        <v>252</v>
      </c>
      <c r="I39" s="30"/>
      <c r="J39" s="30" t="s">
        <v>253</v>
      </c>
      <c r="K39" s="30"/>
      <c r="L39" s="30" t="s">
        <v>254</v>
      </c>
      <c r="M39" s="30"/>
      <c r="N39" s="30" t="s">
        <v>254</v>
      </c>
      <c r="O39" s="30"/>
      <c r="P39" s="30" t="s">
        <v>255</v>
      </c>
      <c r="Q39" s="30"/>
      <c r="R39" s="30"/>
      <c r="S39" s="39"/>
      <c r="T39" s="38"/>
      <c r="U39" s="174"/>
      <c r="V39" s="174"/>
      <c r="W39" s="25"/>
      <c r="X39" s="5"/>
    </row>
    <row r="40" spans="1:27" ht="15.75" x14ac:dyDescent="0.25">
      <c r="A40" s="24"/>
      <c r="B40" s="25" t="s">
        <v>12</v>
      </c>
      <c r="C40" s="25"/>
      <c r="D40" s="38">
        <v>3.2188E-3</v>
      </c>
      <c r="E40" s="25"/>
      <c r="F40" s="38">
        <v>7.3562999999999996E-3</v>
      </c>
      <c r="G40" s="39"/>
      <c r="H40" s="38">
        <v>8.3400000000000002E-3</v>
      </c>
      <c r="I40" s="38"/>
      <c r="J40" s="38">
        <v>3.6362999999999999E-3</v>
      </c>
      <c r="K40" s="39"/>
      <c r="L40" s="38">
        <v>8.7562999999999998E-3</v>
      </c>
      <c r="M40" s="39"/>
      <c r="N40" s="38">
        <v>9.8399999999999998E-3</v>
      </c>
      <c r="O40" s="39"/>
      <c r="P40" s="38">
        <v>1.264E-2</v>
      </c>
      <c r="Q40" s="39"/>
      <c r="R40" s="38"/>
      <c r="S40" s="39"/>
      <c r="T40" s="38"/>
      <c r="U40" s="174"/>
      <c r="V40" s="30"/>
      <c r="W40" s="25"/>
      <c r="X40" s="5"/>
      <c r="AA40" s="1" t="s">
        <v>193</v>
      </c>
    </row>
    <row r="41" spans="1:27" ht="15.75" x14ac:dyDescent="0.25">
      <c r="A41" s="24"/>
      <c r="B41" s="25" t="s">
        <v>13</v>
      </c>
      <c r="C41" s="25"/>
      <c r="D41" s="38">
        <v>3.2875000000000001E-3</v>
      </c>
      <c r="E41" s="25"/>
      <c r="F41" s="38">
        <v>7.4063000000000002E-3</v>
      </c>
      <c r="G41" s="39"/>
      <c r="H41" s="38">
        <v>8.9300000000000004E-3</v>
      </c>
      <c r="I41" s="38"/>
      <c r="J41" s="38">
        <v>4.0899999999999999E-3</v>
      </c>
      <c r="K41" s="39"/>
      <c r="L41" s="38">
        <v>8.8062999999999995E-3</v>
      </c>
      <c r="M41" s="39"/>
      <c r="N41" s="38">
        <v>1.043E-2</v>
      </c>
      <c r="O41" s="39"/>
      <c r="P41" s="38">
        <v>1.323E-2</v>
      </c>
      <c r="Q41" s="39"/>
      <c r="R41" s="38"/>
      <c r="S41" s="39"/>
      <c r="T41" s="38"/>
      <c r="U41" s="174"/>
      <c r="V41" s="39" t="s">
        <v>193</v>
      </c>
      <c r="W41" s="25"/>
      <c r="X41" s="5"/>
    </row>
    <row r="42" spans="1:27" ht="15.75" x14ac:dyDescent="0.25">
      <c r="A42" s="24"/>
      <c r="B42" s="25" t="s">
        <v>289</v>
      </c>
      <c r="C42" s="25"/>
      <c r="D42" s="30" t="s">
        <v>279</v>
      </c>
      <c r="E42" s="25"/>
      <c r="F42" s="30" t="s">
        <v>251</v>
      </c>
      <c r="G42" s="30"/>
      <c r="H42" s="30" t="s">
        <v>229</v>
      </c>
      <c r="I42" s="30"/>
      <c r="J42" s="30" t="s">
        <v>229</v>
      </c>
      <c r="K42" s="30"/>
      <c r="L42" s="30" t="s">
        <v>254</v>
      </c>
      <c r="M42" s="30"/>
      <c r="N42" s="30" t="s">
        <v>262</v>
      </c>
      <c r="O42" s="30"/>
      <c r="P42" s="30" t="s">
        <v>263</v>
      </c>
      <c r="Q42" s="30"/>
      <c r="R42" s="30"/>
      <c r="S42" s="39"/>
      <c r="T42" s="38"/>
      <c r="U42" s="174"/>
      <c r="V42" s="174"/>
      <c r="W42" s="25"/>
      <c r="X42" s="5"/>
    </row>
    <row r="43" spans="1:27" ht="15.75" x14ac:dyDescent="0.25">
      <c r="A43" s="24"/>
      <c r="B43" s="25" t="s">
        <v>290</v>
      </c>
      <c r="C43" s="110"/>
      <c r="D43" s="38">
        <v>7.1482500000000001E-3</v>
      </c>
      <c r="E43" s="38"/>
      <c r="F43" s="38">
        <f>+F40</f>
        <v>7.3562999999999996E-3</v>
      </c>
      <c r="G43" s="38"/>
      <c r="H43" s="38">
        <v>7.4313000000000001E-3</v>
      </c>
      <c r="I43" s="38"/>
      <c r="J43" s="38">
        <v>7.4463000000000003E-3</v>
      </c>
      <c r="K43" s="38"/>
      <c r="L43" s="38">
        <f>+L40</f>
        <v>8.7562999999999998E-3</v>
      </c>
      <c r="M43" s="38"/>
      <c r="N43" s="38">
        <v>9.1233000000000009E-3</v>
      </c>
      <c r="O43" s="38"/>
      <c r="P43" s="38">
        <v>1.22033E-2</v>
      </c>
      <c r="Q43" s="39"/>
      <c r="R43" s="38"/>
      <c r="S43" s="30"/>
      <c r="T43" s="30"/>
      <c r="U43" s="174"/>
      <c r="V43" s="39">
        <f>SUMPRODUCT(D43:R43,D35:R35)/V35</f>
        <v>7.8307876036195316E-3</v>
      </c>
      <c r="W43" s="25"/>
      <c r="X43" s="5"/>
    </row>
    <row r="44" spans="1:27" ht="15.75" x14ac:dyDescent="0.25">
      <c r="A44" s="24"/>
      <c r="B44" s="25" t="s">
        <v>291</v>
      </c>
      <c r="C44" s="110"/>
      <c r="D44" s="38">
        <v>7.1982499999999998E-3</v>
      </c>
      <c r="E44" s="38"/>
      <c r="F44" s="38">
        <f>+F41</f>
        <v>7.4063000000000002E-3</v>
      </c>
      <c r="G44" s="38"/>
      <c r="H44" s="38">
        <v>7.4812999999999998E-3</v>
      </c>
      <c r="I44" s="38"/>
      <c r="J44" s="38">
        <v>7.4963E-3</v>
      </c>
      <c r="K44" s="38"/>
      <c r="L44" s="38">
        <f>+L41</f>
        <v>8.8062999999999995E-3</v>
      </c>
      <c r="M44" s="38"/>
      <c r="N44" s="38">
        <v>9.1733000000000006E-3</v>
      </c>
      <c r="O44" s="38"/>
      <c r="P44" s="38">
        <v>1.22533E-2</v>
      </c>
      <c r="Q44" s="39"/>
      <c r="R44" s="38"/>
      <c r="S44" s="30"/>
      <c r="T44" s="30"/>
      <c r="U44" s="174"/>
      <c r="V44" s="174"/>
      <c r="W44" s="25"/>
      <c r="X44" s="5"/>
    </row>
    <row r="45" spans="1:27" ht="15.75" x14ac:dyDescent="0.25">
      <c r="A45" s="24"/>
      <c r="B45" s="25" t="s">
        <v>14</v>
      </c>
      <c r="C45" s="25"/>
      <c r="D45" s="110">
        <v>40709</v>
      </c>
      <c r="E45" s="110"/>
      <c r="F45" s="110">
        <v>40709</v>
      </c>
      <c r="G45" s="110"/>
      <c r="H45" s="110">
        <v>40709</v>
      </c>
      <c r="I45" s="110"/>
      <c r="J45" s="110">
        <v>40709</v>
      </c>
      <c r="K45" s="110"/>
      <c r="L45" s="110">
        <v>40709</v>
      </c>
      <c r="M45" s="110"/>
      <c r="N45" s="110">
        <v>40709</v>
      </c>
      <c r="O45" s="110"/>
      <c r="P45" s="110">
        <v>40709</v>
      </c>
      <c r="Q45" s="110"/>
      <c r="R45" s="110"/>
      <c r="S45" s="30"/>
      <c r="T45" s="30"/>
      <c r="U45" s="174"/>
      <c r="V45" s="174"/>
      <c r="W45" s="25"/>
      <c r="X45" s="5"/>
    </row>
    <row r="46" spans="1:27" ht="15.75" x14ac:dyDescent="0.25">
      <c r="A46" s="24"/>
      <c r="B46" s="25" t="s">
        <v>15</v>
      </c>
      <c r="C46" s="25"/>
      <c r="D46" s="110" t="s">
        <v>118</v>
      </c>
      <c r="E46" s="110"/>
      <c r="F46" s="110">
        <v>41075</v>
      </c>
      <c r="G46" s="110"/>
      <c r="H46" s="110">
        <v>41075</v>
      </c>
      <c r="I46" s="110"/>
      <c r="J46" s="110">
        <v>41075</v>
      </c>
      <c r="K46" s="30"/>
      <c r="L46" s="110">
        <v>41075</v>
      </c>
      <c r="M46" s="30"/>
      <c r="N46" s="110">
        <v>41075</v>
      </c>
      <c r="O46" s="30"/>
      <c r="P46" s="110">
        <v>41075</v>
      </c>
      <c r="Q46" s="30"/>
      <c r="R46" s="110"/>
      <c r="S46" s="30"/>
      <c r="T46" s="30"/>
      <c r="U46" s="174"/>
      <c r="V46" s="174"/>
      <c r="W46" s="25"/>
      <c r="X46" s="5"/>
    </row>
    <row r="47" spans="1:27" ht="15.75" x14ac:dyDescent="0.25">
      <c r="A47" s="24"/>
      <c r="B47" s="25" t="s">
        <v>119</v>
      </c>
      <c r="C47" s="25"/>
      <c r="D47" s="171" t="s">
        <v>118</v>
      </c>
      <c r="E47" s="25"/>
      <c r="F47" s="30" t="s">
        <v>256</v>
      </c>
      <c r="G47" s="30"/>
      <c r="H47" s="30" t="s">
        <v>257</v>
      </c>
      <c r="I47" s="30"/>
      <c r="J47" s="30" t="s">
        <v>258</v>
      </c>
      <c r="K47" s="30"/>
      <c r="L47" s="30" t="s">
        <v>259</v>
      </c>
      <c r="M47" s="30"/>
      <c r="N47" s="30" t="s">
        <v>259</v>
      </c>
      <c r="O47" s="30"/>
      <c r="P47" s="30" t="s">
        <v>260</v>
      </c>
      <c r="Q47" s="30"/>
      <c r="R47" s="30"/>
      <c r="S47" s="40"/>
      <c r="T47" s="40"/>
      <c r="U47" s="40"/>
      <c r="V47" s="40"/>
      <c r="W47" s="25"/>
      <c r="X47" s="5"/>
    </row>
    <row r="48" spans="1:27" ht="15.75" x14ac:dyDescent="0.25">
      <c r="A48" s="24"/>
      <c r="B48" s="25" t="s">
        <v>292</v>
      </c>
      <c r="C48" s="25"/>
      <c r="D48" s="30" t="s">
        <v>200</v>
      </c>
      <c r="E48" s="25"/>
      <c r="F48" s="30" t="s">
        <v>256</v>
      </c>
      <c r="G48" s="30"/>
      <c r="H48" s="30" t="s">
        <v>261</v>
      </c>
      <c r="I48" s="30"/>
      <c r="J48" s="30" t="s">
        <v>261</v>
      </c>
      <c r="K48" s="30"/>
      <c r="L48" s="30" t="s">
        <v>259</v>
      </c>
      <c r="M48" s="30"/>
      <c r="N48" s="30" t="s">
        <v>263</v>
      </c>
      <c r="O48" s="30"/>
      <c r="P48" s="30" t="s">
        <v>264</v>
      </c>
      <c r="Q48" s="30"/>
      <c r="R48" s="30"/>
      <c r="S48" s="25"/>
      <c r="T48" s="25"/>
      <c r="U48" s="25"/>
      <c r="V48" s="39"/>
      <c r="W48" s="25"/>
      <c r="X48" s="5"/>
    </row>
    <row r="49" spans="1:25" ht="15.75" x14ac:dyDescent="0.25">
      <c r="A49" s="24"/>
      <c r="B49" s="25"/>
      <c r="C49" s="25"/>
      <c r="D49" s="30"/>
      <c r="E49" s="25"/>
      <c r="F49" s="30"/>
      <c r="G49" s="30"/>
      <c r="H49" s="30"/>
      <c r="I49" s="30"/>
      <c r="J49" s="30"/>
      <c r="K49" s="30"/>
      <c r="L49" s="30"/>
      <c r="M49" s="30"/>
      <c r="N49" s="30"/>
      <c r="O49" s="30"/>
      <c r="P49" s="30"/>
      <c r="Q49" s="30"/>
      <c r="R49" s="30"/>
      <c r="S49" s="25"/>
      <c r="T49" s="25"/>
      <c r="U49" s="25"/>
      <c r="V49" s="39" t="s">
        <v>193</v>
      </c>
      <c r="W49" s="25"/>
      <c r="X49" s="5"/>
    </row>
    <row r="50" spans="1:25" ht="15.75" x14ac:dyDescent="0.25">
      <c r="A50" s="24"/>
      <c r="B50" s="25" t="s">
        <v>169</v>
      </c>
      <c r="C50" s="25"/>
      <c r="D50" s="30"/>
      <c r="E50" s="25"/>
      <c r="F50" s="30"/>
      <c r="G50" s="30"/>
      <c r="H50" s="30"/>
      <c r="I50" s="30"/>
      <c r="J50" s="30"/>
      <c r="K50" s="30"/>
      <c r="L50" s="30"/>
      <c r="M50" s="30"/>
      <c r="N50" s="30"/>
      <c r="O50" s="30"/>
      <c r="P50" s="30"/>
      <c r="Q50" s="30"/>
      <c r="R50" s="30"/>
      <c r="S50" s="25"/>
      <c r="T50" s="25"/>
      <c r="U50" s="25"/>
      <c r="V50" s="39">
        <f>SUM(L34:R34)/SUM(D34:J34)</f>
        <v>0.17632136449250416</v>
      </c>
      <c r="W50" s="25"/>
      <c r="X50" s="5"/>
    </row>
    <row r="51" spans="1:25" ht="15.75" x14ac:dyDescent="0.25">
      <c r="A51" s="24"/>
      <c r="B51" s="25" t="s">
        <v>170</v>
      </c>
      <c r="C51" s="25"/>
      <c r="D51" s="25"/>
      <c r="E51" s="25"/>
      <c r="F51" s="41"/>
      <c r="G51" s="25"/>
      <c r="H51" s="25"/>
      <c r="I51" s="25"/>
      <c r="J51" s="25"/>
      <c r="K51" s="25"/>
      <c r="L51" s="25"/>
      <c r="M51" s="25"/>
      <c r="N51" s="25"/>
      <c r="O51" s="25"/>
      <c r="P51" s="25"/>
      <c r="Q51" s="25"/>
      <c r="R51" s="25"/>
      <c r="S51" s="25"/>
      <c r="T51" s="25"/>
      <c r="U51" s="25"/>
      <c r="V51" s="39">
        <f>SUM(L36:R36)/SUM(D36:J36)</f>
        <v>0.20946622103182946</v>
      </c>
      <c r="W51" s="25"/>
      <c r="X51" s="5"/>
    </row>
    <row r="52" spans="1:25" ht="15.75" x14ac:dyDescent="0.25">
      <c r="A52" s="24"/>
      <c r="B52" s="25" t="s">
        <v>171</v>
      </c>
      <c r="C52" s="25"/>
      <c r="D52" s="25"/>
      <c r="E52" s="25"/>
      <c r="F52" s="25"/>
      <c r="G52" s="25"/>
      <c r="H52" s="25"/>
      <c r="I52" s="25"/>
      <c r="J52" s="25"/>
      <c r="K52" s="25"/>
      <c r="L52" s="25"/>
      <c r="M52" s="25"/>
      <c r="N52" s="25"/>
      <c r="O52" s="25"/>
      <c r="P52" s="25"/>
      <c r="Q52" s="25"/>
      <c r="R52" s="25"/>
      <c r="S52" s="25"/>
      <c r="T52" s="30"/>
      <c r="U52" s="30"/>
      <c r="V52" s="31" t="s">
        <v>268</v>
      </c>
      <c r="W52" s="25"/>
      <c r="X52" s="5"/>
    </row>
    <row r="53" spans="1:25" ht="15.75" x14ac:dyDescent="0.25">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75" x14ac:dyDescent="0.25">
      <c r="A54" s="24"/>
      <c r="B54" s="25" t="s">
        <v>202</v>
      </c>
      <c r="C54" s="25"/>
      <c r="D54" s="25"/>
      <c r="E54" s="25"/>
      <c r="F54" s="25"/>
      <c r="G54" s="25"/>
      <c r="H54" s="25"/>
      <c r="I54" s="25"/>
      <c r="J54" s="25"/>
      <c r="K54" s="25"/>
      <c r="L54" s="25"/>
      <c r="M54" s="25"/>
      <c r="N54" s="25"/>
      <c r="O54" s="25"/>
      <c r="P54" s="25"/>
      <c r="Q54" s="25"/>
      <c r="R54" s="25"/>
      <c r="S54" s="25"/>
      <c r="T54" s="25"/>
      <c r="U54" s="25"/>
      <c r="V54" s="152" t="s">
        <v>203</v>
      </c>
      <c r="W54" s="25"/>
      <c r="X54" s="5"/>
    </row>
    <row r="55" spans="1:25" ht="15.75" x14ac:dyDescent="0.25">
      <c r="A55" s="24"/>
      <c r="B55" s="25" t="s">
        <v>270</v>
      </c>
      <c r="C55" s="25"/>
      <c r="D55" s="25"/>
      <c r="E55" s="25"/>
      <c r="F55" s="25"/>
      <c r="G55" s="25"/>
      <c r="H55" s="25"/>
      <c r="I55" s="25"/>
      <c r="J55" s="25"/>
      <c r="K55" s="25"/>
      <c r="L55" s="25"/>
      <c r="M55" s="25"/>
      <c r="N55" s="25"/>
      <c r="O55" s="25"/>
      <c r="P55" s="25"/>
      <c r="Q55" s="25"/>
      <c r="R55" s="25"/>
      <c r="S55" s="25"/>
      <c r="T55" s="30"/>
      <c r="U55" s="30"/>
      <c r="V55" s="153" t="s">
        <v>111</v>
      </c>
      <c r="W55" s="25"/>
      <c r="X55" s="5"/>
    </row>
    <row r="56" spans="1:25" ht="15.75" x14ac:dyDescent="0.25">
      <c r="A56" s="24"/>
      <c r="B56" s="29" t="s">
        <v>201</v>
      </c>
      <c r="C56" s="29"/>
      <c r="D56" s="29"/>
      <c r="E56" s="29"/>
      <c r="F56" s="29"/>
      <c r="G56" s="29"/>
      <c r="H56" s="29"/>
      <c r="I56" s="29"/>
      <c r="J56" s="29"/>
      <c r="K56" s="29"/>
      <c r="L56" s="29"/>
      <c r="M56" s="29"/>
      <c r="N56" s="29"/>
      <c r="O56" s="29"/>
      <c r="P56" s="29"/>
      <c r="Q56" s="29"/>
      <c r="R56" s="29"/>
      <c r="S56" s="29"/>
      <c r="T56" s="43"/>
      <c r="U56" s="43"/>
      <c r="V56" s="44">
        <v>40252</v>
      </c>
      <c r="W56" s="25"/>
      <c r="X56" s="5"/>
    </row>
    <row r="57" spans="1:25" ht="15.75" x14ac:dyDescent="0.25">
      <c r="A57" s="24"/>
      <c r="B57" s="25" t="s">
        <v>121</v>
      </c>
      <c r="C57" s="25"/>
      <c r="D57" s="25"/>
      <c r="E57" s="25"/>
      <c r="F57" s="25"/>
      <c r="G57" s="25"/>
      <c r="H57" s="58"/>
      <c r="I57" s="58"/>
      <c r="J57" s="58"/>
      <c r="K57" s="58"/>
      <c r="L57" s="58"/>
      <c r="M57" s="58"/>
      <c r="N57" s="58"/>
      <c r="O57" s="58"/>
      <c r="P57" s="58"/>
      <c r="Q57" s="58"/>
      <c r="R57" s="25">
        <f>+V57-T57+1</f>
        <v>91</v>
      </c>
      <c r="S57" s="58"/>
      <c r="T57" s="45">
        <v>40071</v>
      </c>
      <c r="U57" s="46"/>
      <c r="V57" s="45">
        <v>40161</v>
      </c>
      <c r="W57" s="25"/>
      <c r="X57" s="5"/>
    </row>
    <row r="58" spans="1:25" ht="15.75" x14ac:dyDescent="0.25">
      <c r="A58" s="24"/>
      <c r="B58" s="25" t="s">
        <v>122</v>
      </c>
      <c r="C58" s="25"/>
      <c r="D58" s="25"/>
      <c r="E58" s="25"/>
      <c r="F58" s="25"/>
      <c r="G58" s="25"/>
      <c r="H58" s="25"/>
      <c r="I58" s="25"/>
      <c r="J58" s="25"/>
      <c r="K58" s="25"/>
      <c r="L58" s="25"/>
      <c r="M58" s="25"/>
      <c r="N58" s="25"/>
      <c r="O58" s="25"/>
      <c r="P58" s="25"/>
      <c r="Q58" s="25"/>
      <c r="R58" s="25">
        <f>+V58-T58+1</f>
        <v>90</v>
      </c>
      <c r="S58" s="25"/>
      <c r="T58" s="45">
        <v>40162</v>
      </c>
      <c r="U58" s="46"/>
      <c r="V58" s="45">
        <v>40251</v>
      </c>
      <c r="W58" s="25"/>
      <c r="X58" s="5"/>
    </row>
    <row r="59" spans="1:25" ht="15.75" x14ac:dyDescent="0.25">
      <c r="A59" s="24"/>
      <c r="B59" s="25" t="s">
        <v>223</v>
      </c>
      <c r="C59" s="25"/>
      <c r="D59" s="25"/>
      <c r="E59" s="25"/>
      <c r="F59" s="25"/>
      <c r="G59" s="25"/>
      <c r="H59" s="25"/>
      <c r="I59" s="25"/>
      <c r="J59" s="25"/>
      <c r="K59" s="25"/>
      <c r="L59" s="25"/>
      <c r="M59" s="25"/>
      <c r="N59" s="25"/>
      <c r="O59" s="25"/>
      <c r="P59" s="25"/>
      <c r="Q59" s="25"/>
      <c r="R59" s="25"/>
      <c r="S59" s="25"/>
      <c r="T59" s="45"/>
      <c r="U59" s="46"/>
      <c r="V59" s="45" t="s">
        <v>120</v>
      </c>
      <c r="W59" s="25"/>
      <c r="X59" s="5"/>
    </row>
    <row r="60" spans="1:25" ht="15.75" x14ac:dyDescent="0.25">
      <c r="A60" s="24"/>
      <c r="B60" s="25" t="s">
        <v>271</v>
      </c>
      <c r="C60" s="25"/>
      <c r="D60" s="25"/>
      <c r="E60" s="25"/>
      <c r="F60" s="25"/>
      <c r="G60" s="25"/>
      <c r="H60" s="25"/>
      <c r="I60" s="25"/>
      <c r="J60" s="25"/>
      <c r="K60" s="25"/>
      <c r="L60" s="25"/>
      <c r="M60" s="25"/>
      <c r="N60" s="25"/>
      <c r="O60" s="25"/>
      <c r="P60" s="25"/>
      <c r="Q60" s="25"/>
      <c r="R60" s="25"/>
      <c r="S60" s="25"/>
      <c r="T60" s="45"/>
      <c r="U60" s="46"/>
      <c r="V60" s="45" t="s">
        <v>154</v>
      </c>
      <c r="W60" s="25"/>
      <c r="X60" s="5"/>
      <c r="Y60" s="133"/>
    </row>
    <row r="61" spans="1:25" ht="15.75" x14ac:dyDescent="0.25">
      <c r="A61" s="24"/>
      <c r="B61" s="25" t="s">
        <v>16</v>
      </c>
      <c r="C61" s="25"/>
      <c r="D61" s="25"/>
      <c r="E61" s="25"/>
      <c r="F61" s="25"/>
      <c r="G61" s="25"/>
      <c r="H61" s="25"/>
      <c r="I61" s="25"/>
      <c r="J61" s="25"/>
      <c r="K61" s="25"/>
      <c r="L61" s="25"/>
      <c r="M61" s="25"/>
      <c r="N61" s="25"/>
      <c r="O61" s="25"/>
      <c r="P61" s="25"/>
      <c r="Q61" s="25"/>
      <c r="R61" s="25"/>
      <c r="S61" s="25"/>
      <c r="T61" s="45"/>
      <c r="U61" s="46"/>
      <c r="V61" s="45">
        <v>40238</v>
      </c>
      <c r="W61" s="25"/>
      <c r="X61" s="5"/>
    </row>
    <row r="62" spans="1:25" ht="15.75" x14ac:dyDescent="0.25">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75" x14ac:dyDescent="0.25">
      <c r="A63" s="6"/>
      <c r="B63" s="8"/>
      <c r="C63" s="8"/>
      <c r="D63" s="8"/>
      <c r="E63" s="8"/>
      <c r="F63" s="8"/>
      <c r="G63" s="8"/>
      <c r="H63" s="8"/>
      <c r="I63" s="8"/>
      <c r="J63" s="8"/>
      <c r="K63" s="8"/>
      <c r="L63" s="8"/>
      <c r="M63" s="8"/>
      <c r="N63" s="8"/>
      <c r="O63" s="8"/>
      <c r="P63" s="8"/>
      <c r="Q63" s="8"/>
      <c r="R63" s="8"/>
      <c r="S63" s="8"/>
      <c r="T63" s="47"/>
      <c r="U63" s="48"/>
      <c r="V63" s="47"/>
      <c r="W63" s="8"/>
      <c r="X63" s="5"/>
    </row>
    <row r="64" spans="1:25" ht="19.5" thickBot="1" x14ac:dyDescent="0.35">
      <c r="A64" s="101"/>
      <c r="B64" s="102" t="s">
        <v>294</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75" x14ac:dyDescent="0.25">
      <c r="A65" s="2"/>
      <c r="B65" s="4"/>
      <c r="C65" s="4"/>
      <c r="D65" s="4"/>
      <c r="E65" s="4"/>
      <c r="F65" s="4"/>
      <c r="G65" s="4"/>
      <c r="H65" s="4"/>
      <c r="I65" s="4"/>
      <c r="J65" s="4"/>
      <c r="K65" s="4"/>
      <c r="L65" s="4"/>
      <c r="M65" s="4"/>
      <c r="N65" s="4"/>
      <c r="O65" s="4"/>
      <c r="P65" s="4"/>
      <c r="Q65" s="4"/>
      <c r="R65" s="4"/>
      <c r="S65" s="4"/>
      <c r="T65" s="4"/>
      <c r="U65" s="4"/>
      <c r="V65" s="50"/>
      <c r="W65" s="4"/>
      <c r="X65" s="5"/>
    </row>
    <row r="66" spans="1:24" ht="15.75" x14ac:dyDescent="0.25">
      <c r="A66" s="6"/>
      <c r="B66" s="51" t="s">
        <v>17</v>
      </c>
      <c r="C66" s="8"/>
      <c r="D66" s="8"/>
      <c r="E66" s="8"/>
      <c r="F66" s="8"/>
      <c r="G66" s="8"/>
      <c r="H66" s="8"/>
      <c r="I66" s="8"/>
      <c r="J66" s="8"/>
      <c r="K66" s="8"/>
      <c r="L66" s="8"/>
      <c r="M66" s="8"/>
      <c r="N66" s="8"/>
      <c r="O66" s="8"/>
      <c r="P66" s="8"/>
      <c r="Q66" s="8"/>
      <c r="R66" s="8"/>
      <c r="S66" s="8"/>
      <c r="T66" s="8"/>
      <c r="U66" s="8"/>
      <c r="V66" s="52"/>
      <c r="W66" s="8"/>
      <c r="X66" s="5"/>
    </row>
    <row r="67" spans="1:24" ht="15.75" x14ac:dyDescent="0.25">
      <c r="A67" s="6"/>
      <c r="B67" s="13"/>
      <c r="C67" s="8"/>
      <c r="D67" s="8"/>
      <c r="E67" s="8"/>
      <c r="F67" s="8"/>
      <c r="G67" s="8"/>
      <c r="H67" s="8"/>
      <c r="I67" s="8"/>
      <c r="J67" s="8"/>
      <c r="K67" s="8"/>
      <c r="L67" s="8"/>
      <c r="M67" s="8"/>
      <c r="N67" s="8"/>
      <c r="O67" s="8"/>
      <c r="P67" s="8"/>
      <c r="Q67" s="8"/>
      <c r="R67" s="8"/>
      <c r="S67" s="8"/>
      <c r="T67" s="8"/>
      <c r="U67" s="8"/>
      <c r="V67" s="52"/>
      <c r="W67" s="8"/>
      <c r="X67" s="5"/>
    </row>
    <row r="68" spans="1:24" ht="47.25" x14ac:dyDescent="0.25">
      <c r="A68" s="6"/>
      <c r="B68" s="114" t="s">
        <v>18</v>
      </c>
      <c r="C68" s="115"/>
      <c r="D68" s="115"/>
      <c r="E68" s="115"/>
      <c r="F68" s="115"/>
      <c r="G68" s="115"/>
      <c r="H68" s="115"/>
      <c r="I68" s="115"/>
      <c r="J68" s="115"/>
      <c r="K68" s="115"/>
      <c r="L68" s="115" t="s">
        <v>94</v>
      </c>
      <c r="M68" s="115"/>
      <c r="N68" s="115" t="s">
        <v>96</v>
      </c>
      <c r="O68" s="115"/>
      <c r="P68" s="115" t="s">
        <v>98</v>
      </c>
      <c r="Q68" s="115"/>
      <c r="R68" s="115" t="s">
        <v>100</v>
      </c>
      <c r="S68" s="115"/>
      <c r="T68" s="115" t="s">
        <v>106</v>
      </c>
      <c r="U68" s="115"/>
      <c r="V68" s="116" t="s">
        <v>112</v>
      </c>
      <c r="W68" s="117"/>
      <c r="X68" s="5"/>
    </row>
    <row r="69" spans="1:24" ht="15.75" x14ac:dyDescent="0.25">
      <c r="A69" s="24"/>
      <c r="B69" s="25" t="s">
        <v>19</v>
      </c>
      <c r="C69" s="34"/>
      <c r="D69" s="34"/>
      <c r="E69" s="34"/>
      <c r="F69" s="34"/>
      <c r="G69" s="34"/>
      <c r="H69" s="34"/>
      <c r="I69" s="34"/>
      <c r="J69" s="34"/>
      <c r="K69" s="34"/>
      <c r="L69" s="34">
        <v>812446</v>
      </c>
      <c r="M69" s="34"/>
      <c r="N69" s="53">
        <v>871356</v>
      </c>
      <c r="O69" s="34"/>
      <c r="P69" s="34">
        <f>4892+141+211</f>
        <v>5244</v>
      </c>
      <c r="Q69" s="34"/>
      <c r="R69" s="34">
        <f>141+211</f>
        <v>352</v>
      </c>
      <c r="S69" s="34"/>
      <c r="T69" s="34">
        <v>0</v>
      </c>
      <c r="U69" s="34"/>
      <c r="V69" s="53">
        <f>+N69-P69+R69-T69</f>
        <v>866464</v>
      </c>
      <c r="W69" s="25"/>
      <c r="X69" s="5"/>
    </row>
    <row r="70" spans="1:24" ht="15.75" x14ac:dyDescent="0.25">
      <c r="A70" s="24"/>
      <c r="B70" s="25" t="s">
        <v>20</v>
      </c>
      <c r="C70" s="34"/>
      <c r="D70" s="34"/>
      <c r="E70" s="34"/>
      <c r="F70" s="34"/>
      <c r="G70" s="34"/>
      <c r="H70" s="34"/>
      <c r="I70" s="34"/>
      <c r="J70" s="34"/>
      <c r="K70" s="34"/>
      <c r="L70" s="34">
        <v>0</v>
      </c>
      <c r="M70" s="34"/>
      <c r="N70" s="53">
        <v>0</v>
      </c>
      <c r="O70" s="34"/>
      <c r="P70" s="34">
        <v>0</v>
      </c>
      <c r="Q70" s="34"/>
      <c r="R70" s="34">
        <v>0</v>
      </c>
      <c r="S70" s="34"/>
      <c r="T70" s="34">
        <v>0</v>
      </c>
      <c r="U70" s="34"/>
      <c r="V70" s="53">
        <f>+L70-P70</f>
        <v>0</v>
      </c>
      <c r="W70" s="25"/>
      <c r="X70" s="5"/>
    </row>
    <row r="71" spans="1:24" ht="15.75" x14ac:dyDescent="0.25">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75" x14ac:dyDescent="0.25">
      <c r="A72" s="24"/>
      <c r="B72" s="25" t="s">
        <v>21</v>
      </c>
      <c r="C72" s="34"/>
      <c r="D72" s="34"/>
      <c r="E72" s="34"/>
      <c r="F72" s="34"/>
      <c r="G72" s="34"/>
      <c r="H72" s="34"/>
      <c r="I72" s="34"/>
      <c r="J72" s="34"/>
      <c r="K72" s="34"/>
      <c r="L72" s="34">
        <f>SUM(L69:L71)</f>
        <v>812446</v>
      </c>
      <c r="M72" s="34"/>
      <c r="N72" s="54">
        <f>N69+N70</f>
        <v>871356</v>
      </c>
      <c r="O72" s="34"/>
      <c r="P72" s="34">
        <f>SUM(P69:P71)</f>
        <v>5244</v>
      </c>
      <c r="Q72" s="34"/>
      <c r="R72" s="34">
        <f>SUM(R69:R71)</f>
        <v>352</v>
      </c>
      <c r="S72" s="34"/>
      <c r="T72" s="34">
        <f>SUM(T69:T71)</f>
        <v>0</v>
      </c>
      <c r="U72" s="34"/>
      <c r="V72" s="54">
        <f>SUM(V69:V71)</f>
        <v>866464</v>
      </c>
      <c r="W72" s="25"/>
      <c r="X72" s="5"/>
    </row>
    <row r="73" spans="1:24" ht="15.75" x14ac:dyDescent="0.25">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75" x14ac:dyDescent="0.25">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75" x14ac:dyDescent="0.25">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75" x14ac:dyDescent="0.25">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75" x14ac:dyDescent="0.25">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75" x14ac:dyDescent="0.25">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75" x14ac:dyDescent="0.25">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75" x14ac:dyDescent="0.25">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75" x14ac:dyDescent="0.25">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75" x14ac:dyDescent="0.25">
      <c r="A82" s="24"/>
      <c r="B82" s="25" t="s">
        <v>117</v>
      </c>
      <c r="C82" s="34"/>
      <c r="D82" s="34"/>
      <c r="E82" s="34"/>
      <c r="F82" s="34"/>
      <c r="G82" s="34"/>
      <c r="H82" s="34"/>
      <c r="I82" s="34"/>
      <c r="J82" s="34"/>
      <c r="K82" s="34"/>
      <c r="L82" s="34">
        <v>188687</v>
      </c>
      <c r="M82" s="34"/>
      <c r="N82" s="34">
        <v>0</v>
      </c>
      <c r="O82" s="34"/>
      <c r="P82" s="34">
        <v>0</v>
      </c>
      <c r="Q82" s="34"/>
      <c r="R82" s="34"/>
      <c r="S82" s="34"/>
      <c r="T82" s="34"/>
      <c r="U82" s="34"/>
      <c r="V82" s="54">
        <f>SUM(N82:R82)</f>
        <v>0</v>
      </c>
      <c r="W82" s="25"/>
      <c r="X82" s="5"/>
    </row>
    <row r="83" spans="1:24" ht="15.75" x14ac:dyDescent="0.25">
      <c r="A83" s="24"/>
      <c r="B83" s="25" t="s">
        <v>146</v>
      </c>
      <c r="C83" s="34"/>
      <c r="D83" s="34"/>
      <c r="E83" s="34"/>
      <c r="F83" s="34"/>
      <c r="G83" s="34"/>
      <c r="H83" s="34"/>
      <c r="I83" s="34"/>
      <c r="J83" s="34"/>
      <c r="K83" s="34"/>
      <c r="L83" s="34">
        <v>0</v>
      </c>
      <c r="M83" s="34"/>
      <c r="N83" s="34">
        <v>0</v>
      </c>
      <c r="O83" s="34"/>
      <c r="P83" s="34">
        <v>0</v>
      </c>
      <c r="Q83" s="34"/>
      <c r="R83" s="34"/>
      <c r="S83" s="34"/>
      <c r="T83" s="34"/>
      <c r="U83" s="34"/>
      <c r="V83" s="54">
        <f>+N83+P83</f>
        <v>0</v>
      </c>
      <c r="W83" s="25"/>
      <c r="X83" s="5"/>
    </row>
    <row r="84" spans="1:24" ht="15.75" x14ac:dyDescent="0.25">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75" x14ac:dyDescent="0.25">
      <c r="A85" s="24"/>
      <c r="B85" s="25" t="s">
        <v>26</v>
      </c>
      <c r="C85" s="34"/>
      <c r="D85" s="34"/>
      <c r="E85" s="34"/>
      <c r="F85" s="54"/>
      <c r="G85" s="34"/>
      <c r="H85" s="54"/>
      <c r="I85" s="54"/>
      <c r="J85" s="54"/>
      <c r="K85" s="54"/>
      <c r="L85" s="54">
        <f>SUM(L72:L84)</f>
        <v>1001133</v>
      </c>
      <c r="M85" s="34"/>
      <c r="N85" s="54">
        <f>SUM(N72:N84)</f>
        <v>871356</v>
      </c>
      <c r="O85" s="34"/>
      <c r="P85" s="34"/>
      <c r="Q85" s="34"/>
      <c r="R85" s="34"/>
      <c r="S85" s="34"/>
      <c r="T85" s="54"/>
      <c r="U85" s="34"/>
      <c r="V85" s="54">
        <f>SUM(V72:V84)</f>
        <v>866464</v>
      </c>
      <c r="W85" s="25"/>
      <c r="X85" s="5"/>
    </row>
    <row r="86" spans="1:24" ht="15.75" x14ac:dyDescent="0.25">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75" x14ac:dyDescent="0.25">
      <c r="A87" s="6"/>
      <c r="B87" s="8"/>
      <c r="C87" s="8"/>
      <c r="D87" s="8"/>
      <c r="E87" s="8"/>
      <c r="F87" s="8"/>
      <c r="G87" s="8"/>
      <c r="H87" s="8"/>
      <c r="I87" s="8"/>
      <c r="J87" s="8"/>
      <c r="K87" s="8"/>
      <c r="L87" s="8"/>
      <c r="M87" s="8"/>
      <c r="N87" s="8"/>
      <c r="O87" s="8"/>
      <c r="P87" s="8"/>
      <c r="Q87" s="8"/>
      <c r="R87" s="8"/>
      <c r="S87" s="8"/>
      <c r="T87" s="8"/>
      <c r="U87" s="8"/>
      <c r="V87" s="8"/>
      <c r="W87" s="8"/>
      <c r="X87" s="5"/>
    </row>
    <row r="88" spans="1:24" ht="15.75" x14ac:dyDescent="0.25">
      <c r="A88" s="6"/>
      <c r="B88" s="51" t="s">
        <v>27</v>
      </c>
      <c r="C88" s="14"/>
      <c r="D88" s="14"/>
      <c r="E88" s="14"/>
      <c r="F88" s="14"/>
      <c r="G88" s="14"/>
      <c r="H88" s="17"/>
      <c r="I88" s="17"/>
      <c r="J88" s="17"/>
      <c r="K88" s="17"/>
      <c r="L88" s="155" t="s">
        <v>95</v>
      </c>
      <c r="M88" s="17"/>
      <c r="N88" s="154">
        <f>+T202</f>
        <v>40235</v>
      </c>
      <c r="O88" s="17"/>
      <c r="P88" s="17"/>
      <c r="Q88" s="17"/>
      <c r="R88" s="17"/>
      <c r="S88" s="17"/>
      <c r="T88" s="17" t="s">
        <v>107</v>
      </c>
      <c r="U88" s="17"/>
      <c r="V88" s="17" t="s">
        <v>113</v>
      </c>
      <c r="W88" s="8"/>
      <c r="X88" s="5"/>
    </row>
    <row r="89" spans="1:24" ht="15.75" x14ac:dyDescent="0.25">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75" x14ac:dyDescent="0.25">
      <c r="A90" s="24"/>
      <c r="B90" s="25" t="s">
        <v>29</v>
      </c>
      <c r="C90" s="25"/>
      <c r="D90" s="25"/>
      <c r="E90" s="25"/>
      <c r="F90" s="25"/>
      <c r="G90" s="25"/>
      <c r="H90" s="40"/>
      <c r="I90" s="40"/>
      <c r="J90" s="40"/>
      <c r="K90" s="57"/>
      <c r="L90" s="40"/>
      <c r="M90" s="25"/>
      <c r="N90" s="127"/>
      <c r="O90" s="25"/>
      <c r="P90" s="25"/>
      <c r="Q90" s="25"/>
      <c r="R90" s="25"/>
      <c r="S90" s="25"/>
      <c r="T90" s="34">
        <f>5244-252</f>
        <v>4992</v>
      </c>
      <c r="U90" s="25"/>
      <c r="V90" s="53"/>
      <c r="W90" s="25"/>
      <c r="X90" s="5"/>
    </row>
    <row r="91" spans="1:24" ht="15.75" x14ac:dyDescent="0.25">
      <c r="A91" s="24"/>
      <c r="B91" s="25" t="s">
        <v>215</v>
      </c>
      <c r="C91" s="25"/>
      <c r="D91" s="25"/>
      <c r="E91" s="25"/>
      <c r="F91" s="25"/>
      <c r="G91" s="25"/>
      <c r="H91" s="40"/>
      <c r="I91" s="40"/>
      <c r="J91" s="40"/>
      <c r="K91" s="57"/>
      <c r="L91" s="40"/>
      <c r="M91" s="25"/>
      <c r="N91" s="127"/>
      <c r="O91" s="25"/>
      <c r="P91" s="25"/>
      <c r="Q91" s="25"/>
      <c r="R91" s="25"/>
      <c r="S91" s="25"/>
      <c r="T91" s="34"/>
      <c r="U91" s="25"/>
      <c r="V91" s="53">
        <f>3572+3081-207-305+9</f>
        <v>6150</v>
      </c>
      <c r="W91" s="25"/>
      <c r="X91" s="5"/>
    </row>
    <row r="92" spans="1:24" ht="15.75" x14ac:dyDescent="0.25">
      <c r="A92" s="24"/>
      <c r="B92" s="25" t="s">
        <v>210</v>
      </c>
      <c r="C92" s="25"/>
      <c r="D92" s="25"/>
      <c r="E92" s="25"/>
      <c r="F92" s="25"/>
      <c r="G92" s="25"/>
      <c r="H92" s="40"/>
      <c r="I92" s="40"/>
      <c r="J92" s="40"/>
      <c r="K92" s="57"/>
      <c r="L92" s="40"/>
      <c r="M92" s="25"/>
      <c r="N92" s="127"/>
      <c r="O92" s="25"/>
      <c r="P92" s="25"/>
      <c r="Q92" s="25"/>
      <c r="R92" s="25"/>
      <c r="S92" s="25"/>
      <c r="T92" s="34"/>
      <c r="U92" s="25"/>
      <c r="V92" s="53">
        <f>21+55</f>
        <v>76</v>
      </c>
      <c r="W92" s="25"/>
      <c r="X92" s="5"/>
    </row>
    <row r="93" spans="1:24" ht="15.75" x14ac:dyDescent="0.25">
      <c r="A93" s="24"/>
      <c r="B93" s="25" t="s">
        <v>211</v>
      </c>
      <c r="C93" s="25"/>
      <c r="D93" s="25"/>
      <c r="E93" s="25"/>
      <c r="F93" s="25"/>
      <c r="G93" s="25"/>
      <c r="H93" s="40"/>
      <c r="I93" s="40"/>
      <c r="J93" s="40"/>
      <c r="K93" s="57"/>
      <c r="L93" s="40"/>
      <c r="M93" s="25"/>
      <c r="N93" s="127"/>
      <c r="O93" s="25"/>
      <c r="P93" s="25"/>
      <c r="Q93" s="25"/>
      <c r="R93" s="25"/>
      <c r="S93" s="25"/>
      <c r="T93" s="34"/>
      <c r="U93" s="25"/>
      <c r="V93" s="53">
        <v>31</v>
      </c>
      <c r="W93" s="25"/>
      <c r="X93" s="5"/>
    </row>
    <row r="94" spans="1:24" ht="15.75" x14ac:dyDescent="0.25">
      <c r="A94" s="24"/>
      <c r="B94" s="25" t="s">
        <v>233</v>
      </c>
      <c r="C94" s="25"/>
      <c r="D94" s="25"/>
      <c r="E94" s="25"/>
      <c r="F94" s="25"/>
      <c r="G94" s="25"/>
      <c r="H94" s="40"/>
      <c r="I94" s="40"/>
      <c r="J94" s="40"/>
      <c r="K94" s="57"/>
      <c r="L94" s="40"/>
      <c r="M94" s="25"/>
      <c r="N94" s="127"/>
      <c r="O94" s="25"/>
      <c r="P94" s="25"/>
      <c r="Q94" s="25"/>
      <c r="R94" s="25"/>
      <c r="S94" s="25"/>
      <c r="T94" s="34"/>
      <c r="U94" s="25"/>
      <c r="V94" s="53">
        <v>0</v>
      </c>
      <c r="W94" s="25"/>
      <c r="X94" s="5"/>
    </row>
    <row r="95" spans="1:24" ht="15.75" x14ac:dyDescent="0.25">
      <c r="A95" s="24"/>
      <c r="B95" s="25" t="s">
        <v>235</v>
      </c>
      <c r="C95" s="25"/>
      <c r="D95" s="25"/>
      <c r="E95" s="25"/>
      <c r="F95" s="25"/>
      <c r="G95" s="25"/>
      <c r="H95" s="40"/>
      <c r="I95" s="40"/>
      <c r="J95" s="40"/>
      <c r="K95" s="57"/>
      <c r="L95" s="40"/>
      <c r="M95" s="25"/>
      <c r="N95" s="127"/>
      <c r="O95" s="25"/>
      <c r="P95" s="25"/>
      <c r="Q95" s="25"/>
      <c r="R95" s="25"/>
      <c r="S95" s="25"/>
      <c r="T95" s="34"/>
      <c r="U95" s="25"/>
      <c r="V95" s="53">
        <v>0</v>
      </c>
      <c r="W95" s="25"/>
      <c r="X95" s="5"/>
    </row>
    <row r="96" spans="1:24" ht="15.75" x14ac:dyDescent="0.25">
      <c r="A96" s="24"/>
      <c r="B96" s="25" t="s">
        <v>135</v>
      </c>
      <c r="C96" s="25"/>
      <c r="D96" s="25"/>
      <c r="E96" s="25"/>
      <c r="F96" s="25"/>
      <c r="G96" s="25"/>
      <c r="H96" s="25"/>
      <c r="I96" s="25"/>
      <c r="J96" s="25"/>
      <c r="K96" s="25"/>
      <c r="L96" s="25"/>
      <c r="M96" s="25"/>
      <c r="N96" s="25"/>
      <c r="O96" s="25"/>
      <c r="P96" s="25"/>
      <c r="Q96" s="25"/>
      <c r="R96" s="25"/>
      <c r="S96" s="25"/>
      <c r="T96" s="34"/>
      <c r="U96" s="25"/>
      <c r="V96" s="53">
        <v>0</v>
      </c>
      <c r="W96" s="25"/>
      <c r="X96" s="5"/>
    </row>
    <row r="97" spans="1:25" ht="15.75" x14ac:dyDescent="0.25">
      <c r="A97" s="24"/>
      <c r="B97" s="25" t="s">
        <v>272</v>
      </c>
      <c r="C97" s="25"/>
      <c r="D97" s="25"/>
      <c r="E97" s="25"/>
      <c r="F97" s="25"/>
      <c r="G97" s="25"/>
      <c r="H97" s="25"/>
      <c r="I97" s="25"/>
      <c r="J97" s="25"/>
      <c r="K97" s="25"/>
      <c r="L97" s="25"/>
      <c r="M97" s="25"/>
      <c r="N97" s="25"/>
      <c r="O97" s="25"/>
      <c r="P97" s="25"/>
      <c r="Q97" s="25"/>
      <c r="R97" s="25"/>
      <c r="S97" s="25"/>
      <c r="T97" s="34"/>
      <c r="U97" s="25"/>
      <c r="V97" s="53">
        <v>0</v>
      </c>
      <c r="W97" s="25"/>
      <c r="X97" s="5"/>
    </row>
    <row r="98" spans="1:25" ht="15.75" x14ac:dyDescent="0.25">
      <c r="A98" s="24"/>
      <c r="B98" s="25" t="s">
        <v>30</v>
      </c>
      <c r="C98" s="25"/>
      <c r="D98" s="25"/>
      <c r="E98" s="25"/>
      <c r="F98" s="25"/>
      <c r="G98" s="25"/>
      <c r="H98" s="25"/>
      <c r="I98" s="25"/>
      <c r="J98" s="25"/>
      <c r="K98" s="25"/>
      <c r="L98" s="25"/>
      <c r="M98" s="25"/>
      <c r="N98" s="25"/>
      <c r="O98" s="25"/>
      <c r="P98" s="25"/>
      <c r="Q98" s="25"/>
      <c r="R98" s="25"/>
      <c r="S98" s="25"/>
      <c r="T98" s="34">
        <f>SUM(T89:T97)</f>
        <v>4992</v>
      </c>
      <c r="U98" s="25"/>
      <c r="V98" s="54">
        <f>SUM(V89:V97)</f>
        <v>6257</v>
      </c>
      <c r="W98" s="25"/>
      <c r="X98" s="5"/>
    </row>
    <row r="99" spans="1:25" ht="15.75" x14ac:dyDescent="0.25">
      <c r="A99" s="24"/>
      <c r="B99" s="25" t="s">
        <v>161</v>
      </c>
      <c r="C99" s="25"/>
      <c r="D99" s="25"/>
      <c r="E99" s="25"/>
      <c r="F99" s="25"/>
      <c r="G99" s="25"/>
      <c r="H99" s="25"/>
      <c r="I99" s="25"/>
      <c r="J99" s="25"/>
      <c r="K99" s="25"/>
      <c r="L99" s="25"/>
      <c r="M99" s="25"/>
      <c r="N99" s="25"/>
      <c r="O99" s="25"/>
      <c r="P99" s="25"/>
      <c r="Q99" s="25"/>
      <c r="R99" s="25"/>
      <c r="S99" s="25"/>
      <c r="T99" s="34">
        <f>-V99</f>
        <v>-15</v>
      </c>
      <c r="U99" s="25"/>
      <c r="V99" s="54">
        <v>15</v>
      </c>
      <c r="W99" s="25"/>
      <c r="X99" s="5"/>
    </row>
    <row r="100" spans="1:25" ht="15.75" x14ac:dyDescent="0.25">
      <c r="A100" s="24"/>
      <c r="B100" s="25" t="s">
        <v>31</v>
      </c>
      <c r="C100" s="25"/>
      <c r="D100" s="25"/>
      <c r="E100" s="25"/>
      <c r="F100" s="25"/>
      <c r="G100" s="25"/>
      <c r="H100" s="25"/>
      <c r="I100" s="25"/>
      <c r="J100" s="25"/>
      <c r="K100" s="25"/>
      <c r="L100" s="25"/>
      <c r="M100" s="25"/>
      <c r="N100" s="25"/>
      <c r="O100" s="25"/>
      <c r="P100" s="25"/>
      <c r="Q100" s="25"/>
      <c r="R100" s="25"/>
      <c r="S100" s="25"/>
      <c r="T100" s="34">
        <f>-V100</f>
        <v>0</v>
      </c>
      <c r="U100" s="25"/>
      <c r="V100" s="53">
        <v>0</v>
      </c>
      <c r="W100" s="25"/>
      <c r="X100" s="5"/>
    </row>
    <row r="101" spans="1:25" ht="15.75" x14ac:dyDescent="0.25">
      <c r="A101" s="24"/>
      <c r="B101" s="25" t="s">
        <v>274</v>
      </c>
      <c r="C101" s="25"/>
      <c r="D101" s="25"/>
      <c r="E101" s="25"/>
      <c r="F101" s="25"/>
      <c r="G101" s="25"/>
      <c r="H101" s="25"/>
      <c r="I101" s="25"/>
      <c r="J101" s="25"/>
      <c r="K101" s="25"/>
      <c r="L101" s="25"/>
      <c r="M101" s="25"/>
      <c r="N101" s="25"/>
      <c r="O101" s="25"/>
      <c r="P101" s="25"/>
      <c r="Q101" s="25"/>
      <c r="R101" s="25"/>
      <c r="S101" s="25"/>
      <c r="T101" s="34"/>
      <c r="U101" s="25"/>
      <c r="V101" s="53">
        <v>-36</v>
      </c>
      <c r="W101" s="25"/>
      <c r="X101" s="5"/>
    </row>
    <row r="102" spans="1:25" ht="15.75" x14ac:dyDescent="0.25">
      <c r="A102" s="24"/>
      <c r="B102" s="25" t="s">
        <v>32</v>
      </c>
      <c r="C102" s="25"/>
      <c r="D102" s="25"/>
      <c r="E102" s="25"/>
      <c r="F102" s="25"/>
      <c r="G102" s="25"/>
      <c r="H102" s="25"/>
      <c r="I102" s="25"/>
      <c r="J102" s="25"/>
      <c r="K102" s="25"/>
      <c r="L102" s="25"/>
      <c r="M102" s="25"/>
      <c r="N102" s="25"/>
      <c r="O102" s="25"/>
      <c r="P102" s="25"/>
      <c r="Q102" s="25"/>
      <c r="R102" s="25"/>
      <c r="S102" s="25"/>
      <c r="T102" s="34">
        <f>T98+T100+T99</f>
        <v>4977</v>
      </c>
      <c r="U102" s="25"/>
      <c r="V102" s="54">
        <f>V98+V100+V99+V101</f>
        <v>6236</v>
      </c>
      <c r="W102" s="25"/>
      <c r="X102" s="5"/>
    </row>
    <row r="103" spans="1:25" ht="15.75" x14ac:dyDescent="0.25">
      <c r="A103" s="24"/>
      <c r="B103" s="118" t="s">
        <v>33</v>
      </c>
      <c r="C103" s="25"/>
      <c r="D103" s="25"/>
      <c r="E103" s="25"/>
      <c r="F103" s="25"/>
      <c r="G103" s="25"/>
      <c r="H103" s="25"/>
      <c r="I103" s="25"/>
      <c r="J103" s="25"/>
      <c r="K103" s="25"/>
      <c r="L103" s="25"/>
      <c r="M103" s="25"/>
      <c r="N103" s="25"/>
      <c r="O103" s="25"/>
      <c r="P103" s="25"/>
      <c r="Q103" s="25"/>
      <c r="R103" s="25"/>
      <c r="S103" s="25"/>
      <c r="T103" s="34"/>
      <c r="U103" s="25"/>
      <c r="V103" s="53"/>
      <c r="W103" s="25"/>
      <c r="X103" s="5"/>
    </row>
    <row r="104" spans="1:25" ht="15.75" x14ac:dyDescent="0.25">
      <c r="A104" s="24">
        <v>1</v>
      </c>
      <c r="B104" s="25" t="s">
        <v>34</v>
      </c>
      <c r="C104" s="25"/>
      <c r="D104" s="25"/>
      <c r="E104" s="25"/>
      <c r="F104" s="25"/>
      <c r="G104" s="25"/>
      <c r="H104" s="25"/>
      <c r="I104" s="25"/>
      <c r="J104" s="25"/>
      <c r="K104" s="25"/>
      <c r="L104" s="25"/>
      <c r="M104" s="25"/>
      <c r="N104" s="25"/>
      <c r="O104" s="25"/>
      <c r="P104" s="25"/>
      <c r="Q104" s="25"/>
      <c r="R104" s="25"/>
      <c r="S104" s="25"/>
      <c r="T104" s="25"/>
      <c r="U104" s="25"/>
      <c r="V104" s="53">
        <v>0</v>
      </c>
      <c r="W104" s="25"/>
      <c r="X104" s="5"/>
    </row>
    <row r="105" spans="1:25" ht="15.75" x14ac:dyDescent="0.25">
      <c r="A105" s="24">
        <f>+A104+1</f>
        <v>2</v>
      </c>
      <c r="B105" s="25" t="s">
        <v>221</v>
      </c>
      <c r="C105" s="25"/>
      <c r="D105" s="25"/>
      <c r="E105" s="25"/>
      <c r="F105" s="25"/>
      <c r="G105" s="25"/>
      <c r="H105" s="25"/>
      <c r="I105" s="25"/>
      <c r="J105" s="25"/>
      <c r="K105" s="25"/>
      <c r="L105" s="25"/>
      <c r="M105" s="25"/>
      <c r="N105" s="25"/>
      <c r="O105" s="25"/>
      <c r="P105" s="25"/>
      <c r="Q105" s="25"/>
      <c r="R105" s="25"/>
      <c r="S105" s="25"/>
      <c r="T105" s="25"/>
      <c r="U105" s="25"/>
      <c r="V105" s="53">
        <v>-2</v>
      </c>
      <c r="W105" s="25"/>
      <c r="X105" s="5"/>
    </row>
    <row r="106" spans="1:25" ht="15.75" x14ac:dyDescent="0.25">
      <c r="A106" s="24">
        <f>+A105+1</f>
        <v>3</v>
      </c>
      <c r="B106" s="25" t="s">
        <v>204</v>
      </c>
      <c r="C106" s="25"/>
      <c r="D106" s="25"/>
      <c r="E106" s="25"/>
      <c r="F106" s="25"/>
      <c r="G106" s="25"/>
      <c r="H106" s="25"/>
      <c r="I106" s="25"/>
      <c r="J106" s="25"/>
      <c r="K106" s="25"/>
      <c r="L106" s="25"/>
      <c r="M106" s="25"/>
      <c r="N106" s="25"/>
      <c r="O106" s="25"/>
      <c r="P106" s="25"/>
      <c r="Q106" s="25"/>
      <c r="R106" s="25"/>
      <c r="S106" s="25"/>
      <c r="T106" s="25"/>
      <c r="U106" s="25"/>
      <c r="V106" s="53">
        <f>-323-94-10</f>
        <v>-427</v>
      </c>
      <c r="W106" s="25"/>
      <c r="X106" s="5"/>
    </row>
    <row r="107" spans="1:25" ht="15.75" x14ac:dyDescent="0.25">
      <c r="A107" s="24" t="s">
        <v>127</v>
      </c>
      <c r="B107" s="25" t="s">
        <v>116</v>
      </c>
      <c r="C107" s="25"/>
      <c r="D107" s="25"/>
      <c r="E107" s="25"/>
      <c r="F107" s="25"/>
      <c r="G107" s="25"/>
      <c r="H107" s="25"/>
      <c r="I107" s="25"/>
      <c r="J107" s="25"/>
      <c r="K107" s="25"/>
      <c r="L107" s="25"/>
      <c r="M107" s="25"/>
      <c r="N107" s="25"/>
      <c r="O107" s="25"/>
      <c r="P107" s="25"/>
      <c r="Q107" s="25"/>
      <c r="R107" s="25"/>
      <c r="S107" s="25"/>
      <c r="T107" s="25"/>
      <c r="U107" s="25"/>
      <c r="V107" s="53">
        <v>-1060</v>
      </c>
      <c r="W107" s="25"/>
      <c r="X107" s="5"/>
    </row>
    <row r="108" spans="1:25" ht="15.75" x14ac:dyDescent="0.25">
      <c r="A108" s="24" t="s">
        <v>128</v>
      </c>
      <c r="B108" s="25" t="s">
        <v>220</v>
      </c>
      <c r="C108" s="25"/>
      <c r="D108" s="25"/>
      <c r="E108" s="25"/>
      <c r="F108" s="25"/>
      <c r="G108" s="25"/>
      <c r="H108" s="25"/>
      <c r="I108" s="25"/>
      <c r="J108" s="25"/>
      <c r="K108" s="25"/>
      <c r="L108" s="25"/>
      <c r="M108" s="25"/>
      <c r="N108" s="25"/>
      <c r="O108" s="25"/>
      <c r="P108" s="25"/>
      <c r="Q108" s="25"/>
      <c r="R108" s="25"/>
      <c r="S108" s="25"/>
      <c r="T108" s="25"/>
      <c r="U108" s="25"/>
      <c r="V108" s="53">
        <f>-1289+322</f>
        <v>-967</v>
      </c>
      <c r="W108" s="25"/>
      <c r="X108" s="5"/>
      <c r="Y108" s="109"/>
    </row>
    <row r="109" spans="1:25" ht="15.75" x14ac:dyDescent="0.25">
      <c r="A109" s="24" t="s">
        <v>150</v>
      </c>
      <c r="B109" s="25" t="s">
        <v>184</v>
      </c>
      <c r="C109" s="25"/>
      <c r="D109" s="25"/>
      <c r="E109" s="25"/>
      <c r="F109" s="25"/>
      <c r="G109" s="25"/>
      <c r="H109" s="25"/>
      <c r="I109" s="25"/>
      <c r="J109" s="25"/>
      <c r="K109" s="25"/>
      <c r="L109" s="25"/>
      <c r="M109" s="25"/>
      <c r="N109" s="25"/>
      <c r="O109" s="25"/>
      <c r="P109" s="25"/>
      <c r="Q109" s="25"/>
      <c r="R109" s="25"/>
      <c r="S109" s="25"/>
      <c r="T109" s="25"/>
      <c r="U109" s="25"/>
      <c r="V109" s="53">
        <v>-322</v>
      </c>
      <c r="W109" s="25"/>
      <c r="X109" s="5"/>
      <c r="Y109" s="109"/>
    </row>
    <row r="110" spans="1:25" ht="15.75" x14ac:dyDescent="0.25">
      <c r="A110" s="24" t="s">
        <v>205</v>
      </c>
      <c r="B110" s="25" t="s">
        <v>185</v>
      </c>
      <c r="C110" s="25"/>
      <c r="D110" s="25"/>
      <c r="E110" s="25"/>
      <c r="F110" s="25"/>
      <c r="G110" s="25"/>
      <c r="H110" s="25"/>
      <c r="I110" s="25"/>
      <c r="J110" s="25"/>
      <c r="K110" s="25"/>
      <c r="L110" s="25"/>
      <c r="M110" s="25"/>
      <c r="N110" s="25"/>
      <c r="O110" s="25"/>
      <c r="P110" s="25"/>
      <c r="Q110" s="25"/>
      <c r="R110" s="25"/>
      <c r="S110" s="25"/>
      <c r="T110" s="25"/>
      <c r="U110" s="25"/>
      <c r="V110" s="53">
        <v>-131</v>
      </c>
      <c r="W110" s="25"/>
      <c r="X110" s="5"/>
      <c r="Y110" s="109"/>
    </row>
    <row r="111" spans="1:25" ht="15.75" x14ac:dyDescent="0.25">
      <c r="A111" s="24" t="s">
        <v>206</v>
      </c>
      <c r="B111" s="25" t="s">
        <v>186</v>
      </c>
      <c r="C111" s="25"/>
      <c r="D111" s="25"/>
      <c r="E111" s="25"/>
      <c r="F111" s="25"/>
      <c r="G111" s="25"/>
      <c r="H111" s="25"/>
      <c r="I111" s="25"/>
      <c r="J111" s="25"/>
      <c r="K111" s="25"/>
      <c r="L111" s="25"/>
      <c r="M111" s="25"/>
      <c r="N111" s="25"/>
      <c r="O111" s="25"/>
      <c r="P111" s="25"/>
      <c r="Q111" s="25"/>
      <c r="R111" s="25"/>
      <c r="S111" s="25"/>
      <c r="T111" s="25"/>
      <c r="U111" s="25"/>
      <c r="V111" s="53">
        <v>-36</v>
      </c>
      <c r="W111" s="25"/>
      <c r="X111" s="5"/>
      <c r="Y111" s="109"/>
    </row>
    <row r="112" spans="1:25" ht="15.75" x14ac:dyDescent="0.25">
      <c r="A112" s="24">
        <v>6</v>
      </c>
      <c r="B112" s="25" t="s">
        <v>196</v>
      </c>
      <c r="C112" s="25"/>
      <c r="D112" s="25"/>
      <c r="E112" s="25"/>
      <c r="F112" s="25"/>
      <c r="G112" s="25"/>
      <c r="H112" s="25"/>
      <c r="I112" s="25"/>
      <c r="J112" s="25"/>
      <c r="K112" s="25"/>
      <c r="L112" s="25"/>
      <c r="M112" s="25"/>
      <c r="N112" s="25"/>
      <c r="O112" s="25"/>
      <c r="P112" s="25"/>
      <c r="Q112" s="25"/>
      <c r="R112" s="25"/>
      <c r="S112" s="25"/>
      <c r="T112" s="25"/>
      <c r="U112" s="25"/>
      <c r="V112" s="53">
        <v>-226</v>
      </c>
      <c r="W112" s="25"/>
      <c r="X112" s="5"/>
      <c r="Y112" s="109"/>
    </row>
    <row r="113" spans="1:24" ht="15.75" x14ac:dyDescent="0.25">
      <c r="A113" s="24">
        <v>7</v>
      </c>
      <c r="B113" s="25" t="s">
        <v>35</v>
      </c>
      <c r="C113" s="25"/>
      <c r="D113" s="25"/>
      <c r="E113" s="25"/>
      <c r="F113" s="25"/>
      <c r="G113" s="25"/>
      <c r="H113" s="25"/>
      <c r="I113" s="25"/>
      <c r="J113" s="25"/>
      <c r="K113" s="25"/>
      <c r="L113" s="25"/>
      <c r="M113" s="25"/>
      <c r="N113" s="25"/>
      <c r="O113" s="25"/>
      <c r="P113" s="25"/>
      <c r="Q113" s="25"/>
      <c r="R113" s="25"/>
      <c r="S113" s="25"/>
      <c r="T113" s="25"/>
      <c r="U113" s="25"/>
      <c r="V113" s="53">
        <v>-9</v>
      </c>
      <c r="W113" s="25"/>
      <c r="X113" s="5"/>
    </row>
    <row r="114" spans="1:24" ht="15.75" x14ac:dyDescent="0.25">
      <c r="A114" s="24">
        <f t="shared" ref="A114:A119" si="0">+A113+1</f>
        <v>8</v>
      </c>
      <c r="B114" s="25" t="s">
        <v>45</v>
      </c>
      <c r="C114" s="25"/>
      <c r="D114" s="25"/>
      <c r="E114" s="25"/>
      <c r="F114" s="25"/>
      <c r="G114" s="25"/>
      <c r="H114" s="25"/>
      <c r="I114" s="25"/>
      <c r="J114" s="25"/>
      <c r="K114" s="25"/>
      <c r="L114" s="25"/>
      <c r="M114" s="25"/>
      <c r="N114" s="25"/>
      <c r="O114" s="25"/>
      <c r="P114" s="25"/>
      <c r="Q114" s="25"/>
      <c r="R114" s="25"/>
      <c r="S114" s="25"/>
      <c r="T114" s="34">
        <f>-V114</f>
        <v>252</v>
      </c>
      <c r="U114" s="25"/>
      <c r="V114" s="53">
        <v>-252</v>
      </c>
      <c r="W114" s="25"/>
      <c r="X114" s="5"/>
    </row>
    <row r="115" spans="1:24" ht="15.75" x14ac:dyDescent="0.25">
      <c r="A115" s="24">
        <f t="shared" si="0"/>
        <v>9</v>
      </c>
      <c r="B115" s="25" t="s">
        <v>125</v>
      </c>
      <c r="C115" s="25"/>
      <c r="D115" s="25"/>
      <c r="E115" s="25"/>
      <c r="F115" s="25"/>
      <c r="G115" s="25"/>
      <c r="H115" s="25"/>
      <c r="I115" s="25"/>
      <c r="J115" s="25"/>
      <c r="K115" s="25"/>
      <c r="L115" s="25"/>
      <c r="M115" s="25"/>
      <c r="N115" s="25"/>
      <c r="O115" s="25"/>
      <c r="P115" s="25"/>
      <c r="Q115" s="25"/>
      <c r="R115" s="25"/>
      <c r="S115" s="25"/>
      <c r="T115" s="25"/>
      <c r="U115" s="25"/>
      <c r="V115" s="53">
        <v>0</v>
      </c>
      <c r="W115" s="25"/>
      <c r="X115" s="5"/>
    </row>
    <row r="116" spans="1:24" ht="15.75" x14ac:dyDescent="0.25">
      <c r="A116" s="24">
        <f t="shared" si="0"/>
        <v>10</v>
      </c>
      <c r="B116" s="25" t="s">
        <v>225</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4" ht="15.75" x14ac:dyDescent="0.25">
      <c r="A117" s="24">
        <f t="shared" si="0"/>
        <v>11</v>
      </c>
      <c r="B117" s="25" t="s">
        <v>36</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4" ht="15.75" x14ac:dyDescent="0.25">
      <c r="A118" s="24">
        <f t="shared" si="0"/>
        <v>12</v>
      </c>
      <c r="B118" s="25" t="s">
        <v>149</v>
      </c>
      <c r="C118" s="25"/>
      <c r="D118" s="25"/>
      <c r="E118" s="25"/>
      <c r="F118" s="25"/>
      <c r="G118" s="25"/>
      <c r="H118" s="25"/>
      <c r="I118" s="25"/>
      <c r="J118" s="25"/>
      <c r="K118" s="25"/>
      <c r="L118" s="25"/>
      <c r="M118" s="25"/>
      <c r="N118" s="25"/>
      <c r="O118" s="25"/>
      <c r="P118" s="25"/>
      <c r="Q118" s="25"/>
      <c r="R118" s="25"/>
      <c r="S118" s="25"/>
      <c r="T118" s="25"/>
      <c r="U118" s="25"/>
      <c r="V118" s="53">
        <v>-323</v>
      </c>
      <c r="W118" s="25"/>
      <c r="X118" s="5"/>
    </row>
    <row r="119" spans="1:24" ht="15.75" x14ac:dyDescent="0.25">
      <c r="A119" s="24">
        <f t="shared" si="0"/>
        <v>13</v>
      </c>
      <c r="B119" s="25" t="s">
        <v>126</v>
      </c>
      <c r="C119" s="25"/>
      <c r="D119" s="25"/>
      <c r="E119" s="25"/>
      <c r="F119" s="25"/>
      <c r="G119" s="25"/>
      <c r="H119" s="25"/>
      <c r="I119" s="25"/>
      <c r="J119" s="25"/>
      <c r="K119" s="25"/>
      <c r="L119" s="25"/>
      <c r="M119" s="25"/>
      <c r="N119" s="25"/>
      <c r="O119" s="25"/>
      <c r="P119" s="25"/>
      <c r="Q119" s="25"/>
      <c r="R119" s="25"/>
      <c r="S119" s="25"/>
      <c r="T119" s="25"/>
      <c r="U119" s="25"/>
      <c r="V119" s="53">
        <f>-V102-SUM(V104:V118)</f>
        <v>-2481</v>
      </c>
      <c r="W119" s="25"/>
      <c r="X119" s="5"/>
    </row>
    <row r="120" spans="1:24" ht="15.75" x14ac:dyDescent="0.25">
      <c r="A120" s="24"/>
      <c r="B120" s="118" t="s">
        <v>37</v>
      </c>
      <c r="C120" s="25"/>
      <c r="D120" s="25"/>
      <c r="E120" s="25"/>
      <c r="F120" s="25"/>
      <c r="G120" s="25"/>
      <c r="H120" s="25"/>
      <c r="I120" s="25"/>
      <c r="J120" s="25"/>
      <c r="K120" s="25"/>
      <c r="L120" s="25"/>
      <c r="M120" s="25"/>
      <c r="N120" s="25"/>
      <c r="O120" s="25"/>
      <c r="P120" s="25"/>
      <c r="Q120" s="25"/>
      <c r="R120" s="25"/>
      <c r="S120" s="25"/>
      <c r="T120" s="25"/>
      <c r="U120" s="25"/>
      <c r="V120" s="59"/>
      <c r="W120" s="25"/>
      <c r="X120" s="5"/>
    </row>
    <row r="121" spans="1:24" ht="15.75" x14ac:dyDescent="0.25">
      <c r="A121" s="24"/>
      <c r="B121" s="25" t="s">
        <v>173</v>
      </c>
      <c r="C121" s="25"/>
      <c r="D121" s="25"/>
      <c r="E121" s="25"/>
      <c r="F121" s="25"/>
      <c r="G121" s="25"/>
      <c r="H121" s="25"/>
      <c r="I121" s="25"/>
      <c r="J121" s="25"/>
      <c r="K121" s="25"/>
      <c r="L121" s="25"/>
      <c r="M121" s="25"/>
      <c r="N121" s="25"/>
      <c r="O121" s="25"/>
      <c r="P121" s="25"/>
      <c r="Q121" s="25"/>
      <c r="R121" s="25"/>
      <c r="S121" s="25"/>
      <c r="T121" s="34">
        <f>-T186</f>
        <v>0</v>
      </c>
      <c r="U121" s="34"/>
      <c r="V121" s="53"/>
      <c r="W121" s="25"/>
      <c r="X121" s="5"/>
    </row>
    <row r="122" spans="1:24" ht="15.75" x14ac:dyDescent="0.25">
      <c r="A122" s="24"/>
      <c r="B122" s="25" t="s">
        <v>174</v>
      </c>
      <c r="C122" s="25"/>
      <c r="D122" s="25"/>
      <c r="E122" s="25"/>
      <c r="F122" s="25"/>
      <c r="G122" s="25"/>
      <c r="H122" s="25"/>
      <c r="I122" s="25"/>
      <c r="J122" s="25"/>
      <c r="K122" s="25"/>
      <c r="L122" s="25"/>
      <c r="M122" s="25"/>
      <c r="N122" s="25"/>
      <c r="O122" s="25"/>
      <c r="P122" s="25"/>
      <c r="Q122" s="25"/>
      <c r="R122" s="25"/>
      <c r="S122" s="25"/>
      <c r="T122" s="34">
        <v>-2</v>
      </c>
      <c r="U122" s="34"/>
      <c r="V122" s="53"/>
      <c r="W122" s="25"/>
      <c r="X122" s="5"/>
    </row>
    <row r="123" spans="1:24" ht="15.75" x14ac:dyDescent="0.25">
      <c r="A123" s="24"/>
      <c r="B123" s="25" t="s">
        <v>38</v>
      </c>
      <c r="C123" s="25"/>
      <c r="D123" s="25"/>
      <c r="E123" s="25"/>
      <c r="F123" s="25"/>
      <c r="G123" s="25"/>
      <c r="H123" s="25"/>
      <c r="I123" s="25"/>
      <c r="J123" s="25"/>
      <c r="K123" s="25"/>
      <c r="L123" s="25"/>
      <c r="M123" s="25"/>
      <c r="N123" s="25"/>
      <c r="O123" s="25"/>
      <c r="P123" s="25"/>
      <c r="Q123" s="25"/>
      <c r="R123" s="25"/>
      <c r="S123" s="25"/>
      <c r="T123" s="34">
        <f>-S186</f>
        <v>-335</v>
      </c>
      <c r="U123" s="34"/>
      <c r="V123" s="53"/>
      <c r="W123" s="25"/>
      <c r="X123" s="5"/>
    </row>
    <row r="124" spans="1:24" ht="15.75" x14ac:dyDescent="0.25">
      <c r="A124" s="24"/>
      <c r="B124" s="25" t="s">
        <v>197</v>
      </c>
      <c r="C124" s="25"/>
      <c r="D124" s="25"/>
      <c r="E124" s="25"/>
      <c r="F124" s="25"/>
      <c r="G124" s="25"/>
      <c r="H124" s="25"/>
      <c r="I124" s="25"/>
      <c r="J124" s="25"/>
      <c r="K124" s="25"/>
      <c r="L124" s="25"/>
      <c r="M124" s="25"/>
      <c r="N124" s="25"/>
      <c r="O124" s="25"/>
      <c r="P124" s="25"/>
      <c r="Q124" s="25"/>
      <c r="R124" s="25"/>
      <c r="S124" s="25"/>
      <c r="T124" s="34">
        <v>-2834</v>
      </c>
      <c r="U124" s="34"/>
      <c r="V124" s="53"/>
      <c r="W124" s="25"/>
      <c r="X124" s="5"/>
    </row>
    <row r="125" spans="1:24" ht="15.75" x14ac:dyDescent="0.25">
      <c r="A125" s="24"/>
      <c r="B125" s="25" t="s">
        <v>195</v>
      </c>
      <c r="C125" s="25"/>
      <c r="D125" s="25"/>
      <c r="E125" s="25"/>
      <c r="F125" s="25"/>
      <c r="G125" s="25"/>
      <c r="H125" s="25"/>
      <c r="I125" s="25"/>
      <c r="J125" s="25"/>
      <c r="K125" s="25"/>
      <c r="L125" s="25"/>
      <c r="M125" s="25"/>
      <c r="N125" s="25"/>
      <c r="O125" s="25"/>
      <c r="P125" s="25"/>
      <c r="Q125" s="25"/>
      <c r="R125" s="25"/>
      <c r="S125" s="25"/>
      <c r="T125" s="34">
        <v>-1204</v>
      </c>
      <c r="U125" s="34"/>
      <c r="V125" s="53"/>
      <c r="W125" s="25"/>
      <c r="X125" s="5"/>
    </row>
    <row r="126" spans="1:24" ht="15.75" x14ac:dyDescent="0.25">
      <c r="A126" s="24"/>
      <c r="B126" s="25" t="s">
        <v>194</v>
      </c>
      <c r="C126" s="25"/>
      <c r="D126" s="25"/>
      <c r="E126" s="25"/>
      <c r="F126" s="25"/>
      <c r="G126" s="25"/>
      <c r="H126" s="25"/>
      <c r="I126" s="25"/>
      <c r="J126" s="25"/>
      <c r="K126" s="25"/>
      <c r="L126" s="25"/>
      <c r="M126" s="25"/>
      <c r="N126" s="25"/>
      <c r="O126" s="25"/>
      <c r="P126" s="25"/>
      <c r="Q126" s="25"/>
      <c r="R126" s="25"/>
      <c r="S126" s="25"/>
      <c r="T126" s="34">
        <v>-429</v>
      </c>
      <c r="U126" s="34"/>
      <c r="V126" s="53"/>
      <c r="W126" s="25"/>
      <c r="X126" s="5"/>
    </row>
    <row r="127" spans="1:24" ht="15.75" x14ac:dyDescent="0.25">
      <c r="A127" s="24"/>
      <c r="B127" s="25" t="s">
        <v>222</v>
      </c>
      <c r="C127" s="25"/>
      <c r="D127" s="25"/>
      <c r="E127" s="25"/>
      <c r="F127" s="25"/>
      <c r="G127" s="25"/>
      <c r="H127" s="25"/>
      <c r="I127" s="25"/>
      <c r="J127" s="25"/>
      <c r="K127" s="25"/>
      <c r="L127" s="25"/>
      <c r="M127" s="25"/>
      <c r="N127" s="25"/>
      <c r="O127" s="25"/>
      <c r="P127" s="25"/>
      <c r="Q127" s="25"/>
      <c r="R127" s="25"/>
      <c r="S127" s="25"/>
      <c r="T127" s="34">
        <v>-425</v>
      </c>
      <c r="U127" s="34"/>
      <c r="V127" s="53"/>
      <c r="W127" s="25"/>
      <c r="X127" s="5"/>
    </row>
    <row r="128" spans="1:24" ht="15.75" x14ac:dyDescent="0.25">
      <c r="A128" s="24"/>
      <c r="B128" s="25" t="s">
        <v>189</v>
      </c>
      <c r="C128" s="25"/>
      <c r="D128" s="25"/>
      <c r="E128" s="25"/>
      <c r="F128" s="25"/>
      <c r="G128" s="25"/>
      <c r="H128" s="25"/>
      <c r="I128" s="25"/>
      <c r="J128" s="25"/>
      <c r="K128" s="25"/>
      <c r="L128" s="25"/>
      <c r="M128" s="25"/>
      <c r="N128" s="25"/>
      <c r="O128" s="25"/>
      <c r="P128" s="25"/>
      <c r="Q128" s="25"/>
      <c r="R128" s="25"/>
      <c r="S128" s="25"/>
      <c r="T128" s="34">
        <v>0</v>
      </c>
      <c r="U128" s="34"/>
      <c r="V128" s="53"/>
      <c r="W128" s="25"/>
      <c r="X128" s="5"/>
    </row>
    <row r="129" spans="1:24" ht="15.75" x14ac:dyDescent="0.25">
      <c r="A129" s="24"/>
      <c r="B129" s="25" t="s">
        <v>188</v>
      </c>
      <c r="C129" s="25"/>
      <c r="D129" s="25"/>
      <c r="E129" s="25"/>
      <c r="F129" s="25"/>
      <c r="G129" s="25"/>
      <c r="H129" s="25"/>
      <c r="I129" s="25"/>
      <c r="J129" s="25"/>
      <c r="K129" s="25"/>
      <c r="L129" s="25"/>
      <c r="M129" s="25"/>
      <c r="N129" s="25"/>
      <c r="O129" s="25"/>
      <c r="P129" s="25"/>
      <c r="Q129" s="25"/>
      <c r="R129" s="25"/>
      <c r="S129" s="25"/>
      <c r="T129" s="34">
        <v>0</v>
      </c>
      <c r="U129" s="34"/>
      <c r="V129" s="53"/>
      <c r="W129" s="25"/>
      <c r="X129" s="5"/>
    </row>
    <row r="130" spans="1:24" ht="15.75" x14ac:dyDescent="0.25">
      <c r="A130" s="24"/>
      <c r="B130" s="25" t="s">
        <v>187</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75" x14ac:dyDescent="0.25">
      <c r="A131" s="24"/>
      <c r="B131" s="25" t="s">
        <v>39</v>
      </c>
      <c r="C131" s="25"/>
      <c r="D131" s="25"/>
      <c r="E131" s="25"/>
      <c r="F131" s="25"/>
      <c r="G131" s="25"/>
      <c r="H131" s="25"/>
      <c r="I131" s="25"/>
      <c r="J131" s="25"/>
      <c r="K131" s="25"/>
      <c r="L131" s="25"/>
      <c r="M131" s="25"/>
      <c r="N131" s="25"/>
      <c r="O131" s="25"/>
      <c r="P131" s="25"/>
      <c r="Q131" s="25"/>
      <c r="R131" s="25"/>
      <c r="S131" s="25"/>
      <c r="T131" s="34">
        <f>SUM(T121:T130)</f>
        <v>-5229</v>
      </c>
      <c r="U131" s="34"/>
      <c r="V131" s="34">
        <f>SUM(V103:V129)</f>
        <v>-6236</v>
      </c>
      <c r="W131" s="25"/>
      <c r="X131" s="5"/>
    </row>
    <row r="132" spans="1:24" ht="15.75" x14ac:dyDescent="0.25">
      <c r="A132" s="24"/>
      <c r="B132" s="25" t="s">
        <v>40</v>
      </c>
      <c r="C132" s="25"/>
      <c r="D132" s="25"/>
      <c r="E132" s="25"/>
      <c r="F132" s="25"/>
      <c r="G132" s="25"/>
      <c r="H132" s="25"/>
      <c r="I132" s="25"/>
      <c r="J132" s="25"/>
      <c r="K132" s="25"/>
      <c r="L132" s="25"/>
      <c r="M132" s="25"/>
      <c r="N132" s="25"/>
      <c r="O132" s="25"/>
      <c r="P132" s="25"/>
      <c r="Q132" s="25"/>
      <c r="R132" s="25"/>
      <c r="S132" s="25"/>
      <c r="T132" s="34">
        <f>T102+T131+T114</f>
        <v>0</v>
      </c>
      <c r="U132" s="34"/>
      <c r="V132" s="34">
        <f>V102+V131</f>
        <v>0</v>
      </c>
      <c r="W132" s="25"/>
      <c r="X132" s="5"/>
    </row>
    <row r="133" spans="1:24" ht="15.75" x14ac:dyDescent="0.25">
      <c r="A133" s="24"/>
      <c r="B133" s="25"/>
      <c r="C133" s="25"/>
      <c r="D133" s="25"/>
      <c r="E133" s="25"/>
      <c r="F133" s="25"/>
      <c r="G133" s="25"/>
      <c r="H133" s="25"/>
      <c r="I133" s="25"/>
      <c r="J133" s="25"/>
      <c r="K133" s="25"/>
      <c r="L133" s="25"/>
      <c r="M133" s="25"/>
      <c r="N133" s="25"/>
      <c r="O133" s="25"/>
      <c r="P133" s="25"/>
      <c r="Q133" s="25"/>
      <c r="R133" s="25"/>
      <c r="S133" s="25"/>
      <c r="T133" s="34"/>
      <c r="U133" s="34"/>
      <c r="V133" s="34"/>
      <c r="W133" s="25"/>
      <c r="X133" s="5"/>
    </row>
    <row r="134" spans="1:24" ht="15.75" x14ac:dyDescent="0.25">
      <c r="A134" s="6"/>
      <c r="B134" s="8"/>
      <c r="C134" s="8"/>
      <c r="D134" s="8"/>
      <c r="E134" s="8"/>
      <c r="F134" s="8"/>
      <c r="G134" s="8"/>
      <c r="H134" s="8"/>
      <c r="I134" s="8"/>
      <c r="J134" s="8"/>
      <c r="K134" s="8"/>
      <c r="L134" s="8"/>
      <c r="M134" s="8"/>
      <c r="N134" s="8"/>
      <c r="O134" s="8"/>
      <c r="P134" s="8"/>
      <c r="Q134" s="8"/>
      <c r="R134" s="8"/>
      <c r="S134" s="8"/>
      <c r="T134" s="8"/>
      <c r="U134" s="8"/>
      <c r="V134" s="52"/>
      <c r="W134" s="8"/>
      <c r="X134" s="5"/>
    </row>
    <row r="135" spans="1:24" ht="19.5" thickBot="1" x14ac:dyDescent="0.35">
      <c r="A135" s="101"/>
      <c r="B135" s="102" t="str">
        <f>B64</f>
        <v>PM15 INVESTOR REPORT QUARTER ENDING FEBRUARY 2010</v>
      </c>
      <c r="C135" s="103"/>
      <c r="D135" s="103"/>
      <c r="E135" s="103"/>
      <c r="F135" s="103"/>
      <c r="G135" s="103"/>
      <c r="H135" s="103"/>
      <c r="I135" s="103"/>
      <c r="J135" s="103"/>
      <c r="K135" s="103"/>
      <c r="L135" s="103"/>
      <c r="M135" s="103"/>
      <c r="N135" s="103"/>
      <c r="O135" s="103"/>
      <c r="P135" s="103"/>
      <c r="Q135" s="103"/>
      <c r="R135" s="103"/>
      <c r="S135" s="103"/>
      <c r="T135" s="103"/>
      <c r="U135" s="103"/>
      <c r="V135" s="106"/>
      <c r="W135" s="105"/>
      <c r="X135" s="5"/>
    </row>
    <row r="136" spans="1:24" ht="15.75" x14ac:dyDescent="0.25">
      <c r="A136" s="2"/>
      <c r="B136" s="60" t="s">
        <v>41</v>
      </c>
      <c r="C136" s="4"/>
      <c r="D136" s="4"/>
      <c r="E136" s="4"/>
      <c r="F136" s="4"/>
      <c r="G136" s="4"/>
      <c r="H136" s="4"/>
      <c r="I136" s="4"/>
      <c r="J136" s="4"/>
      <c r="K136" s="4"/>
      <c r="L136" s="4"/>
      <c r="M136" s="4"/>
      <c r="N136" s="4"/>
      <c r="O136" s="4"/>
      <c r="P136" s="4"/>
      <c r="Q136" s="4"/>
      <c r="R136" s="4"/>
      <c r="S136" s="4"/>
      <c r="T136" s="4"/>
      <c r="U136" s="4"/>
      <c r="V136" s="50"/>
      <c r="W136" s="4"/>
      <c r="X136" s="5"/>
    </row>
    <row r="137" spans="1:24" ht="15.75" x14ac:dyDescent="0.25">
      <c r="A137" s="6"/>
      <c r="B137" s="21"/>
      <c r="C137" s="8"/>
      <c r="D137" s="8"/>
      <c r="E137" s="8"/>
      <c r="F137" s="8"/>
      <c r="G137" s="8"/>
      <c r="H137" s="8"/>
      <c r="I137" s="8"/>
      <c r="J137" s="8"/>
      <c r="K137" s="8"/>
      <c r="L137" s="8"/>
      <c r="M137" s="8"/>
      <c r="N137" s="8"/>
      <c r="O137" s="8"/>
      <c r="P137" s="8"/>
      <c r="Q137" s="8"/>
      <c r="R137" s="8"/>
      <c r="S137" s="8"/>
      <c r="T137" s="8"/>
      <c r="U137" s="8"/>
      <c r="V137" s="52"/>
      <c r="W137" s="8"/>
      <c r="X137" s="5"/>
    </row>
    <row r="138" spans="1:24" ht="15.75" x14ac:dyDescent="0.25">
      <c r="A138" s="6"/>
      <c r="B138" s="119" t="s">
        <v>42</v>
      </c>
      <c r="C138" s="8"/>
      <c r="D138" s="8"/>
      <c r="E138" s="8"/>
      <c r="F138" s="8"/>
      <c r="G138" s="8"/>
      <c r="H138" s="8"/>
      <c r="I138" s="8"/>
      <c r="J138" s="8"/>
      <c r="K138" s="8"/>
      <c r="L138" s="8"/>
      <c r="M138" s="8"/>
      <c r="N138" s="8"/>
      <c r="O138" s="8"/>
      <c r="P138" s="8"/>
      <c r="Q138" s="8"/>
      <c r="R138" s="8"/>
      <c r="S138" s="8"/>
      <c r="T138" s="8"/>
      <c r="U138" s="8"/>
      <c r="V138" s="52"/>
      <c r="W138" s="8"/>
      <c r="X138" s="5"/>
    </row>
    <row r="139" spans="1:24" ht="15.75" x14ac:dyDescent="0.25">
      <c r="A139" s="24"/>
      <c r="B139" s="25" t="s">
        <v>43</v>
      </c>
      <c r="C139" s="25"/>
      <c r="D139" s="25"/>
      <c r="E139" s="25"/>
      <c r="F139" s="25"/>
      <c r="G139" s="25"/>
      <c r="H139" s="25"/>
      <c r="I139" s="25"/>
      <c r="J139" s="25"/>
      <c r="K139" s="25"/>
      <c r="L139" s="25"/>
      <c r="M139" s="25"/>
      <c r="N139" s="25"/>
      <c r="O139" s="25"/>
      <c r="P139" s="25"/>
      <c r="Q139" s="25"/>
      <c r="R139" s="25"/>
      <c r="S139" s="25"/>
      <c r="T139" s="25"/>
      <c r="U139" s="25"/>
      <c r="V139" s="53">
        <f>+V34*0.019</f>
        <v>19021.526999999998</v>
      </c>
      <c r="W139" s="25"/>
      <c r="X139" s="5"/>
    </row>
    <row r="140" spans="1:24" ht="15.75" x14ac:dyDescent="0.25">
      <c r="A140" s="24"/>
      <c r="B140" s="25" t="s">
        <v>44</v>
      </c>
      <c r="C140" s="25"/>
      <c r="D140" s="25"/>
      <c r="E140" s="25"/>
      <c r="F140" s="25"/>
      <c r="G140" s="25"/>
      <c r="H140" s="25"/>
      <c r="I140" s="25"/>
      <c r="J140" s="25"/>
      <c r="K140" s="25"/>
      <c r="L140" s="25"/>
      <c r="M140" s="25"/>
      <c r="N140" s="25"/>
      <c r="O140" s="25"/>
      <c r="P140" s="25"/>
      <c r="Q140" s="25"/>
      <c r="R140" s="25"/>
      <c r="S140" s="25"/>
      <c r="T140" s="25"/>
      <c r="U140" s="25"/>
      <c r="V140" s="53">
        <v>19022</v>
      </c>
      <c r="W140" s="25"/>
      <c r="X140" s="5"/>
    </row>
    <row r="141" spans="1:24" ht="15.75" x14ac:dyDescent="0.25">
      <c r="A141" s="24"/>
      <c r="B141" s="25" t="s">
        <v>136</v>
      </c>
      <c r="C141" s="25"/>
      <c r="D141" s="25"/>
      <c r="E141" s="25"/>
      <c r="F141" s="25"/>
      <c r="G141" s="25"/>
      <c r="H141" s="25"/>
      <c r="I141" s="25"/>
      <c r="J141" s="25"/>
      <c r="K141" s="25"/>
      <c r="L141" s="25"/>
      <c r="M141" s="25"/>
      <c r="N141" s="25"/>
      <c r="O141" s="25"/>
      <c r="P141" s="25"/>
      <c r="Q141" s="25"/>
      <c r="R141" s="25"/>
      <c r="S141" s="25"/>
      <c r="T141" s="25"/>
      <c r="U141" s="25"/>
      <c r="V141" s="53"/>
      <c r="W141" s="25"/>
      <c r="X141" s="5"/>
    </row>
    <row r="142" spans="1:24" ht="15.75" x14ac:dyDescent="0.25">
      <c r="A142" s="24"/>
      <c r="B142" s="25" t="s">
        <v>123</v>
      </c>
      <c r="C142" s="25"/>
      <c r="D142" s="25"/>
      <c r="E142" s="25"/>
      <c r="F142" s="25"/>
      <c r="G142" s="25"/>
      <c r="H142" s="25"/>
      <c r="I142" s="25"/>
      <c r="J142" s="25"/>
      <c r="K142" s="25"/>
      <c r="L142" s="25"/>
      <c r="M142" s="25"/>
      <c r="N142" s="25"/>
      <c r="O142" s="25"/>
      <c r="P142" s="25"/>
      <c r="Q142" s="25"/>
      <c r="R142" s="25"/>
      <c r="S142" s="25"/>
      <c r="T142" s="25"/>
      <c r="U142" s="25"/>
      <c r="V142" s="53">
        <v>0</v>
      </c>
      <c r="W142" s="25"/>
      <c r="X142" s="5"/>
    </row>
    <row r="143" spans="1:24" ht="15.75" x14ac:dyDescent="0.25">
      <c r="A143" s="24"/>
      <c r="B143" s="25" t="s">
        <v>124</v>
      </c>
      <c r="C143" s="25"/>
      <c r="D143" s="25"/>
      <c r="E143" s="25"/>
      <c r="F143" s="25"/>
      <c r="G143" s="25"/>
      <c r="H143" s="25"/>
      <c r="I143" s="25"/>
      <c r="J143" s="25"/>
      <c r="K143" s="25"/>
      <c r="L143" s="25"/>
      <c r="M143" s="25"/>
      <c r="N143" s="25"/>
      <c r="O143" s="25"/>
      <c r="P143" s="25"/>
      <c r="Q143" s="25"/>
      <c r="R143" s="25"/>
      <c r="S143" s="25"/>
      <c r="T143" s="25"/>
      <c r="U143" s="25"/>
      <c r="V143" s="53">
        <v>0</v>
      </c>
      <c r="W143" s="25"/>
      <c r="X143" s="5"/>
    </row>
    <row r="144" spans="1:24" ht="15.75" x14ac:dyDescent="0.25">
      <c r="A144" s="24"/>
      <c r="B144" s="25" t="s">
        <v>175</v>
      </c>
      <c r="C144" s="25"/>
      <c r="D144" s="25"/>
      <c r="E144" s="25"/>
      <c r="F144" s="25"/>
      <c r="G144" s="25"/>
      <c r="H144" s="25"/>
      <c r="I144" s="25"/>
      <c r="J144" s="25"/>
      <c r="K144" s="25"/>
      <c r="L144" s="25"/>
      <c r="M144" s="25"/>
      <c r="N144" s="25"/>
      <c r="O144" s="25"/>
      <c r="P144" s="25"/>
      <c r="Q144" s="25"/>
      <c r="R144" s="25"/>
      <c r="S144" s="25"/>
      <c r="T144" s="25"/>
      <c r="U144" s="25"/>
      <c r="V144" s="53">
        <v>0</v>
      </c>
      <c r="W144" s="25"/>
      <c r="X144" s="5"/>
    </row>
    <row r="145" spans="1:25" ht="15.75" x14ac:dyDescent="0.25">
      <c r="A145" s="24"/>
      <c r="B145" s="25" t="s">
        <v>45</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75" x14ac:dyDescent="0.25">
      <c r="A146" s="24"/>
      <c r="B146" s="25" t="s">
        <v>129</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75" x14ac:dyDescent="0.25">
      <c r="A147" s="24"/>
      <c r="B147" s="25" t="s">
        <v>241</v>
      </c>
      <c r="C147" s="25"/>
      <c r="D147" s="25"/>
      <c r="E147" s="25"/>
      <c r="F147" s="25"/>
      <c r="G147" s="25"/>
      <c r="H147" s="25"/>
      <c r="I147" s="25"/>
      <c r="J147" s="25"/>
      <c r="K147" s="25"/>
      <c r="L147" s="25"/>
      <c r="M147" s="25"/>
      <c r="N147" s="25"/>
      <c r="O147" s="25"/>
      <c r="P147" s="25"/>
      <c r="Q147" s="25"/>
      <c r="R147" s="25"/>
      <c r="S147" s="25"/>
      <c r="T147" s="25"/>
      <c r="U147" s="25"/>
      <c r="V147" s="53">
        <v>0</v>
      </c>
      <c r="W147" s="25"/>
      <c r="X147" s="5"/>
      <c r="Y147" s="109"/>
    </row>
    <row r="148" spans="1:25" ht="15.75" x14ac:dyDescent="0.25">
      <c r="A148" s="24"/>
      <c r="B148" s="25" t="s">
        <v>46</v>
      </c>
      <c r="C148" s="25"/>
      <c r="D148" s="25"/>
      <c r="E148" s="25"/>
      <c r="F148" s="25"/>
      <c r="G148" s="25"/>
      <c r="H148" s="25"/>
      <c r="I148" s="25"/>
      <c r="J148" s="25"/>
      <c r="K148" s="25"/>
      <c r="L148" s="25"/>
      <c r="M148" s="25"/>
      <c r="N148" s="25"/>
      <c r="O148" s="25"/>
      <c r="P148" s="25"/>
      <c r="Q148" s="25"/>
      <c r="R148" s="25"/>
      <c r="S148" s="25"/>
      <c r="T148" s="25"/>
      <c r="U148" s="25"/>
      <c r="V148" s="53">
        <f>SUM(V140:V147)</f>
        <v>19022</v>
      </c>
      <c r="W148" s="25"/>
      <c r="X148" s="5"/>
    </row>
    <row r="149" spans="1:25" ht="15.75" x14ac:dyDescent="0.25">
      <c r="A149" s="24"/>
      <c r="B149" s="25"/>
      <c r="C149" s="25"/>
      <c r="D149" s="25"/>
      <c r="E149" s="25"/>
      <c r="F149" s="25"/>
      <c r="G149" s="25"/>
      <c r="H149" s="25"/>
      <c r="I149" s="25"/>
      <c r="J149" s="25"/>
      <c r="K149" s="25"/>
      <c r="L149" s="25"/>
      <c r="M149" s="25"/>
      <c r="N149" s="25"/>
      <c r="O149" s="25"/>
      <c r="P149" s="25"/>
      <c r="Q149" s="25"/>
      <c r="R149" s="25"/>
      <c r="S149" s="25"/>
      <c r="T149" s="25"/>
      <c r="U149" s="25"/>
      <c r="V149" s="53"/>
      <c r="W149" s="25"/>
      <c r="X149" s="5"/>
    </row>
    <row r="150" spans="1:25" ht="15.75" x14ac:dyDescent="0.25">
      <c r="A150" s="24"/>
      <c r="B150" s="135" t="s">
        <v>269</v>
      </c>
      <c r="C150" s="25"/>
      <c r="D150" s="25"/>
      <c r="E150" s="25"/>
      <c r="F150" s="25"/>
      <c r="G150" s="25"/>
      <c r="H150" s="25"/>
      <c r="I150" s="25"/>
      <c r="J150" s="25"/>
      <c r="K150" s="25"/>
      <c r="L150" s="25"/>
      <c r="M150" s="25"/>
      <c r="N150" s="25"/>
      <c r="O150" s="25"/>
      <c r="P150" s="25"/>
      <c r="Q150" s="25"/>
      <c r="R150" s="25"/>
      <c r="S150" s="25"/>
      <c r="T150" s="25"/>
      <c r="U150" s="25"/>
      <c r="V150" s="53"/>
      <c r="W150" s="25"/>
      <c r="X150" s="5"/>
    </row>
    <row r="151" spans="1:25" ht="15.75" x14ac:dyDescent="0.25">
      <c r="A151" s="24"/>
      <c r="B151" s="25" t="s">
        <v>155</v>
      </c>
      <c r="C151" s="25"/>
      <c r="D151" s="25"/>
      <c r="E151" s="25"/>
      <c r="F151" s="25"/>
      <c r="G151" s="25"/>
      <c r="H151" s="25"/>
      <c r="I151" s="25"/>
      <c r="J151" s="25"/>
      <c r="K151" s="25"/>
      <c r="L151" s="25"/>
      <c r="M151" s="25"/>
      <c r="N151" s="25"/>
      <c r="O151" s="25"/>
      <c r="P151" s="25"/>
      <c r="Q151" s="25"/>
      <c r="R151" s="25"/>
      <c r="S151" s="25"/>
      <c r="T151" s="25"/>
      <c r="U151" s="25"/>
      <c r="V151" s="53">
        <v>0</v>
      </c>
      <c r="W151" s="25"/>
      <c r="X151" s="5"/>
    </row>
    <row r="152" spans="1:25" ht="15.75" x14ac:dyDescent="0.25">
      <c r="A152" s="24"/>
      <c r="B152" s="25" t="s">
        <v>172</v>
      </c>
      <c r="C152" s="25"/>
      <c r="D152" s="25"/>
      <c r="E152" s="25"/>
      <c r="F152" s="25"/>
      <c r="G152" s="25"/>
      <c r="H152" s="25"/>
      <c r="I152" s="25"/>
      <c r="J152" s="25"/>
      <c r="K152" s="25"/>
      <c r="L152" s="25"/>
      <c r="M152" s="25"/>
      <c r="N152" s="25"/>
      <c r="O152" s="25"/>
      <c r="P152" s="25"/>
      <c r="Q152" s="25"/>
      <c r="R152" s="25"/>
      <c r="S152" s="25"/>
      <c r="T152" s="25"/>
      <c r="U152" s="25"/>
      <c r="V152" s="53">
        <v>0</v>
      </c>
      <c r="W152" s="25"/>
      <c r="X152" s="5"/>
    </row>
    <row r="153" spans="1:25" ht="15.75" x14ac:dyDescent="0.25">
      <c r="A153" s="24"/>
      <c r="B153" s="25" t="s">
        <v>226</v>
      </c>
      <c r="C153" s="25"/>
      <c r="D153" s="25"/>
      <c r="E153" s="25"/>
      <c r="F153" s="25"/>
      <c r="G153" s="25"/>
      <c r="H153" s="25"/>
      <c r="I153" s="25"/>
      <c r="J153" s="25"/>
      <c r="K153" s="25"/>
      <c r="L153" s="25"/>
      <c r="M153" s="25"/>
      <c r="N153" s="25"/>
      <c r="O153" s="25"/>
      <c r="P153" s="25"/>
      <c r="Q153" s="25"/>
      <c r="R153" s="25"/>
      <c r="S153" s="25"/>
      <c r="T153" s="25"/>
      <c r="U153" s="25"/>
      <c r="V153" s="53">
        <v>0</v>
      </c>
      <c r="W153" s="25"/>
      <c r="X153" s="5"/>
    </row>
    <row r="154" spans="1:25" ht="15.75" x14ac:dyDescent="0.25">
      <c r="A154" s="24"/>
      <c r="B154" s="25"/>
      <c r="C154" s="25"/>
      <c r="D154" s="25"/>
      <c r="E154" s="25"/>
      <c r="F154" s="25"/>
      <c r="G154" s="25"/>
      <c r="H154" s="25"/>
      <c r="I154" s="25"/>
      <c r="J154" s="25"/>
      <c r="K154" s="25"/>
      <c r="L154" s="25"/>
      <c r="M154" s="25"/>
      <c r="N154" s="25"/>
      <c r="O154" s="25"/>
      <c r="P154" s="25"/>
      <c r="Q154" s="25"/>
      <c r="R154" s="25"/>
      <c r="S154" s="25"/>
      <c r="T154" s="25"/>
      <c r="U154" s="25"/>
      <c r="V154" s="53"/>
      <c r="W154" s="25"/>
      <c r="X154" s="5"/>
    </row>
    <row r="155" spans="1:25" ht="15.75" x14ac:dyDescent="0.25">
      <c r="A155" s="24"/>
      <c r="B155" s="25"/>
      <c r="C155" s="25"/>
      <c r="D155" s="25"/>
      <c r="E155" s="25"/>
      <c r="F155" s="25"/>
      <c r="G155" s="25"/>
      <c r="H155" s="25"/>
      <c r="I155" s="25"/>
      <c r="J155" s="25"/>
      <c r="K155" s="25"/>
      <c r="L155" s="25"/>
      <c r="M155" s="25"/>
      <c r="N155" s="25"/>
      <c r="O155" s="25"/>
      <c r="P155" s="25"/>
      <c r="Q155" s="25"/>
      <c r="R155" s="25"/>
      <c r="S155" s="25"/>
      <c r="T155" s="25"/>
      <c r="U155" s="25"/>
      <c r="V155" s="61"/>
      <c r="W155" s="25"/>
      <c r="X155" s="5"/>
    </row>
    <row r="156" spans="1:25" ht="15.75" x14ac:dyDescent="0.25">
      <c r="A156" s="6"/>
      <c r="B156" s="119" t="s">
        <v>24</v>
      </c>
      <c r="C156" s="8"/>
      <c r="D156" s="8"/>
      <c r="E156" s="8"/>
      <c r="F156" s="8"/>
      <c r="G156" s="8"/>
      <c r="H156" s="8"/>
      <c r="I156" s="8"/>
      <c r="J156" s="8"/>
      <c r="K156" s="8"/>
      <c r="L156" s="8"/>
      <c r="M156" s="8"/>
      <c r="N156" s="8"/>
      <c r="O156" s="8"/>
      <c r="P156" s="8"/>
      <c r="Q156" s="8"/>
      <c r="R156" s="8"/>
      <c r="S156" s="8"/>
      <c r="T156" s="8"/>
      <c r="U156" s="8"/>
      <c r="V156" s="52"/>
      <c r="W156" s="8"/>
      <c r="X156" s="5"/>
    </row>
    <row r="157" spans="1:25" ht="15.75" x14ac:dyDescent="0.25">
      <c r="A157" s="24"/>
      <c r="B157" s="25" t="s">
        <v>47</v>
      </c>
      <c r="C157" s="25"/>
      <c r="D157" s="25"/>
      <c r="E157" s="25"/>
      <c r="F157" s="25"/>
      <c r="G157" s="25"/>
      <c r="H157" s="25"/>
      <c r="I157" s="25"/>
      <c r="J157" s="25"/>
      <c r="K157" s="25"/>
      <c r="L157" s="25"/>
      <c r="M157" s="25"/>
      <c r="N157" s="25"/>
      <c r="O157" s="25"/>
      <c r="P157" s="25"/>
      <c r="Q157" s="25"/>
      <c r="R157" s="25"/>
      <c r="S157" s="25"/>
      <c r="T157" s="25"/>
      <c r="U157" s="25"/>
      <c r="V157" s="59" t="s">
        <v>118</v>
      </c>
      <c r="W157" s="25"/>
      <c r="X157" s="5"/>
    </row>
    <row r="158" spans="1:25" ht="15.75" x14ac:dyDescent="0.25">
      <c r="A158" s="24"/>
      <c r="B158" s="25" t="s">
        <v>48</v>
      </c>
      <c r="C158" s="174"/>
      <c r="D158" s="174"/>
      <c r="E158" s="174"/>
      <c r="F158" s="174"/>
      <c r="G158" s="174"/>
      <c r="H158" s="174"/>
      <c r="I158" s="174"/>
      <c r="J158" s="174"/>
      <c r="K158" s="174"/>
      <c r="L158" s="174"/>
      <c r="M158" s="174"/>
      <c r="N158" s="174"/>
      <c r="O158" s="174"/>
      <c r="P158" s="174"/>
      <c r="Q158" s="174"/>
      <c r="R158" s="174"/>
      <c r="S158" s="174"/>
      <c r="T158" s="174"/>
      <c r="U158" s="174"/>
      <c r="V158" s="59" t="s">
        <v>118</v>
      </c>
      <c r="W158" s="25"/>
      <c r="X158" s="5"/>
    </row>
    <row r="159" spans="1:25" ht="15.75" x14ac:dyDescent="0.25">
      <c r="A159" s="24"/>
      <c r="B159" s="25" t="s">
        <v>49</v>
      </c>
      <c r="C159" s="25"/>
      <c r="D159" s="25"/>
      <c r="E159" s="25"/>
      <c r="F159" s="25"/>
      <c r="G159" s="25"/>
      <c r="H159" s="25"/>
      <c r="I159" s="25"/>
      <c r="J159" s="25"/>
      <c r="K159" s="25"/>
      <c r="L159" s="25"/>
      <c r="M159" s="25"/>
      <c r="N159" s="25"/>
      <c r="O159" s="25"/>
      <c r="P159" s="25"/>
      <c r="Q159" s="25"/>
      <c r="R159" s="25"/>
      <c r="S159" s="25"/>
      <c r="T159" s="25"/>
      <c r="U159" s="25"/>
      <c r="V159" s="59" t="s">
        <v>118</v>
      </c>
      <c r="W159" s="25"/>
      <c r="X159" s="5"/>
    </row>
    <row r="160" spans="1:25" ht="15.75" x14ac:dyDescent="0.25">
      <c r="A160" s="24"/>
      <c r="B160" s="25" t="s">
        <v>50</v>
      </c>
      <c r="C160" s="25"/>
      <c r="D160" s="25"/>
      <c r="E160" s="25"/>
      <c r="F160" s="25"/>
      <c r="G160" s="25"/>
      <c r="H160" s="25"/>
      <c r="I160" s="25"/>
      <c r="J160" s="25"/>
      <c r="K160" s="25"/>
      <c r="L160" s="25"/>
      <c r="M160" s="25"/>
      <c r="N160" s="25"/>
      <c r="O160" s="25"/>
      <c r="P160" s="25"/>
      <c r="Q160" s="25"/>
      <c r="R160" s="25"/>
      <c r="S160" s="25"/>
      <c r="T160" s="25"/>
      <c r="U160" s="25"/>
      <c r="V160" s="59" t="s">
        <v>118</v>
      </c>
      <c r="W160" s="25"/>
      <c r="X160" s="5"/>
    </row>
    <row r="161" spans="1:256" ht="15.75" x14ac:dyDescent="0.25">
      <c r="A161" s="24"/>
      <c r="B161" s="25"/>
      <c r="C161" s="25"/>
      <c r="D161" s="25"/>
      <c r="E161" s="25"/>
      <c r="F161" s="25"/>
      <c r="G161" s="25"/>
      <c r="H161" s="25"/>
      <c r="I161" s="25"/>
      <c r="J161" s="25"/>
      <c r="K161" s="25"/>
      <c r="L161" s="25"/>
      <c r="M161" s="25"/>
      <c r="N161" s="25"/>
      <c r="O161" s="25"/>
      <c r="P161" s="25"/>
      <c r="Q161" s="25"/>
      <c r="R161" s="25"/>
      <c r="S161" s="25"/>
      <c r="T161" s="25"/>
      <c r="U161" s="25"/>
      <c r="V161" s="61"/>
      <c r="W161" s="25"/>
      <c r="X161" s="5"/>
    </row>
    <row r="162" spans="1:256" ht="15.75" x14ac:dyDescent="0.25">
      <c r="A162" s="6"/>
      <c r="B162" s="119" t="s">
        <v>51</v>
      </c>
      <c r="C162" s="8"/>
      <c r="D162" s="8"/>
      <c r="E162" s="8"/>
      <c r="F162" s="8"/>
      <c r="G162" s="8"/>
      <c r="H162" s="8"/>
      <c r="I162" s="8"/>
      <c r="J162" s="8"/>
      <c r="K162" s="8"/>
      <c r="L162" s="8"/>
      <c r="M162" s="8"/>
      <c r="N162" s="8"/>
      <c r="O162" s="8"/>
      <c r="P162" s="8"/>
      <c r="Q162" s="8"/>
      <c r="R162" s="8"/>
      <c r="S162" s="8"/>
      <c r="T162" s="8"/>
      <c r="U162" s="8"/>
      <c r="V162" s="63"/>
      <c r="W162" s="8"/>
      <c r="X162" s="5"/>
    </row>
    <row r="163" spans="1:256" ht="15.75" x14ac:dyDescent="0.25">
      <c r="A163" s="24"/>
      <c r="B163" s="25" t="s">
        <v>52</v>
      </c>
      <c r="C163" s="25"/>
      <c r="D163" s="25"/>
      <c r="E163" s="25"/>
      <c r="F163" s="25"/>
      <c r="G163" s="25"/>
      <c r="H163" s="25"/>
      <c r="I163" s="25"/>
      <c r="J163" s="25"/>
      <c r="K163" s="25"/>
      <c r="L163" s="25"/>
      <c r="M163" s="25"/>
      <c r="N163" s="25"/>
      <c r="O163" s="25"/>
      <c r="P163" s="25"/>
      <c r="Q163" s="25"/>
      <c r="R163" s="25"/>
      <c r="S163" s="25"/>
      <c r="T163" s="25"/>
      <c r="U163" s="25"/>
      <c r="V163" s="53">
        <v>0</v>
      </c>
      <c r="W163" s="25"/>
      <c r="X163" s="5"/>
    </row>
    <row r="164" spans="1:256" ht="15.75" x14ac:dyDescent="0.25">
      <c r="A164" s="24"/>
      <c r="B164" s="25" t="s">
        <v>53</v>
      </c>
      <c r="C164" s="25"/>
      <c r="D164" s="25"/>
      <c r="E164" s="25"/>
      <c r="F164" s="25"/>
      <c r="G164" s="25"/>
      <c r="H164" s="25"/>
      <c r="I164" s="25"/>
      <c r="J164" s="25"/>
      <c r="K164" s="25"/>
      <c r="L164" s="25"/>
      <c r="M164" s="25"/>
      <c r="N164" s="25"/>
      <c r="O164" s="25"/>
      <c r="P164" s="25"/>
      <c r="Q164" s="25"/>
      <c r="R164" s="25"/>
      <c r="S164" s="25"/>
      <c r="T164" s="25"/>
      <c r="U164" s="25"/>
      <c r="V164" s="53">
        <v>252</v>
      </c>
      <c r="W164" s="25"/>
      <c r="X164" s="5"/>
    </row>
    <row r="165" spans="1:256" ht="15.75" x14ac:dyDescent="0.25">
      <c r="A165" s="24"/>
      <c r="B165" s="25" t="s">
        <v>54</v>
      </c>
      <c r="C165" s="25"/>
      <c r="D165" s="25"/>
      <c r="E165" s="25"/>
      <c r="F165" s="25"/>
      <c r="G165" s="25"/>
      <c r="H165" s="25"/>
      <c r="I165" s="25"/>
      <c r="J165" s="25"/>
      <c r="K165" s="25"/>
      <c r="L165" s="25"/>
      <c r="M165" s="25"/>
      <c r="N165" s="25"/>
      <c r="O165" s="25"/>
      <c r="P165" s="25"/>
      <c r="Q165" s="25"/>
      <c r="R165" s="25"/>
      <c r="S165" s="25"/>
      <c r="T165" s="25"/>
      <c r="U165" s="25"/>
      <c r="V165" s="53">
        <f>V164+V163</f>
        <v>252</v>
      </c>
      <c r="W165" s="25"/>
      <c r="X165" s="5"/>
    </row>
    <row r="166" spans="1:256" ht="15.75" x14ac:dyDescent="0.25">
      <c r="A166" s="24"/>
      <c r="B166" s="25" t="s">
        <v>303</v>
      </c>
      <c r="C166" s="25"/>
      <c r="D166" s="25"/>
      <c r="E166" s="25"/>
      <c r="F166" s="25"/>
      <c r="G166" s="25"/>
      <c r="H166" s="25"/>
      <c r="I166" s="25"/>
      <c r="J166" s="25"/>
      <c r="K166" s="25"/>
      <c r="L166" s="25"/>
      <c r="M166" s="25"/>
      <c r="N166" s="25"/>
      <c r="O166" s="25"/>
      <c r="P166" s="25"/>
      <c r="Q166" s="25"/>
      <c r="R166" s="25"/>
      <c r="S166" s="25"/>
      <c r="T166" s="25"/>
      <c r="U166" s="25"/>
      <c r="V166" s="53">
        <f>V114</f>
        <v>-252</v>
      </c>
      <c r="W166" s="25"/>
      <c r="X166" s="5"/>
    </row>
    <row r="167" spans="1:256" ht="15.75" x14ac:dyDescent="0.25">
      <c r="A167" s="24"/>
      <c r="B167" s="25" t="s">
        <v>55</v>
      </c>
      <c r="C167" s="25"/>
      <c r="D167" s="25"/>
      <c r="E167" s="25"/>
      <c r="F167" s="25"/>
      <c r="G167" s="25"/>
      <c r="H167" s="25"/>
      <c r="I167" s="25"/>
      <c r="J167" s="25"/>
      <c r="K167" s="25"/>
      <c r="L167" s="25"/>
      <c r="M167" s="25"/>
      <c r="N167" s="25"/>
      <c r="O167" s="25"/>
      <c r="P167" s="25"/>
      <c r="Q167" s="25"/>
      <c r="R167" s="25"/>
      <c r="S167" s="25"/>
      <c r="T167" s="25"/>
      <c r="U167" s="25"/>
      <c r="V167" s="53">
        <f>V165+V166</f>
        <v>0</v>
      </c>
      <c r="W167" s="25"/>
      <c r="X167" s="5"/>
    </row>
    <row r="168" spans="1:256" ht="15.75" x14ac:dyDescent="0.25">
      <c r="A168" s="24"/>
      <c r="B168" s="25" t="s">
        <v>274</v>
      </c>
      <c r="C168" s="25"/>
      <c r="D168" s="25"/>
      <c r="E168" s="25"/>
      <c r="F168" s="25"/>
      <c r="G168" s="25"/>
      <c r="H168" s="25"/>
      <c r="I168" s="25"/>
      <c r="J168" s="25"/>
      <c r="K168" s="25"/>
      <c r="L168" s="25"/>
      <c r="M168" s="25"/>
      <c r="N168" s="25"/>
      <c r="O168" s="25"/>
      <c r="P168" s="25"/>
      <c r="Q168" s="25"/>
      <c r="R168" s="25"/>
      <c r="S168" s="25"/>
      <c r="T168" s="25"/>
      <c r="U168" s="25"/>
      <c r="V168" s="53">
        <f>-V101</f>
        <v>36</v>
      </c>
      <c r="W168" s="25"/>
      <c r="X168" s="5"/>
    </row>
    <row r="169" spans="1:256" ht="16.5" thickBot="1" x14ac:dyDescent="0.3">
      <c r="A169" s="24"/>
      <c r="B169" s="25"/>
      <c r="C169" s="25"/>
      <c r="D169" s="25"/>
      <c r="E169" s="25"/>
      <c r="F169" s="25"/>
      <c r="G169" s="25"/>
      <c r="H169" s="25"/>
      <c r="I169" s="25"/>
      <c r="J169" s="25"/>
      <c r="K169" s="25"/>
      <c r="L169" s="25"/>
      <c r="M169" s="25"/>
      <c r="N169" s="25"/>
      <c r="O169" s="25"/>
      <c r="P169" s="25"/>
      <c r="Q169" s="25"/>
      <c r="R169" s="25"/>
      <c r="S169" s="25"/>
      <c r="T169" s="25"/>
      <c r="U169" s="25"/>
      <c r="V169" s="61"/>
      <c r="W169" s="25"/>
      <c r="X169" s="5"/>
    </row>
    <row r="170" spans="1:256" ht="15.75" x14ac:dyDescent="0.25">
      <c r="A170" s="2"/>
      <c r="B170" s="4"/>
      <c r="C170" s="4"/>
      <c r="D170" s="4"/>
      <c r="E170" s="4"/>
      <c r="F170" s="4"/>
      <c r="G170" s="4"/>
      <c r="H170" s="4"/>
      <c r="I170" s="4"/>
      <c r="J170" s="4"/>
      <c r="K170" s="4"/>
      <c r="L170" s="4"/>
      <c r="M170" s="4"/>
      <c r="N170" s="4"/>
      <c r="O170" s="4"/>
      <c r="P170" s="4"/>
      <c r="Q170" s="4"/>
      <c r="R170" s="4"/>
      <c r="S170" s="4"/>
      <c r="T170" s="4"/>
      <c r="U170" s="4"/>
      <c r="V170" s="50"/>
      <c r="W170" s="4"/>
      <c r="X170" s="5"/>
    </row>
    <row r="171" spans="1:256" s="158" customFormat="1" ht="15.75" x14ac:dyDescent="0.25">
      <c r="A171" s="6"/>
      <c r="B171" s="119" t="s">
        <v>230</v>
      </c>
      <c r="C171" s="157"/>
      <c r="D171" s="157"/>
      <c r="E171" s="157"/>
      <c r="F171" s="157"/>
      <c r="G171" s="157"/>
      <c r="H171" s="157"/>
      <c r="I171" s="157"/>
      <c r="J171" s="157"/>
      <c r="K171" s="157"/>
      <c r="L171" s="157"/>
      <c r="M171" s="157"/>
      <c r="N171" s="157"/>
      <c r="O171" s="157"/>
      <c r="P171" s="157"/>
      <c r="Q171" s="157"/>
      <c r="R171" s="157"/>
      <c r="S171" s="157"/>
      <c r="T171" s="157"/>
      <c r="U171" s="157"/>
      <c r="V171" s="165"/>
      <c r="W171" s="157"/>
      <c r="X171" s="5"/>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s="160" customFormat="1" ht="15.75" x14ac:dyDescent="0.25">
      <c r="A172" s="24"/>
      <c r="B172" s="159" t="s">
        <v>231</v>
      </c>
      <c r="C172" s="159"/>
      <c r="D172" s="159"/>
      <c r="E172" s="159"/>
      <c r="F172" s="159"/>
      <c r="G172" s="159"/>
      <c r="H172" s="159"/>
      <c r="I172" s="159"/>
      <c r="J172" s="159"/>
      <c r="K172" s="159"/>
      <c r="L172" s="159"/>
      <c r="M172" s="159"/>
      <c r="N172" s="159"/>
      <c r="O172" s="159"/>
      <c r="P172" s="159"/>
      <c r="Q172" s="159"/>
      <c r="R172" s="159"/>
      <c r="S172" s="159"/>
      <c r="T172" s="159"/>
      <c r="U172" s="159"/>
      <c r="V172" s="166">
        <f>+'Aug 08'!V173</f>
        <v>0</v>
      </c>
      <c r="W172" s="159"/>
      <c r="X172" s="5"/>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s="160" customFormat="1" ht="15.75" x14ac:dyDescent="0.25">
      <c r="A173" s="24"/>
      <c r="B173" s="159" t="s">
        <v>234</v>
      </c>
      <c r="C173" s="159"/>
      <c r="D173" s="159"/>
      <c r="E173" s="159"/>
      <c r="F173" s="159"/>
      <c r="G173" s="159"/>
      <c r="H173" s="159"/>
      <c r="I173" s="159"/>
      <c r="J173" s="159"/>
      <c r="K173" s="159"/>
      <c r="L173" s="159"/>
      <c r="M173" s="159"/>
      <c r="N173" s="159"/>
      <c r="O173" s="159"/>
      <c r="P173" s="159"/>
      <c r="Q173" s="159"/>
      <c r="R173" s="159"/>
      <c r="S173" s="159"/>
      <c r="T173" s="159"/>
      <c r="U173" s="159"/>
      <c r="V173" s="166">
        <f>+V95</f>
        <v>0</v>
      </c>
      <c r="W173" s="159"/>
      <c r="X173" s="5"/>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s="160" customFormat="1" ht="15.75" x14ac:dyDescent="0.25">
      <c r="A174" s="24"/>
      <c r="B174" s="159" t="s">
        <v>232</v>
      </c>
      <c r="C174" s="159"/>
      <c r="D174" s="159"/>
      <c r="E174" s="159"/>
      <c r="F174" s="159"/>
      <c r="G174" s="159"/>
      <c r="H174" s="159"/>
      <c r="I174" s="159"/>
      <c r="J174" s="159"/>
      <c r="K174" s="159"/>
      <c r="L174" s="159"/>
      <c r="M174" s="159"/>
      <c r="N174" s="159"/>
      <c r="O174" s="159"/>
      <c r="P174" s="159"/>
      <c r="Q174" s="159"/>
      <c r="R174" s="159"/>
      <c r="S174" s="159"/>
      <c r="T174" s="159"/>
      <c r="U174" s="159"/>
      <c r="V174" s="166">
        <f>+V172-V173</f>
        <v>0</v>
      </c>
      <c r="W174" s="159"/>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6.5" thickBot="1" x14ac:dyDescent="0.3">
      <c r="A175" s="167"/>
      <c r="B175" s="161"/>
      <c r="C175" s="161"/>
      <c r="D175" s="161"/>
      <c r="E175" s="161"/>
      <c r="F175" s="161"/>
      <c r="G175" s="161"/>
      <c r="H175" s="161"/>
      <c r="I175" s="161"/>
      <c r="J175" s="161"/>
      <c r="K175" s="161"/>
      <c r="L175" s="161"/>
      <c r="M175" s="161"/>
      <c r="N175" s="161"/>
      <c r="O175" s="161"/>
      <c r="P175" s="161"/>
      <c r="Q175" s="161"/>
      <c r="R175" s="161"/>
      <c r="S175" s="161"/>
      <c r="T175" s="161"/>
      <c r="U175" s="161"/>
      <c r="V175" s="162"/>
      <c r="W175" s="161"/>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4" customFormat="1" ht="15.75" x14ac:dyDescent="0.25">
      <c r="A176" s="2"/>
      <c r="B176" s="4"/>
      <c r="C176" s="4"/>
      <c r="D176" s="4"/>
      <c r="E176" s="4"/>
      <c r="F176" s="4"/>
      <c r="G176" s="4"/>
      <c r="H176" s="4"/>
      <c r="I176" s="4"/>
      <c r="J176" s="4"/>
      <c r="K176" s="4"/>
      <c r="L176" s="4"/>
      <c r="M176" s="4"/>
      <c r="N176" s="4"/>
      <c r="O176" s="4"/>
      <c r="P176" s="4"/>
      <c r="Q176" s="4"/>
      <c r="R176" s="4"/>
      <c r="S176" s="4"/>
      <c r="T176" s="4"/>
      <c r="U176" s="4"/>
      <c r="V176" s="50"/>
      <c r="W176" s="4"/>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4" ht="15.75" x14ac:dyDescent="0.25">
      <c r="A177" s="6"/>
      <c r="B177" s="119" t="s">
        <v>56</v>
      </c>
      <c r="C177" s="8"/>
      <c r="D177" s="8"/>
      <c r="E177" s="8"/>
      <c r="F177" s="8"/>
      <c r="G177" s="8"/>
      <c r="H177" s="8"/>
      <c r="I177" s="8"/>
      <c r="J177" s="8"/>
      <c r="K177" s="8"/>
      <c r="L177" s="8"/>
      <c r="M177" s="8"/>
      <c r="N177" s="8"/>
      <c r="O177" s="8"/>
      <c r="P177" s="8"/>
      <c r="Q177" s="8"/>
      <c r="R177" s="8"/>
      <c r="S177" s="8"/>
      <c r="T177" s="8"/>
      <c r="U177" s="8"/>
      <c r="V177" s="52"/>
      <c r="W177" s="8"/>
      <c r="X177" s="5"/>
    </row>
    <row r="178" spans="1:24" ht="15.75" x14ac:dyDescent="0.25">
      <c r="A178" s="6"/>
      <c r="B178" s="21"/>
      <c r="C178" s="8"/>
      <c r="D178" s="8"/>
      <c r="E178" s="8"/>
      <c r="F178" s="8"/>
      <c r="G178" s="8"/>
      <c r="H178" s="8"/>
      <c r="I178" s="8"/>
      <c r="J178" s="8"/>
      <c r="K178" s="8"/>
      <c r="L178" s="8"/>
      <c r="M178" s="8"/>
      <c r="N178" s="8"/>
      <c r="O178" s="8"/>
      <c r="P178" s="8"/>
      <c r="Q178" s="8"/>
      <c r="R178" s="8"/>
      <c r="S178" s="8"/>
      <c r="T178" s="8"/>
      <c r="U178" s="8"/>
      <c r="V178" s="52"/>
      <c r="W178" s="8"/>
      <c r="X178" s="5"/>
    </row>
    <row r="179" spans="1:24" ht="15.75" x14ac:dyDescent="0.25">
      <c r="A179" s="24"/>
      <c r="B179" s="25" t="s">
        <v>57</v>
      </c>
      <c r="C179" s="25"/>
      <c r="D179" s="25"/>
      <c r="E179" s="25"/>
      <c r="F179" s="25"/>
      <c r="G179" s="25"/>
      <c r="H179" s="25"/>
      <c r="I179" s="25"/>
      <c r="J179" s="25"/>
      <c r="K179" s="25"/>
      <c r="L179" s="25"/>
      <c r="M179" s="25"/>
      <c r="N179" s="25"/>
      <c r="O179" s="25"/>
      <c r="P179" s="25"/>
      <c r="Q179" s="25"/>
      <c r="R179" s="25"/>
      <c r="S179" s="25"/>
      <c r="T179" s="25"/>
      <c r="U179" s="25"/>
      <c r="V179" s="53">
        <f>V72</f>
        <v>866464</v>
      </c>
      <c r="W179" s="25"/>
      <c r="X179" s="5"/>
    </row>
    <row r="180" spans="1:24" ht="15.75" x14ac:dyDescent="0.25">
      <c r="A180" s="24"/>
      <c r="B180" s="25" t="s">
        <v>58</v>
      </c>
      <c r="C180" s="25"/>
      <c r="D180" s="25"/>
      <c r="E180" s="25"/>
      <c r="F180" s="25"/>
      <c r="G180" s="25"/>
      <c r="H180" s="25"/>
      <c r="I180" s="25"/>
      <c r="J180" s="25"/>
      <c r="K180" s="25"/>
      <c r="L180" s="25"/>
      <c r="M180" s="25"/>
      <c r="N180" s="25"/>
      <c r="O180" s="25"/>
      <c r="P180" s="25"/>
      <c r="Q180" s="25"/>
      <c r="R180" s="25"/>
      <c r="S180" s="25"/>
      <c r="T180" s="25"/>
      <c r="U180" s="25"/>
      <c r="V180" s="53">
        <f>V85</f>
        <v>866464</v>
      </c>
      <c r="W180" s="25"/>
      <c r="X180" s="5"/>
    </row>
    <row r="181" spans="1:24" ht="16.5" thickBot="1" x14ac:dyDescent="0.3">
      <c r="A181" s="24"/>
      <c r="B181" s="25"/>
      <c r="C181" s="25"/>
      <c r="D181" s="25"/>
      <c r="E181" s="25"/>
      <c r="F181" s="25"/>
      <c r="G181" s="25"/>
      <c r="H181" s="25"/>
      <c r="I181" s="25"/>
      <c r="J181" s="25"/>
      <c r="K181" s="25"/>
      <c r="L181" s="25"/>
      <c r="M181" s="25"/>
      <c r="N181" s="25"/>
      <c r="O181" s="25"/>
      <c r="P181" s="25"/>
      <c r="Q181" s="25"/>
      <c r="R181" s="25"/>
      <c r="S181" s="25"/>
      <c r="T181" s="25"/>
      <c r="U181" s="25"/>
      <c r="V181" s="61"/>
      <c r="W181" s="25"/>
      <c r="X181" s="5"/>
    </row>
    <row r="182" spans="1:24" ht="15.75" x14ac:dyDescent="0.25">
      <c r="A182" s="2"/>
      <c r="B182" s="4"/>
      <c r="C182" s="4"/>
      <c r="D182" s="4"/>
      <c r="E182" s="4"/>
      <c r="F182" s="4"/>
      <c r="G182" s="4"/>
      <c r="H182" s="4"/>
      <c r="I182" s="4"/>
      <c r="J182" s="4"/>
      <c r="K182" s="4"/>
      <c r="L182" s="4"/>
      <c r="M182" s="4"/>
      <c r="N182" s="4"/>
      <c r="O182" s="4"/>
      <c r="P182" s="4"/>
      <c r="Q182" s="4"/>
      <c r="R182" s="4"/>
      <c r="S182" s="4"/>
      <c r="T182" s="4"/>
      <c r="U182" s="4"/>
      <c r="V182" s="50"/>
      <c r="W182" s="4"/>
      <c r="X182" s="5"/>
    </row>
    <row r="183" spans="1:24" ht="15.75" x14ac:dyDescent="0.25">
      <c r="A183" s="6"/>
      <c r="B183" s="119" t="s">
        <v>59</v>
      </c>
      <c r="C183" s="117"/>
      <c r="D183" s="117"/>
      <c r="E183" s="117"/>
      <c r="F183" s="117"/>
      <c r="G183" s="117"/>
      <c r="H183" s="120"/>
      <c r="I183" s="120"/>
      <c r="J183" s="120"/>
      <c r="K183" s="120"/>
      <c r="L183" s="120"/>
      <c r="M183" s="120"/>
      <c r="N183" s="120"/>
      <c r="O183" s="120"/>
      <c r="P183" s="120"/>
      <c r="Q183" s="120"/>
      <c r="R183" s="120"/>
      <c r="S183" s="120" t="s">
        <v>101</v>
      </c>
      <c r="T183" s="120" t="s">
        <v>176</v>
      </c>
      <c r="U183" s="111"/>
      <c r="V183" s="121" t="s">
        <v>114</v>
      </c>
      <c r="W183" s="10"/>
      <c r="X183" s="5"/>
    </row>
    <row r="184" spans="1:24" ht="15.75" x14ac:dyDescent="0.25">
      <c r="A184" s="24"/>
      <c r="B184" s="25" t="s">
        <v>60</v>
      </c>
      <c r="C184" s="25"/>
      <c r="D184" s="25"/>
      <c r="E184" s="25"/>
      <c r="F184" s="25"/>
      <c r="G184" s="25"/>
      <c r="H184" s="25"/>
      <c r="I184" s="25"/>
      <c r="J184" s="25"/>
      <c r="K184" s="25"/>
      <c r="L184" s="25"/>
      <c r="M184" s="25"/>
      <c r="N184" s="25"/>
      <c r="O184" s="25"/>
      <c r="P184" s="25"/>
      <c r="Q184" s="25"/>
      <c r="R184" s="25"/>
      <c r="S184" s="53">
        <f>+V34*0.16</f>
        <v>160181.28</v>
      </c>
      <c r="T184" s="40"/>
      <c r="U184" s="25"/>
      <c r="V184" s="53"/>
      <c r="W184" s="25"/>
      <c r="X184" s="5"/>
    </row>
    <row r="185" spans="1:24" ht="15.75" x14ac:dyDescent="0.25">
      <c r="A185" s="24"/>
      <c r="B185" s="25" t="s">
        <v>61</v>
      </c>
      <c r="C185" s="25"/>
      <c r="D185" s="25"/>
      <c r="E185" s="25"/>
      <c r="F185" s="25"/>
      <c r="G185" s="25"/>
      <c r="H185" s="25"/>
      <c r="I185" s="25"/>
      <c r="J185" s="25"/>
      <c r="K185" s="25"/>
      <c r="L185" s="25"/>
      <c r="M185" s="25"/>
      <c r="N185" s="25"/>
      <c r="O185" s="25"/>
      <c r="P185" s="25"/>
      <c r="Q185" s="25"/>
      <c r="R185" s="25"/>
      <c r="S185" s="53">
        <f>+'Nov 09'!S187</f>
        <v>9633</v>
      </c>
      <c r="T185" s="53">
        <f>+'Nov 09'!T187</f>
        <v>6079</v>
      </c>
      <c r="U185" s="25"/>
      <c r="V185" s="53">
        <f>S185+T185</f>
        <v>15712</v>
      </c>
      <c r="W185" s="25"/>
      <c r="X185" s="5"/>
    </row>
    <row r="186" spans="1:24" ht="15.75" x14ac:dyDescent="0.25">
      <c r="A186" s="24"/>
      <c r="B186" s="25" t="s">
        <v>62</v>
      </c>
      <c r="C186" s="25"/>
      <c r="D186" s="25"/>
      <c r="E186" s="25"/>
      <c r="F186" s="25"/>
      <c r="G186" s="25"/>
      <c r="H186" s="25"/>
      <c r="I186" s="25"/>
      <c r="J186" s="25"/>
      <c r="K186" s="25"/>
      <c r="L186" s="25"/>
      <c r="M186" s="25"/>
      <c r="N186" s="25"/>
      <c r="O186" s="25"/>
      <c r="P186" s="25"/>
      <c r="Q186" s="25"/>
      <c r="R186" s="25"/>
      <c r="S186" s="34">
        <f>142+193</f>
        <v>335</v>
      </c>
      <c r="T186" s="34">
        <v>0</v>
      </c>
      <c r="U186" s="25"/>
      <c r="V186" s="53">
        <f>S186+T186</f>
        <v>335</v>
      </c>
      <c r="W186" s="25"/>
      <c r="X186" s="5"/>
    </row>
    <row r="187" spans="1:24" ht="15.75" x14ac:dyDescent="0.25">
      <c r="A187" s="24"/>
      <c r="B187" s="25" t="s">
        <v>63</v>
      </c>
      <c r="C187" s="25"/>
      <c r="D187" s="25"/>
      <c r="E187" s="25"/>
      <c r="F187" s="25"/>
      <c r="G187" s="25"/>
      <c r="H187" s="25"/>
      <c r="I187" s="25"/>
      <c r="J187" s="25"/>
      <c r="K187" s="25"/>
      <c r="L187" s="25"/>
      <c r="M187" s="25"/>
      <c r="N187" s="25"/>
      <c r="O187" s="25"/>
      <c r="P187" s="25"/>
      <c r="Q187" s="25"/>
      <c r="R187" s="25"/>
      <c r="S187" s="53">
        <f>S185+S186</f>
        <v>9968</v>
      </c>
      <c r="T187" s="53">
        <f>T186+T185</f>
        <v>6079</v>
      </c>
      <c r="U187" s="25"/>
      <c r="V187" s="53">
        <f>S187+T187</f>
        <v>16047</v>
      </c>
      <c r="W187" s="25"/>
      <c r="X187" s="5"/>
    </row>
    <row r="188" spans="1:24" ht="15.75" x14ac:dyDescent="0.25">
      <c r="A188" s="24"/>
      <c r="B188" s="25" t="s">
        <v>64</v>
      </c>
      <c r="C188" s="25"/>
      <c r="D188" s="25"/>
      <c r="E188" s="25"/>
      <c r="F188" s="25"/>
      <c r="G188" s="25"/>
      <c r="H188" s="25"/>
      <c r="I188" s="25"/>
      <c r="J188" s="25"/>
      <c r="K188" s="25"/>
      <c r="L188" s="25"/>
      <c r="M188" s="25"/>
      <c r="N188" s="25"/>
      <c r="O188" s="25"/>
      <c r="P188" s="25"/>
      <c r="Q188" s="25"/>
      <c r="R188" s="25"/>
      <c r="S188" s="53">
        <f>S184-S187-T187</f>
        <v>144134.28</v>
      </c>
      <c r="T188" s="40"/>
      <c r="U188" s="25"/>
      <c r="V188" s="53"/>
      <c r="W188" s="25"/>
      <c r="X188" s="5"/>
    </row>
    <row r="189" spans="1:24" ht="16.5" thickBot="1" x14ac:dyDescent="0.3">
      <c r="A189" s="24"/>
      <c r="B189" s="25"/>
      <c r="C189" s="25"/>
      <c r="D189" s="25"/>
      <c r="E189" s="25"/>
      <c r="F189" s="25"/>
      <c r="G189" s="25"/>
      <c r="H189" s="25"/>
      <c r="I189" s="25"/>
      <c r="J189" s="25"/>
      <c r="K189" s="25"/>
      <c r="L189" s="25"/>
      <c r="M189" s="25"/>
      <c r="N189" s="25"/>
      <c r="O189" s="25"/>
      <c r="P189" s="25"/>
      <c r="Q189" s="25"/>
      <c r="R189" s="25"/>
      <c r="S189" s="25"/>
      <c r="T189" s="25"/>
      <c r="U189" s="25"/>
      <c r="V189" s="61"/>
      <c r="W189" s="25"/>
      <c r="X189" s="5"/>
    </row>
    <row r="190" spans="1:24" ht="15.75" x14ac:dyDescent="0.25">
      <c r="A190" s="2"/>
      <c r="B190" s="4"/>
      <c r="C190" s="4"/>
      <c r="D190" s="4"/>
      <c r="E190" s="4"/>
      <c r="F190" s="4"/>
      <c r="G190" s="4"/>
      <c r="H190" s="4"/>
      <c r="I190" s="4"/>
      <c r="J190" s="4"/>
      <c r="K190" s="4"/>
      <c r="L190" s="4"/>
      <c r="M190" s="4"/>
      <c r="N190" s="4"/>
      <c r="O190" s="4"/>
      <c r="P190" s="4"/>
      <c r="Q190" s="4"/>
      <c r="R190" s="4"/>
      <c r="S190" s="4"/>
      <c r="T190" s="4"/>
      <c r="U190" s="4"/>
      <c r="V190" s="50"/>
      <c r="W190" s="4"/>
      <c r="X190" s="5"/>
    </row>
    <row r="191" spans="1:24" ht="15.75" x14ac:dyDescent="0.25">
      <c r="A191" s="6"/>
      <c r="B191" s="119" t="s">
        <v>65</v>
      </c>
      <c r="C191" s="8"/>
      <c r="D191" s="8"/>
      <c r="E191" s="8"/>
      <c r="F191" s="8"/>
      <c r="G191" s="8"/>
      <c r="H191" s="8"/>
      <c r="I191" s="8"/>
      <c r="J191" s="8"/>
      <c r="K191" s="8"/>
      <c r="L191" s="8"/>
      <c r="M191" s="8"/>
      <c r="N191" s="8"/>
      <c r="O191" s="8"/>
      <c r="P191" s="8"/>
      <c r="Q191" s="8"/>
      <c r="R191" s="8"/>
      <c r="S191" s="8"/>
      <c r="T191" s="8"/>
      <c r="U191" s="8"/>
      <c r="V191" s="65"/>
      <c r="W191" s="8"/>
      <c r="X191" s="5"/>
    </row>
    <row r="192" spans="1:24" ht="15.75" x14ac:dyDescent="0.25">
      <c r="A192" s="24"/>
      <c r="B192" s="25" t="s">
        <v>66</v>
      </c>
      <c r="C192" s="25"/>
      <c r="D192" s="25"/>
      <c r="E192" s="25"/>
      <c r="F192" s="25"/>
      <c r="G192" s="25"/>
      <c r="H192" s="25"/>
      <c r="I192" s="25"/>
      <c r="J192" s="25"/>
      <c r="K192" s="25"/>
      <c r="L192" s="25"/>
      <c r="M192" s="25"/>
      <c r="N192" s="25"/>
      <c r="O192" s="25"/>
      <c r="P192" s="25"/>
      <c r="Q192" s="25"/>
      <c r="R192" s="25"/>
      <c r="S192" s="25"/>
      <c r="T192" s="25"/>
      <c r="U192" s="25"/>
      <c r="V192" s="59">
        <f>(V102+V104+V105+V106+V107)/-(V108+V109)</f>
        <v>3.6826997672614428</v>
      </c>
      <c r="W192" s="25" t="s">
        <v>115</v>
      </c>
      <c r="X192" s="5"/>
    </row>
    <row r="193" spans="1:24" ht="15.75" x14ac:dyDescent="0.25">
      <c r="A193" s="24"/>
      <c r="B193" s="25" t="s">
        <v>67</v>
      </c>
      <c r="C193" s="25"/>
      <c r="D193" s="25"/>
      <c r="E193" s="25"/>
      <c r="F193" s="25"/>
      <c r="G193" s="25"/>
      <c r="H193" s="25"/>
      <c r="I193" s="25"/>
      <c r="J193" s="25"/>
      <c r="K193" s="25"/>
      <c r="L193" s="25"/>
      <c r="M193" s="25"/>
      <c r="N193" s="25"/>
      <c r="O193" s="25"/>
      <c r="P193" s="25"/>
      <c r="Q193" s="25"/>
      <c r="R193" s="25"/>
      <c r="S193" s="25"/>
      <c r="T193" s="25"/>
      <c r="U193" s="25"/>
      <c r="V193" s="66">
        <v>1.49</v>
      </c>
      <c r="W193" s="25" t="s">
        <v>115</v>
      </c>
      <c r="X193" s="5"/>
    </row>
    <row r="194" spans="1:24" ht="15.75" x14ac:dyDescent="0.25">
      <c r="A194" s="24"/>
      <c r="B194" s="25" t="s">
        <v>68</v>
      </c>
      <c r="C194" s="25"/>
      <c r="D194" s="25"/>
      <c r="E194" s="25"/>
      <c r="F194" s="25"/>
      <c r="G194" s="25"/>
      <c r="H194" s="25"/>
      <c r="I194" s="25"/>
      <c r="J194" s="25"/>
      <c r="K194" s="25"/>
      <c r="L194" s="25"/>
      <c r="M194" s="25"/>
      <c r="N194" s="25"/>
      <c r="O194" s="25"/>
      <c r="P194" s="25"/>
      <c r="Q194" s="25"/>
      <c r="R194" s="25"/>
      <c r="S194" s="25"/>
      <c r="T194" s="25"/>
      <c r="U194" s="25"/>
      <c r="V194" s="59">
        <f>(V102+V104+V105+V106+V107+V108+V109)/-(V110+V111)</f>
        <v>20.706586826347305</v>
      </c>
      <c r="W194" s="25" t="s">
        <v>115</v>
      </c>
      <c r="X194" s="5"/>
    </row>
    <row r="195" spans="1:24" ht="15.75" x14ac:dyDescent="0.25">
      <c r="A195" s="24"/>
      <c r="B195" s="25" t="s">
        <v>69</v>
      </c>
      <c r="C195" s="25"/>
      <c r="D195" s="25"/>
      <c r="E195" s="25"/>
      <c r="F195" s="25"/>
      <c r="G195" s="25"/>
      <c r="H195" s="25"/>
      <c r="I195" s="25"/>
      <c r="J195" s="25"/>
      <c r="K195" s="25"/>
      <c r="L195" s="25"/>
      <c r="M195" s="25"/>
      <c r="N195" s="25"/>
      <c r="O195" s="25"/>
      <c r="P195" s="25"/>
      <c r="Q195" s="25"/>
      <c r="R195" s="25"/>
      <c r="S195" s="25"/>
      <c r="T195" s="25"/>
      <c r="U195" s="25"/>
      <c r="V195" s="66">
        <v>5.07</v>
      </c>
      <c r="W195" s="25" t="s">
        <v>115</v>
      </c>
      <c r="X195" s="5"/>
    </row>
    <row r="196" spans="1:24" ht="15.75" x14ac:dyDescent="0.25">
      <c r="A196" s="24"/>
      <c r="B196" s="25" t="s">
        <v>198</v>
      </c>
      <c r="C196" s="25"/>
      <c r="D196" s="25"/>
      <c r="E196" s="25"/>
      <c r="F196" s="25"/>
      <c r="G196" s="25"/>
      <c r="H196" s="25"/>
      <c r="I196" s="25"/>
      <c r="J196" s="25"/>
      <c r="K196" s="25"/>
      <c r="L196" s="25"/>
      <c r="M196" s="25"/>
      <c r="N196" s="25"/>
      <c r="O196" s="25"/>
      <c r="P196" s="25"/>
      <c r="Q196" s="25"/>
      <c r="R196" s="25"/>
      <c r="S196" s="25"/>
      <c r="T196" s="25"/>
      <c r="U196" s="25"/>
      <c r="V196" s="59">
        <f>(V102+V104+V105+V106+V107+V108+V109+V110+V111)/-(V112)</f>
        <v>14.561946902654867</v>
      </c>
      <c r="W196" s="25" t="s">
        <v>115</v>
      </c>
      <c r="X196" s="5"/>
    </row>
    <row r="197" spans="1:24" ht="15.75" x14ac:dyDescent="0.25">
      <c r="A197" s="24"/>
      <c r="B197" s="25" t="s">
        <v>199</v>
      </c>
      <c r="C197" s="25"/>
      <c r="D197" s="25"/>
      <c r="E197" s="25"/>
      <c r="F197" s="25"/>
      <c r="G197" s="25"/>
      <c r="H197" s="25"/>
      <c r="I197" s="25"/>
      <c r="J197" s="25"/>
      <c r="K197" s="25"/>
      <c r="L197" s="25"/>
      <c r="M197" s="25"/>
      <c r="N197" s="25"/>
      <c r="O197" s="25"/>
      <c r="P197" s="25"/>
      <c r="Q197" s="25"/>
      <c r="R197" s="25"/>
      <c r="S197" s="25"/>
      <c r="T197" s="25"/>
      <c r="U197" s="25"/>
      <c r="V197" s="66">
        <v>3.79</v>
      </c>
      <c r="W197" s="25" t="s">
        <v>115</v>
      </c>
      <c r="X197" s="5"/>
    </row>
    <row r="198" spans="1:24" ht="15.75" x14ac:dyDescent="0.25">
      <c r="A198" s="24"/>
      <c r="B198" s="25"/>
      <c r="C198" s="25"/>
      <c r="D198" s="25"/>
      <c r="E198" s="25"/>
      <c r="F198" s="25"/>
      <c r="G198" s="25"/>
      <c r="H198" s="25"/>
      <c r="I198" s="25"/>
      <c r="J198" s="25"/>
      <c r="K198" s="25"/>
      <c r="L198" s="25"/>
      <c r="M198" s="25"/>
      <c r="N198" s="25"/>
      <c r="O198" s="25"/>
      <c r="P198" s="25"/>
      <c r="Q198" s="25"/>
      <c r="R198" s="25"/>
      <c r="S198" s="25"/>
      <c r="T198" s="25"/>
      <c r="U198" s="25"/>
      <c r="V198" s="25"/>
      <c r="W198" s="25"/>
      <c r="X198" s="5"/>
    </row>
    <row r="199" spans="1:24" ht="15.75" x14ac:dyDescent="0.25">
      <c r="A199" s="24"/>
      <c r="B199" s="25"/>
      <c r="C199" s="25"/>
      <c r="D199" s="25"/>
      <c r="E199" s="25"/>
      <c r="F199" s="25"/>
      <c r="G199" s="25"/>
      <c r="H199" s="25"/>
      <c r="I199" s="25"/>
      <c r="J199" s="25"/>
      <c r="K199" s="25"/>
      <c r="L199" s="25"/>
      <c r="M199" s="25"/>
      <c r="N199" s="25"/>
      <c r="O199" s="25"/>
      <c r="P199" s="25"/>
      <c r="Q199" s="25"/>
      <c r="R199" s="25"/>
      <c r="S199" s="25"/>
      <c r="T199" s="25"/>
      <c r="U199" s="25"/>
      <c r="V199" s="25"/>
      <c r="W199" s="25"/>
      <c r="X199" s="5"/>
    </row>
    <row r="200" spans="1:24" ht="15.75" x14ac:dyDescent="0.25">
      <c r="A200" s="6"/>
      <c r="B200" s="8"/>
      <c r="C200" s="8"/>
      <c r="D200" s="8"/>
      <c r="E200" s="8"/>
      <c r="F200" s="8"/>
      <c r="G200" s="8"/>
      <c r="H200" s="8"/>
      <c r="I200" s="8"/>
      <c r="J200" s="8"/>
      <c r="K200" s="8"/>
      <c r="L200" s="8"/>
      <c r="M200" s="8"/>
      <c r="N200" s="8"/>
      <c r="O200" s="8"/>
      <c r="P200" s="8"/>
      <c r="Q200" s="8"/>
      <c r="R200" s="8"/>
      <c r="S200" s="8"/>
      <c r="T200" s="8"/>
      <c r="U200" s="8"/>
      <c r="V200" s="8"/>
      <c r="W200" s="8"/>
      <c r="X200" s="5"/>
    </row>
    <row r="201" spans="1:24" ht="19.5" thickBot="1" x14ac:dyDescent="0.35">
      <c r="A201" s="101"/>
      <c r="B201" s="102" t="str">
        <f>B135</f>
        <v>PM15 INVESTOR REPORT QUARTER ENDING FEBRUARY 2010</v>
      </c>
      <c r="C201" s="176"/>
      <c r="D201" s="176"/>
      <c r="E201" s="176"/>
      <c r="F201" s="176"/>
      <c r="G201" s="176"/>
      <c r="H201" s="176"/>
      <c r="I201" s="176"/>
      <c r="J201" s="176"/>
      <c r="K201" s="176"/>
      <c r="L201" s="176"/>
      <c r="M201" s="176"/>
      <c r="N201" s="176"/>
      <c r="O201" s="176"/>
      <c r="P201" s="176"/>
      <c r="Q201" s="176"/>
      <c r="R201" s="176"/>
      <c r="S201" s="176"/>
      <c r="T201" s="176"/>
      <c r="U201" s="176"/>
      <c r="V201" s="176"/>
      <c r="W201" s="177"/>
      <c r="X201" s="5"/>
    </row>
    <row r="202" spans="1:24" ht="15.75" x14ac:dyDescent="0.25">
      <c r="A202" s="67"/>
      <c r="B202" s="60" t="s">
        <v>70</v>
      </c>
      <c r="C202" s="68"/>
      <c r="D202" s="68"/>
      <c r="E202" s="68"/>
      <c r="F202" s="68"/>
      <c r="G202" s="69"/>
      <c r="H202" s="69"/>
      <c r="I202" s="69"/>
      <c r="J202" s="69"/>
      <c r="K202" s="69"/>
      <c r="L202" s="69"/>
      <c r="M202" s="69"/>
      <c r="N202" s="69"/>
      <c r="O202" s="69"/>
      <c r="P202" s="69"/>
      <c r="Q202" s="69"/>
      <c r="R202" s="69"/>
      <c r="S202" s="69"/>
      <c r="T202" s="70">
        <v>40235</v>
      </c>
      <c r="U202" s="4"/>
      <c r="V202" s="4"/>
      <c r="W202" s="4"/>
      <c r="X202" s="5"/>
    </row>
    <row r="203" spans="1:24" ht="15.75" x14ac:dyDescent="0.25">
      <c r="A203" s="71"/>
      <c r="B203" s="72"/>
      <c r="C203" s="73"/>
      <c r="D203" s="73"/>
      <c r="E203" s="73"/>
      <c r="F203" s="73"/>
      <c r="G203" s="74"/>
      <c r="H203" s="74"/>
      <c r="I203" s="74"/>
      <c r="J203" s="74"/>
      <c r="K203" s="74"/>
      <c r="L203" s="74"/>
      <c r="M203" s="74"/>
      <c r="N203" s="74"/>
      <c r="O203" s="74"/>
      <c r="P203" s="74"/>
      <c r="Q203" s="74"/>
      <c r="R203" s="74"/>
      <c r="S203" s="74"/>
      <c r="T203" s="74"/>
      <c r="U203" s="8"/>
      <c r="V203" s="8"/>
      <c r="W203" s="8"/>
      <c r="X203" s="5"/>
    </row>
    <row r="204" spans="1:24" ht="15.75" x14ac:dyDescent="0.25">
      <c r="A204" s="75"/>
      <c r="B204" s="76" t="s">
        <v>71</v>
      </c>
      <c r="C204" s="77"/>
      <c r="D204" s="77"/>
      <c r="E204" s="77"/>
      <c r="F204" s="77"/>
      <c r="G204" s="64"/>
      <c r="H204" s="64"/>
      <c r="I204" s="64"/>
      <c r="J204" s="64"/>
      <c r="K204" s="64"/>
      <c r="L204" s="64"/>
      <c r="M204" s="64"/>
      <c r="N204" s="64"/>
      <c r="O204" s="64"/>
      <c r="P204" s="64"/>
      <c r="Q204" s="64"/>
      <c r="R204" s="64"/>
      <c r="S204" s="64"/>
      <c r="T204" s="78">
        <v>5.3830000000000003E-2</v>
      </c>
      <c r="U204" s="25"/>
      <c r="V204" s="25"/>
      <c r="W204" s="25"/>
      <c r="X204" s="5"/>
    </row>
    <row r="205" spans="1:24" ht="15.75" x14ac:dyDescent="0.25">
      <c r="A205" s="75"/>
      <c r="B205" s="76" t="s">
        <v>151</v>
      </c>
      <c r="C205" s="77"/>
      <c r="D205" s="77"/>
      <c r="E205" s="77"/>
      <c r="F205" s="77"/>
      <c r="G205" s="64"/>
      <c r="H205" s="64"/>
      <c r="I205" s="64"/>
      <c r="J205" s="64"/>
      <c r="K205" s="64"/>
      <c r="L205" s="64"/>
      <c r="M205" s="64"/>
      <c r="N205" s="64"/>
      <c r="O205" s="64"/>
      <c r="P205" s="64"/>
      <c r="Q205" s="64"/>
      <c r="R205" s="64"/>
      <c r="S205" s="64"/>
      <c r="T205" s="39">
        <v>6.25E-2</v>
      </c>
      <c r="U205" s="25"/>
      <c r="V205" s="25"/>
      <c r="W205" s="25"/>
      <c r="X205" s="5"/>
    </row>
    <row r="206" spans="1:24" ht="15.75" x14ac:dyDescent="0.25">
      <c r="A206" s="75"/>
      <c r="B206" s="76" t="s">
        <v>72</v>
      </c>
      <c r="C206" s="77"/>
      <c r="D206" s="77"/>
      <c r="E206" s="77"/>
      <c r="F206" s="77"/>
      <c r="G206" s="64"/>
      <c r="H206" s="64"/>
      <c r="I206" s="64"/>
      <c r="J206" s="64"/>
      <c r="K206" s="64"/>
      <c r="L206" s="64"/>
      <c r="M206" s="64"/>
      <c r="N206" s="64"/>
      <c r="O206" s="64"/>
      <c r="P206" s="64"/>
      <c r="Q206" s="64"/>
      <c r="R206" s="64"/>
      <c r="S206" s="64"/>
      <c r="T206" s="78">
        <f>T204-T205</f>
        <v>-8.6699999999999972E-3</v>
      </c>
      <c r="U206" s="25"/>
      <c r="V206" s="25"/>
      <c r="W206" s="25"/>
      <c r="X206" s="5"/>
    </row>
    <row r="207" spans="1:24" ht="15.75" x14ac:dyDescent="0.25">
      <c r="A207" s="75"/>
      <c r="B207" s="76" t="s">
        <v>73</v>
      </c>
      <c r="C207" s="77"/>
      <c r="D207" s="77"/>
      <c r="E207" s="77"/>
      <c r="F207" s="77"/>
      <c r="G207" s="64"/>
      <c r="H207" s="64"/>
      <c r="I207" s="64"/>
      <c r="J207" s="64"/>
      <c r="K207" s="64"/>
      <c r="L207" s="64"/>
      <c r="M207" s="64"/>
      <c r="N207" s="64"/>
      <c r="O207" s="64"/>
      <c r="P207" s="64"/>
      <c r="Q207" s="64"/>
      <c r="R207" s="64"/>
      <c r="S207" s="64"/>
      <c r="T207" s="78">
        <v>2.8379999999999999E-2</v>
      </c>
      <c r="U207" s="25"/>
      <c r="V207" s="25"/>
      <c r="W207" s="25"/>
      <c r="X207" s="5"/>
    </row>
    <row r="208" spans="1:24" ht="15.75" x14ac:dyDescent="0.25">
      <c r="A208" s="75"/>
      <c r="B208" s="76" t="s">
        <v>218</v>
      </c>
      <c r="C208" s="77"/>
      <c r="D208" s="77"/>
      <c r="E208" s="77"/>
      <c r="F208" s="77"/>
      <c r="G208" s="64"/>
      <c r="H208" s="64"/>
      <c r="I208" s="64"/>
      <c r="J208" s="64"/>
      <c r="K208" s="64"/>
      <c r="L208" s="64"/>
      <c r="M208" s="64"/>
      <c r="N208" s="64"/>
      <c r="O208" s="64"/>
      <c r="P208" s="64"/>
      <c r="Q208" s="64"/>
      <c r="R208" s="64"/>
      <c r="S208" s="64"/>
      <c r="T208" s="78">
        <f>V43</f>
        <v>7.8307876036195316E-3</v>
      </c>
      <c r="U208" s="25"/>
      <c r="V208" s="25"/>
      <c r="W208" s="25"/>
      <c r="X208" s="5"/>
    </row>
    <row r="209" spans="1:24" ht="15.75" x14ac:dyDescent="0.25">
      <c r="A209" s="75"/>
      <c r="B209" s="76" t="s">
        <v>74</v>
      </c>
      <c r="C209" s="77"/>
      <c r="D209" s="77"/>
      <c r="E209" s="77"/>
      <c r="F209" s="77"/>
      <c r="G209" s="64"/>
      <c r="H209" s="64"/>
      <c r="I209" s="64"/>
      <c r="J209" s="64"/>
      <c r="K209" s="64"/>
      <c r="L209" s="64"/>
      <c r="M209" s="64"/>
      <c r="N209" s="64"/>
      <c r="O209" s="64"/>
      <c r="P209" s="64"/>
      <c r="Q209" s="64"/>
      <c r="R209" s="64"/>
      <c r="S209" s="64"/>
      <c r="T209" s="78">
        <f>T207-T208</f>
        <v>2.0549212396380467E-2</v>
      </c>
      <c r="U209" s="25"/>
      <c r="V209" s="25"/>
      <c r="W209" s="25"/>
      <c r="X209" s="5"/>
    </row>
    <row r="210" spans="1:24" ht="15.75" x14ac:dyDescent="0.25">
      <c r="A210" s="75"/>
      <c r="B210" s="76" t="s">
        <v>227</v>
      </c>
      <c r="C210" s="77"/>
      <c r="D210" s="77"/>
      <c r="E210" s="77"/>
      <c r="F210" s="77"/>
      <c r="G210" s="64"/>
      <c r="H210" s="64"/>
      <c r="I210" s="64"/>
      <c r="J210" s="64"/>
      <c r="K210" s="64"/>
      <c r="L210" s="64"/>
      <c r="M210" s="64"/>
      <c r="N210" s="64"/>
      <c r="O210" s="64"/>
      <c r="P210" s="64"/>
      <c r="Q210" s="64"/>
      <c r="R210" s="64"/>
      <c r="S210" s="64"/>
      <c r="T210" s="78">
        <f>V102/N72</f>
        <v>7.1566615711603524E-3</v>
      </c>
      <c r="U210" s="25"/>
      <c r="V210" s="25"/>
      <c r="W210" s="25"/>
      <c r="X210" s="5"/>
    </row>
    <row r="211" spans="1:24" ht="15.75" x14ac:dyDescent="0.25">
      <c r="A211" s="75"/>
      <c r="B211" s="76" t="s">
        <v>207</v>
      </c>
      <c r="C211" s="77"/>
      <c r="D211" s="77"/>
      <c r="E211" s="77"/>
      <c r="F211" s="77"/>
      <c r="G211" s="64"/>
      <c r="H211" s="64"/>
      <c r="I211" s="64"/>
      <c r="J211" s="64"/>
      <c r="K211" s="64"/>
      <c r="L211" s="64"/>
      <c r="M211" s="64"/>
      <c r="N211" s="64"/>
      <c r="O211" s="64"/>
      <c r="P211" s="64"/>
      <c r="Q211" s="64"/>
      <c r="R211" s="64"/>
      <c r="S211" s="64"/>
      <c r="T211" s="172">
        <v>51105</v>
      </c>
      <c r="U211" s="25"/>
      <c r="V211" s="25"/>
      <c r="W211" s="25"/>
      <c r="X211" s="5"/>
    </row>
    <row r="212" spans="1:24" ht="15.75" x14ac:dyDescent="0.25">
      <c r="A212" s="75"/>
      <c r="B212" s="76" t="s">
        <v>208</v>
      </c>
      <c r="C212" s="77"/>
      <c r="D212" s="77"/>
      <c r="E212" s="77"/>
      <c r="F212" s="77"/>
      <c r="G212" s="64"/>
      <c r="H212" s="64"/>
      <c r="I212" s="64"/>
      <c r="J212" s="64"/>
      <c r="K212" s="64"/>
      <c r="L212" s="64"/>
      <c r="M212" s="64"/>
      <c r="N212" s="64"/>
      <c r="O212" s="64"/>
      <c r="P212" s="64"/>
      <c r="Q212" s="64"/>
      <c r="R212" s="64"/>
      <c r="S212" s="64"/>
      <c r="T212" s="172">
        <v>51105</v>
      </c>
      <c r="U212" s="25"/>
      <c r="V212" s="25"/>
      <c r="W212" s="25"/>
      <c r="X212" s="5"/>
    </row>
    <row r="213" spans="1:24" ht="15.75" x14ac:dyDescent="0.25">
      <c r="A213" s="75"/>
      <c r="B213" s="76" t="s">
        <v>209</v>
      </c>
      <c r="C213" s="77"/>
      <c r="D213" s="77"/>
      <c r="E213" s="77"/>
      <c r="F213" s="77"/>
      <c r="G213" s="64"/>
      <c r="H213" s="64"/>
      <c r="I213" s="64"/>
      <c r="J213" s="64"/>
      <c r="K213" s="64"/>
      <c r="L213" s="64"/>
      <c r="M213" s="64"/>
      <c r="N213" s="64"/>
      <c r="O213" s="64"/>
      <c r="P213" s="64"/>
      <c r="Q213" s="64"/>
      <c r="R213" s="64"/>
      <c r="S213" s="64"/>
      <c r="T213" s="172">
        <v>51105</v>
      </c>
      <c r="U213" s="25"/>
      <c r="V213" s="25"/>
      <c r="W213" s="25"/>
      <c r="X213" s="5"/>
    </row>
    <row r="214" spans="1:24" ht="15.75" x14ac:dyDescent="0.25">
      <c r="A214" s="75"/>
      <c r="B214" s="76" t="s">
        <v>75</v>
      </c>
      <c r="C214" s="77"/>
      <c r="D214" s="77"/>
      <c r="E214" s="77"/>
      <c r="F214" s="77"/>
      <c r="G214" s="64"/>
      <c r="H214" s="64"/>
      <c r="I214" s="64"/>
      <c r="J214" s="64"/>
      <c r="K214" s="64"/>
      <c r="L214" s="64"/>
      <c r="M214" s="64"/>
      <c r="N214" s="64"/>
      <c r="O214" s="64"/>
      <c r="P214" s="64"/>
      <c r="Q214" s="64"/>
      <c r="R214" s="64"/>
      <c r="S214" s="64"/>
      <c r="T214" s="132">
        <v>21.06</v>
      </c>
      <c r="U214" s="25" t="s">
        <v>110</v>
      </c>
      <c r="V214" s="25"/>
      <c r="W214" s="25"/>
      <c r="X214" s="5"/>
    </row>
    <row r="215" spans="1:24" ht="15.75" x14ac:dyDescent="0.25">
      <c r="A215" s="75"/>
      <c r="B215" s="76" t="s">
        <v>76</v>
      </c>
      <c r="C215" s="77"/>
      <c r="D215" s="77"/>
      <c r="E215" s="77"/>
      <c r="F215" s="77"/>
      <c r="G215" s="64"/>
      <c r="H215" s="64"/>
      <c r="I215" s="64"/>
      <c r="J215" s="64"/>
      <c r="K215" s="64"/>
      <c r="L215" s="64"/>
      <c r="M215" s="64"/>
      <c r="N215" s="64"/>
      <c r="O215" s="64"/>
      <c r="P215" s="64"/>
      <c r="Q215" s="64"/>
      <c r="R215" s="64"/>
      <c r="S215" s="64"/>
      <c r="T215" s="132">
        <v>18.559999999999999</v>
      </c>
      <c r="U215" s="25" t="s">
        <v>110</v>
      </c>
      <c r="V215" s="25"/>
      <c r="W215" s="25"/>
      <c r="X215" s="5"/>
    </row>
    <row r="216" spans="1:24" ht="15.75" x14ac:dyDescent="0.25">
      <c r="A216" s="75"/>
      <c r="B216" s="76" t="s">
        <v>77</v>
      </c>
      <c r="C216" s="77"/>
      <c r="D216" s="77"/>
      <c r="E216" s="77"/>
      <c r="F216" s="77"/>
      <c r="G216" s="64"/>
      <c r="H216" s="64"/>
      <c r="I216" s="64"/>
      <c r="J216" s="64"/>
      <c r="K216" s="64"/>
      <c r="L216" s="64"/>
      <c r="M216" s="64"/>
      <c r="N216" s="64"/>
      <c r="O216" s="64"/>
      <c r="P216" s="64"/>
      <c r="Q216" s="64"/>
      <c r="R216" s="64"/>
      <c r="S216" s="64"/>
      <c r="T216" s="78">
        <f>+P69/N69</f>
        <v>6.0182061063445936E-3</v>
      </c>
      <c r="U216" s="25"/>
      <c r="V216" s="25"/>
      <c r="W216" s="25"/>
      <c r="X216" s="5"/>
    </row>
    <row r="217" spans="1:24" ht="15.75" x14ac:dyDescent="0.25">
      <c r="A217" s="75"/>
      <c r="B217" s="76" t="s">
        <v>78</v>
      </c>
      <c r="C217" s="77"/>
      <c r="D217" s="77"/>
      <c r="E217" s="77"/>
      <c r="F217" s="77"/>
      <c r="G217" s="64"/>
      <c r="H217" s="64"/>
      <c r="I217" s="64"/>
      <c r="J217" s="64"/>
      <c r="K217" s="64"/>
      <c r="L217" s="64"/>
      <c r="M217" s="64"/>
      <c r="N217" s="64"/>
      <c r="O217" s="64"/>
      <c r="P217" s="64"/>
      <c r="Q217" s="64"/>
      <c r="R217" s="64"/>
      <c r="S217" s="64"/>
      <c r="T217" s="78">
        <v>5.8000000000000003E-2</v>
      </c>
      <c r="U217" s="25"/>
      <c r="V217" s="25"/>
      <c r="W217" s="25"/>
      <c r="X217" s="5"/>
    </row>
    <row r="218" spans="1:24" ht="15.75" x14ac:dyDescent="0.25">
      <c r="A218" s="75"/>
      <c r="B218" s="76"/>
      <c r="C218" s="76"/>
      <c r="D218" s="76"/>
      <c r="E218" s="76"/>
      <c r="F218" s="76"/>
      <c r="G218" s="25"/>
      <c r="H218" s="25"/>
      <c r="I218" s="25"/>
      <c r="J218" s="25"/>
      <c r="K218" s="25"/>
      <c r="L218" s="25"/>
      <c r="M218" s="25"/>
      <c r="N218" s="25"/>
      <c r="O218" s="25"/>
      <c r="P218" s="25"/>
      <c r="Q218" s="25"/>
      <c r="R218" s="25"/>
      <c r="S218" s="25"/>
      <c r="T218" s="61"/>
      <c r="U218" s="25"/>
      <c r="V218" s="79"/>
      <c r="W218" s="25"/>
      <c r="X218" s="5"/>
    </row>
    <row r="219" spans="1:24" ht="15.75" x14ac:dyDescent="0.25">
      <c r="A219" s="80"/>
      <c r="B219" s="14" t="s">
        <v>79</v>
      </c>
      <c r="C219" s="81"/>
      <c r="D219" s="81"/>
      <c r="E219" s="81"/>
      <c r="F219" s="82"/>
      <c r="G219" s="81"/>
      <c r="H219" s="17"/>
      <c r="I219" s="17"/>
      <c r="J219" s="17"/>
      <c r="K219" s="17"/>
      <c r="L219" s="17"/>
      <c r="M219" s="17"/>
      <c r="N219" s="17"/>
      <c r="O219" s="17"/>
      <c r="P219" s="17"/>
      <c r="Q219" s="17"/>
      <c r="R219" s="17"/>
      <c r="S219" s="17" t="s">
        <v>102</v>
      </c>
      <c r="T219" s="83" t="s">
        <v>108</v>
      </c>
      <c r="U219" s="8"/>
      <c r="V219" s="8"/>
      <c r="W219" s="8"/>
      <c r="X219" s="5"/>
    </row>
    <row r="220" spans="1:24" ht="15.75" x14ac:dyDescent="0.25">
      <c r="A220" s="84"/>
      <c r="B220" s="76" t="s">
        <v>80</v>
      </c>
      <c r="C220" s="54"/>
      <c r="D220" s="54"/>
      <c r="E220" s="54"/>
      <c r="F220" s="25"/>
      <c r="G220" s="25"/>
      <c r="H220" s="30"/>
      <c r="I220" s="30"/>
      <c r="J220" s="30"/>
      <c r="K220" s="30"/>
      <c r="L220" s="30"/>
      <c r="M220" s="30"/>
      <c r="N220" s="30"/>
      <c r="O220" s="30"/>
      <c r="P220" s="30"/>
      <c r="Q220" s="30"/>
      <c r="R220" s="30"/>
      <c r="S220" s="30">
        <v>0</v>
      </c>
      <c r="T220" s="85">
        <v>0</v>
      </c>
      <c r="U220" s="25"/>
      <c r="V220" s="79"/>
      <c r="W220" s="86"/>
      <c r="X220" s="5"/>
    </row>
    <row r="221" spans="1:24" ht="15.75" x14ac:dyDescent="0.25">
      <c r="A221" s="84"/>
      <c r="B221" s="76" t="s">
        <v>145</v>
      </c>
      <c r="C221" s="54"/>
      <c r="D221" s="54"/>
      <c r="E221" s="54"/>
      <c r="F221" s="25"/>
      <c r="G221" s="25"/>
      <c r="H221" s="30"/>
      <c r="I221" s="30"/>
      <c r="J221" s="30"/>
      <c r="K221" s="30"/>
      <c r="L221" s="30"/>
      <c r="M221" s="30"/>
      <c r="N221" s="30"/>
      <c r="O221" s="30"/>
      <c r="P221" s="30"/>
      <c r="Q221" s="30"/>
      <c r="R221" s="30"/>
      <c r="S221" s="148">
        <f>+R261</f>
        <v>158</v>
      </c>
      <c r="T221" s="85">
        <f>+T261</f>
        <v>24503</v>
      </c>
      <c r="U221" s="25"/>
      <c r="V221" s="79"/>
      <c r="W221" s="86"/>
      <c r="X221" s="5"/>
    </row>
    <row r="222" spans="1:24" ht="15.75" x14ac:dyDescent="0.25">
      <c r="A222" s="84"/>
      <c r="B222" s="76" t="s">
        <v>81</v>
      </c>
      <c r="C222" s="54"/>
      <c r="D222" s="54"/>
      <c r="E222" s="54"/>
      <c r="F222" s="25"/>
      <c r="G222" s="25"/>
      <c r="H222" s="30"/>
      <c r="I222" s="30"/>
      <c r="J222" s="30"/>
      <c r="K222" s="30"/>
      <c r="L222" s="30"/>
      <c r="M222" s="30"/>
      <c r="N222" s="30"/>
      <c r="O222" s="30"/>
      <c r="P222" s="30"/>
      <c r="Q222" s="30"/>
      <c r="R222" s="30"/>
      <c r="S222" s="148">
        <v>0</v>
      </c>
      <c r="T222" s="85">
        <v>0</v>
      </c>
      <c r="U222" s="25"/>
      <c r="V222" s="79"/>
      <c r="W222" s="86"/>
      <c r="X222" s="5"/>
    </row>
    <row r="223" spans="1:24" ht="15.75" x14ac:dyDescent="0.25">
      <c r="A223" s="84"/>
      <c r="B223" s="122" t="s">
        <v>82</v>
      </c>
      <c r="C223" s="54"/>
      <c r="D223" s="54"/>
      <c r="E223" s="54"/>
      <c r="F223" s="25"/>
      <c r="G223" s="25"/>
      <c r="H223" s="25"/>
      <c r="I223" s="25"/>
      <c r="J223" s="25"/>
      <c r="K223" s="25"/>
      <c r="L223" s="25"/>
      <c r="M223" s="25"/>
      <c r="N223" s="25"/>
      <c r="O223" s="25"/>
      <c r="P223" s="25"/>
      <c r="Q223" s="25"/>
      <c r="R223" s="25"/>
      <c r="S223" s="25"/>
      <c r="T223" s="85">
        <v>0</v>
      </c>
      <c r="U223" s="25"/>
      <c r="V223" s="79"/>
      <c r="W223" s="86"/>
      <c r="X223" s="5"/>
    </row>
    <row r="224" spans="1:24" ht="15.75" x14ac:dyDescent="0.25">
      <c r="A224" s="84"/>
      <c r="B224" s="122" t="s">
        <v>228</v>
      </c>
      <c r="C224" s="54"/>
      <c r="D224" s="54"/>
      <c r="E224" s="54"/>
      <c r="F224" s="25"/>
      <c r="G224" s="25"/>
      <c r="H224" s="25"/>
      <c r="I224" s="25"/>
      <c r="J224" s="25"/>
      <c r="K224" s="25"/>
      <c r="L224" s="25"/>
      <c r="M224" s="25"/>
      <c r="N224" s="25"/>
      <c r="O224" s="25"/>
      <c r="P224" s="25"/>
      <c r="Q224" s="25"/>
      <c r="R224" s="25"/>
      <c r="S224" s="25"/>
      <c r="T224" s="85">
        <f>+N82</f>
        <v>0</v>
      </c>
      <c r="U224" s="25"/>
      <c r="V224" s="79"/>
      <c r="W224" s="86"/>
      <c r="X224" s="5"/>
    </row>
    <row r="225" spans="1:24" ht="15.75" x14ac:dyDescent="0.25">
      <c r="A225" s="87"/>
      <c r="B225" s="122" t="s">
        <v>83</v>
      </c>
      <c r="C225" s="76"/>
      <c r="D225" s="76"/>
      <c r="E225" s="76"/>
      <c r="F225" s="76"/>
      <c r="G225" s="25"/>
      <c r="H225" s="25"/>
      <c r="I225" s="25"/>
      <c r="J225" s="25"/>
      <c r="K225" s="25"/>
      <c r="L225" s="25"/>
      <c r="M225" s="25"/>
      <c r="N225" s="25"/>
      <c r="O225" s="25"/>
      <c r="P225" s="25"/>
      <c r="Q225" s="25"/>
      <c r="R225" s="25"/>
      <c r="S225" s="25"/>
      <c r="T225" s="85"/>
      <c r="U225" s="25"/>
      <c r="V225" s="79"/>
      <c r="W225" s="88"/>
      <c r="X225" s="5"/>
    </row>
    <row r="226" spans="1:24" ht="15.75" x14ac:dyDescent="0.25">
      <c r="A226" s="87"/>
      <c r="B226" s="130" t="s">
        <v>84</v>
      </c>
      <c r="C226" s="76"/>
      <c r="D226" s="76"/>
      <c r="E226" s="76"/>
      <c r="F226" s="76"/>
      <c r="G226" s="25"/>
      <c r="H226" s="25"/>
      <c r="I226" s="25"/>
      <c r="J226" s="25"/>
      <c r="K226" s="25"/>
      <c r="L226" s="25"/>
      <c r="M226" s="25"/>
      <c r="N226" s="25"/>
      <c r="O226" s="25"/>
      <c r="P226" s="25"/>
      <c r="Q226" s="25"/>
      <c r="R226" s="25"/>
      <c r="S226" s="30"/>
      <c r="T226" s="85">
        <f>V164</f>
        <v>252</v>
      </c>
      <c r="U226" s="25"/>
      <c r="V226" s="79"/>
      <c r="W226" s="88"/>
      <c r="X226" s="5"/>
    </row>
    <row r="227" spans="1:24" ht="15.75" x14ac:dyDescent="0.25">
      <c r="A227" s="84"/>
      <c r="B227" s="76" t="s">
        <v>85</v>
      </c>
      <c r="C227" s="54"/>
      <c r="D227" s="54"/>
      <c r="E227" s="54"/>
      <c r="F227" s="54"/>
      <c r="G227" s="25"/>
      <c r="H227" s="25"/>
      <c r="I227" s="25"/>
      <c r="J227" s="25"/>
      <c r="K227" s="25"/>
      <c r="L227" s="25"/>
      <c r="M227" s="25"/>
      <c r="N227" s="25"/>
      <c r="O227" s="25"/>
      <c r="P227" s="25"/>
      <c r="Q227" s="25"/>
      <c r="R227" s="25"/>
      <c r="S227" s="30"/>
      <c r="T227" s="85">
        <f>'Nov 09'!T227+T226</f>
        <v>746</v>
      </c>
      <c r="U227" s="25"/>
      <c r="V227" s="79"/>
      <c r="W227" s="88"/>
      <c r="X227" s="5"/>
    </row>
    <row r="228" spans="1:24" ht="15.75" x14ac:dyDescent="0.25">
      <c r="A228" s="87"/>
      <c r="B228" s="122" t="s">
        <v>285</v>
      </c>
      <c r="C228" s="76"/>
      <c r="D228" s="76"/>
      <c r="E228" s="76"/>
      <c r="F228" s="76"/>
      <c r="G228" s="25"/>
      <c r="H228" s="25"/>
      <c r="I228" s="25"/>
      <c r="J228" s="25"/>
      <c r="K228" s="25"/>
      <c r="L228" s="25"/>
      <c r="M228" s="25"/>
      <c r="N228" s="25"/>
      <c r="O228" s="25"/>
      <c r="P228" s="25"/>
      <c r="Q228" s="25"/>
      <c r="R228" s="25"/>
      <c r="S228" s="30"/>
      <c r="T228" s="85"/>
      <c r="U228" s="25"/>
      <c r="V228" s="79"/>
      <c r="W228" s="88"/>
      <c r="X228" s="5"/>
    </row>
    <row r="229" spans="1:24" ht="15.75" x14ac:dyDescent="0.25">
      <c r="A229" s="87"/>
      <c r="B229" s="76" t="s">
        <v>282</v>
      </c>
      <c r="C229" s="76"/>
      <c r="D229" s="76"/>
      <c r="E229" s="76"/>
      <c r="F229" s="76"/>
      <c r="G229" s="25"/>
      <c r="H229" s="25"/>
      <c r="I229" s="25"/>
      <c r="J229" s="25"/>
      <c r="K229" s="25"/>
      <c r="L229" s="25"/>
      <c r="M229" s="25"/>
      <c r="N229" s="25"/>
      <c r="O229" s="25"/>
      <c r="P229" s="25"/>
      <c r="Q229" s="25"/>
      <c r="R229" s="25"/>
      <c r="S229" s="30">
        <v>0</v>
      </c>
      <c r="T229" s="85">
        <v>0</v>
      </c>
      <c r="U229" s="25"/>
      <c r="V229" s="79"/>
      <c r="W229" s="88"/>
      <c r="X229" s="5"/>
    </row>
    <row r="230" spans="1:24" ht="15.75" x14ac:dyDescent="0.25">
      <c r="A230" s="84"/>
      <c r="B230" s="76" t="s">
        <v>86</v>
      </c>
      <c r="C230" s="89"/>
      <c r="D230" s="89"/>
      <c r="E230" s="89"/>
      <c r="F230" s="90"/>
      <c r="G230" s="25"/>
      <c r="H230" s="25"/>
      <c r="I230" s="25"/>
      <c r="J230" s="25"/>
      <c r="K230" s="25"/>
      <c r="L230" s="25"/>
      <c r="M230" s="25"/>
      <c r="N230" s="25"/>
      <c r="O230" s="25"/>
      <c r="P230" s="25"/>
      <c r="Q230" s="25"/>
      <c r="R230" s="25"/>
      <c r="S230" s="25"/>
      <c r="T230" s="62">
        <v>0</v>
      </c>
      <c r="U230" s="25"/>
      <c r="V230" s="79"/>
      <c r="W230" s="88"/>
      <c r="X230" s="5"/>
    </row>
    <row r="231" spans="1:24" ht="15.75" x14ac:dyDescent="0.25">
      <c r="A231" s="84"/>
      <c r="B231" s="76" t="s">
        <v>87</v>
      </c>
      <c r="C231" s="89"/>
      <c r="D231" s="89"/>
      <c r="E231" s="89"/>
      <c r="F231" s="90"/>
      <c r="G231" s="25"/>
      <c r="H231" s="25"/>
      <c r="I231" s="25"/>
      <c r="J231" s="25"/>
      <c r="K231" s="25"/>
      <c r="L231" s="25"/>
      <c r="M231" s="25"/>
      <c r="N231" s="25"/>
      <c r="O231" s="25"/>
      <c r="P231" s="25"/>
      <c r="Q231" s="25"/>
      <c r="R231" s="25"/>
      <c r="S231" s="25"/>
      <c r="T231" s="62">
        <v>0</v>
      </c>
      <c r="U231" s="25"/>
      <c r="V231" s="79"/>
      <c r="W231" s="88"/>
      <c r="X231" s="5"/>
    </row>
    <row r="232" spans="1:24" ht="15.75" x14ac:dyDescent="0.25">
      <c r="A232" s="84"/>
      <c r="B232" s="122" t="s">
        <v>216</v>
      </c>
      <c r="C232" s="89"/>
      <c r="D232" s="89"/>
      <c r="E232" s="89"/>
      <c r="F232" s="90"/>
      <c r="G232" s="25"/>
      <c r="H232" s="25"/>
      <c r="I232" s="25"/>
      <c r="J232" s="25"/>
      <c r="K232" s="25"/>
      <c r="L232" s="25"/>
      <c r="M232" s="25"/>
      <c r="N232" s="25"/>
      <c r="O232" s="25"/>
      <c r="P232" s="25"/>
      <c r="Q232" s="25"/>
      <c r="R232" s="25"/>
      <c r="S232" s="25"/>
      <c r="T232" s="91"/>
      <c r="U232" s="25"/>
      <c r="V232" s="79"/>
      <c r="W232" s="88"/>
      <c r="X232" s="5"/>
    </row>
    <row r="233" spans="1:24" ht="15.75" x14ac:dyDescent="0.25">
      <c r="A233" s="84"/>
      <c r="B233" s="76" t="s">
        <v>282</v>
      </c>
      <c r="C233" s="89"/>
      <c r="D233" s="89"/>
      <c r="E233" s="89"/>
      <c r="F233" s="90"/>
      <c r="G233" s="25"/>
      <c r="H233" s="25"/>
      <c r="I233" s="25"/>
      <c r="J233" s="25"/>
      <c r="K233" s="25"/>
      <c r="L233" s="25"/>
      <c r="M233" s="25"/>
      <c r="N233" s="25"/>
      <c r="O233" s="25"/>
      <c r="P233" s="25"/>
      <c r="Q233" s="25"/>
      <c r="R233" s="25"/>
      <c r="S233" s="30">
        <v>6</v>
      </c>
      <c r="T233" s="85">
        <v>738</v>
      </c>
      <c r="U233" s="25"/>
      <c r="V233" s="79"/>
      <c r="W233" s="88"/>
      <c r="X233" s="5"/>
    </row>
    <row r="234" spans="1:24" ht="15.75" x14ac:dyDescent="0.25">
      <c r="A234" s="84"/>
      <c r="B234" s="76" t="s">
        <v>217</v>
      </c>
      <c r="C234" s="89"/>
      <c r="D234" s="89"/>
      <c r="E234" s="89"/>
      <c r="F234" s="90"/>
      <c r="G234" s="25"/>
      <c r="H234" s="25"/>
      <c r="I234" s="25"/>
      <c r="J234" s="25"/>
      <c r="K234" s="25"/>
      <c r="L234" s="25"/>
      <c r="M234" s="25"/>
      <c r="N234" s="25"/>
      <c r="O234" s="25"/>
      <c r="P234" s="25"/>
      <c r="Q234" s="25"/>
      <c r="R234" s="25"/>
      <c r="S234" s="25"/>
      <c r="T234" s="62">
        <v>13.29</v>
      </c>
      <c r="U234" s="25"/>
      <c r="V234" s="79"/>
      <c r="W234" s="88"/>
      <c r="X234" s="5"/>
    </row>
    <row r="235" spans="1:24" ht="15.75" x14ac:dyDescent="0.25">
      <c r="A235" s="84"/>
      <c r="B235" s="76"/>
      <c r="C235" s="89"/>
      <c r="D235" s="89"/>
      <c r="E235" s="89"/>
      <c r="F235" s="90"/>
      <c r="G235" s="25"/>
      <c r="H235" s="25"/>
      <c r="I235" s="25"/>
      <c r="J235" s="25"/>
      <c r="K235" s="25"/>
      <c r="L235" s="25"/>
      <c r="M235" s="25"/>
      <c r="N235" s="25"/>
      <c r="O235" s="25"/>
      <c r="P235" s="25"/>
      <c r="Q235" s="25"/>
      <c r="R235" s="25"/>
      <c r="S235" s="25"/>
      <c r="T235" s="91"/>
      <c r="U235" s="25"/>
      <c r="V235" s="79"/>
      <c r="W235" s="88"/>
      <c r="X235" s="5"/>
    </row>
    <row r="236" spans="1:24" ht="15.75" x14ac:dyDescent="0.25">
      <c r="A236" s="84"/>
      <c r="B236" s="76"/>
      <c r="C236" s="89"/>
      <c r="D236" s="89"/>
      <c r="E236" s="89"/>
      <c r="F236" s="90"/>
      <c r="G236" s="25"/>
      <c r="H236" s="25"/>
      <c r="I236" s="25"/>
      <c r="J236" s="25"/>
      <c r="K236" s="25"/>
      <c r="L236" s="25"/>
      <c r="M236" s="25"/>
      <c r="N236" s="25"/>
      <c r="O236" s="25"/>
      <c r="P236" s="25"/>
      <c r="Q236" s="25"/>
      <c r="R236" s="25"/>
      <c r="S236" s="25"/>
      <c r="T236" s="91"/>
      <c r="U236" s="25"/>
      <c r="V236" s="79"/>
      <c r="W236" s="88"/>
      <c r="X236" s="5"/>
    </row>
    <row r="237" spans="1:24" ht="18.75" x14ac:dyDescent="0.3">
      <c r="A237" s="84"/>
      <c r="B237" s="146" t="s">
        <v>168</v>
      </c>
      <c r="C237" s="89"/>
      <c r="D237" s="89"/>
      <c r="E237" s="89"/>
      <c r="F237" s="90"/>
      <c r="G237" s="25"/>
      <c r="H237" s="25"/>
      <c r="I237" s="25"/>
      <c r="J237" s="25"/>
      <c r="K237" s="25"/>
      <c r="L237" s="25"/>
      <c r="M237" s="25"/>
      <c r="N237" s="25"/>
      <c r="O237" s="25"/>
      <c r="P237" s="147" t="s">
        <v>167</v>
      </c>
      <c r="Q237" s="25"/>
      <c r="R237" s="25"/>
      <c r="S237" s="25"/>
      <c r="T237" s="91"/>
      <c r="U237" s="25"/>
      <c r="V237" s="79"/>
      <c r="W237" s="88"/>
      <c r="X237" s="5"/>
    </row>
    <row r="238" spans="1:24" ht="15.75" x14ac:dyDescent="0.25">
      <c r="A238" s="84"/>
      <c r="B238" s="76"/>
      <c r="C238" s="89"/>
      <c r="D238" s="89"/>
      <c r="E238" s="89"/>
      <c r="F238" s="90"/>
      <c r="G238" s="25"/>
      <c r="H238" s="25"/>
      <c r="I238" s="25"/>
      <c r="J238" s="25"/>
      <c r="K238" s="25"/>
      <c r="L238" s="25"/>
      <c r="M238" s="25"/>
      <c r="N238" s="25"/>
      <c r="O238" s="25"/>
      <c r="P238" s="25"/>
      <c r="Q238" s="25"/>
      <c r="R238" s="25"/>
      <c r="S238" s="25"/>
      <c r="T238" s="91"/>
      <c r="U238" s="25"/>
      <c r="V238" s="79"/>
      <c r="W238" s="88"/>
      <c r="X238" s="5"/>
    </row>
    <row r="239" spans="1:24" ht="15.75" x14ac:dyDescent="0.25">
      <c r="A239" s="6"/>
      <c r="B239" s="14" t="s">
        <v>162</v>
      </c>
      <c r="C239" s="81"/>
      <c r="D239" s="81"/>
      <c r="E239" s="81"/>
      <c r="F239" s="82"/>
      <c r="G239" s="81"/>
      <c r="H239" s="17"/>
      <c r="I239" s="17"/>
      <c r="J239" s="17"/>
      <c r="K239" s="17"/>
      <c r="L239" s="17"/>
      <c r="M239" s="17"/>
      <c r="N239" s="17"/>
      <c r="O239" s="17"/>
      <c r="P239" s="17"/>
      <c r="Q239" s="17"/>
      <c r="R239" s="83" t="s">
        <v>102</v>
      </c>
      <c r="S239" s="17" t="s">
        <v>103</v>
      </c>
      <c r="T239" s="83" t="s">
        <v>109</v>
      </c>
      <c r="U239" s="17" t="s">
        <v>103</v>
      </c>
      <c r="V239" s="8"/>
      <c r="W239" s="92"/>
      <c r="X239" s="5"/>
    </row>
    <row r="240" spans="1:24" ht="15.75" x14ac:dyDescent="0.25">
      <c r="A240" s="24"/>
      <c r="B240" s="54" t="s">
        <v>88</v>
      </c>
      <c r="C240" s="93"/>
      <c r="D240" s="93"/>
      <c r="E240" s="93"/>
      <c r="F240" s="25"/>
      <c r="G240" s="93"/>
      <c r="H240" s="93"/>
      <c r="I240" s="93"/>
      <c r="J240" s="93"/>
      <c r="K240" s="93"/>
      <c r="L240" s="93"/>
      <c r="M240" s="93"/>
      <c r="N240" s="93"/>
      <c r="O240" s="93"/>
      <c r="P240" s="93"/>
      <c r="Q240" s="93"/>
      <c r="R240" s="54">
        <v>5775</v>
      </c>
      <c r="S240" s="94">
        <f t="shared" ref="S240:S247" si="1">R240/$R$249</f>
        <v>0.98988687007199172</v>
      </c>
      <c r="T240" s="53">
        <v>831495</v>
      </c>
      <c r="U240" s="131">
        <f t="shared" ref="U240:U247" si="2">T240/$T$249</f>
        <v>0.9875694954991977</v>
      </c>
      <c r="V240" s="79"/>
      <c r="W240" s="88"/>
      <c r="X240" s="5"/>
    </row>
    <row r="241" spans="1:25" ht="15.75" x14ac:dyDescent="0.25">
      <c r="A241" s="24"/>
      <c r="B241" s="54" t="s">
        <v>89</v>
      </c>
      <c r="C241" s="93"/>
      <c r="D241" s="93"/>
      <c r="E241" s="93"/>
      <c r="F241" s="25"/>
      <c r="G241" s="94"/>
      <c r="H241" s="93"/>
      <c r="I241" s="93"/>
      <c r="J241" s="93"/>
      <c r="K241" s="93"/>
      <c r="L241" s="93"/>
      <c r="M241" s="93"/>
      <c r="N241" s="93"/>
      <c r="O241" s="93"/>
      <c r="P241" s="93"/>
      <c r="Q241" s="93"/>
      <c r="R241" s="54">
        <v>36</v>
      </c>
      <c r="S241" s="94">
        <f t="shared" si="1"/>
        <v>6.1707233459033254E-3</v>
      </c>
      <c r="T241" s="53">
        <v>4790</v>
      </c>
      <c r="U241" s="131">
        <f t="shared" si="2"/>
        <v>5.6890996138776028E-3</v>
      </c>
      <c r="V241" s="79"/>
      <c r="W241" s="88"/>
      <c r="X241" s="5"/>
      <c r="Y241" s="109"/>
    </row>
    <row r="242" spans="1:25" ht="15.75" x14ac:dyDescent="0.25">
      <c r="A242" s="24"/>
      <c r="B242" s="54" t="s">
        <v>90</v>
      </c>
      <c r="C242" s="93"/>
      <c r="D242" s="93"/>
      <c r="E242" s="93"/>
      <c r="F242" s="25"/>
      <c r="G242" s="94"/>
      <c r="H242" s="93"/>
      <c r="I242" s="93"/>
      <c r="J242" s="93"/>
      <c r="K242" s="93"/>
      <c r="L242" s="93"/>
      <c r="M242" s="93"/>
      <c r="N242" s="93"/>
      <c r="O242" s="93"/>
      <c r="P242" s="93"/>
      <c r="Q242" s="93"/>
      <c r="R242" s="54">
        <v>17</v>
      </c>
      <c r="S242" s="94">
        <f t="shared" si="1"/>
        <v>2.9139526911210146E-3</v>
      </c>
      <c r="T242" s="53">
        <v>4785</v>
      </c>
      <c r="U242" s="131">
        <f t="shared" si="2"/>
        <v>5.68316109653535E-3</v>
      </c>
      <c r="V242" s="79"/>
      <c r="W242" s="88"/>
      <c r="X242" s="5"/>
    </row>
    <row r="243" spans="1:25" ht="15.75" x14ac:dyDescent="0.25">
      <c r="A243" s="24"/>
      <c r="B243" s="54" t="s">
        <v>156</v>
      </c>
      <c r="C243" s="93"/>
      <c r="D243" s="93"/>
      <c r="E243" s="93"/>
      <c r="F243" s="25"/>
      <c r="G243" s="94"/>
      <c r="H243" s="93"/>
      <c r="I243" s="93"/>
      <c r="J243" s="93"/>
      <c r="K243" s="93"/>
      <c r="L243" s="93"/>
      <c r="M243" s="93"/>
      <c r="N243" s="93"/>
      <c r="O243" s="93"/>
      <c r="P243" s="93"/>
      <c r="Q243" s="93"/>
      <c r="R243" s="54">
        <v>4</v>
      </c>
      <c r="S243" s="94">
        <f t="shared" si="1"/>
        <v>6.8563592732259174E-4</v>
      </c>
      <c r="T243" s="53">
        <v>514</v>
      </c>
      <c r="U243" s="131">
        <f t="shared" si="2"/>
        <v>6.1047958278352557E-4</v>
      </c>
      <c r="V243" s="79"/>
      <c r="W243" s="88"/>
      <c r="X243" s="5"/>
      <c r="Y243" s="109"/>
    </row>
    <row r="244" spans="1:25" ht="15.75" x14ac:dyDescent="0.25">
      <c r="A244" s="24"/>
      <c r="B244" s="54" t="s">
        <v>157</v>
      </c>
      <c r="C244" s="93"/>
      <c r="D244" s="93"/>
      <c r="E244" s="93"/>
      <c r="F244" s="25"/>
      <c r="G244" s="94"/>
      <c r="H244" s="93"/>
      <c r="I244" s="93"/>
      <c r="J244" s="93"/>
      <c r="K244" s="93"/>
      <c r="L244" s="93"/>
      <c r="M244" s="93"/>
      <c r="N244" s="93"/>
      <c r="O244" s="93"/>
      <c r="P244" s="93"/>
      <c r="Q244" s="93"/>
      <c r="R244" s="54">
        <v>0</v>
      </c>
      <c r="S244" s="94">
        <f t="shared" si="1"/>
        <v>0</v>
      </c>
      <c r="T244" s="53">
        <v>0</v>
      </c>
      <c r="U244" s="131">
        <f t="shared" si="2"/>
        <v>0</v>
      </c>
      <c r="V244" s="79"/>
      <c r="W244" s="88"/>
      <c r="X244" s="5"/>
    </row>
    <row r="245" spans="1:25" ht="15.75" x14ac:dyDescent="0.25">
      <c r="A245" s="24"/>
      <c r="B245" s="54" t="s">
        <v>158</v>
      </c>
      <c r="C245" s="93"/>
      <c r="D245" s="93"/>
      <c r="E245" s="93"/>
      <c r="F245" s="25"/>
      <c r="G245" s="94"/>
      <c r="H245" s="93"/>
      <c r="I245" s="93"/>
      <c r="J245" s="93"/>
      <c r="K245" s="93"/>
      <c r="L245" s="93"/>
      <c r="M245" s="93"/>
      <c r="N245" s="93"/>
      <c r="O245" s="93"/>
      <c r="P245" s="93"/>
      <c r="Q245" s="93"/>
      <c r="R245" s="54">
        <v>1</v>
      </c>
      <c r="S245" s="94">
        <f t="shared" si="1"/>
        <v>1.7140898183064793E-4</v>
      </c>
      <c r="T245" s="53">
        <v>242</v>
      </c>
      <c r="U245" s="131">
        <f t="shared" si="2"/>
        <v>2.8742423936500621E-4</v>
      </c>
      <c r="V245" s="79"/>
      <c r="W245" s="88"/>
      <c r="X245" s="5"/>
      <c r="Y245" s="109"/>
    </row>
    <row r="246" spans="1:25" ht="15.75" x14ac:dyDescent="0.25">
      <c r="A246" s="24"/>
      <c r="B246" s="54" t="s">
        <v>159</v>
      </c>
      <c r="C246" s="93"/>
      <c r="D246" s="93"/>
      <c r="E246" s="93"/>
      <c r="F246" s="25"/>
      <c r="G246" s="94"/>
      <c r="H246" s="93"/>
      <c r="I246" s="93"/>
      <c r="J246" s="93"/>
      <c r="K246" s="93"/>
      <c r="L246" s="93"/>
      <c r="M246" s="93"/>
      <c r="N246" s="93"/>
      <c r="O246" s="93"/>
      <c r="P246" s="93"/>
      <c r="Q246" s="93"/>
      <c r="R246" s="54">
        <v>0</v>
      </c>
      <c r="S246" s="94">
        <f t="shared" si="1"/>
        <v>0</v>
      </c>
      <c r="T246" s="53">
        <v>0</v>
      </c>
      <c r="U246" s="131">
        <f t="shared" si="2"/>
        <v>0</v>
      </c>
      <c r="V246" s="79"/>
      <c r="W246" s="88"/>
      <c r="X246" s="5"/>
    </row>
    <row r="247" spans="1:25" ht="15.75" x14ac:dyDescent="0.25">
      <c r="A247" s="24"/>
      <c r="B247" s="54" t="s">
        <v>160</v>
      </c>
      <c r="C247" s="93"/>
      <c r="D247" s="93"/>
      <c r="E247" s="93"/>
      <c r="F247" s="25"/>
      <c r="G247" s="94"/>
      <c r="H247" s="93"/>
      <c r="I247" s="93"/>
      <c r="J247" s="93"/>
      <c r="K247" s="93"/>
      <c r="L247" s="93"/>
      <c r="M247" s="93"/>
      <c r="N247" s="93"/>
      <c r="O247" s="93"/>
      <c r="P247" s="93"/>
      <c r="Q247" s="93"/>
      <c r="R247" s="54">
        <v>1</v>
      </c>
      <c r="S247" s="94">
        <f t="shared" si="1"/>
        <v>1.7140898183064793E-4</v>
      </c>
      <c r="T247" s="53">
        <v>135</v>
      </c>
      <c r="U247" s="131">
        <f t="shared" si="2"/>
        <v>1.6033996824080926E-4</v>
      </c>
      <c r="V247" s="79"/>
      <c r="W247" s="88"/>
      <c r="X247" s="5"/>
      <c r="Y247" s="109"/>
    </row>
    <row r="248" spans="1:25" ht="15.75" x14ac:dyDescent="0.25">
      <c r="A248" s="24"/>
      <c r="B248" s="54"/>
      <c r="C248" s="93"/>
      <c r="D248" s="93"/>
      <c r="E248" s="93"/>
      <c r="F248" s="25"/>
      <c r="G248" s="94"/>
      <c r="H248" s="93"/>
      <c r="I248" s="93"/>
      <c r="J248" s="93"/>
      <c r="K248" s="93"/>
      <c r="L248" s="93"/>
      <c r="M248" s="93"/>
      <c r="N248" s="93"/>
      <c r="O248" s="93"/>
      <c r="P248" s="93"/>
      <c r="Q248" s="93"/>
      <c r="R248" s="54"/>
      <c r="S248" s="94"/>
      <c r="T248" s="53"/>
      <c r="U248" s="131"/>
      <c r="V248" s="79"/>
      <c r="W248" s="88"/>
      <c r="X248" s="5"/>
    </row>
    <row r="249" spans="1:25" ht="15.75" x14ac:dyDescent="0.25">
      <c r="A249" s="24"/>
      <c r="B249" s="25"/>
      <c r="C249" s="25"/>
      <c r="D249" s="25"/>
      <c r="E249" s="25"/>
      <c r="F249" s="25"/>
      <c r="G249" s="25"/>
      <c r="H249" s="95"/>
      <c r="I249" s="95"/>
      <c r="J249" s="95"/>
      <c r="K249" s="95"/>
      <c r="L249" s="95"/>
      <c r="M249" s="95"/>
      <c r="N249" s="95"/>
      <c r="O249" s="95"/>
      <c r="P249" s="95"/>
      <c r="Q249" s="95"/>
      <c r="R249" s="34">
        <f>SUM(R240:R248)</f>
        <v>5834</v>
      </c>
      <c r="S249" s="131">
        <f>SUM(S240:S248)</f>
        <v>1</v>
      </c>
      <c r="T249" s="53">
        <f>SUM(T240:T248)</f>
        <v>841961</v>
      </c>
      <c r="U249" s="131">
        <f>SUM(U240:U248)</f>
        <v>1</v>
      </c>
      <c r="V249" s="25"/>
      <c r="W249" s="25"/>
      <c r="X249" s="5"/>
    </row>
    <row r="250" spans="1:25" ht="15.75" x14ac:dyDescent="0.25">
      <c r="A250" s="24"/>
      <c r="B250" s="25"/>
      <c r="C250" s="25"/>
      <c r="D250" s="25"/>
      <c r="E250" s="25"/>
      <c r="F250" s="25"/>
      <c r="G250" s="25"/>
      <c r="H250" s="95"/>
      <c r="I250" s="95"/>
      <c r="J250" s="95"/>
      <c r="K250" s="95"/>
      <c r="L250" s="95"/>
      <c r="M250" s="95"/>
      <c r="N250" s="95"/>
      <c r="O250" s="95"/>
      <c r="P250" s="95"/>
      <c r="Q250" s="95"/>
      <c r="R250" s="34"/>
      <c r="S250" s="131"/>
      <c r="T250" s="53"/>
      <c r="U250" s="131"/>
      <c r="V250" s="25"/>
      <c r="W250" s="25"/>
      <c r="X250" s="5"/>
    </row>
    <row r="251" spans="1:25" ht="15.75" x14ac:dyDescent="0.25">
      <c r="A251" s="138"/>
      <c r="B251" s="14" t="s">
        <v>236</v>
      </c>
      <c r="C251" s="81"/>
      <c r="D251" s="81"/>
      <c r="E251" s="81"/>
      <c r="F251" s="82"/>
      <c r="G251" s="81"/>
      <c r="H251" s="17"/>
      <c r="I251" s="17"/>
      <c r="J251" s="17"/>
      <c r="K251" s="17"/>
      <c r="L251" s="17"/>
      <c r="M251" s="17"/>
      <c r="N251" s="17"/>
      <c r="O251" s="17"/>
      <c r="P251" s="17"/>
      <c r="Q251" s="17"/>
      <c r="R251" s="83" t="s">
        <v>102</v>
      </c>
      <c r="S251" s="17" t="s">
        <v>103</v>
      </c>
      <c r="T251" s="83" t="s">
        <v>109</v>
      </c>
      <c r="U251" s="17" t="s">
        <v>103</v>
      </c>
      <c r="V251" s="136"/>
      <c r="W251" s="137"/>
      <c r="X251" s="5"/>
    </row>
    <row r="252" spans="1:25" ht="15.75" x14ac:dyDescent="0.25">
      <c r="A252" s="24"/>
      <c r="B252" s="54" t="s">
        <v>88</v>
      </c>
      <c r="C252" s="93"/>
      <c r="D252" s="93"/>
      <c r="E252" s="93"/>
      <c r="F252" s="25"/>
      <c r="G252" s="93"/>
      <c r="H252" s="93"/>
      <c r="I252" s="93"/>
      <c r="J252" s="93"/>
      <c r="K252" s="93"/>
      <c r="L252" s="93"/>
      <c r="M252" s="93"/>
      <c r="N252" s="93"/>
      <c r="O252" s="93"/>
      <c r="P252" s="93"/>
      <c r="Q252" s="93"/>
      <c r="R252" s="54">
        <v>21</v>
      </c>
      <c r="S252" s="94">
        <f t="shared" ref="S252:S259" si="3">R252/$R$261</f>
        <v>0.13291139240506328</v>
      </c>
      <c r="T252" s="53">
        <v>3032</v>
      </c>
      <c r="U252" s="131">
        <f t="shared" ref="U252:U259" si="4">T252/$T$261</f>
        <v>0.12373995021017835</v>
      </c>
      <c r="V252" s="25"/>
      <c r="W252" s="25"/>
      <c r="X252" s="5"/>
    </row>
    <row r="253" spans="1:25" ht="15.75" x14ac:dyDescent="0.25">
      <c r="A253" s="24"/>
      <c r="B253" s="54" t="s">
        <v>89</v>
      </c>
      <c r="C253" s="93"/>
      <c r="D253" s="93"/>
      <c r="E253" s="93"/>
      <c r="F253" s="25"/>
      <c r="G253" s="94"/>
      <c r="H253" s="93"/>
      <c r="I253" s="93"/>
      <c r="J253" s="93"/>
      <c r="K253" s="93"/>
      <c r="L253" s="93"/>
      <c r="M253" s="93"/>
      <c r="N253" s="93"/>
      <c r="O253" s="93"/>
      <c r="P253" s="93"/>
      <c r="Q253" s="93"/>
      <c r="R253" s="54">
        <v>25</v>
      </c>
      <c r="S253" s="94">
        <f t="shared" si="3"/>
        <v>0.15822784810126583</v>
      </c>
      <c r="T253" s="53">
        <v>4413</v>
      </c>
      <c r="U253" s="131">
        <f t="shared" si="4"/>
        <v>0.18010039586989349</v>
      </c>
      <c r="V253" s="25"/>
      <c r="W253" s="25"/>
      <c r="X253" s="5"/>
    </row>
    <row r="254" spans="1:25" ht="15.75" x14ac:dyDescent="0.25">
      <c r="A254" s="24"/>
      <c r="B254" s="54" t="s">
        <v>90</v>
      </c>
      <c r="C254" s="93"/>
      <c r="D254" s="93"/>
      <c r="E254" s="93"/>
      <c r="F254" s="25"/>
      <c r="G254" s="94"/>
      <c r="H254" s="93"/>
      <c r="I254" s="93"/>
      <c r="J254" s="93"/>
      <c r="K254" s="93"/>
      <c r="L254" s="93"/>
      <c r="M254" s="93"/>
      <c r="N254" s="93"/>
      <c r="O254" s="93"/>
      <c r="P254" s="93"/>
      <c r="Q254" s="93"/>
      <c r="R254" s="54">
        <v>26</v>
      </c>
      <c r="S254" s="94">
        <f t="shared" si="3"/>
        <v>0.16455696202531644</v>
      </c>
      <c r="T254" s="53">
        <v>3762</v>
      </c>
      <c r="U254" s="131">
        <f t="shared" si="4"/>
        <v>0.15353222054442314</v>
      </c>
      <c r="V254" s="25"/>
      <c r="W254" s="25"/>
      <c r="X254" s="5"/>
    </row>
    <row r="255" spans="1:25" ht="15.75" x14ac:dyDescent="0.25">
      <c r="A255" s="24"/>
      <c r="B255" s="54" t="s">
        <v>156</v>
      </c>
      <c r="C255" s="93"/>
      <c r="D255" s="93"/>
      <c r="E255" s="93"/>
      <c r="F255" s="25"/>
      <c r="G255" s="94"/>
      <c r="H255" s="93"/>
      <c r="I255" s="93"/>
      <c r="J255" s="93"/>
      <c r="K255" s="93"/>
      <c r="L255" s="93"/>
      <c r="M255" s="93"/>
      <c r="N255" s="93"/>
      <c r="O255" s="93"/>
      <c r="P255" s="93"/>
      <c r="Q255" s="93"/>
      <c r="R255" s="54">
        <v>1</v>
      </c>
      <c r="S255" s="94">
        <f t="shared" si="3"/>
        <v>6.3291139240506328E-3</v>
      </c>
      <c r="T255" s="53">
        <v>116</v>
      </c>
      <c r="U255" s="131">
        <f t="shared" si="4"/>
        <v>4.7341141900991719E-3</v>
      </c>
      <c r="V255" s="25"/>
      <c r="W255" s="25"/>
      <c r="X255" s="5"/>
    </row>
    <row r="256" spans="1:25" ht="15.75" x14ac:dyDescent="0.25">
      <c r="A256" s="24"/>
      <c r="B256" s="54" t="s">
        <v>157</v>
      </c>
      <c r="C256" s="93"/>
      <c r="D256" s="93"/>
      <c r="E256" s="93"/>
      <c r="F256" s="25"/>
      <c r="G256" s="94"/>
      <c r="H256" s="93"/>
      <c r="I256" s="93"/>
      <c r="J256" s="93"/>
      <c r="K256" s="93"/>
      <c r="L256" s="93"/>
      <c r="M256" s="93"/>
      <c r="N256" s="93"/>
      <c r="O256" s="93"/>
      <c r="P256" s="93"/>
      <c r="Q256" s="93"/>
      <c r="R256" s="54">
        <v>6</v>
      </c>
      <c r="S256" s="94">
        <f t="shared" si="3"/>
        <v>3.7974683544303799E-2</v>
      </c>
      <c r="T256" s="53">
        <v>714</v>
      </c>
      <c r="U256" s="131">
        <f t="shared" si="4"/>
        <v>2.91392890666449E-2</v>
      </c>
      <c r="V256" s="25"/>
      <c r="W256" s="25"/>
      <c r="X256" s="5"/>
    </row>
    <row r="257" spans="1:24" ht="15.75" x14ac:dyDescent="0.25">
      <c r="A257" s="24"/>
      <c r="B257" s="54" t="s">
        <v>158</v>
      </c>
      <c r="C257" s="93"/>
      <c r="D257" s="93"/>
      <c r="E257" s="93"/>
      <c r="F257" s="25"/>
      <c r="G257" s="94"/>
      <c r="H257" s="93"/>
      <c r="I257" s="93"/>
      <c r="J257" s="93"/>
      <c r="K257" s="93"/>
      <c r="L257" s="93"/>
      <c r="M257" s="93"/>
      <c r="N257" s="93"/>
      <c r="O257" s="93"/>
      <c r="P257" s="93"/>
      <c r="Q257" s="93"/>
      <c r="R257" s="54">
        <v>14</v>
      </c>
      <c r="S257" s="94">
        <f t="shared" si="3"/>
        <v>8.8607594936708861E-2</v>
      </c>
      <c r="T257" s="53">
        <v>1947</v>
      </c>
      <c r="U257" s="131">
        <f t="shared" si="4"/>
        <v>7.9459658001061098E-2</v>
      </c>
      <c r="V257" s="25"/>
      <c r="W257" s="25"/>
      <c r="X257" s="5"/>
    </row>
    <row r="258" spans="1:24" ht="15.75" x14ac:dyDescent="0.25">
      <c r="A258" s="24"/>
      <c r="B258" s="54" t="s">
        <v>159</v>
      </c>
      <c r="C258" s="93"/>
      <c r="D258" s="93"/>
      <c r="E258" s="93"/>
      <c r="F258" s="25"/>
      <c r="G258" s="94"/>
      <c r="H258" s="93"/>
      <c r="I258" s="93"/>
      <c r="J258" s="93"/>
      <c r="K258" s="93"/>
      <c r="L258" s="93"/>
      <c r="M258" s="93"/>
      <c r="N258" s="93"/>
      <c r="O258" s="93"/>
      <c r="P258" s="93"/>
      <c r="Q258" s="93"/>
      <c r="R258" s="54">
        <v>27</v>
      </c>
      <c r="S258" s="94">
        <f t="shared" si="3"/>
        <v>0.17088607594936708</v>
      </c>
      <c r="T258" s="53">
        <v>4303</v>
      </c>
      <c r="U258" s="131">
        <f t="shared" si="4"/>
        <v>0.17561114965514427</v>
      </c>
      <c r="V258" s="25"/>
      <c r="W258" s="25"/>
      <c r="X258" s="5"/>
    </row>
    <row r="259" spans="1:24" ht="15.75" x14ac:dyDescent="0.25">
      <c r="A259" s="24"/>
      <c r="B259" s="54" t="s">
        <v>160</v>
      </c>
      <c r="C259" s="93"/>
      <c r="D259" s="93"/>
      <c r="E259" s="93"/>
      <c r="F259" s="25"/>
      <c r="G259" s="94"/>
      <c r="H259" s="93"/>
      <c r="I259" s="93"/>
      <c r="J259" s="93"/>
      <c r="K259" s="93"/>
      <c r="L259" s="93"/>
      <c r="M259" s="93"/>
      <c r="N259" s="93"/>
      <c r="O259" s="93"/>
      <c r="P259" s="93"/>
      <c r="Q259" s="93"/>
      <c r="R259" s="54">
        <v>38</v>
      </c>
      <c r="S259" s="94">
        <f t="shared" si="3"/>
        <v>0.24050632911392406</v>
      </c>
      <c r="T259" s="53">
        <v>6216</v>
      </c>
      <c r="U259" s="131">
        <f t="shared" si="4"/>
        <v>0.25368322246255559</v>
      </c>
      <c r="V259" s="25"/>
      <c r="W259" s="25"/>
      <c r="X259" s="5"/>
    </row>
    <row r="260" spans="1:24" ht="15.75" x14ac:dyDescent="0.25">
      <c r="A260" s="24"/>
      <c r="B260" s="54"/>
      <c r="C260" s="93"/>
      <c r="D260" s="93"/>
      <c r="E260" s="93"/>
      <c r="F260" s="25"/>
      <c r="G260" s="94"/>
      <c r="H260" s="93"/>
      <c r="I260" s="93"/>
      <c r="J260" s="93"/>
      <c r="K260" s="93"/>
      <c r="L260" s="93"/>
      <c r="M260" s="93"/>
      <c r="N260" s="93"/>
      <c r="O260" s="93"/>
      <c r="P260" s="93"/>
      <c r="Q260" s="93"/>
      <c r="R260" s="54"/>
      <c r="S260" s="94"/>
      <c r="T260" s="53"/>
      <c r="U260" s="131"/>
      <c r="V260" s="25"/>
      <c r="W260" s="25"/>
      <c r="X260" s="5"/>
    </row>
    <row r="261" spans="1:24" ht="15.75" x14ac:dyDescent="0.25">
      <c r="A261" s="24"/>
      <c r="B261" s="25"/>
      <c r="C261" s="25"/>
      <c r="D261" s="25"/>
      <c r="E261" s="25"/>
      <c r="F261" s="25"/>
      <c r="G261" s="25"/>
      <c r="H261" s="95"/>
      <c r="I261" s="95"/>
      <c r="J261" s="95"/>
      <c r="K261" s="95"/>
      <c r="L261" s="95"/>
      <c r="M261" s="95"/>
      <c r="N261" s="95"/>
      <c r="O261" s="95"/>
      <c r="P261" s="95"/>
      <c r="Q261" s="95"/>
      <c r="R261" s="34">
        <f>SUM(R252:R260)</f>
        <v>158</v>
      </c>
      <c r="S261" s="131">
        <f>SUM(S252:S260)</f>
        <v>1</v>
      </c>
      <c r="T261" s="53">
        <f>SUM(T252:T260)</f>
        <v>24503</v>
      </c>
      <c r="U261" s="131">
        <f>SUM(U252:U260)</f>
        <v>1</v>
      </c>
      <c r="V261" s="25"/>
      <c r="W261" s="25"/>
      <c r="X261" s="5"/>
    </row>
    <row r="262" spans="1:24" ht="15.75" x14ac:dyDescent="0.25">
      <c r="A262" s="24"/>
      <c r="B262" s="25"/>
      <c r="C262" s="25"/>
      <c r="D262" s="25"/>
      <c r="E262" s="25"/>
      <c r="F262" s="25"/>
      <c r="G262" s="25"/>
      <c r="H262" s="95"/>
      <c r="I262" s="95"/>
      <c r="J262" s="95"/>
      <c r="K262" s="95"/>
      <c r="L262" s="95"/>
      <c r="M262" s="95"/>
      <c r="N262" s="95"/>
      <c r="O262" s="95"/>
      <c r="P262" s="95"/>
      <c r="Q262" s="95"/>
      <c r="R262" s="34"/>
      <c r="S262" s="131"/>
      <c r="T262" s="53"/>
      <c r="U262" s="131"/>
      <c r="V262" s="25"/>
      <c r="W262" s="25"/>
      <c r="X262" s="5"/>
    </row>
    <row r="263" spans="1:24" ht="15.75" x14ac:dyDescent="0.25">
      <c r="A263" s="138"/>
      <c r="B263" s="14" t="s">
        <v>163</v>
      </c>
      <c r="C263" s="136"/>
      <c r="D263" s="136"/>
      <c r="E263" s="136"/>
      <c r="F263" s="136"/>
      <c r="G263" s="136"/>
      <c r="H263" s="142"/>
      <c r="I263" s="142"/>
      <c r="J263" s="142"/>
      <c r="K263" s="142"/>
      <c r="L263" s="142"/>
      <c r="M263" s="142"/>
      <c r="N263" s="142"/>
      <c r="O263" s="142"/>
      <c r="P263" s="142"/>
      <c r="Q263" s="142"/>
      <c r="R263" s="83" t="s">
        <v>102</v>
      </c>
      <c r="S263" s="17" t="s">
        <v>103</v>
      </c>
      <c r="T263" s="83" t="s">
        <v>109</v>
      </c>
      <c r="U263" s="17" t="s">
        <v>103</v>
      </c>
      <c r="V263" s="136"/>
      <c r="W263" s="137"/>
      <c r="X263" s="5"/>
    </row>
    <row r="264" spans="1:24" ht="15.75" x14ac:dyDescent="0.25">
      <c r="A264" s="24"/>
      <c r="B264" s="54" t="s">
        <v>88</v>
      </c>
      <c r="C264" s="25"/>
      <c r="D264" s="25"/>
      <c r="E264" s="25"/>
      <c r="F264" s="25"/>
      <c r="G264" s="25"/>
      <c r="H264" s="95"/>
      <c r="I264" s="95"/>
      <c r="J264" s="95"/>
      <c r="K264" s="95"/>
      <c r="L264" s="95"/>
      <c r="M264" s="95"/>
      <c r="N264" s="95"/>
      <c r="O264" s="95"/>
      <c r="P264" s="95"/>
      <c r="Q264" s="95"/>
      <c r="R264" s="54">
        <v>0</v>
      </c>
      <c r="S264" s="94">
        <v>0</v>
      </c>
      <c r="T264" s="53">
        <v>0</v>
      </c>
      <c r="U264" s="131">
        <v>0</v>
      </c>
      <c r="V264" s="25"/>
      <c r="W264" s="25"/>
      <c r="X264" s="5"/>
    </row>
    <row r="265" spans="1:24" ht="15.75" x14ac:dyDescent="0.25">
      <c r="A265" s="24"/>
      <c r="B265" s="54" t="s">
        <v>89</v>
      </c>
      <c r="C265" s="25"/>
      <c r="D265" s="25"/>
      <c r="E265" s="25"/>
      <c r="F265" s="25"/>
      <c r="G265" s="25"/>
      <c r="H265" s="95"/>
      <c r="I265" s="95"/>
      <c r="J265" s="95"/>
      <c r="K265" s="95"/>
      <c r="L265" s="95"/>
      <c r="M265" s="95"/>
      <c r="N265" s="95"/>
      <c r="O265" s="95"/>
      <c r="P265" s="95"/>
      <c r="Q265" s="95"/>
      <c r="R265" s="54">
        <v>0</v>
      </c>
      <c r="S265" s="94">
        <v>0</v>
      </c>
      <c r="T265" s="53">
        <v>0</v>
      </c>
      <c r="U265" s="131">
        <v>0</v>
      </c>
      <c r="V265" s="25"/>
      <c r="W265" s="25"/>
      <c r="X265" s="5"/>
    </row>
    <row r="266" spans="1:24" ht="15.75" x14ac:dyDescent="0.25">
      <c r="A266" s="24"/>
      <c r="B266" s="54" t="s">
        <v>90</v>
      </c>
      <c r="C266" s="25"/>
      <c r="D266" s="25"/>
      <c r="E266" s="25"/>
      <c r="F266" s="25"/>
      <c r="G266" s="25"/>
      <c r="H266" s="95"/>
      <c r="I266" s="95"/>
      <c r="J266" s="95"/>
      <c r="K266" s="95"/>
      <c r="L266" s="95"/>
      <c r="M266" s="95"/>
      <c r="N266" s="95"/>
      <c r="O266" s="95"/>
      <c r="P266" s="95"/>
      <c r="Q266" s="95"/>
      <c r="R266" s="54">
        <v>0</v>
      </c>
      <c r="S266" s="94">
        <v>0</v>
      </c>
      <c r="T266" s="53">
        <v>0</v>
      </c>
      <c r="U266" s="131">
        <v>0</v>
      </c>
      <c r="V266" s="25"/>
      <c r="W266" s="25"/>
      <c r="X266" s="5"/>
    </row>
    <row r="267" spans="1:24" ht="15.75" x14ac:dyDescent="0.25">
      <c r="A267" s="24"/>
      <c r="B267" s="54" t="s">
        <v>156</v>
      </c>
      <c r="C267" s="25"/>
      <c r="D267" s="25"/>
      <c r="E267" s="25"/>
      <c r="F267" s="25"/>
      <c r="G267" s="25"/>
      <c r="H267" s="95"/>
      <c r="I267" s="95"/>
      <c r="J267" s="95"/>
      <c r="K267" s="95"/>
      <c r="L267" s="95"/>
      <c r="M267" s="95"/>
      <c r="N267" s="95"/>
      <c r="O267" s="95"/>
      <c r="P267" s="95"/>
      <c r="Q267" s="95"/>
      <c r="R267" s="54">
        <v>0</v>
      </c>
      <c r="S267" s="94">
        <v>0</v>
      </c>
      <c r="T267" s="53">
        <v>0</v>
      </c>
      <c r="U267" s="131">
        <v>0</v>
      </c>
      <c r="V267" s="25"/>
      <c r="W267" s="25"/>
      <c r="X267" s="5"/>
    </row>
    <row r="268" spans="1:24" ht="15.75" x14ac:dyDescent="0.25">
      <c r="A268" s="24"/>
      <c r="B268" s="54" t="s">
        <v>157</v>
      </c>
      <c r="C268" s="25"/>
      <c r="D268" s="25"/>
      <c r="E268" s="25"/>
      <c r="F268" s="25"/>
      <c r="G268" s="25"/>
      <c r="H268" s="95"/>
      <c r="I268" s="95"/>
      <c r="J268" s="95"/>
      <c r="K268" s="95"/>
      <c r="L268" s="95"/>
      <c r="M268" s="95"/>
      <c r="N268" s="95"/>
      <c r="O268" s="95"/>
      <c r="P268" s="95"/>
      <c r="Q268" s="95"/>
      <c r="R268" s="54">
        <v>0</v>
      </c>
      <c r="S268" s="94">
        <v>0</v>
      </c>
      <c r="T268" s="53">
        <v>0</v>
      </c>
      <c r="U268" s="131">
        <v>0</v>
      </c>
      <c r="V268" s="25"/>
      <c r="W268" s="25"/>
      <c r="X268" s="5"/>
    </row>
    <row r="269" spans="1:24" ht="15.75" x14ac:dyDescent="0.25">
      <c r="A269" s="24"/>
      <c r="B269" s="54" t="s">
        <v>158</v>
      </c>
      <c r="C269" s="25"/>
      <c r="D269" s="25"/>
      <c r="E269" s="25"/>
      <c r="F269" s="25"/>
      <c r="G269" s="25"/>
      <c r="H269" s="95"/>
      <c r="I269" s="95"/>
      <c r="J269" s="95"/>
      <c r="K269" s="95"/>
      <c r="L269" s="95"/>
      <c r="M269" s="95"/>
      <c r="N269" s="95"/>
      <c r="O269" s="95"/>
      <c r="P269" s="95"/>
      <c r="Q269" s="95"/>
      <c r="R269" s="54">
        <v>0</v>
      </c>
      <c r="S269" s="94">
        <v>0</v>
      </c>
      <c r="T269" s="53">
        <v>0</v>
      </c>
      <c r="U269" s="131">
        <v>0</v>
      </c>
      <c r="V269" s="25"/>
      <c r="W269" s="25"/>
      <c r="X269" s="5"/>
    </row>
    <row r="270" spans="1:24" ht="15.75" x14ac:dyDescent="0.25">
      <c r="A270" s="24"/>
      <c r="B270" s="54" t="s">
        <v>159</v>
      </c>
      <c r="C270" s="25"/>
      <c r="D270" s="25"/>
      <c r="E270" s="25"/>
      <c r="F270" s="25"/>
      <c r="G270" s="25"/>
      <c r="H270" s="95"/>
      <c r="I270" s="95"/>
      <c r="J270" s="95"/>
      <c r="K270" s="95"/>
      <c r="L270" s="95"/>
      <c r="M270" s="95"/>
      <c r="N270" s="95"/>
      <c r="O270" s="95"/>
      <c r="P270" s="95"/>
      <c r="Q270" s="95"/>
      <c r="R270" s="54">
        <v>0</v>
      </c>
      <c r="S270" s="94">
        <v>0</v>
      </c>
      <c r="T270" s="53">
        <v>0</v>
      </c>
      <c r="U270" s="131">
        <v>0</v>
      </c>
      <c r="V270" s="25"/>
      <c r="W270" s="25"/>
      <c r="X270" s="5"/>
    </row>
    <row r="271" spans="1:24" ht="15.75" x14ac:dyDescent="0.25">
      <c r="A271" s="24"/>
      <c r="B271" s="54" t="s">
        <v>160</v>
      </c>
      <c r="C271" s="25"/>
      <c r="D271" s="25"/>
      <c r="E271" s="25"/>
      <c r="F271" s="25"/>
      <c r="G271" s="25"/>
      <c r="H271" s="95"/>
      <c r="I271" s="95"/>
      <c r="J271" s="95"/>
      <c r="K271" s="95"/>
      <c r="L271" s="95"/>
      <c r="M271" s="95"/>
      <c r="N271" s="95"/>
      <c r="O271" s="95"/>
      <c r="P271" s="95"/>
      <c r="Q271" s="95"/>
      <c r="R271" s="54">
        <v>0</v>
      </c>
      <c r="S271" s="94">
        <v>0</v>
      </c>
      <c r="T271" s="53">
        <v>0</v>
      </c>
      <c r="U271" s="131">
        <v>0</v>
      </c>
      <c r="V271" s="25"/>
      <c r="W271" s="25"/>
      <c r="X271" s="5"/>
    </row>
    <row r="272" spans="1:24" ht="15.75" x14ac:dyDescent="0.25">
      <c r="A272" s="24"/>
      <c r="B272" s="54"/>
      <c r="C272" s="25"/>
      <c r="D272" s="25"/>
      <c r="E272" s="25"/>
      <c r="F272" s="25"/>
      <c r="G272" s="25"/>
      <c r="H272" s="95"/>
      <c r="I272" s="95"/>
      <c r="J272" s="95"/>
      <c r="K272" s="95"/>
      <c r="L272" s="95"/>
      <c r="M272" s="95"/>
      <c r="N272" s="95"/>
      <c r="O272" s="95"/>
      <c r="P272" s="95"/>
      <c r="Q272" s="95"/>
      <c r="R272" s="54"/>
      <c r="S272" s="94"/>
      <c r="T272" s="53"/>
      <c r="U272" s="131"/>
      <c r="V272" s="25"/>
      <c r="W272" s="25"/>
      <c r="X272" s="5"/>
    </row>
    <row r="273" spans="1:24" ht="15.75" x14ac:dyDescent="0.25">
      <c r="A273" s="24"/>
      <c r="B273" s="25" t="s">
        <v>114</v>
      </c>
      <c r="C273" s="25"/>
      <c r="D273" s="25"/>
      <c r="E273" s="25"/>
      <c r="F273" s="25"/>
      <c r="G273" s="25"/>
      <c r="H273" s="95"/>
      <c r="I273" s="95"/>
      <c r="J273" s="95"/>
      <c r="K273" s="95"/>
      <c r="L273" s="95"/>
      <c r="M273" s="95"/>
      <c r="N273" s="95"/>
      <c r="O273" s="95"/>
      <c r="P273" s="95"/>
      <c r="Q273" s="95"/>
      <c r="R273" s="34">
        <f>SUM(R264:R271)</f>
        <v>0</v>
      </c>
      <c r="S273" s="94">
        <f>SUM(S264:S271)</f>
        <v>0</v>
      </c>
      <c r="T273" s="53">
        <f>SUM(T264:T271)</f>
        <v>0</v>
      </c>
      <c r="U273" s="131">
        <f>SUM(U264:U271)</f>
        <v>0</v>
      </c>
      <c r="V273" s="25"/>
      <c r="W273" s="25"/>
      <c r="X273" s="5"/>
    </row>
    <row r="274" spans="1:24" ht="15.75" x14ac:dyDescent="0.25">
      <c r="A274" s="24"/>
      <c r="B274" s="25"/>
      <c r="C274" s="25"/>
      <c r="D274" s="25"/>
      <c r="E274" s="25"/>
      <c r="F274" s="25"/>
      <c r="G274" s="25"/>
      <c r="H274" s="95"/>
      <c r="I274" s="95"/>
      <c r="J274" s="95"/>
      <c r="K274" s="95"/>
      <c r="L274" s="95"/>
      <c r="M274" s="95"/>
      <c r="N274" s="95"/>
      <c r="O274" s="95"/>
      <c r="P274" s="95"/>
      <c r="Q274" s="95"/>
      <c r="R274" s="34"/>
      <c r="S274" s="131"/>
      <c r="T274" s="53"/>
      <c r="U274" s="131"/>
      <c r="V274" s="25"/>
      <c r="W274" s="25"/>
      <c r="X274" s="5"/>
    </row>
    <row r="275" spans="1:24" ht="15.75" x14ac:dyDescent="0.25">
      <c r="A275" s="24"/>
      <c r="B275" s="139" t="s">
        <v>164</v>
      </c>
      <c r="C275" s="25"/>
      <c r="D275" s="25"/>
      <c r="E275" s="25"/>
      <c r="F275" s="25"/>
      <c r="G275" s="25"/>
      <c r="H275" s="95"/>
      <c r="I275" s="95"/>
      <c r="J275" s="95"/>
      <c r="K275" s="95"/>
      <c r="L275" s="95"/>
      <c r="M275" s="95"/>
      <c r="N275" s="95"/>
      <c r="O275" s="95"/>
      <c r="P275" s="95"/>
      <c r="Q275" s="95"/>
      <c r="R275" s="156">
        <f>R273+R261+R249</f>
        <v>5992</v>
      </c>
      <c r="S275" s="140"/>
      <c r="T275" s="141">
        <f>+T273+T261+T249</f>
        <v>866464</v>
      </c>
      <c r="U275" s="140"/>
      <c r="V275" s="25"/>
      <c r="W275" s="25"/>
      <c r="X275" s="5"/>
    </row>
    <row r="276" spans="1:24" ht="15.75" x14ac:dyDescent="0.25">
      <c r="A276" s="24"/>
      <c r="B276" s="25"/>
      <c r="C276" s="25"/>
      <c r="D276" s="25"/>
      <c r="E276" s="25"/>
      <c r="F276" s="25"/>
      <c r="G276" s="25"/>
      <c r="H276" s="95"/>
      <c r="I276" s="95"/>
      <c r="J276" s="95"/>
      <c r="K276" s="95"/>
      <c r="L276" s="95"/>
      <c r="M276" s="95"/>
      <c r="N276" s="95"/>
      <c r="O276" s="95"/>
      <c r="P276" s="95"/>
      <c r="Q276" s="95"/>
      <c r="R276" s="95"/>
      <c r="S276" s="95"/>
      <c r="T276" s="53"/>
      <c r="U276" s="95"/>
      <c r="V276" s="25"/>
      <c r="W276" s="25"/>
      <c r="X276" s="5"/>
    </row>
    <row r="277" spans="1:24" ht="15.75" x14ac:dyDescent="0.25">
      <c r="A277" s="6"/>
      <c r="B277" s="8"/>
      <c r="C277" s="8"/>
      <c r="D277" s="8"/>
      <c r="E277" s="8"/>
      <c r="F277" s="8"/>
      <c r="G277" s="8"/>
      <c r="H277" s="96"/>
      <c r="I277" s="96"/>
      <c r="J277" s="96"/>
      <c r="K277" s="96"/>
      <c r="L277" s="96"/>
      <c r="M277" s="96"/>
      <c r="N277" s="96"/>
      <c r="O277" s="96"/>
      <c r="P277" s="96"/>
      <c r="Q277" s="96"/>
      <c r="R277" s="96"/>
      <c r="S277" s="96"/>
      <c r="T277" s="97"/>
      <c r="U277" s="96"/>
      <c r="V277" s="8"/>
      <c r="W277" s="8"/>
      <c r="X277" s="5"/>
    </row>
    <row r="278" spans="1:24" ht="15.75" x14ac:dyDescent="0.25">
      <c r="A278" s="178"/>
      <c r="B278" s="14" t="s">
        <v>91</v>
      </c>
      <c r="C278" s="15"/>
      <c r="D278" s="15"/>
      <c r="E278" s="15"/>
      <c r="F278" s="17" t="s">
        <v>97</v>
      </c>
      <c r="G278" s="15"/>
      <c r="H278" s="14" t="s">
        <v>99</v>
      </c>
      <c r="I278" s="14"/>
      <c r="J278" s="14"/>
      <c r="K278" s="173"/>
      <c r="L278" s="173"/>
      <c r="M278" s="173"/>
      <c r="N278" s="173"/>
      <c r="O278" s="173"/>
      <c r="P278" s="173"/>
      <c r="Q278" s="173"/>
      <c r="R278" s="173"/>
      <c r="S278" s="173"/>
      <c r="T278" s="173"/>
      <c r="U278" s="173"/>
      <c r="V278" s="173"/>
      <c r="W278" s="173"/>
      <c r="X278" s="5"/>
    </row>
    <row r="279" spans="1:24" ht="15.75" x14ac:dyDescent="0.25">
      <c r="A279" s="178"/>
      <c r="B279" s="173"/>
      <c r="C279" s="8"/>
      <c r="D279" s="8"/>
      <c r="E279" s="8"/>
      <c r="F279" s="8"/>
      <c r="G279" s="8"/>
      <c r="H279" s="8"/>
      <c r="I279" s="8"/>
      <c r="J279" s="8"/>
      <c r="K279" s="173"/>
      <c r="L279" s="173"/>
      <c r="M279" s="173"/>
      <c r="N279" s="173"/>
      <c r="O279" s="173"/>
      <c r="P279" s="173"/>
      <c r="Q279" s="173"/>
      <c r="R279" s="173"/>
      <c r="S279" s="173"/>
      <c r="T279" s="173"/>
      <c r="U279" s="173"/>
      <c r="V279" s="173"/>
      <c r="W279" s="173"/>
      <c r="X279" s="5"/>
    </row>
    <row r="280" spans="1:24" ht="15.75" x14ac:dyDescent="0.25">
      <c r="A280" s="178"/>
      <c r="B280" s="13" t="s">
        <v>92</v>
      </c>
      <c r="C280" s="13"/>
      <c r="D280" s="13"/>
      <c r="E280" s="13"/>
      <c r="F280" s="129" t="s">
        <v>148</v>
      </c>
      <c r="G280" s="13"/>
      <c r="H280" s="13" t="s">
        <v>152</v>
      </c>
      <c r="I280" s="13"/>
      <c r="J280" s="13"/>
      <c r="K280" s="173"/>
      <c r="L280" s="173"/>
      <c r="M280" s="173"/>
      <c r="N280" s="173"/>
      <c r="O280" s="173"/>
      <c r="P280" s="173"/>
      <c r="Q280" s="173"/>
      <c r="R280" s="173"/>
      <c r="S280" s="173"/>
      <c r="T280" s="173"/>
      <c r="U280" s="173"/>
      <c r="V280" s="173"/>
      <c r="W280" s="173"/>
      <c r="X280" s="5"/>
    </row>
    <row r="281" spans="1:24" ht="15.75" x14ac:dyDescent="0.25">
      <c r="A281" s="178"/>
      <c r="B281" s="13" t="s">
        <v>265</v>
      </c>
      <c r="C281" s="13"/>
      <c r="D281" s="13"/>
      <c r="E281" s="13"/>
      <c r="F281" s="129" t="s">
        <v>266</v>
      </c>
      <c r="G281" s="13"/>
      <c r="H281" s="13" t="s">
        <v>267</v>
      </c>
      <c r="I281" s="13"/>
      <c r="J281" s="13"/>
      <c r="K281" s="173"/>
      <c r="L281" s="173"/>
      <c r="M281" s="173"/>
      <c r="N281" s="173"/>
      <c r="O281" s="173"/>
      <c r="P281" s="173"/>
      <c r="Q281" s="173"/>
      <c r="R281" s="173"/>
      <c r="S281" s="173"/>
      <c r="T281" s="173"/>
      <c r="U281" s="173"/>
      <c r="V281" s="173"/>
      <c r="W281" s="173"/>
      <c r="X281" s="5"/>
    </row>
    <row r="282" spans="1:24" ht="15.75" x14ac:dyDescent="0.25">
      <c r="A282" s="178"/>
      <c r="B282" s="13" t="s">
        <v>93</v>
      </c>
      <c r="C282" s="13"/>
      <c r="D282" s="13"/>
      <c r="E282" s="13"/>
      <c r="F282" s="129" t="s">
        <v>147</v>
      </c>
      <c r="G282" s="13"/>
      <c r="H282" s="13" t="s">
        <v>153</v>
      </c>
      <c r="I282" s="13"/>
      <c r="J282" s="13"/>
      <c r="K282" s="173"/>
      <c r="L282" s="173"/>
      <c r="M282" s="173"/>
      <c r="N282" s="173"/>
      <c r="O282" s="173"/>
      <c r="P282" s="173"/>
      <c r="Q282" s="173"/>
      <c r="R282" s="173"/>
      <c r="S282" s="173"/>
      <c r="T282" s="173"/>
      <c r="U282" s="173"/>
      <c r="V282" s="173"/>
      <c r="W282" s="173"/>
      <c r="X282" s="5"/>
    </row>
    <row r="283" spans="1:24" ht="15.75" x14ac:dyDescent="0.25">
      <c r="A283" s="178"/>
      <c r="B283" s="13"/>
      <c r="C283" s="13"/>
      <c r="D283" s="13"/>
      <c r="E283" s="13"/>
      <c r="F283" s="13"/>
      <c r="G283" s="99"/>
      <c r="H283" s="173"/>
      <c r="I283" s="173"/>
      <c r="J283" s="173"/>
      <c r="K283" s="173"/>
      <c r="L283" s="173"/>
      <c r="M283" s="173"/>
      <c r="N283" s="173"/>
      <c r="O283" s="173"/>
      <c r="P283" s="173"/>
      <c r="Q283" s="173"/>
      <c r="R283" s="173"/>
      <c r="S283" s="173"/>
      <c r="T283" s="173"/>
      <c r="U283" s="173"/>
      <c r="V283" s="173"/>
      <c r="W283" s="173"/>
      <c r="X283" s="5"/>
    </row>
    <row r="284" spans="1:24" ht="15.75" x14ac:dyDescent="0.25">
      <c r="A284" s="178"/>
      <c r="B284" s="13"/>
      <c r="C284" s="13"/>
      <c r="D284" s="13"/>
      <c r="E284" s="13"/>
      <c r="F284" s="13"/>
      <c r="G284" s="99"/>
      <c r="H284" s="173"/>
      <c r="I284" s="173"/>
      <c r="J284" s="173"/>
      <c r="K284" s="173"/>
      <c r="L284" s="173"/>
      <c r="M284" s="173"/>
      <c r="N284" s="173"/>
      <c r="O284" s="173"/>
      <c r="P284" s="173"/>
      <c r="Q284" s="173"/>
      <c r="R284" s="173"/>
      <c r="S284" s="173"/>
      <c r="T284" s="173"/>
      <c r="U284" s="173"/>
      <c r="V284" s="173"/>
      <c r="W284" s="173"/>
      <c r="X284" s="5"/>
    </row>
    <row r="285" spans="1:24" ht="19.5" thickBot="1" x14ac:dyDescent="0.35">
      <c r="A285" s="178"/>
      <c r="B285" s="49" t="str">
        <f>B201</f>
        <v>PM15 INVESTOR REPORT QUARTER ENDING FEBRUARY 2010</v>
      </c>
      <c r="C285" s="13"/>
      <c r="D285" s="13"/>
      <c r="E285" s="13"/>
      <c r="F285" s="13"/>
      <c r="G285" s="99"/>
      <c r="H285" s="173"/>
      <c r="I285" s="173"/>
      <c r="J285" s="173"/>
      <c r="K285" s="173"/>
      <c r="L285" s="173"/>
      <c r="M285" s="173"/>
      <c r="N285" s="173"/>
      <c r="O285" s="173"/>
      <c r="P285" s="173"/>
      <c r="Q285" s="173"/>
      <c r="R285" s="173"/>
      <c r="S285" s="173"/>
      <c r="T285" s="173"/>
      <c r="U285" s="173"/>
      <c r="V285" s="173"/>
      <c r="W285" s="173"/>
      <c r="X285" s="5"/>
    </row>
    <row r="286" spans="1:24" x14ac:dyDescent="0.2">
      <c r="A286" s="100"/>
      <c r="B286" s="100"/>
      <c r="C286" s="100"/>
      <c r="D286" s="100"/>
      <c r="E286" s="100"/>
      <c r="F286" s="100"/>
      <c r="G286" s="100"/>
      <c r="H286" s="100"/>
      <c r="I286" s="100"/>
      <c r="J286" s="100"/>
      <c r="K286" s="100"/>
      <c r="L286" s="100"/>
      <c r="M286" s="100"/>
      <c r="N286" s="100"/>
      <c r="O286" s="100"/>
      <c r="P286" s="100"/>
      <c r="Q286" s="100"/>
      <c r="R286" s="100"/>
      <c r="S286" s="100"/>
      <c r="T286" s="100"/>
      <c r="U286" s="100"/>
      <c r="V286" s="100"/>
      <c r="W286" s="100"/>
    </row>
  </sheetData>
  <phoneticPr fontId="0" type="noConversion"/>
  <hyperlinks>
    <hyperlink ref="P237" r:id="rId1" xr:uid="{00000000-0004-0000-0900-000000000000}"/>
    <hyperlink ref="I9" r:id="rId2" xr:uid="{00000000-0004-0000-09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5" max="14" man="1"/>
    <brk id="201" max="14" man="1"/>
  </rowBreak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sheetPr>
  <dimension ref="A1:IV285"/>
  <sheetViews>
    <sheetView showGridLines="0" showOutlineSymbols="0" zoomScale="70" zoomScaleNormal="70" workbookViewId="0"/>
  </sheetViews>
  <sheetFormatPr defaultColWidth="9.6640625" defaultRowHeight="15" x14ac:dyDescent="0.2"/>
  <cols>
    <col min="1" max="1" width="4" style="1" customWidth="1"/>
    <col min="2" max="2" width="71.21875" style="1" customWidth="1"/>
    <col min="3" max="3" width="2.21875" style="1" customWidth="1"/>
    <col min="4" max="4" width="19.33203125" style="1" customWidth="1"/>
    <col min="5" max="5" width="2.21875" style="1" customWidth="1"/>
    <col min="6" max="6" width="25.109375" style="1" customWidth="1"/>
    <col min="7" max="7" width="2.21875" style="1" customWidth="1"/>
    <col min="8" max="8" width="16.21875" style="1" customWidth="1"/>
    <col min="9" max="9" width="2.88671875" style="1" customWidth="1"/>
    <col min="10" max="10" width="16.21875" style="1" customWidth="1"/>
    <col min="11" max="11" width="2.21875" style="1" customWidth="1"/>
    <col min="12" max="12" width="17.88671875" style="1" customWidth="1"/>
    <col min="13" max="13" width="2.33203125" style="1" customWidth="1"/>
    <col min="14" max="14" width="14.88671875" style="1" customWidth="1"/>
    <col min="15" max="15" width="2.33203125" style="1" customWidth="1"/>
    <col min="16" max="16" width="15.5546875" style="1" customWidth="1"/>
    <col min="17" max="17" width="2.21875" style="1" customWidth="1"/>
    <col min="18" max="18" width="15.5546875" style="1" customWidth="1"/>
    <col min="19" max="20" width="12.6640625" style="1" customWidth="1"/>
    <col min="21" max="21" width="7.77734375" style="1" customWidth="1"/>
    <col min="22" max="22" width="14.6640625" style="1" customWidth="1"/>
    <col min="23" max="23" width="11.77734375" style="1" customWidth="1"/>
    <col min="24" max="16384" width="9.6640625" style="1"/>
  </cols>
  <sheetData>
    <row r="1" spans="1:24" ht="20.25" x14ac:dyDescent="0.3">
      <c r="A1" s="179"/>
      <c r="B1" s="274" t="s">
        <v>237</v>
      </c>
      <c r="C1" s="180"/>
      <c r="D1" s="180"/>
      <c r="E1" s="180"/>
      <c r="F1" s="180"/>
      <c r="G1" s="180"/>
      <c r="H1" s="180"/>
      <c r="I1" s="180"/>
      <c r="J1" s="180"/>
      <c r="K1" s="180"/>
      <c r="L1" s="180"/>
      <c r="M1" s="180"/>
      <c r="N1" s="180"/>
      <c r="O1" s="180"/>
      <c r="P1" s="180"/>
      <c r="Q1" s="180"/>
      <c r="R1" s="180"/>
      <c r="S1" s="180"/>
      <c r="T1" s="180"/>
      <c r="U1" s="180"/>
      <c r="V1" s="180"/>
      <c r="W1" s="180"/>
      <c r="X1" s="5"/>
    </row>
    <row r="2" spans="1:24" ht="15.75" x14ac:dyDescent="0.25">
      <c r="A2" s="181"/>
      <c r="B2" s="182"/>
      <c r="C2" s="183"/>
      <c r="D2" s="183"/>
      <c r="E2" s="183"/>
      <c r="F2" s="183"/>
      <c r="G2" s="183"/>
      <c r="H2" s="183"/>
      <c r="I2" s="183"/>
      <c r="J2" s="183"/>
      <c r="K2" s="183"/>
      <c r="L2" s="183"/>
      <c r="M2" s="183"/>
      <c r="N2" s="183"/>
      <c r="O2" s="183"/>
      <c r="P2" s="183"/>
      <c r="Q2" s="183"/>
      <c r="R2" s="183"/>
      <c r="S2" s="183"/>
      <c r="T2" s="183"/>
      <c r="U2" s="183"/>
      <c r="V2" s="183"/>
      <c r="W2" s="183"/>
      <c r="X2" s="5"/>
    </row>
    <row r="3" spans="1:24" ht="15.75" x14ac:dyDescent="0.25">
      <c r="A3" s="184"/>
      <c r="B3" s="185" t="s">
        <v>238</v>
      </c>
      <c r="C3" s="183"/>
      <c r="D3" s="183"/>
      <c r="E3" s="183"/>
      <c r="F3" s="183"/>
      <c r="G3" s="183"/>
      <c r="H3" s="183"/>
      <c r="I3" s="183"/>
      <c r="J3" s="183"/>
      <c r="K3" s="183"/>
      <c r="L3" s="183"/>
      <c r="M3" s="183"/>
      <c r="N3" s="183"/>
      <c r="O3" s="183"/>
      <c r="P3" s="183"/>
      <c r="Q3" s="183"/>
      <c r="R3" s="183"/>
      <c r="S3" s="183"/>
      <c r="T3" s="183"/>
      <c r="U3" s="183"/>
      <c r="V3" s="183"/>
      <c r="W3" s="183"/>
      <c r="X3" s="5"/>
    </row>
    <row r="4" spans="1:24" ht="15.75" x14ac:dyDescent="0.25">
      <c r="A4" s="181"/>
      <c r="B4" s="182"/>
      <c r="C4" s="183"/>
      <c r="D4" s="183"/>
      <c r="E4" s="183"/>
      <c r="F4" s="183"/>
      <c r="G4" s="183"/>
      <c r="H4" s="183"/>
      <c r="I4" s="183"/>
      <c r="J4" s="183"/>
      <c r="K4" s="183"/>
      <c r="L4" s="183"/>
      <c r="M4" s="183"/>
      <c r="N4" s="183"/>
      <c r="O4" s="183"/>
      <c r="P4" s="183"/>
      <c r="Q4" s="183"/>
      <c r="R4" s="183"/>
      <c r="S4" s="183"/>
      <c r="T4" s="183"/>
      <c r="U4" s="183"/>
      <c r="V4" s="183"/>
      <c r="W4" s="183"/>
      <c r="X4" s="5"/>
    </row>
    <row r="5" spans="1:24" ht="15.75" x14ac:dyDescent="0.25">
      <c r="A5" s="181"/>
      <c r="B5" s="275" t="s">
        <v>137</v>
      </c>
      <c r="C5" s="183"/>
      <c r="D5" s="183"/>
      <c r="E5" s="183"/>
      <c r="F5" s="183"/>
      <c r="G5" s="183"/>
      <c r="H5" s="183"/>
      <c r="I5" s="183"/>
      <c r="J5" s="183"/>
      <c r="K5" s="183"/>
      <c r="L5" s="183"/>
      <c r="M5" s="183"/>
      <c r="N5" s="183"/>
      <c r="O5" s="183"/>
      <c r="P5" s="183"/>
      <c r="Q5" s="183"/>
      <c r="R5" s="183"/>
      <c r="S5" s="183"/>
      <c r="T5" s="183"/>
      <c r="U5" s="183"/>
      <c r="V5" s="183"/>
      <c r="W5" s="183"/>
      <c r="X5" s="5"/>
    </row>
    <row r="6" spans="1:24" ht="15.75" x14ac:dyDescent="0.25">
      <c r="A6" s="181"/>
      <c r="B6" s="275" t="s">
        <v>139</v>
      </c>
      <c r="C6" s="183"/>
      <c r="D6" s="183"/>
      <c r="E6" s="183"/>
      <c r="F6" s="183"/>
      <c r="G6" s="183"/>
      <c r="H6" s="183"/>
      <c r="I6" s="183"/>
      <c r="J6" s="183"/>
      <c r="K6" s="183"/>
      <c r="L6" s="183"/>
      <c r="M6" s="183"/>
      <c r="N6" s="183"/>
      <c r="O6" s="183"/>
      <c r="P6" s="183"/>
      <c r="Q6" s="183"/>
      <c r="R6" s="183"/>
      <c r="S6" s="183"/>
      <c r="T6" s="183"/>
      <c r="U6" s="183"/>
      <c r="V6" s="183"/>
      <c r="W6" s="183"/>
      <c r="X6" s="5"/>
    </row>
    <row r="7" spans="1:24" ht="15.75" x14ac:dyDescent="0.25">
      <c r="A7" s="181"/>
      <c r="B7" s="275" t="s">
        <v>138</v>
      </c>
      <c r="C7" s="183"/>
      <c r="D7" s="183"/>
      <c r="E7" s="183"/>
      <c r="F7" s="183"/>
      <c r="G7" s="183"/>
      <c r="H7" s="183"/>
      <c r="I7" s="183"/>
      <c r="J7" s="183"/>
      <c r="K7" s="183"/>
      <c r="L7" s="183"/>
      <c r="M7" s="183"/>
      <c r="N7" s="183"/>
      <c r="O7" s="183"/>
      <c r="P7" s="183"/>
      <c r="Q7" s="183"/>
      <c r="R7" s="183"/>
      <c r="S7" s="183"/>
      <c r="T7" s="183"/>
      <c r="U7" s="183"/>
      <c r="V7" s="183"/>
      <c r="W7" s="183"/>
      <c r="X7" s="5"/>
    </row>
    <row r="8" spans="1:24" ht="15.75" x14ac:dyDescent="0.25">
      <c r="A8" s="181"/>
      <c r="B8" s="186"/>
      <c r="C8" s="183"/>
      <c r="D8" s="183"/>
      <c r="E8" s="183"/>
      <c r="F8" s="183"/>
      <c r="G8" s="183"/>
      <c r="H8" s="183"/>
      <c r="I8" s="183"/>
      <c r="J8" s="183"/>
      <c r="K8" s="183"/>
      <c r="L8" s="183"/>
      <c r="M8" s="183"/>
      <c r="N8" s="183"/>
      <c r="O8" s="183"/>
      <c r="P8" s="183"/>
      <c r="Q8" s="183"/>
      <c r="R8" s="183"/>
      <c r="S8" s="183"/>
      <c r="T8" s="183"/>
      <c r="U8" s="183"/>
      <c r="V8" s="183"/>
      <c r="W8" s="183"/>
      <c r="X8" s="5"/>
    </row>
    <row r="9" spans="1:24" ht="18.75" x14ac:dyDescent="0.3">
      <c r="A9" s="181"/>
      <c r="B9" s="187" t="s">
        <v>166</v>
      </c>
      <c r="C9" s="183"/>
      <c r="D9" s="183"/>
      <c r="E9" s="183"/>
      <c r="F9" s="183"/>
      <c r="G9" s="183"/>
      <c r="H9" s="183"/>
      <c r="I9" s="188" t="s">
        <v>167</v>
      </c>
      <c r="J9" s="183"/>
      <c r="K9" s="183"/>
      <c r="L9" s="188"/>
      <c r="M9" s="183"/>
      <c r="N9" s="188"/>
      <c r="O9" s="183"/>
      <c r="P9" s="183"/>
      <c r="Q9" s="183"/>
      <c r="R9" s="183"/>
      <c r="S9" s="183"/>
      <c r="T9" s="183"/>
      <c r="U9" s="183"/>
      <c r="V9" s="183"/>
      <c r="W9" s="183"/>
      <c r="X9" s="5"/>
    </row>
    <row r="10" spans="1:24" ht="15.75" x14ac:dyDescent="0.25">
      <c r="A10" s="181"/>
      <c r="B10" s="186"/>
      <c r="C10" s="189"/>
      <c r="D10" s="189"/>
      <c r="E10" s="189"/>
      <c r="F10" s="183"/>
      <c r="G10" s="183"/>
      <c r="H10" s="183"/>
      <c r="I10" s="183"/>
      <c r="J10" s="183"/>
      <c r="K10" s="183"/>
      <c r="L10" s="183"/>
      <c r="M10" s="183"/>
      <c r="N10" s="183"/>
      <c r="O10" s="183"/>
      <c r="P10" s="183"/>
      <c r="Q10" s="183"/>
      <c r="R10" s="183"/>
      <c r="S10" s="183"/>
      <c r="T10" s="183"/>
      <c r="U10" s="183"/>
      <c r="V10" s="183"/>
      <c r="W10" s="183"/>
      <c r="X10" s="5"/>
    </row>
    <row r="11" spans="1:24" ht="15.75" x14ac:dyDescent="0.25">
      <c r="A11" s="181"/>
      <c r="B11" s="259" t="s">
        <v>0</v>
      </c>
      <c r="C11" s="183"/>
      <c r="D11" s="183"/>
      <c r="E11" s="183"/>
      <c r="F11" s="183"/>
      <c r="G11" s="183"/>
      <c r="H11" s="183"/>
      <c r="I11" s="183"/>
      <c r="J11" s="183"/>
      <c r="K11" s="183"/>
      <c r="L11" s="183"/>
      <c r="M11" s="183"/>
      <c r="N11" s="183"/>
      <c r="O11" s="183"/>
      <c r="P11" s="183"/>
      <c r="Q11" s="183"/>
      <c r="R11" s="183"/>
      <c r="S11" s="183"/>
      <c r="T11" s="183"/>
      <c r="U11" s="183"/>
      <c r="V11" s="183"/>
      <c r="W11" s="183"/>
      <c r="X11" s="5"/>
    </row>
    <row r="12" spans="1:24" ht="16.5" thickBot="1" x14ac:dyDescent="0.3">
      <c r="A12" s="181"/>
      <c r="B12" s="189"/>
      <c r="C12" s="183"/>
      <c r="D12" s="183"/>
      <c r="E12" s="183"/>
      <c r="F12" s="183"/>
      <c r="G12" s="183"/>
      <c r="H12" s="183"/>
      <c r="I12" s="183"/>
      <c r="J12" s="183"/>
      <c r="K12" s="183"/>
      <c r="L12" s="183"/>
      <c r="M12" s="183"/>
      <c r="N12" s="183"/>
      <c r="O12" s="183"/>
      <c r="P12" s="183"/>
      <c r="Q12" s="183"/>
      <c r="R12" s="183"/>
      <c r="S12" s="183"/>
      <c r="T12" s="183"/>
      <c r="U12" s="183"/>
      <c r="V12" s="183"/>
      <c r="W12" s="183"/>
      <c r="X12" s="5"/>
    </row>
    <row r="13" spans="1:24" ht="15.75" x14ac:dyDescent="0.25">
      <c r="A13" s="179"/>
      <c r="B13" s="180"/>
      <c r="C13" s="180"/>
      <c r="D13" s="180"/>
      <c r="E13" s="180"/>
      <c r="F13" s="180"/>
      <c r="G13" s="180"/>
      <c r="H13" s="180"/>
      <c r="I13" s="180"/>
      <c r="J13" s="180"/>
      <c r="K13" s="180"/>
      <c r="L13" s="180"/>
      <c r="M13" s="180"/>
      <c r="N13" s="180"/>
      <c r="O13" s="180"/>
      <c r="P13" s="180"/>
      <c r="Q13" s="180"/>
      <c r="R13" s="180"/>
      <c r="S13" s="180"/>
      <c r="T13" s="180"/>
      <c r="U13" s="180"/>
      <c r="V13" s="180"/>
      <c r="W13" s="180"/>
      <c r="X13" s="5"/>
    </row>
    <row r="14" spans="1:24" ht="15.75" x14ac:dyDescent="0.25">
      <c r="A14" s="181"/>
      <c r="B14" s="259" t="s">
        <v>1</v>
      </c>
      <c r="C14" s="255"/>
      <c r="D14" s="255"/>
      <c r="E14" s="255"/>
      <c r="F14" s="255"/>
      <c r="G14" s="255"/>
      <c r="H14" s="255"/>
      <c r="I14" s="255"/>
      <c r="J14" s="255"/>
      <c r="K14" s="255"/>
      <c r="L14" s="255"/>
      <c r="M14" s="255"/>
      <c r="N14" s="255"/>
      <c r="O14" s="255"/>
      <c r="P14" s="255"/>
      <c r="Q14" s="255"/>
      <c r="R14" s="255"/>
      <c r="S14" s="255"/>
      <c r="T14" s="255"/>
      <c r="U14" s="255"/>
      <c r="V14" s="276" t="s">
        <v>239</v>
      </c>
      <c r="W14" s="255"/>
      <c r="X14" s="5"/>
    </row>
    <row r="15" spans="1:24" ht="15.75" x14ac:dyDescent="0.25">
      <c r="A15" s="181"/>
      <c r="B15" s="259" t="s">
        <v>2</v>
      </c>
      <c r="C15" s="255"/>
      <c r="D15" s="255"/>
      <c r="E15" s="255"/>
      <c r="F15" s="255"/>
      <c r="G15" s="255"/>
      <c r="H15" s="277"/>
      <c r="I15" s="277"/>
      <c r="J15" s="277"/>
      <c r="K15" s="277"/>
      <c r="L15" s="277"/>
      <c r="M15" s="277"/>
      <c r="N15" s="277"/>
      <c r="O15" s="277"/>
      <c r="P15" s="277"/>
      <c r="Q15" s="277"/>
      <c r="R15" s="277" t="s">
        <v>104</v>
      </c>
      <c r="S15" s="278">
        <v>0.47189999999999999</v>
      </c>
      <c r="T15" s="260" t="s">
        <v>140</v>
      </c>
      <c r="U15" s="278">
        <v>0.52810000000000001</v>
      </c>
      <c r="V15" s="276"/>
      <c r="W15" s="255"/>
      <c r="X15" s="5"/>
    </row>
    <row r="16" spans="1:24" ht="15.75" x14ac:dyDescent="0.25">
      <c r="A16" s="181"/>
      <c r="B16" s="259" t="s">
        <v>3</v>
      </c>
      <c r="C16" s="255"/>
      <c r="D16" s="255"/>
      <c r="E16" s="255"/>
      <c r="F16" s="255"/>
      <c r="G16" s="255"/>
      <c r="H16" s="277"/>
      <c r="I16" s="277"/>
      <c r="J16" s="277"/>
      <c r="K16" s="277"/>
      <c r="L16" s="277"/>
      <c r="M16" s="277"/>
      <c r="N16" s="277"/>
      <c r="O16" s="277"/>
      <c r="P16" s="277"/>
      <c r="Q16" s="277"/>
      <c r="R16" s="277" t="s">
        <v>104</v>
      </c>
      <c r="S16" s="278">
        <v>0.53600000000000003</v>
      </c>
      <c r="T16" s="260" t="s">
        <v>140</v>
      </c>
      <c r="U16" s="278">
        <v>0.46400000000000002</v>
      </c>
      <c r="V16" s="276"/>
      <c r="W16" s="255"/>
      <c r="X16" s="5"/>
    </row>
    <row r="17" spans="1:24" ht="15.75" x14ac:dyDescent="0.25">
      <c r="A17" s="181"/>
      <c r="B17" s="259" t="s">
        <v>4</v>
      </c>
      <c r="C17" s="255"/>
      <c r="D17" s="255"/>
      <c r="E17" s="255"/>
      <c r="F17" s="255"/>
      <c r="G17" s="255"/>
      <c r="H17" s="255"/>
      <c r="I17" s="255"/>
      <c r="J17" s="255"/>
      <c r="K17" s="255"/>
      <c r="L17" s="255"/>
      <c r="M17" s="255"/>
      <c r="N17" s="255"/>
      <c r="O17" s="255"/>
      <c r="P17" s="255"/>
      <c r="Q17" s="255"/>
      <c r="R17" s="255"/>
      <c r="S17" s="255"/>
      <c r="T17" s="255"/>
      <c r="U17" s="255"/>
      <c r="V17" s="279">
        <v>39282</v>
      </c>
      <c r="W17" s="255"/>
      <c r="X17" s="5"/>
    </row>
    <row r="18" spans="1:24" ht="15.75" x14ac:dyDescent="0.25">
      <c r="A18" s="181"/>
      <c r="B18" s="259" t="s">
        <v>5</v>
      </c>
      <c r="C18" s="255"/>
      <c r="D18" s="255"/>
      <c r="E18" s="255"/>
      <c r="F18" s="255"/>
      <c r="G18" s="255"/>
      <c r="H18" s="255"/>
      <c r="I18" s="255"/>
      <c r="J18" s="255"/>
      <c r="K18" s="255"/>
      <c r="L18" s="255"/>
      <c r="M18" s="255"/>
      <c r="N18" s="255"/>
      <c r="O18" s="255"/>
      <c r="P18" s="255"/>
      <c r="Q18" s="255"/>
      <c r="R18" s="255"/>
      <c r="S18" s="255"/>
      <c r="T18" s="255"/>
      <c r="U18" s="255"/>
      <c r="V18" s="279">
        <v>40347</v>
      </c>
      <c r="W18" s="255"/>
      <c r="X18" s="5"/>
    </row>
    <row r="19" spans="1:24" ht="15.75" x14ac:dyDescent="0.25">
      <c r="A19" s="181"/>
      <c r="B19" s="183"/>
      <c r="C19" s="183"/>
      <c r="D19" s="183"/>
      <c r="E19" s="183"/>
      <c r="F19" s="183"/>
      <c r="G19" s="183"/>
      <c r="H19" s="183"/>
      <c r="I19" s="183"/>
      <c r="J19" s="183"/>
      <c r="K19" s="183"/>
      <c r="L19" s="183"/>
      <c r="M19" s="183"/>
      <c r="N19" s="183"/>
      <c r="O19" s="183"/>
      <c r="P19" s="183"/>
      <c r="Q19" s="183"/>
      <c r="R19" s="183"/>
      <c r="S19" s="183"/>
      <c r="T19" s="183"/>
      <c r="U19" s="183"/>
      <c r="V19" s="190"/>
      <c r="W19" s="183"/>
      <c r="X19" s="5"/>
    </row>
    <row r="20" spans="1:24" ht="15.75" x14ac:dyDescent="0.25">
      <c r="A20" s="181"/>
      <c r="B20" s="280" t="s">
        <v>6</v>
      </c>
      <c r="C20" s="255"/>
      <c r="D20" s="255"/>
      <c r="E20" s="255"/>
      <c r="F20" s="255"/>
      <c r="G20" s="255"/>
      <c r="H20" s="255"/>
      <c r="I20" s="255"/>
      <c r="J20" s="255"/>
      <c r="K20" s="255"/>
      <c r="L20" s="255"/>
      <c r="M20" s="255"/>
      <c r="N20" s="255"/>
      <c r="O20" s="255"/>
      <c r="P20" s="255"/>
      <c r="Q20" s="255"/>
      <c r="R20" s="255"/>
      <c r="S20" s="255"/>
      <c r="T20" s="281" t="s">
        <v>105</v>
      </c>
      <c r="U20" s="255"/>
      <c r="V20" s="261"/>
      <c r="W20" s="183"/>
      <c r="X20" s="5"/>
    </row>
    <row r="21" spans="1:24" ht="15.75" x14ac:dyDescent="0.25">
      <c r="A21" s="181"/>
      <c r="B21" s="183"/>
      <c r="C21" s="183"/>
      <c r="D21" s="183"/>
      <c r="E21" s="183"/>
      <c r="F21" s="183"/>
      <c r="G21" s="183"/>
      <c r="H21" s="183"/>
      <c r="I21" s="183"/>
      <c r="J21" s="183"/>
      <c r="K21" s="183"/>
      <c r="L21" s="183"/>
      <c r="M21" s="183"/>
      <c r="N21" s="183"/>
      <c r="O21" s="183"/>
      <c r="P21" s="183"/>
      <c r="Q21" s="183"/>
      <c r="R21" s="183"/>
      <c r="S21" s="183"/>
      <c r="T21" s="183"/>
      <c r="U21" s="183"/>
      <c r="V21" s="192"/>
      <c r="W21" s="183"/>
      <c r="X21" s="5"/>
    </row>
    <row r="22" spans="1:24" ht="15.75" x14ac:dyDescent="0.25">
      <c r="A22" s="224"/>
      <c r="B22" s="225"/>
      <c r="C22" s="226"/>
      <c r="D22" s="226" t="s">
        <v>177</v>
      </c>
      <c r="E22" s="226"/>
      <c r="F22" s="226" t="s">
        <v>178</v>
      </c>
      <c r="G22" s="226"/>
      <c r="H22" s="226" t="s">
        <v>179</v>
      </c>
      <c r="I22" s="226"/>
      <c r="J22" s="226" t="s">
        <v>219</v>
      </c>
      <c r="K22" s="226"/>
      <c r="L22" s="226" t="s">
        <v>180</v>
      </c>
      <c r="M22" s="226"/>
      <c r="N22" s="226" t="s">
        <v>181</v>
      </c>
      <c r="O22" s="226"/>
      <c r="P22" s="226" t="s">
        <v>182</v>
      </c>
      <c r="Q22" s="226"/>
      <c r="R22" s="226"/>
      <c r="S22" s="227"/>
      <c r="T22" s="228"/>
      <c r="U22" s="229"/>
      <c r="V22" s="229"/>
      <c r="W22" s="225"/>
      <c r="X22" s="5"/>
    </row>
    <row r="23" spans="1:24" ht="15.75" x14ac:dyDescent="0.25">
      <c r="A23" s="193"/>
      <c r="B23" s="250" t="s">
        <v>7</v>
      </c>
      <c r="C23" s="282"/>
      <c r="D23" s="282" t="s">
        <v>212</v>
      </c>
      <c r="E23" s="282"/>
      <c r="F23" s="282" t="s">
        <v>141</v>
      </c>
      <c r="G23" s="282"/>
      <c r="H23" s="282" t="s">
        <v>141</v>
      </c>
      <c r="I23" s="282"/>
      <c r="J23" s="282" t="s">
        <v>141</v>
      </c>
      <c r="K23" s="282"/>
      <c r="L23" s="282" t="s">
        <v>183</v>
      </c>
      <c r="M23" s="282"/>
      <c r="N23" s="282" t="s">
        <v>183</v>
      </c>
      <c r="O23" s="282"/>
      <c r="P23" s="282" t="s">
        <v>142</v>
      </c>
      <c r="Q23" s="282"/>
      <c r="R23" s="282"/>
      <c r="S23" s="282"/>
      <c r="T23" s="282"/>
      <c r="U23" s="273"/>
      <c r="V23" s="273"/>
      <c r="W23" s="250"/>
      <c r="X23" s="5"/>
    </row>
    <row r="24" spans="1:24" ht="15.75" x14ac:dyDescent="0.25">
      <c r="A24" s="285"/>
      <c r="B24" s="286" t="s">
        <v>8</v>
      </c>
      <c r="C24" s="287"/>
      <c r="D24" s="287" t="s">
        <v>213</v>
      </c>
      <c r="E24" s="287"/>
      <c r="F24" s="287" t="s">
        <v>143</v>
      </c>
      <c r="G24" s="287"/>
      <c r="H24" s="287" t="s">
        <v>143</v>
      </c>
      <c r="I24" s="287"/>
      <c r="J24" s="287" t="s">
        <v>143</v>
      </c>
      <c r="K24" s="287"/>
      <c r="L24" s="287" t="s">
        <v>165</v>
      </c>
      <c r="M24" s="287"/>
      <c r="N24" s="287" t="s">
        <v>165</v>
      </c>
      <c r="O24" s="287"/>
      <c r="P24" s="287" t="s">
        <v>144</v>
      </c>
      <c r="Q24" s="287"/>
      <c r="R24" s="287"/>
      <c r="S24" s="287"/>
      <c r="T24" s="287"/>
      <c r="U24" s="288"/>
      <c r="V24" s="288"/>
      <c r="W24" s="289"/>
      <c r="X24" s="5"/>
    </row>
    <row r="25" spans="1:24" ht="15.75" x14ac:dyDescent="0.25">
      <c r="A25" s="290"/>
      <c r="B25" s="291" t="s">
        <v>190</v>
      </c>
      <c r="C25" s="292"/>
      <c r="D25" s="287" t="s">
        <v>214</v>
      </c>
      <c r="E25" s="287"/>
      <c r="F25" s="287" t="s">
        <v>143</v>
      </c>
      <c r="G25" s="287"/>
      <c r="H25" s="287" t="s">
        <v>143</v>
      </c>
      <c r="I25" s="287"/>
      <c r="J25" s="287" t="s">
        <v>143</v>
      </c>
      <c r="K25" s="287"/>
      <c r="L25" s="287" t="s">
        <v>165</v>
      </c>
      <c r="M25" s="287"/>
      <c r="N25" s="287" t="s">
        <v>165</v>
      </c>
      <c r="O25" s="287"/>
      <c r="P25" s="287" t="s">
        <v>144</v>
      </c>
      <c r="Q25" s="287"/>
      <c r="R25" s="287"/>
      <c r="S25" s="292"/>
      <c r="T25" s="287"/>
      <c r="U25" s="288"/>
      <c r="V25" s="288"/>
      <c r="W25" s="289"/>
      <c r="X25" s="5"/>
    </row>
    <row r="26" spans="1:24" ht="15.75" x14ac:dyDescent="0.25">
      <c r="A26" s="293"/>
      <c r="B26" s="294" t="s">
        <v>9</v>
      </c>
      <c r="C26" s="292"/>
      <c r="D26" s="292" t="s">
        <v>141</v>
      </c>
      <c r="E26" s="292"/>
      <c r="F26" s="292" t="s">
        <v>141</v>
      </c>
      <c r="G26" s="292"/>
      <c r="H26" s="292" t="s">
        <v>141</v>
      </c>
      <c r="I26" s="292"/>
      <c r="J26" s="292" t="s">
        <v>141</v>
      </c>
      <c r="K26" s="292"/>
      <c r="L26" s="292" t="s">
        <v>183</v>
      </c>
      <c r="M26" s="292"/>
      <c r="N26" s="292" t="s">
        <v>183</v>
      </c>
      <c r="O26" s="292"/>
      <c r="P26" s="292" t="s">
        <v>142</v>
      </c>
      <c r="Q26" s="292"/>
      <c r="R26" s="292"/>
      <c r="S26" s="292"/>
      <c r="T26" s="287"/>
      <c r="U26" s="288"/>
      <c r="V26" s="288"/>
      <c r="W26" s="289"/>
      <c r="X26" s="5"/>
    </row>
    <row r="27" spans="1:24" ht="15.75" x14ac:dyDescent="0.25">
      <c r="A27" s="295"/>
      <c r="B27" s="294" t="s">
        <v>191</v>
      </c>
      <c r="C27" s="287"/>
      <c r="D27" s="292" t="s">
        <v>143</v>
      </c>
      <c r="E27" s="292"/>
      <c r="F27" s="292" t="s">
        <v>143</v>
      </c>
      <c r="G27" s="292"/>
      <c r="H27" s="292" t="s">
        <v>143</v>
      </c>
      <c r="I27" s="292"/>
      <c r="J27" s="292" t="s">
        <v>143</v>
      </c>
      <c r="K27" s="292"/>
      <c r="L27" s="292" t="s">
        <v>165</v>
      </c>
      <c r="M27" s="292"/>
      <c r="N27" s="292" t="s">
        <v>165</v>
      </c>
      <c r="O27" s="292"/>
      <c r="P27" s="292" t="s">
        <v>144</v>
      </c>
      <c r="Q27" s="292"/>
      <c r="R27" s="292"/>
      <c r="S27" s="287"/>
      <c r="T27" s="296"/>
      <c r="U27" s="288"/>
      <c r="V27" s="288"/>
      <c r="W27" s="289"/>
      <c r="X27" s="5"/>
    </row>
    <row r="28" spans="1:24" ht="15.75" x14ac:dyDescent="0.25">
      <c r="A28" s="295"/>
      <c r="B28" s="297" t="s">
        <v>192</v>
      </c>
      <c r="C28" s="287"/>
      <c r="D28" s="292" t="s">
        <v>143</v>
      </c>
      <c r="E28" s="292"/>
      <c r="F28" s="292" t="s">
        <v>143</v>
      </c>
      <c r="G28" s="292"/>
      <c r="H28" s="292" t="s">
        <v>143</v>
      </c>
      <c r="I28" s="292"/>
      <c r="J28" s="292" t="s">
        <v>143</v>
      </c>
      <c r="K28" s="292"/>
      <c r="L28" s="292" t="s">
        <v>165</v>
      </c>
      <c r="M28" s="292"/>
      <c r="N28" s="292" t="s">
        <v>165</v>
      </c>
      <c r="O28" s="292"/>
      <c r="P28" s="292" t="s">
        <v>144</v>
      </c>
      <c r="Q28" s="292"/>
      <c r="R28" s="292"/>
      <c r="S28" s="287"/>
      <c r="T28" s="296"/>
      <c r="U28" s="288"/>
      <c r="V28" s="288"/>
      <c r="W28" s="289"/>
      <c r="X28" s="5"/>
    </row>
    <row r="29" spans="1:24" ht="15.75" x14ac:dyDescent="0.25">
      <c r="A29" s="295"/>
      <c r="B29" s="286" t="s">
        <v>10</v>
      </c>
      <c r="C29" s="298"/>
      <c r="D29" s="287" t="s">
        <v>242</v>
      </c>
      <c r="E29" s="287"/>
      <c r="F29" s="296" t="s">
        <v>244</v>
      </c>
      <c r="G29" s="287"/>
      <c r="H29" s="287" t="s">
        <v>245</v>
      </c>
      <c r="I29" s="287"/>
      <c r="J29" s="287" t="s">
        <v>247</v>
      </c>
      <c r="K29" s="287"/>
      <c r="L29" s="287" t="s">
        <v>248</v>
      </c>
      <c r="M29" s="287"/>
      <c r="N29" s="287" t="s">
        <v>249</v>
      </c>
      <c r="O29" s="287"/>
      <c r="P29" s="287" t="s">
        <v>250</v>
      </c>
      <c r="Q29" s="287"/>
      <c r="R29" s="287"/>
      <c r="S29" s="299"/>
      <c r="T29" s="299"/>
      <c r="U29" s="300"/>
      <c r="V29" s="299"/>
      <c r="W29" s="301"/>
      <c r="X29" s="5"/>
    </row>
    <row r="30" spans="1:24" ht="15.75" x14ac:dyDescent="0.25">
      <c r="A30" s="295"/>
      <c r="B30" s="286" t="s">
        <v>10</v>
      </c>
      <c r="C30" s="298"/>
      <c r="D30" s="287" t="s">
        <v>243</v>
      </c>
      <c r="E30" s="287"/>
      <c r="F30" s="296" t="s">
        <v>118</v>
      </c>
      <c r="G30" s="287"/>
      <c r="H30" s="287" t="s">
        <v>118</v>
      </c>
      <c r="I30" s="287"/>
      <c r="J30" s="287" t="s">
        <v>246</v>
      </c>
      <c r="K30" s="287"/>
      <c r="L30" s="287" t="s">
        <v>118</v>
      </c>
      <c r="M30" s="287"/>
      <c r="N30" s="287" t="s">
        <v>118</v>
      </c>
      <c r="O30" s="287"/>
      <c r="P30" s="287" t="s">
        <v>118</v>
      </c>
      <c r="Q30" s="287"/>
      <c r="R30" s="287"/>
      <c r="S30" s="299"/>
      <c r="T30" s="299"/>
      <c r="U30" s="300"/>
      <c r="V30" s="299"/>
      <c r="W30" s="301"/>
      <c r="X30" s="5"/>
    </row>
    <row r="31" spans="1:24" ht="15.75" x14ac:dyDescent="0.25">
      <c r="A31" s="293"/>
      <c r="B31" s="286" t="s">
        <v>133</v>
      </c>
      <c r="C31" s="302"/>
      <c r="D31" s="303">
        <v>1000000</v>
      </c>
      <c r="E31" s="298"/>
      <c r="F31" s="299">
        <v>209500</v>
      </c>
      <c r="G31" s="299"/>
      <c r="H31" s="304">
        <v>110000</v>
      </c>
      <c r="I31" s="304"/>
      <c r="J31" s="303">
        <v>150000</v>
      </c>
      <c r="K31" s="299"/>
      <c r="L31" s="299">
        <v>17000</v>
      </c>
      <c r="M31" s="299"/>
      <c r="N31" s="304">
        <v>85500</v>
      </c>
      <c r="O31" s="299"/>
      <c r="P31" s="304">
        <v>110500</v>
      </c>
      <c r="Q31" s="299"/>
      <c r="R31" s="304"/>
      <c r="S31" s="305"/>
      <c r="T31" s="305"/>
      <c r="U31" s="306"/>
      <c r="V31" s="305"/>
      <c r="W31" s="301"/>
      <c r="X31" s="5"/>
    </row>
    <row r="32" spans="1:24" ht="15.75" x14ac:dyDescent="0.25">
      <c r="A32" s="295"/>
      <c r="B32" s="286" t="s">
        <v>132</v>
      </c>
      <c r="C32" s="298"/>
      <c r="D32" s="303">
        <f>D31*D38</f>
        <v>841764.70000000007</v>
      </c>
      <c r="E32" s="298"/>
      <c r="F32" s="299">
        <f>F31*F38</f>
        <v>176349.8094</v>
      </c>
      <c r="G32" s="299"/>
      <c r="H32" s="304">
        <f>H31*H38</f>
        <v>92594.52399999999</v>
      </c>
      <c r="I32" s="304"/>
      <c r="J32" s="303">
        <f>J31*J38</f>
        <v>126264.705</v>
      </c>
      <c r="K32" s="299"/>
      <c r="L32" s="299">
        <f>L31*L38</f>
        <v>17000</v>
      </c>
      <c r="M32" s="299"/>
      <c r="N32" s="304">
        <f>N31*N38</f>
        <v>85500</v>
      </c>
      <c r="O32" s="299"/>
      <c r="P32" s="304">
        <f>P31*P38</f>
        <v>110500</v>
      </c>
      <c r="Q32" s="299"/>
      <c r="R32" s="304"/>
      <c r="S32" s="299"/>
      <c r="T32" s="299"/>
      <c r="U32" s="300"/>
      <c r="V32" s="299"/>
      <c r="W32" s="301"/>
      <c r="X32" s="5"/>
    </row>
    <row r="33" spans="1:27" ht="15.75" x14ac:dyDescent="0.25">
      <c r="A33" s="295"/>
      <c r="B33" s="294" t="s">
        <v>134</v>
      </c>
      <c r="C33" s="298"/>
      <c r="D33" s="307">
        <f>D37*D31</f>
        <v>835857.79999999993</v>
      </c>
      <c r="E33" s="302"/>
      <c r="F33" s="305">
        <f>F37*F31</f>
        <v>175112.33480000001</v>
      </c>
      <c r="G33" s="305"/>
      <c r="H33" s="308">
        <f>H31*H37</f>
        <v>91944.775999999998</v>
      </c>
      <c r="I33" s="308"/>
      <c r="J33" s="307">
        <f>J37*J31</f>
        <v>125378.67</v>
      </c>
      <c r="K33" s="305"/>
      <c r="L33" s="305">
        <f>L31*L37</f>
        <v>17000</v>
      </c>
      <c r="M33" s="305"/>
      <c r="N33" s="308">
        <f>N31*N37</f>
        <v>85500</v>
      </c>
      <c r="O33" s="305"/>
      <c r="P33" s="308">
        <f>P31*P37</f>
        <v>110500</v>
      </c>
      <c r="Q33" s="305"/>
      <c r="R33" s="308"/>
      <c r="S33" s="299"/>
      <c r="T33" s="299"/>
      <c r="U33" s="300"/>
      <c r="V33" s="299"/>
      <c r="W33" s="301"/>
      <c r="X33" s="5"/>
    </row>
    <row r="34" spans="1:27" ht="15.75" x14ac:dyDescent="0.25">
      <c r="A34" s="293"/>
      <c r="B34" s="286" t="s">
        <v>286</v>
      </c>
      <c r="C34" s="302"/>
      <c r="D34" s="299">
        <v>492951</v>
      </c>
      <c r="E34" s="298"/>
      <c r="F34" s="299">
        <v>209500</v>
      </c>
      <c r="G34" s="299"/>
      <c r="H34" s="299">
        <v>74677</v>
      </c>
      <c r="I34" s="299"/>
      <c r="J34" s="299">
        <v>73943</v>
      </c>
      <c r="K34" s="299"/>
      <c r="L34" s="299">
        <v>17000</v>
      </c>
      <c r="M34" s="299"/>
      <c r="N34" s="299">
        <v>58045</v>
      </c>
      <c r="O34" s="299"/>
      <c r="P34" s="299">
        <v>75017</v>
      </c>
      <c r="Q34" s="299"/>
      <c r="R34" s="299"/>
      <c r="S34" s="305"/>
      <c r="T34" s="305"/>
      <c r="U34" s="306"/>
      <c r="V34" s="309">
        <f>SUM(C34:R34)</f>
        <v>1001133</v>
      </c>
      <c r="W34" s="301"/>
      <c r="X34" s="5"/>
    </row>
    <row r="35" spans="1:27" ht="15.75" x14ac:dyDescent="0.25">
      <c r="A35" s="293"/>
      <c r="B35" s="286" t="s">
        <v>287</v>
      </c>
      <c r="C35" s="310"/>
      <c r="D35" s="299">
        <f>D34*D38</f>
        <v>414948.75062970002</v>
      </c>
      <c r="E35" s="298"/>
      <c r="F35" s="299">
        <f>F34*F38</f>
        <v>176349.8094</v>
      </c>
      <c r="G35" s="299"/>
      <c r="H35" s="299">
        <f>H34*H38</f>
        <v>62860.7388068</v>
      </c>
      <c r="I35" s="299"/>
      <c r="J35" s="299">
        <f>J34*J38</f>
        <v>62242.607212100003</v>
      </c>
      <c r="K35" s="299"/>
      <c r="L35" s="299">
        <f>L34*L38</f>
        <v>17000</v>
      </c>
      <c r="M35" s="299"/>
      <c r="N35" s="299">
        <f>N34*N38</f>
        <v>58045</v>
      </c>
      <c r="O35" s="299"/>
      <c r="P35" s="299">
        <f>P34*P38</f>
        <v>75017</v>
      </c>
      <c r="Q35" s="299"/>
      <c r="R35" s="299"/>
      <c r="S35" s="299"/>
      <c r="T35" s="299"/>
      <c r="U35" s="300"/>
      <c r="V35" s="309">
        <f>SUM(C35:R35)</f>
        <v>866463.9060486001</v>
      </c>
      <c r="W35" s="301"/>
      <c r="X35" s="5"/>
    </row>
    <row r="36" spans="1:27" ht="15.75" x14ac:dyDescent="0.25">
      <c r="A36" s="293"/>
      <c r="B36" s="294" t="s">
        <v>288</v>
      </c>
      <c r="C36" s="310"/>
      <c r="D36" s="305">
        <f>D34*D37</f>
        <v>412036.93836779997</v>
      </c>
      <c r="E36" s="302"/>
      <c r="F36" s="305">
        <f>F34*F37</f>
        <v>175112.33480000001</v>
      </c>
      <c r="G36" s="305"/>
      <c r="H36" s="305">
        <f>H34*H37</f>
        <v>62419.636703199998</v>
      </c>
      <c r="I36" s="305"/>
      <c r="J36" s="305">
        <f>J34*J37</f>
        <v>61805.833305399996</v>
      </c>
      <c r="K36" s="305"/>
      <c r="L36" s="305">
        <f>L34*L37</f>
        <v>17000</v>
      </c>
      <c r="M36" s="305"/>
      <c r="N36" s="305">
        <f>N34*N37</f>
        <v>58045</v>
      </c>
      <c r="O36" s="305"/>
      <c r="P36" s="305">
        <f>P34*P37</f>
        <v>75017</v>
      </c>
      <c r="Q36" s="305"/>
      <c r="R36" s="305"/>
      <c r="S36" s="311"/>
      <c r="T36" s="311"/>
      <c r="U36" s="300"/>
      <c r="V36" s="312">
        <f>SUM(C36:R36)</f>
        <v>861436.74317639985</v>
      </c>
      <c r="W36" s="301"/>
      <c r="X36" s="5"/>
    </row>
    <row r="37" spans="1:27" ht="15.75" x14ac:dyDescent="0.25">
      <c r="A37" s="285"/>
      <c r="B37" s="313" t="s">
        <v>130</v>
      </c>
      <c r="C37" s="314"/>
      <c r="D37" s="315">
        <v>0.83585779999999998</v>
      </c>
      <c r="E37" s="315"/>
      <c r="F37" s="315">
        <v>0.8358584</v>
      </c>
      <c r="G37" s="315"/>
      <c r="H37" s="315">
        <v>0.83586159999999998</v>
      </c>
      <c r="I37" s="315"/>
      <c r="J37" s="315">
        <v>0.83585779999999998</v>
      </c>
      <c r="K37" s="315"/>
      <c r="L37" s="315">
        <v>1</v>
      </c>
      <c r="M37" s="315"/>
      <c r="N37" s="315">
        <v>1</v>
      </c>
      <c r="O37" s="315"/>
      <c r="P37" s="315">
        <v>1</v>
      </c>
      <c r="Q37" s="315"/>
      <c r="R37" s="315"/>
      <c r="S37" s="316"/>
      <c r="T37" s="316"/>
      <c r="U37" s="317"/>
      <c r="V37" s="317"/>
      <c r="W37" s="318"/>
      <c r="X37" s="5"/>
    </row>
    <row r="38" spans="1:27" ht="15.75" x14ac:dyDescent="0.25">
      <c r="A38" s="285"/>
      <c r="B38" s="313" t="s">
        <v>131</v>
      </c>
      <c r="C38" s="314"/>
      <c r="D38" s="315">
        <v>0.84176470000000003</v>
      </c>
      <c r="E38" s="315"/>
      <c r="F38" s="315">
        <v>0.84176519999999999</v>
      </c>
      <c r="G38" s="315"/>
      <c r="H38" s="315">
        <v>0.84176839999999997</v>
      </c>
      <c r="I38" s="315"/>
      <c r="J38" s="315">
        <v>0.84176470000000003</v>
      </c>
      <c r="K38" s="315"/>
      <c r="L38" s="315">
        <v>1</v>
      </c>
      <c r="M38" s="315"/>
      <c r="N38" s="315">
        <v>1</v>
      </c>
      <c r="O38" s="315"/>
      <c r="P38" s="315">
        <v>1</v>
      </c>
      <c r="Q38" s="315"/>
      <c r="R38" s="315"/>
      <c r="S38" s="319"/>
      <c r="T38" s="320"/>
      <c r="U38" s="317"/>
      <c r="V38" s="319"/>
      <c r="W38" s="318"/>
      <c r="X38" s="5"/>
    </row>
    <row r="39" spans="1:27" ht="15.75" x14ac:dyDescent="0.25">
      <c r="A39" s="285"/>
      <c r="B39" s="286" t="s">
        <v>11</v>
      </c>
      <c r="C39" s="286"/>
      <c r="D39" s="296" t="s">
        <v>278</v>
      </c>
      <c r="E39" s="286"/>
      <c r="F39" s="296" t="s">
        <v>251</v>
      </c>
      <c r="G39" s="296"/>
      <c r="H39" s="296" t="s">
        <v>252</v>
      </c>
      <c r="I39" s="296"/>
      <c r="J39" s="296" t="s">
        <v>253</v>
      </c>
      <c r="K39" s="296"/>
      <c r="L39" s="296" t="s">
        <v>254</v>
      </c>
      <c r="M39" s="296"/>
      <c r="N39" s="296" t="s">
        <v>254</v>
      </c>
      <c r="O39" s="296"/>
      <c r="P39" s="296" t="s">
        <v>255</v>
      </c>
      <c r="Q39" s="296"/>
      <c r="R39" s="296"/>
      <c r="S39" s="321"/>
      <c r="T39" s="322"/>
      <c r="U39" s="288"/>
      <c r="V39" s="288"/>
      <c r="W39" s="289"/>
      <c r="X39" s="5"/>
    </row>
    <row r="40" spans="1:27" ht="15.75" x14ac:dyDescent="0.25">
      <c r="A40" s="285"/>
      <c r="B40" s="286" t="s">
        <v>12</v>
      </c>
      <c r="C40" s="286"/>
      <c r="D40" s="322">
        <v>4.2687999999999997E-3</v>
      </c>
      <c r="E40" s="286"/>
      <c r="F40" s="322">
        <v>7.7499999999999999E-3</v>
      </c>
      <c r="G40" s="321"/>
      <c r="H40" s="322">
        <v>7.7000000000000002E-3</v>
      </c>
      <c r="I40" s="322"/>
      <c r="J40" s="322">
        <v>3.6703E-3</v>
      </c>
      <c r="K40" s="321"/>
      <c r="L40" s="322">
        <v>9.1500000000000001E-3</v>
      </c>
      <c r="M40" s="321"/>
      <c r="N40" s="322">
        <v>9.1999999999999998E-3</v>
      </c>
      <c r="O40" s="321"/>
      <c r="P40" s="322">
        <v>1.2E-2</v>
      </c>
      <c r="Q40" s="321"/>
      <c r="R40" s="322"/>
      <c r="S40" s="321"/>
      <c r="T40" s="322"/>
      <c r="U40" s="288"/>
      <c r="V40" s="296"/>
      <c r="W40" s="289"/>
      <c r="X40" s="5"/>
      <c r="AA40" s="1" t="s">
        <v>193</v>
      </c>
    </row>
    <row r="41" spans="1:27" ht="15.75" x14ac:dyDescent="0.25">
      <c r="A41" s="285"/>
      <c r="B41" s="286" t="s">
        <v>13</v>
      </c>
      <c r="C41" s="286"/>
      <c r="D41" s="322">
        <v>3.2188E-3</v>
      </c>
      <c r="E41" s="286"/>
      <c r="F41" s="322">
        <v>7.3562999999999996E-3</v>
      </c>
      <c r="G41" s="321"/>
      <c r="H41" s="322">
        <v>8.3400000000000002E-3</v>
      </c>
      <c r="I41" s="322"/>
      <c r="J41" s="322">
        <v>3.6362999999999999E-3</v>
      </c>
      <c r="K41" s="321"/>
      <c r="L41" s="322">
        <v>8.7562999999999998E-3</v>
      </c>
      <c r="M41" s="321"/>
      <c r="N41" s="322">
        <v>9.8399999999999998E-3</v>
      </c>
      <c r="O41" s="321"/>
      <c r="P41" s="322">
        <v>1.264E-2</v>
      </c>
      <c r="Q41" s="321"/>
      <c r="R41" s="322"/>
      <c r="S41" s="321"/>
      <c r="T41" s="322"/>
      <c r="U41" s="288"/>
      <c r="V41" s="321" t="s">
        <v>193</v>
      </c>
      <c r="W41" s="289"/>
      <c r="X41" s="5"/>
    </row>
    <row r="42" spans="1:27" ht="15.75" x14ac:dyDescent="0.25">
      <c r="A42" s="285"/>
      <c r="B42" s="286" t="s">
        <v>289</v>
      </c>
      <c r="C42" s="286"/>
      <c r="D42" s="296" t="s">
        <v>279</v>
      </c>
      <c r="E42" s="286"/>
      <c r="F42" s="296" t="s">
        <v>251</v>
      </c>
      <c r="G42" s="296"/>
      <c r="H42" s="296" t="s">
        <v>229</v>
      </c>
      <c r="I42" s="296"/>
      <c r="J42" s="296" t="s">
        <v>229</v>
      </c>
      <c r="K42" s="296"/>
      <c r="L42" s="296" t="s">
        <v>254</v>
      </c>
      <c r="M42" s="296"/>
      <c r="N42" s="296" t="s">
        <v>262</v>
      </c>
      <c r="O42" s="296"/>
      <c r="P42" s="296" t="s">
        <v>263</v>
      </c>
      <c r="Q42" s="296"/>
      <c r="R42" s="296"/>
      <c r="S42" s="321"/>
      <c r="T42" s="322"/>
      <c r="U42" s="288"/>
      <c r="V42" s="288"/>
      <c r="W42" s="289"/>
      <c r="X42" s="5"/>
    </row>
    <row r="43" spans="1:27" ht="15.75" x14ac:dyDescent="0.25">
      <c r="A43" s="285"/>
      <c r="B43" s="286" t="s">
        <v>290</v>
      </c>
      <c r="C43" s="323"/>
      <c r="D43" s="322">
        <v>7.5419500000000004E-3</v>
      </c>
      <c r="E43" s="322"/>
      <c r="F43" s="322">
        <f>+F40</f>
        <v>7.7499999999999999E-3</v>
      </c>
      <c r="G43" s="322"/>
      <c r="H43" s="322">
        <v>7.8250000000000004E-3</v>
      </c>
      <c r="I43" s="322"/>
      <c r="J43" s="322">
        <v>7.8399999999999997E-3</v>
      </c>
      <c r="K43" s="322"/>
      <c r="L43" s="322">
        <f>+L40</f>
        <v>9.1500000000000001E-3</v>
      </c>
      <c r="M43" s="322"/>
      <c r="N43" s="322">
        <v>9.5169999999999994E-3</v>
      </c>
      <c r="O43" s="322"/>
      <c r="P43" s="322">
        <v>1.2597000000000001E-2</v>
      </c>
      <c r="Q43" s="321"/>
      <c r="R43" s="322"/>
      <c r="S43" s="296"/>
      <c r="T43" s="296"/>
      <c r="U43" s="288"/>
      <c r="V43" s="321">
        <f>SUMPRODUCT(D43:R43,D35:R35)/V35</f>
        <v>8.2277570232312369E-3</v>
      </c>
      <c r="W43" s="289"/>
      <c r="X43" s="5"/>
    </row>
    <row r="44" spans="1:27" ht="15.75" x14ac:dyDescent="0.25">
      <c r="A44" s="285"/>
      <c r="B44" s="286" t="s">
        <v>291</v>
      </c>
      <c r="C44" s="323"/>
      <c r="D44" s="322">
        <v>7.1482500000000001E-3</v>
      </c>
      <c r="E44" s="322"/>
      <c r="F44" s="322">
        <f>+F41</f>
        <v>7.3562999999999996E-3</v>
      </c>
      <c r="G44" s="322"/>
      <c r="H44" s="322">
        <v>7.4313000000000001E-3</v>
      </c>
      <c r="I44" s="322"/>
      <c r="J44" s="322">
        <v>7.4463000000000003E-3</v>
      </c>
      <c r="K44" s="322"/>
      <c r="L44" s="322">
        <f>+L41</f>
        <v>8.7562999999999998E-3</v>
      </c>
      <c r="M44" s="322"/>
      <c r="N44" s="322">
        <v>9.1233000000000009E-3</v>
      </c>
      <c r="O44" s="322"/>
      <c r="P44" s="322">
        <v>1.22033E-2</v>
      </c>
      <c r="Q44" s="321"/>
      <c r="R44" s="322"/>
      <c r="S44" s="296"/>
      <c r="T44" s="296"/>
      <c r="U44" s="288"/>
      <c r="V44" s="288"/>
      <c r="W44" s="289"/>
      <c r="X44" s="5"/>
    </row>
    <row r="45" spans="1:27" ht="15.75" x14ac:dyDescent="0.25">
      <c r="A45" s="285"/>
      <c r="B45" s="286" t="s">
        <v>14</v>
      </c>
      <c r="C45" s="286"/>
      <c r="D45" s="323">
        <v>40709</v>
      </c>
      <c r="E45" s="323"/>
      <c r="F45" s="323">
        <v>40709</v>
      </c>
      <c r="G45" s="323"/>
      <c r="H45" s="323">
        <v>40709</v>
      </c>
      <c r="I45" s="323"/>
      <c r="J45" s="323">
        <v>40709</v>
      </c>
      <c r="K45" s="323"/>
      <c r="L45" s="323">
        <v>40709</v>
      </c>
      <c r="M45" s="323"/>
      <c r="N45" s="323">
        <v>40709</v>
      </c>
      <c r="O45" s="323"/>
      <c r="P45" s="323">
        <v>40709</v>
      </c>
      <c r="Q45" s="323"/>
      <c r="R45" s="323"/>
      <c r="S45" s="296"/>
      <c r="T45" s="296"/>
      <c r="U45" s="288"/>
      <c r="V45" s="288"/>
      <c r="W45" s="289"/>
      <c r="X45" s="5"/>
    </row>
    <row r="46" spans="1:27" ht="15.75" x14ac:dyDescent="0.25">
      <c r="A46" s="285"/>
      <c r="B46" s="286" t="s">
        <v>15</v>
      </c>
      <c r="C46" s="286"/>
      <c r="D46" s="323" t="s">
        <v>118</v>
      </c>
      <c r="E46" s="323"/>
      <c r="F46" s="323">
        <v>41075</v>
      </c>
      <c r="G46" s="323"/>
      <c r="H46" s="323">
        <v>41075</v>
      </c>
      <c r="I46" s="323"/>
      <c r="J46" s="323">
        <v>41075</v>
      </c>
      <c r="K46" s="296"/>
      <c r="L46" s="323">
        <v>41075</v>
      </c>
      <c r="M46" s="296"/>
      <c r="N46" s="323">
        <v>41075</v>
      </c>
      <c r="O46" s="296"/>
      <c r="P46" s="323">
        <v>41075</v>
      </c>
      <c r="Q46" s="296"/>
      <c r="R46" s="323"/>
      <c r="S46" s="296"/>
      <c r="T46" s="296"/>
      <c r="U46" s="288"/>
      <c r="V46" s="288"/>
      <c r="W46" s="289"/>
      <c r="X46" s="5"/>
    </row>
    <row r="47" spans="1:27" ht="15.75" x14ac:dyDescent="0.25">
      <c r="A47" s="285"/>
      <c r="B47" s="286" t="s">
        <v>119</v>
      </c>
      <c r="C47" s="286"/>
      <c r="D47" s="324" t="s">
        <v>118</v>
      </c>
      <c r="E47" s="286"/>
      <c r="F47" s="296" t="s">
        <v>256</v>
      </c>
      <c r="G47" s="296"/>
      <c r="H47" s="296" t="s">
        <v>257</v>
      </c>
      <c r="I47" s="296"/>
      <c r="J47" s="296" t="s">
        <v>258</v>
      </c>
      <c r="K47" s="296"/>
      <c r="L47" s="296" t="s">
        <v>259</v>
      </c>
      <c r="M47" s="296"/>
      <c r="N47" s="296" t="s">
        <v>259</v>
      </c>
      <c r="O47" s="296"/>
      <c r="P47" s="296" t="s">
        <v>260</v>
      </c>
      <c r="Q47" s="296"/>
      <c r="R47" s="296"/>
      <c r="S47" s="325"/>
      <c r="T47" s="325"/>
      <c r="U47" s="325"/>
      <c r="V47" s="325"/>
      <c r="W47" s="289"/>
      <c r="X47" s="5"/>
    </row>
    <row r="48" spans="1:27" ht="15.75" x14ac:dyDescent="0.25">
      <c r="A48" s="285"/>
      <c r="B48" s="286" t="s">
        <v>292</v>
      </c>
      <c r="C48" s="286"/>
      <c r="D48" s="296" t="s">
        <v>200</v>
      </c>
      <c r="E48" s="286"/>
      <c r="F48" s="296" t="s">
        <v>256</v>
      </c>
      <c r="G48" s="296"/>
      <c r="H48" s="296" t="s">
        <v>261</v>
      </c>
      <c r="I48" s="296"/>
      <c r="J48" s="296" t="s">
        <v>261</v>
      </c>
      <c r="K48" s="296"/>
      <c r="L48" s="296" t="s">
        <v>259</v>
      </c>
      <c r="M48" s="296"/>
      <c r="N48" s="296" t="s">
        <v>263</v>
      </c>
      <c r="O48" s="296"/>
      <c r="P48" s="296" t="s">
        <v>264</v>
      </c>
      <c r="Q48" s="296"/>
      <c r="R48" s="296"/>
      <c r="S48" s="286"/>
      <c r="T48" s="286"/>
      <c r="U48" s="286"/>
      <c r="V48" s="321"/>
      <c r="W48" s="289"/>
      <c r="X48" s="5"/>
    </row>
    <row r="49" spans="1:25" ht="15.75" x14ac:dyDescent="0.25">
      <c r="A49" s="285"/>
      <c r="B49" s="286"/>
      <c r="C49" s="286"/>
      <c r="D49" s="296"/>
      <c r="E49" s="286"/>
      <c r="F49" s="296"/>
      <c r="G49" s="296"/>
      <c r="H49" s="296"/>
      <c r="I49" s="296"/>
      <c r="J49" s="296"/>
      <c r="K49" s="296"/>
      <c r="L49" s="296"/>
      <c r="M49" s="296"/>
      <c r="N49" s="296"/>
      <c r="O49" s="296"/>
      <c r="P49" s="296"/>
      <c r="Q49" s="296"/>
      <c r="R49" s="296"/>
      <c r="S49" s="286"/>
      <c r="T49" s="286"/>
      <c r="U49" s="286"/>
      <c r="V49" s="321" t="s">
        <v>193</v>
      </c>
      <c r="W49" s="289"/>
      <c r="X49" s="5"/>
    </row>
    <row r="50" spans="1:25" ht="15.75" x14ac:dyDescent="0.25">
      <c r="A50" s="285"/>
      <c r="B50" s="286" t="s">
        <v>169</v>
      </c>
      <c r="C50" s="286"/>
      <c r="D50" s="296"/>
      <c r="E50" s="286"/>
      <c r="F50" s="296"/>
      <c r="G50" s="296"/>
      <c r="H50" s="296"/>
      <c r="I50" s="296"/>
      <c r="J50" s="296"/>
      <c r="K50" s="296"/>
      <c r="L50" s="296"/>
      <c r="M50" s="296"/>
      <c r="N50" s="296"/>
      <c r="O50" s="296"/>
      <c r="P50" s="296"/>
      <c r="Q50" s="296"/>
      <c r="R50" s="296"/>
      <c r="S50" s="286"/>
      <c r="T50" s="286"/>
      <c r="U50" s="286"/>
      <c r="V50" s="321">
        <f>SUM(L34:R34)/SUM(D34:J34)</f>
        <v>0.17632136449250416</v>
      </c>
      <c r="W50" s="289"/>
      <c r="X50" s="5"/>
    </row>
    <row r="51" spans="1:25" ht="15.75" x14ac:dyDescent="0.25">
      <c r="A51" s="285"/>
      <c r="B51" s="286" t="s">
        <v>170</v>
      </c>
      <c r="C51" s="286"/>
      <c r="D51" s="286"/>
      <c r="E51" s="286"/>
      <c r="F51" s="326"/>
      <c r="G51" s="286"/>
      <c r="H51" s="286"/>
      <c r="I51" s="286"/>
      <c r="J51" s="286"/>
      <c r="K51" s="286"/>
      <c r="L51" s="286"/>
      <c r="M51" s="286"/>
      <c r="N51" s="286"/>
      <c r="O51" s="286"/>
      <c r="P51" s="286"/>
      <c r="Q51" s="286"/>
      <c r="R51" s="286"/>
      <c r="S51" s="286"/>
      <c r="T51" s="286"/>
      <c r="U51" s="286"/>
      <c r="V51" s="321">
        <f>SUM(L36:R36)/SUM(D36:J36)</f>
        <v>0.21094648276371133</v>
      </c>
      <c r="W51" s="289"/>
      <c r="X51" s="5"/>
    </row>
    <row r="52" spans="1:25" ht="15.75" x14ac:dyDescent="0.25">
      <c r="A52" s="285"/>
      <c r="B52" s="286" t="s">
        <v>171</v>
      </c>
      <c r="C52" s="286"/>
      <c r="D52" s="286"/>
      <c r="E52" s="286"/>
      <c r="F52" s="286"/>
      <c r="G52" s="286"/>
      <c r="H52" s="286"/>
      <c r="I52" s="286"/>
      <c r="J52" s="286"/>
      <c r="K52" s="286"/>
      <c r="L52" s="286"/>
      <c r="M52" s="286"/>
      <c r="N52" s="286"/>
      <c r="O52" s="286"/>
      <c r="P52" s="286"/>
      <c r="Q52" s="286"/>
      <c r="R52" s="286"/>
      <c r="S52" s="286"/>
      <c r="T52" s="296"/>
      <c r="U52" s="296"/>
      <c r="V52" s="299" t="s">
        <v>268</v>
      </c>
      <c r="W52" s="289"/>
      <c r="X52" s="5"/>
    </row>
    <row r="53" spans="1:25" ht="15.75" x14ac:dyDescent="0.25">
      <c r="A53" s="285"/>
      <c r="B53" s="286"/>
      <c r="C53" s="286"/>
      <c r="D53" s="286"/>
      <c r="E53" s="286"/>
      <c r="F53" s="286"/>
      <c r="G53" s="286"/>
      <c r="H53" s="286"/>
      <c r="I53" s="286"/>
      <c r="J53" s="286"/>
      <c r="K53" s="286"/>
      <c r="L53" s="286"/>
      <c r="M53" s="286"/>
      <c r="N53" s="286"/>
      <c r="O53" s="286"/>
      <c r="P53" s="286"/>
      <c r="Q53" s="286"/>
      <c r="R53" s="286"/>
      <c r="S53" s="286"/>
      <c r="T53" s="286"/>
      <c r="U53" s="286"/>
      <c r="V53" s="327"/>
      <c r="W53" s="289"/>
      <c r="X53" s="5"/>
    </row>
    <row r="54" spans="1:25" ht="15.75" x14ac:dyDescent="0.25">
      <c r="A54" s="285"/>
      <c r="B54" s="286" t="s">
        <v>202</v>
      </c>
      <c r="C54" s="286"/>
      <c r="D54" s="286"/>
      <c r="E54" s="286"/>
      <c r="F54" s="286"/>
      <c r="G54" s="286"/>
      <c r="H54" s="286"/>
      <c r="I54" s="286"/>
      <c r="J54" s="286"/>
      <c r="K54" s="286"/>
      <c r="L54" s="286"/>
      <c r="M54" s="286"/>
      <c r="N54" s="286"/>
      <c r="O54" s="286"/>
      <c r="P54" s="286"/>
      <c r="Q54" s="286"/>
      <c r="R54" s="286"/>
      <c r="S54" s="286"/>
      <c r="T54" s="286"/>
      <c r="U54" s="286"/>
      <c r="V54" s="328" t="s">
        <v>203</v>
      </c>
      <c r="W54" s="289"/>
      <c r="X54" s="5"/>
    </row>
    <row r="55" spans="1:25" ht="15.75" x14ac:dyDescent="0.25">
      <c r="A55" s="285"/>
      <c r="B55" s="286" t="s">
        <v>270</v>
      </c>
      <c r="C55" s="286"/>
      <c r="D55" s="286"/>
      <c r="E55" s="286"/>
      <c r="F55" s="286"/>
      <c r="G55" s="286"/>
      <c r="H55" s="286"/>
      <c r="I55" s="286"/>
      <c r="J55" s="286"/>
      <c r="K55" s="286"/>
      <c r="L55" s="286"/>
      <c r="M55" s="286"/>
      <c r="N55" s="286"/>
      <c r="O55" s="286"/>
      <c r="P55" s="286"/>
      <c r="Q55" s="286"/>
      <c r="R55" s="286"/>
      <c r="S55" s="286"/>
      <c r="T55" s="296"/>
      <c r="U55" s="296"/>
      <c r="V55" s="329" t="s">
        <v>111</v>
      </c>
      <c r="W55" s="289"/>
      <c r="X55" s="5"/>
    </row>
    <row r="56" spans="1:25" ht="15.75" x14ac:dyDescent="0.25">
      <c r="A56" s="285"/>
      <c r="B56" s="294" t="s">
        <v>201</v>
      </c>
      <c r="C56" s="294"/>
      <c r="D56" s="294"/>
      <c r="E56" s="294"/>
      <c r="F56" s="294"/>
      <c r="G56" s="294"/>
      <c r="H56" s="294"/>
      <c r="I56" s="294"/>
      <c r="J56" s="294"/>
      <c r="K56" s="294"/>
      <c r="L56" s="294"/>
      <c r="M56" s="294"/>
      <c r="N56" s="294"/>
      <c r="O56" s="294"/>
      <c r="P56" s="294"/>
      <c r="Q56" s="294"/>
      <c r="R56" s="294"/>
      <c r="S56" s="294"/>
      <c r="T56" s="330"/>
      <c r="U56" s="330"/>
      <c r="V56" s="331">
        <v>40344</v>
      </c>
      <c r="W56" s="289"/>
      <c r="X56" s="5"/>
    </row>
    <row r="57" spans="1:25" ht="15.75" x14ac:dyDescent="0.25">
      <c r="A57" s="285"/>
      <c r="B57" s="286" t="s">
        <v>121</v>
      </c>
      <c r="C57" s="286"/>
      <c r="D57" s="286"/>
      <c r="E57" s="286"/>
      <c r="F57" s="286"/>
      <c r="G57" s="286"/>
      <c r="H57" s="332"/>
      <c r="I57" s="332"/>
      <c r="J57" s="332"/>
      <c r="K57" s="332"/>
      <c r="L57" s="332"/>
      <c r="M57" s="332"/>
      <c r="N57" s="332"/>
      <c r="O57" s="332"/>
      <c r="P57" s="332"/>
      <c r="Q57" s="332"/>
      <c r="R57" s="286">
        <f>+V57-T57+1</f>
        <v>90</v>
      </c>
      <c r="S57" s="332"/>
      <c r="T57" s="333">
        <v>40162</v>
      </c>
      <c r="U57" s="334"/>
      <c r="V57" s="333">
        <v>40251</v>
      </c>
      <c r="W57" s="289"/>
      <c r="X57" s="5"/>
    </row>
    <row r="58" spans="1:25" ht="15.75" x14ac:dyDescent="0.25">
      <c r="A58" s="285"/>
      <c r="B58" s="286" t="s">
        <v>122</v>
      </c>
      <c r="C58" s="286"/>
      <c r="D58" s="286"/>
      <c r="E58" s="286"/>
      <c r="F58" s="286"/>
      <c r="G58" s="286"/>
      <c r="H58" s="286"/>
      <c r="I58" s="286"/>
      <c r="J58" s="286"/>
      <c r="K58" s="286"/>
      <c r="L58" s="286"/>
      <c r="M58" s="286"/>
      <c r="N58" s="286"/>
      <c r="O58" s="286"/>
      <c r="P58" s="286"/>
      <c r="Q58" s="286"/>
      <c r="R58" s="286">
        <f>+V58-T58+1</f>
        <v>92</v>
      </c>
      <c r="S58" s="286"/>
      <c r="T58" s="333">
        <v>40252</v>
      </c>
      <c r="U58" s="334"/>
      <c r="V58" s="333">
        <v>40343</v>
      </c>
      <c r="W58" s="289"/>
      <c r="X58" s="5"/>
    </row>
    <row r="59" spans="1:25" ht="15.75" x14ac:dyDescent="0.25">
      <c r="A59" s="285"/>
      <c r="B59" s="286" t="s">
        <v>223</v>
      </c>
      <c r="C59" s="286"/>
      <c r="D59" s="286"/>
      <c r="E59" s="286"/>
      <c r="F59" s="286"/>
      <c r="G59" s="286"/>
      <c r="H59" s="286"/>
      <c r="I59" s="286"/>
      <c r="J59" s="286"/>
      <c r="K59" s="286"/>
      <c r="L59" s="286"/>
      <c r="M59" s="286"/>
      <c r="N59" s="286"/>
      <c r="O59" s="286"/>
      <c r="P59" s="286"/>
      <c r="Q59" s="286"/>
      <c r="R59" s="286"/>
      <c r="S59" s="286"/>
      <c r="T59" s="333"/>
      <c r="U59" s="334"/>
      <c r="V59" s="333" t="s">
        <v>120</v>
      </c>
      <c r="W59" s="289"/>
      <c r="X59" s="5"/>
    </row>
    <row r="60" spans="1:25" ht="15.75" x14ac:dyDescent="0.25">
      <c r="A60" s="285"/>
      <c r="B60" s="286" t="s">
        <v>271</v>
      </c>
      <c r="C60" s="286"/>
      <c r="D60" s="286"/>
      <c r="E60" s="286"/>
      <c r="F60" s="286"/>
      <c r="G60" s="286"/>
      <c r="H60" s="286"/>
      <c r="I60" s="286"/>
      <c r="J60" s="286"/>
      <c r="K60" s="286"/>
      <c r="L60" s="286"/>
      <c r="M60" s="286"/>
      <c r="N60" s="286"/>
      <c r="O60" s="286"/>
      <c r="P60" s="286"/>
      <c r="Q60" s="286"/>
      <c r="R60" s="286"/>
      <c r="S60" s="286"/>
      <c r="T60" s="333"/>
      <c r="U60" s="334"/>
      <c r="V60" s="333" t="s">
        <v>154</v>
      </c>
      <c r="W60" s="289"/>
      <c r="X60" s="5"/>
      <c r="Y60" s="133"/>
    </row>
    <row r="61" spans="1:25" ht="15.75" x14ac:dyDescent="0.25">
      <c r="A61" s="285"/>
      <c r="B61" s="286" t="s">
        <v>16</v>
      </c>
      <c r="C61" s="286"/>
      <c r="D61" s="286"/>
      <c r="E61" s="286"/>
      <c r="F61" s="286"/>
      <c r="G61" s="286"/>
      <c r="H61" s="286"/>
      <c r="I61" s="286"/>
      <c r="J61" s="286"/>
      <c r="K61" s="286"/>
      <c r="L61" s="286"/>
      <c r="M61" s="286"/>
      <c r="N61" s="286"/>
      <c r="O61" s="286"/>
      <c r="P61" s="286"/>
      <c r="Q61" s="286"/>
      <c r="R61" s="286"/>
      <c r="S61" s="286"/>
      <c r="T61" s="333"/>
      <c r="U61" s="334"/>
      <c r="V61" s="333">
        <v>40330</v>
      </c>
      <c r="W61" s="289"/>
      <c r="X61" s="5"/>
    </row>
    <row r="62" spans="1:25" ht="15.75" x14ac:dyDescent="0.25">
      <c r="A62" s="181"/>
      <c r="B62" s="212"/>
      <c r="C62" s="212"/>
      <c r="D62" s="212"/>
      <c r="E62" s="212"/>
      <c r="F62" s="212"/>
      <c r="G62" s="212"/>
      <c r="H62" s="212"/>
      <c r="I62" s="212"/>
      <c r="J62" s="212"/>
      <c r="K62" s="212"/>
      <c r="L62" s="212"/>
      <c r="M62" s="212"/>
      <c r="N62" s="212"/>
      <c r="O62" s="212"/>
      <c r="P62" s="212"/>
      <c r="Q62" s="212"/>
      <c r="R62" s="212"/>
      <c r="S62" s="212"/>
      <c r="T62" s="283"/>
      <c r="U62" s="284"/>
      <c r="V62" s="283"/>
      <c r="W62" s="212"/>
      <c r="X62" s="5"/>
    </row>
    <row r="63" spans="1:25" ht="15.75" x14ac:dyDescent="0.25">
      <c r="A63" s="181"/>
      <c r="B63" s="183"/>
      <c r="C63" s="183"/>
      <c r="D63" s="183"/>
      <c r="E63" s="183"/>
      <c r="F63" s="183"/>
      <c r="G63" s="183"/>
      <c r="H63" s="183"/>
      <c r="I63" s="183"/>
      <c r="J63" s="183"/>
      <c r="K63" s="183"/>
      <c r="L63" s="183"/>
      <c r="M63" s="183"/>
      <c r="N63" s="183"/>
      <c r="O63" s="183"/>
      <c r="P63" s="183"/>
      <c r="Q63" s="183"/>
      <c r="R63" s="183"/>
      <c r="S63" s="183"/>
      <c r="T63" s="195"/>
      <c r="U63" s="196"/>
      <c r="V63" s="195"/>
      <c r="W63" s="183"/>
      <c r="X63" s="5"/>
    </row>
    <row r="64" spans="1:25" ht="19.5" thickBot="1" x14ac:dyDescent="0.35">
      <c r="A64" s="197"/>
      <c r="B64" s="270" t="s">
        <v>295</v>
      </c>
      <c r="C64" s="198"/>
      <c r="D64" s="198"/>
      <c r="E64" s="198"/>
      <c r="F64" s="198"/>
      <c r="G64" s="198"/>
      <c r="H64" s="198"/>
      <c r="I64" s="198"/>
      <c r="J64" s="198"/>
      <c r="K64" s="198"/>
      <c r="L64" s="198"/>
      <c r="M64" s="198"/>
      <c r="N64" s="198"/>
      <c r="O64" s="198"/>
      <c r="P64" s="198"/>
      <c r="Q64" s="198"/>
      <c r="R64" s="198"/>
      <c r="S64" s="198"/>
      <c r="T64" s="198"/>
      <c r="U64" s="198"/>
      <c r="V64" s="199"/>
      <c r="W64" s="200"/>
      <c r="X64" s="5"/>
    </row>
    <row r="65" spans="1:24" ht="15.75" x14ac:dyDescent="0.25">
      <c r="A65" s="224"/>
      <c r="B65" s="230" t="s">
        <v>17</v>
      </c>
      <c r="C65" s="225"/>
      <c r="D65" s="225"/>
      <c r="E65" s="225"/>
      <c r="F65" s="225"/>
      <c r="G65" s="225"/>
      <c r="H65" s="225"/>
      <c r="I65" s="225"/>
      <c r="J65" s="225"/>
      <c r="K65" s="225"/>
      <c r="L65" s="225"/>
      <c r="M65" s="225"/>
      <c r="N65" s="225"/>
      <c r="O65" s="225"/>
      <c r="P65" s="225"/>
      <c r="Q65" s="225"/>
      <c r="R65" s="225"/>
      <c r="S65" s="225"/>
      <c r="T65" s="225"/>
      <c r="U65" s="225"/>
      <c r="V65" s="231"/>
      <c r="W65" s="225"/>
      <c r="X65" s="5"/>
    </row>
    <row r="66" spans="1:24" ht="15.75" x14ac:dyDescent="0.25">
      <c r="A66" s="181"/>
      <c r="B66" s="189"/>
      <c r="C66" s="183"/>
      <c r="D66" s="183"/>
      <c r="E66" s="183"/>
      <c r="F66" s="183"/>
      <c r="G66" s="183"/>
      <c r="H66" s="183"/>
      <c r="I66" s="183"/>
      <c r="J66" s="183"/>
      <c r="K66" s="183"/>
      <c r="L66" s="183"/>
      <c r="M66" s="183"/>
      <c r="N66" s="183"/>
      <c r="O66" s="183"/>
      <c r="P66" s="183"/>
      <c r="Q66" s="183"/>
      <c r="R66" s="183"/>
      <c r="S66" s="183"/>
      <c r="T66" s="183"/>
      <c r="U66" s="183"/>
      <c r="V66" s="202"/>
      <c r="W66" s="183"/>
      <c r="X66" s="5"/>
    </row>
    <row r="67" spans="1:24" ht="47.25" x14ac:dyDescent="0.25">
      <c r="A67" s="181"/>
      <c r="B67" s="203" t="s">
        <v>18</v>
      </c>
      <c r="C67" s="204"/>
      <c r="D67" s="204"/>
      <c r="E67" s="204"/>
      <c r="F67" s="204"/>
      <c r="G67" s="204"/>
      <c r="H67" s="204"/>
      <c r="I67" s="204"/>
      <c r="J67" s="204"/>
      <c r="K67" s="204"/>
      <c r="L67" s="204" t="s">
        <v>94</v>
      </c>
      <c r="M67" s="204"/>
      <c r="N67" s="204" t="s">
        <v>96</v>
      </c>
      <c r="O67" s="204"/>
      <c r="P67" s="204" t="s">
        <v>98</v>
      </c>
      <c r="Q67" s="204"/>
      <c r="R67" s="204" t="s">
        <v>100</v>
      </c>
      <c r="S67" s="204"/>
      <c r="T67" s="204" t="s">
        <v>106</v>
      </c>
      <c r="U67" s="204"/>
      <c r="V67" s="205" t="s">
        <v>112</v>
      </c>
      <c r="W67" s="206"/>
      <c r="X67" s="5"/>
    </row>
    <row r="68" spans="1:24" ht="15.75" x14ac:dyDescent="0.25">
      <c r="A68" s="285"/>
      <c r="B68" s="286" t="s">
        <v>19</v>
      </c>
      <c r="C68" s="337"/>
      <c r="D68" s="337"/>
      <c r="E68" s="337"/>
      <c r="F68" s="337"/>
      <c r="G68" s="337"/>
      <c r="H68" s="337"/>
      <c r="I68" s="337"/>
      <c r="J68" s="337"/>
      <c r="K68" s="337"/>
      <c r="L68" s="337">
        <v>812446</v>
      </c>
      <c r="M68" s="337"/>
      <c r="N68" s="338">
        <v>866464</v>
      </c>
      <c r="O68" s="337"/>
      <c r="P68" s="337">
        <f>5027+415+16</f>
        <v>5458</v>
      </c>
      <c r="Q68" s="337"/>
      <c r="R68" s="337">
        <f>415+16</f>
        <v>431</v>
      </c>
      <c r="S68" s="337"/>
      <c r="T68" s="337">
        <v>0</v>
      </c>
      <c r="U68" s="337"/>
      <c r="V68" s="338">
        <f>+N68-P68+R68-T68</f>
        <v>861437</v>
      </c>
      <c r="W68" s="289"/>
      <c r="X68" s="5"/>
    </row>
    <row r="69" spans="1:24" ht="15.75" x14ac:dyDescent="0.25">
      <c r="A69" s="285"/>
      <c r="B69" s="286" t="s">
        <v>20</v>
      </c>
      <c r="C69" s="337"/>
      <c r="D69" s="337"/>
      <c r="E69" s="337"/>
      <c r="F69" s="337"/>
      <c r="G69" s="337"/>
      <c r="H69" s="337"/>
      <c r="I69" s="337"/>
      <c r="J69" s="337"/>
      <c r="K69" s="337"/>
      <c r="L69" s="337">
        <v>0</v>
      </c>
      <c r="M69" s="337"/>
      <c r="N69" s="338">
        <v>0</v>
      </c>
      <c r="O69" s="337"/>
      <c r="P69" s="337">
        <v>0</v>
      </c>
      <c r="Q69" s="337"/>
      <c r="R69" s="337">
        <v>0</v>
      </c>
      <c r="S69" s="337"/>
      <c r="T69" s="337">
        <v>0</v>
      </c>
      <c r="U69" s="337"/>
      <c r="V69" s="338">
        <f>+L69-P69</f>
        <v>0</v>
      </c>
      <c r="W69" s="289"/>
      <c r="X69" s="5"/>
    </row>
    <row r="70" spans="1:24" ht="15.75" x14ac:dyDescent="0.25">
      <c r="A70" s="285"/>
      <c r="B70" s="286"/>
      <c r="C70" s="337"/>
      <c r="D70" s="337"/>
      <c r="E70" s="337"/>
      <c r="F70" s="337"/>
      <c r="G70" s="337"/>
      <c r="H70" s="337"/>
      <c r="I70" s="337"/>
      <c r="J70" s="337"/>
      <c r="K70" s="337"/>
      <c r="L70" s="337"/>
      <c r="M70" s="337"/>
      <c r="N70" s="338"/>
      <c r="O70" s="337"/>
      <c r="P70" s="337"/>
      <c r="Q70" s="337"/>
      <c r="R70" s="337"/>
      <c r="S70" s="337"/>
      <c r="T70" s="337"/>
      <c r="U70" s="337"/>
      <c r="V70" s="338"/>
      <c r="W70" s="289"/>
      <c r="X70" s="5"/>
    </row>
    <row r="71" spans="1:24" ht="15.75" x14ac:dyDescent="0.25">
      <c r="A71" s="285"/>
      <c r="B71" s="286" t="s">
        <v>21</v>
      </c>
      <c r="C71" s="337"/>
      <c r="D71" s="337"/>
      <c r="E71" s="337"/>
      <c r="F71" s="337"/>
      <c r="G71" s="337"/>
      <c r="H71" s="337"/>
      <c r="I71" s="337"/>
      <c r="J71" s="337"/>
      <c r="K71" s="337"/>
      <c r="L71" s="337">
        <f>SUM(L68:L70)</f>
        <v>812446</v>
      </c>
      <c r="M71" s="337"/>
      <c r="N71" s="337">
        <f>N68+N69</f>
        <v>866464</v>
      </c>
      <c r="O71" s="337"/>
      <c r="P71" s="337">
        <f>SUM(P68:P70)</f>
        <v>5458</v>
      </c>
      <c r="Q71" s="337"/>
      <c r="R71" s="337">
        <f>SUM(R68:R70)</f>
        <v>431</v>
      </c>
      <c r="S71" s="337"/>
      <c r="T71" s="337">
        <f>SUM(T68:T70)</f>
        <v>0</v>
      </c>
      <c r="U71" s="337"/>
      <c r="V71" s="337">
        <f>SUM(V68:V70)</f>
        <v>861437</v>
      </c>
      <c r="W71" s="289"/>
      <c r="X71" s="5"/>
    </row>
    <row r="72" spans="1:24" ht="15.75" x14ac:dyDescent="0.25">
      <c r="A72" s="181"/>
      <c r="B72" s="212"/>
      <c r="C72" s="335"/>
      <c r="D72" s="335"/>
      <c r="E72" s="335"/>
      <c r="F72" s="335"/>
      <c r="G72" s="335"/>
      <c r="H72" s="335"/>
      <c r="I72" s="335"/>
      <c r="J72" s="335"/>
      <c r="K72" s="335"/>
      <c r="L72" s="335"/>
      <c r="M72" s="335"/>
      <c r="N72" s="335"/>
      <c r="O72" s="335"/>
      <c r="P72" s="335"/>
      <c r="Q72" s="335"/>
      <c r="R72" s="335"/>
      <c r="S72" s="335"/>
      <c r="T72" s="335"/>
      <c r="U72" s="335"/>
      <c r="V72" s="336"/>
      <c r="W72" s="212"/>
      <c r="X72" s="5"/>
    </row>
    <row r="73" spans="1:24" ht="15.75" x14ac:dyDescent="0.25">
      <c r="A73" s="181"/>
      <c r="B73" s="185" t="s">
        <v>22</v>
      </c>
      <c r="C73" s="207"/>
      <c r="D73" s="207"/>
      <c r="E73" s="207"/>
      <c r="F73" s="207"/>
      <c r="G73" s="207"/>
      <c r="H73" s="207"/>
      <c r="I73" s="207"/>
      <c r="J73" s="207"/>
      <c r="K73" s="207"/>
      <c r="L73" s="207"/>
      <c r="M73" s="207"/>
      <c r="N73" s="207"/>
      <c r="O73" s="207"/>
      <c r="P73" s="207"/>
      <c r="Q73" s="207"/>
      <c r="R73" s="207"/>
      <c r="S73" s="207"/>
      <c r="T73" s="207"/>
      <c r="U73" s="207"/>
      <c r="V73" s="208"/>
      <c r="W73" s="183"/>
      <c r="X73" s="5"/>
    </row>
    <row r="74" spans="1:24" ht="15.75" x14ac:dyDescent="0.25">
      <c r="A74" s="181"/>
      <c r="B74" s="183"/>
      <c r="C74" s="207"/>
      <c r="D74" s="207"/>
      <c r="E74" s="207"/>
      <c r="F74" s="207"/>
      <c r="G74" s="207"/>
      <c r="H74" s="207"/>
      <c r="I74" s="207"/>
      <c r="J74" s="207"/>
      <c r="K74" s="207"/>
      <c r="L74" s="207"/>
      <c r="M74" s="207"/>
      <c r="N74" s="207"/>
      <c r="O74" s="207"/>
      <c r="P74" s="207"/>
      <c r="Q74" s="207"/>
      <c r="R74" s="207"/>
      <c r="S74" s="207"/>
      <c r="T74" s="207"/>
      <c r="U74" s="207"/>
      <c r="V74" s="208"/>
      <c r="W74" s="183"/>
      <c r="X74" s="5"/>
    </row>
    <row r="75" spans="1:24" ht="15.75" x14ac:dyDescent="0.25">
      <c r="A75" s="285"/>
      <c r="B75" s="286" t="s">
        <v>19</v>
      </c>
      <c r="C75" s="337"/>
      <c r="D75" s="337"/>
      <c r="E75" s="337"/>
      <c r="F75" s="337"/>
      <c r="G75" s="337"/>
      <c r="H75" s="337"/>
      <c r="I75" s="337"/>
      <c r="J75" s="337"/>
      <c r="K75" s="337"/>
      <c r="L75" s="337"/>
      <c r="M75" s="337"/>
      <c r="N75" s="337"/>
      <c r="O75" s="337"/>
      <c r="P75" s="337"/>
      <c r="Q75" s="337"/>
      <c r="R75" s="337"/>
      <c r="S75" s="337"/>
      <c r="T75" s="337"/>
      <c r="U75" s="337"/>
      <c r="V75" s="337"/>
      <c r="W75" s="289"/>
      <c r="X75" s="5"/>
    </row>
    <row r="76" spans="1:24" ht="15.75" x14ac:dyDescent="0.25">
      <c r="A76" s="285"/>
      <c r="B76" s="286" t="s">
        <v>20</v>
      </c>
      <c r="C76" s="337"/>
      <c r="D76" s="337"/>
      <c r="E76" s="337"/>
      <c r="F76" s="337"/>
      <c r="G76" s="337"/>
      <c r="H76" s="337"/>
      <c r="I76" s="337"/>
      <c r="J76" s="337"/>
      <c r="K76" s="337"/>
      <c r="L76" s="337"/>
      <c r="M76" s="337"/>
      <c r="N76" s="337"/>
      <c r="O76" s="337"/>
      <c r="P76" s="337"/>
      <c r="Q76" s="337"/>
      <c r="R76" s="337"/>
      <c r="S76" s="337"/>
      <c r="T76" s="337"/>
      <c r="U76" s="337"/>
      <c r="V76" s="337"/>
      <c r="W76" s="289"/>
      <c r="X76" s="5"/>
    </row>
    <row r="77" spans="1:24" ht="15.75" x14ac:dyDescent="0.25">
      <c r="A77" s="285"/>
      <c r="B77" s="286"/>
      <c r="C77" s="337"/>
      <c r="D77" s="337"/>
      <c r="E77" s="337"/>
      <c r="F77" s="337"/>
      <c r="G77" s="337"/>
      <c r="H77" s="337"/>
      <c r="I77" s="337"/>
      <c r="J77" s="337"/>
      <c r="K77" s="337"/>
      <c r="L77" s="337"/>
      <c r="M77" s="337"/>
      <c r="N77" s="337"/>
      <c r="O77" s="337"/>
      <c r="P77" s="337"/>
      <c r="Q77" s="337"/>
      <c r="R77" s="337"/>
      <c r="S77" s="337"/>
      <c r="T77" s="337"/>
      <c r="U77" s="337"/>
      <c r="V77" s="337"/>
      <c r="W77" s="289"/>
      <c r="X77" s="5"/>
    </row>
    <row r="78" spans="1:24" ht="15.75" x14ac:dyDescent="0.25">
      <c r="A78" s="285"/>
      <c r="B78" s="286" t="s">
        <v>21</v>
      </c>
      <c r="C78" s="337"/>
      <c r="D78" s="337"/>
      <c r="E78" s="337"/>
      <c r="F78" s="337"/>
      <c r="G78" s="337"/>
      <c r="H78" s="337"/>
      <c r="I78" s="337"/>
      <c r="J78" s="337"/>
      <c r="K78" s="337"/>
      <c r="L78" s="337"/>
      <c r="M78" s="337"/>
      <c r="N78" s="337"/>
      <c r="O78" s="337"/>
      <c r="P78" s="337"/>
      <c r="Q78" s="337"/>
      <c r="R78" s="337"/>
      <c r="S78" s="337"/>
      <c r="T78" s="337"/>
      <c r="U78" s="337"/>
      <c r="V78" s="337"/>
      <c r="W78" s="289"/>
      <c r="X78" s="5"/>
    </row>
    <row r="79" spans="1:24" ht="15.75" x14ac:dyDescent="0.25">
      <c r="A79" s="285"/>
      <c r="B79" s="286"/>
      <c r="C79" s="337"/>
      <c r="D79" s="337"/>
      <c r="E79" s="337"/>
      <c r="F79" s="337"/>
      <c r="G79" s="337"/>
      <c r="H79" s="337"/>
      <c r="I79" s="337"/>
      <c r="J79" s="337"/>
      <c r="K79" s="337"/>
      <c r="L79" s="337"/>
      <c r="M79" s="337"/>
      <c r="N79" s="337"/>
      <c r="O79" s="337"/>
      <c r="P79" s="337"/>
      <c r="Q79" s="337"/>
      <c r="R79" s="337"/>
      <c r="S79" s="337"/>
      <c r="T79" s="337"/>
      <c r="U79" s="337"/>
      <c r="V79" s="337"/>
      <c r="W79" s="289"/>
      <c r="X79" s="5"/>
    </row>
    <row r="80" spans="1:24" ht="15.75" x14ac:dyDescent="0.25">
      <c r="A80" s="285"/>
      <c r="B80" s="286" t="s">
        <v>23</v>
      </c>
      <c r="C80" s="337"/>
      <c r="D80" s="337"/>
      <c r="E80" s="337"/>
      <c r="F80" s="337"/>
      <c r="G80" s="337"/>
      <c r="H80" s="337"/>
      <c r="I80" s="337"/>
      <c r="J80" s="337"/>
      <c r="K80" s="337"/>
      <c r="L80" s="337">
        <v>0</v>
      </c>
      <c r="M80" s="337"/>
      <c r="N80" s="337">
        <v>0</v>
      </c>
      <c r="O80" s="337"/>
      <c r="P80" s="337"/>
      <c r="Q80" s="337"/>
      <c r="R80" s="337"/>
      <c r="S80" s="337"/>
      <c r="T80" s="337"/>
      <c r="U80" s="337"/>
      <c r="V80" s="338">
        <v>0</v>
      </c>
      <c r="W80" s="289"/>
      <c r="X80" s="5"/>
    </row>
    <row r="81" spans="1:24" ht="15.75" x14ac:dyDescent="0.25">
      <c r="A81" s="285"/>
      <c r="B81" s="286" t="s">
        <v>117</v>
      </c>
      <c r="C81" s="337"/>
      <c r="D81" s="337"/>
      <c r="E81" s="337"/>
      <c r="F81" s="337"/>
      <c r="G81" s="337"/>
      <c r="H81" s="337"/>
      <c r="I81" s="337"/>
      <c r="J81" s="337"/>
      <c r="K81" s="337"/>
      <c r="L81" s="337">
        <v>188687</v>
      </c>
      <c r="M81" s="337"/>
      <c r="N81" s="337">
        <v>0</v>
      </c>
      <c r="O81" s="337"/>
      <c r="P81" s="337">
        <v>0</v>
      </c>
      <c r="Q81" s="337"/>
      <c r="R81" s="337"/>
      <c r="S81" s="337"/>
      <c r="T81" s="337"/>
      <c r="U81" s="337"/>
      <c r="V81" s="337">
        <f>SUM(N81:R81)</f>
        <v>0</v>
      </c>
      <c r="W81" s="289"/>
      <c r="X81" s="5"/>
    </row>
    <row r="82" spans="1:24" ht="15.75" x14ac:dyDescent="0.25">
      <c r="A82" s="285"/>
      <c r="B82" s="286"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89"/>
      <c r="X82" s="5"/>
    </row>
    <row r="83" spans="1:24" ht="15.75" x14ac:dyDescent="0.25">
      <c r="A83" s="285"/>
      <c r="B83" s="286" t="s">
        <v>25</v>
      </c>
      <c r="C83" s="337"/>
      <c r="D83" s="337"/>
      <c r="E83" s="337"/>
      <c r="F83" s="337"/>
      <c r="G83" s="337"/>
      <c r="H83" s="337"/>
      <c r="I83" s="337"/>
      <c r="J83" s="337"/>
      <c r="K83" s="337"/>
      <c r="L83" s="337">
        <v>0</v>
      </c>
      <c r="M83" s="337"/>
      <c r="N83" s="337">
        <v>0</v>
      </c>
      <c r="O83" s="337"/>
      <c r="P83" s="337"/>
      <c r="Q83" s="337"/>
      <c r="R83" s="337"/>
      <c r="S83" s="337"/>
      <c r="T83" s="337"/>
      <c r="U83" s="337"/>
      <c r="V83" s="337">
        <v>0</v>
      </c>
      <c r="W83" s="289"/>
      <c r="X83" s="5"/>
    </row>
    <row r="84" spans="1:24" ht="15.75" x14ac:dyDescent="0.25">
      <c r="A84" s="285"/>
      <c r="B84" s="286" t="s">
        <v>26</v>
      </c>
      <c r="C84" s="337"/>
      <c r="D84" s="337"/>
      <c r="E84" s="337"/>
      <c r="F84" s="337"/>
      <c r="G84" s="337"/>
      <c r="H84" s="337"/>
      <c r="I84" s="337"/>
      <c r="J84" s="337"/>
      <c r="K84" s="337"/>
      <c r="L84" s="337">
        <f>SUM(L71:L83)</f>
        <v>1001133</v>
      </c>
      <c r="M84" s="337"/>
      <c r="N84" s="337">
        <f>SUM(N71:N83)</f>
        <v>866464</v>
      </c>
      <c r="O84" s="337"/>
      <c r="P84" s="337"/>
      <c r="Q84" s="337"/>
      <c r="R84" s="337"/>
      <c r="S84" s="337"/>
      <c r="T84" s="337"/>
      <c r="U84" s="337"/>
      <c r="V84" s="337">
        <f>SUM(V71:V83)</f>
        <v>861437</v>
      </c>
      <c r="W84" s="289"/>
      <c r="X84" s="5"/>
    </row>
    <row r="85" spans="1:24" ht="15.75" x14ac:dyDescent="0.25">
      <c r="A85" s="181"/>
      <c r="B85" s="212"/>
      <c r="C85" s="335"/>
      <c r="D85" s="335"/>
      <c r="E85" s="335"/>
      <c r="F85" s="335"/>
      <c r="G85" s="335"/>
      <c r="H85" s="335"/>
      <c r="I85" s="335"/>
      <c r="J85" s="335"/>
      <c r="K85" s="335"/>
      <c r="L85" s="335"/>
      <c r="M85" s="335"/>
      <c r="N85" s="335"/>
      <c r="O85" s="335"/>
      <c r="P85" s="335"/>
      <c r="Q85" s="335"/>
      <c r="R85" s="335"/>
      <c r="S85" s="335"/>
      <c r="T85" s="335"/>
      <c r="U85" s="335"/>
      <c r="V85" s="336"/>
      <c r="W85" s="212"/>
      <c r="X85" s="5"/>
    </row>
    <row r="86" spans="1:24" ht="15.75" x14ac:dyDescent="0.25">
      <c r="A86" s="181"/>
      <c r="B86" s="183"/>
      <c r="C86" s="183"/>
      <c r="D86" s="183"/>
      <c r="E86" s="183"/>
      <c r="F86" s="183"/>
      <c r="G86" s="183"/>
      <c r="H86" s="183"/>
      <c r="I86" s="183"/>
      <c r="J86" s="183"/>
      <c r="K86" s="183"/>
      <c r="L86" s="183"/>
      <c r="M86" s="183"/>
      <c r="N86" s="183"/>
      <c r="O86" s="183"/>
      <c r="P86" s="183"/>
      <c r="Q86" s="183"/>
      <c r="R86" s="183"/>
      <c r="S86" s="183"/>
      <c r="T86" s="183"/>
      <c r="U86" s="183"/>
      <c r="V86" s="183"/>
      <c r="W86" s="183"/>
      <c r="X86" s="5"/>
    </row>
    <row r="87" spans="1:24" ht="15.75" x14ac:dyDescent="0.25">
      <c r="A87" s="224"/>
      <c r="B87" s="232" t="s">
        <v>27</v>
      </c>
      <c r="C87" s="232"/>
      <c r="D87" s="232"/>
      <c r="E87" s="232"/>
      <c r="F87" s="232"/>
      <c r="G87" s="232"/>
      <c r="H87" s="233"/>
      <c r="I87" s="233"/>
      <c r="J87" s="233"/>
      <c r="K87" s="233"/>
      <c r="L87" s="234" t="s">
        <v>95</v>
      </c>
      <c r="M87" s="233"/>
      <c r="N87" s="235">
        <f>+T201</f>
        <v>40326</v>
      </c>
      <c r="O87" s="233"/>
      <c r="P87" s="233"/>
      <c r="Q87" s="233"/>
      <c r="R87" s="233"/>
      <c r="S87" s="233"/>
      <c r="T87" s="233" t="s">
        <v>107</v>
      </c>
      <c r="U87" s="233"/>
      <c r="V87" s="233" t="s">
        <v>113</v>
      </c>
      <c r="W87" s="225"/>
      <c r="X87" s="5"/>
    </row>
    <row r="88" spans="1:24" ht="15.75" x14ac:dyDescent="0.25">
      <c r="A88" s="248"/>
      <c r="B88" s="250" t="s">
        <v>28</v>
      </c>
      <c r="C88" s="194"/>
      <c r="D88" s="194"/>
      <c r="E88" s="194"/>
      <c r="F88" s="194"/>
      <c r="G88" s="194"/>
      <c r="H88" s="194"/>
      <c r="I88" s="194"/>
      <c r="J88" s="194"/>
      <c r="K88" s="194"/>
      <c r="L88" s="194"/>
      <c r="M88" s="194"/>
      <c r="N88" s="194"/>
      <c r="O88" s="194"/>
      <c r="P88" s="194"/>
      <c r="Q88" s="194"/>
      <c r="R88" s="194"/>
      <c r="S88" s="194"/>
      <c r="T88" s="249">
        <v>0</v>
      </c>
      <c r="U88" s="250"/>
      <c r="V88" s="253">
        <v>0</v>
      </c>
      <c r="W88" s="194"/>
      <c r="X88" s="5"/>
    </row>
    <row r="89" spans="1:24" ht="15.75" x14ac:dyDescent="0.25">
      <c r="A89" s="295"/>
      <c r="B89" s="286" t="s">
        <v>29</v>
      </c>
      <c r="C89" s="314"/>
      <c r="D89" s="314"/>
      <c r="E89" s="314"/>
      <c r="F89" s="314"/>
      <c r="G89" s="314"/>
      <c r="H89" s="339"/>
      <c r="I89" s="339"/>
      <c r="J89" s="339"/>
      <c r="K89" s="340"/>
      <c r="L89" s="339"/>
      <c r="M89" s="314"/>
      <c r="N89" s="341"/>
      <c r="O89" s="314"/>
      <c r="P89" s="314"/>
      <c r="Q89" s="314"/>
      <c r="R89" s="314"/>
      <c r="S89" s="314"/>
      <c r="T89" s="337">
        <f>5458-759</f>
        <v>4699</v>
      </c>
      <c r="U89" s="286"/>
      <c r="V89" s="338"/>
      <c r="W89" s="318"/>
      <c r="X89" s="5"/>
    </row>
    <row r="90" spans="1:24" ht="15.75" x14ac:dyDescent="0.25">
      <c r="A90" s="295"/>
      <c r="B90" s="286" t="s">
        <v>215</v>
      </c>
      <c r="C90" s="314"/>
      <c r="D90" s="314"/>
      <c r="E90" s="314"/>
      <c r="F90" s="314"/>
      <c r="G90" s="314"/>
      <c r="H90" s="339"/>
      <c r="I90" s="339"/>
      <c r="J90" s="339"/>
      <c r="K90" s="340"/>
      <c r="L90" s="339"/>
      <c r="M90" s="314"/>
      <c r="N90" s="341"/>
      <c r="O90" s="314"/>
      <c r="P90" s="314"/>
      <c r="Q90" s="314"/>
      <c r="R90" s="314"/>
      <c r="S90" s="314"/>
      <c r="T90" s="337"/>
      <c r="U90" s="286"/>
      <c r="V90" s="338">
        <f>3901+3085-525-269+11</f>
        <v>6203</v>
      </c>
      <c r="W90" s="318"/>
      <c r="X90" s="5"/>
    </row>
    <row r="91" spans="1:24" ht="15.75" x14ac:dyDescent="0.25">
      <c r="A91" s="295"/>
      <c r="B91" s="286" t="s">
        <v>210</v>
      </c>
      <c r="C91" s="314"/>
      <c r="D91" s="314"/>
      <c r="E91" s="314"/>
      <c r="F91" s="314"/>
      <c r="G91" s="314"/>
      <c r="H91" s="339"/>
      <c r="I91" s="339"/>
      <c r="J91" s="339"/>
      <c r="K91" s="340"/>
      <c r="L91" s="339"/>
      <c r="M91" s="314"/>
      <c r="N91" s="341"/>
      <c r="O91" s="314"/>
      <c r="P91" s="314"/>
      <c r="Q91" s="314"/>
      <c r="R91" s="314"/>
      <c r="S91" s="314"/>
      <c r="T91" s="337"/>
      <c r="U91" s="286"/>
      <c r="V91" s="338">
        <f>84+24</f>
        <v>108</v>
      </c>
      <c r="W91" s="318"/>
      <c r="X91" s="5"/>
    </row>
    <row r="92" spans="1:24" ht="15.75" x14ac:dyDescent="0.25">
      <c r="A92" s="295"/>
      <c r="B92" s="286" t="s">
        <v>211</v>
      </c>
      <c r="C92" s="314"/>
      <c r="D92" s="314"/>
      <c r="E92" s="314"/>
      <c r="F92" s="314"/>
      <c r="G92" s="314"/>
      <c r="H92" s="339"/>
      <c r="I92" s="339"/>
      <c r="J92" s="339"/>
      <c r="K92" s="340"/>
      <c r="L92" s="339"/>
      <c r="M92" s="314"/>
      <c r="N92" s="341"/>
      <c r="O92" s="314"/>
      <c r="P92" s="314"/>
      <c r="Q92" s="314"/>
      <c r="R92" s="314"/>
      <c r="S92" s="314"/>
      <c r="T92" s="337"/>
      <c r="U92" s="286"/>
      <c r="V92" s="338">
        <v>33</v>
      </c>
      <c r="W92" s="318"/>
      <c r="X92" s="5"/>
    </row>
    <row r="93" spans="1:24" ht="15.75" x14ac:dyDescent="0.25">
      <c r="A93" s="295"/>
      <c r="B93" s="286" t="s">
        <v>233</v>
      </c>
      <c r="C93" s="314"/>
      <c r="D93" s="314"/>
      <c r="E93" s="314"/>
      <c r="F93" s="314"/>
      <c r="G93" s="314"/>
      <c r="H93" s="339"/>
      <c r="I93" s="339"/>
      <c r="J93" s="339"/>
      <c r="K93" s="340"/>
      <c r="L93" s="339"/>
      <c r="M93" s="314"/>
      <c r="N93" s="341"/>
      <c r="O93" s="314"/>
      <c r="P93" s="314"/>
      <c r="Q93" s="314"/>
      <c r="R93" s="314"/>
      <c r="S93" s="314"/>
      <c r="T93" s="337"/>
      <c r="U93" s="286"/>
      <c r="V93" s="338">
        <v>0</v>
      </c>
      <c r="W93" s="318"/>
      <c r="X93" s="5"/>
    </row>
    <row r="94" spans="1:24" ht="15.75" x14ac:dyDescent="0.25">
      <c r="A94" s="295"/>
      <c r="B94" s="286" t="s">
        <v>235</v>
      </c>
      <c r="C94" s="314"/>
      <c r="D94" s="314"/>
      <c r="E94" s="314"/>
      <c r="F94" s="314"/>
      <c r="G94" s="314"/>
      <c r="H94" s="339"/>
      <c r="I94" s="339"/>
      <c r="J94" s="339"/>
      <c r="K94" s="340"/>
      <c r="L94" s="339"/>
      <c r="M94" s="314"/>
      <c r="N94" s="341"/>
      <c r="O94" s="314"/>
      <c r="P94" s="314"/>
      <c r="Q94" s="314"/>
      <c r="R94" s="314"/>
      <c r="S94" s="314"/>
      <c r="T94" s="337"/>
      <c r="U94" s="286"/>
      <c r="V94" s="338">
        <v>0</v>
      </c>
      <c r="W94" s="318"/>
      <c r="X94" s="5"/>
    </row>
    <row r="95" spans="1:24" ht="15.75" x14ac:dyDescent="0.25">
      <c r="A95" s="295"/>
      <c r="B95" s="286" t="s">
        <v>135</v>
      </c>
      <c r="C95" s="314"/>
      <c r="D95" s="314"/>
      <c r="E95" s="314"/>
      <c r="F95" s="314"/>
      <c r="G95" s="314"/>
      <c r="H95" s="314"/>
      <c r="I95" s="314"/>
      <c r="J95" s="314"/>
      <c r="K95" s="314"/>
      <c r="L95" s="314"/>
      <c r="M95" s="314"/>
      <c r="N95" s="314"/>
      <c r="O95" s="314"/>
      <c r="P95" s="314"/>
      <c r="Q95" s="314"/>
      <c r="R95" s="314"/>
      <c r="S95" s="314"/>
      <c r="T95" s="337"/>
      <c r="U95" s="286"/>
      <c r="V95" s="338">
        <v>0</v>
      </c>
      <c r="W95" s="318"/>
      <c r="X95" s="5"/>
    </row>
    <row r="96" spans="1:24" ht="15.75" x14ac:dyDescent="0.25">
      <c r="A96" s="295"/>
      <c r="B96" s="286" t="s">
        <v>272</v>
      </c>
      <c r="C96" s="314"/>
      <c r="D96" s="314"/>
      <c r="E96" s="314"/>
      <c r="F96" s="314"/>
      <c r="G96" s="314"/>
      <c r="H96" s="314"/>
      <c r="I96" s="314"/>
      <c r="J96" s="314"/>
      <c r="K96" s="314"/>
      <c r="L96" s="314"/>
      <c r="M96" s="314"/>
      <c r="N96" s="314"/>
      <c r="O96" s="314"/>
      <c r="P96" s="314"/>
      <c r="Q96" s="314"/>
      <c r="R96" s="314"/>
      <c r="S96" s="314"/>
      <c r="T96" s="337"/>
      <c r="U96" s="286"/>
      <c r="V96" s="338">
        <v>0</v>
      </c>
      <c r="W96" s="318"/>
      <c r="X96" s="5"/>
    </row>
    <row r="97" spans="1:25" ht="15.75" x14ac:dyDescent="0.25">
      <c r="A97" s="295"/>
      <c r="B97" s="286" t="s">
        <v>30</v>
      </c>
      <c r="C97" s="314"/>
      <c r="D97" s="314"/>
      <c r="E97" s="314"/>
      <c r="F97" s="314"/>
      <c r="G97" s="314"/>
      <c r="H97" s="314"/>
      <c r="I97" s="314"/>
      <c r="J97" s="314"/>
      <c r="K97" s="314"/>
      <c r="L97" s="314"/>
      <c r="M97" s="314"/>
      <c r="N97" s="314"/>
      <c r="O97" s="314"/>
      <c r="P97" s="314"/>
      <c r="Q97" s="314"/>
      <c r="R97" s="314"/>
      <c r="S97" s="314"/>
      <c r="T97" s="337">
        <f>SUM(T88:T96)</f>
        <v>4699</v>
      </c>
      <c r="U97" s="286"/>
      <c r="V97" s="337">
        <f>SUM(V88:V96)</f>
        <v>6344</v>
      </c>
      <c r="W97" s="318"/>
      <c r="X97" s="5"/>
    </row>
    <row r="98" spans="1:25" ht="15.75" x14ac:dyDescent="0.25">
      <c r="A98" s="295"/>
      <c r="B98" s="286" t="s">
        <v>161</v>
      </c>
      <c r="C98" s="314"/>
      <c r="D98" s="314"/>
      <c r="E98" s="314"/>
      <c r="F98" s="314"/>
      <c r="G98" s="314"/>
      <c r="H98" s="314"/>
      <c r="I98" s="314"/>
      <c r="J98" s="314"/>
      <c r="K98" s="314"/>
      <c r="L98" s="314"/>
      <c r="M98" s="314"/>
      <c r="N98" s="314"/>
      <c r="O98" s="314"/>
      <c r="P98" s="314"/>
      <c r="Q98" s="314"/>
      <c r="R98" s="314"/>
      <c r="S98" s="314"/>
      <c r="T98" s="337">
        <f>-V98</f>
        <v>-16</v>
      </c>
      <c r="U98" s="286"/>
      <c r="V98" s="337">
        <v>16</v>
      </c>
      <c r="W98" s="318"/>
      <c r="X98" s="5"/>
    </row>
    <row r="99" spans="1:25" ht="15.75" x14ac:dyDescent="0.25">
      <c r="A99" s="295"/>
      <c r="B99" s="286" t="s">
        <v>31</v>
      </c>
      <c r="C99" s="314"/>
      <c r="D99" s="314"/>
      <c r="E99" s="314"/>
      <c r="F99" s="314"/>
      <c r="G99" s="314"/>
      <c r="H99" s="314"/>
      <c r="I99" s="314"/>
      <c r="J99" s="314"/>
      <c r="K99" s="314"/>
      <c r="L99" s="314"/>
      <c r="M99" s="314"/>
      <c r="N99" s="314"/>
      <c r="O99" s="314"/>
      <c r="P99" s="314"/>
      <c r="Q99" s="314"/>
      <c r="R99" s="314"/>
      <c r="S99" s="314"/>
      <c r="T99" s="337">
        <f>-V99</f>
        <v>0</v>
      </c>
      <c r="U99" s="286"/>
      <c r="V99" s="338">
        <v>0</v>
      </c>
      <c r="W99" s="318"/>
      <c r="X99" s="5"/>
    </row>
    <row r="100" spans="1:25" ht="15.75" x14ac:dyDescent="0.25">
      <c r="A100" s="295"/>
      <c r="B100" s="286" t="s">
        <v>274</v>
      </c>
      <c r="C100" s="314"/>
      <c r="D100" s="314"/>
      <c r="E100" s="314"/>
      <c r="F100" s="314"/>
      <c r="G100" s="314"/>
      <c r="H100" s="314"/>
      <c r="I100" s="314"/>
      <c r="J100" s="314"/>
      <c r="K100" s="314"/>
      <c r="L100" s="314"/>
      <c r="M100" s="314"/>
      <c r="N100" s="314"/>
      <c r="O100" s="314"/>
      <c r="P100" s="314"/>
      <c r="Q100" s="314"/>
      <c r="R100" s="314"/>
      <c r="S100" s="314"/>
      <c r="T100" s="337"/>
      <c r="U100" s="286"/>
      <c r="V100" s="338">
        <v>-101</v>
      </c>
      <c r="W100" s="318"/>
      <c r="X100" s="5"/>
    </row>
    <row r="101" spans="1:25" ht="15.75" x14ac:dyDescent="0.25">
      <c r="A101" s="295"/>
      <c r="B101" s="286" t="s">
        <v>32</v>
      </c>
      <c r="C101" s="314"/>
      <c r="D101" s="314"/>
      <c r="E101" s="314"/>
      <c r="F101" s="314"/>
      <c r="G101" s="314"/>
      <c r="H101" s="314"/>
      <c r="I101" s="314"/>
      <c r="J101" s="314"/>
      <c r="K101" s="314"/>
      <c r="L101" s="314"/>
      <c r="M101" s="314"/>
      <c r="N101" s="314"/>
      <c r="O101" s="314"/>
      <c r="P101" s="314"/>
      <c r="Q101" s="314"/>
      <c r="R101" s="314"/>
      <c r="S101" s="314"/>
      <c r="T101" s="337">
        <f>T97+T99+T98</f>
        <v>4683</v>
      </c>
      <c r="U101" s="286"/>
      <c r="V101" s="337">
        <f>V97+V99+V98+V100</f>
        <v>6259</v>
      </c>
      <c r="W101" s="318"/>
      <c r="X101" s="5"/>
    </row>
    <row r="102" spans="1:25" ht="15.75" x14ac:dyDescent="0.25">
      <c r="A102" s="285"/>
      <c r="B102" s="342" t="s">
        <v>33</v>
      </c>
      <c r="C102" s="314"/>
      <c r="D102" s="314"/>
      <c r="E102" s="314"/>
      <c r="F102" s="314"/>
      <c r="G102" s="314"/>
      <c r="H102" s="314"/>
      <c r="I102" s="314"/>
      <c r="J102" s="314"/>
      <c r="K102" s="314"/>
      <c r="L102" s="314"/>
      <c r="M102" s="314"/>
      <c r="N102" s="314"/>
      <c r="O102" s="314"/>
      <c r="P102" s="314"/>
      <c r="Q102" s="314"/>
      <c r="R102" s="314"/>
      <c r="S102" s="314"/>
      <c r="T102" s="337"/>
      <c r="U102" s="286"/>
      <c r="V102" s="338"/>
      <c r="W102" s="318"/>
      <c r="X102" s="5"/>
    </row>
    <row r="103" spans="1:25" ht="15.75" x14ac:dyDescent="0.25">
      <c r="A103" s="295">
        <v>1</v>
      </c>
      <c r="B103" s="286" t="s">
        <v>34</v>
      </c>
      <c r="C103" s="286"/>
      <c r="D103" s="286"/>
      <c r="E103" s="314"/>
      <c r="F103" s="314"/>
      <c r="G103" s="314"/>
      <c r="H103" s="314"/>
      <c r="I103" s="314"/>
      <c r="J103" s="314"/>
      <c r="K103" s="314"/>
      <c r="L103" s="314"/>
      <c r="M103" s="314"/>
      <c r="N103" s="314"/>
      <c r="O103" s="314"/>
      <c r="P103" s="314"/>
      <c r="Q103" s="314"/>
      <c r="R103" s="314"/>
      <c r="S103" s="314"/>
      <c r="T103" s="286"/>
      <c r="U103" s="286"/>
      <c r="V103" s="338">
        <v>0</v>
      </c>
      <c r="W103" s="318"/>
      <c r="X103" s="5"/>
    </row>
    <row r="104" spans="1:25" ht="15.75" x14ac:dyDescent="0.25">
      <c r="A104" s="295">
        <f>+A103+1</f>
        <v>2</v>
      </c>
      <c r="B104" s="286" t="s">
        <v>221</v>
      </c>
      <c r="C104" s="286"/>
      <c r="D104" s="286"/>
      <c r="E104" s="314"/>
      <c r="F104" s="314"/>
      <c r="G104" s="314"/>
      <c r="H104" s="314"/>
      <c r="I104" s="314"/>
      <c r="J104" s="314"/>
      <c r="K104" s="314"/>
      <c r="L104" s="314"/>
      <c r="M104" s="314"/>
      <c r="N104" s="314"/>
      <c r="O104" s="314"/>
      <c r="P104" s="314"/>
      <c r="Q104" s="314"/>
      <c r="R104" s="314"/>
      <c r="S104" s="314"/>
      <c r="T104" s="286"/>
      <c r="U104" s="286"/>
      <c r="V104" s="338">
        <v>-2</v>
      </c>
      <c r="W104" s="318"/>
      <c r="X104" s="5"/>
    </row>
    <row r="105" spans="1:25" ht="15.75" x14ac:dyDescent="0.25">
      <c r="A105" s="295">
        <f>+A104+1</f>
        <v>3</v>
      </c>
      <c r="B105" s="286" t="s">
        <v>204</v>
      </c>
      <c r="C105" s="286"/>
      <c r="D105" s="286"/>
      <c r="E105" s="314"/>
      <c r="F105" s="314"/>
      <c r="G105" s="314"/>
      <c r="H105" s="314"/>
      <c r="I105" s="314"/>
      <c r="J105" s="314"/>
      <c r="K105" s="314"/>
      <c r="L105" s="314"/>
      <c r="M105" s="314"/>
      <c r="N105" s="314"/>
      <c r="O105" s="314"/>
      <c r="P105" s="314"/>
      <c r="Q105" s="314"/>
      <c r="R105" s="314"/>
      <c r="S105" s="314"/>
      <c r="T105" s="286"/>
      <c r="U105" s="286"/>
      <c r="V105" s="338">
        <f>-329-289-10</f>
        <v>-628</v>
      </c>
      <c r="W105" s="318"/>
      <c r="X105" s="5"/>
    </row>
    <row r="106" spans="1:25" ht="15.75" x14ac:dyDescent="0.25">
      <c r="A106" s="295" t="s">
        <v>127</v>
      </c>
      <c r="B106" s="286" t="s">
        <v>116</v>
      </c>
      <c r="C106" s="286"/>
      <c r="D106" s="286"/>
      <c r="E106" s="314"/>
      <c r="F106" s="314"/>
      <c r="G106" s="314"/>
      <c r="H106" s="314"/>
      <c r="I106" s="314"/>
      <c r="J106" s="314"/>
      <c r="K106" s="314"/>
      <c r="L106" s="314"/>
      <c r="M106" s="314"/>
      <c r="N106" s="314"/>
      <c r="O106" s="314"/>
      <c r="P106" s="314"/>
      <c r="Q106" s="314"/>
      <c r="R106" s="314"/>
      <c r="S106" s="314"/>
      <c r="T106" s="286"/>
      <c r="U106" s="286"/>
      <c r="V106" s="338">
        <v>-817</v>
      </c>
      <c r="W106" s="318"/>
      <c r="X106" s="5"/>
    </row>
    <row r="107" spans="1:25" ht="15.75" x14ac:dyDescent="0.25">
      <c r="A107" s="295" t="s">
        <v>128</v>
      </c>
      <c r="B107" s="286" t="s">
        <v>220</v>
      </c>
      <c r="C107" s="286"/>
      <c r="D107" s="286"/>
      <c r="E107" s="314"/>
      <c r="F107" s="314"/>
      <c r="G107" s="314"/>
      <c r="H107" s="314"/>
      <c r="I107" s="314"/>
      <c r="J107" s="314"/>
      <c r="K107" s="314"/>
      <c r="L107" s="314"/>
      <c r="M107" s="314"/>
      <c r="N107" s="314"/>
      <c r="O107" s="314"/>
      <c r="P107" s="314"/>
      <c r="Q107" s="314"/>
      <c r="R107" s="314"/>
      <c r="S107" s="314"/>
      <c r="T107" s="286"/>
      <c r="U107" s="286"/>
      <c r="V107" s="338">
        <f>-1380+344</f>
        <v>-1036</v>
      </c>
      <c r="W107" s="318"/>
      <c r="X107" s="5"/>
      <c r="Y107" s="109"/>
    </row>
    <row r="108" spans="1:25" ht="15.75" x14ac:dyDescent="0.25">
      <c r="A108" s="295" t="s">
        <v>150</v>
      </c>
      <c r="B108" s="286" t="s">
        <v>184</v>
      </c>
      <c r="C108" s="286"/>
      <c r="D108" s="286"/>
      <c r="E108" s="314"/>
      <c r="F108" s="314"/>
      <c r="G108" s="314"/>
      <c r="H108" s="314"/>
      <c r="I108" s="314"/>
      <c r="J108" s="314"/>
      <c r="K108" s="314"/>
      <c r="L108" s="314"/>
      <c r="M108" s="314"/>
      <c r="N108" s="314"/>
      <c r="O108" s="314"/>
      <c r="P108" s="314"/>
      <c r="Q108" s="314"/>
      <c r="R108" s="314"/>
      <c r="S108" s="314"/>
      <c r="T108" s="286"/>
      <c r="U108" s="286"/>
      <c r="V108" s="338">
        <v>-344</v>
      </c>
      <c r="W108" s="318"/>
      <c r="X108" s="5"/>
      <c r="Y108" s="109"/>
    </row>
    <row r="109" spans="1:25" ht="15.75" x14ac:dyDescent="0.25">
      <c r="A109" s="295" t="s">
        <v>205</v>
      </c>
      <c r="B109" s="286" t="s">
        <v>185</v>
      </c>
      <c r="C109" s="286"/>
      <c r="D109" s="286"/>
      <c r="E109" s="314"/>
      <c r="F109" s="314"/>
      <c r="G109" s="314"/>
      <c r="H109" s="314"/>
      <c r="I109" s="314"/>
      <c r="J109" s="314"/>
      <c r="K109" s="314"/>
      <c r="L109" s="314"/>
      <c r="M109" s="314"/>
      <c r="N109" s="314"/>
      <c r="O109" s="314"/>
      <c r="P109" s="314"/>
      <c r="Q109" s="314"/>
      <c r="R109" s="314"/>
      <c r="S109" s="314"/>
      <c r="T109" s="286"/>
      <c r="U109" s="286"/>
      <c r="V109" s="338">
        <v>-139</v>
      </c>
      <c r="W109" s="318"/>
      <c r="X109" s="5"/>
      <c r="Y109" s="109"/>
    </row>
    <row r="110" spans="1:25" ht="15.75" x14ac:dyDescent="0.25">
      <c r="A110" s="295" t="s">
        <v>206</v>
      </c>
      <c r="B110" s="286" t="s">
        <v>186</v>
      </c>
      <c r="C110" s="286"/>
      <c r="D110" s="286"/>
      <c r="E110" s="314"/>
      <c r="F110" s="314"/>
      <c r="G110" s="314"/>
      <c r="H110" s="314"/>
      <c r="I110" s="314"/>
      <c r="J110" s="314"/>
      <c r="K110" s="314"/>
      <c r="L110" s="314"/>
      <c r="M110" s="314"/>
      <c r="N110" s="314"/>
      <c r="O110" s="314"/>
      <c r="P110" s="314"/>
      <c r="Q110" s="314"/>
      <c r="R110" s="314"/>
      <c r="S110" s="314"/>
      <c r="T110" s="286"/>
      <c r="U110" s="286"/>
      <c r="V110" s="338">
        <v>-39</v>
      </c>
      <c r="W110" s="318"/>
      <c r="X110" s="5"/>
      <c r="Y110" s="109"/>
    </row>
    <row r="111" spans="1:25" ht="15.75" x14ac:dyDescent="0.25">
      <c r="A111" s="295">
        <v>6</v>
      </c>
      <c r="B111" s="286" t="s">
        <v>196</v>
      </c>
      <c r="C111" s="286"/>
      <c r="D111" s="286"/>
      <c r="E111" s="314"/>
      <c r="F111" s="314"/>
      <c r="G111" s="314"/>
      <c r="H111" s="314"/>
      <c r="I111" s="314"/>
      <c r="J111" s="314"/>
      <c r="K111" s="314"/>
      <c r="L111" s="314"/>
      <c r="M111" s="314"/>
      <c r="N111" s="314"/>
      <c r="O111" s="314"/>
      <c r="P111" s="314"/>
      <c r="Q111" s="314"/>
      <c r="R111" s="314"/>
      <c r="S111" s="314"/>
      <c r="T111" s="286"/>
      <c r="U111" s="286"/>
      <c r="V111" s="338">
        <v>-238</v>
      </c>
      <c r="W111" s="318"/>
      <c r="X111" s="5"/>
      <c r="Y111" s="109"/>
    </row>
    <row r="112" spans="1:25" ht="15.75" x14ac:dyDescent="0.25">
      <c r="A112" s="295">
        <v>7</v>
      </c>
      <c r="B112" s="286" t="s">
        <v>35</v>
      </c>
      <c r="C112" s="286"/>
      <c r="D112" s="286"/>
      <c r="E112" s="314"/>
      <c r="F112" s="314"/>
      <c r="G112" s="314"/>
      <c r="H112" s="314"/>
      <c r="I112" s="314"/>
      <c r="J112" s="314"/>
      <c r="K112" s="314"/>
      <c r="L112" s="314"/>
      <c r="M112" s="314"/>
      <c r="N112" s="314"/>
      <c r="O112" s="314"/>
      <c r="P112" s="314"/>
      <c r="Q112" s="314"/>
      <c r="R112" s="314"/>
      <c r="S112" s="314"/>
      <c r="T112" s="286"/>
      <c r="U112" s="286"/>
      <c r="V112" s="338">
        <v>-9</v>
      </c>
      <c r="W112" s="318"/>
      <c r="X112" s="5"/>
    </row>
    <row r="113" spans="1:24" ht="15.75" x14ac:dyDescent="0.25">
      <c r="A113" s="295">
        <f t="shared" ref="A113:A118" si="0">+A112+1</f>
        <v>8</v>
      </c>
      <c r="B113" s="286" t="s">
        <v>45</v>
      </c>
      <c r="C113" s="286"/>
      <c r="D113" s="286"/>
      <c r="E113" s="314"/>
      <c r="F113" s="314"/>
      <c r="G113" s="314"/>
      <c r="H113" s="314"/>
      <c r="I113" s="314"/>
      <c r="J113" s="314"/>
      <c r="K113" s="314"/>
      <c r="L113" s="314"/>
      <c r="M113" s="314"/>
      <c r="N113" s="314"/>
      <c r="O113" s="314"/>
      <c r="P113" s="314"/>
      <c r="Q113" s="314"/>
      <c r="R113" s="314"/>
      <c r="S113" s="314"/>
      <c r="T113" s="337">
        <f>-V113</f>
        <v>759</v>
      </c>
      <c r="U113" s="286"/>
      <c r="V113" s="338">
        <v>-759</v>
      </c>
      <c r="W113" s="318"/>
      <c r="X113" s="5"/>
    </row>
    <row r="114" spans="1:24" ht="15.75" x14ac:dyDescent="0.25">
      <c r="A114" s="295">
        <f t="shared" si="0"/>
        <v>9</v>
      </c>
      <c r="B114" s="286" t="s">
        <v>125</v>
      </c>
      <c r="C114" s="286"/>
      <c r="D114" s="286"/>
      <c r="E114" s="314"/>
      <c r="F114" s="314"/>
      <c r="G114" s="314"/>
      <c r="H114" s="314"/>
      <c r="I114" s="314"/>
      <c r="J114" s="314"/>
      <c r="K114" s="314"/>
      <c r="L114" s="314"/>
      <c r="M114" s="314"/>
      <c r="N114" s="314"/>
      <c r="O114" s="314"/>
      <c r="P114" s="314"/>
      <c r="Q114" s="314"/>
      <c r="R114" s="314"/>
      <c r="S114" s="314"/>
      <c r="T114" s="286"/>
      <c r="U114" s="286"/>
      <c r="V114" s="338">
        <v>0</v>
      </c>
      <c r="W114" s="318"/>
      <c r="X114" s="5"/>
    </row>
    <row r="115" spans="1:24" ht="15.75" x14ac:dyDescent="0.25">
      <c r="A115" s="295">
        <f t="shared" si="0"/>
        <v>10</v>
      </c>
      <c r="B115" s="286" t="s">
        <v>225</v>
      </c>
      <c r="C115" s="286"/>
      <c r="D115" s="286"/>
      <c r="E115" s="314"/>
      <c r="F115" s="314"/>
      <c r="G115" s="314"/>
      <c r="H115" s="314"/>
      <c r="I115" s="314"/>
      <c r="J115" s="314"/>
      <c r="K115" s="314"/>
      <c r="L115" s="314"/>
      <c r="M115" s="314"/>
      <c r="N115" s="314"/>
      <c r="O115" s="314"/>
      <c r="P115" s="314"/>
      <c r="Q115" s="314"/>
      <c r="R115" s="314"/>
      <c r="S115" s="314"/>
      <c r="T115" s="286"/>
      <c r="U115" s="286"/>
      <c r="V115" s="338">
        <v>0</v>
      </c>
      <c r="W115" s="318"/>
      <c r="X115" s="5"/>
    </row>
    <row r="116" spans="1:24" ht="15.75" x14ac:dyDescent="0.25">
      <c r="A116" s="295">
        <f t="shared" si="0"/>
        <v>11</v>
      </c>
      <c r="B116" s="286" t="s">
        <v>36</v>
      </c>
      <c r="C116" s="286"/>
      <c r="D116" s="286"/>
      <c r="E116" s="314"/>
      <c r="F116" s="314"/>
      <c r="G116" s="314"/>
      <c r="H116" s="314"/>
      <c r="I116" s="314"/>
      <c r="J116" s="314"/>
      <c r="K116" s="314"/>
      <c r="L116" s="314"/>
      <c r="M116" s="314"/>
      <c r="N116" s="314"/>
      <c r="O116" s="314"/>
      <c r="P116" s="314"/>
      <c r="Q116" s="314"/>
      <c r="R116" s="314"/>
      <c r="S116" s="314"/>
      <c r="T116" s="286"/>
      <c r="U116" s="286"/>
      <c r="V116" s="338">
        <v>0</v>
      </c>
      <c r="W116" s="318"/>
      <c r="X116" s="5"/>
    </row>
    <row r="117" spans="1:24" ht="15.75" x14ac:dyDescent="0.25">
      <c r="A117" s="295">
        <f t="shared" si="0"/>
        <v>12</v>
      </c>
      <c r="B117" s="286" t="s">
        <v>149</v>
      </c>
      <c r="C117" s="286"/>
      <c r="D117" s="286"/>
      <c r="E117" s="314"/>
      <c r="F117" s="314"/>
      <c r="G117" s="314"/>
      <c r="H117" s="314"/>
      <c r="I117" s="314"/>
      <c r="J117" s="314"/>
      <c r="K117" s="314"/>
      <c r="L117" s="314"/>
      <c r="M117" s="314"/>
      <c r="N117" s="314"/>
      <c r="O117" s="314"/>
      <c r="P117" s="314"/>
      <c r="Q117" s="314"/>
      <c r="R117" s="314"/>
      <c r="S117" s="314"/>
      <c r="T117" s="286"/>
      <c r="U117" s="286"/>
      <c r="V117" s="338">
        <v>-328</v>
      </c>
      <c r="W117" s="318"/>
      <c r="X117" s="5"/>
    </row>
    <row r="118" spans="1:24" ht="15.75" x14ac:dyDescent="0.25">
      <c r="A118" s="295">
        <f t="shared" si="0"/>
        <v>13</v>
      </c>
      <c r="B118" s="286" t="s">
        <v>126</v>
      </c>
      <c r="C118" s="286"/>
      <c r="D118" s="286"/>
      <c r="E118" s="314"/>
      <c r="F118" s="314"/>
      <c r="G118" s="314"/>
      <c r="H118" s="314"/>
      <c r="I118" s="314"/>
      <c r="J118" s="314"/>
      <c r="K118" s="314"/>
      <c r="L118" s="314"/>
      <c r="M118" s="314"/>
      <c r="N118" s="314"/>
      <c r="O118" s="314"/>
      <c r="P118" s="314"/>
      <c r="Q118" s="314"/>
      <c r="R118" s="314"/>
      <c r="S118" s="314"/>
      <c r="T118" s="286"/>
      <c r="U118" s="286"/>
      <c r="V118" s="338">
        <f>-V101-SUM(V103:V117)</f>
        <v>-1920</v>
      </c>
      <c r="W118" s="318"/>
      <c r="X118" s="5"/>
    </row>
    <row r="119" spans="1:24" ht="15.75" x14ac:dyDescent="0.25">
      <c r="A119" s="285"/>
      <c r="B119" s="342" t="s">
        <v>37</v>
      </c>
      <c r="C119" s="314"/>
      <c r="D119" s="314"/>
      <c r="E119" s="314"/>
      <c r="F119" s="314"/>
      <c r="G119" s="314"/>
      <c r="H119" s="314"/>
      <c r="I119" s="314"/>
      <c r="J119" s="314"/>
      <c r="K119" s="314"/>
      <c r="L119" s="314"/>
      <c r="M119" s="314"/>
      <c r="N119" s="314"/>
      <c r="O119" s="314"/>
      <c r="P119" s="314"/>
      <c r="Q119" s="314"/>
      <c r="R119" s="314"/>
      <c r="S119" s="314"/>
      <c r="T119" s="286"/>
      <c r="U119" s="286"/>
      <c r="V119" s="343"/>
      <c r="W119" s="318"/>
      <c r="X119" s="5"/>
    </row>
    <row r="120" spans="1:24" ht="15.75" x14ac:dyDescent="0.25">
      <c r="A120" s="285"/>
      <c r="B120" s="286" t="s">
        <v>173</v>
      </c>
      <c r="C120" s="314"/>
      <c r="D120" s="314"/>
      <c r="E120" s="314"/>
      <c r="F120" s="314"/>
      <c r="G120" s="314"/>
      <c r="H120" s="314"/>
      <c r="I120" s="314"/>
      <c r="J120" s="314"/>
      <c r="K120" s="314"/>
      <c r="L120" s="314"/>
      <c r="M120" s="314"/>
      <c r="N120" s="314"/>
      <c r="O120" s="314"/>
      <c r="P120" s="314"/>
      <c r="Q120" s="314"/>
      <c r="R120" s="314"/>
      <c r="S120" s="314"/>
      <c r="T120" s="337">
        <f>-T185</f>
        <v>0</v>
      </c>
      <c r="U120" s="337"/>
      <c r="V120" s="338"/>
      <c r="W120" s="318"/>
      <c r="X120" s="5"/>
    </row>
    <row r="121" spans="1:24" ht="15.75" x14ac:dyDescent="0.25">
      <c r="A121" s="285"/>
      <c r="B121" s="286" t="s">
        <v>174</v>
      </c>
      <c r="C121" s="314"/>
      <c r="D121" s="314"/>
      <c r="E121" s="314"/>
      <c r="F121" s="314"/>
      <c r="G121" s="314"/>
      <c r="H121" s="314"/>
      <c r="I121" s="314"/>
      <c r="J121" s="314"/>
      <c r="K121" s="314"/>
      <c r="L121" s="314"/>
      <c r="M121" s="314"/>
      <c r="N121" s="314"/>
      <c r="O121" s="314"/>
      <c r="P121" s="314"/>
      <c r="Q121" s="314"/>
      <c r="R121" s="314"/>
      <c r="S121" s="314"/>
      <c r="T121" s="337">
        <v>0</v>
      </c>
      <c r="U121" s="337"/>
      <c r="V121" s="338"/>
      <c r="W121" s="318"/>
      <c r="X121" s="5"/>
    </row>
    <row r="122" spans="1:24" ht="15.75" x14ac:dyDescent="0.25">
      <c r="A122" s="285"/>
      <c r="B122" s="286" t="s">
        <v>38</v>
      </c>
      <c r="C122" s="314"/>
      <c r="D122" s="314"/>
      <c r="E122" s="314"/>
      <c r="F122" s="314"/>
      <c r="G122" s="314"/>
      <c r="H122" s="314"/>
      <c r="I122" s="314"/>
      <c r="J122" s="314"/>
      <c r="K122" s="314"/>
      <c r="L122" s="314"/>
      <c r="M122" s="314"/>
      <c r="N122" s="314"/>
      <c r="O122" s="314"/>
      <c r="P122" s="314"/>
      <c r="Q122" s="314"/>
      <c r="R122" s="314"/>
      <c r="S122" s="314"/>
      <c r="T122" s="337">
        <f>-S185</f>
        <v>-415</v>
      </c>
      <c r="U122" s="337"/>
      <c r="V122" s="338"/>
      <c r="W122" s="318"/>
      <c r="X122" s="5"/>
    </row>
    <row r="123" spans="1:24" ht="15.75" x14ac:dyDescent="0.25">
      <c r="A123" s="285"/>
      <c r="B123" s="286" t="s">
        <v>197</v>
      </c>
      <c r="C123" s="314"/>
      <c r="D123" s="314"/>
      <c r="E123" s="314"/>
      <c r="F123" s="314"/>
      <c r="G123" s="314"/>
      <c r="H123" s="314"/>
      <c r="I123" s="314"/>
      <c r="J123" s="314"/>
      <c r="K123" s="314"/>
      <c r="L123" s="314"/>
      <c r="M123" s="314"/>
      <c r="N123" s="314"/>
      <c r="O123" s="314"/>
      <c r="P123" s="314"/>
      <c r="Q123" s="314"/>
      <c r="R123" s="314"/>
      <c r="S123" s="314"/>
      <c r="T123" s="337">
        <v>-2912</v>
      </c>
      <c r="U123" s="337"/>
      <c r="V123" s="338"/>
      <c r="W123" s="318"/>
      <c r="X123" s="5"/>
    </row>
    <row r="124" spans="1:24" ht="15.75" x14ac:dyDescent="0.25">
      <c r="A124" s="285"/>
      <c r="B124" s="286" t="s">
        <v>195</v>
      </c>
      <c r="C124" s="314"/>
      <c r="D124" s="314"/>
      <c r="E124" s="314"/>
      <c r="F124" s="314"/>
      <c r="G124" s="314"/>
      <c r="H124" s="314"/>
      <c r="I124" s="314"/>
      <c r="J124" s="314"/>
      <c r="K124" s="314"/>
      <c r="L124" s="314"/>
      <c r="M124" s="314"/>
      <c r="N124" s="314"/>
      <c r="O124" s="314"/>
      <c r="P124" s="314"/>
      <c r="Q124" s="314"/>
      <c r="R124" s="314"/>
      <c r="S124" s="314"/>
      <c r="T124" s="337">
        <v>-1238</v>
      </c>
      <c r="U124" s="337"/>
      <c r="V124" s="338"/>
      <c r="W124" s="318"/>
      <c r="X124" s="5"/>
    </row>
    <row r="125" spans="1:24" ht="15.75" x14ac:dyDescent="0.25">
      <c r="A125" s="285"/>
      <c r="B125" s="286" t="s">
        <v>194</v>
      </c>
      <c r="C125" s="314"/>
      <c r="D125" s="314"/>
      <c r="E125" s="314"/>
      <c r="F125" s="314"/>
      <c r="G125" s="314"/>
      <c r="H125" s="314"/>
      <c r="I125" s="314"/>
      <c r="J125" s="314"/>
      <c r="K125" s="314"/>
      <c r="L125" s="314"/>
      <c r="M125" s="314"/>
      <c r="N125" s="314"/>
      <c r="O125" s="314"/>
      <c r="P125" s="314"/>
      <c r="Q125" s="314"/>
      <c r="R125" s="314"/>
      <c r="S125" s="314"/>
      <c r="T125" s="337">
        <v>-441</v>
      </c>
      <c r="U125" s="337"/>
      <c r="V125" s="338"/>
      <c r="W125" s="318"/>
      <c r="X125" s="5"/>
    </row>
    <row r="126" spans="1:24" ht="15.75" x14ac:dyDescent="0.25">
      <c r="A126" s="285"/>
      <c r="B126" s="286" t="s">
        <v>222</v>
      </c>
      <c r="C126" s="314"/>
      <c r="D126" s="314"/>
      <c r="E126" s="314"/>
      <c r="F126" s="314"/>
      <c r="G126" s="314"/>
      <c r="H126" s="314"/>
      <c r="I126" s="314"/>
      <c r="J126" s="314"/>
      <c r="K126" s="314"/>
      <c r="L126" s="314"/>
      <c r="M126" s="314"/>
      <c r="N126" s="314"/>
      <c r="O126" s="314"/>
      <c r="P126" s="314"/>
      <c r="Q126" s="314"/>
      <c r="R126" s="314"/>
      <c r="S126" s="314"/>
      <c r="T126" s="337">
        <v>-436</v>
      </c>
      <c r="U126" s="337"/>
      <c r="V126" s="338"/>
      <c r="W126" s="318"/>
      <c r="X126" s="5"/>
    </row>
    <row r="127" spans="1:24" ht="15.75" x14ac:dyDescent="0.25">
      <c r="A127" s="285"/>
      <c r="B127" s="286" t="s">
        <v>189</v>
      </c>
      <c r="C127" s="314"/>
      <c r="D127" s="314"/>
      <c r="E127" s="314"/>
      <c r="F127" s="314"/>
      <c r="G127" s="314"/>
      <c r="H127" s="314"/>
      <c r="I127" s="314"/>
      <c r="J127" s="314"/>
      <c r="K127" s="314"/>
      <c r="L127" s="314"/>
      <c r="M127" s="314"/>
      <c r="N127" s="314"/>
      <c r="O127" s="314"/>
      <c r="P127" s="314"/>
      <c r="Q127" s="314"/>
      <c r="R127" s="314"/>
      <c r="S127" s="314"/>
      <c r="T127" s="337">
        <v>0</v>
      </c>
      <c r="U127" s="337"/>
      <c r="V127" s="338"/>
      <c r="W127" s="318"/>
      <c r="X127" s="5"/>
    </row>
    <row r="128" spans="1:24" ht="15.75" x14ac:dyDescent="0.25">
      <c r="A128" s="285"/>
      <c r="B128" s="286" t="s">
        <v>188</v>
      </c>
      <c r="C128" s="314"/>
      <c r="D128" s="314"/>
      <c r="E128" s="314"/>
      <c r="F128" s="314"/>
      <c r="G128" s="314"/>
      <c r="H128" s="314"/>
      <c r="I128" s="314"/>
      <c r="J128" s="314"/>
      <c r="K128" s="314"/>
      <c r="L128" s="314"/>
      <c r="M128" s="314"/>
      <c r="N128" s="314"/>
      <c r="O128" s="314"/>
      <c r="P128" s="314"/>
      <c r="Q128" s="314"/>
      <c r="R128" s="314"/>
      <c r="S128" s="314"/>
      <c r="T128" s="337">
        <v>0</v>
      </c>
      <c r="U128" s="337"/>
      <c r="V128" s="338"/>
      <c r="W128" s="318"/>
      <c r="X128" s="5"/>
    </row>
    <row r="129" spans="1:24" ht="15.75" x14ac:dyDescent="0.25">
      <c r="A129" s="285"/>
      <c r="B129" s="286" t="s">
        <v>187</v>
      </c>
      <c r="C129" s="314"/>
      <c r="D129" s="314"/>
      <c r="E129" s="314"/>
      <c r="F129" s="314"/>
      <c r="G129" s="314"/>
      <c r="H129" s="314"/>
      <c r="I129" s="314"/>
      <c r="J129" s="314"/>
      <c r="K129" s="314"/>
      <c r="L129" s="314"/>
      <c r="M129" s="314"/>
      <c r="N129" s="314"/>
      <c r="O129" s="314"/>
      <c r="P129" s="314"/>
      <c r="Q129" s="314"/>
      <c r="R129" s="314"/>
      <c r="S129" s="314"/>
      <c r="T129" s="337">
        <v>0</v>
      </c>
      <c r="U129" s="337"/>
      <c r="V129" s="338"/>
      <c r="W129" s="318"/>
      <c r="X129" s="5"/>
    </row>
    <row r="130" spans="1:24" ht="15.75" x14ac:dyDescent="0.25">
      <c r="A130" s="285"/>
      <c r="B130" s="286" t="s">
        <v>39</v>
      </c>
      <c r="C130" s="314"/>
      <c r="D130" s="314"/>
      <c r="E130" s="314"/>
      <c r="F130" s="314"/>
      <c r="G130" s="314"/>
      <c r="H130" s="314"/>
      <c r="I130" s="314"/>
      <c r="J130" s="314"/>
      <c r="K130" s="314"/>
      <c r="L130" s="314"/>
      <c r="M130" s="314"/>
      <c r="N130" s="314"/>
      <c r="O130" s="314"/>
      <c r="P130" s="314"/>
      <c r="Q130" s="314"/>
      <c r="R130" s="314"/>
      <c r="S130" s="314"/>
      <c r="T130" s="337">
        <f>SUM(T120:T129)</f>
        <v>-5442</v>
      </c>
      <c r="U130" s="337"/>
      <c r="V130" s="337">
        <f>SUM(V102:V128)</f>
        <v>-6259</v>
      </c>
      <c r="W130" s="318"/>
      <c r="X130" s="5"/>
    </row>
    <row r="131" spans="1:24" ht="15.75" x14ac:dyDescent="0.25">
      <c r="A131" s="285"/>
      <c r="B131" s="286" t="s">
        <v>40</v>
      </c>
      <c r="C131" s="314"/>
      <c r="D131" s="314"/>
      <c r="E131" s="314"/>
      <c r="F131" s="314"/>
      <c r="G131" s="314"/>
      <c r="H131" s="314"/>
      <c r="I131" s="314"/>
      <c r="J131" s="314"/>
      <c r="K131" s="314"/>
      <c r="L131" s="314"/>
      <c r="M131" s="314"/>
      <c r="N131" s="314"/>
      <c r="O131" s="314"/>
      <c r="P131" s="314"/>
      <c r="Q131" s="314"/>
      <c r="R131" s="314"/>
      <c r="S131" s="314"/>
      <c r="T131" s="337">
        <f>T101+T130+T113</f>
        <v>0</v>
      </c>
      <c r="U131" s="337"/>
      <c r="V131" s="337">
        <f>V101+V130</f>
        <v>0</v>
      </c>
      <c r="W131" s="318"/>
      <c r="X131" s="5"/>
    </row>
    <row r="132" spans="1:24" ht="15.75" x14ac:dyDescent="0.25">
      <c r="A132" s="181"/>
      <c r="B132" s="212"/>
      <c r="C132" s="212"/>
      <c r="D132" s="212"/>
      <c r="E132" s="212"/>
      <c r="F132" s="212"/>
      <c r="G132" s="212"/>
      <c r="H132" s="212"/>
      <c r="I132" s="212"/>
      <c r="J132" s="212"/>
      <c r="K132" s="212"/>
      <c r="L132" s="212"/>
      <c r="M132" s="212"/>
      <c r="N132" s="212"/>
      <c r="O132" s="212"/>
      <c r="P132" s="212"/>
      <c r="Q132" s="212"/>
      <c r="R132" s="212"/>
      <c r="S132" s="212"/>
      <c r="T132" s="335"/>
      <c r="U132" s="335"/>
      <c r="V132" s="335"/>
      <c r="W132" s="212"/>
      <c r="X132" s="5"/>
    </row>
    <row r="133" spans="1:24" ht="15.75" x14ac:dyDescent="0.25">
      <c r="A133" s="181"/>
      <c r="B133" s="183"/>
      <c r="C133" s="183"/>
      <c r="D133" s="183"/>
      <c r="E133" s="183"/>
      <c r="F133" s="183"/>
      <c r="G133" s="183"/>
      <c r="H133" s="183"/>
      <c r="I133" s="183"/>
      <c r="J133" s="183"/>
      <c r="K133" s="183"/>
      <c r="L133" s="183"/>
      <c r="M133" s="183"/>
      <c r="N133" s="183"/>
      <c r="O133" s="183"/>
      <c r="P133" s="183"/>
      <c r="Q133" s="183"/>
      <c r="R133" s="183"/>
      <c r="S133" s="183"/>
      <c r="T133" s="183"/>
      <c r="U133" s="183"/>
      <c r="V133" s="202"/>
      <c r="W133" s="183"/>
      <c r="X133" s="5"/>
    </row>
    <row r="134" spans="1:24" ht="19.5" thickBot="1" x14ac:dyDescent="0.35">
      <c r="A134" s="197"/>
      <c r="B134" s="270" t="str">
        <f>B64</f>
        <v>PM15 INVESTOR REPORT QUARTER ENDING MAY 2010</v>
      </c>
      <c r="C134" s="198"/>
      <c r="D134" s="198"/>
      <c r="E134" s="198"/>
      <c r="F134" s="198"/>
      <c r="G134" s="198"/>
      <c r="H134" s="198"/>
      <c r="I134" s="198"/>
      <c r="J134" s="198"/>
      <c r="K134" s="198"/>
      <c r="L134" s="198"/>
      <c r="M134" s="198"/>
      <c r="N134" s="198"/>
      <c r="O134" s="198"/>
      <c r="P134" s="198"/>
      <c r="Q134" s="198"/>
      <c r="R134" s="198"/>
      <c r="S134" s="198"/>
      <c r="T134" s="198"/>
      <c r="U134" s="198"/>
      <c r="V134" s="209"/>
      <c r="W134" s="200"/>
      <c r="X134" s="5"/>
    </row>
    <row r="135" spans="1:24" ht="15.75" x14ac:dyDescent="0.25">
      <c r="A135" s="236"/>
      <c r="B135" s="237" t="s">
        <v>41</v>
      </c>
      <c r="C135" s="238"/>
      <c r="D135" s="238"/>
      <c r="E135" s="238"/>
      <c r="F135" s="238"/>
      <c r="G135" s="238"/>
      <c r="H135" s="238"/>
      <c r="I135" s="238"/>
      <c r="J135" s="238"/>
      <c r="K135" s="238"/>
      <c r="L135" s="238"/>
      <c r="M135" s="238"/>
      <c r="N135" s="238"/>
      <c r="O135" s="238"/>
      <c r="P135" s="238"/>
      <c r="Q135" s="238"/>
      <c r="R135" s="238"/>
      <c r="S135" s="238"/>
      <c r="T135" s="238"/>
      <c r="U135" s="238"/>
      <c r="V135" s="239"/>
      <c r="W135" s="238"/>
      <c r="X135" s="5"/>
    </row>
    <row r="136" spans="1:24" ht="15.75" x14ac:dyDescent="0.25">
      <c r="A136" s="181"/>
      <c r="B136" s="191"/>
      <c r="C136" s="183"/>
      <c r="D136" s="183"/>
      <c r="E136" s="183"/>
      <c r="F136" s="183"/>
      <c r="G136" s="183"/>
      <c r="H136" s="183"/>
      <c r="I136" s="183"/>
      <c r="J136" s="183"/>
      <c r="K136" s="183"/>
      <c r="L136" s="183"/>
      <c r="M136" s="183"/>
      <c r="N136" s="183"/>
      <c r="O136" s="183"/>
      <c r="P136" s="183"/>
      <c r="Q136" s="183"/>
      <c r="R136" s="183"/>
      <c r="S136" s="183"/>
      <c r="T136" s="183"/>
      <c r="U136" s="183"/>
      <c r="V136" s="202"/>
      <c r="W136" s="183"/>
      <c r="X136" s="5"/>
    </row>
    <row r="137" spans="1:24" ht="15.75" x14ac:dyDescent="0.25">
      <c r="A137" s="181"/>
      <c r="B137" s="210" t="s">
        <v>42</v>
      </c>
      <c r="C137" s="183"/>
      <c r="D137" s="183"/>
      <c r="E137" s="183"/>
      <c r="F137" s="183"/>
      <c r="G137" s="183"/>
      <c r="H137" s="183"/>
      <c r="I137" s="183"/>
      <c r="J137" s="183"/>
      <c r="K137" s="183"/>
      <c r="L137" s="183"/>
      <c r="M137" s="183"/>
      <c r="N137" s="183"/>
      <c r="O137" s="183"/>
      <c r="P137" s="183"/>
      <c r="Q137" s="183"/>
      <c r="R137" s="183"/>
      <c r="S137" s="183"/>
      <c r="T137" s="183"/>
      <c r="U137" s="183"/>
      <c r="V137" s="202"/>
      <c r="W137" s="183"/>
      <c r="X137" s="5"/>
    </row>
    <row r="138" spans="1:24" ht="15.75" x14ac:dyDescent="0.25">
      <c r="A138" s="285"/>
      <c r="B138" s="286" t="s">
        <v>43</v>
      </c>
      <c r="C138" s="286"/>
      <c r="D138" s="286"/>
      <c r="E138" s="286"/>
      <c r="F138" s="286"/>
      <c r="G138" s="286"/>
      <c r="H138" s="286"/>
      <c r="I138" s="286"/>
      <c r="J138" s="286"/>
      <c r="K138" s="286"/>
      <c r="L138" s="286"/>
      <c r="M138" s="286"/>
      <c r="N138" s="286"/>
      <c r="O138" s="286"/>
      <c r="P138" s="286"/>
      <c r="Q138" s="286"/>
      <c r="R138" s="286"/>
      <c r="S138" s="286"/>
      <c r="T138" s="286"/>
      <c r="U138" s="286"/>
      <c r="V138" s="338">
        <f>+V34*0.019</f>
        <v>19021.526999999998</v>
      </c>
      <c r="W138" s="289"/>
      <c r="X138" s="5"/>
    </row>
    <row r="139" spans="1:24" ht="15.75" x14ac:dyDescent="0.25">
      <c r="A139" s="285"/>
      <c r="B139" s="286" t="s">
        <v>44</v>
      </c>
      <c r="C139" s="286"/>
      <c r="D139" s="286"/>
      <c r="E139" s="286"/>
      <c r="F139" s="286"/>
      <c r="G139" s="286"/>
      <c r="H139" s="286"/>
      <c r="I139" s="286"/>
      <c r="J139" s="286"/>
      <c r="K139" s="286"/>
      <c r="L139" s="286"/>
      <c r="M139" s="286"/>
      <c r="N139" s="286"/>
      <c r="O139" s="286"/>
      <c r="P139" s="286"/>
      <c r="Q139" s="286"/>
      <c r="R139" s="286"/>
      <c r="S139" s="286"/>
      <c r="T139" s="286"/>
      <c r="U139" s="286"/>
      <c r="V139" s="338">
        <v>19022</v>
      </c>
      <c r="W139" s="289"/>
      <c r="X139" s="5"/>
    </row>
    <row r="140" spans="1:24" ht="15.75" x14ac:dyDescent="0.25">
      <c r="A140" s="285"/>
      <c r="B140" s="286" t="s">
        <v>136</v>
      </c>
      <c r="C140" s="286"/>
      <c r="D140" s="286"/>
      <c r="E140" s="286"/>
      <c r="F140" s="286"/>
      <c r="G140" s="286"/>
      <c r="H140" s="286"/>
      <c r="I140" s="286"/>
      <c r="J140" s="286"/>
      <c r="K140" s="286"/>
      <c r="L140" s="286"/>
      <c r="M140" s="286"/>
      <c r="N140" s="286"/>
      <c r="O140" s="286"/>
      <c r="P140" s="286"/>
      <c r="Q140" s="286"/>
      <c r="R140" s="286"/>
      <c r="S140" s="286"/>
      <c r="T140" s="286"/>
      <c r="U140" s="286"/>
      <c r="V140" s="338"/>
      <c r="W140" s="289"/>
      <c r="X140" s="5"/>
    </row>
    <row r="141" spans="1:24" ht="15.75" x14ac:dyDescent="0.25">
      <c r="A141" s="285"/>
      <c r="B141" s="286" t="s">
        <v>123</v>
      </c>
      <c r="C141" s="286"/>
      <c r="D141" s="286"/>
      <c r="E141" s="286"/>
      <c r="F141" s="286"/>
      <c r="G141" s="286"/>
      <c r="H141" s="286"/>
      <c r="I141" s="286"/>
      <c r="J141" s="286"/>
      <c r="K141" s="286"/>
      <c r="L141" s="286"/>
      <c r="M141" s="286"/>
      <c r="N141" s="286"/>
      <c r="O141" s="286"/>
      <c r="P141" s="286"/>
      <c r="Q141" s="286"/>
      <c r="R141" s="286"/>
      <c r="S141" s="286"/>
      <c r="T141" s="286"/>
      <c r="U141" s="286"/>
      <c r="V141" s="338">
        <v>0</v>
      </c>
      <c r="W141" s="289"/>
      <c r="X141" s="5"/>
    </row>
    <row r="142" spans="1:24" ht="15.75" x14ac:dyDescent="0.25">
      <c r="A142" s="285"/>
      <c r="B142" s="286" t="s">
        <v>124</v>
      </c>
      <c r="C142" s="286"/>
      <c r="D142" s="286"/>
      <c r="E142" s="286"/>
      <c r="F142" s="286"/>
      <c r="G142" s="286"/>
      <c r="H142" s="286"/>
      <c r="I142" s="286"/>
      <c r="J142" s="286"/>
      <c r="K142" s="286"/>
      <c r="L142" s="286"/>
      <c r="M142" s="286"/>
      <c r="N142" s="286"/>
      <c r="O142" s="286"/>
      <c r="P142" s="286"/>
      <c r="Q142" s="286"/>
      <c r="R142" s="286"/>
      <c r="S142" s="286"/>
      <c r="T142" s="286"/>
      <c r="U142" s="286"/>
      <c r="V142" s="338">
        <v>0</v>
      </c>
      <c r="W142" s="289"/>
      <c r="X142" s="5"/>
    </row>
    <row r="143" spans="1:24" ht="15.75" x14ac:dyDescent="0.25">
      <c r="A143" s="285"/>
      <c r="B143" s="286" t="s">
        <v>175</v>
      </c>
      <c r="C143" s="286"/>
      <c r="D143" s="286"/>
      <c r="E143" s="286"/>
      <c r="F143" s="286"/>
      <c r="G143" s="286"/>
      <c r="H143" s="286"/>
      <c r="I143" s="286"/>
      <c r="J143" s="286"/>
      <c r="K143" s="286"/>
      <c r="L143" s="286"/>
      <c r="M143" s="286"/>
      <c r="N143" s="286"/>
      <c r="O143" s="286"/>
      <c r="P143" s="286"/>
      <c r="Q143" s="286"/>
      <c r="R143" s="286"/>
      <c r="S143" s="286"/>
      <c r="T143" s="286"/>
      <c r="U143" s="286"/>
      <c r="V143" s="338">
        <v>0</v>
      </c>
      <c r="W143" s="289"/>
      <c r="X143" s="5"/>
    </row>
    <row r="144" spans="1:24" ht="15.75" x14ac:dyDescent="0.25">
      <c r="A144" s="285"/>
      <c r="B144" s="286" t="s">
        <v>45</v>
      </c>
      <c r="C144" s="286"/>
      <c r="D144" s="286"/>
      <c r="E144" s="286"/>
      <c r="F144" s="286"/>
      <c r="G144" s="286"/>
      <c r="H144" s="286"/>
      <c r="I144" s="286"/>
      <c r="J144" s="286"/>
      <c r="K144" s="286"/>
      <c r="L144" s="286"/>
      <c r="M144" s="286"/>
      <c r="N144" s="286"/>
      <c r="O144" s="286"/>
      <c r="P144" s="286"/>
      <c r="Q144" s="286"/>
      <c r="R144" s="286"/>
      <c r="S144" s="286"/>
      <c r="T144" s="286"/>
      <c r="U144" s="286"/>
      <c r="V144" s="338">
        <v>0</v>
      </c>
      <c r="W144" s="289"/>
      <c r="X144" s="5"/>
    </row>
    <row r="145" spans="1:25" ht="15.75" x14ac:dyDescent="0.25">
      <c r="A145" s="285"/>
      <c r="B145" s="286" t="s">
        <v>129</v>
      </c>
      <c r="C145" s="286"/>
      <c r="D145" s="286"/>
      <c r="E145" s="286"/>
      <c r="F145" s="286"/>
      <c r="G145" s="286"/>
      <c r="H145" s="286"/>
      <c r="I145" s="286"/>
      <c r="J145" s="286"/>
      <c r="K145" s="286"/>
      <c r="L145" s="286"/>
      <c r="M145" s="286"/>
      <c r="N145" s="286"/>
      <c r="O145" s="286"/>
      <c r="P145" s="286"/>
      <c r="Q145" s="286"/>
      <c r="R145" s="286"/>
      <c r="S145" s="286"/>
      <c r="T145" s="286"/>
      <c r="U145" s="286"/>
      <c r="V145" s="338">
        <v>0</v>
      </c>
      <c r="W145" s="289"/>
      <c r="X145" s="5"/>
    </row>
    <row r="146" spans="1:25" ht="15.75" x14ac:dyDescent="0.25">
      <c r="A146" s="285"/>
      <c r="B146" s="286" t="s">
        <v>241</v>
      </c>
      <c r="C146" s="286"/>
      <c r="D146" s="286"/>
      <c r="E146" s="286"/>
      <c r="F146" s="286"/>
      <c r="G146" s="286"/>
      <c r="H146" s="286"/>
      <c r="I146" s="286"/>
      <c r="J146" s="286"/>
      <c r="K146" s="286"/>
      <c r="L146" s="286"/>
      <c r="M146" s="286"/>
      <c r="N146" s="286"/>
      <c r="O146" s="286"/>
      <c r="P146" s="286"/>
      <c r="Q146" s="286"/>
      <c r="R146" s="286"/>
      <c r="S146" s="286"/>
      <c r="T146" s="286"/>
      <c r="U146" s="286"/>
      <c r="V146" s="338">
        <v>0</v>
      </c>
      <c r="W146" s="289"/>
      <c r="X146" s="5"/>
      <c r="Y146" s="109"/>
    </row>
    <row r="147" spans="1:25" ht="15.75" x14ac:dyDescent="0.25">
      <c r="A147" s="285"/>
      <c r="B147" s="286" t="s">
        <v>46</v>
      </c>
      <c r="C147" s="286"/>
      <c r="D147" s="286"/>
      <c r="E147" s="286"/>
      <c r="F147" s="286"/>
      <c r="G147" s="286"/>
      <c r="H147" s="286"/>
      <c r="I147" s="286"/>
      <c r="J147" s="286"/>
      <c r="K147" s="286"/>
      <c r="L147" s="286"/>
      <c r="M147" s="286"/>
      <c r="N147" s="286"/>
      <c r="O147" s="286"/>
      <c r="P147" s="286"/>
      <c r="Q147" s="286"/>
      <c r="R147" s="286"/>
      <c r="S147" s="286"/>
      <c r="T147" s="286"/>
      <c r="U147" s="286"/>
      <c r="V147" s="338">
        <f>SUM(V139:V146)</f>
        <v>19022</v>
      </c>
      <c r="W147" s="289"/>
      <c r="X147" s="5"/>
    </row>
    <row r="148" spans="1:25" ht="15.75" x14ac:dyDescent="0.25">
      <c r="A148" s="285"/>
      <c r="B148" s="314"/>
      <c r="C148" s="314"/>
      <c r="D148" s="314"/>
      <c r="E148" s="314"/>
      <c r="F148" s="314"/>
      <c r="G148" s="314"/>
      <c r="H148" s="314"/>
      <c r="I148" s="314"/>
      <c r="J148" s="314"/>
      <c r="K148" s="314"/>
      <c r="L148" s="314"/>
      <c r="M148" s="314"/>
      <c r="N148" s="314"/>
      <c r="O148" s="314"/>
      <c r="P148" s="314"/>
      <c r="Q148" s="314"/>
      <c r="R148" s="314"/>
      <c r="S148" s="314"/>
      <c r="T148" s="314"/>
      <c r="U148" s="314"/>
      <c r="V148" s="345"/>
      <c r="W148" s="318"/>
      <c r="X148" s="5"/>
    </row>
    <row r="149" spans="1:25" ht="15.75" x14ac:dyDescent="0.25">
      <c r="A149" s="285"/>
      <c r="B149" s="342" t="s">
        <v>269</v>
      </c>
      <c r="C149" s="314"/>
      <c r="D149" s="314"/>
      <c r="E149" s="314"/>
      <c r="F149" s="314"/>
      <c r="G149" s="314"/>
      <c r="H149" s="314"/>
      <c r="I149" s="314"/>
      <c r="J149" s="314"/>
      <c r="K149" s="314"/>
      <c r="L149" s="314"/>
      <c r="M149" s="314"/>
      <c r="N149" s="314"/>
      <c r="O149" s="314"/>
      <c r="P149" s="314"/>
      <c r="Q149" s="314"/>
      <c r="R149" s="314"/>
      <c r="S149" s="314"/>
      <c r="T149" s="314"/>
      <c r="U149" s="314"/>
      <c r="V149" s="345"/>
      <c r="W149" s="318"/>
      <c r="X149" s="5"/>
    </row>
    <row r="150" spans="1:25" ht="15.75" x14ac:dyDescent="0.25">
      <c r="A150" s="285"/>
      <c r="B150" s="286" t="s">
        <v>155</v>
      </c>
      <c r="C150" s="286"/>
      <c r="D150" s="286"/>
      <c r="E150" s="286"/>
      <c r="F150" s="286"/>
      <c r="G150" s="286"/>
      <c r="H150" s="286"/>
      <c r="I150" s="286"/>
      <c r="J150" s="286"/>
      <c r="K150" s="286"/>
      <c r="L150" s="286"/>
      <c r="M150" s="286"/>
      <c r="N150" s="286"/>
      <c r="O150" s="286"/>
      <c r="P150" s="286"/>
      <c r="Q150" s="286"/>
      <c r="R150" s="286"/>
      <c r="S150" s="286"/>
      <c r="T150" s="286"/>
      <c r="U150" s="286"/>
      <c r="V150" s="338">
        <v>0</v>
      </c>
      <c r="W150" s="289"/>
      <c r="X150" s="5"/>
    </row>
    <row r="151" spans="1:25" ht="15.75" x14ac:dyDescent="0.25">
      <c r="A151" s="285"/>
      <c r="B151" s="286" t="s">
        <v>172</v>
      </c>
      <c r="C151" s="286"/>
      <c r="D151" s="286"/>
      <c r="E151" s="286"/>
      <c r="F151" s="286"/>
      <c r="G151" s="286"/>
      <c r="H151" s="286"/>
      <c r="I151" s="286"/>
      <c r="J151" s="286"/>
      <c r="K151" s="286"/>
      <c r="L151" s="286"/>
      <c r="M151" s="286"/>
      <c r="N151" s="286"/>
      <c r="O151" s="286"/>
      <c r="P151" s="286"/>
      <c r="Q151" s="286"/>
      <c r="R151" s="286"/>
      <c r="S151" s="286"/>
      <c r="T151" s="286"/>
      <c r="U151" s="286"/>
      <c r="V151" s="338">
        <v>0</v>
      </c>
      <c r="W151" s="289"/>
      <c r="X151" s="5"/>
    </row>
    <row r="152" spans="1:25" ht="15.75" x14ac:dyDescent="0.25">
      <c r="A152" s="285"/>
      <c r="B152" s="286" t="s">
        <v>226</v>
      </c>
      <c r="C152" s="286"/>
      <c r="D152" s="286"/>
      <c r="E152" s="286"/>
      <c r="F152" s="286"/>
      <c r="G152" s="286"/>
      <c r="H152" s="286"/>
      <c r="I152" s="286"/>
      <c r="J152" s="286"/>
      <c r="K152" s="286"/>
      <c r="L152" s="286"/>
      <c r="M152" s="286"/>
      <c r="N152" s="286"/>
      <c r="O152" s="286"/>
      <c r="P152" s="286"/>
      <c r="Q152" s="286"/>
      <c r="R152" s="286"/>
      <c r="S152" s="286"/>
      <c r="T152" s="286"/>
      <c r="U152" s="286"/>
      <c r="V152" s="338">
        <v>0</v>
      </c>
      <c r="W152" s="289"/>
      <c r="X152" s="5"/>
    </row>
    <row r="153" spans="1:25" ht="15.75" x14ac:dyDescent="0.25">
      <c r="A153" s="285"/>
      <c r="B153" s="314"/>
      <c r="C153" s="314"/>
      <c r="D153" s="314"/>
      <c r="E153" s="314"/>
      <c r="F153" s="314"/>
      <c r="G153" s="314"/>
      <c r="H153" s="314"/>
      <c r="I153" s="314"/>
      <c r="J153" s="314"/>
      <c r="K153" s="314"/>
      <c r="L153" s="314"/>
      <c r="M153" s="314"/>
      <c r="N153" s="314"/>
      <c r="O153" s="314"/>
      <c r="P153" s="314"/>
      <c r="Q153" s="314"/>
      <c r="R153" s="314"/>
      <c r="S153" s="314"/>
      <c r="T153" s="314"/>
      <c r="U153" s="314"/>
      <c r="V153" s="345"/>
      <c r="W153" s="318"/>
      <c r="X153" s="5"/>
    </row>
    <row r="154" spans="1:25" ht="15.75" x14ac:dyDescent="0.25">
      <c r="A154" s="181"/>
      <c r="B154" s="212"/>
      <c r="C154" s="212"/>
      <c r="D154" s="212"/>
      <c r="E154" s="212"/>
      <c r="F154" s="212"/>
      <c r="G154" s="212"/>
      <c r="H154" s="212"/>
      <c r="I154" s="212"/>
      <c r="J154" s="212"/>
      <c r="K154" s="212"/>
      <c r="L154" s="212"/>
      <c r="M154" s="212"/>
      <c r="N154" s="212"/>
      <c r="O154" s="212"/>
      <c r="P154" s="212"/>
      <c r="Q154" s="212"/>
      <c r="R154" s="212"/>
      <c r="S154" s="212"/>
      <c r="T154" s="212"/>
      <c r="U154" s="212"/>
      <c r="V154" s="344"/>
      <c r="W154" s="212"/>
      <c r="X154" s="5"/>
    </row>
    <row r="155" spans="1:25" ht="15.75" x14ac:dyDescent="0.25">
      <c r="A155" s="181"/>
      <c r="B155" s="210" t="s">
        <v>24</v>
      </c>
      <c r="C155" s="183"/>
      <c r="D155" s="183"/>
      <c r="E155" s="183"/>
      <c r="F155" s="183"/>
      <c r="G155" s="183"/>
      <c r="H155" s="183"/>
      <c r="I155" s="183"/>
      <c r="J155" s="183"/>
      <c r="K155" s="183"/>
      <c r="L155" s="183"/>
      <c r="M155" s="183"/>
      <c r="N155" s="183"/>
      <c r="O155" s="183"/>
      <c r="P155" s="183"/>
      <c r="Q155" s="183"/>
      <c r="R155" s="183"/>
      <c r="S155" s="183"/>
      <c r="T155" s="183"/>
      <c r="U155" s="183"/>
      <c r="V155" s="202"/>
      <c r="W155" s="183"/>
      <c r="X155" s="5"/>
    </row>
    <row r="156" spans="1:25" ht="15.75" x14ac:dyDescent="0.25">
      <c r="A156" s="285"/>
      <c r="B156" s="286" t="s">
        <v>47</v>
      </c>
      <c r="C156" s="286"/>
      <c r="D156" s="286"/>
      <c r="E156" s="286"/>
      <c r="F156" s="286"/>
      <c r="G156" s="286"/>
      <c r="H156" s="286"/>
      <c r="I156" s="286"/>
      <c r="J156" s="286"/>
      <c r="K156" s="286"/>
      <c r="L156" s="286"/>
      <c r="M156" s="286"/>
      <c r="N156" s="286"/>
      <c r="O156" s="286"/>
      <c r="P156" s="286"/>
      <c r="Q156" s="286"/>
      <c r="R156" s="286"/>
      <c r="S156" s="286"/>
      <c r="T156" s="286"/>
      <c r="U156" s="286"/>
      <c r="V156" s="343" t="s">
        <v>118</v>
      </c>
      <c r="W156" s="318"/>
      <c r="X156" s="5"/>
    </row>
    <row r="157" spans="1:25" ht="15.75" x14ac:dyDescent="0.25">
      <c r="A157" s="285"/>
      <c r="B157" s="286" t="s">
        <v>48</v>
      </c>
      <c r="C157" s="288"/>
      <c r="D157" s="288"/>
      <c r="E157" s="288"/>
      <c r="F157" s="288"/>
      <c r="G157" s="288"/>
      <c r="H157" s="288"/>
      <c r="I157" s="288"/>
      <c r="J157" s="288"/>
      <c r="K157" s="288"/>
      <c r="L157" s="288"/>
      <c r="M157" s="288"/>
      <c r="N157" s="288"/>
      <c r="O157" s="288"/>
      <c r="P157" s="288"/>
      <c r="Q157" s="288"/>
      <c r="R157" s="288"/>
      <c r="S157" s="288"/>
      <c r="T157" s="288"/>
      <c r="U157" s="288"/>
      <c r="V157" s="343" t="s">
        <v>118</v>
      </c>
      <c r="W157" s="318"/>
      <c r="X157" s="5"/>
    </row>
    <row r="158" spans="1:25" ht="15.75" x14ac:dyDescent="0.25">
      <c r="A158" s="285"/>
      <c r="B158" s="286" t="s">
        <v>49</v>
      </c>
      <c r="C158" s="286"/>
      <c r="D158" s="286"/>
      <c r="E158" s="286"/>
      <c r="F158" s="286"/>
      <c r="G158" s="286"/>
      <c r="H158" s="286"/>
      <c r="I158" s="286"/>
      <c r="J158" s="286"/>
      <c r="K158" s="286"/>
      <c r="L158" s="286"/>
      <c r="M158" s="286"/>
      <c r="N158" s="286"/>
      <c r="O158" s="286"/>
      <c r="P158" s="286"/>
      <c r="Q158" s="286"/>
      <c r="R158" s="286"/>
      <c r="S158" s="286"/>
      <c r="T158" s="286"/>
      <c r="U158" s="286"/>
      <c r="V158" s="343" t="s">
        <v>118</v>
      </c>
      <c r="W158" s="318"/>
      <c r="X158" s="5"/>
    </row>
    <row r="159" spans="1:25" ht="15.75" x14ac:dyDescent="0.25">
      <c r="A159" s="285"/>
      <c r="B159" s="286" t="s">
        <v>50</v>
      </c>
      <c r="C159" s="286"/>
      <c r="D159" s="286"/>
      <c r="E159" s="286"/>
      <c r="F159" s="286"/>
      <c r="G159" s="286"/>
      <c r="H159" s="286"/>
      <c r="I159" s="286"/>
      <c r="J159" s="286"/>
      <c r="K159" s="286"/>
      <c r="L159" s="286"/>
      <c r="M159" s="286"/>
      <c r="N159" s="286"/>
      <c r="O159" s="286"/>
      <c r="P159" s="286"/>
      <c r="Q159" s="286"/>
      <c r="R159" s="286"/>
      <c r="S159" s="286"/>
      <c r="T159" s="286"/>
      <c r="U159" s="286"/>
      <c r="V159" s="343" t="s">
        <v>118</v>
      </c>
      <c r="W159" s="318"/>
      <c r="X159" s="5"/>
    </row>
    <row r="160" spans="1:25" ht="15.75" x14ac:dyDescent="0.25">
      <c r="A160" s="181"/>
      <c r="B160" s="212"/>
      <c r="C160" s="212"/>
      <c r="D160" s="212"/>
      <c r="E160" s="212"/>
      <c r="F160" s="212"/>
      <c r="G160" s="212"/>
      <c r="H160" s="212"/>
      <c r="I160" s="212"/>
      <c r="J160" s="212"/>
      <c r="K160" s="212"/>
      <c r="L160" s="212"/>
      <c r="M160" s="212"/>
      <c r="N160" s="212"/>
      <c r="O160" s="212"/>
      <c r="P160" s="212"/>
      <c r="Q160" s="212"/>
      <c r="R160" s="212"/>
      <c r="S160" s="212"/>
      <c r="T160" s="212"/>
      <c r="U160" s="212"/>
      <c r="V160" s="344"/>
      <c r="W160" s="212"/>
      <c r="X160" s="5"/>
    </row>
    <row r="161" spans="1:256" ht="15.75" x14ac:dyDescent="0.25">
      <c r="A161" s="181"/>
      <c r="B161" s="210" t="s">
        <v>51</v>
      </c>
      <c r="C161" s="183"/>
      <c r="D161" s="183"/>
      <c r="E161" s="183"/>
      <c r="F161" s="183"/>
      <c r="G161" s="183"/>
      <c r="H161" s="183"/>
      <c r="I161" s="183"/>
      <c r="J161" s="183"/>
      <c r="K161" s="183"/>
      <c r="L161" s="183"/>
      <c r="M161" s="183"/>
      <c r="N161" s="183"/>
      <c r="O161" s="183"/>
      <c r="P161" s="183"/>
      <c r="Q161" s="183"/>
      <c r="R161" s="183"/>
      <c r="S161" s="183"/>
      <c r="T161" s="183"/>
      <c r="U161" s="183"/>
      <c r="V161" s="211"/>
      <c r="W161" s="183"/>
      <c r="X161" s="5"/>
    </row>
    <row r="162" spans="1:256" ht="15.75" x14ac:dyDescent="0.25">
      <c r="A162" s="285"/>
      <c r="B162" s="286" t="s">
        <v>52</v>
      </c>
      <c r="C162" s="286"/>
      <c r="D162" s="286"/>
      <c r="E162" s="286"/>
      <c r="F162" s="286"/>
      <c r="G162" s="286"/>
      <c r="H162" s="286"/>
      <c r="I162" s="286"/>
      <c r="J162" s="286"/>
      <c r="K162" s="286"/>
      <c r="L162" s="286"/>
      <c r="M162" s="286"/>
      <c r="N162" s="286"/>
      <c r="O162" s="286"/>
      <c r="P162" s="286"/>
      <c r="Q162" s="286"/>
      <c r="R162" s="286"/>
      <c r="S162" s="286"/>
      <c r="T162" s="286"/>
      <c r="U162" s="286"/>
      <c r="V162" s="338">
        <v>0</v>
      </c>
      <c r="W162" s="289"/>
      <c r="X162" s="5"/>
    </row>
    <row r="163" spans="1:256" ht="15.75" x14ac:dyDescent="0.25">
      <c r="A163" s="285"/>
      <c r="B163" s="286" t="s">
        <v>53</v>
      </c>
      <c r="C163" s="286"/>
      <c r="D163" s="286"/>
      <c r="E163" s="286"/>
      <c r="F163" s="286"/>
      <c r="G163" s="286"/>
      <c r="H163" s="286"/>
      <c r="I163" s="286"/>
      <c r="J163" s="286"/>
      <c r="K163" s="286"/>
      <c r="L163" s="286"/>
      <c r="M163" s="286"/>
      <c r="N163" s="286"/>
      <c r="O163" s="286"/>
      <c r="P163" s="286"/>
      <c r="Q163" s="286"/>
      <c r="R163" s="286"/>
      <c r="S163" s="286"/>
      <c r="T163" s="286"/>
      <c r="U163" s="286"/>
      <c r="V163" s="338">
        <v>759</v>
      </c>
      <c r="W163" s="289"/>
      <c r="X163" s="5"/>
    </row>
    <row r="164" spans="1:256" ht="15.75" x14ac:dyDescent="0.25">
      <c r="A164" s="285"/>
      <c r="B164" s="286" t="s">
        <v>54</v>
      </c>
      <c r="C164" s="286"/>
      <c r="D164" s="286"/>
      <c r="E164" s="286"/>
      <c r="F164" s="286"/>
      <c r="G164" s="286"/>
      <c r="H164" s="286"/>
      <c r="I164" s="286"/>
      <c r="J164" s="286"/>
      <c r="K164" s="286"/>
      <c r="L164" s="286"/>
      <c r="M164" s="286"/>
      <c r="N164" s="286"/>
      <c r="O164" s="286"/>
      <c r="P164" s="286"/>
      <c r="Q164" s="286"/>
      <c r="R164" s="286"/>
      <c r="S164" s="286"/>
      <c r="T164" s="286"/>
      <c r="U164" s="286"/>
      <c r="V164" s="338">
        <f>V163+V162</f>
        <v>759</v>
      </c>
      <c r="W164" s="289"/>
      <c r="X164" s="5"/>
    </row>
    <row r="165" spans="1:256" ht="15.75" x14ac:dyDescent="0.25">
      <c r="A165" s="285"/>
      <c r="B165" s="286" t="s">
        <v>303</v>
      </c>
      <c r="C165" s="286"/>
      <c r="D165" s="286"/>
      <c r="E165" s="286"/>
      <c r="F165" s="286"/>
      <c r="G165" s="286"/>
      <c r="H165" s="286"/>
      <c r="I165" s="286"/>
      <c r="J165" s="286"/>
      <c r="K165" s="286"/>
      <c r="L165" s="286"/>
      <c r="M165" s="286"/>
      <c r="N165" s="286"/>
      <c r="O165" s="286"/>
      <c r="P165" s="286"/>
      <c r="Q165" s="286"/>
      <c r="R165" s="286"/>
      <c r="S165" s="286"/>
      <c r="T165" s="286"/>
      <c r="U165" s="286"/>
      <c r="V165" s="338">
        <f>V113</f>
        <v>-759</v>
      </c>
      <c r="W165" s="289"/>
      <c r="X165" s="5"/>
    </row>
    <row r="166" spans="1:256" ht="15.75" x14ac:dyDescent="0.25">
      <c r="A166" s="285"/>
      <c r="B166" s="286" t="s">
        <v>55</v>
      </c>
      <c r="C166" s="286"/>
      <c r="D166" s="286"/>
      <c r="E166" s="286"/>
      <c r="F166" s="286"/>
      <c r="G166" s="286"/>
      <c r="H166" s="286"/>
      <c r="I166" s="286"/>
      <c r="J166" s="286"/>
      <c r="K166" s="286"/>
      <c r="L166" s="286"/>
      <c r="M166" s="286"/>
      <c r="N166" s="286"/>
      <c r="O166" s="286"/>
      <c r="P166" s="286"/>
      <c r="Q166" s="286"/>
      <c r="R166" s="286"/>
      <c r="S166" s="286"/>
      <c r="T166" s="286"/>
      <c r="U166" s="286"/>
      <c r="V166" s="338">
        <f>V164+V165</f>
        <v>0</v>
      </c>
      <c r="W166" s="289"/>
      <c r="X166" s="5"/>
    </row>
    <row r="167" spans="1:256" ht="15.75" x14ac:dyDescent="0.25">
      <c r="A167" s="285"/>
      <c r="B167" s="286" t="s">
        <v>274</v>
      </c>
      <c r="C167" s="286"/>
      <c r="D167" s="286"/>
      <c r="E167" s="286"/>
      <c r="F167" s="286"/>
      <c r="G167" s="286"/>
      <c r="H167" s="286"/>
      <c r="I167" s="286"/>
      <c r="J167" s="286"/>
      <c r="K167" s="286"/>
      <c r="L167" s="286"/>
      <c r="M167" s="286"/>
      <c r="N167" s="286"/>
      <c r="O167" s="286"/>
      <c r="P167" s="286"/>
      <c r="Q167" s="286"/>
      <c r="R167" s="286"/>
      <c r="S167" s="286"/>
      <c r="T167" s="286"/>
      <c r="U167" s="286"/>
      <c r="V167" s="338">
        <f>-V100</f>
        <v>101</v>
      </c>
      <c r="W167" s="289"/>
      <c r="X167" s="5"/>
    </row>
    <row r="168" spans="1:256" ht="16.5" thickBot="1" x14ac:dyDescent="0.3">
      <c r="A168" s="181"/>
      <c r="B168" s="212"/>
      <c r="C168" s="212"/>
      <c r="D168" s="212"/>
      <c r="E168" s="212"/>
      <c r="F168" s="212"/>
      <c r="G168" s="212"/>
      <c r="H168" s="212"/>
      <c r="I168" s="212"/>
      <c r="J168" s="212"/>
      <c r="K168" s="212"/>
      <c r="L168" s="212"/>
      <c r="M168" s="212"/>
      <c r="N168" s="212"/>
      <c r="O168" s="212"/>
      <c r="P168" s="212"/>
      <c r="Q168" s="212"/>
      <c r="R168" s="212"/>
      <c r="S168" s="212"/>
      <c r="T168" s="212"/>
      <c r="U168" s="212"/>
      <c r="V168" s="344"/>
      <c r="W168" s="212"/>
      <c r="X168" s="5"/>
    </row>
    <row r="169" spans="1:256" ht="15.75" x14ac:dyDescent="0.25">
      <c r="A169" s="179"/>
      <c r="B169" s="180"/>
      <c r="C169" s="180"/>
      <c r="D169" s="180"/>
      <c r="E169" s="180"/>
      <c r="F169" s="180"/>
      <c r="G169" s="180"/>
      <c r="H169" s="180"/>
      <c r="I169" s="180"/>
      <c r="J169" s="180"/>
      <c r="K169" s="180"/>
      <c r="L169" s="180"/>
      <c r="M169" s="180"/>
      <c r="N169" s="180"/>
      <c r="O169" s="180"/>
      <c r="P169" s="180"/>
      <c r="Q169" s="180"/>
      <c r="R169" s="180"/>
      <c r="S169" s="180"/>
      <c r="T169" s="180"/>
      <c r="U169" s="180"/>
      <c r="V169" s="201"/>
      <c r="W169" s="180"/>
      <c r="X169" s="5"/>
    </row>
    <row r="170" spans="1:256" s="158" customFormat="1" ht="15.75" x14ac:dyDescent="0.25">
      <c r="A170" s="181"/>
      <c r="B170" s="210" t="s">
        <v>230</v>
      </c>
      <c r="C170" s="212"/>
      <c r="D170" s="212"/>
      <c r="E170" s="212"/>
      <c r="F170" s="212"/>
      <c r="G170" s="212"/>
      <c r="H170" s="212"/>
      <c r="I170" s="212"/>
      <c r="J170" s="212"/>
      <c r="K170" s="212"/>
      <c r="L170" s="212"/>
      <c r="M170" s="212"/>
      <c r="N170" s="212"/>
      <c r="O170" s="212"/>
      <c r="P170" s="212"/>
      <c r="Q170" s="212"/>
      <c r="R170" s="212"/>
      <c r="S170" s="212"/>
      <c r="T170" s="212"/>
      <c r="U170" s="212"/>
      <c r="V170" s="213"/>
      <c r="W170" s="212"/>
      <c r="X170" s="5"/>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s="160" customFormat="1" ht="15.75" x14ac:dyDescent="0.25">
      <c r="A171" s="285"/>
      <c r="B171" s="286" t="s">
        <v>231</v>
      </c>
      <c r="C171" s="286"/>
      <c r="D171" s="286"/>
      <c r="E171" s="286"/>
      <c r="F171" s="286"/>
      <c r="G171" s="286"/>
      <c r="H171" s="286"/>
      <c r="I171" s="286"/>
      <c r="J171" s="286"/>
      <c r="K171" s="286"/>
      <c r="L171" s="286"/>
      <c r="M171" s="286"/>
      <c r="N171" s="286"/>
      <c r="O171" s="286"/>
      <c r="P171" s="286"/>
      <c r="Q171" s="286"/>
      <c r="R171" s="286"/>
      <c r="S171" s="286"/>
      <c r="T171" s="286"/>
      <c r="U171" s="286"/>
      <c r="V171" s="338">
        <f>+'Aug 08'!V173</f>
        <v>0</v>
      </c>
      <c r="W171" s="289"/>
      <c r="X171" s="5"/>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s="160" customFormat="1" ht="15.75" x14ac:dyDescent="0.25">
      <c r="A172" s="285"/>
      <c r="B172" s="286" t="s">
        <v>234</v>
      </c>
      <c r="C172" s="286"/>
      <c r="D172" s="286"/>
      <c r="E172" s="286"/>
      <c r="F172" s="286"/>
      <c r="G172" s="286"/>
      <c r="H172" s="286"/>
      <c r="I172" s="286"/>
      <c r="J172" s="286"/>
      <c r="K172" s="286"/>
      <c r="L172" s="286"/>
      <c r="M172" s="286"/>
      <c r="N172" s="286"/>
      <c r="O172" s="286"/>
      <c r="P172" s="286"/>
      <c r="Q172" s="286"/>
      <c r="R172" s="286"/>
      <c r="S172" s="286"/>
      <c r="T172" s="286"/>
      <c r="U172" s="286"/>
      <c r="V172" s="338">
        <f>+V94</f>
        <v>0</v>
      </c>
      <c r="W172" s="289"/>
      <c r="X172" s="5"/>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s="160" customFormat="1" ht="15.75" x14ac:dyDescent="0.25">
      <c r="A173" s="285"/>
      <c r="B173" s="286" t="s">
        <v>232</v>
      </c>
      <c r="C173" s="286"/>
      <c r="D173" s="286"/>
      <c r="E173" s="286"/>
      <c r="F173" s="286"/>
      <c r="G173" s="286"/>
      <c r="H173" s="286"/>
      <c r="I173" s="286"/>
      <c r="J173" s="286"/>
      <c r="K173" s="286"/>
      <c r="L173" s="286"/>
      <c r="M173" s="286"/>
      <c r="N173" s="286"/>
      <c r="O173" s="286"/>
      <c r="P173" s="286"/>
      <c r="Q173" s="286"/>
      <c r="R173" s="286"/>
      <c r="S173" s="286"/>
      <c r="T173" s="286"/>
      <c r="U173" s="286"/>
      <c r="V173" s="338">
        <f>+V171-V172</f>
        <v>0</v>
      </c>
      <c r="W173" s="289"/>
      <c r="X173" s="5"/>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s="163" customFormat="1" ht="16.5" thickBot="1" x14ac:dyDescent="0.3">
      <c r="A174" s="197"/>
      <c r="B174" s="212"/>
      <c r="C174" s="212"/>
      <c r="D174" s="212"/>
      <c r="E174" s="212"/>
      <c r="F174" s="212"/>
      <c r="G174" s="212"/>
      <c r="H174" s="212"/>
      <c r="I174" s="212"/>
      <c r="J174" s="212"/>
      <c r="K174" s="212"/>
      <c r="L174" s="212"/>
      <c r="M174" s="212"/>
      <c r="N174" s="212"/>
      <c r="O174" s="212"/>
      <c r="P174" s="212"/>
      <c r="Q174" s="212"/>
      <c r="R174" s="212"/>
      <c r="S174" s="212"/>
      <c r="T174" s="212"/>
      <c r="U174" s="212"/>
      <c r="V174" s="344"/>
      <c r="W174" s="212"/>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4" customFormat="1" ht="15.75" x14ac:dyDescent="0.25">
      <c r="A175" s="179"/>
      <c r="B175" s="180"/>
      <c r="C175" s="180"/>
      <c r="D175" s="180"/>
      <c r="E175" s="180"/>
      <c r="F175" s="180"/>
      <c r="G175" s="180"/>
      <c r="H175" s="180"/>
      <c r="I175" s="180"/>
      <c r="J175" s="180"/>
      <c r="K175" s="180"/>
      <c r="L175" s="180"/>
      <c r="M175" s="180"/>
      <c r="N175" s="180"/>
      <c r="O175" s="180"/>
      <c r="P175" s="180"/>
      <c r="Q175" s="180"/>
      <c r="R175" s="180"/>
      <c r="S175" s="180"/>
      <c r="T175" s="180"/>
      <c r="U175" s="180"/>
      <c r="V175" s="201"/>
      <c r="W175" s="180"/>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ht="15.75" x14ac:dyDescent="0.25">
      <c r="A176" s="181"/>
      <c r="B176" s="210" t="s">
        <v>56</v>
      </c>
      <c r="C176" s="183"/>
      <c r="D176" s="183"/>
      <c r="E176" s="183"/>
      <c r="F176" s="183"/>
      <c r="G176" s="183"/>
      <c r="H176" s="183"/>
      <c r="I176" s="183"/>
      <c r="J176" s="183"/>
      <c r="K176" s="183"/>
      <c r="L176" s="183"/>
      <c r="M176" s="183"/>
      <c r="N176" s="183"/>
      <c r="O176" s="183"/>
      <c r="P176" s="183"/>
      <c r="Q176" s="183"/>
      <c r="R176" s="183"/>
      <c r="S176" s="183"/>
      <c r="T176" s="183"/>
      <c r="U176" s="183"/>
      <c r="V176" s="202"/>
      <c r="W176" s="183"/>
      <c r="X176" s="5"/>
    </row>
    <row r="177" spans="1:24" ht="15.75" x14ac:dyDescent="0.25">
      <c r="A177" s="181"/>
      <c r="B177" s="191"/>
      <c r="C177" s="183"/>
      <c r="D177" s="183"/>
      <c r="E177" s="183"/>
      <c r="F177" s="183"/>
      <c r="G177" s="183"/>
      <c r="H177" s="183"/>
      <c r="I177" s="183"/>
      <c r="J177" s="183"/>
      <c r="K177" s="183"/>
      <c r="L177" s="183"/>
      <c r="M177" s="183"/>
      <c r="N177" s="183"/>
      <c r="O177" s="183"/>
      <c r="P177" s="183"/>
      <c r="Q177" s="183"/>
      <c r="R177" s="183"/>
      <c r="S177" s="183"/>
      <c r="T177" s="183"/>
      <c r="U177" s="183"/>
      <c r="V177" s="202"/>
      <c r="W177" s="183"/>
      <c r="X177" s="5"/>
    </row>
    <row r="178" spans="1:24" ht="15.75" x14ac:dyDescent="0.25">
      <c r="A178" s="285"/>
      <c r="B178" s="286" t="s">
        <v>57</v>
      </c>
      <c r="C178" s="286"/>
      <c r="D178" s="286"/>
      <c r="E178" s="286"/>
      <c r="F178" s="286"/>
      <c r="G178" s="286"/>
      <c r="H178" s="286"/>
      <c r="I178" s="286"/>
      <c r="J178" s="286"/>
      <c r="K178" s="286"/>
      <c r="L178" s="286"/>
      <c r="M178" s="286"/>
      <c r="N178" s="286"/>
      <c r="O178" s="286"/>
      <c r="P178" s="286"/>
      <c r="Q178" s="286"/>
      <c r="R178" s="286"/>
      <c r="S178" s="286"/>
      <c r="T178" s="286"/>
      <c r="U178" s="286"/>
      <c r="V178" s="338">
        <f>V71</f>
        <v>861437</v>
      </c>
      <c r="W178" s="289"/>
      <c r="X178" s="5"/>
    </row>
    <row r="179" spans="1:24" ht="15.75" x14ac:dyDescent="0.25">
      <c r="A179" s="285"/>
      <c r="B179" s="286" t="s">
        <v>58</v>
      </c>
      <c r="C179" s="286"/>
      <c r="D179" s="286"/>
      <c r="E179" s="286"/>
      <c r="F179" s="286"/>
      <c r="G179" s="286"/>
      <c r="H179" s="286"/>
      <c r="I179" s="286"/>
      <c r="J179" s="286"/>
      <c r="K179" s="286"/>
      <c r="L179" s="286"/>
      <c r="M179" s="286"/>
      <c r="N179" s="286"/>
      <c r="O179" s="286"/>
      <c r="P179" s="286"/>
      <c r="Q179" s="286"/>
      <c r="R179" s="286"/>
      <c r="S179" s="286"/>
      <c r="T179" s="286"/>
      <c r="U179" s="286"/>
      <c r="V179" s="338">
        <f>V84</f>
        <v>861437</v>
      </c>
      <c r="W179" s="289"/>
      <c r="X179" s="5"/>
    </row>
    <row r="180" spans="1:24" ht="16.5" thickBot="1" x14ac:dyDescent="0.3">
      <c r="A180" s="181"/>
      <c r="B180" s="212"/>
      <c r="C180" s="212"/>
      <c r="D180" s="212"/>
      <c r="E180" s="212"/>
      <c r="F180" s="212"/>
      <c r="G180" s="212"/>
      <c r="H180" s="212"/>
      <c r="I180" s="212"/>
      <c r="J180" s="212"/>
      <c r="K180" s="212"/>
      <c r="L180" s="212"/>
      <c r="M180" s="212"/>
      <c r="N180" s="212"/>
      <c r="O180" s="212"/>
      <c r="P180" s="212"/>
      <c r="Q180" s="212"/>
      <c r="R180" s="212"/>
      <c r="S180" s="212"/>
      <c r="T180" s="212"/>
      <c r="U180" s="212"/>
      <c r="V180" s="344"/>
      <c r="W180" s="212"/>
      <c r="X180" s="5"/>
    </row>
    <row r="181" spans="1:24" ht="15.75" x14ac:dyDescent="0.25">
      <c r="A181" s="179"/>
      <c r="B181" s="180"/>
      <c r="C181" s="180"/>
      <c r="D181" s="180"/>
      <c r="E181" s="180"/>
      <c r="F181" s="180"/>
      <c r="G181" s="180"/>
      <c r="H181" s="180"/>
      <c r="I181" s="180"/>
      <c r="J181" s="180"/>
      <c r="K181" s="180"/>
      <c r="L181" s="180"/>
      <c r="M181" s="180"/>
      <c r="N181" s="180"/>
      <c r="O181" s="180"/>
      <c r="P181" s="180"/>
      <c r="Q181" s="180"/>
      <c r="R181" s="180"/>
      <c r="S181" s="180"/>
      <c r="T181" s="180"/>
      <c r="U181" s="180"/>
      <c r="V181" s="201"/>
      <c r="W181" s="180"/>
      <c r="X181" s="5"/>
    </row>
    <row r="182" spans="1:24" ht="15.75" x14ac:dyDescent="0.25">
      <c r="A182" s="181"/>
      <c r="B182" s="210" t="s">
        <v>59</v>
      </c>
      <c r="C182" s="206"/>
      <c r="D182" s="206"/>
      <c r="E182" s="206"/>
      <c r="F182" s="206"/>
      <c r="G182" s="206"/>
      <c r="H182" s="214"/>
      <c r="I182" s="214"/>
      <c r="J182" s="214"/>
      <c r="K182" s="214"/>
      <c r="L182" s="214"/>
      <c r="M182" s="214"/>
      <c r="N182" s="214"/>
      <c r="O182" s="214"/>
      <c r="P182" s="214"/>
      <c r="Q182" s="214"/>
      <c r="R182" s="214"/>
      <c r="S182" s="214" t="s">
        <v>101</v>
      </c>
      <c r="T182" s="214" t="s">
        <v>176</v>
      </c>
      <c r="U182" s="185"/>
      <c r="V182" s="215" t="s">
        <v>114</v>
      </c>
      <c r="W182" s="216"/>
      <c r="X182" s="5"/>
    </row>
    <row r="183" spans="1:24" ht="15.75" x14ac:dyDescent="0.25">
      <c r="A183" s="285"/>
      <c r="B183" s="286" t="s">
        <v>60</v>
      </c>
      <c r="C183" s="286"/>
      <c r="D183" s="286"/>
      <c r="E183" s="286"/>
      <c r="F183" s="286"/>
      <c r="G183" s="286"/>
      <c r="H183" s="286"/>
      <c r="I183" s="286"/>
      <c r="J183" s="286"/>
      <c r="K183" s="286"/>
      <c r="L183" s="286"/>
      <c r="M183" s="286"/>
      <c r="N183" s="286"/>
      <c r="O183" s="286"/>
      <c r="P183" s="286"/>
      <c r="Q183" s="286"/>
      <c r="R183" s="286"/>
      <c r="S183" s="338">
        <f>+V34*0.16</f>
        <v>160181.28</v>
      </c>
      <c r="T183" s="325"/>
      <c r="U183" s="286"/>
      <c r="V183" s="338"/>
      <c r="W183" s="289"/>
      <c r="X183" s="5"/>
    </row>
    <row r="184" spans="1:24" ht="15.75" x14ac:dyDescent="0.25">
      <c r="A184" s="285"/>
      <c r="B184" s="286" t="s">
        <v>61</v>
      </c>
      <c r="C184" s="286"/>
      <c r="D184" s="286"/>
      <c r="E184" s="286"/>
      <c r="F184" s="286"/>
      <c r="G184" s="286"/>
      <c r="H184" s="286"/>
      <c r="I184" s="286"/>
      <c r="J184" s="286"/>
      <c r="K184" s="286"/>
      <c r="L184" s="286"/>
      <c r="M184" s="286"/>
      <c r="N184" s="286"/>
      <c r="O184" s="286"/>
      <c r="P184" s="286"/>
      <c r="Q184" s="286"/>
      <c r="R184" s="286"/>
      <c r="S184" s="338">
        <f>+'Feb 10'!S187</f>
        <v>9968</v>
      </c>
      <c r="T184" s="338">
        <f>+'Feb 10'!T187</f>
        <v>6079</v>
      </c>
      <c r="U184" s="286"/>
      <c r="V184" s="338">
        <f>S184+T184</f>
        <v>16047</v>
      </c>
      <c r="W184" s="289"/>
      <c r="X184" s="5"/>
    </row>
    <row r="185" spans="1:24" ht="15.75" x14ac:dyDescent="0.25">
      <c r="A185" s="285"/>
      <c r="B185" s="286" t="s">
        <v>62</v>
      </c>
      <c r="C185" s="286"/>
      <c r="D185" s="286"/>
      <c r="E185" s="286"/>
      <c r="F185" s="286"/>
      <c r="G185" s="286"/>
      <c r="H185" s="286"/>
      <c r="I185" s="286"/>
      <c r="J185" s="286"/>
      <c r="K185" s="286"/>
      <c r="L185" s="286"/>
      <c r="M185" s="286"/>
      <c r="N185" s="286"/>
      <c r="O185" s="286"/>
      <c r="P185" s="286"/>
      <c r="Q185" s="286"/>
      <c r="R185" s="286"/>
      <c r="S185" s="337">
        <f>415</f>
        <v>415</v>
      </c>
      <c r="T185" s="337">
        <v>0</v>
      </c>
      <c r="U185" s="286"/>
      <c r="V185" s="338">
        <f>S185+T185</f>
        <v>415</v>
      </c>
      <c r="W185" s="289"/>
      <c r="X185" s="5"/>
    </row>
    <row r="186" spans="1:24" ht="15.75" x14ac:dyDescent="0.25">
      <c r="A186" s="285"/>
      <c r="B186" s="286" t="s">
        <v>63</v>
      </c>
      <c r="C186" s="286"/>
      <c r="D186" s="286"/>
      <c r="E186" s="286"/>
      <c r="F186" s="286"/>
      <c r="G186" s="286"/>
      <c r="H186" s="286"/>
      <c r="I186" s="286"/>
      <c r="J186" s="286"/>
      <c r="K186" s="286"/>
      <c r="L186" s="286"/>
      <c r="M186" s="286"/>
      <c r="N186" s="286"/>
      <c r="O186" s="286"/>
      <c r="P186" s="286"/>
      <c r="Q186" s="286"/>
      <c r="R186" s="286"/>
      <c r="S186" s="338">
        <f>S184+S185</f>
        <v>10383</v>
      </c>
      <c r="T186" s="338">
        <f>T185+T184</f>
        <v>6079</v>
      </c>
      <c r="U186" s="286"/>
      <c r="V186" s="338">
        <f>S186+T186</f>
        <v>16462</v>
      </c>
      <c r="W186" s="289"/>
      <c r="X186" s="5"/>
    </row>
    <row r="187" spans="1:24" ht="15.75" x14ac:dyDescent="0.25">
      <c r="A187" s="285"/>
      <c r="B187" s="286" t="s">
        <v>64</v>
      </c>
      <c r="C187" s="286"/>
      <c r="D187" s="286"/>
      <c r="E187" s="286"/>
      <c r="F187" s="286"/>
      <c r="G187" s="286"/>
      <c r="H187" s="286"/>
      <c r="I187" s="286"/>
      <c r="J187" s="286"/>
      <c r="K187" s="286"/>
      <c r="L187" s="286"/>
      <c r="M187" s="286"/>
      <c r="N187" s="286"/>
      <c r="O187" s="286"/>
      <c r="P187" s="286"/>
      <c r="Q187" s="286"/>
      <c r="R187" s="286"/>
      <c r="S187" s="338">
        <f>S183-S186-T186</f>
        <v>143719.28</v>
      </c>
      <c r="T187" s="325"/>
      <c r="U187" s="286"/>
      <c r="V187" s="338"/>
      <c r="W187" s="289"/>
      <c r="X187" s="5"/>
    </row>
    <row r="188" spans="1:24" ht="16.5" thickBot="1" x14ac:dyDescent="0.3">
      <c r="A188" s="181"/>
      <c r="B188" s="212"/>
      <c r="C188" s="212"/>
      <c r="D188" s="212"/>
      <c r="E188" s="212"/>
      <c r="F188" s="212"/>
      <c r="G188" s="212"/>
      <c r="H188" s="212"/>
      <c r="I188" s="212"/>
      <c r="J188" s="212"/>
      <c r="K188" s="212"/>
      <c r="L188" s="212"/>
      <c r="M188" s="212"/>
      <c r="N188" s="212"/>
      <c r="O188" s="212"/>
      <c r="P188" s="212"/>
      <c r="Q188" s="212"/>
      <c r="R188" s="212"/>
      <c r="S188" s="212"/>
      <c r="T188" s="212"/>
      <c r="U188" s="212"/>
      <c r="V188" s="344"/>
      <c r="W188" s="212"/>
      <c r="X188" s="5"/>
    </row>
    <row r="189" spans="1:24" ht="15.75" x14ac:dyDescent="0.25">
      <c r="A189" s="179"/>
      <c r="B189" s="180"/>
      <c r="C189" s="180"/>
      <c r="D189" s="180"/>
      <c r="E189" s="180"/>
      <c r="F189" s="180"/>
      <c r="G189" s="180"/>
      <c r="H189" s="180"/>
      <c r="I189" s="180"/>
      <c r="J189" s="180"/>
      <c r="K189" s="180"/>
      <c r="L189" s="180"/>
      <c r="M189" s="180"/>
      <c r="N189" s="180"/>
      <c r="O189" s="180"/>
      <c r="P189" s="180"/>
      <c r="Q189" s="180"/>
      <c r="R189" s="180"/>
      <c r="S189" s="180"/>
      <c r="T189" s="180"/>
      <c r="U189" s="180"/>
      <c r="V189" s="201"/>
      <c r="W189" s="180"/>
      <c r="X189" s="5"/>
    </row>
    <row r="190" spans="1:24" ht="15.75" x14ac:dyDescent="0.25">
      <c r="A190" s="181"/>
      <c r="B190" s="210" t="s">
        <v>65</v>
      </c>
      <c r="C190" s="183"/>
      <c r="D190" s="183"/>
      <c r="E190" s="183"/>
      <c r="F190" s="183"/>
      <c r="G190" s="183"/>
      <c r="H190" s="183"/>
      <c r="I190" s="183"/>
      <c r="J190" s="183"/>
      <c r="K190" s="183"/>
      <c r="L190" s="183"/>
      <c r="M190" s="183"/>
      <c r="N190" s="183"/>
      <c r="O190" s="183"/>
      <c r="P190" s="183"/>
      <c r="Q190" s="183"/>
      <c r="R190" s="183"/>
      <c r="S190" s="183"/>
      <c r="T190" s="183"/>
      <c r="U190" s="183"/>
      <c r="V190" s="217"/>
      <c r="W190" s="183"/>
      <c r="X190" s="5"/>
    </row>
    <row r="191" spans="1:24" ht="15.75" x14ac:dyDescent="0.25">
      <c r="A191" s="285"/>
      <c r="B191" s="286" t="s">
        <v>66</v>
      </c>
      <c r="C191" s="286"/>
      <c r="D191" s="286"/>
      <c r="E191" s="286"/>
      <c r="F191" s="286"/>
      <c r="G191" s="286"/>
      <c r="H191" s="286"/>
      <c r="I191" s="286"/>
      <c r="J191" s="286"/>
      <c r="K191" s="286"/>
      <c r="L191" s="286"/>
      <c r="M191" s="286"/>
      <c r="N191" s="286"/>
      <c r="O191" s="286"/>
      <c r="P191" s="286"/>
      <c r="Q191" s="286"/>
      <c r="R191" s="286"/>
      <c r="S191" s="286"/>
      <c r="T191" s="286"/>
      <c r="U191" s="286"/>
      <c r="V191" s="343">
        <f>(V101+V103+V104+V105+V106)/-(V107+V108)</f>
        <v>3.4869565217391303</v>
      </c>
      <c r="W191" s="289" t="s">
        <v>115</v>
      </c>
      <c r="X191" s="5"/>
    </row>
    <row r="192" spans="1:24" ht="15.75" x14ac:dyDescent="0.25">
      <c r="A192" s="285"/>
      <c r="B192" s="286" t="s">
        <v>67</v>
      </c>
      <c r="C192" s="286"/>
      <c r="D192" s="286"/>
      <c r="E192" s="286"/>
      <c r="F192" s="286"/>
      <c r="G192" s="286"/>
      <c r="H192" s="286"/>
      <c r="I192" s="286"/>
      <c r="J192" s="286"/>
      <c r="K192" s="286"/>
      <c r="L192" s="286"/>
      <c r="M192" s="286"/>
      <c r="N192" s="286"/>
      <c r="O192" s="286"/>
      <c r="P192" s="286"/>
      <c r="Q192" s="286"/>
      <c r="R192" s="286"/>
      <c r="S192" s="286"/>
      <c r="T192" s="286"/>
      <c r="U192" s="286"/>
      <c r="V192" s="347">
        <v>1.52</v>
      </c>
      <c r="W192" s="289" t="s">
        <v>115</v>
      </c>
      <c r="X192" s="5"/>
    </row>
    <row r="193" spans="1:24" ht="15.75" x14ac:dyDescent="0.25">
      <c r="A193" s="285"/>
      <c r="B193" s="286" t="s">
        <v>68</v>
      </c>
      <c r="C193" s="286"/>
      <c r="D193" s="286"/>
      <c r="E193" s="286"/>
      <c r="F193" s="286"/>
      <c r="G193" s="286"/>
      <c r="H193" s="286"/>
      <c r="I193" s="286"/>
      <c r="J193" s="286"/>
      <c r="K193" s="286"/>
      <c r="L193" s="286"/>
      <c r="M193" s="286"/>
      <c r="N193" s="286"/>
      <c r="O193" s="286"/>
      <c r="P193" s="286"/>
      <c r="Q193" s="286"/>
      <c r="R193" s="286"/>
      <c r="S193" s="286"/>
      <c r="T193" s="286"/>
      <c r="U193" s="286"/>
      <c r="V193" s="343">
        <f>(V101+V103+V104+V105+V106+V107+V108)/-(V109+V110)</f>
        <v>19.280898876404493</v>
      </c>
      <c r="W193" s="289" t="s">
        <v>115</v>
      </c>
      <c r="X193" s="5"/>
    </row>
    <row r="194" spans="1:24" ht="15.75" x14ac:dyDescent="0.25">
      <c r="A194" s="285"/>
      <c r="B194" s="286" t="s">
        <v>69</v>
      </c>
      <c r="C194" s="286"/>
      <c r="D194" s="286"/>
      <c r="E194" s="286"/>
      <c r="F194" s="286"/>
      <c r="G194" s="286"/>
      <c r="H194" s="286"/>
      <c r="I194" s="286"/>
      <c r="J194" s="286"/>
      <c r="K194" s="286"/>
      <c r="L194" s="286"/>
      <c r="M194" s="286"/>
      <c r="N194" s="286"/>
      <c r="O194" s="286"/>
      <c r="P194" s="286"/>
      <c r="Q194" s="286"/>
      <c r="R194" s="286"/>
      <c r="S194" s="286"/>
      <c r="T194" s="286"/>
      <c r="U194" s="286"/>
      <c r="V194" s="347">
        <v>5.37</v>
      </c>
      <c r="W194" s="289" t="s">
        <v>115</v>
      </c>
      <c r="X194" s="5"/>
    </row>
    <row r="195" spans="1:24" ht="15.75" x14ac:dyDescent="0.25">
      <c r="A195" s="285"/>
      <c r="B195" s="286" t="s">
        <v>198</v>
      </c>
      <c r="C195" s="286"/>
      <c r="D195" s="286"/>
      <c r="E195" s="286"/>
      <c r="F195" s="286"/>
      <c r="G195" s="286"/>
      <c r="H195" s="286"/>
      <c r="I195" s="286"/>
      <c r="J195" s="286"/>
      <c r="K195" s="286"/>
      <c r="L195" s="286"/>
      <c r="M195" s="286"/>
      <c r="N195" s="286"/>
      <c r="O195" s="286"/>
      <c r="P195" s="286"/>
      <c r="Q195" s="286"/>
      <c r="R195" s="286"/>
      <c r="S195" s="286"/>
      <c r="T195" s="286"/>
      <c r="U195" s="286"/>
      <c r="V195" s="343">
        <f>(V101+V103+V104+V105+V106+V107+V108+V109+V110)/-(V111)</f>
        <v>13.672268907563025</v>
      </c>
      <c r="W195" s="289" t="s">
        <v>115</v>
      </c>
      <c r="X195" s="5"/>
    </row>
    <row r="196" spans="1:24" ht="15.75" x14ac:dyDescent="0.25">
      <c r="A196" s="285"/>
      <c r="B196" s="286" t="s">
        <v>199</v>
      </c>
      <c r="C196" s="286"/>
      <c r="D196" s="286"/>
      <c r="E196" s="286"/>
      <c r="F196" s="286"/>
      <c r="G196" s="286"/>
      <c r="H196" s="286"/>
      <c r="I196" s="286"/>
      <c r="J196" s="286"/>
      <c r="K196" s="286"/>
      <c r="L196" s="286"/>
      <c r="M196" s="286"/>
      <c r="N196" s="286"/>
      <c r="O196" s="286"/>
      <c r="P196" s="286"/>
      <c r="Q196" s="286"/>
      <c r="R196" s="286"/>
      <c r="S196" s="286"/>
      <c r="T196" s="286"/>
      <c r="U196" s="286"/>
      <c r="V196" s="347">
        <v>4.04</v>
      </c>
      <c r="W196" s="289" t="s">
        <v>115</v>
      </c>
      <c r="X196" s="5"/>
    </row>
    <row r="197" spans="1:24" ht="15.75" x14ac:dyDescent="0.25">
      <c r="A197" s="285"/>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9"/>
      <c r="X197" s="5"/>
    </row>
    <row r="198" spans="1:24" ht="15.75" x14ac:dyDescent="0.25">
      <c r="A198" s="181"/>
      <c r="B198" s="346"/>
      <c r="C198" s="346"/>
      <c r="D198" s="346"/>
      <c r="E198" s="346"/>
      <c r="F198" s="346"/>
      <c r="G198" s="346"/>
      <c r="H198" s="346"/>
      <c r="I198" s="346"/>
      <c r="J198" s="346"/>
      <c r="K198" s="346"/>
      <c r="L198" s="346"/>
      <c r="M198" s="346"/>
      <c r="N198" s="346"/>
      <c r="O198" s="346"/>
      <c r="P198" s="346"/>
      <c r="Q198" s="346"/>
      <c r="R198" s="346"/>
      <c r="S198" s="346"/>
      <c r="T198" s="346"/>
      <c r="U198" s="346"/>
      <c r="V198" s="346"/>
      <c r="W198" s="346"/>
      <c r="X198" s="5"/>
    </row>
    <row r="199" spans="1:24" ht="15.75" x14ac:dyDescent="0.25">
      <c r="A199" s="181"/>
      <c r="B199" s="255"/>
      <c r="C199" s="255"/>
      <c r="D199" s="255"/>
      <c r="E199" s="255"/>
      <c r="F199" s="255"/>
      <c r="G199" s="255"/>
      <c r="H199" s="255"/>
      <c r="I199" s="255"/>
      <c r="J199" s="255"/>
      <c r="K199" s="255"/>
      <c r="L199" s="255"/>
      <c r="M199" s="255"/>
      <c r="N199" s="255"/>
      <c r="O199" s="255"/>
      <c r="P199" s="255"/>
      <c r="Q199" s="255"/>
      <c r="R199" s="255"/>
      <c r="S199" s="255"/>
      <c r="T199" s="255"/>
      <c r="U199" s="255"/>
      <c r="V199" s="255"/>
      <c r="W199" s="255"/>
      <c r="X199" s="5"/>
    </row>
    <row r="200" spans="1:24" ht="19.5" thickBot="1" x14ac:dyDescent="0.35">
      <c r="A200" s="197"/>
      <c r="B200" s="270" t="str">
        <f>B134</f>
        <v>PM15 INVESTOR REPORT QUARTER ENDING MAY 2010</v>
      </c>
      <c r="C200" s="271"/>
      <c r="D200" s="271"/>
      <c r="E200" s="271"/>
      <c r="F200" s="271"/>
      <c r="G200" s="271"/>
      <c r="H200" s="271"/>
      <c r="I200" s="271"/>
      <c r="J200" s="271"/>
      <c r="K200" s="271"/>
      <c r="L200" s="271"/>
      <c r="M200" s="271"/>
      <c r="N200" s="271"/>
      <c r="O200" s="271"/>
      <c r="P200" s="271"/>
      <c r="Q200" s="271"/>
      <c r="R200" s="271"/>
      <c r="S200" s="271"/>
      <c r="T200" s="271"/>
      <c r="U200" s="271"/>
      <c r="V200" s="271"/>
      <c r="W200" s="272"/>
      <c r="X200" s="5"/>
    </row>
    <row r="201" spans="1:24" ht="15.75" x14ac:dyDescent="0.25">
      <c r="A201" s="236"/>
      <c r="B201" s="237" t="s">
        <v>70</v>
      </c>
      <c r="C201" s="240"/>
      <c r="D201" s="240"/>
      <c r="E201" s="240"/>
      <c r="F201" s="240"/>
      <c r="G201" s="241"/>
      <c r="H201" s="241"/>
      <c r="I201" s="241"/>
      <c r="J201" s="241"/>
      <c r="K201" s="241"/>
      <c r="L201" s="241"/>
      <c r="M201" s="241"/>
      <c r="N201" s="241"/>
      <c r="O201" s="241"/>
      <c r="P201" s="241"/>
      <c r="Q201" s="241"/>
      <c r="R201" s="241"/>
      <c r="S201" s="241"/>
      <c r="T201" s="241">
        <v>40326</v>
      </c>
      <c r="U201" s="238"/>
      <c r="V201" s="238"/>
      <c r="W201" s="238"/>
      <c r="X201" s="5"/>
    </row>
    <row r="202" spans="1:24" ht="15.75" x14ac:dyDescent="0.25">
      <c r="A202" s="218"/>
      <c r="B202" s="219"/>
      <c r="C202" s="220"/>
      <c r="D202" s="220"/>
      <c r="E202" s="220"/>
      <c r="F202" s="220"/>
      <c r="G202" s="221"/>
      <c r="H202" s="221"/>
      <c r="I202" s="221"/>
      <c r="J202" s="221"/>
      <c r="K202" s="221"/>
      <c r="L202" s="221"/>
      <c r="M202" s="221"/>
      <c r="N202" s="221"/>
      <c r="O202" s="221"/>
      <c r="P202" s="221"/>
      <c r="Q202" s="221"/>
      <c r="R202" s="221"/>
      <c r="S202" s="221"/>
      <c r="T202" s="221"/>
      <c r="U202" s="183"/>
      <c r="V202" s="183"/>
      <c r="W202" s="183"/>
      <c r="X202" s="5"/>
    </row>
    <row r="203" spans="1:24" ht="15.75" x14ac:dyDescent="0.25">
      <c r="A203" s="350"/>
      <c r="B203" s="286" t="s">
        <v>71</v>
      </c>
      <c r="C203" s="351"/>
      <c r="D203" s="351"/>
      <c r="E203" s="351"/>
      <c r="F203" s="351"/>
      <c r="G203" s="330"/>
      <c r="H203" s="330"/>
      <c r="I203" s="330"/>
      <c r="J203" s="330"/>
      <c r="K203" s="330"/>
      <c r="L203" s="330"/>
      <c r="M203" s="330"/>
      <c r="N203" s="330"/>
      <c r="O203" s="330"/>
      <c r="P203" s="330"/>
      <c r="Q203" s="330"/>
      <c r="R203" s="330"/>
      <c r="S203" s="330"/>
      <c r="T203" s="321">
        <v>5.3830000000000003E-2</v>
      </c>
      <c r="U203" s="286"/>
      <c r="V203" s="286"/>
      <c r="W203" s="289"/>
      <c r="X203" s="5"/>
    </row>
    <row r="204" spans="1:24" ht="15.75" x14ac:dyDescent="0.25">
      <c r="A204" s="350"/>
      <c r="B204" s="286" t="s">
        <v>151</v>
      </c>
      <c r="C204" s="351"/>
      <c r="D204" s="351"/>
      <c r="E204" s="351"/>
      <c r="F204" s="351"/>
      <c r="G204" s="330"/>
      <c r="H204" s="330"/>
      <c r="I204" s="330"/>
      <c r="J204" s="330"/>
      <c r="K204" s="330"/>
      <c r="L204" s="330"/>
      <c r="M204" s="330"/>
      <c r="N204" s="330"/>
      <c r="O204" s="330"/>
      <c r="P204" s="330"/>
      <c r="Q204" s="330"/>
      <c r="R204" s="330"/>
      <c r="S204" s="330"/>
      <c r="T204" s="321">
        <v>6.25E-2</v>
      </c>
      <c r="U204" s="286"/>
      <c r="V204" s="286"/>
      <c r="W204" s="289"/>
      <c r="X204" s="5"/>
    </row>
    <row r="205" spans="1:24" ht="15.75" x14ac:dyDescent="0.25">
      <c r="A205" s="350"/>
      <c r="B205" s="286" t="s">
        <v>72</v>
      </c>
      <c r="C205" s="351"/>
      <c r="D205" s="351"/>
      <c r="E205" s="351"/>
      <c r="F205" s="351"/>
      <c r="G205" s="330"/>
      <c r="H205" s="330"/>
      <c r="I205" s="330"/>
      <c r="J205" s="330"/>
      <c r="K205" s="330"/>
      <c r="L205" s="330"/>
      <c r="M205" s="330"/>
      <c r="N205" s="330"/>
      <c r="O205" s="330"/>
      <c r="P205" s="330"/>
      <c r="Q205" s="330"/>
      <c r="R205" s="330"/>
      <c r="S205" s="330"/>
      <c r="T205" s="321">
        <f>T203-T204</f>
        <v>-8.6699999999999972E-3</v>
      </c>
      <c r="U205" s="286"/>
      <c r="V205" s="286"/>
      <c r="W205" s="289"/>
      <c r="X205" s="5"/>
    </row>
    <row r="206" spans="1:24" ht="15.75" x14ac:dyDescent="0.25">
      <c r="A206" s="350"/>
      <c r="B206" s="286" t="s">
        <v>73</v>
      </c>
      <c r="C206" s="351"/>
      <c r="D206" s="351"/>
      <c r="E206" s="351"/>
      <c r="F206" s="351"/>
      <c r="G206" s="330"/>
      <c r="H206" s="330"/>
      <c r="I206" s="330"/>
      <c r="J206" s="330"/>
      <c r="K206" s="330"/>
      <c r="L206" s="330"/>
      <c r="M206" s="330"/>
      <c r="N206" s="330"/>
      <c r="O206" s="330"/>
      <c r="P206" s="330"/>
      <c r="Q206" s="330"/>
      <c r="R206" s="330"/>
      <c r="S206" s="330"/>
      <c r="T206" s="321">
        <v>2.802E-2</v>
      </c>
      <c r="U206" s="286"/>
      <c r="V206" s="286"/>
      <c r="W206" s="289"/>
      <c r="X206" s="5"/>
    </row>
    <row r="207" spans="1:24" ht="15.75" x14ac:dyDescent="0.25">
      <c r="A207" s="350"/>
      <c r="B207" s="286" t="s">
        <v>218</v>
      </c>
      <c r="C207" s="351"/>
      <c r="D207" s="351"/>
      <c r="E207" s="351"/>
      <c r="F207" s="351"/>
      <c r="G207" s="330"/>
      <c r="H207" s="330"/>
      <c r="I207" s="330"/>
      <c r="J207" s="330"/>
      <c r="K207" s="330"/>
      <c r="L207" s="330"/>
      <c r="M207" s="330"/>
      <c r="N207" s="330"/>
      <c r="O207" s="330"/>
      <c r="P207" s="330"/>
      <c r="Q207" s="330"/>
      <c r="R207" s="330"/>
      <c r="S207" s="330"/>
      <c r="T207" s="321">
        <f>V43</f>
        <v>8.2277570232312369E-3</v>
      </c>
      <c r="U207" s="286"/>
      <c r="V207" s="286"/>
      <c r="W207" s="289"/>
      <c r="X207" s="5"/>
    </row>
    <row r="208" spans="1:24" ht="15.75" x14ac:dyDescent="0.25">
      <c r="A208" s="350"/>
      <c r="B208" s="286" t="s">
        <v>74</v>
      </c>
      <c r="C208" s="351"/>
      <c r="D208" s="351"/>
      <c r="E208" s="351"/>
      <c r="F208" s="351"/>
      <c r="G208" s="330"/>
      <c r="H208" s="330"/>
      <c r="I208" s="330"/>
      <c r="J208" s="330"/>
      <c r="K208" s="330"/>
      <c r="L208" s="330"/>
      <c r="M208" s="330"/>
      <c r="N208" s="330"/>
      <c r="O208" s="330"/>
      <c r="P208" s="330"/>
      <c r="Q208" s="330"/>
      <c r="R208" s="330"/>
      <c r="S208" s="330"/>
      <c r="T208" s="321">
        <f>T206-T207</f>
        <v>1.9792242976768765E-2</v>
      </c>
      <c r="U208" s="286"/>
      <c r="V208" s="286"/>
      <c r="W208" s="289"/>
      <c r="X208" s="5"/>
    </row>
    <row r="209" spans="1:24" ht="15.75" x14ac:dyDescent="0.25">
      <c r="A209" s="350"/>
      <c r="B209" s="286" t="s">
        <v>227</v>
      </c>
      <c r="C209" s="351"/>
      <c r="D209" s="351"/>
      <c r="E209" s="351"/>
      <c r="F209" s="351"/>
      <c r="G209" s="330"/>
      <c r="H209" s="330"/>
      <c r="I209" s="330"/>
      <c r="J209" s="330"/>
      <c r="K209" s="330"/>
      <c r="L209" s="330"/>
      <c r="M209" s="330"/>
      <c r="N209" s="330"/>
      <c r="O209" s="330"/>
      <c r="P209" s="330"/>
      <c r="Q209" s="330"/>
      <c r="R209" s="330"/>
      <c r="S209" s="330"/>
      <c r="T209" s="321">
        <f>V101/N71</f>
        <v>7.2236122908741736E-3</v>
      </c>
      <c r="U209" s="286"/>
      <c r="V209" s="286"/>
      <c r="W209" s="289"/>
      <c r="X209" s="5"/>
    </row>
    <row r="210" spans="1:24" ht="15.75" x14ac:dyDescent="0.25">
      <c r="A210" s="350"/>
      <c r="B210" s="286" t="s">
        <v>207</v>
      </c>
      <c r="C210" s="351"/>
      <c r="D210" s="351"/>
      <c r="E210" s="351"/>
      <c r="F210" s="351"/>
      <c r="G210" s="330"/>
      <c r="H210" s="330"/>
      <c r="I210" s="330"/>
      <c r="J210" s="330"/>
      <c r="K210" s="330"/>
      <c r="L210" s="330"/>
      <c r="M210" s="330"/>
      <c r="N210" s="330"/>
      <c r="O210" s="330"/>
      <c r="P210" s="330"/>
      <c r="Q210" s="330"/>
      <c r="R210" s="330"/>
      <c r="S210" s="330"/>
      <c r="T210" s="352">
        <v>51105</v>
      </c>
      <c r="U210" s="286"/>
      <c r="V210" s="286"/>
      <c r="W210" s="289"/>
      <c r="X210" s="5"/>
    </row>
    <row r="211" spans="1:24" ht="15.75" x14ac:dyDescent="0.25">
      <c r="A211" s="350"/>
      <c r="B211" s="286" t="s">
        <v>208</v>
      </c>
      <c r="C211" s="351"/>
      <c r="D211" s="351"/>
      <c r="E211" s="351"/>
      <c r="F211" s="351"/>
      <c r="G211" s="330"/>
      <c r="H211" s="330"/>
      <c r="I211" s="330"/>
      <c r="J211" s="330"/>
      <c r="K211" s="330"/>
      <c r="L211" s="330"/>
      <c r="M211" s="330"/>
      <c r="N211" s="330"/>
      <c r="O211" s="330"/>
      <c r="P211" s="330"/>
      <c r="Q211" s="330"/>
      <c r="R211" s="330"/>
      <c r="S211" s="330"/>
      <c r="T211" s="352">
        <v>51105</v>
      </c>
      <c r="U211" s="286"/>
      <c r="V211" s="286"/>
      <c r="W211" s="289"/>
      <c r="X211" s="5"/>
    </row>
    <row r="212" spans="1:24" ht="15.75" x14ac:dyDescent="0.25">
      <c r="A212" s="350"/>
      <c r="B212" s="286" t="s">
        <v>209</v>
      </c>
      <c r="C212" s="351"/>
      <c r="D212" s="351"/>
      <c r="E212" s="351"/>
      <c r="F212" s="351"/>
      <c r="G212" s="330"/>
      <c r="H212" s="330"/>
      <c r="I212" s="330"/>
      <c r="J212" s="330"/>
      <c r="K212" s="330"/>
      <c r="L212" s="330"/>
      <c r="M212" s="330"/>
      <c r="N212" s="330"/>
      <c r="O212" s="330"/>
      <c r="P212" s="330"/>
      <c r="Q212" s="330"/>
      <c r="R212" s="330"/>
      <c r="S212" s="330"/>
      <c r="T212" s="352">
        <v>51105</v>
      </c>
      <c r="U212" s="286"/>
      <c r="V212" s="286"/>
      <c r="W212" s="289"/>
      <c r="X212" s="5"/>
    </row>
    <row r="213" spans="1:24" ht="15.75" x14ac:dyDescent="0.25">
      <c r="A213" s="350"/>
      <c r="B213" s="286" t="s">
        <v>75</v>
      </c>
      <c r="C213" s="351"/>
      <c r="D213" s="351"/>
      <c r="E213" s="351"/>
      <c r="F213" s="351"/>
      <c r="G213" s="330"/>
      <c r="H213" s="330"/>
      <c r="I213" s="330"/>
      <c r="J213" s="330"/>
      <c r="K213" s="330"/>
      <c r="L213" s="330"/>
      <c r="M213" s="330"/>
      <c r="N213" s="330"/>
      <c r="O213" s="330"/>
      <c r="P213" s="330"/>
      <c r="Q213" s="330"/>
      <c r="R213" s="330"/>
      <c r="S213" s="330"/>
      <c r="T213" s="327">
        <v>21.06</v>
      </c>
      <c r="U213" s="286" t="s">
        <v>110</v>
      </c>
      <c r="V213" s="286"/>
      <c r="W213" s="289"/>
      <c r="X213" s="5"/>
    </row>
    <row r="214" spans="1:24" ht="15.75" x14ac:dyDescent="0.25">
      <c r="A214" s="350"/>
      <c r="B214" s="286" t="s">
        <v>76</v>
      </c>
      <c r="C214" s="351"/>
      <c r="D214" s="351"/>
      <c r="E214" s="351"/>
      <c r="F214" s="351"/>
      <c r="G214" s="330"/>
      <c r="H214" s="330"/>
      <c r="I214" s="330"/>
      <c r="J214" s="330"/>
      <c r="K214" s="330"/>
      <c r="L214" s="330"/>
      <c r="M214" s="330"/>
      <c r="N214" s="330"/>
      <c r="O214" s="330"/>
      <c r="P214" s="330"/>
      <c r="Q214" s="330"/>
      <c r="R214" s="330"/>
      <c r="S214" s="330"/>
      <c r="T214" s="327">
        <v>18.32</v>
      </c>
      <c r="U214" s="286" t="s">
        <v>110</v>
      </c>
      <c r="V214" s="286"/>
      <c r="W214" s="289"/>
      <c r="X214" s="5"/>
    </row>
    <row r="215" spans="1:24" ht="15.75" x14ac:dyDescent="0.25">
      <c r="A215" s="350"/>
      <c r="B215" s="286" t="s">
        <v>77</v>
      </c>
      <c r="C215" s="351"/>
      <c r="D215" s="351"/>
      <c r="E215" s="351"/>
      <c r="F215" s="351"/>
      <c r="G215" s="330"/>
      <c r="H215" s="330"/>
      <c r="I215" s="330"/>
      <c r="J215" s="330"/>
      <c r="K215" s="330"/>
      <c r="L215" s="330"/>
      <c r="M215" s="330"/>
      <c r="N215" s="330"/>
      <c r="O215" s="330"/>
      <c r="P215" s="330"/>
      <c r="Q215" s="330"/>
      <c r="R215" s="330"/>
      <c r="S215" s="330"/>
      <c r="T215" s="321">
        <f>+P68/N68</f>
        <v>6.2991653432802747E-3</v>
      </c>
      <c r="U215" s="286"/>
      <c r="V215" s="286"/>
      <c r="W215" s="289"/>
      <c r="X215" s="5"/>
    </row>
    <row r="216" spans="1:24" ht="15.75" x14ac:dyDescent="0.25">
      <c r="A216" s="350"/>
      <c r="B216" s="286" t="s">
        <v>78</v>
      </c>
      <c r="C216" s="351"/>
      <c r="D216" s="351"/>
      <c r="E216" s="351"/>
      <c r="F216" s="351"/>
      <c r="G216" s="330"/>
      <c r="H216" s="330"/>
      <c r="I216" s="330"/>
      <c r="J216" s="330"/>
      <c r="K216" s="330"/>
      <c r="L216" s="330"/>
      <c r="M216" s="330"/>
      <c r="N216" s="330"/>
      <c r="O216" s="330"/>
      <c r="P216" s="330"/>
      <c r="Q216" s="330"/>
      <c r="R216" s="330"/>
      <c r="S216" s="330"/>
      <c r="T216" s="321">
        <v>5.4899999999999997E-2</v>
      </c>
      <c r="U216" s="286"/>
      <c r="V216" s="286"/>
      <c r="W216" s="289"/>
      <c r="X216" s="5"/>
    </row>
    <row r="217" spans="1:24" ht="15.75" x14ac:dyDescent="0.25">
      <c r="A217" s="218"/>
      <c r="B217" s="348"/>
      <c r="C217" s="348"/>
      <c r="D217" s="348"/>
      <c r="E217" s="348"/>
      <c r="F217" s="348"/>
      <c r="G217" s="212"/>
      <c r="H217" s="212"/>
      <c r="I217" s="212"/>
      <c r="J217" s="212"/>
      <c r="K217" s="212"/>
      <c r="L217" s="212"/>
      <c r="M217" s="212"/>
      <c r="N217" s="212"/>
      <c r="O217" s="212"/>
      <c r="P217" s="212"/>
      <c r="Q217" s="212"/>
      <c r="R217" s="212"/>
      <c r="S217" s="212"/>
      <c r="T217" s="344"/>
      <c r="U217" s="212"/>
      <c r="V217" s="349"/>
      <c r="W217" s="212"/>
      <c r="X217" s="5"/>
    </row>
    <row r="218" spans="1:24" ht="15.75" x14ac:dyDescent="0.25">
      <c r="A218" s="242"/>
      <c r="B218" s="232" t="s">
        <v>79</v>
      </c>
      <c r="C218" s="233"/>
      <c r="D218" s="233"/>
      <c r="E218" s="233"/>
      <c r="F218" s="243"/>
      <c r="G218" s="233"/>
      <c r="H218" s="233"/>
      <c r="I218" s="233"/>
      <c r="J218" s="233"/>
      <c r="K218" s="233"/>
      <c r="L218" s="233"/>
      <c r="M218" s="233"/>
      <c r="N218" s="233"/>
      <c r="O218" s="233"/>
      <c r="P218" s="233"/>
      <c r="Q218" s="233"/>
      <c r="R218" s="233"/>
      <c r="S218" s="233" t="s">
        <v>102</v>
      </c>
      <c r="T218" s="243" t="s">
        <v>108</v>
      </c>
      <c r="U218" s="225"/>
      <c r="V218" s="225"/>
      <c r="W218" s="225"/>
      <c r="X218" s="5"/>
    </row>
    <row r="219" spans="1:24" ht="15.75" x14ac:dyDescent="0.25">
      <c r="A219" s="222"/>
      <c r="B219" s="250" t="s">
        <v>80</v>
      </c>
      <c r="C219" s="249"/>
      <c r="D219" s="249"/>
      <c r="E219" s="249"/>
      <c r="F219" s="250"/>
      <c r="G219" s="250"/>
      <c r="H219" s="268"/>
      <c r="I219" s="268"/>
      <c r="J219" s="268"/>
      <c r="K219" s="268"/>
      <c r="L219" s="268"/>
      <c r="M219" s="268"/>
      <c r="N219" s="268"/>
      <c r="O219" s="268"/>
      <c r="P219" s="268"/>
      <c r="Q219" s="268"/>
      <c r="R219" s="268"/>
      <c r="S219" s="268">
        <v>0</v>
      </c>
      <c r="T219" s="269">
        <v>0</v>
      </c>
      <c r="U219" s="250"/>
      <c r="V219" s="266"/>
      <c r="W219" s="223"/>
      <c r="X219" s="5"/>
    </row>
    <row r="220" spans="1:24" ht="15.75" x14ac:dyDescent="0.25">
      <c r="A220" s="358"/>
      <c r="B220" s="286" t="s">
        <v>145</v>
      </c>
      <c r="C220" s="337"/>
      <c r="D220" s="337"/>
      <c r="E220" s="337"/>
      <c r="F220" s="286"/>
      <c r="G220" s="286"/>
      <c r="H220" s="296"/>
      <c r="I220" s="296"/>
      <c r="J220" s="296"/>
      <c r="K220" s="296"/>
      <c r="L220" s="296"/>
      <c r="M220" s="296"/>
      <c r="N220" s="296"/>
      <c r="O220" s="296"/>
      <c r="P220" s="296"/>
      <c r="Q220" s="296"/>
      <c r="R220" s="296"/>
      <c r="S220" s="359">
        <f>+R260</f>
        <v>150</v>
      </c>
      <c r="T220" s="360">
        <f>+T260</f>
        <v>24100</v>
      </c>
      <c r="U220" s="286"/>
      <c r="V220" s="361"/>
      <c r="W220" s="362"/>
      <c r="X220" s="5"/>
    </row>
    <row r="221" spans="1:24" ht="15.75" x14ac:dyDescent="0.25">
      <c r="A221" s="358"/>
      <c r="B221" s="286" t="s">
        <v>81</v>
      </c>
      <c r="C221" s="337"/>
      <c r="D221" s="337"/>
      <c r="E221" s="337"/>
      <c r="F221" s="286"/>
      <c r="G221" s="286"/>
      <c r="H221" s="296"/>
      <c r="I221" s="296"/>
      <c r="J221" s="296"/>
      <c r="K221" s="296"/>
      <c r="L221" s="296"/>
      <c r="M221" s="296"/>
      <c r="N221" s="296"/>
      <c r="O221" s="296"/>
      <c r="P221" s="296"/>
      <c r="Q221" s="296"/>
      <c r="R221" s="296"/>
      <c r="S221" s="359">
        <v>0</v>
      </c>
      <c r="T221" s="360">
        <v>0</v>
      </c>
      <c r="U221" s="286"/>
      <c r="V221" s="361"/>
      <c r="W221" s="362"/>
      <c r="X221" s="5"/>
    </row>
    <row r="222" spans="1:24" ht="15.75" x14ac:dyDescent="0.25">
      <c r="A222" s="358"/>
      <c r="B222" s="313" t="s">
        <v>82</v>
      </c>
      <c r="C222" s="363"/>
      <c r="D222" s="363"/>
      <c r="E222" s="363"/>
      <c r="F222" s="314"/>
      <c r="G222" s="314"/>
      <c r="H222" s="314"/>
      <c r="I222" s="314"/>
      <c r="J222" s="314"/>
      <c r="K222" s="314"/>
      <c r="L222" s="314"/>
      <c r="M222" s="314"/>
      <c r="N222" s="314"/>
      <c r="O222" s="314"/>
      <c r="P222" s="314"/>
      <c r="Q222" s="314"/>
      <c r="R222" s="314"/>
      <c r="S222" s="286"/>
      <c r="T222" s="360">
        <v>0</v>
      </c>
      <c r="U222" s="314"/>
      <c r="V222" s="364"/>
      <c r="W222" s="362"/>
      <c r="X222" s="5"/>
    </row>
    <row r="223" spans="1:24" ht="15.75" x14ac:dyDescent="0.25">
      <c r="A223" s="358"/>
      <c r="B223" s="313" t="s">
        <v>228</v>
      </c>
      <c r="C223" s="363"/>
      <c r="D223" s="363"/>
      <c r="E223" s="363"/>
      <c r="F223" s="314"/>
      <c r="G223" s="314"/>
      <c r="H223" s="314"/>
      <c r="I223" s="314"/>
      <c r="J223" s="314"/>
      <c r="K223" s="314"/>
      <c r="L223" s="314"/>
      <c r="M223" s="314"/>
      <c r="N223" s="314"/>
      <c r="O223" s="314"/>
      <c r="P223" s="314"/>
      <c r="Q223" s="314"/>
      <c r="R223" s="314"/>
      <c r="S223" s="286"/>
      <c r="T223" s="360">
        <f>+N81</f>
        <v>0</v>
      </c>
      <c r="U223" s="314"/>
      <c r="V223" s="364"/>
      <c r="W223" s="362"/>
      <c r="X223" s="5"/>
    </row>
    <row r="224" spans="1:24" ht="15.75" x14ac:dyDescent="0.25">
      <c r="A224" s="365"/>
      <c r="B224" s="313" t="s">
        <v>83</v>
      </c>
      <c r="C224" s="366"/>
      <c r="D224" s="366"/>
      <c r="E224" s="366"/>
      <c r="F224" s="366"/>
      <c r="G224" s="314"/>
      <c r="H224" s="314"/>
      <c r="I224" s="314"/>
      <c r="J224" s="314"/>
      <c r="K224" s="314"/>
      <c r="L224" s="314"/>
      <c r="M224" s="314"/>
      <c r="N224" s="314"/>
      <c r="O224" s="314"/>
      <c r="P224" s="314"/>
      <c r="Q224" s="314"/>
      <c r="R224" s="314"/>
      <c r="S224" s="286"/>
      <c r="T224" s="360"/>
      <c r="U224" s="314"/>
      <c r="V224" s="364"/>
      <c r="W224" s="367"/>
      <c r="X224" s="5"/>
    </row>
    <row r="225" spans="1:25" ht="15.75" x14ac:dyDescent="0.25">
      <c r="A225" s="365"/>
      <c r="B225" s="291" t="s">
        <v>84</v>
      </c>
      <c r="C225" s="366"/>
      <c r="D225" s="366"/>
      <c r="E225" s="366"/>
      <c r="F225" s="366"/>
      <c r="G225" s="314"/>
      <c r="H225" s="314"/>
      <c r="I225" s="314"/>
      <c r="J225" s="314"/>
      <c r="K225" s="314"/>
      <c r="L225" s="314"/>
      <c r="M225" s="314"/>
      <c r="N225" s="314"/>
      <c r="O225" s="314"/>
      <c r="P225" s="314"/>
      <c r="Q225" s="314"/>
      <c r="R225" s="314"/>
      <c r="S225" s="296"/>
      <c r="T225" s="360">
        <f>V163</f>
        <v>759</v>
      </c>
      <c r="U225" s="314"/>
      <c r="V225" s="364"/>
      <c r="W225" s="367"/>
      <c r="X225" s="5"/>
    </row>
    <row r="226" spans="1:25" ht="15.75" x14ac:dyDescent="0.25">
      <c r="A226" s="358"/>
      <c r="B226" s="286" t="s">
        <v>85</v>
      </c>
      <c r="C226" s="363"/>
      <c r="D226" s="363"/>
      <c r="E226" s="363"/>
      <c r="F226" s="363"/>
      <c r="G226" s="314"/>
      <c r="H226" s="314"/>
      <c r="I226" s="314"/>
      <c r="J226" s="314"/>
      <c r="K226" s="314"/>
      <c r="L226" s="314"/>
      <c r="M226" s="314"/>
      <c r="N226" s="314"/>
      <c r="O226" s="314"/>
      <c r="P226" s="314"/>
      <c r="Q226" s="314"/>
      <c r="R226" s="314"/>
      <c r="S226" s="296"/>
      <c r="T226" s="360">
        <f>'Feb 10'!T227+T225</f>
        <v>1505</v>
      </c>
      <c r="U226" s="314"/>
      <c r="V226" s="364"/>
      <c r="W226" s="367"/>
      <c r="X226" s="5"/>
    </row>
    <row r="227" spans="1:25" ht="15.75" x14ac:dyDescent="0.25">
      <c r="A227" s="365"/>
      <c r="B227" s="313" t="s">
        <v>285</v>
      </c>
      <c r="C227" s="366"/>
      <c r="D227" s="366"/>
      <c r="E227" s="366"/>
      <c r="F227" s="366"/>
      <c r="G227" s="314"/>
      <c r="H227" s="314"/>
      <c r="I227" s="314"/>
      <c r="J227" s="314"/>
      <c r="K227" s="314"/>
      <c r="L227" s="314"/>
      <c r="M227" s="314"/>
      <c r="N227" s="314"/>
      <c r="O227" s="314"/>
      <c r="P227" s="314"/>
      <c r="Q227" s="314"/>
      <c r="R227" s="314"/>
      <c r="S227" s="296"/>
      <c r="T227" s="360"/>
      <c r="U227" s="314"/>
      <c r="V227" s="364"/>
      <c r="W227" s="367"/>
      <c r="X227" s="5"/>
    </row>
    <row r="228" spans="1:25" ht="15.75" x14ac:dyDescent="0.25">
      <c r="A228" s="365"/>
      <c r="B228" s="286" t="s">
        <v>282</v>
      </c>
      <c r="C228" s="366"/>
      <c r="D228" s="366"/>
      <c r="E228" s="366"/>
      <c r="F228" s="366"/>
      <c r="G228" s="314"/>
      <c r="H228" s="314"/>
      <c r="I228" s="314"/>
      <c r="J228" s="314"/>
      <c r="K228" s="314"/>
      <c r="L228" s="314"/>
      <c r="M228" s="314"/>
      <c r="N228" s="314"/>
      <c r="O228" s="314"/>
      <c r="P228" s="314"/>
      <c r="Q228" s="314"/>
      <c r="R228" s="314"/>
      <c r="S228" s="296">
        <v>0</v>
      </c>
      <c r="T228" s="360">
        <v>0</v>
      </c>
      <c r="U228" s="314"/>
      <c r="V228" s="364"/>
      <c r="W228" s="367"/>
      <c r="X228" s="5"/>
    </row>
    <row r="229" spans="1:25" ht="15.75" x14ac:dyDescent="0.25">
      <c r="A229" s="358"/>
      <c r="B229" s="286" t="s">
        <v>86</v>
      </c>
      <c r="C229" s="368"/>
      <c r="D229" s="368"/>
      <c r="E229" s="368"/>
      <c r="F229" s="369"/>
      <c r="G229" s="314"/>
      <c r="H229" s="314"/>
      <c r="I229" s="314"/>
      <c r="J229" s="314"/>
      <c r="K229" s="314"/>
      <c r="L229" s="314"/>
      <c r="M229" s="314"/>
      <c r="N229" s="314"/>
      <c r="O229" s="314"/>
      <c r="P229" s="314"/>
      <c r="Q229" s="314"/>
      <c r="R229" s="314"/>
      <c r="S229" s="286"/>
      <c r="T229" s="370">
        <v>0</v>
      </c>
      <c r="U229" s="314"/>
      <c r="V229" s="364"/>
      <c r="W229" s="367"/>
      <c r="X229" s="5"/>
    </row>
    <row r="230" spans="1:25" ht="15.75" x14ac:dyDescent="0.25">
      <c r="A230" s="358"/>
      <c r="B230" s="286" t="s">
        <v>87</v>
      </c>
      <c r="C230" s="368"/>
      <c r="D230" s="368"/>
      <c r="E230" s="368"/>
      <c r="F230" s="369"/>
      <c r="G230" s="314"/>
      <c r="H230" s="314"/>
      <c r="I230" s="314"/>
      <c r="J230" s="314"/>
      <c r="K230" s="314"/>
      <c r="L230" s="314"/>
      <c r="M230" s="314"/>
      <c r="N230" s="314"/>
      <c r="O230" s="314"/>
      <c r="P230" s="314"/>
      <c r="Q230" s="314"/>
      <c r="R230" s="314"/>
      <c r="S230" s="286"/>
      <c r="T230" s="370">
        <v>0</v>
      </c>
      <c r="U230" s="314"/>
      <c r="V230" s="364"/>
      <c r="W230" s="367"/>
      <c r="X230" s="5"/>
    </row>
    <row r="231" spans="1:25" ht="15.75" x14ac:dyDescent="0.25">
      <c r="A231" s="358"/>
      <c r="B231" s="313" t="s">
        <v>216</v>
      </c>
      <c r="C231" s="368"/>
      <c r="D231" s="368"/>
      <c r="E231" s="368"/>
      <c r="F231" s="369"/>
      <c r="G231" s="314"/>
      <c r="H231" s="314"/>
      <c r="I231" s="314"/>
      <c r="J231" s="314"/>
      <c r="K231" s="314"/>
      <c r="L231" s="314"/>
      <c r="M231" s="314"/>
      <c r="N231" s="314"/>
      <c r="O231" s="314"/>
      <c r="P231" s="314"/>
      <c r="Q231" s="314"/>
      <c r="R231" s="314"/>
      <c r="S231" s="286"/>
      <c r="T231" s="371"/>
      <c r="U231" s="314"/>
      <c r="V231" s="364"/>
      <c r="W231" s="367"/>
      <c r="X231" s="5"/>
    </row>
    <row r="232" spans="1:25" ht="15.75" x14ac:dyDescent="0.25">
      <c r="A232" s="358"/>
      <c r="B232" s="286" t="s">
        <v>282</v>
      </c>
      <c r="C232" s="368"/>
      <c r="D232" s="368"/>
      <c r="E232" s="368"/>
      <c r="F232" s="369"/>
      <c r="G232" s="314"/>
      <c r="H232" s="314"/>
      <c r="I232" s="314"/>
      <c r="J232" s="314"/>
      <c r="K232" s="314"/>
      <c r="L232" s="314"/>
      <c r="M232" s="314"/>
      <c r="N232" s="314"/>
      <c r="O232" s="314"/>
      <c r="P232" s="314"/>
      <c r="Q232" s="314"/>
      <c r="R232" s="314"/>
      <c r="S232" s="296">
        <v>10</v>
      </c>
      <c r="T232" s="360">
        <v>1201</v>
      </c>
      <c r="U232" s="314"/>
      <c r="V232" s="364"/>
      <c r="W232" s="367"/>
      <c r="X232" s="5"/>
    </row>
    <row r="233" spans="1:25" ht="15.75" x14ac:dyDescent="0.25">
      <c r="A233" s="358"/>
      <c r="B233" s="286" t="s">
        <v>217</v>
      </c>
      <c r="C233" s="368"/>
      <c r="D233" s="368"/>
      <c r="E233" s="368"/>
      <c r="F233" s="369"/>
      <c r="G233" s="314"/>
      <c r="H233" s="314"/>
      <c r="I233" s="314"/>
      <c r="J233" s="314"/>
      <c r="K233" s="314"/>
      <c r="L233" s="314"/>
      <c r="M233" s="314"/>
      <c r="N233" s="314"/>
      <c r="O233" s="314"/>
      <c r="P233" s="314"/>
      <c r="Q233" s="314"/>
      <c r="R233" s="314"/>
      <c r="S233" s="286"/>
      <c r="T233" s="370">
        <v>7.94</v>
      </c>
      <c r="U233" s="314"/>
      <c r="V233" s="364"/>
      <c r="W233" s="367"/>
      <c r="X233" s="5"/>
    </row>
    <row r="234" spans="1:25" ht="15.75" x14ac:dyDescent="0.25">
      <c r="A234" s="358"/>
      <c r="B234" s="366"/>
      <c r="C234" s="368"/>
      <c r="D234" s="368"/>
      <c r="E234" s="368"/>
      <c r="F234" s="369"/>
      <c r="G234" s="314"/>
      <c r="H234" s="314"/>
      <c r="I234" s="314"/>
      <c r="J234" s="314"/>
      <c r="K234" s="314"/>
      <c r="L234" s="314"/>
      <c r="M234" s="314"/>
      <c r="N234" s="314"/>
      <c r="O234" s="314"/>
      <c r="P234" s="314"/>
      <c r="Q234" s="314"/>
      <c r="R234" s="314"/>
      <c r="S234" s="286"/>
      <c r="T234" s="371"/>
      <c r="U234" s="314"/>
      <c r="V234" s="364"/>
      <c r="W234" s="367"/>
      <c r="X234" s="5"/>
    </row>
    <row r="235" spans="1:25" ht="15.75" x14ac:dyDescent="0.25">
      <c r="A235" s="358"/>
      <c r="B235" s="366"/>
      <c r="C235" s="368"/>
      <c r="D235" s="368"/>
      <c r="E235" s="368"/>
      <c r="F235" s="369"/>
      <c r="G235" s="314"/>
      <c r="H235" s="314"/>
      <c r="I235" s="314"/>
      <c r="J235" s="314"/>
      <c r="K235" s="314"/>
      <c r="L235" s="314"/>
      <c r="M235" s="314"/>
      <c r="N235" s="314"/>
      <c r="O235" s="314"/>
      <c r="P235" s="314"/>
      <c r="Q235" s="314"/>
      <c r="R235" s="314"/>
      <c r="S235" s="314"/>
      <c r="T235" s="372"/>
      <c r="U235" s="314"/>
      <c r="V235" s="364"/>
      <c r="W235" s="367"/>
      <c r="X235" s="5"/>
    </row>
    <row r="236" spans="1:25" ht="18.75" x14ac:dyDescent="0.3">
      <c r="A236" s="358"/>
      <c r="B236" s="373" t="s">
        <v>168</v>
      </c>
      <c r="C236" s="368"/>
      <c r="D236" s="368"/>
      <c r="E236" s="368"/>
      <c r="F236" s="369"/>
      <c r="G236" s="314"/>
      <c r="H236" s="314"/>
      <c r="I236" s="314"/>
      <c r="J236" s="314"/>
      <c r="K236" s="314"/>
      <c r="L236" s="314"/>
      <c r="M236" s="314"/>
      <c r="N236" s="314"/>
      <c r="O236" s="314"/>
      <c r="P236" s="374" t="s">
        <v>167</v>
      </c>
      <c r="Q236" s="314"/>
      <c r="R236" s="314"/>
      <c r="S236" s="314"/>
      <c r="T236" s="372"/>
      <c r="U236" s="314"/>
      <c r="V236" s="364"/>
      <c r="W236" s="367"/>
      <c r="X236" s="5"/>
    </row>
    <row r="237" spans="1:25" ht="15.75" x14ac:dyDescent="0.25">
      <c r="A237" s="353"/>
      <c r="B237" s="348"/>
      <c r="C237" s="354"/>
      <c r="D237" s="354"/>
      <c r="E237" s="354"/>
      <c r="F237" s="355"/>
      <c r="G237" s="212"/>
      <c r="H237" s="212"/>
      <c r="I237" s="212"/>
      <c r="J237" s="212"/>
      <c r="K237" s="212"/>
      <c r="L237" s="212"/>
      <c r="M237" s="212"/>
      <c r="N237" s="212"/>
      <c r="O237" s="212"/>
      <c r="P237" s="212"/>
      <c r="Q237" s="212"/>
      <c r="R237" s="212"/>
      <c r="S237" s="212"/>
      <c r="T237" s="356"/>
      <c r="U237" s="212"/>
      <c r="V237" s="349"/>
      <c r="W237" s="357"/>
      <c r="X237" s="5"/>
    </row>
    <row r="238" spans="1:25" ht="15.75" x14ac:dyDescent="0.25">
      <c r="A238" s="224"/>
      <c r="B238" s="232" t="s">
        <v>162</v>
      </c>
      <c r="C238" s="233"/>
      <c r="D238" s="233"/>
      <c r="E238" s="233"/>
      <c r="F238" s="243"/>
      <c r="G238" s="233"/>
      <c r="H238" s="233"/>
      <c r="I238" s="233"/>
      <c r="J238" s="233"/>
      <c r="K238" s="233"/>
      <c r="L238" s="233"/>
      <c r="M238" s="233"/>
      <c r="N238" s="233"/>
      <c r="O238" s="233"/>
      <c r="P238" s="233"/>
      <c r="Q238" s="233"/>
      <c r="R238" s="243" t="s">
        <v>102</v>
      </c>
      <c r="S238" s="233" t="s">
        <v>103</v>
      </c>
      <c r="T238" s="243" t="s">
        <v>109</v>
      </c>
      <c r="U238" s="233" t="s">
        <v>103</v>
      </c>
      <c r="V238" s="225"/>
      <c r="W238" s="232"/>
      <c r="X238" s="5"/>
    </row>
    <row r="239" spans="1:25" ht="15.75" x14ac:dyDescent="0.25">
      <c r="A239" s="193"/>
      <c r="B239" s="249" t="s">
        <v>88</v>
      </c>
      <c r="C239" s="265"/>
      <c r="D239" s="265"/>
      <c r="E239" s="265"/>
      <c r="F239" s="250"/>
      <c r="G239" s="265"/>
      <c r="H239" s="265"/>
      <c r="I239" s="265"/>
      <c r="J239" s="265"/>
      <c r="K239" s="265"/>
      <c r="L239" s="265"/>
      <c r="M239" s="265"/>
      <c r="N239" s="265"/>
      <c r="O239" s="265"/>
      <c r="P239" s="265"/>
      <c r="Q239" s="265"/>
      <c r="R239" s="249">
        <v>5782</v>
      </c>
      <c r="S239" s="252">
        <f t="shared" ref="S239:S246" si="1">R239/$R$248</f>
        <v>0.99466712540856705</v>
      </c>
      <c r="T239" s="253">
        <v>831467</v>
      </c>
      <c r="U239" s="252">
        <f t="shared" ref="U239:U246" si="2">T239/$T$248</f>
        <v>0.99298968037958435</v>
      </c>
      <c r="V239" s="266"/>
      <c r="W239" s="267"/>
      <c r="X239" s="5"/>
    </row>
    <row r="240" spans="1:25" ht="15.75" x14ac:dyDescent="0.25">
      <c r="A240" s="285"/>
      <c r="B240" s="337" t="s">
        <v>89</v>
      </c>
      <c r="C240" s="378"/>
      <c r="D240" s="378"/>
      <c r="E240" s="378"/>
      <c r="F240" s="286"/>
      <c r="G240" s="379"/>
      <c r="H240" s="378"/>
      <c r="I240" s="378"/>
      <c r="J240" s="378"/>
      <c r="K240" s="378"/>
      <c r="L240" s="378"/>
      <c r="M240" s="378"/>
      <c r="N240" s="378"/>
      <c r="O240" s="378"/>
      <c r="P240" s="378"/>
      <c r="Q240" s="378"/>
      <c r="R240" s="337">
        <v>24</v>
      </c>
      <c r="S240" s="379">
        <f t="shared" si="1"/>
        <v>4.1286771030448997E-3</v>
      </c>
      <c r="T240" s="338">
        <v>3600</v>
      </c>
      <c r="U240" s="379">
        <f t="shared" si="2"/>
        <v>4.2993442305786084E-3</v>
      </c>
      <c r="V240" s="361"/>
      <c r="W240" s="380"/>
      <c r="X240" s="5"/>
      <c r="Y240" s="109"/>
    </row>
    <row r="241" spans="1:25" ht="15.75" x14ac:dyDescent="0.25">
      <c r="A241" s="285"/>
      <c r="B241" s="337" t="s">
        <v>90</v>
      </c>
      <c r="C241" s="378"/>
      <c r="D241" s="378"/>
      <c r="E241" s="378"/>
      <c r="F241" s="286"/>
      <c r="G241" s="379"/>
      <c r="H241" s="378"/>
      <c r="I241" s="378"/>
      <c r="J241" s="378"/>
      <c r="K241" s="378"/>
      <c r="L241" s="378"/>
      <c r="M241" s="378"/>
      <c r="N241" s="378"/>
      <c r="O241" s="378"/>
      <c r="P241" s="378"/>
      <c r="Q241" s="378"/>
      <c r="R241" s="337">
        <v>2</v>
      </c>
      <c r="S241" s="379">
        <f t="shared" si="1"/>
        <v>3.4405642525374159E-4</v>
      </c>
      <c r="T241" s="338">
        <v>781</v>
      </c>
      <c r="U241" s="379">
        <f t="shared" si="2"/>
        <v>9.3271884557830358E-4</v>
      </c>
      <c r="V241" s="361"/>
      <c r="W241" s="380"/>
      <c r="X241" s="5"/>
    </row>
    <row r="242" spans="1:25" ht="15.75" x14ac:dyDescent="0.25">
      <c r="A242" s="285"/>
      <c r="B242" s="337" t="s">
        <v>156</v>
      </c>
      <c r="C242" s="378"/>
      <c r="D242" s="378"/>
      <c r="E242" s="378"/>
      <c r="F242" s="286"/>
      <c r="G242" s="379"/>
      <c r="H242" s="378"/>
      <c r="I242" s="378"/>
      <c r="J242" s="378"/>
      <c r="K242" s="378"/>
      <c r="L242" s="378"/>
      <c r="M242" s="378"/>
      <c r="N242" s="378"/>
      <c r="O242" s="378"/>
      <c r="P242" s="378"/>
      <c r="Q242" s="378"/>
      <c r="R242" s="337">
        <v>3</v>
      </c>
      <c r="S242" s="379">
        <f t="shared" si="1"/>
        <v>5.1608463788061247E-4</v>
      </c>
      <c r="T242" s="338">
        <v>1112</v>
      </c>
      <c r="U242" s="379">
        <f t="shared" si="2"/>
        <v>1.3280196623342811E-3</v>
      </c>
      <c r="V242" s="361"/>
      <c r="W242" s="380"/>
      <c r="X242" s="5"/>
      <c r="Y242" s="109"/>
    </row>
    <row r="243" spans="1:25" ht="15.75" x14ac:dyDescent="0.25">
      <c r="A243" s="285"/>
      <c r="B243" s="337" t="s">
        <v>157</v>
      </c>
      <c r="C243" s="378"/>
      <c r="D243" s="378"/>
      <c r="E243" s="378"/>
      <c r="F243" s="286"/>
      <c r="G243" s="379"/>
      <c r="H243" s="378"/>
      <c r="I243" s="378"/>
      <c r="J243" s="378"/>
      <c r="K243" s="378"/>
      <c r="L243" s="378"/>
      <c r="M243" s="378"/>
      <c r="N243" s="378"/>
      <c r="O243" s="378"/>
      <c r="P243" s="378"/>
      <c r="Q243" s="378"/>
      <c r="R243" s="337">
        <v>0</v>
      </c>
      <c r="S243" s="379">
        <f t="shared" si="1"/>
        <v>0</v>
      </c>
      <c r="T243" s="338">
        <v>0</v>
      </c>
      <c r="U243" s="379">
        <f t="shared" si="2"/>
        <v>0</v>
      </c>
      <c r="V243" s="361"/>
      <c r="W243" s="380"/>
      <c r="X243" s="5"/>
    </row>
    <row r="244" spans="1:25" ht="15.75" x14ac:dyDescent="0.25">
      <c r="A244" s="285"/>
      <c r="B244" s="337" t="s">
        <v>158</v>
      </c>
      <c r="C244" s="378"/>
      <c r="D244" s="378"/>
      <c r="E244" s="378"/>
      <c r="F244" s="286"/>
      <c r="G244" s="379"/>
      <c r="H244" s="378"/>
      <c r="I244" s="378"/>
      <c r="J244" s="378"/>
      <c r="K244" s="378"/>
      <c r="L244" s="378"/>
      <c r="M244" s="378"/>
      <c r="N244" s="378"/>
      <c r="O244" s="378"/>
      <c r="P244" s="378"/>
      <c r="Q244" s="378"/>
      <c r="R244" s="337">
        <v>1</v>
      </c>
      <c r="S244" s="379">
        <f t="shared" si="1"/>
        <v>1.720282126268708E-4</v>
      </c>
      <c r="T244" s="338">
        <v>242</v>
      </c>
      <c r="U244" s="379">
        <f t="shared" si="2"/>
        <v>2.8901147327778419E-4</v>
      </c>
      <c r="V244" s="361"/>
      <c r="W244" s="380"/>
      <c r="X244" s="5"/>
      <c r="Y244" s="109"/>
    </row>
    <row r="245" spans="1:25" ht="15.75" x14ac:dyDescent="0.25">
      <c r="A245" s="285"/>
      <c r="B245" s="337" t="s">
        <v>159</v>
      </c>
      <c r="C245" s="378"/>
      <c r="D245" s="378"/>
      <c r="E245" s="378"/>
      <c r="F245" s="286"/>
      <c r="G245" s="379"/>
      <c r="H245" s="378"/>
      <c r="I245" s="378"/>
      <c r="J245" s="378"/>
      <c r="K245" s="378"/>
      <c r="L245" s="378"/>
      <c r="M245" s="378"/>
      <c r="N245" s="378"/>
      <c r="O245" s="378"/>
      <c r="P245" s="378"/>
      <c r="Q245" s="378"/>
      <c r="R245" s="337">
        <v>1</v>
      </c>
      <c r="S245" s="379">
        <f t="shared" si="1"/>
        <v>1.720282126268708E-4</v>
      </c>
      <c r="T245" s="338">
        <v>135</v>
      </c>
      <c r="U245" s="379">
        <f t="shared" si="2"/>
        <v>1.6122540864669781E-4</v>
      </c>
      <c r="V245" s="361"/>
      <c r="W245" s="380"/>
      <c r="X245" s="5"/>
    </row>
    <row r="246" spans="1:25" ht="15.75" x14ac:dyDescent="0.25">
      <c r="A246" s="285"/>
      <c r="B246" s="337" t="s">
        <v>160</v>
      </c>
      <c r="C246" s="378"/>
      <c r="D246" s="378"/>
      <c r="E246" s="378"/>
      <c r="F246" s="286"/>
      <c r="G246" s="379"/>
      <c r="H246" s="378"/>
      <c r="I246" s="378"/>
      <c r="J246" s="378"/>
      <c r="K246" s="378"/>
      <c r="L246" s="378"/>
      <c r="M246" s="378"/>
      <c r="N246" s="378"/>
      <c r="O246" s="378"/>
      <c r="P246" s="378"/>
      <c r="Q246" s="378"/>
      <c r="R246" s="337">
        <v>0</v>
      </c>
      <c r="S246" s="379">
        <f t="shared" si="1"/>
        <v>0</v>
      </c>
      <c r="T246" s="338">
        <v>0</v>
      </c>
      <c r="U246" s="379">
        <f t="shared" si="2"/>
        <v>0</v>
      </c>
      <c r="V246" s="361"/>
      <c r="W246" s="380"/>
      <c r="X246" s="5"/>
      <c r="Y246" s="109"/>
    </row>
    <row r="247" spans="1:25" ht="15.75" x14ac:dyDescent="0.25">
      <c r="A247" s="285"/>
      <c r="B247" s="337"/>
      <c r="C247" s="378"/>
      <c r="D247" s="378"/>
      <c r="E247" s="378"/>
      <c r="F247" s="286"/>
      <c r="G247" s="379"/>
      <c r="H247" s="378"/>
      <c r="I247" s="378"/>
      <c r="J247" s="378"/>
      <c r="K247" s="378"/>
      <c r="L247" s="378"/>
      <c r="M247" s="378"/>
      <c r="N247" s="378"/>
      <c r="O247" s="378"/>
      <c r="P247" s="378"/>
      <c r="Q247" s="378"/>
      <c r="R247" s="337"/>
      <c r="S247" s="379"/>
      <c r="T247" s="338"/>
      <c r="U247" s="379"/>
      <c r="V247" s="361"/>
      <c r="W247" s="380"/>
      <c r="X247" s="5"/>
    </row>
    <row r="248" spans="1:25" ht="15.75" x14ac:dyDescent="0.25">
      <c r="A248" s="285"/>
      <c r="B248" s="286"/>
      <c r="C248" s="286"/>
      <c r="D248" s="286"/>
      <c r="E248" s="286"/>
      <c r="F248" s="286"/>
      <c r="G248" s="286"/>
      <c r="H248" s="381"/>
      <c r="I248" s="381"/>
      <c r="J248" s="381"/>
      <c r="K248" s="381"/>
      <c r="L248" s="381"/>
      <c r="M248" s="381"/>
      <c r="N248" s="381"/>
      <c r="O248" s="381"/>
      <c r="P248" s="381"/>
      <c r="Q248" s="381"/>
      <c r="R248" s="337">
        <f>SUM(R239:R247)</f>
        <v>5813</v>
      </c>
      <c r="S248" s="379">
        <f>SUM(S239:S247)</f>
        <v>1</v>
      </c>
      <c r="T248" s="338">
        <f>SUM(T239:T247)</f>
        <v>837337</v>
      </c>
      <c r="U248" s="379">
        <f>SUM(U239:U247)</f>
        <v>1</v>
      </c>
      <c r="V248" s="286"/>
      <c r="W248" s="289"/>
      <c r="X248" s="5"/>
    </row>
    <row r="249" spans="1:25" ht="15.75" x14ac:dyDescent="0.25">
      <c r="A249" s="181"/>
      <c r="B249" s="212"/>
      <c r="C249" s="212"/>
      <c r="D249" s="212"/>
      <c r="E249" s="212"/>
      <c r="F249" s="212"/>
      <c r="G249" s="212"/>
      <c r="H249" s="375"/>
      <c r="I249" s="375"/>
      <c r="J249" s="375"/>
      <c r="K249" s="375"/>
      <c r="L249" s="375"/>
      <c r="M249" s="375"/>
      <c r="N249" s="375"/>
      <c r="O249" s="375"/>
      <c r="P249" s="375"/>
      <c r="Q249" s="375"/>
      <c r="R249" s="335"/>
      <c r="S249" s="376"/>
      <c r="T249" s="377"/>
      <c r="U249" s="376"/>
      <c r="V249" s="212"/>
      <c r="W249" s="212"/>
      <c r="X249" s="5"/>
    </row>
    <row r="250" spans="1:25" ht="15.75" x14ac:dyDescent="0.25">
      <c r="A250" s="244"/>
      <c r="B250" s="232" t="s">
        <v>236</v>
      </c>
      <c r="C250" s="233"/>
      <c r="D250" s="233"/>
      <c r="E250" s="233"/>
      <c r="F250" s="243"/>
      <c r="G250" s="233"/>
      <c r="H250" s="233"/>
      <c r="I250" s="233"/>
      <c r="J250" s="233"/>
      <c r="K250" s="233"/>
      <c r="L250" s="233"/>
      <c r="M250" s="233"/>
      <c r="N250" s="233"/>
      <c r="O250" s="233"/>
      <c r="P250" s="233"/>
      <c r="Q250" s="233"/>
      <c r="R250" s="243" t="s">
        <v>102</v>
      </c>
      <c r="S250" s="233" t="s">
        <v>103</v>
      </c>
      <c r="T250" s="243" t="s">
        <v>109</v>
      </c>
      <c r="U250" s="233" t="s">
        <v>103</v>
      </c>
      <c r="V250" s="245"/>
      <c r="W250" s="246"/>
      <c r="X250" s="5"/>
    </row>
    <row r="251" spans="1:25" ht="15.75" x14ac:dyDescent="0.25">
      <c r="A251" s="193"/>
      <c r="B251" s="249" t="s">
        <v>88</v>
      </c>
      <c r="C251" s="265"/>
      <c r="D251" s="265"/>
      <c r="E251" s="265"/>
      <c r="F251" s="250"/>
      <c r="G251" s="265"/>
      <c r="H251" s="265"/>
      <c r="I251" s="265"/>
      <c r="J251" s="265"/>
      <c r="K251" s="265"/>
      <c r="L251" s="265"/>
      <c r="M251" s="265"/>
      <c r="N251" s="265"/>
      <c r="O251" s="265"/>
      <c r="P251" s="265"/>
      <c r="Q251" s="265"/>
      <c r="R251" s="249">
        <v>26</v>
      </c>
      <c r="S251" s="252">
        <f t="shared" ref="S251:S258" si="3">R251/$R$260</f>
        <v>0.17333333333333334</v>
      </c>
      <c r="T251" s="253">
        <v>4407</v>
      </c>
      <c r="U251" s="252">
        <f t="shared" ref="U251:U258" si="4">T251/$T$260</f>
        <v>0.18286307053941908</v>
      </c>
      <c r="V251" s="250"/>
      <c r="W251" s="250"/>
      <c r="X251" s="5"/>
    </row>
    <row r="252" spans="1:25" ht="15.75" x14ac:dyDescent="0.25">
      <c r="A252" s="285"/>
      <c r="B252" s="337" t="s">
        <v>89</v>
      </c>
      <c r="C252" s="378"/>
      <c r="D252" s="378"/>
      <c r="E252" s="378"/>
      <c r="F252" s="286"/>
      <c r="G252" s="379"/>
      <c r="H252" s="378"/>
      <c r="I252" s="378"/>
      <c r="J252" s="378"/>
      <c r="K252" s="378"/>
      <c r="L252" s="378"/>
      <c r="M252" s="378"/>
      <c r="N252" s="378"/>
      <c r="O252" s="378"/>
      <c r="P252" s="378"/>
      <c r="Q252" s="378"/>
      <c r="R252" s="337">
        <v>11</v>
      </c>
      <c r="S252" s="379">
        <f t="shared" si="3"/>
        <v>7.3333333333333334E-2</v>
      </c>
      <c r="T252" s="338">
        <v>2555</v>
      </c>
      <c r="U252" s="379">
        <f t="shared" si="4"/>
        <v>0.10601659751037344</v>
      </c>
      <c r="V252" s="286"/>
      <c r="W252" s="289"/>
      <c r="X252" s="5"/>
    </row>
    <row r="253" spans="1:25" ht="15.75" x14ac:dyDescent="0.25">
      <c r="A253" s="285"/>
      <c r="B253" s="337" t="s">
        <v>90</v>
      </c>
      <c r="C253" s="378"/>
      <c r="D253" s="378"/>
      <c r="E253" s="378"/>
      <c r="F253" s="286"/>
      <c r="G253" s="379"/>
      <c r="H253" s="378"/>
      <c r="I253" s="378"/>
      <c r="J253" s="378"/>
      <c r="K253" s="378"/>
      <c r="L253" s="378"/>
      <c r="M253" s="378"/>
      <c r="N253" s="378"/>
      <c r="O253" s="378"/>
      <c r="P253" s="378"/>
      <c r="Q253" s="378"/>
      <c r="R253" s="337">
        <v>27</v>
      </c>
      <c r="S253" s="379">
        <f t="shared" si="3"/>
        <v>0.18</v>
      </c>
      <c r="T253" s="338">
        <v>3377</v>
      </c>
      <c r="U253" s="379">
        <f t="shared" si="4"/>
        <v>0.14012448132780084</v>
      </c>
      <c r="V253" s="286"/>
      <c r="W253" s="289"/>
      <c r="X253" s="5"/>
    </row>
    <row r="254" spans="1:25" ht="15.75" x14ac:dyDescent="0.25">
      <c r="A254" s="285"/>
      <c r="B254" s="337" t="s">
        <v>156</v>
      </c>
      <c r="C254" s="378"/>
      <c r="D254" s="378"/>
      <c r="E254" s="378"/>
      <c r="F254" s="286"/>
      <c r="G254" s="379"/>
      <c r="H254" s="378"/>
      <c r="I254" s="378"/>
      <c r="J254" s="378"/>
      <c r="K254" s="378"/>
      <c r="L254" s="378"/>
      <c r="M254" s="378"/>
      <c r="N254" s="378"/>
      <c r="O254" s="378"/>
      <c r="P254" s="378"/>
      <c r="Q254" s="378"/>
      <c r="R254" s="337">
        <v>9</v>
      </c>
      <c r="S254" s="379">
        <f t="shared" si="3"/>
        <v>0.06</v>
      </c>
      <c r="T254" s="338">
        <v>1398</v>
      </c>
      <c r="U254" s="379">
        <f t="shared" si="4"/>
        <v>5.8008298755186725E-2</v>
      </c>
      <c r="V254" s="286"/>
      <c r="W254" s="289"/>
      <c r="X254" s="5"/>
    </row>
    <row r="255" spans="1:25" ht="15.75" x14ac:dyDescent="0.25">
      <c r="A255" s="285"/>
      <c r="B255" s="337" t="s">
        <v>157</v>
      </c>
      <c r="C255" s="378"/>
      <c r="D255" s="378"/>
      <c r="E255" s="378"/>
      <c r="F255" s="286"/>
      <c r="G255" s="379"/>
      <c r="H255" s="378"/>
      <c r="I255" s="378"/>
      <c r="J255" s="378"/>
      <c r="K255" s="378"/>
      <c r="L255" s="378"/>
      <c r="M255" s="378"/>
      <c r="N255" s="378"/>
      <c r="O255" s="378"/>
      <c r="P255" s="378"/>
      <c r="Q255" s="378"/>
      <c r="R255" s="337">
        <v>9</v>
      </c>
      <c r="S255" s="379">
        <f t="shared" si="3"/>
        <v>0.06</v>
      </c>
      <c r="T255" s="338">
        <v>1660</v>
      </c>
      <c r="U255" s="379">
        <f t="shared" si="4"/>
        <v>6.8879668049792536E-2</v>
      </c>
      <c r="V255" s="286"/>
      <c r="W255" s="289"/>
      <c r="X255" s="5"/>
    </row>
    <row r="256" spans="1:25" ht="15.75" x14ac:dyDescent="0.25">
      <c r="A256" s="285"/>
      <c r="B256" s="337" t="s">
        <v>158</v>
      </c>
      <c r="C256" s="378"/>
      <c r="D256" s="378"/>
      <c r="E256" s="378"/>
      <c r="F256" s="286"/>
      <c r="G256" s="379"/>
      <c r="H256" s="378"/>
      <c r="I256" s="378"/>
      <c r="J256" s="378"/>
      <c r="K256" s="378"/>
      <c r="L256" s="378"/>
      <c r="M256" s="378"/>
      <c r="N256" s="378"/>
      <c r="O256" s="378"/>
      <c r="P256" s="378"/>
      <c r="Q256" s="378"/>
      <c r="R256" s="337">
        <v>12</v>
      </c>
      <c r="S256" s="379">
        <f t="shared" si="3"/>
        <v>0.08</v>
      </c>
      <c r="T256" s="338">
        <v>1820</v>
      </c>
      <c r="U256" s="379">
        <f t="shared" si="4"/>
        <v>7.551867219917012E-2</v>
      </c>
      <c r="V256" s="286"/>
      <c r="W256" s="289"/>
      <c r="X256" s="5"/>
    </row>
    <row r="257" spans="1:24" ht="15.75" x14ac:dyDescent="0.25">
      <c r="A257" s="285"/>
      <c r="B257" s="337" t="s">
        <v>159</v>
      </c>
      <c r="C257" s="378"/>
      <c r="D257" s="378"/>
      <c r="E257" s="378"/>
      <c r="F257" s="286"/>
      <c r="G257" s="379"/>
      <c r="H257" s="378"/>
      <c r="I257" s="378"/>
      <c r="J257" s="378"/>
      <c r="K257" s="378"/>
      <c r="L257" s="378"/>
      <c r="M257" s="378"/>
      <c r="N257" s="378"/>
      <c r="O257" s="378"/>
      <c r="P257" s="378"/>
      <c r="Q257" s="378"/>
      <c r="R257" s="337">
        <v>27</v>
      </c>
      <c r="S257" s="379">
        <f t="shared" si="3"/>
        <v>0.18</v>
      </c>
      <c r="T257" s="338">
        <v>4322</v>
      </c>
      <c r="U257" s="379">
        <f t="shared" si="4"/>
        <v>0.17933609958506225</v>
      </c>
      <c r="V257" s="286"/>
      <c r="W257" s="289"/>
      <c r="X257" s="5"/>
    </row>
    <row r="258" spans="1:24" ht="15.75" x14ac:dyDescent="0.25">
      <c r="A258" s="285"/>
      <c r="B258" s="337" t="s">
        <v>160</v>
      </c>
      <c r="C258" s="378"/>
      <c r="D258" s="378"/>
      <c r="E258" s="378"/>
      <c r="F258" s="286"/>
      <c r="G258" s="379"/>
      <c r="H258" s="378"/>
      <c r="I258" s="378"/>
      <c r="J258" s="378"/>
      <c r="K258" s="378"/>
      <c r="L258" s="378"/>
      <c r="M258" s="378"/>
      <c r="N258" s="378"/>
      <c r="O258" s="378"/>
      <c r="P258" s="378"/>
      <c r="Q258" s="378"/>
      <c r="R258" s="337">
        <v>29</v>
      </c>
      <c r="S258" s="379">
        <f t="shared" si="3"/>
        <v>0.19333333333333333</v>
      </c>
      <c r="T258" s="338">
        <v>4561</v>
      </c>
      <c r="U258" s="379">
        <f t="shared" si="4"/>
        <v>0.18925311203319503</v>
      </c>
      <c r="V258" s="286"/>
      <c r="W258" s="289"/>
      <c r="X258" s="5"/>
    </row>
    <row r="259" spans="1:24" ht="15.75" x14ac:dyDescent="0.25">
      <c r="A259" s="285"/>
      <c r="B259" s="337"/>
      <c r="C259" s="378"/>
      <c r="D259" s="378"/>
      <c r="E259" s="378"/>
      <c r="F259" s="286"/>
      <c r="G259" s="379"/>
      <c r="H259" s="378"/>
      <c r="I259" s="378"/>
      <c r="J259" s="378"/>
      <c r="K259" s="378"/>
      <c r="L259" s="378"/>
      <c r="M259" s="378"/>
      <c r="N259" s="378"/>
      <c r="O259" s="378"/>
      <c r="P259" s="378"/>
      <c r="Q259" s="378"/>
      <c r="R259" s="337"/>
      <c r="S259" s="379"/>
      <c r="T259" s="338"/>
      <c r="U259" s="379"/>
      <c r="V259" s="286"/>
      <c r="W259" s="289"/>
      <c r="X259" s="5"/>
    </row>
    <row r="260" spans="1:24" ht="15.75" x14ac:dyDescent="0.25">
      <c r="A260" s="285"/>
      <c r="B260" s="286"/>
      <c r="C260" s="286"/>
      <c r="D260" s="286"/>
      <c r="E260" s="286"/>
      <c r="F260" s="286"/>
      <c r="G260" s="286"/>
      <c r="H260" s="381"/>
      <c r="I260" s="381"/>
      <c r="J260" s="381"/>
      <c r="K260" s="381"/>
      <c r="L260" s="381"/>
      <c r="M260" s="381"/>
      <c r="N260" s="381"/>
      <c r="O260" s="381"/>
      <c r="P260" s="381"/>
      <c r="Q260" s="381"/>
      <c r="R260" s="337">
        <f>SUM(R251:R259)</f>
        <v>150</v>
      </c>
      <c r="S260" s="379">
        <f>SUM(S251:S259)</f>
        <v>1</v>
      </c>
      <c r="T260" s="338">
        <f>SUM(T251:T259)</f>
        <v>24100</v>
      </c>
      <c r="U260" s="379">
        <f>SUM(U251:U259)</f>
        <v>1</v>
      </c>
      <c r="V260" s="286"/>
      <c r="W260" s="289"/>
      <c r="X260" s="5"/>
    </row>
    <row r="261" spans="1:24" ht="15.75" x14ac:dyDescent="0.25">
      <c r="A261" s="181"/>
      <c r="B261" s="212"/>
      <c r="C261" s="212"/>
      <c r="D261" s="212"/>
      <c r="E261" s="212"/>
      <c r="F261" s="212"/>
      <c r="G261" s="212"/>
      <c r="H261" s="375"/>
      <c r="I261" s="375"/>
      <c r="J261" s="375"/>
      <c r="K261" s="375"/>
      <c r="L261" s="375"/>
      <c r="M261" s="375"/>
      <c r="N261" s="375"/>
      <c r="O261" s="375"/>
      <c r="P261" s="375"/>
      <c r="Q261" s="375"/>
      <c r="R261" s="335"/>
      <c r="S261" s="376"/>
      <c r="T261" s="377"/>
      <c r="U261" s="376"/>
      <c r="V261" s="212"/>
      <c r="W261" s="212"/>
      <c r="X261" s="5"/>
    </row>
    <row r="262" spans="1:24" ht="15.75" x14ac:dyDescent="0.25">
      <c r="A262" s="244"/>
      <c r="B262" s="232" t="s">
        <v>163</v>
      </c>
      <c r="C262" s="245"/>
      <c r="D262" s="245"/>
      <c r="E262" s="245"/>
      <c r="F262" s="245"/>
      <c r="G262" s="245"/>
      <c r="H262" s="247"/>
      <c r="I262" s="247"/>
      <c r="J262" s="247"/>
      <c r="K262" s="247"/>
      <c r="L262" s="247"/>
      <c r="M262" s="247"/>
      <c r="N262" s="247"/>
      <c r="O262" s="247"/>
      <c r="P262" s="247"/>
      <c r="Q262" s="247"/>
      <c r="R262" s="243" t="s">
        <v>102</v>
      </c>
      <c r="S262" s="233" t="s">
        <v>103</v>
      </c>
      <c r="T262" s="243" t="s">
        <v>109</v>
      </c>
      <c r="U262" s="233" t="s">
        <v>103</v>
      </c>
      <c r="V262" s="245"/>
      <c r="W262" s="246"/>
      <c r="X262" s="5"/>
    </row>
    <row r="263" spans="1:24" ht="15.75" x14ac:dyDescent="0.25">
      <c r="A263" s="248"/>
      <c r="B263" s="249" t="s">
        <v>88</v>
      </c>
      <c r="C263" s="250"/>
      <c r="D263" s="250"/>
      <c r="E263" s="250"/>
      <c r="F263" s="250"/>
      <c r="G263" s="250"/>
      <c r="H263" s="251"/>
      <c r="I263" s="251"/>
      <c r="J263" s="251"/>
      <c r="K263" s="251"/>
      <c r="L263" s="251"/>
      <c r="M263" s="251"/>
      <c r="N263" s="251"/>
      <c r="O263" s="251"/>
      <c r="P263" s="251"/>
      <c r="Q263" s="251"/>
      <c r="R263" s="249">
        <v>0</v>
      </c>
      <c r="S263" s="252">
        <v>0</v>
      </c>
      <c r="T263" s="253">
        <v>0</v>
      </c>
      <c r="U263" s="252">
        <v>0</v>
      </c>
      <c r="V263" s="250"/>
      <c r="W263" s="250"/>
      <c r="X263" s="5"/>
    </row>
    <row r="264" spans="1:24" ht="15.75" x14ac:dyDescent="0.25">
      <c r="A264" s="295"/>
      <c r="B264" s="337" t="s">
        <v>89</v>
      </c>
      <c r="C264" s="286"/>
      <c r="D264" s="286"/>
      <c r="E264" s="286"/>
      <c r="F264" s="286"/>
      <c r="G264" s="286"/>
      <c r="H264" s="381"/>
      <c r="I264" s="381"/>
      <c r="J264" s="381"/>
      <c r="K264" s="381"/>
      <c r="L264" s="381"/>
      <c r="M264" s="381"/>
      <c r="N264" s="381"/>
      <c r="O264" s="381"/>
      <c r="P264" s="381"/>
      <c r="Q264" s="381"/>
      <c r="R264" s="337">
        <v>0</v>
      </c>
      <c r="S264" s="379">
        <v>0</v>
      </c>
      <c r="T264" s="338">
        <v>0</v>
      </c>
      <c r="U264" s="379">
        <v>0</v>
      </c>
      <c r="V264" s="286"/>
      <c r="W264" s="289"/>
      <c r="X264" s="5"/>
    </row>
    <row r="265" spans="1:24" ht="15.75" x14ac:dyDescent="0.25">
      <c r="A265" s="295"/>
      <c r="B265" s="337" t="s">
        <v>90</v>
      </c>
      <c r="C265" s="286"/>
      <c r="D265" s="286"/>
      <c r="E265" s="286"/>
      <c r="F265" s="286"/>
      <c r="G265" s="286"/>
      <c r="H265" s="381"/>
      <c r="I265" s="381"/>
      <c r="J265" s="381"/>
      <c r="K265" s="381"/>
      <c r="L265" s="381"/>
      <c r="M265" s="381"/>
      <c r="N265" s="381"/>
      <c r="O265" s="381"/>
      <c r="P265" s="381"/>
      <c r="Q265" s="381"/>
      <c r="R265" s="337">
        <v>0</v>
      </c>
      <c r="S265" s="379">
        <v>0</v>
      </c>
      <c r="T265" s="338">
        <v>0</v>
      </c>
      <c r="U265" s="379">
        <v>0</v>
      </c>
      <c r="V265" s="286"/>
      <c r="W265" s="289"/>
      <c r="X265" s="5"/>
    </row>
    <row r="266" spans="1:24" ht="15.75" x14ac:dyDescent="0.25">
      <c r="A266" s="295"/>
      <c r="B266" s="337" t="s">
        <v>156</v>
      </c>
      <c r="C266" s="286"/>
      <c r="D266" s="286"/>
      <c r="E266" s="286"/>
      <c r="F266" s="286"/>
      <c r="G266" s="286"/>
      <c r="H266" s="381"/>
      <c r="I266" s="381"/>
      <c r="J266" s="381"/>
      <c r="K266" s="381"/>
      <c r="L266" s="381"/>
      <c r="M266" s="381"/>
      <c r="N266" s="381"/>
      <c r="O266" s="381"/>
      <c r="P266" s="381"/>
      <c r="Q266" s="381"/>
      <c r="R266" s="337">
        <v>0</v>
      </c>
      <c r="S266" s="379">
        <v>0</v>
      </c>
      <c r="T266" s="338">
        <v>0</v>
      </c>
      <c r="U266" s="379">
        <v>0</v>
      </c>
      <c r="V266" s="286"/>
      <c r="W266" s="289"/>
      <c r="X266" s="5"/>
    </row>
    <row r="267" spans="1:24" ht="15.75" x14ac:dyDescent="0.25">
      <c r="A267" s="295"/>
      <c r="B267" s="337" t="s">
        <v>157</v>
      </c>
      <c r="C267" s="286"/>
      <c r="D267" s="286"/>
      <c r="E267" s="286"/>
      <c r="F267" s="286"/>
      <c r="G267" s="286"/>
      <c r="H267" s="381"/>
      <c r="I267" s="381"/>
      <c r="J267" s="381"/>
      <c r="K267" s="381"/>
      <c r="L267" s="381"/>
      <c r="M267" s="381"/>
      <c r="N267" s="381"/>
      <c r="O267" s="381"/>
      <c r="P267" s="381"/>
      <c r="Q267" s="381"/>
      <c r="R267" s="337">
        <v>0</v>
      </c>
      <c r="S267" s="379">
        <v>0</v>
      </c>
      <c r="T267" s="338">
        <v>0</v>
      </c>
      <c r="U267" s="379">
        <v>0</v>
      </c>
      <c r="V267" s="286"/>
      <c r="W267" s="289"/>
      <c r="X267" s="5"/>
    </row>
    <row r="268" spans="1:24" ht="15.75" x14ac:dyDescent="0.25">
      <c r="A268" s="295"/>
      <c r="B268" s="337" t="s">
        <v>158</v>
      </c>
      <c r="C268" s="286"/>
      <c r="D268" s="286"/>
      <c r="E268" s="286"/>
      <c r="F268" s="286"/>
      <c r="G268" s="286"/>
      <c r="H268" s="381"/>
      <c r="I268" s="381"/>
      <c r="J268" s="381"/>
      <c r="K268" s="381"/>
      <c r="L268" s="381"/>
      <c r="M268" s="381"/>
      <c r="N268" s="381"/>
      <c r="O268" s="381"/>
      <c r="P268" s="381"/>
      <c r="Q268" s="381"/>
      <c r="R268" s="337">
        <v>0</v>
      </c>
      <c r="S268" s="379">
        <v>0</v>
      </c>
      <c r="T268" s="338">
        <v>0</v>
      </c>
      <c r="U268" s="379">
        <v>0</v>
      </c>
      <c r="V268" s="286"/>
      <c r="W268" s="289"/>
      <c r="X268" s="5"/>
    </row>
    <row r="269" spans="1:24" ht="15.75" x14ac:dyDescent="0.25">
      <c r="A269" s="295"/>
      <c r="B269" s="337" t="s">
        <v>159</v>
      </c>
      <c r="C269" s="286"/>
      <c r="D269" s="286"/>
      <c r="E269" s="286"/>
      <c r="F269" s="286"/>
      <c r="G269" s="286"/>
      <c r="H269" s="381"/>
      <c r="I269" s="381"/>
      <c r="J269" s="381"/>
      <c r="K269" s="381"/>
      <c r="L269" s="381"/>
      <c r="M269" s="381"/>
      <c r="N269" s="381"/>
      <c r="O269" s="381"/>
      <c r="P269" s="381"/>
      <c r="Q269" s="381"/>
      <c r="R269" s="337">
        <v>0</v>
      </c>
      <c r="S269" s="379">
        <v>0</v>
      </c>
      <c r="T269" s="338">
        <v>0</v>
      </c>
      <c r="U269" s="379">
        <v>0</v>
      </c>
      <c r="V269" s="286"/>
      <c r="W269" s="289"/>
      <c r="X269" s="5"/>
    </row>
    <row r="270" spans="1:24" ht="15.75" x14ac:dyDescent="0.25">
      <c r="A270" s="295"/>
      <c r="B270" s="337" t="s">
        <v>160</v>
      </c>
      <c r="C270" s="286"/>
      <c r="D270" s="286"/>
      <c r="E270" s="286"/>
      <c r="F270" s="286"/>
      <c r="G270" s="286"/>
      <c r="H270" s="381"/>
      <c r="I270" s="381"/>
      <c r="J270" s="381"/>
      <c r="K270" s="381"/>
      <c r="L270" s="381"/>
      <c r="M270" s="381"/>
      <c r="N270" s="381"/>
      <c r="O270" s="381"/>
      <c r="P270" s="381"/>
      <c r="Q270" s="381"/>
      <c r="R270" s="337">
        <v>0</v>
      </c>
      <c r="S270" s="379">
        <v>0</v>
      </c>
      <c r="T270" s="338">
        <v>0</v>
      </c>
      <c r="U270" s="379">
        <v>0</v>
      </c>
      <c r="V270" s="286"/>
      <c r="W270" s="289"/>
      <c r="X270" s="5"/>
    </row>
    <row r="271" spans="1:24" ht="15.75" x14ac:dyDescent="0.25">
      <c r="A271" s="295"/>
      <c r="B271" s="337"/>
      <c r="C271" s="286"/>
      <c r="D271" s="286"/>
      <c r="E271" s="286"/>
      <c r="F271" s="286"/>
      <c r="G271" s="286"/>
      <c r="H271" s="381"/>
      <c r="I271" s="381"/>
      <c r="J271" s="381"/>
      <c r="K271" s="381"/>
      <c r="L271" s="381"/>
      <c r="M271" s="381"/>
      <c r="N271" s="381"/>
      <c r="O271" s="381"/>
      <c r="P271" s="381"/>
      <c r="Q271" s="381"/>
      <c r="R271" s="337"/>
      <c r="S271" s="379"/>
      <c r="T271" s="338"/>
      <c r="U271" s="379"/>
      <c r="V271" s="286"/>
      <c r="W271" s="289"/>
      <c r="X271" s="5"/>
    </row>
    <row r="272" spans="1:24" ht="15.75" x14ac:dyDescent="0.25">
      <c r="A272" s="295"/>
      <c r="B272" s="286" t="s">
        <v>114</v>
      </c>
      <c r="C272" s="286"/>
      <c r="D272" s="286"/>
      <c r="E272" s="286"/>
      <c r="F272" s="286"/>
      <c r="G272" s="286"/>
      <c r="H272" s="381"/>
      <c r="I272" s="381"/>
      <c r="J272" s="381"/>
      <c r="K272" s="381"/>
      <c r="L272" s="381"/>
      <c r="M272" s="381"/>
      <c r="N272" s="381"/>
      <c r="O272" s="381"/>
      <c r="P272" s="381"/>
      <c r="Q272" s="381"/>
      <c r="R272" s="337">
        <f>SUM(R263:R270)</f>
        <v>0</v>
      </c>
      <c r="S272" s="379">
        <f>SUM(S263:S270)</f>
        <v>0</v>
      </c>
      <c r="T272" s="338">
        <f>SUM(T263:T270)</f>
        <v>0</v>
      </c>
      <c r="U272" s="379">
        <f>SUM(U263:U270)</f>
        <v>0</v>
      </c>
      <c r="V272" s="286"/>
      <c r="W272" s="289"/>
      <c r="X272" s="5"/>
    </row>
    <row r="273" spans="1:24" ht="15.75" x14ac:dyDescent="0.25">
      <c r="A273" s="295"/>
      <c r="B273" s="286"/>
      <c r="C273" s="286"/>
      <c r="D273" s="286"/>
      <c r="E273" s="286"/>
      <c r="F273" s="286"/>
      <c r="G273" s="286"/>
      <c r="H273" s="381"/>
      <c r="I273" s="381"/>
      <c r="J273" s="381"/>
      <c r="K273" s="381"/>
      <c r="L273" s="381"/>
      <c r="M273" s="381"/>
      <c r="N273" s="381"/>
      <c r="O273" s="381"/>
      <c r="P273" s="381"/>
      <c r="Q273" s="381"/>
      <c r="R273" s="337"/>
      <c r="S273" s="379"/>
      <c r="T273" s="338"/>
      <c r="U273" s="379"/>
      <c r="V273" s="286"/>
      <c r="W273" s="289"/>
      <c r="X273" s="5"/>
    </row>
    <row r="274" spans="1:24" ht="15.75" x14ac:dyDescent="0.25">
      <c r="A274" s="295"/>
      <c r="B274" s="297" t="s">
        <v>164</v>
      </c>
      <c r="C274" s="286"/>
      <c r="D274" s="286"/>
      <c r="E274" s="286"/>
      <c r="F274" s="286"/>
      <c r="G274" s="286"/>
      <c r="H274" s="381"/>
      <c r="I274" s="381"/>
      <c r="J274" s="381"/>
      <c r="K274" s="381"/>
      <c r="L274" s="381"/>
      <c r="M274" s="381"/>
      <c r="N274" s="381"/>
      <c r="O274" s="381"/>
      <c r="P274" s="381"/>
      <c r="Q274" s="381"/>
      <c r="R274" s="384">
        <f>R272+R260+R248</f>
        <v>5963</v>
      </c>
      <c r="S274" s="379"/>
      <c r="T274" s="385">
        <f>+T272+T260+T248</f>
        <v>861437</v>
      </c>
      <c r="U274" s="379"/>
      <c r="V274" s="286"/>
      <c r="W274" s="289"/>
      <c r="X274" s="5"/>
    </row>
    <row r="275" spans="1:24" ht="15.75" x14ac:dyDescent="0.25">
      <c r="A275" s="254"/>
      <c r="B275" s="346"/>
      <c r="C275" s="346"/>
      <c r="D275" s="346"/>
      <c r="E275" s="346"/>
      <c r="F275" s="346"/>
      <c r="G275" s="346"/>
      <c r="H275" s="382"/>
      <c r="I275" s="382"/>
      <c r="J275" s="382"/>
      <c r="K275" s="382"/>
      <c r="L275" s="382"/>
      <c r="M275" s="382"/>
      <c r="N275" s="382"/>
      <c r="O275" s="382"/>
      <c r="P275" s="382"/>
      <c r="Q275" s="382"/>
      <c r="R275" s="382"/>
      <c r="S275" s="382"/>
      <c r="T275" s="383"/>
      <c r="U275" s="382"/>
      <c r="V275" s="346"/>
      <c r="W275" s="346"/>
      <c r="X275" s="5"/>
    </row>
    <row r="276" spans="1:24" ht="15.75" x14ac:dyDescent="0.25">
      <c r="A276" s="254"/>
      <c r="B276" s="255"/>
      <c r="C276" s="255"/>
      <c r="D276" s="255"/>
      <c r="E276" s="255"/>
      <c r="F276" s="255"/>
      <c r="G276" s="255"/>
      <c r="H276" s="256"/>
      <c r="I276" s="256"/>
      <c r="J276" s="256"/>
      <c r="K276" s="256"/>
      <c r="L276" s="256"/>
      <c r="M276" s="256"/>
      <c r="N276" s="256"/>
      <c r="O276" s="256"/>
      <c r="P276" s="256"/>
      <c r="Q276" s="256"/>
      <c r="R276" s="256"/>
      <c r="S276" s="256"/>
      <c r="T276" s="257"/>
      <c r="U276" s="256"/>
      <c r="V276" s="255"/>
      <c r="W276" s="255"/>
      <c r="X276" s="5"/>
    </row>
    <row r="277" spans="1:24" ht="15.75" x14ac:dyDescent="0.25">
      <c r="A277" s="258"/>
      <c r="B277" s="259" t="s">
        <v>91</v>
      </c>
      <c r="C277" s="255"/>
      <c r="D277" s="255"/>
      <c r="E277" s="255"/>
      <c r="F277" s="260" t="s">
        <v>97</v>
      </c>
      <c r="G277" s="255"/>
      <c r="H277" s="259" t="s">
        <v>99</v>
      </c>
      <c r="I277" s="259"/>
      <c r="J277" s="259"/>
      <c r="K277" s="261"/>
      <c r="L277" s="261"/>
      <c r="M277" s="261"/>
      <c r="N277" s="261"/>
      <c r="O277" s="261"/>
      <c r="P277" s="261"/>
      <c r="Q277" s="261"/>
      <c r="R277" s="261"/>
      <c r="S277" s="261"/>
      <c r="T277" s="261"/>
      <c r="U277" s="261"/>
      <c r="V277" s="261"/>
      <c r="W277" s="261"/>
      <c r="X277" s="5"/>
    </row>
    <row r="278" spans="1:24" ht="15.75" x14ac:dyDescent="0.25">
      <c r="A278" s="258"/>
      <c r="B278" s="261"/>
      <c r="C278" s="255"/>
      <c r="D278" s="255"/>
      <c r="E278" s="255"/>
      <c r="F278" s="255"/>
      <c r="G278" s="255"/>
      <c r="H278" s="255"/>
      <c r="I278" s="255"/>
      <c r="J278" s="255"/>
      <c r="K278" s="261"/>
      <c r="L278" s="261"/>
      <c r="M278" s="261"/>
      <c r="N278" s="261"/>
      <c r="O278" s="261"/>
      <c r="P278" s="261"/>
      <c r="Q278" s="261"/>
      <c r="R278" s="261"/>
      <c r="S278" s="261"/>
      <c r="T278" s="261"/>
      <c r="U278" s="261"/>
      <c r="V278" s="261"/>
      <c r="W278" s="261"/>
      <c r="X278" s="5"/>
    </row>
    <row r="279" spans="1:24" ht="15.75" x14ac:dyDescent="0.25">
      <c r="A279" s="258"/>
      <c r="B279" s="259" t="s">
        <v>92</v>
      </c>
      <c r="C279" s="259"/>
      <c r="D279" s="259"/>
      <c r="E279" s="259"/>
      <c r="F279" s="262" t="s">
        <v>148</v>
      </c>
      <c r="G279" s="259"/>
      <c r="H279" s="259" t="s">
        <v>152</v>
      </c>
      <c r="I279" s="259"/>
      <c r="J279" s="259"/>
      <c r="K279" s="261"/>
      <c r="L279" s="261"/>
      <c r="M279" s="261"/>
      <c r="N279" s="261"/>
      <c r="O279" s="261"/>
      <c r="P279" s="261"/>
      <c r="Q279" s="261"/>
      <c r="R279" s="261"/>
      <c r="S279" s="261"/>
      <c r="T279" s="261"/>
      <c r="U279" s="261"/>
      <c r="V279" s="261"/>
      <c r="W279" s="261"/>
      <c r="X279" s="5"/>
    </row>
    <row r="280" spans="1:24" ht="15.75" x14ac:dyDescent="0.25">
      <c r="A280" s="258"/>
      <c r="B280" s="259" t="s">
        <v>265</v>
      </c>
      <c r="C280" s="259"/>
      <c r="D280" s="259"/>
      <c r="E280" s="259"/>
      <c r="F280" s="262" t="s">
        <v>266</v>
      </c>
      <c r="G280" s="259"/>
      <c r="H280" s="259" t="s">
        <v>267</v>
      </c>
      <c r="I280" s="259"/>
      <c r="J280" s="259"/>
      <c r="K280" s="261"/>
      <c r="L280" s="261"/>
      <c r="M280" s="261"/>
      <c r="N280" s="261"/>
      <c r="O280" s="261"/>
      <c r="P280" s="261"/>
      <c r="Q280" s="261"/>
      <c r="R280" s="261"/>
      <c r="S280" s="261"/>
      <c r="T280" s="261"/>
      <c r="U280" s="261"/>
      <c r="V280" s="261"/>
      <c r="W280" s="261"/>
      <c r="X280" s="5"/>
    </row>
    <row r="281" spans="1:24" ht="15.75" x14ac:dyDescent="0.25">
      <c r="A281" s="258"/>
      <c r="B281" s="259" t="s">
        <v>93</v>
      </c>
      <c r="C281" s="259"/>
      <c r="D281" s="259"/>
      <c r="E281" s="259"/>
      <c r="F281" s="262" t="s">
        <v>147</v>
      </c>
      <c r="G281" s="259"/>
      <c r="H281" s="259" t="s">
        <v>153</v>
      </c>
      <c r="I281" s="259"/>
      <c r="J281" s="259"/>
      <c r="K281" s="261"/>
      <c r="L281" s="261"/>
      <c r="M281" s="261"/>
      <c r="N281" s="261"/>
      <c r="O281" s="261"/>
      <c r="P281" s="261"/>
      <c r="Q281" s="261"/>
      <c r="R281" s="261"/>
      <c r="S281" s="261"/>
      <c r="T281" s="261"/>
      <c r="U281" s="261"/>
      <c r="V281" s="261"/>
      <c r="W281" s="261"/>
      <c r="X281" s="5"/>
    </row>
    <row r="282" spans="1:24" ht="15.75" x14ac:dyDescent="0.25">
      <c r="A282" s="258"/>
      <c r="B282" s="259"/>
      <c r="C282" s="259"/>
      <c r="D282" s="259"/>
      <c r="E282" s="259"/>
      <c r="F282" s="259"/>
      <c r="G282" s="263"/>
      <c r="H282" s="261"/>
      <c r="I282" s="261"/>
      <c r="J282" s="261"/>
      <c r="K282" s="261"/>
      <c r="L282" s="261"/>
      <c r="M282" s="261"/>
      <c r="N282" s="261"/>
      <c r="O282" s="261"/>
      <c r="P282" s="261"/>
      <c r="Q282" s="261"/>
      <c r="R282" s="261"/>
      <c r="S282" s="261"/>
      <c r="T282" s="261"/>
      <c r="U282" s="261"/>
      <c r="V282" s="261"/>
      <c r="W282" s="261"/>
      <c r="X282" s="5"/>
    </row>
    <row r="283" spans="1:24" ht="15.75" x14ac:dyDescent="0.25">
      <c r="A283" s="258"/>
      <c r="B283" s="259"/>
      <c r="C283" s="259"/>
      <c r="D283" s="259"/>
      <c r="E283" s="259"/>
      <c r="F283" s="259"/>
      <c r="G283" s="263"/>
      <c r="H283" s="261"/>
      <c r="I283" s="261"/>
      <c r="J283" s="261"/>
      <c r="K283" s="261"/>
      <c r="L283" s="261"/>
      <c r="M283" s="261"/>
      <c r="N283" s="261"/>
      <c r="O283" s="261"/>
      <c r="P283" s="261"/>
      <c r="Q283" s="261"/>
      <c r="R283" s="261"/>
      <c r="S283" s="261"/>
      <c r="T283" s="261"/>
      <c r="U283" s="261"/>
      <c r="V283" s="261"/>
      <c r="W283" s="261"/>
      <c r="X283" s="5"/>
    </row>
    <row r="284" spans="1:24" ht="19.5" thickBot="1" x14ac:dyDescent="0.35">
      <c r="A284" s="258"/>
      <c r="B284" s="264" t="str">
        <f>B200</f>
        <v>PM15 INVESTOR REPORT QUARTER ENDING MAY 2010</v>
      </c>
      <c r="C284" s="259"/>
      <c r="D284" s="259"/>
      <c r="E284" s="259"/>
      <c r="F284" s="259"/>
      <c r="G284" s="263"/>
      <c r="H284" s="261"/>
      <c r="I284" s="261"/>
      <c r="J284" s="261"/>
      <c r="K284" s="261"/>
      <c r="L284" s="261"/>
      <c r="M284" s="261"/>
      <c r="N284" s="261"/>
      <c r="O284" s="261"/>
      <c r="P284" s="261"/>
      <c r="Q284" s="261"/>
      <c r="R284" s="261"/>
      <c r="S284" s="261"/>
      <c r="T284" s="261"/>
      <c r="U284" s="261"/>
      <c r="V284" s="261"/>
      <c r="W284" s="261"/>
      <c r="X284" s="5"/>
    </row>
    <row r="285" spans="1:24" x14ac:dyDescent="0.2">
      <c r="A285" s="100"/>
      <c r="B285" s="100"/>
      <c r="C285" s="100"/>
      <c r="D285" s="100"/>
      <c r="E285" s="100"/>
      <c r="F285" s="100"/>
      <c r="G285" s="100"/>
      <c r="H285" s="100"/>
      <c r="I285" s="100"/>
      <c r="J285" s="100"/>
      <c r="K285" s="100"/>
      <c r="L285" s="100"/>
      <c r="M285" s="100"/>
      <c r="N285" s="100"/>
      <c r="O285" s="100"/>
      <c r="P285" s="100"/>
      <c r="Q285" s="100"/>
      <c r="R285" s="100"/>
      <c r="S285" s="100"/>
      <c r="T285" s="100"/>
      <c r="U285" s="100"/>
      <c r="V285" s="100"/>
      <c r="W285" s="100"/>
    </row>
  </sheetData>
  <phoneticPr fontId="0" type="noConversion"/>
  <hyperlinks>
    <hyperlink ref="P236" r:id="rId1" xr:uid="{00000000-0004-0000-0A00-000000000000}"/>
    <hyperlink ref="I9" r:id="rId2" xr:uid="{00000000-0004-0000-0A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4" max="14" man="1"/>
    <brk id="200" max="14" man="1"/>
  </rowBreak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sheetPr>
  <dimension ref="A1:IV297"/>
  <sheetViews>
    <sheetView showGridLines="0" showOutlineSymbols="0" zoomScale="70" zoomScaleNormal="70" workbookViewId="0"/>
  </sheetViews>
  <sheetFormatPr defaultColWidth="9.6640625" defaultRowHeight="15" x14ac:dyDescent="0.2"/>
  <cols>
    <col min="1" max="1" width="4" style="1" customWidth="1"/>
    <col min="2" max="2" width="71.21875" style="1" customWidth="1"/>
    <col min="3" max="3" width="2.21875" style="1" customWidth="1"/>
    <col min="4" max="4" width="19.33203125" style="1" customWidth="1"/>
    <col min="5" max="5" width="2.21875" style="1" customWidth="1"/>
    <col min="6" max="6" width="25.109375" style="1" customWidth="1"/>
    <col min="7" max="7" width="2.21875" style="1" customWidth="1"/>
    <col min="8" max="8" width="16.21875" style="1" customWidth="1"/>
    <col min="9" max="9" width="2.88671875" style="1" customWidth="1"/>
    <col min="10" max="10" width="16.21875" style="1" customWidth="1"/>
    <col min="11" max="11" width="2.21875" style="1" customWidth="1"/>
    <col min="12" max="12" width="17.88671875" style="1" customWidth="1"/>
    <col min="13" max="13" width="2.33203125" style="1" customWidth="1"/>
    <col min="14" max="14" width="14.88671875" style="1" customWidth="1"/>
    <col min="15" max="15" width="2.33203125" style="1" customWidth="1"/>
    <col min="16" max="16" width="15.5546875" style="1" customWidth="1"/>
    <col min="17" max="17" width="2.21875" style="1" customWidth="1"/>
    <col min="18" max="18" width="15.5546875" style="1" customWidth="1"/>
    <col min="19" max="20" width="12.6640625" style="1" customWidth="1"/>
    <col min="21" max="21" width="7.77734375" style="1" customWidth="1"/>
    <col min="22" max="22" width="14.6640625" style="1" customWidth="1"/>
    <col min="23" max="23" width="11.77734375" style="1" customWidth="1"/>
    <col min="24" max="16384" width="9.6640625" style="1"/>
  </cols>
  <sheetData>
    <row r="1" spans="1:24" ht="20.25" x14ac:dyDescent="0.3">
      <c r="A1" s="179"/>
      <c r="B1" s="274" t="s">
        <v>237</v>
      </c>
      <c r="C1" s="180"/>
      <c r="D1" s="180"/>
      <c r="E1" s="180"/>
      <c r="F1" s="180"/>
      <c r="G1" s="180"/>
      <c r="H1" s="180"/>
      <c r="I1" s="180"/>
      <c r="J1" s="180"/>
      <c r="K1" s="180"/>
      <c r="L1" s="180"/>
      <c r="M1" s="180"/>
      <c r="N1" s="180"/>
      <c r="O1" s="180"/>
      <c r="P1" s="180"/>
      <c r="Q1" s="180"/>
      <c r="R1" s="180"/>
      <c r="S1" s="180"/>
      <c r="T1" s="180"/>
      <c r="U1" s="180"/>
      <c r="V1" s="180"/>
      <c r="W1" s="180"/>
      <c r="X1" s="5"/>
    </row>
    <row r="2" spans="1:24" ht="15.75" x14ac:dyDescent="0.25">
      <c r="A2" s="181"/>
      <c r="B2" s="182"/>
      <c r="C2" s="183"/>
      <c r="D2" s="183"/>
      <c r="E2" s="183"/>
      <c r="F2" s="183"/>
      <c r="G2" s="183"/>
      <c r="H2" s="183"/>
      <c r="I2" s="183"/>
      <c r="J2" s="183"/>
      <c r="K2" s="183"/>
      <c r="L2" s="183"/>
      <c r="M2" s="183"/>
      <c r="N2" s="183"/>
      <c r="O2" s="183"/>
      <c r="P2" s="183"/>
      <c r="Q2" s="183"/>
      <c r="R2" s="183"/>
      <c r="S2" s="183"/>
      <c r="T2" s="183"/>
      <c r="U2" s="183"/>
      <c r="V2" s="183"/>
      <c r="W2" s="183"/>
      <c r="X2" s="5"/>
    </row>
    <row r="3" spans="1:24" ht="15.75" x14ac:dyDescent="0.25">
      <c r="A3" s="184"/>
      <c r="B3" s="185" t="s">
        <v>238</v>
      </c>
      <c r="C3" s="183"/>
      <c r="D3" s="183"/>
      <c r="E3" s="183"/>
      <c r="F3" s="183"/>
      <c r="G3" s="183"/>
      <c r="H3" s="183"/>
      <c r="I3" s="183"/>
      <c r="J3" s="183"/>
      <c r="K3" s="183"/>
      <c r="L3" s="183"/>
      <c r="M3" s="183"/>
      <c r="N3" s="183"/>
      <c r="O3" s="183"/>
      <c r="P3" s="183"/>
      <c r="Q3" s="183"/>
      <c r="R3" s="183"/>
      <c r="S3" s="183"/>
      <c r="T3" s="183"/>
      <c r="U3" s="183"/>
      <c r="V3" s="183"/>
      <c r="W3" s="183"/>
      <c r="X3" s="5"/>
    </row>
    <row r="4" spans="1:24" ht="15.75" x14ac:dyDescent="0.25">
      <c r="A4" s="181"/>
      <c r="B4" s="182"/>
      <c r="C4" s="183"/>
      <c r="D4" s="183"/>
      <c r="E4" s="183"/>
      <c r="F4" s="183"/>
      <c r="G4" s="183"/>
      <c r="H4" s="183"/>
      <c r="I4" s="183"/>
      <c r="J4" s="183"/>
      <c r="K4" s="183"/>
      <c r="L4" s="183"/>
      <c r="M4" s="183"/>
      <c r="N4" s="183"/>
      <c r="O4" s="183"/>
      <c r="P4" s="183"/>
      <c r="Q4" s="183"/>
      <c r="R4" s="183"/>
      <c r="S4" s="183"/>
      <c r="T4" s="183"/>
      <c r="U4" s="183"/>
      <c r="V4" s="183"/>
      <c r="W4" s="183"/>
      <c r="X4" s="5"/>
    </row>
    <row r="5" spans="1:24" ht="15.75" x14ac:dyDescent="0.25">
      <c r="A5" s="181"/>
      <c r="B5" s="275" t="s">
        <v>137</v>
      </c>
      <c r="C5" s="183"/>
      <c r="D5" s="183"/>
      <c r="E5" s="183"/>
      <c r="F5" s="183"/>
      <c r="G5" s="183"/>
      <c r="H5" s="183"/>
      <c r="I5" s="183"/>
      <c r="J5" s="183"/>
      <c r="K5" s="183"/>
      <c r="L5" s="183"/>
      <c r="M5" s="183"/>
      <c r="N5" s="183"/>
      <c r="O5" s="183"/>
      <c r="P5" s="183"/>
      <c r="Q5" s="183"/>
      <c r="R5" s="183"/>
      <c r="S5" s="183"/>
      <c r="T5" s="183"/>
      <c r="U5" s="183"/>
      <c r="V5" s="183"/>
      <c r="W5" s="183"/>
      <c r="X5" s="5"/>
    </row>
    <row r="6" spans="1:24" ht="15.75" x14ac:dyDescent="0.25">
      <c r="A6" s="181"/>
      <c r="B6" s="275" t="s">
        <v>139</v>
      </c>
      <c r="C6" s="183"/>
      <c r="D6" s="183"/>
      <c r="E6" s="183"/>
      <c r="F6" s="183"/>
      <c r="G6" s="183"/>
      <c r="H6" s="183"/>
      <c r="I6" s="183"/>
      <c r="J6" s="183"/>
      <c r="K6" s="183"/>
      <c r="L6" s="183"/>
      <c r="M6" s="183"/>
      <c r="N6" s="183"/>
      <c r="O6" s="183"/>
      <c r="P6" s="183"/>
      <c r="Q6" s="183"/>
      <c r="R6" s="183"/>
      <c r="S6" s="183"/>
      <c r="T6" s="183"/>
      <c r="U6" s="183"/>
      <c r="V6" s="183"/>
      <c r="W6" s="183"/>
      <c r="X6" s="5"/>
    </row>
    <row r="7" spans="1:24" ht="15.75" x14ac:dyDescent="0.25">
      <c r="A7" s="181"/>
      <c r="B7" s="275" t="s">
        <v>138</v>
      </c>
      <c r="C7" s="183"/>
      <c r="D7" s="183"/>
      <c r="E7" s="183"/>
      <c r="F7" s="183"/>
      <c r="G7" s="183"/>
      <c r="H7" s="183"/>
      <c r="I7" s="183"/>
      <c r="J7" s="183"/>
      <c r="K7" s="183"/>
      <c r="L7" s="183"/>
      <c r="M7" s="183"/>
      <c r="N7" s="183"/>
      <c r="O7" s="183"/>
      <c r="P7" s="183"/>
      <c r="Q7" s="183"/>
      <c r="R7" s="183"/>
      <c r="S7" s="183"/>
      <c r="T7" s="183"/>
      <c r="U7" s="183"/>
      <c r="V7" s="183"/>
      <c r="W7" s="183"/>
      <c r="X7" s="5"/>
    </row>
    <row r="8" spans="1:24" ht="15.75" x14ac:dyDescent="0.25">
      <c r="A8" s="181"/>
      <c r="B8" s="186"/>
      <c r="C8" s="183"/>
      <c r="D8" s="183"/>
      <c r="E8" s="183"/>
      <c r="F8" s="183"/>
      <c r="G8" s="183"/>
      <c r="H8" s="183"/>
      <c r="I8" s="183"/>
      <c r="J8" s="183"/>
      <c r="K8" s="183"/>
      <c r="L8" s="183"/>
      <c r="M8" s="183"/>
      <c r="N8" s="183"/>
      <c r="O8" s="183"/>
      <c r="P8" s="183"/>
      <c r="Q8" s="183"/>
      <c r="R8" s="183"/>
      <c r="S8" s="183"/>
      <c r="T8" s="183"/>
      <c r="U8" s="183"/>
      <c r="V8" s="183"/>
      <c r="W8" s="183"/>
      <c r="X8" s="5"/>
    </row>
    <row r="9" spans="1:24" ht="18.75" x14ac:dyDescent="0.3">
      <c r="A9" s="181"/>
      <c r="B9" s="187" t="s">
        <v>166</v>
      </c>
      <c r="C9" s="183"/>
      <c r="D9" s="183"/>
      <c r="E9" s="183"/>
      <c r="F9" s="183"/>
      <c r="G9" s="183"/>
      <c r="H9" s="183"/>
      <c r="I9" s="188" t="s">
        <v>167</v>
      </c>
      <c r="J9" s="183"/>
      <c r="K9" s="183"/>
      <c r="L9" s="188"/>
      <c r="M9" s="183"/>
      <c r="N9" s="188"/>
      <c r="O9" s="183"/>
      <c r="P9" s="183"/>
      <c r="Q9" s="183"/>
      <c r="R9" s="183"/>
      <c r="S9" s="183"/>
      <c r="T9" s="183"/>
      <c r="U9" s="183"/>
      <c r="V9" s="183"/>
      <c r="W9" s="183"/>
      <c r="X9" s="5"/>
    </row>
    <row r="10" spans="1:24" ht="15.75" x14ac:dyDescent="0.25">
      <c r="A10" s="181"/>
      <c r="B10" s="186"/>
      <c r="C10" s="189"/>
      <c r="D10" s="189"/>
      <c r="E10" s="189"/>
      <c r="F10" s="183"/>
      <c r="G10" s="183"/>
      <c r="H10" s="183"/>
      <c r="I10" s="183"/>
      <c r="J10" s="183"/>
      <c r="K10" s="183"/>
      <c r="L10" s="183"/>
      <c r="M10" s="183"/>
      <c r="N10" s="183"/>
      <c r="O10" s="183"/>
      <c r="P10" s="183"/>
      <c r="Q10" s="183"/>
      <c r="R10" s="183"/>
      <c r="S10" s="183"/>
      <c r="T10" s="183"/>
      <c r="U10" s="183"/>
      <c r="V10" s="183"/>
      <c r="W10" s="183"/>
      <c r="X10" s="5"/>
    </row>
    <row r="11" spans="1:24" ht="15.75" x14ac:dyDescent="0.25">
      <c r="A11" s="181"/>
      <c r="B11" s="259" t="s">
        <v>0</v>
      </c>
      <c r="C11" s="183"/>
      <c r="D11" s="183"/>
      <c r="E11" s="183"/>
      <c r="F11" s="183"/>
      <c r="G11" s="183"/>
      <c r="H11" s="183"/>
      <c r="I11" s="183"/>
      <c r="J11" s="183"/>
      <c r="K11" s="183"/>
      <c r="L11" s="183"/>
      <c r="M11" s="183"/>
      <c r="N11" s="183"/>
      <c r="O11" s="183"/>
      <c r="P11" s="183"/>
      <c r="Q11" s="183"/>
      <c r="R11" s="183"/>
      <c r="S11" s="183"/>
      <c r="T11" s="183"/>
      <c r="U11" s="183"/>
      <c r="V11" s="183"/>
      <c r="W11" s="183"/>
      <c r="X11" s="5"/>
    </row>
    <row r="12" spans="1:24" ht="16.5" thickBot="1" x14ac:dyDescent="0.3">
      <c r="A12" s="181"/>
      <c r="B12" s="189"/>
      <c r="C12" s="183"/>
      <c r="D12" s="183"/>
      <c r="E12" s="183"/>
      <c r="F12" s="183"/>
      <c r="G12" s="183"/>
      <c r="H12" s="183"/>
      <c r="I12" s="183"/>
      <c r="J12" s="183"/>
      <c r="K12" s="183"/>
      <c r="L12" s="183"/>
      <c r="M12" s="183"/>
      <c r="N12" s="183"/>
      <c r="O12" s="183"/>
      <c r="P12" s="183"/>
      <c r="Q12" s="183"/>
      <c r="R12" s="183"/>
      <c r="S12" s="183"/>
      <c r="T12" s="183"/>
      <c r="U12" s="183"/>
      <c r="V12" s="183"/>
      <c r="W12" s="183"/>
      <c r="X12" s="5"/>
    </row>
    <row r="13" spans="1:24" ht="15.75" x14ac:dyDescent="0.25">
      <c r="A13" s="179"/>
      <c r="B13" s="180"/>
      <c r="C13" s="180"/>
      <c r="D13" s="180"/>
      <c r="E13" s="180"/>
      <c r="F13" s="180"/>
      <c r="G13" s="180"/>
      <c r="H13" s="180"/>
      <c r="I13" s="180"/>
      <c r="J13" s="180"/>
      <c r="K13" s="180"/>
      <c r="L13" s="180"/>
      <c r="M13" s="180"/>
      <c r="N13" s="180"/>
      <c r="O13" s="180"/>
      <c r="P13" s="180"/>
      <c r="Q13" s="180"/>
      <c r="R13" s="180"/>
      <c r="S13" s="180"/>
      <c r="T13" s="180"/>
      <c r="U13" s="180"/>
      <c r="V13" s="180"/>
      <c r="W13" s="180"/>
      <c r="X13" s="5"/>
    </row>
    <row r="14" spans="1:24" ht="15.75" x14ac:dyDescent="0.25">
      <c r="A14" s="181"/>
      <c r="B14" s="259" t="s">
        <v>1</v>
      </c>
      <c r="C14" s="255"/>
      <c r="D14" s="255"/>
      <c r="E14" s="255"/>
      <c r="F14" s="255"/>
      <c r="G14" s="255"/>
      <c r="H14" s="255"/>
      <c r="I14" s="255"/>
      <c r="J14" s="255"/>
      <c r="K14" s="255"/>
      <c r="L14" s="255"/>
      <c r="M14" s="255"/>
      <c r="N14" s="255"/>
      <c r="O14" s="255"/>
      <c r="P14" s="255"/>
      <c r="Q14" s="255"/>
      <c r="R14" s="255"/>
      <c r="S14" s="255"/>
      <c r="T14" s="255"/>
      <c r="U14" s="255"/>
      <c r="V14" s="276" t="s">
        <v>239</v>
      </c>
      <c r="W14" s="255"/>
      <c r="X14" s="5"/>
    </row>
    <row r="15" spans="1:24" ht="15.75" x14ac:dyDescent="0.25">
      <c r="A15" s="181"/>
      <c r="B15" s="259" t="s">
        <v>2</v>
      </c>
      <c r="C15" s="255"/>
      <c r="D15" s="255"/>
      <c r="E15" s="255"/>
      <c r="F15" s="255"/>
      <c r="G15" s="255"/>
      <c r="H15" s="277"/>
      <c r="I15" s="277"/>
      <c r="J15" s="277"/>
      <c r="K15" s="277"/>
      <c r="L15" s="277"/>
      <c r="M15" s="277"/>
      <c r="N15" s="277"/>
      <c r="O15" s="277"/>
      <c r="P15" s="277"/>
      <c r="Q15" s="277"/>
      <c r="R15" s="277" t="s">
        <v>104</v>
      </c>
      <c r="S15" s="278">
        <v>0.47189999999999999</v>
      </c>
      <c r="T15" s="260" t="s">
        <v>140</v>
      </c>
      <c r="U15" s="278">
        <v>0.52810000000000001</v>
      </c>
      <c r="V15" s="276"/>
      <c r="W15" s="255"/>
      <c r="X15" s="5"/>
    </row>
    <row r="16" spans="1:24" ht="15.75" x14ac:dyDescent="0.25">
      <c r="A16" s="181"/>
      <c r="B16" s="259" t="s">
        <v>3</v>
      </c>
      <c r="C16" s="255"/>
      <c r="D16" s="255"/>
      <c r="E16" s="255"/>
      <c r="F16" s="255"/>
      <c r="G16" s="255"/>
      <c r="H16" s="277"/>
      <c r="I16" s="277"/>
      <c r="J16" s="277"/>
      <c r="K16" s="277"/>
      <c r="L16" s="277"/>
      <c r="M16" s="277"/>
      <c r="N16" s="277"/>
      <c r="O16" s="277"/>
      <c r="P16" s="277"/>
      <c r="Q16" s="277"/>
      <c r="R16" s="277" t="s">
        <v>104</v>
      </c>
      <c r="S16" s="278">
        <v>0.53569999999999995</v>
      </c>
      <c r="T16" s="260" t="s">
        <v>140</v>
      </c>
      <c r="U16" s="278">
        <v>0.46429999999999999</v>
      </c>
      <c r="V16" s="276"/>
      <c r="W16" s="255"/>
      <c r="X16" s="5"/>
    </row>
    <row r="17" spans="1:24" ht="15.75" x14ac:dyDescent="0.25">
      <c r="A17" s="181"/>
      <c r="B17" s="259" t="s">
        <v>4</v>
      </c>
      <c r="C17" s="255"/>
      <c r="D17" s="255"/>
      <c r="E17" s="255"/>
      <c r="F17" s="255"/>
      <c r="G17" s="255"/>
      <c r="H17" s="255"/>
      <c r="I17" s="255"/>
      <c r="J17" s="255"/>
      <c r="K17" s="255"/>
      <c r="L17" s="255"/>
      <c r="M17" s="255"/>
      <c r="N17" s="255"/>
      <c r="O17" s="255"/>
      <c r="P17" s="255"/>
      <c r="Q17" s="255"/>
      <c r="R17" s="255"/>
      <c r="S17" s="255"/>
      <c r="T17" s="255"/>
      <c r="U17" s="255"/>
      <c r="V17" s="279">
        <v>39282</v>
      </c>
      <c r="W17" s="255"/>
      <c r="X17" s="5"/>
    </row>
    <row r="18" spans="1:24" ht="15.75" x14ac:dyDescent="0.25">
      <c r="A18" s="181"/>
      <c r="B18" s="259" t="s">
        <v>5</v>
      </c>
      <c r="C18" s="255"/>
      <c r="D18" s="255"/>
      <c r="E18" s="255"/>
      <c r="F18" s="255"/>
      <c r="G18" s="255"/>
      <c r="H18" s="255"/>
      <c r="I18" s="255"/>
      <c r="J18" s="255"/>
      <c r="K18" s="255"/>
      <c r="L18" s="255"/>
      <c r="M18" s="255"/>
      <c r="N18" s="255"/>
      <c r="O18" s="255"/>
      <c r="P18" s="255"/>
      <c r="Q18" s="255"/>
      <c r="R18" s="255"/>
      <c r="S18" s="255"/>
      <c r="T18" s="255"/>
      <c r="U18" s="255"/>
      <c r="V18" s="279">
        <v>40437</v>
      </c>
      <c r="W18" s="255"/>
      <c r="X18" s="5"/>
    </row>
    <row r="19" spans="1:24" ht="15.75" x14ac:dyDescent="0.25">
      <c r="A19" s="181"/>
      <c r="B19" s="183"/>
      <c r="C19" s="183"/>
      <c r="D19" s="183"/>
      <c r="E19" s="183"/>
      <c r="F19" s="183"/>
      <c r="G19" s="183"/>
      <c r="H19" s="183"/>
      <c r="I19" s="183"/>
      <c r="J19" s="183"/>
      <c r="K19" s="183"/>
      <c r="L19" s="183"/>
      <c r="M19" s="183"/>
      <c r="N19" s="183"/>
      <c r="O19" s="183"/>
      <c r="P19" s="183"/>
      <c r="Q19" s="183"/>
      <c r="R19" s="183"/>
      <c r="S19" s="183"/>
      <c r="T19" s="183"/>
      <c r="U19" s="183"/>
      <c r="V19" s="190"/>
      <c r="W19" s="183"/>
      <c r="X19" s="5"/>
    </row>
    <row r="20" spans="1:24" ht="15.75" x14ac:dyDescent="0.25">
      <c r="A20" s="181"/>
      <c r="B20" s="280" t="s">
        <v>6</v>
      </c>
      <c r="C20" s="255"/>
      <c r="D20" s="255"/>
      <c r="E20" s="255"/>
      <c r="F20" s="255"/>
      <c r="G20" s="255"/>
      <c r="H20" s="255"/>
      <c r="I20" s="255"/>
      <c r="J20" s="255"/>
      <c r="K20" s="255"/>
      <c r="L20" s="255"/>
      <c r="M20" s="255"/>
      <c r="N20" s="255"/>
      <c r="O20" s="255"/>
      <c r="P20" s="255"/>
      <c r="Q20" s="255"/>
      <c r="R20" s="255"/>
      <c r="S20" s="255"/>
      <c r="T20" s="281" t="s">
        <v>105</v>
      </c>
      <c r="U20" s="255"/>
      <c r="V20" s="261"/>
      <c r="W20" s="183"/>
      <c r="X20" s="5"/>
    </row>
    <row r="21" spans="1:24" ht="15.75" x14ac:dyDescent="0.25">
      <c r="A21" s="181"/>
      <c r="B21" s="183"/>
      <c r="C21" s="183"/>
      <c r="D21" s="183"/>
      <c r="E21" s="183"/>
      <c r="F21" s="183"/>
      <c r="G21" s="183"/>
      <c r="H21" s="183"/>
      <c r="I21" s="183"/>
      <c r="J21" s="183"/>
      <c r="K21" s="183"/>
      <c r="L21" s="183"/>
      <c r="M21" s="183"/>
      <c r="N21" s="183"/>
      <c r="O21" s="183"/>
      <c r="P21" s="183"/>
      <c r="Q21" s="183"/>
      <c r="R21" s="183"/>
      <c r="S21" s="183"/>
      <c r="T21" s="183"/>
      <c r="U21" s="183"/>
      <c r="V21" s="192"/>
      <c r="W21" s="183"/>
      <c r="X21" s="5"/>
    </row>
    <row r="22" spans="1:24" ht="15.75" x14ac:dyDescent="0.25">
      <c r="A22" s="224"/>
      <c r="B22" s="225"/>
      <c r="C22" s="226"/>
      <c r="D22" s="226" t="s">
        <v>177</v>
      </c>
      <c r="E22" s="226"/>
      <c r="F22" s="226" t="s">
        <v>178</v>
      </c>
      <c r="G22" s="226"/>
      <c r="H22" s="226" t="s">
        <v>179</v>
      </c>
      <c r="I22" s="226"/>
      <c r="J22" s="226" t="s">
        <v>219</v>
      </c>
      <c r="K22" s="226"/>
      <c r="L22" s="226" t="s">
        <v>180</v>
      </c>
      <c r="M22" s="226"/>
      <c r="N22" s="226" t="s">
        <v>181</v>
      </c>
      <c r="O22" s="226"/>
      <c r="P22" s="226" t="s">
        <v>182</v>
      </c>
      <c r="Q22" s="226"/>
      <c r="R22" s="226"/>
      <c r="S22" s="227"/>
      <c r="T22" s="228"/>
      <c r="U22" s="229"/>
      <c r="V22" s="229"/>
      <c r="W22" s="225"/>
      <c r="X22" s="5"/>
    </row>
    <row r="23" spans="1:24" ht="15.75" x14ac:dyDescent="0.25">
      <c r="A23" s="193"/>
      <c r="B23" s="250" t="s">
        <v>7</v>
      </c>
      <c r="C23" s="282"/>
      <c r="D23" s="282" t="s">
        <v>212</v>
      </c>
      <c r="E23" s="282"/>
      <c r="F23" s="282" t="s">
        <v>141</v>
      </c>
      <c r="G23" s="282"/>
      <c r="H23" s="282" t="s">
        <v>141</v>
      </c>
      <c r="I23" s="282"/>
      <c r="J23" s="282" t="s">
        <v>141</v>
      </c>
      <c r="K23" s="282"/>
      <c r="L23" s="282" t="s">
        <v>183</v>
      </c>
      <c r="M23" s="282"/>
      <c r="N23" s="282" t="s">
        <v>183</v>
      </c>
      <c r="O23" s="282"/>
      <c r="P23" s="282" t="s">
        <v>142</v>
      </c>
      <c r="Q23" s="282"/>
      <c r="R23" s="282"/>
      <c r="S23" s="282"/>
      <c r="T23" s="282"/>
      <c r="U23" s="273"/>
      <c r="V23" s="273"/>
      <c r="W23" s="250"/>
      <c r="X23" s="5"/>
    </row>
    <row r="24" spans="1:24" ht="15.75" x14ac:dyDescent="0.25">
      <c r="A24" s="285"/>
      <c r="B24" s="286" t="s">
        <v>8</v>
      </c>
      <c r="C24" s="287"/>
      <c r="D24" s="287" t="s">
        <v>213</v>
      </c>
      <c r="E24" s="287"/>
      <c r="F24" s="287" t="s">
        <v>143</v>
      </c>
      <c r="G24" s="287"/>
      <c r="H24" s="287" t="s">
        <v>143</v>
      </c>
      <c r="I24" s="287"/>
      <c r="J24" s="287" t="s">
        <v>143</v>
      </c>
      <c r="K24" s="287"/>
      <c r="L24" s="287" t="s">
        <v>165</v>
      </c>
      <c r="M24" s="287"/>
      <c r="N24" s="287" t="s">
        <v>165</v>
      </c>
      <c r="O24" s="287"/>
      <c r="P24" s="287" t="s">
        <v>144</v>
      </c>
      <c r="Q24" s="287"/>
      <c r="R24" s="287"/>
      <c r="S24" s="287"/>
      <c r="T24" s="287"/>
      <c r="U24" s="288"/>
      <c r="V24" s="288"/>
      <c r="W24" s="289"/>
      <c r="X24" s="5"/>
    </row>
    <row r="25" spans="1:24" ht="15.75" x14ac:dyDescent="0.25">
      <c r="A25" s="290"/>
      <c r="B25" s="291" t="s">
        <v>190</v>
      </c>
      <c r="C25" s="292"/>
      <c r="D25" s="287" t="s">
        <v>214</v>
      </c>
      <c r="E25" s="287"/>
      <c r="F25" s="287" t="s">
        <v>143</v>
      </c>
      <c r="G25" s="287"/>
      <c r="H25" s="287" t="s">
        <v>143</v>
      </c>
      <c r="I25" s="287"/>
      <c r="J25" s="287" t="s">
        <v>143</v>
      </c>
      <c r="K25" s="287"/>
      <c r="L25" s="287" t="s">
        <v>165</v>
      </c>
      <c r="M25" s="287"/>
      <c r="N25" s="287" t="s">
        <v>165</v>
      </c>
      <c r="O25" s="287"/>
      <c r="P25" s="287" t="s">
        <v>144</v>
      </c>
      <c r="Q25" s="287"/>
      <c r="R25" s="287"/>
      <c r="S25" s="292"/>
      <c r="T25" s="287"/>
      <c r="U25" s="288"/>
      <c r="V25" s="288"/>
      <c r="W25" s="289"/>
      <c r="X25" s="5"/>
    </row>
    <row r="26" spans="1:24" ht="15.75" x14ac:dyDescent="0.25">
      <c r="A26" s="293"/>
      <c r="B26" s="294" t="s">
        <v>9</v>
      </c>
      <c r="C26" s="292"/>
      <c r="D26" s="292" t="s">
        <v>141</v>
      </c>
      <c r="E26" s="292"/>
      <c r="F26" s="292" t="s">
        <v>141</v>
      </c>
      <c r="G26" s="292"/>
      <c r="H26" s="292" t="s">
        <v>141</v>
      </c>
      <c r="I26" s="292"/>
      <c r="J26" s="292" t="s">
        <v>141</v>
      </c>
      <c r="K26" s="292"/>
      <c r="L26" s="292" t="s">
        <v>183</v>
      </c>
      <c r="M26" s="292"/>
      <c r="N26" s="292" t="s">
        <v>183</v>
      </c>
      <c r="O26" s="292"/>
      <c r="P26" s="292" t="s">
        <v>142</v>
      </c>
      <c r="Q26" s="292"/>
      <c r="R26" s="292"/>
      <c r="S26" s="292"/>
      <c r="T26" s="287"/>
      <c r="U26" s="288"/>
      <c r="V26" s="288"/>
      <c r="W26" s="289"/>
      <c r="X26" s="5"/>
    </row>
    <row r="27" spans="1:24" ht="15.75" x14ac:dyDescent="0.25">
      <c r="A27" s="295"/>
      <c r="B27" s="294" t="s">
        <v>191</v>
      </c>
      <c r="C27" s="287"/>
      <c r="D27" s="292" t="s">
        <v>143</v>
      </c>
      <c r="E27" s="292"/>
      <c r="F27" s="292" t="s">
        <v>143</v>
      </c>
      <c r="G27" s="292"/>
      <c r="H27" s="292" t="s">
        <v>143</v>
      </c>
      <c r="I27" s="292"/>
      <c r="J27" s="292" t="s">
        <v>143</v>
      </c>
      <c r="K27" s="292"/>
      <c r="L27" s="292" t="s">
        <v>165</v>
      </c>
      <c r="M27" s="292"/>
      <c r="N27" s="292" t="s">
        <v>165</v>
      </c>
      <c r="O27" s="292"/>
      <c r="P27" s="292" t="s">
        <v>144</v>
      </c>
      <c r="Q27" s="292"/>
      <c r="R27" s="292"/>
      <c r="S27" s="287"/>
      <c r="T27" s="296"/>
      <c r="U27" s="288"/>
      <c r="V27" s="288"/>
      <c r="W27" s="289"/>
      <c r="X27" s="5"/>
    </row>
    <row r="28" spans="1:24" ht="15.75" x14ac:dyDescent="0.25">
      <c r="A28" s="295"/>
      <c r="B28" s="297" t="s">
        <v>192</v>
      </c>
      <c r="C28" s="287"/>
      <c r="D28" s="292" t="s">
        <v>143</v>
      </c>
      <c r="E28" s="292"/>
      <c r="F28" s="292" t="s">
        <v>143</v>
      </c>
      <c r="G28" s="292"/>
      <c r="H28" s="292" t="s">
        <v>143</v>
      </c>
      <c r="I28" s="292"/>
      <c r="J28" s="292" t="s">
        <v>143</v>
      </c>
      <c r="K28" s="292"/>
      <c r="L28" s="292" t="s">
        <v>165</v>
      </c>
      <c r="M28" s="292"/>
      <c r="N28" s="292" t="s">
        <v>165</v>
      </c>
      <c r="O28" s="292"/>
      <c r="P28" s="292" t="s">
        <v>144</v>
      </c>
      <c r="Q28" s="292"/>
      <c r="R28" s="292"/>
      <c r="S28" s="287"/>
      <c r="T28" s="296"/>
      <c r="U28" s="288"/>
      <c r="V28" s="288"/>
      <c r="W28" s="289"/>
      <c r="X28" s="5"/>
    </row>
    <row r="29" spans="1:24" ht="15.75" x14ac:dyDescent="0.25">
      <c r="A29" s="295"/>
      <c r="B29" s="286" t="s">
        <v>10</v>
      </c>
      <c r="C29" s="298"/>
      <c r="D29" s="287" t="s">
        <v>242</v>
      </c>
      <c r="E29" s="287"/>
      <c r="F29" s="296" t="s">
        <v>244</v>
      </c>
      <c r="G29" s="287"/>
      <c r="H29" s="287" t="s">
        <v>245</v>
      </c>
      <c r="I29" s="287"/>
      <c r="J29" s="287" t="s">
        <v>247</v>
      </c>
      <c r="K29" s="287"/>
      <c r="L29" s="287" t="s">
        <v>248</v>
      </c>
      <c r="M29" s="287"/>
      <c r="N29" s="287" t="s">
        <v>249</v>
      </c>
      <c r="O29" s="287"/>
      <c r="P29" s="287" t="s">
        <v>250</v>
      </c>
      <c r="Q29" s="287"/>
      <c r="R29" s="287"/>
      <c r="S29" s="299"/>
      <c r="T29" s="299"/>
      <c r="U29" s="300"/>
      <c r="V29" s="299"/>
      <c r="W29" s="301"/>
      <c r="X29" s="5"/>
    </row>
    <row r="30" spans="1:24" ht="15.75" x14ac:dyDescent="0.25">
      <c r="A30" s="295"/>
      <c r="B30" s="286" t="s">
        <v>10</v>
      </c>
      <c r="C30" s="298"/>
      <c r="D30" s="287" t="s">
        <v>243</v>
      </c>
      <c r="E30" s="287"/>
      <c r="F30" s="296" t="s">
        <v>118</v>
      </c>
      <c r="G30" s="287"/>
      <c r="H30" s="287" t="s">
        <v>118</v>
      </c>
      <c r="I30" s="287"/>
      <c r="J30" s="287" t="s">
        <v>246</v>
      </c>
      <c r="K30" s="287"/>
      <c r="L30" s="287" t="s">
        <v>118</v>
      </c>
      <c r="M30" s="287"/>
      <c r="N30" s="287" t="s">
        <v>118</v>
      </c>
      <c r="O30" s="287"/>
      <c r="P30" s="287" t="s">
        <v>118</v>
      </c>
      <c r="Q30" s="287"/>
      <c r="R30" s="287"/>
      <c r="S30" s="299"/>
      <c r="T30" s="299"/>
      <c r="U30" s="300"/>
      <c r="V30" s="299"/>
      <c r="W30" s="301"/>
      <c r="X30" s="5"/>
    </row>
    <row r="31" spans="1:24" ht="15.75" x14ac:dyDescent="0.25">
      <c r="A31" s="293"/>
      <c r="B31" s="286" t="s">
        <v>133</v>
      </c>
      <c r="C31" s="302"/>
      <c r="D31" s="303">
        <v>1000000</v>
      </c>
      <c r="E31" s="298"/>
      <c r="F31" s="299">
        <v>209500</v>
      </c>
      <c r="G31" s="299"/>
      <c r="H31" s="304">
        <v>110000</v>
      </c>
      <c r="I31" s="304"/>
      <c r="J31" s="303">
        <v>150000</v>
      </c>
      <c r="K31" s="299"/>
      <c r="L31" s="299">
        <v>17000</v>
      </c>
      <c r="M31" s="299"/>
      <c r="N31" s="304">
        <v>85500</v>
      </c>
      <c r="O31" s="299"/>
      <c r="P31" s="304">
        <v>110500</v>
      </c>
      <c r="Q31" s="299"/>
      <c r="R31" s="304"/>
      <c r="S31" s="305"/>
      <c r="T31" s="305"/>
      <c r="U31" s="306"/>
      <c r="V31" s="305"/>
      <c r="W31" s="301"/>
      <c r="X31" s="5"/>
    </row>
    <row r="32" spans="1:24" ht="15.75" x14ac:dyDescent="0.25">
      <c r="A32" s="295"/>
      <c r="B32" s="286" t="s">
        <v>132</v>
      </c>
      <c r="C32" s="298"/>
      <c r="D32" s="303">
        <f>D31*D38</f>
        <v>835857.79999999993</v>
      </c>
      <c r="E32" s="298"/>
      <c r="F32" s="299">
        <f>F31*F38</f>
        <v>175112.33480000001</v>
      </c>
      <c r="G32" s="299"/>
      <c r="H32" s="304">
        <f>H31*H38</f>
        <v>91944.775999999998</v>
      </c>
      <c r="I32" s="304"/>
      <c r="J32" s="303">
        <f>J31*J38</f>
        <v>125378.67</v>
      </c>
      <c r="K32" s="299"/>
      <c r="L32" s="299">
        <f>L31*L38</f>
        <v>17000</v>
      </c>
      <c r="M32" s="299"/>
      <c r="N32" s="304">
        <f>N31*N38</f>
        <v>85500</v>
      </c>
      <c r="O32" s="299"/>
      <c r="P32" s="304">
        <f>P31*P38</f>
        <v>110500</v>
      </c>
      <c r="Q32" s="299"/>
      <c r="R32" s="304"/>
      <c r="S32" s="299"/>
      <c r="T32" s="299"/>
      <c r="U32" s="300"/>
      <c r="V32" s="299"/>
      <c r="W32" s="301"/>
      <c r="X32" s="5"/>
    </row>
    <row r="33" spans="1:27" ht="15.75" x14ac:dyDescent="0.25">
      <c r="A33" s="295"/>
      <c r="B33" s="294" t="s">
        <v>134</v>
      </c>
      <c r="C33" s="298"/>
      <c r="D33" s="307">
        <f>D37*D31</f>
        <v>827677.7</v>
      </c>
      <c r="E33" s="302"/>
      <c r="F33" s="305">
        <f>F37*F31</f>
        <v>173398.62480000002</v>
      </c>
      <c r="G33" s="305"/>
      <c r="H33" s="308">
        <f>H31*H37</f>
        <v>91044.975999999995</v>
      </c>
      <c r="I33" s="308"/>
      <c r="J33" s="307">
        <f>J37*J31</f>
        <v>124151.655</v>
      </c>
      <c r="K33" s="305"/>
      <c r="L33" s="305">
        <f>L31*L37</f>
        <v>17000</v>
      </c>
      <c r="M33" s="305"/>
      <c r="N33" s="308">
        <f>N31*N37</f>
        <v>85500</v>
      </c>
      <c r="O33" s="305"/>
      <c r="P33" s="308">
        <f>P31*P37</f>
        <v>110500</v>
      </c>
      <c r="Q33" s="305"/>
      <c r="R33" s="308"/>
      <c r="S33" s="299"/>
      <c r="T33" s="299"/>
      <c r="U33" s="300"/>
      <c r="V33" s="299"/>
      <c r="W33" s="301"/>
      <c r="X33" s="5"/>
    </row>
    <row r="34" spans="1:27" ht="15.75" x14ac:dyDescent="0.25">
      <c r="A34" s="293"/>
      <c r="B34" s="286" t="s">
        <v>286</v>
      </c>
      <c r="C34" s="302"/>
      <c r="D34" s="299">
        <v>492951</v>
      </c>
      <c r="E34" s="298"/>
      <c r="F34" s="299">
        <v>209500</v>
      </c>
      <c r="G34" s="299"/>
      <c r="H34" s="299">
        <v>74677</v>
      </c>
      <c r="I34" s="299"/>
      <c r="J34" s="299">
        <v>73943</v>
      </c>
      <c r="K34" s="299"/>
      <c r="L34" s="299">
        <v>17000</v>
      </c>
      <c r="M34" s="299"/>
      <c r="N34" s="299">
        <v>58045</v>
      </c>
      <c r="O34" s="299"/>
      <c r="P34" s="299">
        <v>75017</v>
      </c>
      <c r="Q34" s="299"/>
      <c r="R34" s="299"/>
      <c r="S34" s="305"/>
      <c r="T34" s="305"/>
      <c r="U34" s="306"/>
      <c r="V34" s="309">
        <f>SUM(C34:R34)</f>
        <v>1001133</v>
      </c>
      <c r="W34" s="301"/>
      <c r="X34" s="5"/>
    </row>
    <row r="35" spans="1:27" ht="15.75" x14ac:dyDescent="0.25">
      <c r="A35" s="293"/>
      <c r="B35" s="286" t="s">
        <v>287</v>
      </c>
      <c r="C35" s="310"/>
      <c r="D35" s="299">
        <f>D34*D38</f>
        <v>412036.93836779997</v>
      </c>
      <c r="E35" s="298"/>
      <c r="F35" s="299">
        <f>F34*F38</f>
        <v>175112.33480000001</v>
      </c>
      <c r="G35" s="299"/>
      <c r="H35" s="299">
        <f>H34*H38</f>
        <v>62419.636703199998</v>
      </c>
      <c r="I35" s="299"/>
      <c r="J35" s="299">
        <f>J34*J38</f>
        <v>61805.833305399996</v>
      </c>
      <c r="K35" s="299"/>
      <c r="L35" s="299">
        <f>L34*L38</f>
        <v>17000</v>
      </c>
      <c r="M35" s="299"/>
      <c r="N35" s="299">
        <f>N34*N38</f>
        <v>58045</v>
      </c>
      <c r="O35" s="299"/>
      <c r="P35" s="299">
        <f>P34*P38</f>
        <v>75017</v>
      </c>
      <c r="Q35" s="299"/>
      <c r="R35" s="299"/>
      <c r="S35" s="299"/>
      <c r="T35" s="299"/>
      <c r="U35" s="300"/>
      <c r="V35" s="309">
        <f>SUM(C35:R35)</f>
        <v>861436.74317639985</v>
      </c>
      <c r="W35" s="301"/>
      <c r="X35" s="5"/>
    </row>
    <row r="36" spans="1:27" ht="15.75" x14ac:dyDescent="0.25">
      <c r="A36" s="293"/>
      <c r="B36" s="294" t="s">
        <v>288</v>
      </c>
      <c r="C36" s="310"/>
      <c r="D36" s="305">
        <f>D34*D37</f>
        <v>408004.54989269999</v>
      </c>
      <c r="E36" s="302"/>
      <c r="F36" s="305">
        <f>F34*F37</f>
        <v>173398.62480000002</v>
      </c>
      <c r="G36" s="305"/>
      <c r="H36" s="305">
        <f>H34*H37</f>
        <v>61808.778843200002</v>
      </c>
      <c r="I36" s="305"/>
      <c r="J36" s="305">
        <f>J34*J37</f>
        <v>61200.972171099995</v>
      </c>
      <c r="K36" s="305"/>
      <c r="L36" s="305">
        <f>L34*L37</f>
        <v>17000</v>
      </c>
      <c r="M36" s="305"/>
      <c r="N36" s="305">
        <f>N34*N37</f>
        <v>58045</v>
      </c>
      <c r="O36" s="305"/>
      <c r="P36" s="305">
        <f>P34*P37</f>
        <v>75017</v>
      </c>
      <c r="Q36" s="305"/>
      <c r="R36" s="305"/>
      <c r="S36" s="311"/>
      <c r="T36" s="311"/>
      <c r="U36" s="300"/>
      <c r="V36" s="312">
        <f>SUM(C36:R36)</f>
        <v>854474.92570699996</v>
      </c>
      <c r="W36" s="301"/>
      <c r="X36" s="5"/>
    </row>
    <row r="37" spans="1:27" ht="15.75" x14ac:dyDescent="0.25">
      <c r="A37" s="285"/>
      <c r="B37" s="313" t="s">
        <v>130</v>
      </c>
      <c r="C37" s="314"/>
      <c r="D37" s="315">
        <v>0.82767769999999996</v>
      </c>
      <c r="E37" s="315"/>
      <c r="F37" s="315">
        <v>0.82767840000000004</v>
      </c>
      <c r="G37" s="315"/>
      <c r="H37" s="315">
        <v>0.82768160000000002</v>
      </c>
      <c r="I37" s="315"/>
      <c r="J37" s="315">
        <v>0.82767769999999996</v>
      </c>
      <c r="K37" s="315"/>
      <c r="L37" s="315">
        <v>1</v>
      </c>
      <c r="M37" s="315"/>
      <c r="N37" s="315">
        <v>1</v>
      </c>
      <c r="O37" s="315"/>
      <c r="P37" s="315">
        <v>1</v>
      </c>
      <c r="Q37" s="315"/>
      <c r="R37" s="315"/>
      <c r="S37" s="316"/>
      <c r="T37" s="316"/>
      <c r="U37" s="317"/>
      <c r="V37" s="317"/>
      <c r="W37" s="318"/>
      <c r="X37" s="5"/>
    </row>
    <row r="38" spans="1:27" ht="15.75" x14ac:dyDescent="0.25">
      <c r="A38" s="285"/>
      <c r="B38" s="313" t="s">
        <v>131</v>
      </c>
      <c r="C38" s="314"/>
      <c r="D38" s="315">
        <v>0.83585779999999998</v>
      </c>
      <c r="E38" s="315"/>
      <c r="F38" s="315">
        <v>0.8358584</v>
      </c>
      <c r="G38" s="315"/>
      <c r="H38" s="315">
        <v>0.83586159999999998</v>
      </c>
      <c r="I38" s="315"/>
      <c r="J38" s="315">
        <v>0.83585779999999998</v>
      </c>
      <c r="K38" s="315"/>
      <c r="L38" s="315">
        <v>1</v>
      </c>
      <c r="M38" s="315"/>
      <c r="N38" s="315">
        <v>1</v>
      </c>
      <c r="O38" s="315"/>
      <c r="P38" s="315">
        <v>1</v>
      </c>
      <c r="Q38" s="315"/>
      <c r="R38" s="315"/>
      <c r="S38" s="319"/>
      <c r="T38" s="320"/>
      <c r="U38" s="317"/>
      <c r="V38" s="319"/>
      <c r="W38" s="318"/>
      <c r="X38" s="5"/>
    </row>
    <row r="39" spans="1:27" ht="15.75" x14ac:dyDescent="0.25">
      <c r="A39" s="285"/>
      <c r="B39" s="286" t="s">
        <v>11</v>
      </c>
      <c r="C39" s="286"/>
      <c r="D39" s="296" t="s">
        <v>278</v>
      </c>
      <c r="E39" s="286"/>
      <c r="F39" s="296" t="s">
        <v>251</v>
      </c>
      <c r="G39" s="296"/>
      <c r="H39" s="296" t="s">
        <v>252</v>
      </c>
      <c r="I39" s="296"/>
      <c r="J39" s="296" t="s">
        <v>253</v>
      </c>
      <c r="K39" s="296"/>
      <c r="L39" s="296" t="s">
        <v>254</v>
      </c>
      <c r="M39" s="296"/>
      <c r="N39" s="296" t="s">
        <v>254</v>
      </c>
      <c r="O39" s="296"/>
      <c r="P39" s="296" t="s">
        <v>255</v>
      </c>
      <c r="Q39" s="296"/>
      <c r="R39" s="296"/>
      <c r="S39" s="321"/>
      <c r="T39" s="322"/>
      <c r="U39" s="288"/>
      <c r="V39" s="288"/>
      <c r="W39" s="289"/>
      <c r="X39" s="5"/>
    </row>
    <row r="40" spans="1:27" ht="15.75" x14ac:dyDescent="0.25">
      <c r="A40" s="285"/>
      <c r="B40" s="286" t="s">
        <v>12</v>
      </c>
      <c r="C40" s="286"/>
      <c r="D40" s="322">
        <v>3.6594000000000002E-3</v>
      </c>
      <c r="E40" s="286"/>
      <c r="F40" s="322">
        <v>8.6E-3</v>
      </c>
      <c r="G40" s="321"/>
      <c r="H40" s="322">
        <v>8.3899999999999999E-3</v>
      </c>
      <c r="I40" s="322"/>
      <c r="J40" s="322">
        <v>6.4706E-3</v>
      </c>
      <c r="K40" s="321"/>
      <c r="L40" s="322">
        <v>0.01</v>
      </c>
      <c r="M40" s="321"/>
      <c r="N40" s="322">
        <v>9.8899999999999995E-3</v>
      </c>
      <c r="O40" s="321"/>
      <c r="P40" s="322">
        <v>1.269E-2</v>
      </c>
      <c r="Q40" s="321"/>
      <c r="R40" s="322"/>
      <c r="S40" s="321"/>
      <c r="T40" s="322"/>
      <c r="U40" s="288"/>
      <c r="V40" s="296"/>
      <c r="W40" s="289"/>
      <c r="X40" s="5"/>
      <c r="AA40" s="1" t="s">
        <v>193</v>
      </c>
    </row>
    <row r="41" spans="1:27" ht="15.75" x14ac:dyDescent="0.25">
      <c r="A41" s="285"/>
      <c r="B41" s="286" t="s">
        <v>13</v>
      </c>
      <c r="C41" s="286"/>
      <c r="D41" s="322">
        <v>4.2687999999999997E-3</v>
      </c>
      <c r="E41" s="286"/>
      <c r="F41" s="322">
        <v>7.7499999999999999E-3</v>
      </c>
      <c r="G41" s="321"/>
      <c r="H41" s="322">
        <v>7.7000000000000002E-3</v>
      </c>
      <c r="I41" s="322"/>
      <c r="J41" s="322">
        <v>3.6703E-3</v>
      </c>
      <c r="K41" s="321"/>
      <c r="L41" s="322">
        <v>9.1500000000000001E-3</v>
      </c>
      <c r="M41" s="321"/>
      <c r="N41" s="322">
        <v>9.1999999999999998E-3</v>
      </c>
      <c r="O41" s="321"/>
      <c r="P41" s="322">
        <v>1.2E-2</v>
      </c>
      <c r="Q41" s="321"/>
      <c r="R41" s="322"/>
      <c r="S41" s="321"/>
      <c r="T41" s="322"/>
      <c r="U41" s="288"/>
      <c r="V41" s="321" t="s">
        <v>193</v>
      </c>
      <c r="W41" s="289"/>
      <c r="X41" s="5"/>
    </row>
    <row r="42" spans="1:27" ht="15.75" x14ac:dyDescent="0.25">
      <c r="A42" s="285"/>
      <c r="B42" s="286" t="s">
        <v>289</v>
      </c>
      <c r="C42" s="286"/>
      <c r="D42" s="296" t="s">
        <v>279</v>
      </c>
      <c r="E42" s="286"/>
      <c r="F42" s="296" t="s">
        <v>251</v>
      </c>
      <c r="G42" s="296"/>
      <c r="H42" s="296" t="s">
        <v>229</v>
      </c>
      <c r="I42" s="296"/>
      <c r="J42" s="296" t="s">
        <v>229</v>
      </c>
      <c r="K42" s="296"/>
      <c r="L42" s="296" t="s">
        <v>254</v>
      </c>
      <c r="M42" s="296"/>
      <c r="N42" s="296" t="s">
        <v>262</v>
      </c>
      <c r="O42" s="296"/>
      <c r="P42" s="296" t="s">
        <v>263</v>
      </c>
      <c r="Q42" s="296"/>
      <c r="R42" s="296"/>
      <c r="S42" s="321"/>
      <c r="T42" s="322"/>
      <c r="U42" s="288"/>
      <c r="V42" s="288"/>
      <c r="W42" s="289"/>
      <c r="X42" s="5"/>
    </row>
    <row r="43" spans="1:27" ht="15.75" x14ac:dyDescent="0.25">
      <c r="A43" s="285"/>
      <c r="B43" s="286" t="s">
        <v>290</v>
      </c>
      <c r="C43" s="323"/>
      <c r="D43" s="322">
        <v>8.3919500000000005E-3</v>
      </c>
      <c r="E43" s="322"/>
      <c r="F43" s="322">
        <f>+F40</f>
        <v>8.6E-3</v>
      </c>
      <c r="G43" s="322"/>
      <c r="H43" s="322">
        <v>8.6750000000000004E-3</v>
      </c>
      <c r="I43" s="322"/>
      <c r="J43" s="322">
        <v>8.6899999999999998E-3</v>
      </c>
      <c r="K43" s="322"/>
      <c r="L43" s="322">
        <f>+L40</f>
        <v>0.01</v>
      </c>
      <c r="M43" s="322"/>
      <c r="N43" s="322">
        <v>1.0366999999999999E-2</v>
      </c>
      <c r="O43" s="322"/>
      <c r="P43" s="322">
        <v>1.3447000000000001E-2</v>
      </c>
      <c r="Q43" s="321"/>
      <c r="R43" s="322"/>
      <c r="S43" s="296"/>
      <c r="T43" s="296"/>
      <c r="U43" s="288"/>
      <c r="V43" s="321">
        <f>SUMPRODUCT(D43:R43,D35:R35)/V35</f>
        <v>9.0811643222860877E-3</v>
      </c>
      <c r="W43" s="289"/>
      <c r="X43" s="5"/>
    </row>
    <row r="44" spans="1:27" ht="15.75" x14ac:dyDescent="0.25">
      <c r="A44" s="285"/>
      <c r="B44" s="286" t="s">
        <v>291</v>
      </c>
      <c r="C44" s="323"/>
      <c r="D44" s="322">
        <v>7.5419500000000004E-3</v>
      </c>
      <c r="E44" s="322"/>
      <c r="F44" s="322">
        <f>+F41</f>
        <v>7.7499999999999999E-3</v>
      </c>
      <c r="G44" s="322"/>
      <c r="H44" s="322">
        <v>7.8250000000000004E-3</v>
      </c>
      <c r="I44" s="322"/>
      <c r="J44" s="322">
        <v>7.8399999999999997E-3</v>
      </c>
      <c r="K44" s="322"/>
      <c r="L44" s="322">
        <f>+L41</f>
        <v>9.1500000000000001E-3</v>
      </c>
      <c r="M44" s="322"/>
      <c r="N44" s="322">
        <v>9.5169999999999994E-3</v>
      </c>
      <c r="O44" s="322"/>
      <c r="P44" s="322">
        <v>1.2597000000000001E-2</v>
      </c>
      <c r="Q44" s="321"/>
      <c r="R44" s="322"/>
      <c r="S44" s="296"/>
      <c r="T44" s="296"/>
      <c r="U44" s="288"/>
      <c r="V44" s="288"/>
      <c r="W44" s="289"/>
      <c r="X44" s="5"/>
    </row>
    <row r="45" spans="1:27" ht="15.75" x14ac:dyDescent="0.25">
      <c r="A45" s="285"/>
      <c r="B45" s="286" t="s">
        <v>14</v>
      </c>
      <c r="C45" s="286"/>
      <c r="D45" s="323">
        <v>40709</v>
      </c>
      <c r="E45" s="323"/>
      <c r="F45" s="323">
        <v>40709</v>
      </c>
      <c r="G45" s="323"/>
      <c r="H45" s="323">
        <v>40709</v>
      </c>
      <c r="I45" s="323"/>
      <c r="J45" s="323">
        <v>40709</v>
      </c>
      <c r="K45" s="323"/>
      <c r="L45" s="323">
        <v>40709</v>
      </c>
      <c r="M45" s="323"/>
      <c r="N45" s="323">
        <v>40709</v>
      </c>
      <c r="O45" s="323"/>
      <c r="P45" s="323">
        <v>40709</v>
      </c>
      <c r="Q45" s="323"/>
      <c r="R45" s="323"/>
      <c r="S45" s="296"/>
      <c r="T45" s="296"/>
      <c r="U45" s="288"/>
      <c r="V45" s="288"/>
      <c r="W45" s="289"/>
      <c r="X45" s="5"/>
    </row>
    <row r="46" spans="1:27" ht="15.75" x14ac:dyDescent="0.25">
      <c r="A46" s="285"/>
      <c r="B46" s="286" t="s">
        <v>15</v>
      </c>
      <c r="C46" s="286"/>
      <c r="D46" s="323" t="s">
        <v>118</v>
      </c>
      <c r="E46" s="323"/>
      <c r="F46" s="323">
        <v>41075</v>
      </c>
      <c r="G46" s="323"/>
      <c r="H46" s="323">
        <v>41075</v>
      </c>
      <c r="I46" s="323"/>
      <c r="J46" s="323">
        <v>41075</v>
      </c>
      <c r="K46" s="296"/>
      <c r="L46" s="323">
        <v>41075</v>
      </c>
      <c r="M46" s="296"/>
      <c r="N46" s="323">
        <v>41075</v>
      </c>
      <c r="O46" s="296"/>
      <c r="P46" s="323">
        <v>41075</v>
      </c>
      <c r="Q46" s="296"/>
      <c r="R46" s="323"/>
      <c r="S46" s="296"/>
      <c r="T46" s="296"/>
      <c r="U46" s="288"/>
      <c r="V46" s="288"/>
      <c r="W46" s="289"/>
      <c r="X46" s="5"/>
    </row>
    <row r="47" spans="1:27" ht="15.75" x14ac:dyDescent="0.25">
      <c r="A47" s="285"/>
      <c r="B47" s="286" t="s">
        <v>119</v>
      </c>
      <c r="C47" s="286"/>
      <c r="D47" s="324" t="s">
        <v>118</v>
      </c>
      <c r="E47" s="286"/>
      <c r="F47" s="296" t="s">
        <v>256</v>
      </c>
      <c r="G47" s="296"/>
      <c r="H47" s="296" t="s">
        <v>257</v>
      </c>
      <c r="I47" s="296"/>
      <c r="J47" s="296" t="s">
        <v>258</v>
      </c>
      <c r="K47" s="296"/>
      <c r="L47" s="296" t="s">
        <v>259</v>
      </c>
      <c r="M47" s="296"/>
      <c r="N47" s="296" t="s">
        <v>259</v>
      </c>
      <c r="O47" s="296"/>
      <c r="P47" s="296" t="s">
        <v>260</v>
      </c>
      <c r="Q47" s="296"/>
      <c r="R47" s="296"/>
      <c r="S47" s="325"/>
      <c r="T47" s="325"/>
      <c r="U47" s="325"/>
      <c r="V47" s="325"/>
      <c r="W47" s="289"/>
      <c r="X47" s="5"/>
    </row>
    <row r="48" spans="1:27" ht="15.75" x14ac:dyDescent="0.25">
      <c r="A48" s="285"/>
      <c r="B48" s="286" t="s">
        <v>292</v>
      </c>
      <c r="C48" s="286"/>
      <c r="D48" s="296" t="s">
        <v>200</v>
      </c>
      <c r="E48" s="286"/>
      <c r="F48" s="296" t="s">
        <v>256</v>
      </c>
      <c r="G48" s="296"/>
      <c r="H48" s="296" t="s">
        <v>261</v>
      </c>
      <c r="I48" s="296"/>
      <c r="J48" s="296" t="s">
        <v>261</v>
      </c>
      <c r="K48" s="296"/>
      <c r="L48" s="296" t="s">
        <v>259</v>
      </c>
      <c r="M48" s="296"/>
      <c r="N48" s="296" t="s">
        <v>263</v>
      </c>
      <c r="O48" s="296"/>
      <c r="P48" s="296" t="s">
        <v>264</v>
      </c>
      <c r="Q48" s="296"/>
      <c r="R48" s="296"/>
      <c r="S48" s="286"/>
      <c r="T48" s="286"/>
      <c r="U48" s="286"/>
      <c r="V48" s="321"/>
      <c r="W48" s="289"/>
      <c r="X48" s="5"/>
    </row>
    <row r="49" spans="1:25" ht="15.75" x14ac:dyDescent="0.25">
      <c r="A49" s="285"/>
      <c r="B49" s="286"/>
      <c r="C49" s="286"/>
      <c r="D49" s="296"/>
      <c r="E49" s="286"/>
      <c r="F49" s="296"/>
      <c r="G49" s="296"/>
      <c r="H49" s="296"/>
      <c r="I49" s="296"/>
      <c r="J49" s="296"/>
      <c r="K49" s="296"/>
      <c r="L49" s="296"/>
      <c r="M49" s="296"/>
      <c r="N49" s="296"/>
      <c r="O49" s="296"/>
      <c r="P49" s="296"/>
      <c r="Q49" s="296"/>
      <c r="R49" s="296"/>
      <c r="S49" s="286"/>
      <c r="T49" s="286"/>
      <c r="U49" s="286"/>
      <c r="V49" s="321" t="s">
        <v>193</v>
      </c>
      <c r="W49" s="289"/>
      <c r="X49" s="5"/>
    </row>
    <row r="50" spans="1:25" ht="15.75" x14ac:dyDescent="0.25">
      <c r="A50" s="285"/>
      <c r="B50" s="286" t="s">
        <v>169</v>
      </c>
      <c r="C50" s="286"/>
      <c r="D50" s="296"/>
      <c r="E50" s="286"/>
      <c r="F50" s="296"/>
      <c r="G50" s="296"/>
      <c r="H50" s="296"/>
      <c r="I50" s="296"/>
      <c r="J50" s="296"/>
      <c r="K50" s="296"/>
      <c r="L50" s="296"/>
      <c r="M50" s="296"/>
      <c r="N50" s="296"/>
      <c r="O50" s="296"/>
      <c r="P50" s="296"/>
      <c r="Q50" s="296"/>
      <c r="R50" s="296"/>
      <c r="S50" s="286"/>
      <c r="T50" s="286"/>
      <c r="U50" s="286"/>
      <c r="V50" s="321">
        <f>SUM(L34:R34)/SUM(D34:J34)</f>
        <v>0.17632136449250416</v>
      </c>
      <c r="W50" s="289"/>
      <c r="X50" s="5"/>
    </row>
    <row r="51" spans="1:25" ht="15.75" x14ac:dyDescent="0.25">
      <c r="A51" s="285"/>
      <c r="B51" s="286" t="s">
        <v>170</v>
      </c>
      <c r="C51" s="286"/>
      <c r="D51" s="286"/>
      <c r="E51" s="286"/>
      <c r="F51" s="326"/>
      <c r="G51" s="286"/>
      <c r="H51" s="286"/>
      <c r="I51" s="286"/>
      <c r="J51" s="286"/>
      <c r="K51" s="286"/>
      <c r="L51" s="286"/>
      <c r="M51" s="286"/>
      <c r="N51" s="286"/>
      <c r="O51" s="286"/>
      <c r="P51" s="286"/>
      <c r="Q51" s="286"/>
      <c r="R51" s="286"/>
      <c r="S51" s="286"/>
      <c r="T51" s="286"/>
      <c r="U51" s="286"/>
      <c r="V51" s="321">
        <f>SUM(L36:R36)/SUM(D36:J36)</f>
        <v>0.21303129815425645</v>
      </c>
      <c r="W51" s="289"/>
      <c r="X51" s="5"/>
    </row>
    <row r="52" spans="1:25" ht="15.75" x14ac:dyDescent="0.25">
      <c r="A52" s="285"/>
      <c r="B52" s="286" t="s">
        <v>171</v>
      </c>
      <c r="C52" s="286"/>
      <c r="D52" s="286"/>
      <c r="E52" s="286"/>
      <c r="F52" s="286"/>
      <c r="G52" s="286"/>
      <c r="H52" s="286"/>
      <c r="I52" s="286"/>
      <c r="J52" s="286"/>
      <c r="K52" s="286"/>
      <c r="L52" s="286"/>
      <c r="M52" s="286"/>
      <c r="N52" s="286"/>
      <c r="O52" s="286"/>
      <c r="P52" s="286"/>
      <c r="Q52" s="286"/>
      <c r="R52" s="286"/>
      <c r="S52" s="286"/>
      <c r="T52" s="296"/>
      <c r="U52" s="296"/>
      <c r="V52" s="299" t="s">
        <v>268</v>
      </c>
      <c r="W52" s="289"/>
      <c r="X52" s="5"/>
    </row>
    <row r="53" spans="1:25" ht="15.75" x14ac:dyDescent="0.25">
      <c r="A53" s="285"/>
      <c r="B53" s="286"/>
      <c r="C53" s="286"/>
      <c r="D53" s="286"/>
      <c r="E53" s="286"/>
      <c r="F53" s="286"/>
      <c r="G53" s="286"/>
      <c r="H53" s="286"/>
      <c r="I53" s="286"/>
      <c r="J53" s="286"/>
      <c r="K53" s="286"/>
      <c r="L53" s="286"/>
      <c r="M53" s="286"/>
      <c r="N53" s="286"/>
      <c r="O53" s="286"/>
      <c r="P53" s="286"/>
      <c r="Q53" s="286"/>
      <c r="R53" s="286"/>
      <c r="S53" s="286"/>
      <c r="T53" s="286"/>
      <c r="U53" s="286"/>
      <c r="V53" s="327"/>
      <c r="W53" s="289"/>
      <c r="X53" s="5"/>
    </row>
    <row r="54" spans="1:25" ht="15.75" x14ac:dyDescent="0.25">
      <c r="A54" s="285"/>
      <c r="B54" s="286" t="s">
        <v>202</v>
      </c>
      <c r="C54" s="286"/>
      <c r="D54" s="286"/>
      <c r="E54" s="286"/>
      <c r="F54" s="286"/>
      <c r="G54" s="286"/>
      <c r="H54" s="286"/>
      <c r="I54" s="286"/>
      <c r="J54" s="286"/>
      <c r="K54" s="286"/>
      <c r="L54" s="286"/>
      <c r="M54" s="286"/>
      <c r="N54" s="286"/>
      <c r="O54" s="286"/>
      <c r="P54" s="286"/>
      <c r="Q54" s="286"/>
      <c r="R54" s="286"/>
      <c r="S54" s="286"/>
      <c r="T54" s="286"/>
      <c r="U54" s="286"/>
      <c r="V54" s="328" t="s">
        <v>203</v>
      </c>
      <c r="W54" s="289"/>
      <c r="X54" s="5"/>
    </row>
    <row r="55" spans="1:25" ht="15.75" x14ac:dyDescent="0.25">
      <c r="A55" s="285"/>
      <c r="B55" s="286" t="s">
        <v>270</v>
      </c>
      <c r="C55" s="286"/>
      <c r="D55" s="286"/>
      <c r="E55" s="286"/>
      <c r="F55" s="286"/>
      <c r="G55" s="286"/>
      <c r="H55" s="286"/>
      <c r="I55" s="286"/>
      <c r="J55" s="286"/>
      <c r="K55" s="286"/>
      <c r="L55" s="286"/>
      <c r="M55" s="286"/>
      <c r="N55" s="286"/>
      <c r="O55" s="286"/>
      <c r="P55" s="286"/>
      <c r="Q55" s="286"/>
      <c r="R55" s="286"/>
      <c r="S55" s="286"/>
      <c r="T55" s="296"/>
      <c r="U55" s="296"/>
      <c r="V55" s="329" t="s">
        <v>111</v>
      </c>
      <c r="W55" s="289"/>
      <c r="X55" s="5"/>
    </row>
    <row r="56" spans="1:25" ht="15.75" x14ac:dyDescent="0.25">
      <c r="A56" s="285"/>
      <c r="B56" s="294" t="s">
        <v>201</v>
      </c>
      <c r="C56" s="294"/>
      <c r="D56" s="294"/>
      <c r="E56" s="294"/>
      <c r="F56" s="294"/>
      <c r="G56" s="294"/>
      <c r="H56" s="294"/>
      <c r="I56" s="294"/>
      <c r="J56" s="294"/>
      <c r="K56" s="294"/>
      <c r="L56" s="294"/>
      <c r="M56" s="294"/>
      <c r="N56" s="294"/>
      <c r="O56" s="294"/>
      <c r="P56" s="294"/>
      <c r="Q56" s="294"/>
      <c r="R56" s="294"/>
      <c r="S56" s="294"/>
      <c r="T56" s="330"/>
      <c r="U56" s="330"/>
      <c r="V56" s="331">
        <v>40436</v>
      </c>
      <c r="W56" s="289"/>
      <c r="X56" s="5"/>
    </row>
    <row r="57" spans="1:25" ht="15.75" x14ac:dyDescent="0.25">
      <c r="A57" s="285"/>
      <c r="B57" s="286" t="s">
        <v>121</v>
      </c>
      <c r="C57" s="286"/>
      <c r="D57" s="286"/>
      <c r="E57" s="286"/>
      <c r="F57" s="286"/>
      <c r="G57" s="286"/>
      <c r="H57" s="332"/>
      <c r="I57" s="332"/>
      <c r="J57" s="332"/>
      <c r="K57" s="332"/>
      <c r="L57" s="332"/>
      <c r="M57" s="332"/>
      <c r="N57" s="332"/>
      <c r="O57" s="332"/>
      <c r="P57" s="332"/>
      <c r="Q57" s="332"/>
      <c r="R57" s="286">
        <f>+V57-T57+1</f>
        <v>92</v>
      </c>
      <c r="S57" s="332"/>
      <c r="T57" s="333">
        <v>40252</v>
      </c>
      <c r="U57" s="334"/>
      <c r="V57" s="333">
        <v>40343</v>
      </c>
      <c r="W57" s="289"/>
      <c r="X57" s="5"/>
    </row>
    <row r="58" spans="1:25" ht="15.75" x14ac:dyDescent="0.25">
      <c r="A58" s="285"/>
      <c r="B58" s="286" t="s">
        <v>122</v>
      </c>
      <c r="C58" s="286"/>
      <c r="D58" s="286"/>
      <c r="E58" s="286"/>
      <c r="F58" s="286"/>
      <c r="G58" s="286"/>
      <c r="H58" s="286"/>
      <c r="I58" s="286"/>
      <c r="J58" s="286"/>
      <c r="K58" s="286"/>
      <c r="L58" s="286"/>
      <c r="M58" s="286"/>
      <c r="N58" s="286"/>
      <c r="O58" s="286"/>
      <c r="P58" s="286"/>
      <c r="Q58" s="286"/>
      <c r="R58" s="286">
        <f>+V58-T58+1</f>
        <v>92</v>
      </c>
      <c r="S58" s="286"/>
      <c r="T58" s="333">
        <v>40344</v>
      </c>
      <c r="U58" s="334"/>
      <c r="V58" s="333">
        <v>40435</v>
      </c>
      <c r="W58" s="289"/>
      <c r="X58" s="5"/>
    </row>
    <row r="59" spans="1:25" ht="15.75" x14ac:dyDescent="0.25">
      <c r="A59" s="285"/>
      <c r="B59" s="286" t="s">
        <v>223</v>
      </c>
      <c r="C59" s="286"/>
      <c r="D59" s="286"/>
      <c r="E59" s="286"/>
      <c r="F59" s="286"/>
      <c r="G59" s="286"/>
      <c r="H59" s="286"/>
      <c r="I59" s="286"/>
      <c r="J59" s="286"/>
      <c r="K59" s="286"/>
      <c r="L59" s="286"/>
      <c r="M59" s="286"/>
      <c r="N59" s="286"/>
      <c r="O59" s="286"/>
      <c r="P59" s="286"/>
      <c r="Q59" s="286"/>
      <c r="R59" s="286"/>
      <c r="S59" s="286"/>
      <c r="T59" s="333"/>
      <c r="U59" s="334"/>
      <c r="V59" s="333" t="s">
        <v>120</v>
      </c>
      <c r="W59" s="289"/>
      <c r="X59" s="5"/>
    </row>
    <row r="60" spans="1:25" ht="15.75" x14ac:dyDescent="0.25">
      <c r="A60" s="285"/>
      <c r="B60" s="286" t="s">
        <v>271</v>
      </c>
      <c r="C60" s="286"/>
      <c r="D60" s="286"/>
      <c r="E60" s="286"/>
      <c r="F60" s="286"/>
      <c r="G60" s="286"/>
      <c r="H60" s="286"/>
      <c r="I60" s="286"/>
      <c r="J60" s="286"/>
      <c r="K60" s="286"/>
      <c r="L60" s="286"/>
      <c r="M60" s="286"/>
      <c r="N60" s="286"/>
      <c r="O60" s="286"/>
      <c r="P60" s="286"/>
      <c r="Q60" s="286"/>
      <c r="R60" s="286"/>
      <c r="S60" s="286"/>
      <c r="T60" s="333"/>
      <c r="U60" s="334"/>
      <c r="V60" s="333" t="s">
        <v>154</v>
      </c>
      <c r="W60" s="289"/>
      <c r="X60" s="5"/>
      <c r="Y60" s="133"/>
    </row>
    <row r="61" spans="1:25" ht="15.75" x14ac:dyDescent="0.25">
      <c r="A61" s="285"/>
      <c r="B61" s="286" t="s">
        <v>16</v>
      </c>
      <c r="C61" s="286"/>
      <c r="D61" s="286"/>
      <c r="E61" s="286"/>
      <c r="F61" s="286"/>
      <c r="G61" s="286"/>
      <c r="H61" s="286"/>
      <c r="I61" s="286"/>
      <c r="J61" s="286"/>
      <c r="K61" s="286"/>
      <c r="L61" s="286"/>
      <c r="M61" s="286"/>
      <c r="N61" s="286"/>
      <c r="O61" s="286"/>
      <c r="P61" s="286"/>
      <c r="Q61" s="286"/>
      <c r="R61" s="286"/>
      <c r="S61" s="286"/>
      <c r="T61" s="333"/>
      <c r="U61" s="334"/>
      <c r="V61" s="333">
        <v>40422</v>
      </c>
      <c r="W61" s="289"/>
      <c r="X61" s="5"/>
    </row>
    <row r="62" spans="1:25" ht="15.75" x14ac:dyDescent="0.25">
      <c r="A62" s="181"/>
      <c r="B62" s="212"/>
      <c r="C62" s="212"/>
      <c r="D62" s="212"/>
      <c r="E62" s="212"/>
      <c r="F62" s="212"/>
      <c r="G62" s="212"/>
      <c r="H62" s="212"/>
      <c r="I62" s="212"/>
      <c r="J62" s="212"/>
      <c r="K62" s="212"/>
      <c r="L62" s="212"/>
      <c r="M62" s="212"/>
      <c r="N62" s="212"/>
      <c r="O62" s="212"/>
      <c r="P62" s="212"/>
      <c r="Q62" s="212"/>
      <c r="R62" s="212"/>
      <c r="S62" s="212"/>
      <c r="T62" s="283"/>
      <c r="U62" s="284"/>
      <c r="V62" s="283"/>
      <c r="W62" s="212"/>
      <c r="X62" s="5"/>
    </row>
    <row r="63" spans="1:25" ht="15.75" x14ac:dyDescent="0.25">
      <c r="A63" s="181"/>
      <c r="B63" s="183"/>
      <c r="C63" s="183"/>
      <c r="D63" s="183"/>
      <c r="E63" s="183"/>
      <c r="F63" s="183"/>
      <c r="G63" s="183"/>
      <c r="H63" s="183"/>
      <c r="I63" s="183"/>
      <c r="J63" s="183"/>
      <c r="K63" s="183"/>
      <c r="L63" s="183"/>
      <c r="M63" s="183"/>
      <c r="N63" s="183"/>
      <c r="O63" s="183"/>
      <c r="P63" s="183"/>
      <c r="Q63" s="183"/>
      <c r="R63" s="183"/>
      <c r="S63" s="183"/>
      <c r="T63" s="195"/>
      <c r="U63" s="196"/>
      <c r="V63" s="195"/>
      <c r="W63" s="183"/>
      <c r="X63" s="5"/>
    </row>
    <row r="64" spans="1:25" ht="19.5" thickBot="1" x14ac:dyDescent="0.35">
      <c r="A64" s="197"/>
      <c r="B64" s="270" t="s">
        <v>296</v>
      </c>
      <c r="C64" s="198"/>
      <c r="D64" s="198"/>
      <c r="E64" s="198"/>
      <c r="F64" s="198"/>
      <c r="G64" s="198"/>
      <c r="H64" s="198"/>
      <c r="I64" s="198"/>
      <c r="J64" s="198"/>
      <c r="K64" s="198"/>
      <c r="L64" s="198"/>
      <c r="M64" s="198"/>
      <c r="N64" s="198"/>
      <c r="O64" s="198"/>
      <c r="P64" s="198"/>
      <c r="Q64" s="198"/>
      <c r="R64" s="198"/>
      <c r="S64" s="198"/>
      <c r="T64" s="198"/>
      <c r="U64" s="198"/>
      <c r="V64" s="199"/>
      <c r="W64" s="200"/>
      <c r="X64" s="5"/>
    </row>
    <row r="65" spans="1:24" ht="15.75" x14ac:dyDescent="0.25">
      <c r="A65" s="224"/>
      <c r="B65" s="230" t="s">
        <v>17</v>
      </c>
      <c r="C65" s="225"/>
      <c r="D65" s="225"/>
      <c r="E65" s="225"/>
      <c r="F65" s="225"/>
      <c r="G65" s="225"/>
      <c r="H65" s="225"/>
      <c r="I65" s="225"/>
      <c r="J65" s="225"/>
      <c r="K65" s="225"/>
      <c r="L65" s="225"/>
      <c r="M65" s="225"/>
      <c r="N65" s="225"/>
      <c r="O65" s="225"/>
      <c r="P65" s="225"/>
      <c r="Q65" s="225"/>
      <c r="R65" s="225"/>
      <c r="S65" s="225"/>
      <c r="T65" s="225"/>
      <c r="U65" s="225"/>
      <c r="V65" s="231"/>
      <c r="W65" s="225"/>
      <c r="X65" s="5"/>
    </row>
    <row r="66" spans="1:24" ht="15.75" x14ac:dyDescent="0.25">
      <c r="A66" s="181"/>
      <c r="B66" s="189"/>
      <c r="C66" s="183"/>
      <c r="D66" s="183"/>
      <c r="E66" s="183"/>
      <c r="F66" s="183"/>
      <c r="G66" s="183"/>
      <c r="H66" s="183"/>
      <c r="I66" s="183"/>
      <c r="J66" s="183"/>
      <c r="K66" s="183"/>
      <c r="L66" s="183"/>
      <c r="M66" s="183"/>
      <c r="N66" s="183"/>
      <c r="O66" s="183"/>
      <c r="P66" s="183"/>
      <c r="Q66" s="183"/>
      <c r="R66" s="183"/>
      <c r="S66" s="183"/>
      <c r="T66" s="183"/>
      <c r="U66" s="183"/>
      <c r="V66" s="202"/>
      <c r="W66" s="183"/>
      <c r="X66" s="5"/>
    </row>
    <row r="67" spans="1:24" ht="47.25" x14ac:dyDescent="0.25">
      <c r="A67" s="181"/>
      <c r="B67" s="203" t="s">
        <v>18</v>
      </c>
      <c r="C67" s="204"/>
      <c r="D67" s="204"/>
      <c r="E67" s="204"/>
      <c r="F67" s="204"/>
      <c r="G67" s="204"/>
      <c r="H67" s="204"/>
      <c r="I67" s="204"/>
      <c r="J67" s="204"/>
      <c r="K67" s="204"/>
      <c r="L67" s="204" t="s">
        <v>94</v>
      </c>
      <c r="M67" s="204"/>
      <c r="N67" s="204" t="s">
        <v>96</v>
      </c>
      <c r="O67" s="204"/>
      <c r="P67" s="204" t="s">
        <v>98</v>
      </c>
      <c r="Q67" s="204"/>
      <c r="R67" s="204" t="s">
        <v>100</v>
      </c>
      <c r="S67" s="204"/>
      <c r="T67" s="204" t="s">
        <v>106</v>
      </c>
      <c r="U67" s="204"/>
      <c r="V67" s="205" t="s">
        <v>112</v>
      </c>
      <c r="W67" s="206"/>
      <c r="X67" s="5"/>
    </row>
    <row r="68" spans="1:24" ht="15.75" x14ac:dyDescent="0.25">
      <c r="A68" s="285"/>
      <c r="B68" s="286" t="s">
        <v>19</v>
      </c>
      <c r="C68" s="337"/>
      <c r="D68" s="337"/>
      <c r="E68" s="337"/>
      <c r="F68" s="337"/>
      <c r="G68" s="337"/>
      <c r="H68" s="337"/>
      <c r="I68" s="337"/>
      <c r="J68" s="337"/>
      <c r="K68" s="337"/>
      <c r="L68" s="337">
        <v>812446</v>
      </c>
      <c r="M68" s="337"/>
      <c r="N68" s="338">
        <v>861437</v>
      </c>
      <c r="O68" s="337"/>
      <c r="P68" s="337">
        <f>6962+26+183</f>
        <v>7171</v>
      </c>
      <c r="Q68" s="337"/>
      <c r="R68" s="337">
        <f>26+183</f>
        <v>209</v>
      </c>
      <c r="S68" s="337"/>
      <c r="T68" s="337">
        <v>0</v>
      </c>
      <c r="U68" s="337"/>
      <c r="V68" s="338">
        <f>+N68-P68+R68-T68</f>
        <v>854475</v>
      </c>
      <c r="W68" s="289"/>
      <c r="X68" s="5"/>
    </row>
    <row r="69" spans="1:24" ht="15.75" x14ac:dyDescent="0.25">
      <c r="A69" s="285"/>
      <c r="B69" s="286" t="s">
        <v>20</v>
      </c>
      <c r="C69" s="337"/>
      <c r="D69" s="337"/>
      <c r="E69" s="337"/>
      <c r="F69" s="337"/>
      <c r="G69" s="337"/>
      <c r="H69" s="337"/>
      <c r="I69" s="337"/>
      <c r="J69" s="337"/>
      <c r="K69" s="337"/>
      <c r="L69" s="337">
        <v>0</v>
      </c>
      <c r="M69" s="337"/>
      <c r="N69" s="338">
        <v>0</v>
      </c>
      <c r="O69" s="337"/>
      <c r="P69" s="337">
        <v>0</v>
      </c>
      <c r="Q69" s="337"/>
      <c r="R69" s="337">
        <v>0</v>
      </c>
      <c r="S69" s="337"/>
      <c r="T69" s="337">
        <v>0</v>
      </c>
      <c r="U69" s="337"/>
      <c r="V69" s="338">
        <f>+L69-P69</f>
        <v>0</v>
      </c>
      <c r="W69" s="289"/>
      <c r="X69" s="5"/>
    </row>
    <row r="70" spans="1:24" ht="15.75" x14ac:dyDescent="0.25">
      <c r="A70" s="285"/>
      <c r="B70" s="286"/>
      <c r="C70" s="337"/>
      <c r="D70" s="337"/>
      <c r="E70" s="337"/>
      <c r="F70" s="337"/>
      <c r="G70" s="337"/>
      <c r="H70" s="337"/>
      <c r="I70" s="337"/>
      <c r="J70" s="337"/>
      <c r="K70" s="337"/>
      <c r="L70" s="337"/>
      <c r="M70" s="337"/>
      <c r="N70" s="338"/>
      <c r="O70" s="337"/>
      <c r="P70" s="337"/>
      <c r="Q70" s="337"/>
      <c r="R70" s="337"/>
      <c r="S70" s="337"/>
      <c r="T70" s="337"/>
      <c r="U70" s="337"/>
      <c r="V70" s="338"/>
      <c r="W70" s="289"/>
      <c r="X70" s="5"/>
    </row>
    <row r="71" spans="1:24" ht="15.75" x14ac:dyDescent="0.25">
      <c r="A71" s="285"/>
      <c r="B71" s="286" t="s">
        <v>21</v>
      </c>
      <c r="C71" s="337"/>
      <c r="D71" s="337"/>
      <c r="E71" s="337"/>
      <c r="F71" s="337"/>
      <c r="G71" s="337"/>
      <c r="H71" s="337"/>
      <c r="I71" s="337"/>
      <c r="J71" s="337"/>
      <c r="K71" s="337"/>
      <c r="L71" s="337">
        <f>SUM(L68:L70)</f>
        <v>812446</v>
      </c>
      <c r="M71" s="337"/>
      <c r="N71" s="337">
        <f>N68+N69</f>
        <v>861437</v>
      </c>
      <c r="O71" s="337"/>
      <c r="P71" s="337">
        <f>SUM(P68:P70)</f>
        <v>7171</v>
      </c>
      <c r="Q71" s="337"/>
      <c r="R71" s="337">
        <f>SUM(R68:R70)</f>
        <v>209</v>
      </c>
      <c r="S71" s="337"/>
      <c r="T71" s="337">
        <f>SUM(T68:T70)</f>
        <v>0</v>
      </c>
      <c r="U71" s="337"/>
      <c r="V71" s="337">
        <f>SUM(V68:V70)</f>
        <v>854475</v>
      </c>
      <c r="W71" s="289"/>
      <c r="X71" s="5"/>
    </row>
    <row r="72" spans="1:24" ht="15.75" x14ac:dyDescent="0.25">
      <c r="A72" s="181"/>
      <c r="B72" s="212"/>
      <c r="C72" s="335"/>
      <c r="D72" s="335"/>
      <c r="E72" s="335"/>
      <c r="F72" s="335"/>
      <c r="G72" s="335"/>
      <c r="H72" s="335"/>
      <c r="I72" s="335"/>
      <c r="J72" s="335"/>
      <c r="K72" s="335"/>
      <c r="L72" s="335"/>
      <c r="M72" s="335"/>
      <c r="N72" s="335"/>
      <c r="O72" s="335"/>
      <c r="P72" s="335"/>
      <c r="Q72" s="335"/>
      <c r="R72" s="335"/>
      <c r="S72" s="335"/>
      <c r="T72" s="335"/>
      <c r="U72" s="335"/>
      <c r="V72" s="336"/>
      <c r="W72" s="212"/>
      <c r="X72" s="5"/>
    </row>
    <row r="73" spans="1:24" ht="15.75" x14ac:dyDescent="0.25">
      <c r="A73" s="181"/>
      <c r="B73" s="185" t="s">
        <v>22</v>
      </c>
      <c r="C73" s="207"/>
      <c r="D73" s="207"/>
      <c r="E73" s="207"/>
      <c r="F73" s="207"/>
      <c r="G73" s="207"/>
      <c r="H73" s="207"/>
      <c r="I73" s="207"/>
      <c r="J73" s="207"/>
      <c r="K73" s="207"/>
      <c r="L73" s="207"/>
      <c r="M73" s="207"/>
      <c r="N73" s="207"/>
      <c r="O73" s="207"/>
      <c r="P73" s="207"/>
      <c r="Q73" s="207"/>
      <c r="R73" s="207"/>
      <c r="S73" s="207"/>
      <c r="T73" s="207"/>
      <c r="U73" s="207"/>
      <c r="V73" s="208"/>
      <c r="W73" s="183"/>
      <c r="X73" s="5"/>
    </row>
    <row r="74" spans="1:24" ht="15.75" x14ac:dyDescent="0.25">
      <c r="A74" s="181"/>
      <c r="B74" s="183"/>
      <c r="C74" s="207"/>
      <c r="D74" s="207"/>
      <c r="E74" s="207"/>
      <c r="F74" s="207"/>
      <c r="G74" s="207"/>
      <c r="H74" s="207"/>
      <c r="I74" s="207"/>
      <c r="J74" s="207"/>
      <c r="K74" s="207"/>
      <c r="L74" s="207"/>
      <c r="M74" s="207"/>
      <c r="N74" s="207"/>
      <c r="O74" s="207"/>
      <c r="P74" s="207"/>
      <c r="Q74" s="207"/>
      <c r="R74" s="207"/>
      <c r="S74" s="207"/>
      <c r="T74" s="207"/>
      <c r="U74" s="207"/>
      <c r="V74" s="208"/>
      <c r="W74" s="183"/>
      <c r="X74" s="5"/>
    </row>
    <row r="75" spans="1:24" ht="15.75" x14ac:dyDescent="0.25">
      <c r="A75" s="285"/>
      <c r="B75" s="286" t="s">
        <v>19</v>
      </c>
      <c r="C75" s="337"/>
      <c r="D75" s="337"/>
      <c r="E75" s="337"/>
      <c r="F75" s="337"/>
      <c r="G75" s="337"/>
      <c r="H75" s="337"/>
      <c r="I75" s="337"/>
      <c r="J75" s="337"/>
      <c r="K75" s="337"/>
      <c r="L75" s="337"/>
      <c r="M75" s="337"/>
      <c r="N75" s="337"/>
      <c r="O75" s="337"/>
      <c r="P75" s="337"/>
      <c r="Q75" s="337"/>
      <c r="R75" s="337"/>
      <c r="S75" s="337"/>
      <c r="T75" s="337"/>
      <c r="U75" s="337"/>
      <c r="V75" s="337"/>
      <c r="W75" s="289"/>
      <c r="X75" s="5"/>
    </row>
    <row r="76" spans="1:24" ht="15.75" x14ac:dyDescent="0.25">
      <c r="A76" s="285"/>
      <c r="B76" s="286" t="s">
        <v>20</v>
      </c>
      <c r="C76" s="337"/>
      <c r="D76" s="337"/>
      <c r="E76" s="337"/>
      <c r="F76" s="337"/>
      <c r="G76" s="337"/>
      <c r="H76" s="337"/>
      <c r="I76" s="337"/>
      <c r="J76" s="337"/>
      <c r="K76" s="337"/>
      <c r="L76" s="337"/>
      <c r="M76" s="337"/>
      <c r="N76" s="337"/>
      <c r="O76" s="337"/>
      <c r="P76" s="337"/>
      <c r="Q76" s="337"/>
      <c r="R76" s="337"/>
      <c r="S76" s="337"/>
      <c r="T76" s="337"/>
      <c r="U76" s="337"/>
      <c r="V76" s="337"/>
      <c r="W76" s="289"/>
      <c r="X76" s="5"/>
    </row>
    <row r="77" spans="1:24" ht="15.75" x14ac:dyDescent="0.25">
      <c r="A77" s="285"/>
      <c r="B77" s="286"/>
      <c r="C77" s="337"/>
      <c r="D77" s="337"/>
      <c r="E77" s="337"/>
      <c r="F77" s="337"/>
      <c r="G77" s="337"/>
      <c r="H77" s="337"/>
      <c r="I77" s="337"/>
      <c r="J77" s="337"/>
      <c r="K77" s="337"/>
      <c r="L77" s="337"/>
      <c r="M77" s="337"/>
      <c r="N77" s="337"/>
      <c r="O77" s="337"/>
      <c r="P77" s="337"/>
      <c r="Q77" s="337"/>
      <c r="R77" s="337"/>
      <c r="S77" s="337"/>
      <c r="T77" s="337"/>
      <c r="U77" s="337"/>
      <c r="V77" s="337"/>
      <c r="W77" s="289"/>
      <c r="X77" s="5"/>
    </row>
    <row r="78" spans="1:24" ht="15.75" x14ac:dyDescent="0.25">
      <c r="A78" s="285"/>
      <c r="B78" s="286" t="s">
        <v>21</v>
      </c>
      <c r="C78" s="337"/>
      <c r="D78" s="337"/>
      <c r="E78" s="337"/>
      <c r="F78" s="337"/>
      <c r="G78" s="337"/>
      <c r="H78" s="337"/>
      <c r="I78" s="337"/>
      <c r="J78" s="337"/>
      <c r="K78" s="337"/>
      <c r="L78" s="337"/>
      <c r="M78" s="337"/>
      <c r="N78" s="337"/>
      <c r="O78" s="337"/>
      <c r="P78" s="337"/>
      <c r="Q78" s="337"/>
      <c r="R78" s="337"/>
      <c r="S78" s="337"/>
      <c r="T78" s="337"/>
      <c r="U78" s="337"/>
      <c r="V78" s="337"/>
      <c r="W78" s="289"/>
      <c r="X78" s="5"/>
    </row>
    <row r="79" spans="1:24" ht="15.75" x14ac:dyDescent="0.25">
      <c r="A79" s="285"/>
      <c r="B79" s="286"/>
      <c r="C79" s="337"/>
      <c r="D79" s="337"/>
      <c r="E79" s="337"/>
      <c r="F79" s="337"/>
      <c r="G79" s="337"/>
      <c r="H79" s="337"/>
      <c r="I79" s="337"/>
      <c r="J79" s="337"/>
      <c r="K79" s="337"/>
      <c r="L79" s="337"/>
      <c r="M79" s="337"/>
      <c r="N79" s="337"/>
      <c r="O79" s="337"/>
      <c r="P79" s="337"/>
      <c r="Q79" s="337"/>
      <c r="R79" s="337"/>
      <c r="S79" s="337"/>
      <c r="T79" s="337"/>
      <c r="U79" s="337"/>
      <c r="V79" s="337"/>
      <c r="W79" s="289"/>
      <c r="X79" s="5"/>
    </row>
    <row r="80" spans="1:24" ht="15.75" x14ac:dyDescent="0.25">
      <c r="A80" s="285"/>
      <c r="B80" s="286" t="s">
        <v>23</v>
      </c>
      <c r="C80" s="337"/>
      <c r="D80" s="337"/>
      <c r="E80" s="337"/>
      <c r="F80" s="337"/>
      <c r="G80" s="337"/>
      <c r="H80" s="337"/>
      <c r="I80" s="337"/>
      <c r="J80" s="337"/>
      <c r="K80" s="337"/>
      <c r="L80" s="337">
        <v>0</v>
      </c>
      <c r="M80" s="337"/>
      <c r="N80" s="337">
        <v>0</v>
      </c>
      <c r="O80" s="337"/>
      <c r="P80" s="337"/>
      <c r="Q80" s="337"/>
      <c r="R80" s="337"/>
      <c r="S80" s="337"/>
      <c r="T80" s="337"/>
      <c r="U80" s="337"/>
      <c r="V80" s="338">
        <v>0</v>
      </c>
      <c r="W80" s="289"/>
      <c r="X80" s="5"/>
    </row>
    <row r="81" spans="1:24" ht="15.75" x14ac:dyDescent="0.25">
      <c r="A81" s="285"/>
      <c r="B81" s="286" t="s">
        <v>117</v>
      </c>
      <c r="C81" s="337"/>
      <c r="D81" s="337"/>
      <c r="E81" s="337"/>
      <c r="F81" s="337"/>
      <c r="G81" s="337"/>
      <c r="H81" s="337"/>
      <c r="I81" s="337"/>
      <c r="J81" s="337"/>
      <c r="K81" s="337"/>
      <c r="L81" s="337">
        <v>188687</v>
      </c>
      <c r="M81" s="337"/>
      <c r="N81" s="337">
        <v>0</v>
      </c>
      <c r="O81" s="337"/>
      <c r="P81" s="337">
        <v>0</v>
      </c>
      <c r="Q81" s="337"/>
      <c r="R81" s="337"/>
      <c r="S81" s="337"/>
      <c r="T81" s="337"/>
      <c r="U81" s="337"/>
      <c r="V81" s="337">
        <f>SUM(N81:R81)</f>
        <v>0</v>
      </c>
      <c r="W81" s="289"/>
      <c r="X81" s="5"/>
    </row>
    <row r="82" spans="1:24" ht="15.75" x14ac:dyDescent="0.25">
      <c r="A82" s="285"/>
      <c r="B82" s="286"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89"/>
      <c r="X82" s="5"/>
    </row>
    <row r="83" spans="1:24" ht="15.75" x14ac:dyDescent="0.25">
      <c r="A83" s="285"/>
      <c r="B83" s="286" t="s">
        <v>25</v>
      </c>
      <c r="C83" s="337"/>
      <c r="D83" s="337"/>
      <c r="E83" s="337"/>
      <c r="F83" s="337"/>
      <c r="G83" s="337"/>
      <c r="H83" s="337"/>
      <c r="I83" s="337"/>
      <c r="J83" s="337"/>
      <c r="K83" s="337"/>
      <c r="L83" s="337">
        <v>0</v>
      </c>
      <c r="M83" s="337"/>
      <c r="N83" s="337">
        <v>0</v>
      </c>
      <c r="O83" s="337"/>
      <c r="P83" s="337"/>
      <c r="Q83" s="337"/>
      <c r="R83" s="337"/>
      <c r="S83" s="337"/>
      <c r="T83" s="337"/>
      <c r="U83" s="337"/>
      <c r="V83" s="337">
        <v>0</v>
      </c>
      <c r="W83" s="289"/>
      <c r="X83" s="5"/>
    </row>
    <row r="84" spans="1:24" ht="15.75" x14ac:dyDescent="0.25">
      <c r="A84" s="285"/>
      <c r="B84" s="286" t="s">
        <v>26</v>
      </c>
      <c r="C84" s="337"/>
      <c r="D84" s="337"/>
      <c r="E84" s="337"/>
      <c r="F84" s="337"/>
      <c r="G84" s="337"/>
      <c r="H84" s="337"/>
      <c r="I84" s="337"/>
      <c r="J84" s="337"/>
      <c r="K84" s="337"/>
      <c r="L84" s="337">
        <f>SUM(L71:L83)</f>
        <v>1001133</v>
      </c>
      <c r="M84" s="337"/>
      <c r="N84" s="337">
        <f>SUM(N71:N83)</f>
        <v>861437</v>
      </c>
      <c r="O84" s="337"/>
      <c r="P84" s="337"/>
      <c r="Q84" s="337"/>
      <c r="R84" s="337"/>
      <c r="S84" s="337"/>
      <c r="T84" s="337"/>
      <c r="U84" s="337"/>
      <c r="V84" s="337">
        <f>SUM(V71:V83)</f>
        <v>854475</v>
      </c>
      <c r="W84" s="289"/>
      <c r="X84" s="5"/>
    </row>
    <row r="85" spans="1:24" ht="15.75" x14ac:dyDescent="0.25">
      <c r="A85" s="181"/>
      <c r="B85" s="212"/>
      <c r="C85" s="335"/>
      <c r="D85" s="335"/>
      <c r="E85" s="335"/>
      <c r="F85" s="335"/>
      <c r="G85" s="335"/>
      <c r="H85" s="335"/>
      <c r="I85" s="335"/>
      <c r="J85" s="335"/>
      <c r="K85" s="335"/>
      <c r="L85" s="335"/>
      <c r="M85" s="335"/>
      <c r="N85" s="335"/>
      <c r="O85" s="335"/>
      <c r="P85" s="335"/>
      <c r="Q85" s="335"/>
      <c r="R85" s="335"/>
      <c r="S85" s="335"/>
      <c r="T85" s="335"/>
      <c r="U85" s="335"/>
      <c r="V85" s="336"/>
      <c r="W85" s="212"/>
      <c r="X85" s="5"/>
    </row>
    <row r="86" spans="1:24" ht="15.75" x14ac:dyDescent="0.25">
      <c r="A86" s="181"/>
      <c r="B86" s="183"/>
      <c r="C86" s="183"/>
      <c r="D86" s="183"/>
      <c r="E86" s="183"/>
      <c r="F86" s="183"/>
      <c r="G86" s="183"/>
      <c r="H86" s="183"/>
      <c r="I86" s="183"/>
      <c r="J86" s="183"/>
      <c r="K86" s="183"/>
      <c r="L86" s="183"/>
      <c r="M86" s="183"/>
      <c r="N86" s="183"/>
      <c r="O86" s="183"/>
      <c r="P86" s="183"/>
      <c r="Q86" s="183"/>
      <c r="R86" s="183"/>
      <c r="S86" s="183"/>
      <c r="T86" s="183"/>
      <c r="U86" s="183"/>
      <c r="V86" s="183"/>
      <c r="W86" s="183"/>
      <c r="X86" s="5"/>
    </row>
    <row r="87" spans="1:24" ht="15.75" x14ac:dyDescent="0.25">
      <c r="A87" s="224"/>
      <c r="B87" s="232" t="s">
        <v>27</v>
      </c>
      <c r="C87" s="232"/>
      <c r="D87" s="232"/>
      <c r="E87" s="232"/>
      <c r="F87" s="232"/>
      <c r="G87" s="232"/>
      <c r="H87" s="233"/>
      <c r="I87" s="233"/>
      <c r="J87" s="233"/>
      <c r="K87" s="233"/>
      <c r="L87" s="234" t="s">
        <v>95</v>
      </c>
      <c r="M87" s="233"/>
      <c r="N87" s="235">
        <f>+T201</f>
        <v>40421</v>
      </c>
      <c r="O87" s="233"/>
      <c r="P87" s="233"/>
      <c r="Q87" s="233"/>
      <c r="R87" s="233"/>
      <c r="S87" s="233"/>
      <c r="T87" s="233" t="s">
        <v>107</v>
      </c>
      <c r="U87" s="233"/>
      <c r="V87" s="233" t="s">
        <v>113</v>
      </c>
      <c r="W87" s="225"/>
      <c r="X87" s="5"/>
    </row>
    <row r="88" spans="1:24" ht="15.75" x14ac:dyDescent="0.25">
      <c r="A88" s="248"/>
      <c r="B88" s="250" t="s">
        <v>28</v>
      </c>
      <c r="C88" s="194"/>
      <c r="D88" s="194"/>
      <c r="E88" s="194"/>
      <c r="F88" s="194"/>
      <c r="G88" s="194"/>
      <c r="H88" s="194"/>
      <c r="I88" s="194"/>
      <c r="J88" s="194"/>
      <c r="K88" s="194"/>
      <c r="L88" s="194"/>
      <c r="M88" s="194"/>
      <c r="N88" s="194"/>
      <c r="O88" s="194"/>
      <c r="P88" s="194"/>
      <c r="Q88" s="194"/>
      <c r="R88" s="194"/>
      <c r="S88" s="194"/>
      <c r="T88" s="249">
        <v>0</v>
      </c>
      <c r="U88" s="250"/>
      <c r="V88" s="253">
        <v>0</v>
      </c>
      <c r="W88" s="194"/>
      <c r="X88" s="5"/>
    </row>
    <row r="89" spans="1:24" ht="15.75" x14ac:dyDescent="0.25">
      <c r="A89" s="295"/>
      <c r="B89" s="286" t="s">
        <v>29</v>
      </c>
      <c r="C89" s="314"/>
      <c r="D89" s="314"/>
      <c r="E89" s="314"/>
      <c r="F89" s="314"/>
      <c r="G89" s="314"/>
      <c r="H89" s="339"/>
      <c r="I89" s="339"/>
      <c r="J89" s="339"/>
      <c r="K89" s="340"/>
      <c r="L89" s="339"/>
      <c r="M89" s="314"/>
      <c r="N89" s="341"/>
      <c r="O89" s="314"/>
      <c r="P89" s="314"/>
      <c r="Q89" s="314"/>
      <c r="R89" s="314"/>
      <c r="S89" s="314"/>
      <c r="T89" s="337">
        <f>7171-297</f>
        <v>6874</v>
      </c>
      <c r="U89" s="286"/>
      <c r="V89" s="338"/>
      <c r="W89" s="318"/>
      <c r="X89" s="5"/>
    </row>
    <row r="90" spans="1:24" ht="15.75" x14ac:dyDescent="0.25">
      <c r="A90" s="295"/>
      <c r="B90" s="286" t="s">
        <v>215</v>
      </c>
      <c r="C90" s="314"/>
      <c r="D90" s="314"/>
      <c r="E90" s="314"/>
      <c r="F90" s="314"/>
      <c r="G90" s="314"/>
      <c r="H90" s="339"/>
      <c r="I90" s="339"/>
      <c r="J90" s="339"/>
      <c r="K90" s="340"/>
      <c r="L90" s="339"/>
      <c r="M90" s="314"/>
      <c r="N90" s="341"/>
      <c r="O90" s="314"/>
      <c r="P90" s="314"/>
      <c r="Q90" s="314"/>
      <c r="R90" s="314"/>
      <c r="S90" s="314"/>
      <c r="T90" s="337"/>
      <c r="U90" s="286"/>
      <c r="V90" s="338">
        <f>3910+3071-752-316+3</f>
        <v>5916</v>
      </c>
      <c r="W90" s="318"/>
      <c r="X90" s="5"/>
    </row>
    <row r="91" spans="1:24" ht="15.75" x14ac:dyDescent="0.25">
      <c r="A91" s="295"/>
      <c r="B91" s="286" t="s">
        <v>210</v>
      </c>
      <c r="C91" s="314"/>
      <c r="D91" s="314"/>
      <c r="E91" s="314"/>
      <c r="F91" s="314"/>
      <c r="G91" s="314"/>
      <c r="H91" s="339"/>
      <c r="I91" s="339"/>
      <c r="J91" s="339"/>
      <c r="K91" s="340"/>
      <c r="L91" s="339"/>
      <c r="M91" s="314"/>
      <c r="N91" s="341"/>
      <c r="O91" s="314"/>
      <c r="P91" s="314"/>
      <c r="Q91" s="314"/>
      <c r="R91" s="314"/>
      <c r="S91" s="314"/>
      <c r="T91" s="337"/>
      <c r="U91" s="286"/>
      <c r="V91" s="338">
        <f>38+52</f>
        <v>90</v>
      </c>
      <c r="W91" s="318"/>
      <c r="X91" s="5"/>
    </row>
    <row r="92" spans="1:24" ht="15.75" x14ac:dyDescent="0.25">
      <c r="A92" s="295"/>
      <c r="B92" s="286" t="s">
        <v>211</v>
      </c>
      <c r="C92" s="314"/>
      <c r="D92" s="314"/>
      <c r="E92" s="314"/>
      <c r="F92" s="314"/>
      <c r="G92" s="314"/>
      <c r="H92" s="339"/>
      <c r="I92" s="339"/>
      <c r="J92" s="339"/>
      <c r="K92" s="340"/>
      <c r="L92" s="339"/>
      <c r="M92" s="314"/>
      <c r="N92" s="341"/>
      <c r="O92" s="314"/>
      <c r="P92" s="314"/>
      <c r="Q92" s="314"/>
      <c r="R92" s="314"/>
      <c r="S92" s="314"/>
      <c r="T92" s="337"/>
      <c r="U92" s="286"/>
      <c r="V92" s="338">
        <v>30</v>
      </c>
      <c r="W92" s="318"/>
      <c r="X92" s="5"/>
    </row>
    <row r="93" spans="1:24" ht="15.75" x14ac:dyDescent="0.25">
      <c r="A93" s="295"/>
      <c r="B93" s="286" t="s">
        <v>233</v>
      </c>
      <c r="C93" s="314"/>
      <c r="D93" s="314"/>
      <c r="E93" s="314"/>
      <c r="F93" s="314"/>
      <c r="G93" s="314"/>
      <c r="H93" s="339"/>
      <c r="I93" s="339"/>
      <c r="J93" s="339"/>
      <c r="K93" s="340"/>
      <c r="L93" s="339"/>
      <c r="M93" s="314"/>
      <c r="N93" s="341"/>
      <c r="O93" s="314"/>
      <c r="P93" s="314"/>
      <c r="Q93" s="314"/>
      <c r="R93" s="314"/>
      <c r="S93" s="314"/>
      <c r="T93" s="337"/>
      <c r="U93" s="286"/>
      <c r="V93" s="338">
        <v>0</v>
      </c>
      <c r="W93" s="318"/>
      <c r="X93" s="5"/>
    </row>
    <row r="94" spans="1:24" ht="15.75" x14ac:dyDescent="0.25">
      <c r="A94" s="295"/>
      <c r="B94" s="286" t="s">
        <v>235</v>
      </c>
      <c r="C94" s="314"/>
      <c r="D94" s="314"/>
      <c r="E94" s="314"/>
      <c r="F94" s="314"/>
      <c r="G94" s="314"/>
      <c r="H94" s="339"/>
      <c r="I94" s="339"/>
      <c r="J94" s="339"/>
      <c r="K94" s="340"/>
      <c r="L94" s="339"/>
      <c r="M94" s="314"/>
      <c r="N94" s="341"/>
      <c r="O94" s="314"/>
      <c r="P94" s="314"/>
      <c r="Q94" s="314"/>
      <c r="R94" s="314"/>
      <c r="S94" s="314"/>
      <c r="T94" s="337"/>
      <c r="U94" s="286"/>
      <c r="V94" s="338">
        <v>0</v>
      </c>
      <c r="W94" s="318"/>
      <c r="X94" s="5"/>
    </row>
    <row r="95" spans="1:24" ht="15.75" x14ac:dyDescent="0.25">
      <c r="A95" s="295"/>
      <c r="B95" s="286" t="s">
        <v>135</v>
      </c>
      <c r="C95" s="314"/>
      <c r="D95" s="314"/>
      <c r="E95" s="314"/>
      <c r="F95" s="314"/>
      <c r="G95" s="314"/>
      <c r="H95" s="314"/>
      <c r="I95" s="314"/>
      <c r="J95" s="314"/>
      <c r="K95" s="314"/>
      <c r="L95" s="314"/>
      <c r="M95" s="314"/>
      <c r="N95" s="314"/>
      <c r="O95" s="314"/>
      <c r="P95" s="314"/>
      <c r="Q95" s="314"/>
      <c r="R95" s="314"/>
      <c r="S95" s="314"/>
      <c r="T95" s="337"/>
      <c r="U95" s="286"/>
      <c r="V95" s="338">
        <v>0</v>
      </c>
      <c r="W95" s="318"/>
      <c r="X95" s="5"/>
    </row>
    <row r="96" spans="1:24" ht="15.75" x14ac:dyDescent="0.25">
      <c r="A96" s="295"/>
      <c r="B96" s="286" t="s">
        <v>272</v>
      </c>
      <c r="C96" s="314"/>
      <c r="D96" s="314"/>
      <c r="E96" s="314"/>
      <c r="F96" s="314"/>
      <c r="G96" s="314"/>
      <c r="H96" s="314"/>
      <c r="I96" s="314"/>
      <c r="J96" s="314"/>
      <c r="K96" s="314"/>
      <c r="L96" s="314"/>
      <c r="M96" s="314"/>
      <c r="N96" s="314"/>
      <c r="O96" s="314"/>
      <c r="P96" s="314"/>
      <c r="Q96" s="314"/>
      <c r="R96" s="314"/>
      <c r="S96" s="314"/>
      <c r="T96" s="337"/>
      <c r="U96" s="286"/>
      <c r="V96" s="338">
        <v>0</v>
      </c>
      <c r="W96" s="318"/>
      <c r="X96" s="5"/>
    </row>
    <row r="97" spans="1:25" ht="15.75" x14ac:dyDescent="0.25">
      <c r="A97" s="295"/>
      <c r="B97" s="286" t="s">
        <v>30</v>
      </c>
      <c r="C97" s="314"/>
      <c r="D97" s="314"/>
      <c r="E97" s="314"/>
      <c r="F97" s="314"/>
      <c r="G97" s="314"/>
      <c r="H97" s="314"/>
      <c r="I97" s="314"/>
      <c r="J97" s="314"/>
      <c r="K97" s="314"/>
      <c r="L97" s="314"/>
      <c r="M97" s="314"/>
      <c r="N97" s="314"/>
      <c r="O97" s="314"/>
      <c r="P97" s="314"/>
      <c r="Q97" s="314"/>
      <c r="R97" s="314"/>
      <c r="S97" s="314"/>
      <c r="T97" s="337">
        <f>SUM(T88:T96)</f>
        <v>6874</v>
      </c>
      <c r="U97" s="286"/>
      <c r="V97" s="337">
        <f>SUM(V88:V96)</f>
        <v>6036</v>
      </c>
      <c r="W97" s="318"/>
      <c r="X97" s="5"/>
    </row>
    <row r="98" spans="1:25" ht="15.75" x14ac:dyDescent="0.25">
      <c r="A98" s="295"/>
      <c r="B98" s="286" t="s">
        <v>161</v>
      </c>
      <c r="C98" s="314"/>
      <c r="D98" s="314"/>
      <c r="E98" s="314"/>
      <c r="F98" s="314"/>
      <c r="G98" s="314"/>
      <c r="H98" s="314"/>
      <c r="I98" s="314"/>
      <c r="J98" s="314"/>
      <c r="K98" s="314"/>
      <c r="L98" s="314"/>
      <c r="M98" s="314"/>
      <c r="N98" s="314"/>
      <c r="O98" s="314"/>
      <c r="P98" s="314"/>
      <c r="Q98" s="314"/>
      <c r="R98" s="314"/>
      <c r="S98" s="314"/>
      <c r="T98" s="337">
        <f>-V98</f>
        <v>-12</v>
      </c>
      <c r="U98" s="286"/>
      <c r="V98" s="337">
        <v>12</v>
      </c>
      <c r="W98" s="318"/>
      <c r="X98" s="5"/>
    </row>
    <row r="99" spans="1:25" ht="15.75" x14ac:dyDescent="0.25">
      <c r="A99" s="295"/>
      <c r="B99" s="286" t="s">
        <v>31</v>
      </c>
      <c r="C99" s="314"/>
      <c r="D99" s="314"/>
      <c r="E99" s="314"/>
      <c r="F99" s="314"/>
      <c r="G99" s="314"/>
      <c r="H99" s="314"/>
      <c r="I99" s="314"/>
      <c r="J99" s="314"/>
      <c r="K99" s="314"/>
      <c r="L99" s="314"/>
      <c r="M99" s="314"/>
      <c r="N99" s="314"/>
      <c r="O99" s="314"/>
      <c r="P99" s="314"/>
      <c r="Q99" s="314"/>
      <c r="R99" s="314"/>
      <c r="S99" s="314"/>
      <c r="T99" s="337">
        <f>-V99</f>
        <v>0</v>
      </c>
      <c r="U99" s="286"/>
      <c r="V99" s="338">
        <v>0</v>
      </c>
      <c r="W99" s="318"/>
      <c r="X99" s="5"/>
    </row>
    <row r="100" spans="1:25" ht="15.75" x14ac:dyDescent="0.25">
      <c r="A100" s="295"/>
      <c r="B100" s="286" t="s">
        <v>274</v>
      </c>
      <c r="C100" s="314"/>
      <c r="D100" s="314"/>
      <c r="E100" s="314"/>
      <c r="F100" s="314"/>
      <c r="G100" s="314"/>
      <c r="H100" s="314"/>
      <c r="I100" s="314"/>
      <c r="J100" s="314"/>
      <c r="K100" s="314"/>
      <c r="L100" s="314"/>
      <c r="M100" s="314"/>
      <c r="N100" s="314"/>
      <c r="O100" s="314"/>
      <c r="P100" s="314"/>
      <c r="Q100" s="314"/>
      <c r="R100" s="314"/>
      <c r="S100" s="314"/>
      <c r="T100" s="337"/>
      <c r="U100" s="286"/>
      <c r="V100" s="338">
        <v>173</v>
      </c>
      <c r="W100" s="318"/>
      <c r="X100" s="5"/>
    </row>
    <row r="101" spans="1:25" ht="15.75" x14ac:dyDescent="0.25">
      <c r="A101" s="295"/>
      <c r="B101" s="286" t="s">
        <v>32</v>
      </c>
      <c r="C101" s="314"/>
      <c r="D101" s="314"/>
      <c r="E101" s="314"/>
      <c r="F101" s="314"/>
      <c r="G101" s="314"/>
      <c r="H101" s="314"/>
      <c r="I101" s="314"/>
      <c r="J101" s="314"/>
      <c r="K101" s="314"/>
      <c r="L101" s="314"/>
      <c r="M101" s="314"/>
      <c r="N101" s="314"/>
      <c r="O101" s="314"/>
      <c r="P101" s="314"/>
      <c r="Q101" s="314"/>
      <c r="R101" s="314"/>
      <c r="S101" s="314"/>
      <c r="T101" s="337">
        <f>T97+T99+T98</f>
        <v>6862</v>
      </c>
      <c r="U101" s="286"/>
      <c r="V101" s="337">
        <f>V97+V99+V98+V100</f>
        <v>6221</v>
      </c>
      <c r="W101" s="318"/>
      <c r="X101" s="5"/>
    </row>
    <row r="102" spans="1:25" ht="15.75" x14ac:dyDescent="0.25">
      <c r="A102" s="285"/>
      <c r="B102" s="342" t="s">
        <v>33</v>
      </c>
      <c r="C102" s="314"/>
      <c r="D102" s="314"/>
      <c r="E102" s="314"/>
      <c r="F102" s="314"/>
      <c r="G102" s="314"/>
      <c r="H102" s="314"/>
      <c r="I102" s="314"/>
      <c r="J102" s="314"/>
      <c r="K102" s="314"/>
      <c r="L102" s="314"/>
      <c r="M102" s="314"/>
      <c r="N102" s="314"/>
      <c r="O102" s="314"/>
      <c r="P102" s="314"/>
      <c r="Q102" s="314"/>
      <c r="R102" s="314"/>
      <c r="S102" s="314"/>
      <c r="T102" s="337"/>
      <c r="U102" s="286"/>
      <c r="V102" s="338"/>
      <c r="W102" s="318"/>
      <c r="X102" s="5"/>
    </row>
    <row r="103" spans="1:25" ht="15.75" x14ac:dyDescent="0.25">
      <c r="A103" s="295">
        <v>1</v>
      </c>
      <c r="B103" s="286" t="s">
        <v>34</v>
      </c>
      <c r="C103" s="286"/>
      <c r="D103" s="286"/>
      <c r="E103" s="314"/>
      <c r="F103" s="314"/>
      <c r="G103" s="314"/>
      <c r="H103" s="314"/>
      <c r="I103" s="314"/>
      <c r="J103" s="314"/>
      <c r="K103" s="314"/>
      <c r="L103" s="314"/>
      <c r="M103" s="314"/>
      <c r="N103" s="314"/>
      <c r="O103" s="314"/>
      <c r="P103" s="314"/>
      <c r="Q103" s="314"/>
      <c r="R103" s="314"/>
      <c r="S103" s="314"/>
      <c r="T103" s="286"/>
      <c r="U103" s="286"/>
      <c r="V103" s="338">
        <v>0</v>
      </c>
      <c r="W103" s="318"/>
      <c r="X103" s="5"/>
    </row>
    <row r="104" spans="1:25" ht="15.75" x14ac:dyDescent="0.25">
      <c r="A104" s="295">
        <f>+A103+1</f>
        <v>2</v>
      </c>
      <c r="B104" s="286" t="s">
        <v>221</v>
      </c>
      <c r="C104" s="286"/>
      <c r="D104" s="286"/>
      <c r="E104" s="314"/>
      <c r="F104" s="314"/>
      <c r="G104" s="314"/>
      <c r="H104" s="314"/>
      <c r="I104" s="314"/>
      <c r="J104" s="314"/>
      <c r="K104" s="314"/>
      <c r="L104" s="314"/>
      <c r="M104" s="314"/>
      <c r="N104" s="314"/>
      <c r="O104" s="314"/>
      <c r="P104" s="314"/>
      <c r="Q104" s="314"/>
      <c r="R104" s="314"/>
      <c r="S104" s="314"/>
      <c r="T104" s="286"/>
      <c r="U104" s="286"/>
      <c r="V104" s="338">
        <v>-2</v>
      </c>
      <c r="W104" s="318"/>
      <c r="X104" s="5"/>
    </row>
    <row r="105" spans="1:25" ht="15.75" x14ac:dyDescent="0.25">
      <c r="A105" s="295">
        <f>+A104+1</f>
        <v>3</v>
      </c>
      <c r="B105" s="286" t="s">
        <v>204</v>
      </c>
      <c r="C105" s="286"/>
      <c r="D105" s="286"/>
      <c r="E105" s="314"/>
      <c r="F105" s="314"/>
      <c r="G105" s="314"/>
      <c r="H105" s="314"/>
      <c r="I105" s="314"/>
      <c r="J105" s="314"/>
      <c r="K105" s="314"/>
      <c r="L105" s="314"/>
      <c r="M105" s="314"/>
      <c r="N105" s="314"/>
      <c r="O105" s="314"/>
      <c r="P105" s="314"/>
      <c r="Q105" s="314"/>
      <c r="R105" s="314"/>
      <c r="S105" s="314"/>
      <c r="T105" s="286"/>
      <c r="U105" s="286"/>
      <c r="V105" s="338">
        <f>-327-135-10</f>
        <v>-472</v>
      </c>
      <c r="W105" s="318"/>
      <c r="X105" s="5"/>
    </row>
    <row r="106" spans="1:25" ht="15.75" x14ac:dyDescent="0.25">
      <c r="A106" s="295" t="s">
        <v>127</v>
      </c>
      <c r="B106" s="286" t="s">
        <v>116</v>
      </c>
      <c r="C106" s="286"/>
      <c r="D106" s="286"/>
      <c r="E106" s="314"/>
      <c r="F106" s="314"/>
      <c r="G106" s="314"/>
      <c r="H106" s="314"/>
      <c r="I106" s="314"/>
      <c r="J106" s="314"/>
      <c r="K106" s="314"/>
      <c r="L106" s="314"/>
      <c r="M106" s="314"/>
      <c r="N106" s="314"/>
      <c r="O106" s="314"/>
      <c r="P106" s="314"/>
      <c r="Q106" s="314"/>
      <c r="R106" s="314"/>
      <c r="S106" s="314"/>
      <c r="T106" s="286"/>
      <c r="U106" s="286"/>
      <c r="V106" s="338">
        <v>-235</v>
      </c>
      <c r="W106" s="318"/>
      <c r="X106" s="5"/>
    </row>
    <row r="107" spans="1:25" ht="15.75" x14ac:dyDescent="0.25">
      <c r="A107" s="295" t="s">
        <v>128</v>
      </c>
      <c r="B107" s="286" t="s">
        <v>220</v>
      </c>
      <c r="C107" s="286"/>
      <c r="D107" s="286"/>
      <c r="E107" s="314"/>
      <c r="F107" s="314"/>
      <c r="G107" s="314"/>
      <c r="H107" s="314"/>
      <c r="I107" s="314"/>
      <c r="J107" s="314"/>
      <c r="K107" s="314"/>
      <c r="L107" s="314"/>
      <c r="M107" s="314"/>
      <c r="N107" s="314"/>
      <c r="O107" s="314"/>
      <c r="P107" s="314"/>
      <c r="Q107" s="314"/>
      <c r="R107" s="314"/>
      <c r="S107" s="314"/>
      <c r="T107" s="286"/>
      <c r="U107" s="286"/>
      <c r="V107" s="338">
        <f>-1523+379</f>
        <v>-1144</v>
      </c>
      <c r="W107" s="318"/>
      <c r="X107" s="5"/>
      <c r="Y107" s="109"/>
    </row>
    <row r="108" spans="1:25" ht="15.75" x14ac:dyDescent="0.25">
      <c r="A108" s="295" t="s">
        <v>150</v>
      </c>
      <c r="B108" s="286" t="s">
        <v>184</v>
      </c>
      <c r="C108" s="286"/>
      <c r="D108" s="286"/>
      <c r="E108" s="314"/>
      <c r="F108" s="314"/>
      <c r="G108" s="314"/>
      <c r="H108" s="314"/>
      <c r="I108" s="314"/>
      <c r="J108" s="314"/>
      <c r="K108" s="314"/>
      <c r="L108" s="314"/>
      <c r="M108" s="314"/>
      <c r="N108" s="314"/>
      <c r="O108" s="314"/>
      <c r="P108" s="314"/>
      <c r="Q108" s="314"/>
      <c r="R108" s="314"/>
      <c r="S108" s="314"/>
      <c r="T108" s="286"/>
      <c r="U108" s="286"/>
      <c r="V108" s="338">
        <v>-379</v>
      </c>
      <c r="W108" s="318"/>
      <c r="X108" s="5"/>
      <c r="Y108" s="109"/>
    </row>
    <row r="109" spans="1:25" ht="15.75" x14ac:dyDescent="0.25">
      <c r="A109" s="295" t="s">
        <v>205</v>
      </c>
      <c r="B109" s="286" t="s">
        <v>185</v>
      </c>
      <c r="C109" s="286"/>
      <c r="D109" s="286"/>
      <c r="E109" s="314"/>
      <c r="F109" s="314"/>
      <c r="G109" s="314"/>
      <c r="H109" s="314"/>
      <c r="I109" s="314"/>
      <c r="J109" s="314"/>
      <c r="K109" s="314"/>
      <c r="L109" s="314"/>
      <c r="M109" s="314"/>
      <c r="N109" s="314"/>
      <c r="O109" s="314"/>
      <c r="P109" s="314"/>
      <c r="Q109" s="314"/>
      <c r="R109" s="314"/>
      <c r="S109" s="314"/>
      <c r="T109" s="286"/>
      <c r="U109" s="286"/>
      <c r="V109" s="338">
        <v>-152</v>
      </c>
      <c r="W109" s="318"/>
      <c r="X109" s="5"/>
      <c r="Y109" s="109"/>
    </row>
    <row r="110" spans="1:25" ht="15.75" x14ac:dyDescent="0.25">
      <c r="A110" s="295" t="s">
        <v>206</v>
      </c>
      <c r="B110" s="286" t="s">
        <v>186</v>
      </c>
      <c r="C110" s="286"/>
      <c r="D110" s="286"/>
      <c r="E110" s="314"/>
      <c r="F110" s="314"/>
      <c r="G110" s="314"/>
      <c r="H110" s="314"/>
      <c r="I110" s="314"/>
      <c r="J110" s="314"/>
      <c r="K110" s="314"/>
      <c r="L110" s="314"/>
      <c r="M110" s="314"/>
      <c r="N110" s="314"/>
      <c r="O110" s="314"/>
      <c r="P110" s="314"/>
      <c r="Q110" s="314"/>
      <c r="R110" s="314"/>
      <c r="S110" s="314"/>
      <c r="T110" s="286"/>
      <c r="U110" s="286"/>
      <c r="V110" s="338">
        <v>-42</v>
      </c>
      <c r="W110" s="318"/>
      <c r="X110" s="5"/>
      <c r="Y110" s="109"/>
    </row>
    <row r="111" spans="1:25" ht="15.75" x14ac:dyDescent="0.25">
      <c r="A111" s="295">
        <v>6</v>
      </c>
      <c r="B111" s="286" t="s">
        <v>196</v>
      </c>
      <c r="C111" s="286"/>
      <c r="D111" s="286"/>
      <c r="E111" s="314"/>
      <c r="F111" s="314"/>
      <c r="G111" s="314"/>
      <c r="H111" s="314"/>
      <c r="I111" s="314"/>
      <c r="J111" s="314"/>
      <c r="K111" s="314"/>
      <c r="L111" s="314"/>
      <c r="M111" s="314"/>
      <c r="N111" s="314"/>
      <c r="O111" s="314"/>
      <c r="P111" s="314"/>
      <c r="Q111" s="314"/>
      <c r="R111" s="314"/>
      <c r="S111" s="314"/>
      <c r="T111" s="286"/>
      <c r="U111" s="286"/>
      <c r="V111" s="338">
        <v>-254</v>
      </c>
      <c r="W111" s="318"/>
      <c r="X111" s="5"/>
      <c r="Y111" s="109"/>
    </row>
    <row r="112" spans="1:25" ht="15.75" x14ac:dyDescent="0.25">
      <c r="A112" s="295">
        <v>7</v>
      </c>
      <c r="B112" s="286" t="s">
        <v>35</v>
      </c>
      <c r="C112" s="286"/>
      <c r="D112" s="286"/>
      <c r="E112" s="314"/>
      <c r="F112" s="314"/>
      <c r="G112" s="314"/>
      <c r="H112" s="314"/>
      <c r="I112" s="314"/>
      <c r="J112" s="314"/>
      <c r="K112" s="314"/>
      <c r="L112" s="314"/>
      <c r="M112" s="314"/>
      <c r="N112" s="314"/>
      <c r="O112" s="314"/>
      <c r="P112" s="314"/>
      <c r="Q112" s="314"/>
      <c r="R112" s="314"/>
      <c r="S112" s="314"/>
      <c r="T112" s="286"/>
      <c r="U112" s="286"/>
      <c r="V112" s="338">
        <v>-9</v>
      </c>
      <c r="W112" s="318"/>
      <c r="X112" s="5"/>
    </row>
    <row r="113" spans="1:24" ht="15.75" x14ac:dyDescent="0.25">
      <c r="A113" s="295">
        <f t="shared" ref="A113:A118" si="0">+A112+1</f>
        <v>8</v>
      </c>
      <c r="B113" s="286" t="s">
        <v>45</v>
      </c>
      <c r="C113" s="286"/>
      <c r="D113" s="286"/>
      <c r="E113" s="314"/>
      <c r="F113" s="314"/>
      <c r="G113" s="314"/>
      <c r="H113" s="314"/>
      <c r="I113" s="314"/>
      <c r="J113" s="314"/>
      <c r="K113" s="314"/>
      <c r="L113" s="314"/>
      <c r="M113" s="314"/>
      <c r="N113" s="314"/>
      <c r="O113" s="314"/>
      <c r="P113" s="314"/>
      <c r="Q113" s="314"/>
      <c r="R113" s="314"/>
      <c r="S113" s="314"/>
      <c r="T113" s="337">
        <f>-V113</f>
        <v>297</v>
      </c>
      <c r="U113" s="286"/>
      <c r="V113" s="338">
        <v>-297</v>
      </c>
      <c r="W113" s="318"/>
      <c r="X113" s="5"/>
    </row>
    <row r="114" spans="1:24" ht="15.75" x14ac:dyDescent="0.25">
      <c r="A114" s="295">
        <f t="shared" si="0"/>
        <v>9</v>
      </c>
      <c r="B114" s="286" t="s">
        <v>125</v>
      </c>
      <c r="C114" s="286"/>
      <c r="D114" s="286"/>
      <c r="E114" s="314"/>
      <c r="F114" s="314"/>
      <c r="G114" s="314"/>
      <c r="H114" s="314"/>
      <c r="I114" s="314"/>
      <c r="J114" s="314"/>
      <c r="K114" s="314"/>
      <c r="L114" s="314"/>
      <c r="M114" s="314"/>
      <c r="N114" s="314"/>
      <c r="O114" s="314"/>
      <c r="P114" s="314"/>
      <c r="Q114" s="314"/>
      <c r="R114" s="314"/>
      <c r="S114" s="314"/>
      <c r="T114" s="286"/>
      <c r="U114" s="286"/>
      <c r="V114" s="338">
        <v>0</v>
      </c>
      <c r="W114" s="318"/>
      <c r="X114" s="5"/>
    </row>
    <row r="115" spans="1:24" ht="15.75" x14ac:dyDescent="0.25">
      <c r="A115" s="295">
        <f t="shared" si="0"/>
        <v>10</v>
      </c>
      <c r="B115" s="286" t="s">
        <v>225</v>
      </c>
      <c r="C115" s="286"/>
      <c r="D115" s="286"/>
      <c r="E115" s="314"/>
      <c r="F115" s="314"/>
      <c r="G115" s="314"/>
      <c r="H115" s="314"/>
      <c r="I115" s="314"/>
      <c r="J115" s="314"/>
      <c r="K115" s="314"/>
      <c r="L115" s="314"/>
      <c r="M115" s="314"/>
      <c r="N115" s="314"/>
      <c r="O115" s="314"/>
      <c r="P115" s="314"/>
      <c r="Q115" s="314"/>
      <c r="R115" s="314"/>
      <c r="S115" s="314"/>
      <c r="T115" s="286"/>
      <c r="U115" s="286"/>
      <c r="V115" s="338">
        <v>0</v>
      </c>
      <c r="W115" s="318"/>
      <c r="X115" s="5"/>
    </row>
    <row r="116" spans="1:24" ht="15.75" x14ac:dyDescent="0.25">
      <c r="A116" s="295">
        <f t="shared" si="0"/>
        <v>11</v>
      </c>
      <c r="B116" s="286" t="s">
        <v>36</v>
      </c>
      <c r="C116" s="286"/>
      <c r="D116" s="286"/>
      <c r="E116" s="314"/>
      <c r="F116" s="314"/>
      <c r="G116" s="314"/>
      <c r="H116" s="314"/>
      <c r="I116" s="314"/>
      <c r="J116" s="314"/>
      <c r="K116" s="314"/>
      <c r="L116" s="314"/>
      <c r="M116" s="314"/>
      <c r="N116" s="314"/>
      <c r="O116" s="314"/>
      <c r="P116" s="314"/>
      <c r="Q116" s="314"/>
      <c r="R116" s="314"/>
      <c r="S116" s="314"/>
      <c r="T116" s="286"/>
      <c r="U116" s="286"/>
      <c r="V116" s="338">
        <v>0</v>
      </c>
      <c r="W116" s="318"/>
      <c r="X116" s="5"/>
    </row>
    <row r="117" spans="1:24" ht="15.75" x14ac:dyDescent="0.25">
      <c r="A117" s="295">
        <f t="shared" si="0"/>
        <v>12</v>
      </c>
      <c r="B117" s="286" t="s">
        <v>149</v>
      </c>
      <c r="C117" s="286"/>
      <c r="D117" s="286"/>
      <c r="E117" s="314"/>
      <c r="F117" s="314"/>
      <c r="G117" s="314"/>
      <c r="H117" s="314"/>
      <c r="I117" s="314"/>
      <c r="J117" s="314"/>
      <c r="K117" s="314"/>
      <c r="L117" s="314"/>
      <c r="M117" s="314"/>
      <c r="N117" s="314"/>
      <c r="O117" s="314"/>
      <c r="P117" s="314"/>
      <c r="Q117" s="314"/>
      <c r="R117" s="314"/>
      <c r="S117" s="314"/>
      <c r="T117" s="286"/>
      <c r="U117" s="286"/>
      <c r="V117" s="338">
        <v>-327</v>
      </c>
      <c r="W117" s="318"/>
      <c r="X117" s="5"/>
    </row>
    <row r="118" spans="1:24" ht="15.75" x14ac:dyDescent="0.25">
      <c r="A118" s="295">
        <f t="shared" si="0"/>
        <v>13</v>
      </c>
      <c r="B118" s="286" t="s">
        <v>126</v>
      </c>
      <c r="C118" s="286"/>
      <c r="D118" s="286"/>
      <c r="E118" s="314"/>
      <c r="F118" s="314"/>
      <c r="G118" s="314"/>
      <c r="H118" s="314"/>
      <c r="I118" s="314"/>
      <c r="J118" s="314"/>
      <c r="K118" s="314"/>
      <c r="L118" s="314"/>
      <c r="M118" s="314"/>
      <c r="N118" s="314"/>
      <c r="O118" s="314"/>
      <c r="P118" s="314"/>
      <c r="Q118" s="314"/>
      <c r="R118" s="314"/>
      <c r="S118" s="314"/>
      <c r="T118" s="286"/>
      <c r="U118" s="286"/>
      <c r="V118" s="338">
        <f>-V101-SUM(V103:V117)</f>
        <v>-2908</v>
      </c>
      <c r="W118" s="318"/>
      <c r="X118" s="5"/>
    </row>
    <row r="119" spans="1:24" ht="15.75" x14ac:dyDescent="0.25">
      <c r="A119" s="285"/>
      <c r="B119" s="342" t="s">
        <v>37</v>
      </c>
      <c r="C119" s="314"/>
      <c r="D119" s="314"/>
      <c r="E119" s="314"/>
      <c r="F119" s="314"/>
      <c r="G119" s="314"/>
      <c r="H119" s="314"/>
      <c r="I119" s="314"/>
      <c r="J119" s="314"/>
      <c r="K119" s="314"/>
      <c r="L119" s="314"/>
      <c r="M119" s="314"/>
      <c r="N119" s="314"/>
      <c r="O119" s="314"/>
      <c r="P119" s="314"/>
      <c r="Q119" s="314"/>
      <c r="R119" s="314"/>
      <c r="S119" s="314"/>
      <c r="T119" s="286"/>
      <c r="U119" s="286"/>
      <c r="V119" s="343"/>
      <c r="W119" s="318"/>
      <c r="X119" s="5"/>
    </row>
    <row r="120" spans="1:24" ht="15.75" x14ac:dyDescent="0.25">
      <c r="A120" s="285"/>
      <c r="B120" s="286" t="s">
        <v>173</v>
      </c>
      <c r="C120" s="314"/>
      <c r="D120" s="314"/>
      <c r="E120" s="314"/>
      <c r="F120" s="314"/>
      <c r="G120" s="314"/>
      <c r="H120" s="314"/>
      <c r="I120" s="314"/>
      <c r="J120" s="314"/>
      <c r="K120" s="314"/>
      <c r="L120" s="314"/>
      <c r="M120" s="314"/>
      <c r="N120" s="314"/>
      <c r="O120" s="314"/>
      <c r="P120" s="314"/>
      <c r="Q120" s="314"/>
      <c r="R120" s="314"/>
      <c r="S120" s="314"/>
      <c r="T120" s="337">
        <f>-T185</f>
        <v>-11</v>
      </c>
      <c r="U120" s="337"/>
      <c r="V120" s="338"/>
      <c r="W120" s="318"/>
      <c r="X120" s="5"/>
    </row>
    <row r="121" spans="1:24" ht="15.75" x14ac:dyDescent="0.25">
      <c r="A121" s="285"/>
      <c r="B121" s="286" t="s">
        <v>174</v>
      </c>
      <c r="C121" s="314"/>
      <c r="D121" s="314"/>
      <c r="E121" s="314"/>
      <c r="F121" s="314"/>
      <c r="G121" s="314"/>
      <c r="H121" s="314"/>
      <c r="I121" s="314"/>
      <c r="J121" s="314"/>
      <c r="K121" s="314"/>
      <c r="L121" s="314"/>
      <c r="M121" s="314"/>
      <c r="N121" s="314"/>
      <c r="O121" s="314"/>
      <c r="P121" s="314"/>
      <c r="Q121" s="314"/>
      <c r="R121" s="314"/>
      <c r="S121" s="314"/>
      <c r="T121" s="337">
        <v>-3</v>
      </c>
      <c r="U121" s="337"/>
      <c r="V121" s="338"/>
      <c r="W121" s="318"/>
      <c r="X121" s="5"/>
    </row>
    <row r="122" spans="1:24" ht="15.75" x14ac:dyDescent="0.25">
      <c r="A122" s="285"/>
      <c r="B122" s="286" t="s">
        <v>38</v>
      </c>
      <c r="C122" s="314"/>
      <c r="D122" s="314"/>
      <c r="E122" s="314"/>
      <c r="F122" s="314"/>
      <c r="G122" s="314"/>
      <c r="H122" s="314"/>
      <c r="I122" s="314"/>
      <c r="J122" s="314"/>
      <c r="K122" s="314"/>
      <c r="L122" s="314"/>
      <c r="M122" s="314"/>
      <c r="N122" s="314"/>
      <c r="O122" s="314"/>
      <c r="P122" s="314"/>
      <c r="Q122" s="314"/>
      <c r="R122" s="314"/>
      <c r="S122" s="314"/>
      <c r="T122" s="337">
        <f>-S185</f>
        <v>-183</v>
      </c>
      <c r="U122" s="337"/>
      <c r="V122" s="338"/>
      <c r="W122" s="318"/>
      <c r="X122" s="5"/>
    </row>
    <row r="123" spans="1:24" ht="15.75" x14ac:dyDescent="0.25">
      <c r="A123" s="285"/>
      <c r="B123" s="286" t="s">
        <v>197</v>
      </c>
      <c r="C123" s="314"/>
      <c r="D123" s="314"/>
      <c r="E123" s="314"/>
      <c r="F123" s="314"/>
      <c r="G123" s="314"/>
      <c r="H123" s="314"/>
      <c r="I123" s="314"/>
      <c r="J123" s="314"/>
      <c r="K123" s="314"/>
      <c r="L123" s="314"/>
      <c r="M123" s="314"/>
      <c r="N123" s="314"/>
      <c r="O123" s="314"/>
      <c r="P123" s="314"/>
      <c r="Q123" s="314"/>
      <c r="R123" s="314"/>
      <c r="S123" s="314"/>
      <c r="T123" s="337">
        <v>-4032</v>
      </c>
      <c r="U123" s="337"/>
      <c r="V123" s="338"/>
      <c r="W123" s="318"/>
      <c r="X123" s="5"/>
    </row>
    <row r="124" spans="1:24" ht="15.75" x14ac:dyDescent="0.25">
      <c r="A124" s="285"/>
      <c r="B124" s="286" t="s">
        <v>195</v>
      </c>
      <c r="C124" s="314"/>
      <c r="D124" s="314"/>
      <c r="E124" s="314"/>
      <c r="F124" s="314"/>
      <c r="G124" s="314"/>
      <c r="H124" s="314"/>
      <c r="I124" s="314"/>
      <c r="J124" s="314"/>
      <c r="K124" s="314"/>
      <c r="L124" s="314"/>
      <c r="M124" s="314"/>
      <c r="N124" s="314"/>
      <c r="O124" s="314"/>
      <c r="P124" s="314"/>
      <c r="Q124" s="314"/>
      <c r="R124" s="314"/>
      <c r="S124" s="314"/>
      <c r="T124" s="337">
        <v>-1714</v>
      </c>
      <c r="U124" s="337"/>
      <c r="V124" s="338"/>
      <c r="W124" s="318"/>
      <c r="X124" s="5"/>
    </row>
    <row r="125" spans="1:24" ht="15.75" x14ac:dyDescent="0.25">
      <c r="A125" s="285"/>
      <c r="B125" s="286" t="s">
        <v>194</v>
      </c>
      <c r="C125" s="314"/>
      <c r="D125" s="314"/>
      <c r="E125" s="314"/>
      <c r="F125" s="314"/>
      <c r="G125" s="314"/>
      <c r="H125" s="314"/>
      <c r="I125" s="314"/>
      <c r="J125" s="314"/>
      <c r="K125" s="314"/>
      <c r="L125" s="314"/>
      <c r="M125" s="314"/>
      <c r="N125" s="314"/>
      <c r="O125" s="314"/>
      <c r="P125" s="314"/>
      <c r="Q125" s="314"/>
      <c r="R125" s="314"/>
      <c r="S125" s="314"/>
      <c r="T125" s="337">
        <v>-611</v>
      </c>
      <c r="U125" s="337"/>
      <c r="V125" s="338"/>
      <c r="W125" s="318"/>
      <c r="X125" s="5"/>
    </row>
    <row r="126" spans="1:24" ht="15.75" x14ac:dyDescent="0.25">
      <c r="A126" s="285"/>
      <c r="B126" s="286" t="s">
        <v>222</v>
      </c>
      <c r="C126" s="314"/>
      <c r="D126" s="314"/>
      <c r="E126" s="314"/>
      <c r="F126" s="314"/>
      <c r="G126" s="314"/>
      <c r="H126" s="314"/>
      <c r="I126" s="314"/>
      <c r="J126" s="314"/>
      <c r="K126" s="314"/>
      <c r="L126" s="314"/>
      <c r="M126" s="314"/>
      <c r="N126" s="314"/>
      <c r="O126" s="314"/>
      <c r="P126" s="314"/>
      <c r="Q126" s="314"/>
      <c r="R126" s="314"/>
      <c r="S126" s="314"/>
      <c r="T126" s="337">
        <v>-605</v>
      </c>
      <c r="U126" s="337"/>
      <c r="V126" s="338"/>
      <c r="W126" s="318"/>
      <c r="X126" s="5"/>
    </row>
    <row r="127" spans="1:24" ht="15.75" x14ac:dyDescent="0.25">
      <c r="A127" s="285"/>
      <c r="B127" s="286" t="s">
        <v>189</v>
      </c>
      <c r="C127" s="314"/>
      <c r="D127" s="314"/>
      <c r="E127" s="314"/>
      <c r="F127" s="314"/>
      <c r="G127" s="314"/>
      <c r="H127" s="314"/>
      <c r="I127" s="314"/>
      <c r="J127" s="314"/>
      <c r="K127" s="314"/>
      <c r="L127" s="314"/>
      <c r="M127" s="314"/>
      <c r="N127" s="314"/>
      <c r="O127" s="314"/>
      <c r="P127" s="314"/>
      <c r="Q127" s="314"/>
      <c r="R127" s="314"/>
      <c r="S127" s="314"/>
      <c r="T127" s="337">
        <v>0</v>
      </c>
      <c r="U127" s="337"/>
      <c r="V127" s="338"/>
      <c r="W127" s="318"/>
      <c r="X127" s="5"/>
    </row>
    <row r="128" spans="1:24" ht="15.75" x14ac:dyDescent="0.25">
      <c r="A128" s="285"/>
      <c r="B128" s="286" t="s">
        <v>188</v>
      </c>
      <c r="C128" s="314"/>
      <c r="D128" s="314"/>
      <c r="E128" s="314"/>
      <c r="F128" s="314"/>
      <c r="G128" s="314"/>
      <c r="H128" s="314"/>
      <c r="I128" s="314"/>
      <c r="J128" s="314"/>
      <c r="K128" s="314"/>
      <c r="L128" s="314"/>
      <c r="M128" s="314"/>
      <c r="N128" s="314"/>
      <c r="O128" s="314"/>
      <c r="P128" s="314"/>
      <c r="Q128" s="314"/>
      <c r="R128" s="314"/>
      <c r="S128" s="314"/>
      <c r="T128" s="337">
        <v>0</v>
      </c>
      <c r="U128" s="337"/>
      <c r="V128" s="338"/>
      <c r="W128" s="318"/>
      <c r="X128" s="5"/>
    </row>
    <row r="129" spans="1:24" ht="15.75" x14ac:dyDescent="0.25">
      <c r="A129" s="285"/>
      <c r="B129" s="286" t="s">
        <v>187</v>
      </c>
      <c r="C129" s="314"/>
      <c r="D129" s="314"/>
      <c r="E129" s="314"/>
      <c r="F129" s="314"/>
      <c r="G129" s="314"/>
      <c r="H129" s="314"/>
      <c r="I129" s="314"/>
      <c r="J129" s="314"/>
      <c r="K129" s="314"/>
      <c r="L129" s="314"/>
      <c r="M129" s="314"/>
      <c r="N129" s="314"/>
      <c r="O129" s="314"/>
      <c r="P129" s="314"/>
      <c r="Q129" s="314"/>
      <c r="R129" s="314"/>
      <c r="S129" s="314"/>
      <c r="T129" s="337">
        <v>0</v>
      </c>
      <c r="U129" s="337"/>
      <c r="V129" s="338"/>
      <c r="W129" s="318"/>
      <c r="X129" s="5"/>
    </row>
    <row r="130" spans="1:24" ht="15.75" x14ac:dyDescent="0.25">
      <c r="A130" s="285"/>
      <c r="B130" s="286" t="s">
        <v>39</v>
      </c>
      <c r="C130" s="314"/>
      <c r="D130" s="314"/>
      <c r="E130" s="314"/>
      <c r="F130" s="314"/>
      <c r="G130" s="314"/>
      <c r="H130" s="314"/>
      <c r="I130" s="314"/>
      <c r="J130" s="314"/>
      <c r="K130" s="314"/>
      <c r="L130" s="314"/>
      <c r="M130" s="314"/>
      <c r="N130" s="314"/>
      <c r="O130" s="314"/>
      <c r="P130" s="314"/>
      <c r="Q130" s="314"/>
      <c r="R130" s="314"/>
      <c r="S130" s="314"/>
      <c r="T130" s="337">
        <f>SUM(T120:T129)</f>
        <v>-7159</v>
      </c>
      <c r="U130" s="337"/>
      <c r="V130" s="337">
        <f>SUM(V102:V128)</f>
        <v>-6221</v>
      </c>
      <c r="W130" s="318"/>
      <c r="X130" s="5"/>
    </row>
    <row r="131" spans="1:24" ht="15.75" x14ac:dyDescent="0.25">
      <c r="A131" s="285"/>
      <c r="B131" s="286" t="s">
        <v>40</v>
      </c>
      <c r="C131" s="314"/>
      <c r="D131" s="314"/>
      <c r="E131" s="314"/>
      <c r="F131" s="314"/>
      <c r="G131" s="314"/>
      <c r="H131" s="314"/>
      <c r="I131" s="314"/>
      <c r="J131" s="314"/>
      <c r="K131" s="314"/>
      <c r="L131" s="314"/>
      <c r="M131" s="314"/>
      <c r="N131" s="314"/>
      <c r="O131" s="314"/>
      <c r="P131" s="314"/>
      <c r="Q131" s="314"/>
      <c r="R131" s="314"/>
      <c r="S131" s="314"/>
      <c r="T131" s="337">
        <f>T101+T130+T113</f>
        <v>0</v>
      </c>
      <c r="U131" s="337"/>
      <c r="V131" s="337">
        <f>V101+V130</f>
        <v>0</v>
      </c>
      <c r="W131" s="318"/>
      <c r="X131" s="5"/>
    </row>
    <row r="132" spans="1:24" ht="15.75" x14ac:dyDescent="0.25">
      <c r="A132" s="181"/>
      <c r="B132" s="212"/>
      <c r="C132" s="212"/>
      <c r="D132" s="212"/>
      <c r="E132" s="212"/>
      <c r="F132" s="212"/>
      <c r="G132" s="212"/>
      <c r="H132" s="212"/>
      <c r="I132" s="212"/>
      <c r="J132" s="212"/>
      <c r="K132" s="212"/>
      <c r="L132" s="212"/>
      <c r="M132" s="212"/>
      <c r="N132" s="212"/>
      <c r="O132" s="212"/>
      <c r="P132" s="212"/>
      <c r="Q132" s="212"/>
      <c r="R132" s="212"/>
      <c r="S132" s="212"/>
      <c r="T132" s="335"/>
      <c r="U132" s="335"/>
      <c r="V132" s="335"/>
      <c r="W132" s="212"/>
      <c r="X132" s="5"/>
    </row>
    <row r="133" spans="1:24" ht="15.75" x14ac:dyDescent="0.25">
      <c r="A133" s="181"/>
      <c r="B133" s="183"/>
      <c r="C133" s="183"/>
      <c r="D133" s="183"/>
      <c r="E133" s="183"/>
      <c r="F133" s="183"/>
      <c r="G133" s="183"/>
      <c r="H133" s="183"/>
      <c r="I133" s="183"/>
      <c r="J133" s="183"/>
      <c r="K133" s="183"/>
      <c r="L133" s="183"/>
      <c r="M133" s="183"/>
      <c r="N133" s="183"/>
      <c r="O133" s="183"/>
      <c r="P133" s="183"/>
      <c r="Q133" s="183"/>
      <c r="R133" s="183"/>
      <c r="S133" s="183"/>
      <c r="T133" s="183"/>
      <c r="U133" s="183"/>
      <c r="V133" s="202"/>
      <c r="W133" s="183"/>
      <c r="X133" s="5"/>
    </row>
    <row r="134" spans="1:24" ht="19.5" thickBot="1" x14ac:dyDescent="0.35">
      <c r="A134" s="197"/>
      <c r="B134" s="270" t="str">
        <f>B64</f>
        <v>PM15 INVESTOR REPORT QUARTER ENDING AUGUST 2010</v>
      </c>
      <c r="C134" s="198"/>
      <c r="D134" s="198"/>
      <c r="E134" s="198"/>
      <c r="F134" s="198"/>
      <c r="G134" s="198"/>
      <c r="H134" s="198"/>
      <c r="I134" s="198"/>
      <c r="J134" s="198"/>
      <c r="K134" s="198"/>
      <c r="L134" s="198"/>
      <c r="M134" s="198"/>
      <c r="N134" s="198"/>
      <c r="O134" s="198"/>
      <c r="P134" s="198"/>
      <c r="Q134" s="198"/>
      <c r="R134" s="198"/>
      <c r="S134" s="198"/>
      <c r="T134" s="198"/>
      <c r="U134" s="198"/>
      <c r="V134" s="209"/>
      <c r="W134" s="200"/>
      <c r="X134" s="5"/>
    </row>
    <row r="135" spans="1:24" ht="15.75" x14ac:dyDescent="0.25">
      <c r="A135" s="236"/>
      <c r="B135" s="237" t="s">
        <v>41</v>
      </c>
      <c r="C135" s="238"/>
      <c r="D135" s="238"/>
      <c r="E135" s="238"/>
      <c r="F135" s="238"/>
      <c r="G135" s="238"/>
      <c r="H135" s="238"/>
      <c r="I135" s="238"/>
      <c r="J135" s="238"/>
      <c r="K135" s="238"/>
      <c r="L135" s="238"/>
      <c r="M135" s="238"/>
      <c r="N135" s="238"/>
      <c r="O135" s="238"/>
      <c r="P135" s="238"/>
      <c r="Q135" s="238"/>
      <c r="R135" s="238"/>
      <c r="S135" s="238"/>
      <c r="T135" s="238"/>
      <c r="U135" s="238"/>
      <c r="V135" s="239"/>
      <c r="W135" s="238"/>
      <c r="X135" s="5"/>
    </row>
    <row r="136" spans="1:24" ht="15.75" x14ac:dyDescent="0.25">
      <c r="A136" s="181"/>
      <c r="B136" s="191"/>
      <c r="C136" s="183"/>
      <c r="D136" s="183"/>
      <c r="E136" s="183"/>
      <c r="F136" s="183"/>
      <c r="G136" s="183"/>
      <c r="H136" s="183"/>
      <c r="I136" s="183"/>
      <c r="J136" s="183"/>
      <c r="K136" s="183"/>
      <c r="L136" s="183"/>
      <c r="M136" s="183"/>
      <c r="N136" s="183"/>
      <c r="O136" s="183"/>
      <c r="P136" s="183"/>
      <c r="Q136" s="183"/>
      <c r="R136" s="183"/>
      <c r="S136" s="183"/>
      <c r="T136" s="183"/>
      <c r="U136" s="183"/>
      <c r="V136" s="202"/>
      <c r="W136" s="183"/>
      <c r="X136" s="5"/>
    </row>
    <row r="137" spans="1:24" ht="15.75" x14ac:dyDescent="0.25">
      <c r="A137" s="181"/>
      <c r="B137" s="210" t="s">
        <v>42</v>
      </c>
      <c r="C137" s="183"/>
      <c r="D137" s="183"/>
      <c r="E137" s="183"/>
      <c r="F137" s="183"/>
      <c r="G137" s="183"/>
      <c r="H137" s="183"/>
      <c r="I137" s="183"/>
      <c r="J137" s="183"/>
      <c r="K137" s="183"/>
      <c r="L137" s="183"/>
      <c r="M137" s="183"/>
      <c r="N137" s="183"/>
      <c r="O137" s="183"/>
      <c r="P137" s="183"/>
      <c r="Q137" s="183"/>
      <c r="R137" s="183"/>
      <c r="S137" s="183"/>
      <c r="T137" s="183"/>
      <c r="U137" s="183"/>
      <c r="V137" s="202"/>
      <c r="W137" s="183"/>
      <c r="X137" s="5"/>
    </row>
    <row r="138" spans="1:24" ht="15.75" x14ac:dyDescent="0.25">
      <c r="A138" s="285"/>
      <c r="B138" s="286" t="s">
        <v>43</v>
      </c>
      <c r="C138" s="286"/>
      <c r="D138" s="286"/>
      <c r="E138" s="286"/>
      <c r="F138" s="286"/>
      <c r="G138" s="286"/>
      <c r="H138" s="286"/>
      <c r="I138" s="286"/>
      <c r="J138" s="286"/>
      <c r="K138" s="286"/>
      <c r="L138" s="286"/>
      <c r="M138" s="286"/>
      <c r="N138" s="286"/>
      <c r="O138" s="286"/>
      <c r="P138" s="286"/>
      <c r="Q138" s="286"/>
      <c r="R138" s="286"/>
      <c r="S138" s="286"/>
      <c r="T138" s="286"/>
      <c r="U138" s="286"/>
      <c r="V138" s="338">
        <f>+V34*0.019</f>
        <v>19021.526999999998</v>
      </c>
      <c r="W138" s="289"/>
      <c r="X138" s="5"/>
    </row>
    <row r="139" spans="1:24" ht="15.75" x14ac:dyDescent="0.25">
      <c r="A139" s="285"/>
      <c r="B139" s="286" t="s">
        <v>44</v>
      </c>
      <c r="C139" s="286"/>
      <c r="D139" s="286"/>
      <c r="E139" s="286"/>
      <c r="F139" s="286"/>
      <c r="G139" s="286"/>
      <c r="H139" s="286"/>
      <c r="I139" s="286"/>
      <c r="J139" s="286"/>
      <c r="K139" s="286"/>
      <c r="L139" s="286"/>
      <c r="M139" s="286"/>
      <c r="N139" s="286"/>
      <c r="O139" s="286"/>
      <c r="P139" s="286"/>
      <c r="Q139" s="286"/>
      <c r="R139" s="286"/>
      <c r="S139" s="286"/>
      <c r="T139" s="286"/>
      <c r="U139" s="286"/>
      <c r="V139" s="338">
        <v>19022</v>
      </c>
      <c r="W139" s="289"/>
      <c r="X139" s="5"/>
    </row>
    <row r="140" spans="1:24" ht="15.75" x14ac:dyDescent="0.25">
      <c r="A140" s="285"/>
      <c r="B140" s="286" t="s">
        <v>136</v>
      </c>
      <c r="C140" s="286"/>
      <c r="D140" s="286"/>
      <c r="E140" s="286"/>
      <c r="F140" s="286"/>
      <c r="G140" s="286"/>
      <c r="H140" s="286"/>
      <c r="I140" s="286"/>
      <c r="J140" s="286"/>
      <c r="K140" s="286"/>
      <c r="L140" s="286"/>
      <c r="M140" s="286"/>
      <c r="N140" s="286"/>
      <c r="O140" s="286"/>
      <c r="P140" s="286"/>
      <c r="Q140" s="286"/>
      <c r="R140" s="286"/>
      <c r="S140" s="286"/>
      <c r="T140" s="286"/>
      <c r="U140" s="286"/>
      <c r="V140" s="338"/>
      <c r="W140" s="289"/>
      <c r="X140" s="5"/>
    </row>
    <row r="141" spans="1:24" ht="15.75" x14ac:dyDescent="0.25">
      <c r="A141" s="285"/>
      <c r="B141" s="286" t="s">
        <v>123</v>
      </c>
      <c r="C141" s="286"/>
      <c r="D141" s="286"/>
      <c r="E141" s="286"/>
      <c r="F141" s="286"/>
      <c r="G141" s="286"/>
      <c r="H141" s="286"/>
      <c r="I141" s="286"/>
      <c r="J141" s="286"/>
      <c r="K141" s="286"/>
      <c r="L141" s="286"/>
      <c r="M141" s="286"/>
      <c r="N141" s="286"/>
      <c r="O141" s="286"/>
      <c r="P141" s="286"/>
      <c r="Q141" s="286"/>
      <c r="R141" s="286"/>
      <c r="S141" s="286"/>
      <c r="T141" s="286"/>
      <c r="U141" s="286"/>
      <c r="V141" s="338">
        <v>0</v>
      </c>
      <c r="W141" s="289"/>
      <c r="X141" s="5"/>
    </row>
    <row r="142" spans="1:24" ht="15.75" x14ac:dyDescent="0.25">
      <c r="A142" s="285"/>
      <c r="B142" s="286" t="s">
        <v>124</v>
      </c>
      <c r="C142" s="286"/>
      <c r="D142" s="286"/>
      <c r="E142" s="286"/>
      <c r="F142" s="286"/>
      <c r="G142" s="286"/>
      <c r="H142" s="286"/>
      <c r="I142" s="286"/>
      <c r="J142" s="286"/>
      <c r="K142" s="286"/>
      <c r="L142" s="286"/>
      <c r="M142" s="286"/>
      <c r="N142" s="286"/>
      <c r="O142" s="286"/>
      <c r="P142" s="286"/>
      <c r="Q142" s="286"/>
      <c r="R142" s="286"/>
      <c r="S142" s="286"/>
      <c r="T142" s="286"/>
      <c r="U142" s="286"/>
      <c r="V142" s="338">
        <v>0</v>
      </c>
      <c r="W142" s="289"/>
      <c r="X142" s="5"/>
    </row>
    <row r="143" spans="1:24" ht="15.75" x14ac:dyDescent="0.25">
      <c r="A143" s="285"/>
      <c r="B143" s="286" t="s">
        <v>175</v>
      </c>
      <c r="C143" s="286"/>
      <c r="D143" s="286"/>
      <c r="E143" s="286"/>
      <c r="F143" s="286"/>
      <c r="G143" s="286"/>
      <c r="H143" s="286"/>
      <c r="I143" s="286"/>
      <c r="J143" s="286"/>
      <c r="K143" s="286"/>
      <c r="L143" s="286"/>
      <c r="M143" s="286"/>
      <c r="N143" s="286"/>
      <c r="O143" s="286"/>
      <c r="P143" s="286"/>
      <c r="Q143" s="286"/>
      <c r="R143" s="286"/>
      <c r="S143" s="286"/>
      <c r="T143" s="286"/>
      <c r="U143" s="286"/>
      <c r="V143" s="338">
        <v>0</v>
      </c>
      <c r="W143" s="289"/>
      <c r="X143" s="5"/>
    </row>
    <row r="144" spans="1:24" ht="15.75" x14ac:dyDescent="0.25">
      <c r="A144" s="285"/>
      <c r="B144" s="286" t="s">
        <v>45</v>
      </c>
      <c r="C144" s="286"/>
      <c r="D144" s="286"/>
      <c r="E144" s="286"/>
      <c r="F144" s="286"/>
      <c r="G144" s="286"/>
      <c r="H144" s="286"/>
      <c r="I144" s="286"/>
      <c r="J144" s="286"/>
      <c r="K144" s="286"/>
      <c r="L144" s="286"/>
      <c r="M144" s="286"/>
      <c r="N144" s="286"/>
      <c r="O144" s="286"/>
      <c r="P144" s="286"/>
      <c r="Q144" s="286"/>
      <c r="R144" s="286"/>
      <c r="S144" s="286"/>
      <c r="T144" s="286"/>
      <c r="U144" s="286"/>
      <c r="V144" s="338">
        <v>0</v>
      </c>
      <c r="W144" s="289"/>
      <c r="X144" s="5"/>
    </row>
    <row r="145" spans="1:25" ht="15.75" x14ac:dyDescent="0.25">
      <c r="A145" s="285"/>
      <c r="B145" s="286" t="s">
        <v>129</v>
      </c>
      <c r="C145" s="286"/>
      <c r="D145" s="286"/>
      <c r="E145" s="286"/>
      <c r="F145" s="286"/>
      <c r="G145" s="286"/>
      <c r="H145" s="286"/>
      <c r="I145" s="286"/>
      <c r="J145" s="286"/>
      <c r="K145" s="286"/>
      <c r="L145" s="286"/>
      <c r="M145" s="286"/>
      <c r="N145" s="286"/>
      <c r="O145" s="286"/>
      <c r="P145" s="286"/>
      <c r="Q145" s="286"/>
      <c r="R145" s="286"/>
      <c r="S145" s="286"/>
      <c r="T145" s="286"/>
      <c r="U145" s="286"/>
      <c r="V145" s="338">
        <v>0</v>
      </c>
      <c r="W145" s="289"/>
      <c r="X145" s="5"/>
    </row>
    <row r="146" spans="1:25" ht="15.75" x14ac:dyDescent="0.25">
      <c r="A146" s="285"/>
      <c r="B146" s="286" t="s">
        <v>241</v>
      </c>
      <c r="C146" s="286"/>
      <c r="D146" s="286"/>
      <c r="E146" s="286"/>
      <c r="F146" s="286"/>
      <c r="G146" s="286"/>
      <c r="H146" s="286"/>
      <c r="I146" s="286"/>
      <c r="J146" s="286"/>
      <c r="K146" s="286"/>
      <c r="L146" s="286"/>
      <c r="M146" s="286"/>
      <c r="N146" s="286"/>
      <c r="O146" s="286"/>
      <c r="P146" s="286"/>
      <c r="Q146" s="286"/>
      <c r="R146" s="286"/>
      <c r="S146" s="286"/>
      <c r="T146" s="286"/>
      <c r="U146" s="286"/>
      <c r="V146" s="338">
        <v>0</v>
      </c>
      <c r="W146" s="289"/>
      <c r="X146" s="5"/>
      <c r="Y146" s="109"/>
    </row>
    <row r="147" spans="1:25" ht="15.75" x14ac:dyDescent="0.25">
      <c r="A147" s="285"/>
      <c r="B147" s="286" t="s">
        <v>46</v>
      </c>
      <c r="C147" s="286"/>
      <c r="D147" s="286"/>
      <c r="E147" s="286"/>
      <c r="F147" s="286"/>
      <c r="G147" s="286"/>
      <c r="H147" s="286"/>
      <c r="I147" s="286"/>
      <c r="J147" s="286"/>
      <c r="K147" s="286"/>
      <c r="L147" s="286"/>
      <c r="M147" s="286"/>
      <c r="N147" s="286"/>
      <c r="O147" s="286"/>
      <c r="P147" s="286"/>
      <c r="Q147" s="286"/>
      <c r="R147" s="286"/>
      <c r="S147" s="286"/>
      <c r="T147" s="286"/>
      <c r="U147" s="286"/>
      <c r="V147" s="338">
        <f>SUM(V139:V146)</f>
        <v>19022</v>
      </c>
      <c r="W147" s="289"/>
      <c r="X147" s="5"/>
    </row>
    <row r="148" spans="1:25" ht="15.75" x14ac:dyDescent="0.25">
      <c r="A148" s="285"/>
      <c r="B148" s="314"/>
      <c r="C148" s="314"/>
      <c r="D148" s="314"/>
      <c r="E148" s="314"/>
      <c r="F148" s="314"/>
      <c r="G148" s="314"/>
      <c r="H148" s="314"/>
      <c r="I148" s="314"/>
      <c r="J148" s="314"/>
      <c r="K148" s="314"/>
      <c r="L148" s="314"/>
      <c r="M148" s="314"/>
      <c r="N148" s="314"/>
      <c r="O148" s="314"/>
      <c r="P148" s="314"/>
      <c r="Q148" s="314"/>
      <c r="R148" s="314"/>
      <c r="S148" s="314"/>
      <c r="T148" s="314"/>
      <c r="U148" s="314"/>
      <c r="V148" s="345"/>
      <c r="W148" s="318"/>
      <c r="X148" s="5"/>
    </row>
    <row r="149" spans="1:25" ht="15.75" x14ac:dyDescent="0.25">
      <c r="A149" s="285"/>
      <c r="B149" s="342" t="s">
        <v>269</v>
      </c>
      <c r="C149" s="314"/>
      <c r="D149" s="314"/>
      <c r="E149" s="314"/>
      <c r="F149" s="314"/>
      <c r="G149" s="314"/>
      <c r="H149" s="314"/>
      <c r="I149" s="314"/>
      <c r="J149" s="314"/>
      <c r="K149" s="314"/>
      <c r="L149" s="314"/>
      <c r="M149" s="314"/>
      <c r="N149" s="314"/>
      <c r="O149" s="314"/>
      <c r="P149" s="314"/>
      <c r="Q149" s="314"/>
      <c r="R149" s="314"/>
      <c r="S149" s="314"/>
      <c r="T149" s="314"/>
      <c r="U149" s="314"/>
      <c r="V149" s="345"/>
      <c r="W149" s="318"/>
      <c r="X149" s="5"/>
    </row>
    <row r="150" spans="1:25" ht="15.75" x14ac:dyDescent="0.25">
      <c r="A150" s="285"/>
      <c r="B150" s="286" t="s">
        <v>155</v>
      </c>
      <c r="C150" s="286"/>
      <c r="D150" s="286"/>
      <c r="E150" s="286"/>
      <c r="F150" s="286"/>
      <c r="G150" s="286"/>
      <c r="H150" s="286"/>
      <c r="I150" s="286"/>
      <c r="J150" s="286"/>
      <c r="K150" s="286"/>
      <c r="L150" s="286"/>
      <c r="M150" s="286"/>
      <c r="N150" s="286"/>
      <c r="O150" s="286"/>
      <c r="P150" s="286"/>
      <c r="Q150" s="286"/>
      <c r="R150" s="286"/>
      <c r="S150" s="286"/>
      <c r="T150" s="286"/>
      <c r="U150" s="286"/>
      <c r="V150" s="338">
        <v>0</v>
      </c>
      <c r="W150" s="289"/>
      <c r="X150" s="5"/>
    </row>
    <row r="151" spans="1:25" ht="15.75" x14ac:dyDescent="0.25">
      <c r="A151" s="285"/>
      <c r="B151" s="286" t="s">
        <v>172</v>
      </c>
      <c r="C151" s="286"/>
      <c r="D151" s="286"/>
      <c r="E151" s="286"/>
      <c r="F151" s="286"/>
      <c r="G151" s="286"/>
      <c r="H151" s="286"/>
      <c r="I151" s="286"/>
      <c r="J151" s="286"/>
      <c r="K151" s="286"/>
      <c r="L151" s="286"/>
      <c r="M151" s="286"/>
      <c r="N151" s="286"/>
      <c r="O151" s="286"/>
      <c r="P151" s="286"/>
      <c r="Q151" s="286"/>
      <c r="R151" s="286"/>
      <c r="S151" s="286"/>
      <c r="T151" s="286"/>
      <c r="U151" s="286"/>
      <c r="V151" s="338">
        <v>0</v>
      </c>
      <c r="W151" s="289"/>
      <c r="X151" s="5"/>
    </row>
    <row r="152" spans="1:25" ht="15.75" x14ac:dyDescent="0.25">
      <c r="A152" s="285"/>
      <c r="B152" s="286" t="s">
        <v>226</v>
      </c>
      <c r="C152" s="286"/>
      <c r="D152" s="286"/>
      <c r="E152" s="286"/>
      <c r="F152" s="286"/>
      <c r="G152" s="286"/>
      <c r="H152" s="286"/>
      <c r="I152" s="286"/>
      <c r="J152" s="286"/>
      <c r="K152" s="286"/>
      <c r="L152" s="286"/>
      <c r="M152" s="286"/>
      <c r="N152" s="286"/>
      <c r="O152" s="286"/>
      <c r="P152" s="286"/>
      <c r="Q152" s="286"/>
      <c r="R152" s="286"/>
      <c r="S152" s="286"/>
      <c r="T152" s="286"/>
      <c r="U152" s="286"/>
      <c r="V152" s="338">
        <v>0</v>
      </c>
      <c r="W152" s="289"/>
      <c r="X152" s="5"/>
    </row>
    <row r="153" spans="1:25" ht="15.75" x14ac:dyDescent="0.25">
      <c r="A153" s="285"/>
      <c r="B153" s="314"/>
      <c r="C153" s="314"/>
      <c r="D153" s="314"/>
      <c r="E153" s="314"/>
      <c r="F153" s="314"/>
      <c r="G153" s="314"/>
      <c r="H153" s="314"/>
      <c r="I153" s="314"/>
      <c r="J153" s="314"/>
      <c r="K153" s="314"/>
      <c r="L153" s="314"/>
      <c r="M153" s="314"/>
      <c r="N153" s="314"/>
      <c r="O153" s="314"/>
      <c r="P153" s="314"/>
      <c r="Q153" s="314"/>
      <c r="R153" s="314"/>
      <c r="S153" s="314"/>
      <c r="T153" s="314"/>
      <c r="U153" s="314"/>
      <c r="V153" s="345"/>
      <c r="W153" s="318"/>
      <c r="X153" s="5"/>
    </row>
    <row r="154" spans="1:25" ht="15.75" x14ac:dyDescent="0.25">
      <c r="A154" s="181"/>
      <c r="B154" s="212"/>
      <c r="C154" s="212"/>
      <c r="D154" s="212"/>
      <c r="E154" s="212"/>
      <c r="F154" s="212"/>
      <c r="G154" s="212"/>
      <c r="H154" s="212"/>
      <c r="I154" s="212"/>
      <c r="J154" s="212"/>
      <c r="K154" s="212"/>
      <c r="L154" s="212"/>
      <c r="M154" s="212"/>
      <c r="N154" s="212"/>
      <c r="O154" s="212"/>
      <c r="P154" s="212"/>
      <c r="Q154" s="212"/>
      <c r="R154" s="212"/>
      <c r="S154" s="212"/>
      <c r="T154" s="212"/>
      <c r="U154" s="212"/>
      <c r="V154" s="344"/>
      <c r="W154" s="212"/>
      <c r="X154" s="5"/>
    </row>
    <row r="155" spans="1:25" ht="15.75" x14ac:dyDescent="0.25">
      <c r="A155" s="181"/>
      <c r="B155" s="210" t="s">
        <v>24</v>
      </c>
      <c r="C155" s="183"/>
      <c r="D155" s="183"/>
      <c r="E155" s="183"/>
      <c r="F155" s="183"/>
      <c r="G155" s="183"/>
      <c r="H155" s="183"/>
      <c r="I155" s="183"/>
      <c r="J155" s="183"/>
      <c r="K155" s="183"/>
      <c r="L155" s="183"/>
      <c r="M155" s="183"/>
      <c r="N155" s="183"/>
      <c r="O155" s="183"/>
      <c r="P155" s="183"/>
      <c r="Q155" s="183"/>
      <c r="R155" s="183"/>
      <c r="S155" s="183"/>
      <c r="T155" s="183"/>
      <c r="U155" s="183"/>
      <c r="V155" s="202"/>
      <c r="W155" s="183"/>
      <c r="X155" s="5"/>
    </row>
    <row r="156" spans="1:25" ht="15.75" x14ac:dyDescent="0.25">
      <c r="A156" s="285"/>
      <c r="B156" s="286" t="s">
        <v>47</v>
      </c>
      <c r="C156" s="286"/>
      <c r="D156" s="286"/>
      <c r="E156" s="286"/>
      <c r="F156" s="286"/>
      <c r="G156" s="286"/>
      <c r="H156" s="286"/>
      <c r="I156" s="286"/>
      <c r="J156" s="286"/>
      <c r="K156" s="286"/>
      <c r="L156" s="286"/>
      <c r="M156" s="286"/>
      <c r="N156" s="286"/>
      <c r="O156" s="286"/>
      <c r="P156" s="286"/>
      <c r="Q156" s="286"/>
      <c r="R156" s="286"/>
      <c r="S156" s="286"/>
      <c r="T156" s="286"/>
      <c r="U156" s="286"/>
      <c r="V156" s="343" t="s">
        <v>118</v>
      </c>
      <c r="W156" s="318"/>
      <c r="X156" s="5"/>
    </row>
    <row r="157" spans="1:25" ht="15.75" x14ac:dyDescent="0.25">
      <c r="A157" s="285"/>
      <c r="B157" s="286" t="s">
        <v>48</v>
      </c>
      <c r="C157" s="288"/>
      <c r="D157" s="288"/>
      <c r="E157" s="288"/>
      <c r="F157" s="288"/>
      <c r="G157" s="288"/>
      <c r="H157" s="288"/>
      <c r="I157" s="288"/>
      <c r="J157" s="288"/>
      <c r="K157" s="288"/>
      <c r="L157" s="288"/>
      <c r="M157" s="288"/>
      <c r="N157" s="288"/>
      <c r="O157" s="288"/>
      <c r="P157" s="288"/>
      <c r="Q157" s="288"/>
      <c r="R157" s="288"/>
      <c r="S157" s="288"/>
      <c r="T157" s="288"/>
      <c r="U157" s="288"/>
      <c r="V157" s="343" t="s">
        <v>118</v>
      </c>
      <c r="W157" s="318"/>
      <c r="X157" s="5"/>
    </row>
    <row r="158" spans="1:25" ht="15.75" x14ac:dyDescent="0.25">
      <c r="A158" s="285"/>
      <c r="B158" s="286" t="s">
        <v>49</v>
      </c>
      <c r="C158" s="286"/>
      <c r="D158" s="286"/>
      <c r="E158" s="286"/>
      <c r="F158" s="286"/>
      <c r="G158" s="286"/>
      <c r="H158" s="286"/>
      <c r="I158" s="286"/>
      <c r="J158" s="286"/>
      <c r="K158" s="286"/>
      <c r="L158" s="286"/>
      <c r="M158" s="286"/>
      <c r="N158" s="286"/>
      <c r="O158" s="286"/>
      <c r="P158" s="286"/>
      <c r="Q158" s="286"/>
      <c r="R158" s="286"/>
      <c r="S158" s="286"/>
      <c r="T158" s="286"/>
      <c r="U158" s="286"/>
      <c r="V158" s="343" t="s">
        <v>118</v>
      </c>
      <c r="W158" s="318"/>
      <c r="X158" s="5"/>
    </row>
    <row r="159" spans="1:25" ht="15.75" x14ac:dyDescent="0.25">
      <c r="A159" s="285"/>
      <c r="B159" s="286" t="s">
        <v>50</v>
      </c>
      <c r="C159" s="286"/>
      <c r="D159" s="286"/>
      <c r="E159" s="286"/>
      <c r="F159" s="286"/>
      <c r="G159" s="286"/>
      <c r="H159" s="286"/>
      <c r="I159" s="286"/>
      <c r="J159" s="286"/>
      <c r="K159" s="286"/>
      <c r="L159" s="286"/>
      <c r="M159" s="286"/>
      <c r="N159" s="286"/>
      <c r="O159" s="286"/>
      <c r="P159" s="286"/>
      <c r="Q159" s="286"/>
      <c r="R159" s="286"/>
      <c r="S159" s="286"/>
      <c r="T159" s="286"/>
      <c r="U159" s="286"/>
      <c r="V159" s="343" t="s">
        <v>118</v>
      </c>
      <c r="W159" s="318"/>
      <c r="X159" s="5"/>
    </row>
    <row r="160" spans="1:25" ht="15.75" x14ac:dyDescent="0.25">
      <c r="A160" s="181"/>
      <c r="B160" s="212"/>
      <c r="C160" s="212"/>
      <c r="D160" s="212"/>
      <c r="E160" s="212"/>
      <c r="F160" s="212"/>
      <c r="G160" s="212"/>
      <c r="H160" s="212"/>
      <c r="I160" s="212"/>
      <c r="J160" s="212"/>
      <c r="K160" s="212"/>
      <c r="L160" s="212"/>
      <c r="M160" s="212"/>
      <c r="N160" s="212"/>
      <c r="O160" s="212"/>
      <c r="P160" s="212"/>
      <c r="Q160" s="212"/>
      <c r="R160" s="212"/>
      <c r="S160" s="212"/>
      <c r="T160" s="212"/>
      <c r="U160" s="212"/>
      <c r="V160" s="344"/>
      <c r="W160" s="212"/>
      <c r="X160" s="5"/>
    </row>
    <row r="161" spans="1:256" ht="15.75" x14ac:dyDescent="0.25">
      <c r="A161" s="181"/>
      <c r="B161" s="210" t="s">
        <v>51</v>
      </c>
      <c r="C161" s="183"/>
      <c r="D161" s="183"/>
      <c r="E161" s="183"/>
      <c r="F161" s="183"/>
      <c r="G161" s="183"/>
      <c r="H161" s="183"/>
      <c r="I161" s="183"/>
      <c r="J161" s="183"/>
      <c r="K161" s="183"/>
      <c r="L161" s="183"/>
      <c r="M161" s="183"/>
      <c r="N161" s="183"/>
      <c r="O161" s="183"/>
      <c r="P161" s="183"/>
      <c r="Q161" s="183"/>
      <c r="R161" s="183"/>
      <c r="S161" s="183"/>
      <c r="T161" s="183"/>
      <c r="U161" s="183"/>
      <c r="V161" s="211"/>
      <c r="W161" s="183"/>
      <c r="X161" s="5"/>
    </row>
    <row r="162" spans="1:256" ht="15.75" x14ac:dyDescent="0.25">
      <c r="A162" s="285"/>
      <c r="B162" s="286" t="s">
        <v>52</v>
      </c>
      <c r="C162" s="286"/>
      <c r="D162" s="286"/>
      <c r="E162" s="286"/>
      <c r="F162" s="286"/>
      <c r="G162" s="286"/>
      <c r="H162" s="286"/>
      <c r="I162" s="286"/>
      <c r="J162" s="286"/>
      <c r="K162" s="286"/>
      <c r="L162" s="286"/>
      <c r="M162" s="286"/>
      <c r="N162" s="286"/>
      <c r="O162" s="286"/>
      <c r="P162" s="286"/>
      <c r="Q162" s="286"/>
      <c r="R162" s="286"/>
      <c r="S162" s="286"/>
      <c r="T162" s="286"/>
      <c r="U162" s="286"/>
      <c r="V162" s="338">
        <v>0</v>
      </c>
      <c r="W162" s="289"/>
      <c r="X162" s="5"/>
    </row>
    <row r="163" spans="1:256" ht="15.75" x14ac:dyDescent="0.25">
      <c r="A163" s="285"/>
      <c r="B163" s="286" t="s">
        <v>53</v>
      </c>
      <c r="C163" s="286"/>
      <c r="D163" s="286"/>
      <c r="E163" s="286"/>
      <c r="F163" s="286"/>
      <c r="G163" s="286"/>
      <c r="H163" s="286"/>
      <c r="I163" s="286"/>
      <c r="J163" s="286"/>
      <c r="K163" s="286"/>
      <c r="L163" s="286"/>
      <c r="M163" s="286"/>
      <c r="N163" s="286"/>
      <c r="O163" s="286"/>
      <c r="P163" s="286"/>
      <c r="Q163" s="286"/>
      <c r="R163" s="286"/>
      <c r="S163" s="286"/>
      <c r="T163" s="286"/>
      <c r="U163" s="286"/>
      <c r="V163" s="338">
        <v>297</v>
      </c>
      <c r="W163" s="289"/>
      <c r="X163" s="5"/>
    </row>
    <row r="164" spans="1:256" ht="15.75" x14ac:dyDescent="0.25">
      <c r="A164" s="285"/>
      <c r="B164" s="286" t="s">
        <v>54</v>
      </c>
      <c r="C164" s="286"/>
      <c r="D164" s="286"/>
      <c r="E164" s="286"/>
      <c r="F164" s="286"/>
      <c r="G164" s="286"/>
      <c r="H164" s="286"/>
      <c r="I164" s="286"/>
      <c r="J164" s="286"/>
      <c r="K164" s="286"/>
      <c r="L164" s="286"/>
      <c r="M164" s="286"/>
      <c r="N164" s="286"/>
      <c r="O164" s="286"/>
      <c r="P164" s="286"/>
      <c r="Q164" s="286"/>
      <c r="R164" s="286"/>
      <c r="S164" s="286"/>
      <c r="T164" s="286"/>
      <c r="U164" s="286"/>
      <c r="V164" s="338">
        <f>V163+V162</f>
        <v>297</v>
      </c>
      <c r="W164" s="289"/>
      <c r="X164" s="5"/>
    </row>
    <row r="165" spans="1:256" ht="15.75" x14ac:dyDescent="0.25">
      <c r="A165" s="285"/>
      <c r="B165" s="286" t="s">
        <v>303</v>
      </c>
      <c r="C165" s="286"/>
      <c r="D165" s="286"/>
      <c r="E165" s="286"/>
      <c r="F165" s="286"/>
      <c r="G165" s="286"/>
      <c r="H165" s="286"/>
      <c r="I165" s="286"/>
      <c r="J165" s="286"/>
      <c r="K165" s="286"/>
      <c r="L165" s="286"/>
      <c r="M165" s="286"/>
      <c r="N165" s="286"/>
      <c r="O165" s="286"/>
      <c r="P165" s="286"/>
      <c r="Q165" s="286"/>
      <c r="R165" s="286"/>
      <c r="S165" s="286"/>
      <c r="T165" s="286"/>
      <c r="U165" s="286"/>
      <c r="V165" s="338">
        <f>V113</f>
        <v>-297</v>
      </c>
      <c r="W165" s="289"/>
      <c r="X165" s="5"/>
    </row>
    <row r="166" spans="1:256" ht="15.75" x14ac:dyDescent="0.25">
      <c r="A166" s="285"/>
      <c r="B166" s="286" t="s">
        <v>55</v>
      </c>
      <c r="C166" s="286"/>
      <c r="D166" s="286"/>
      <c r="E166" s="286"/>
      <c r="F166" s="286"/>
      <c r="G166" s="286"/>
      <c r="H166" s="286"/>
      <c r="I166" s="286"/>
      <c r="J166" s="286"/>
      <c r="K166" s="286"/>
      <c r="L166" s="286"/>
      <c r="M166" s="286"/>
      <c r="N166" s="286"/>
      <c r="O166" s="286"/>
      <c r="P166" s="286"/>
      <c r="Q166" s="286"/>
      <c r="R166" s="286"/>
      <c r="S166" s="286"/>
      <c r="T166" s="286"/>
      <c r="U166" s="286"/>
      <c r="V166" s="338">
        <f>V164+V165</f>
        <v>0</v>
      </c>
      <c r="W166" s="289"/>
      <c r="X166" s="5"/>
    </row>
    <row r="167" spans="1:256" ht="15.75" x14ac:dyDescent="0.25">
      <c r="A167" s="285"/>
      <c r="B167" s="286" t="s">
        <v>274</v>
      </c>
      <c r="C167" s="286"/>
      <c r="D167" s="286"/>
      <c r="E167" s="286"/>
      <c r="F167" s="286"/>
      <c r="G167" s="286"/>
      <c r="H167" s="286"/>
      <c r="I167" s="286"/>
      <c r="J167" s="286"/>
      <c r="K167" s="286"/>
      <c r="L167" s="286"/>
      <c r="M167" s="286"/>
      <c r="N167" s="286"/>
      <c r="O167" s="286"/>
      <c r="P167" s="286"/>
      <c r="Q167" s="286"/>
      <c r="R167" s="286"/>
      <c r="S167" s="286"/>
      <c r="T167" s="286"/>
      <c r="U167" s="286"/>
      <c r="V167" s="338">
        <v>0</v>
      </c>
      <c r="W167" s="289"/>
      <c r="X167" s="5"/>
    </row>
    <row r="168" spans="1:256" ht="16.5" thickBot="1" x14ac:dyDescent="0.3">
      <c r="A168" s="181"/>
      <c r="B168" s="212"/>
      <c r="C168" s="212"/>
      <c r="D168" s="212"/>
      <c r="E168" s="212"/>
      <c r="F168" s="212"/>
      <c r="G168" s="212"/>
      <c r="H168" s="212"/>
      <c r="I168" s="212"/>
      <c r="J168" s="212"/>
      <c r="K168" s="212"/>
      <c r="L168" s="212"/>
      <c r="M168" s="212"/>
      <c r="N168" s="212"/>
      <c r="O168" s="212"/>
      <c r="P168" s="212"/>
      <c r="Q168" s="212"/>
      <c r="R168" s="212"/>
      <c r="S168" s="212"/>
      <c r="T168" s="212"/>
      <c r="U168" s="212"/>
      <c r="V168" s="344"/>
      <c r="W168" s="212"/>
      <c r="X168" s="5"/>
    </row>
    <row r="169" spans="1:256" ht="15.75" x14ac:dyDescent="0.25">
      <c r="A169" s="179"/>
      <c r="B169" s="180"/>
      <c r="C169" s="180"/>
      <c r="D169" s="180"/>
      <c r="E169" s="180"/>
      <c r="F169" s="180"/>
      <c r="G169" s="180"/>
      <c r="H169" s="180"/>
      <c r="I169" s="180"/>
      <c r="J169" s="180"/>
      <c r="K169" s="180"/>
      <c r="L169" s="180"/>
      <c r="M169" s="180"/>
      <c r="N169" s="180"/>
      <c r="O169" s="180"/>
      <c r="P169" s="180"/>
      <c r="Q169" s="180"/>
      <c r="R169" s="180"/>
      <c r="S169" s="180"/>
      <c r="T169" s="180"/>
      <c r="U169" s="180"/>
      <c r="V169" s="201"/>
      <c r="W169" s="180"/>
      <c r="X169" s="5"/>
    </row>
    <row r="170" spans="1:256" s="158" customFormat="1" ht="15.75" x14ac:dyDescent="0.25">
      <c r="A170" s="181"/>
      <c r="B170" s="210" t="s">
        <v>230</v>
      </c>
      <c r="C170" s="212"/>
      <c r="D170" s="212"/>
      <c r="E170" s="212"/>
      <c r="F170" s="212"/>
      <c r="G170" s="212"/>
      <c r="H170" s="212"/>
      <c r="I170" s="212"/>
      <c r="J170" s="212"/>
      <c r="K170" s="212"/>
      <c r="L170" s="212"/>
      <c r="M170" s="212"/>
      <c r="N170" s="212"/>
      <c r="O170" s="212"/>
      <c r="P170" s="212"/>
      <c r="Q170" s="212"/>
      <c r="R170" s="212"/>
      <c r="S170" s="212"/>
      <c r="T170" s="212"/>
      <c r="U170" s="212"/>
      <c r="V170" s="213"/>
      <c r="W170" s="212"/>
      <c r="X170" s="5"/>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s="160" customFormat="1" ht="15.75" x14ac:dyDescent="0.25">
      <c r="A171" s="285"/>
      <c r="B171" s="286" t="s">
        <v>231</v>
      </c>
      <c r="C171" s="286"/>
      <c r="D171" s="286"/>
      <c r="E171" s="286"/>
      <c r="F171" s="286"/>
      <c r="G171" s="286"/>
      <c r="H171" s="286"/>
      <c r="I171" s="286"/>
      <c r="J171" s="286"/>
      <c r="K171" s="286"/>
      <c r="L171" s="286"/>
      <c r="M171" s="286"/>
      <c r="N171" s="286"/>
      <c r="O171" s="286"/>
      <c r="P171" s="286"/>
      <c r="Q171" s="286"/>
      <c r="R171" s="286"/>
      <c r="S171" s="286"/>
      <c r="T171" s="286"/>
      <c r="U171" s="286"/>
      <c r="V171" s="338">
        <f>+'Aug 08'!V173</f>
        <v>0</v>
      </c>
      <c r="W171" s="289"/>
      <c r="X171" s="5"/>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s="160" customFormat="1" ht="15.75" x14ac:dyDescent="0.25">
      <c r="A172" s="285"/>
      <c r="B172" s="286" t="s">
        <v>234</v>
      </c>
      <c r="C172" s="286"/>
      <c r="D172" s="286"/>
      <c r="E172" s="286"/>
      <c r="F172" s="286"/>
      <c r="G172" s="286"/>
      <c r="H172" s="286"/>
      <c r="I172" s="286"/>
      <c r="J172" s="286"/>
      <c r="K172" s="286"/>
      <c r="L172" s="286"/>
      <c r="M172" s="286"/>
      <c r="N172" s="286"/>
      <c r="O172" s="286"/>
      <c r="P172" s="286"/>
      <c r="Q172" s="286"/>
      <c r="R172" s="286"/>
      <c r="S172" s="286"/>
      <c r="T172" s="286"/>
      <c r="U172" s="286"/>
      <c r="V172" s="338">
        <f>+V94</f>
        <v>0</v>
      </c>
      <c r="W172" s="289"/>
      <c r="X172" s="5"/>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s="160" customFormat="1" ht="15.75" x14ac:dyDescent="0.25">
      <c r="A173" s="285"/>
      <c r="B173" s="286" t="s">
        <v>232</v>
      </c>
      <c r="C173" s="286"/>
      <c r="D173" s="286"/>
      <c r="E173" s="286"/>
      <c r="F173" s="286"/>
      <c r="G173" s="286"/>
      <c r="H173" s="286"/>
      <c r="I173" s="286"/>
      <c r="J173" s="286"/>
      <c r="K173" s="286"/>
      <c r="L173" s="286"/>
      <c r="M173" s="286"/>
      <c r="N173" s="286"/>
      <c r="O173" s="286"/>
      <c r="P173" s="286"/>
      <c r="Q173" s="286"/>
      <c r="R173" s="286"/>
      <c r="S173" s="286"/>
      <c r="T173" s="286"/>
      <c r="U173" s="286"/>
      <c r="V173" s="338">
        <f>+V171-V172</f>
        <v>0</v>
      </c>
      <c r="W173" s="289"/>
      <c r="X173" s="5"/>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s="163" customFormat="1" ht="16.5" thickBot="1" x14ac:dyDescent="0.3">
      <c r="A174" s="197"/>
      <c r="B174" s="212"/>
      <c r="C174" s="212"/>
      <c r="D174" s="212"/>
      <c r="E174" s="212"/>
      <c r="F174" s="212"/>
      <c r="G174" s="212"/>
      <c r="H174" s="212"/>
      <c r="I174" s="212"/>
      <c r="J174" s="212"/>
      <c r="K174" s="212"/>
      <c r="L174" s="212"/>
      <c r="M174" s="212"/>
      <c r="N174" s="212"/>
      <c r="O174" s="212"/>
      <c r="P174" s="212"/>
      <c r="Q174" s="212"/>
      <c r="R174" s="212"/>
      <c r="S174" s="212"/>
      <c r="T174" s="212"/>
      <c r="U174" s="212"/>
      <c r="V174" s="344"/>
      <c r="W174" s="212"/>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4" customFormat="1" ht="15.75" x14ac:dyDescent="0.25">
      <c r="A175" s="179"/>
      <c r="B175" s="180"/>
      <c r="C175" s="180"/>
      <c r="D175" s="180"/>
      <c r="E175" s="180"/>
      <c r="F175" s="180"/>
      <c r="G175" s="180"/>
      <c r="H175" s="180"/>
      <c r="I175" s="180"/>
      <c r="J175" s="180"/>
      <c r="K175" s="180"/>
      <c r="L175" s="180"/>
      <c r="M175" s="180"/>
      <c r="N175" s="180"/>
      <c r="O175" s="180"/>
      <c r="P175" s="180"/>
      <c r="Q175" s="180"/>
      <c r="R175" s="180"/>
      <c r="S175" s="180"/>
      <c r="T175" s="180"/>
      <c r="U175" s="180"/>
      <c r="V175" s="201"/>
      <c r="W175" s="180"/>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ht="15.75" x14ac:dyDescent="0.25">
      <c r="A176" s="181"/>
      <c r="B176" s="210" t="s">
        <v>56</v>
      </c>
      <c r="C176" s="183"/>
      <c r="D176" s="183"/>
      <c r="E176" s="183"/>
      <c r="F176" s="183"/>
      <c r="G176" s="183"/>
      <c r="H176" s="183"/>
      <c r="I176" s="183"/>
      <c r="J176" s="183"/>
      <c r="K176" s="183"/>
      <c r="L176" s="183"/>
      <c r="M176" s="183"/>
      <c r="N176" s="183"/>
      <c r="O176" s="183"/>
      <c r="P176" s="183"/>
      <c r="Q176" s="183"/>
      <c r="R176" s="183"/>
      <c r="S176" s="183"/>
      <c r="T176" s="183"/>
      <c r="U176" s="183"/>
      <c r="V176" s="202"/>
      <c r="W176" s="183"/>
      <c r="X176" s="5"/>
    </row>
    <row r="177" spans="1:24" ht="15.75" x14ac:dyDescent="0.25">
      <c r="A177" s="181"/>
      <c r="B177" s="191"/>
      <c r="C177" s="183"/>
      <c r="D177" s="183"/>
      <c r="E177" s="183"/>
      <c r="F177" s="183"/>
      <c r="G177" s="183"/>
      <c r="H177" s="183"/>
      <c r="I177" s="183"/>
      <c r="J177" s="183"/>
      <c r="K177" s="183"/>
      <c r="L177" s="183"/>
      <c r="M177" s="183"/>
      <c r="N177" s="183"/>
      <c r="O177" s="183"/>
      <c r="P177" s="183"/>
      <c r="Q177" s="183"/>
      <c r="R177" s="183"/>
      <c r="S177" s="183"/>
      <c r="T177" s="183"/>
      <c r="U177" s="183"/>
      <c r="V177" s="202"/>
      <c r="W177" s="183"/>
      <c r="X177" s="5"/>
    </row>
    <row r="178" spans="1:24" ht="15.75" x14ac:dyDescent="0.25">
      <c r="A178" s="285"/>
      <c r="B178" s="286" t="s">
        <v>57</v>
      </c>
      <c r="C178" s="286"/>
      <c r="D178" s="286"/>
      <c r="E178" s="286"/>
      <c r="F178" s="286"/>
      <c r="G178" s="286"/>
      <c r="H178" s="286"/>
      <c r="I178" s="286"/>
      <c r="J178" s="286"/>
      <c r="K178" s="286"/>
      <c r="L178" s="286"/>
      <c r="M178" s="286"/>
      <c r="N178" s="286"/>
      <c r="O178" s="286"/>
      <c r="P178" s="286"/>
      <c r="Q178" s="286"/>
      <c r="R178" s="286"/>
      <c r="S178" s="286"/>
      <c r="T178" s="286"/>
      <c r="U178" s="286"/>
      <c r="V178" s="338">
        <f>V71</f>
        <v>854475</v>
      </c>
      <c r="W178" s="289"/>
      <c r="X178" s="5"/>
    </row>
    <row r="179" spans="1:24" ht="15.75" x14ac:dyDescent="0.25">
      <c r="A179" s="285"/>
      <c r="B179" s="286" t="s">
        <v>58</v>
      </c>
      <c r="C179" s="286"/>
      <c r="D179" s="286"/>
      <c r="E179" s="286"/>
      <c r="F179" s="286"/>
      <c r="G179" s="286"/>
      <c r="H179" s="286"/>
      <c r="I179" s="286"/>
      <c r="J179" s="286"/>
      <c r="K179" s="286"/>
      <c r="L179" s="286"/>
      <c r="M179" s="286"/>
      <c r="N179" s="286"/>
      <c r="O179" s="286"/>
      <c r="P179" s="286"/>
      <c r="Q179" s="286"/>
      <c r="R179" s="286"/>
      <c r="S179" s="286"/>
      <c r="T179" s="286"/>
      <c r="U179" s="286"/>
      <c r="V179" s="338">
        <f>V84</f>
        <v>854475</v>
      </c>
      <c r="W179" s="289"/>
      <c r="X179" s="5"/>
    </row>
    <row r="180" spans="1:24" ht="16.5" thickBot="1" x14ac:dyDescent="0.3">
      <c r="A180" s="181"/>
      <c r="B180" s="212"/>
      <c r="C180" s="212"/>
      <c r="D180" s="212"/>
      <c r="E180" s="212"/>
      <c r="F180" s="212"/>
      <c r="G180" s="212"/>
      <c r="H180" s="212"/>
      <c r="I180" s="212"/>
      <c r="J180" s="212"/>
      <c r="K180" s="212"/>
      <c r="L180" s="212"/>
      <c r="M180" s="212"/>
      <c r="N180" s="212"/>
      <c r="O180" s="212"/>
      <c r="P180" s="212"/>
      <c r="Q180" s="212"/>
      <c r="R180" s="212"/>
      <c r="S180" s="212"/>
      <c r="T180" s="212"/>
      <c r="U180" s="212"/>
      <c r="V180" s="344"/>
      <c r="W180" s="212"/>
      <c r="X180" s="5"/>
    </row>
    <row r="181" spans="1:24" ht="15.75" x14ac:dyDescent="0.25">
      <c r="A181" s="179"/>
      <c r="B181" s="180"/>
      <c r="C181" s="180"/>
      <c r="D181" s="180"/>
      <c r="E181" s="180"/>
      <c r="F181" s="180"/>
      <c r="G181" s="180"/>
      <c r="H181" s="180"/>
      <c r="I181" s="180"/>
      <c r="J181" s="180"/>
      <c r="K181" s="180"/>
      <c r="L181" s="180"/>
      <c r="M181" s="180"/>
      <c r="N181" s="180"/>
      <c r="O181" s="180"/>
      <c r="P181" s="180"/>
      <c r="Q181" s="180"/>
      <c r="R181" s="180"/>
      <c r="S181" s="180"/>
      <c r="T181" s="180"/>
      <c r="U181" s="180"/>
      <c r="V181" s="201"/>
      <c r="W181" s="180"/>
      <c r="X181" s="5"/>
    </row>
    <row r="182" spans="1:24" ht="15.75" x14ac:dyDescent="0.25">
      <c r="A182" s="181"/>
      <c r="B182" s="210" t="s">
        <v>59</v>
      </c>
      <c r="C182" s="206"/>
      <c r="D182" s="206"/>
      <c r="E182" s="206"/>
      <c r="F182" s="206"/>
      <c r="G182" s="206"/>
      <c r="H182" s="214"/>
      <c r="I182" s="214"/>
      <c r="J182" s="214"/>
      <c r="K182" s="214"/>
      <c r="L182" s="214"/>
      <c r="M182" s="214"/>
      <c r="N182" s="214"/>
      <c r="O182" s="214"/>
      <c r="P182" s="214"/>
      <c r="Q182" s="214"/>
      <c r="R182" s="214"/>
      <c r="S182" s="214" t="s">
        <v>101</v>
      </c>
      <c r="T182" s="214" t="s">
        <v>176</v>
      </c>
      <c r="U182" s="185"/>
      <c r="V182" s="215" t="s">
        <v>114</v>
      </c>
      <c r="W182" s="216"/>
      <c r="X182" s="5"/>
    </row>
    <row r="183" spans="1:24" ht="15.75" x14ac:dyDescent="0.25">
      <c r="A183" s="285"/>
      <c r="B183" s="286" t="s">
        <v>60</v>
      </c>
      <c r="C183" s="286"/>
      <c r="D183" s="286"/>
      <c r="E183" s="286"/>
      <c r="F183" s="286"/>
      <c r="G183" s="286"/>
      <c r="H183" s="286"/>
      <c r="I183" s="286"/>
      <c r="J183" s="286"/>
      <c r="K183" s="286"/>
      <c r="L183" s="286"/>
      <c r="M183" s="286"/>
      <c r="N183" s="286"/>
      <c r="O183" s="286"/>
      <c r="P183" s="286"/>
      <c r="Q183" s="286"/>
      <c r="R183" s="286"/>
      <c r="S183" s="338">
        <f>+V34*0.16</f>
        <v>160181.28</v>
      </c>
      <c r="T183" s="325"/>
      <c r="U183" s="286"/>
      <c r="V183" s="338"/>
      <c r="W183" s="289"/>
      <c r="X183" s="5"/>
    </row>
    <row r="184" spans="1:24" ht="15.75" x14ac:dyDescent="0.25">
      <c r="A184" s="285"/>
      <c r="B184" s="286" t="s">
        <v>61</v>
      </c>
      <c r="C184" s="286"/>
      <c r="D184" s="286"/>
      <c r="E184" s="286"/>
      <c r="F184" s="286"/>
      <c r="G184" s="286"/>
      <c r="H184" s="286"/>
      <c r="I184" s="286"/>
      <c r="J184" s="286"/>
      <c r="K184" s="286"/>
      <c r="L184" s="286"/>
      <c r="M184" s="286"/>
      <c r="N184" s="286"/>
      <c r="O184" s="286"/>
      <c r="P184" s="286"/>
      <c r="Q184" s="286"/>
      <c r="R184" s="286"/>
      <c r="S184" s="338">
        <f>+'May 10'!S186</f>
        <v>10383</v>
      </c>
      <c r="T184" s="338">
        <f>+'May 10'!T186</f>
        <v>6079</v>
      </c>
      <c r="U184" s="286"/>
      <c r="V184" s="338">
        <f>S184+T184</f>
        <v>16462</v>
      </c>
      <c r="W184" s="289"/>
      <c r="X184" s="5"/>
    </row>
    <row r="185" spans="1:24" ht="15.75" x14ac:dyDescent="0.25">
      <c r="A185" s="285"/>
      <c r="B185" s="286" t="s">
        <v>62</v>
      </c>
      <c r="C185" s="286"/>
      <c r="D185" s="286"/>
      <c r="E185" s="286"/>
      <c r="F185" s="286"/>
      <c r="G185" s="286"/>
      <c r="H185" s="286"/>
      <c r="I185" s="286"/>
      <c r="J185" s="286"/>
      <c r="K185" s="286"/>
      <c r="L185" s="286"/>
      <c r="M185" s="286"/>
      <c r="N185" s="286"/>
      <c r="O185" s="286"/>
      <c r="P185" s="286"/>
      <c r="Q185" s="286"/>
      <c r="R185" s="286"/>
      <c r="S185" s="337">
        <f>168+15</f>
        <v>183</v>
      </c>
      <c r="T185" s="337">
        <v>11</v>
      </c>
      <c r="U185" s="286"/>
      <c r="V185" s="338">
        <f>S185+T185</f>
        <v>194</v>
      </c>
      <c r="W185" s="289"/>
      <c r="X185" s="5"/>
    </row>
    <row r="186" spans="1:24" ht="15.75" x14ac:dyDescent="0.25">
      <c r="A186" s="285"/>
      <c r="B186" s="286" t="s">
        <v>63</v>
      </c>
      <c r="C186" s="286"/>
      <c r="D186" s="286"/>
      <c r="E186" s="286"/>
      <c r="F186" s="286"/>
      <c r="G186" s="286"/>
      <c r="H186" s="286"/>
      <c r="I186" s="286"/>
      <c r="J186" s="286"/>
      <c r="K186" s="286"/>
      <c r="L186" s="286"/>
      <c r="M186" s="286"/>
      <c r="N186" s="286"/>
      <c r="O186" s="286"/>
      <c r="P186" s="286"/>
      <c r="Q186" s="286"/>
      <c r="R186" s="286"/>
      <c r="S186" s="338">
        <f>S184+S185</f>
        <v>10566</v>
      </c>
      <c r="T186" s="338">
        <f>T185+T184</f>
        <v>6090</v>
      </c>
      <c r="U186" s="286"/>
      <c r="V186" s="338">
        <f>S186+T186</f>
        <v>16656</v>
      </c>
      <c r="W186" s="289"/>
      <c r="X186" s="5"/>
    </row>
    <row r="187" spans="1:24" ht="15.75" x14ac:dyDescent="0.25">
      <c r="A187" s="285"/>
      <c r="B187" s="286" t="s">
        <v>64</v>
      </c>
      <c r="C187" s="286"/>
      <c r="D187" s="286"/>
      <c r="E187" s="286"/>
      <c r="F187" s="286"/>
      <c r="G187" s="286"/>
      <c r="H187" s="286"/>
      <c r="I187" s="286"/>
      <c r="J187" s="286"/>
      <c r="K187" s="286"/>
      <c r="L187" s="286"/>
      <c r="M187" s="286"/>
      <c r="N187" s="286"/>
      <c r="O187" s="286"/>
      <c r="P187" s="286"/>
      <c r="Q187" s="286"/>
      <c r="R187" s="286"/>
      <c r="S187" s="338">
        <f>S183-S186-T186</f>
        <v>143525.28</v>
      </c>
      <c r="T187" s="325"/>
      <c r="U187" s="286"/>
      <c r="V187" s="338"/>
      <c r="W187" s="289"/>
      <c r="X187" s="5"/>
    </row>
    <row r="188" spans="1:24" ht="16.5" thickBot="1" x14ac:dyDescent="0.3">
      <c r="A188" s="181"/>
      <c r="B188" s="212"/>
      <c r="C188" s="212"/>
      <c r="D188" s="212"/>
      <c r="E188" s="212"/>
      <c r="F188" s="212"/>
      <c r="G188" s="212"/>
      <c r="H188" s="212"/>
      <c r="I188" s="212"/>
      <c r="J188" s="212"/>
      <c r="K188" s="212"/>
      <c r="L188" s="212"/>
      <c r="M188" s="212"/>
      <c r="N188" s="212"/>
      <c r="O188" s="212"/>
      <c r="P188" s="212"/>
      <c r="Q188" s="212"/>
      <c r="R188" s="212"/>
      <c r="S188" s="212"/>
      <c r="T188" s="212"/>
      <c r="U188" s="212"/>
      <c r="V188" s="344"/>
      <c r="W188" s="212"/>
      <c r="X188" s="5"/>
    </row>
    <row r="189" spans="1:24" ht="15.75" x14ac:dyDescent="0.25">
      <c r="A189" s="179"/>
      <c r="B189" s="180"/>
      <c r="C189" s="180"/>
      <c r="D189" s="180"/>
      <c r="E189" s="180"/>
      <c r="F189" s="180"/>
      <c r="G189" s="180"/>
      <c r="H189" s="180"/>
      <c r="I189" s="180"/>
      <c r="J189" s="180"/>
      <c r="K189" s="180"/>
      <c r="L189" s="180"/>
      <c r="M189" s="180"/>
      <c r="N189" s="180"/>
      <c r="O189" s="180"/>
      <c r="P189" s="180"/>
      <c r="Q189" s="180"/>
      <c r="R189" s="180"/>
      <c r="S189" s="180"/>
      <c r="T189" s="180"/>
      <c r="U189" s="180"/>
      <c r="V189" s="201"/>
      <c r="W189" s="180"/>
      <c r="X189" s="5"/>
    </row>
    <row r="190" spans="1:24" ht="15.75" x14ac:dyDescent="0.25">
      <c r="A190" s="181"/>
      <c r="B190" s="210" t="s">
        <v>65</v>
      </c>
      <c r="C190" s="183"/>
      <c r="D190" s="183"/>
      <c r="E190" s="183"/>
      <c r="F190" s="183"/>
      <c r="G190" s="183"/>
      <c r="H190" s="183"/>
      <c r="I190" s="183"/>
      <c r="J190" s="183"/>
      <c r="K190" s="183"/>
      <c r="L190" s="183"/>
      <c r="M190" s="183"/>
      <c r="N190" s="183"/>
      <c r="O190" s="183"/>
      <c r="P190" s="183"/>
      <c r="Q190" s="183"/>
      <c r="R190" s="183"/>
      <c r="S190" s="183"/>
      <c r="T190" s="183"/>
      <c r="U190" s="183"/>
      <c r="V190" s="217"/>
      <c r="W190" s="183"/>
      <c r="X190" s="5"/>
    </row>
    <row r="191" spans="1:24" ht="15.75" x14ac:dyDescent="0.25">
      <c r="A191" s="285"/>
      <c r="B191" s="286" t="s">
        <v>66</v>
      </c>
      <c r="C191" s="286"/>
      <c r="D191" s="286"/>
      <c r="E191" s="286"/>
      <c r="F191" s="286"/>
      <c r="G191" s="286"/>
      <c r="H191" s="286"/>
      <c r="I191" s="286"/>
      <c r="J191" s="286"/>
      <c r="K191" s="286"/>
      <c r="L191" s="286"/>
      <c r="M191" s="286"/>
      <c r="N191" s="286"/>
      <c r="O191" s="286"/>
      <c r="P191" s="286"/>
      <c r="Q191" s="286"/>
      <c r="R191" s="286"/>
      <c r="S191" s="286"/>
      <c r="T191" s="286"/>
      <c r="U191" s="286"/>
      <c r="V191" s="343">
        <f>(V101+V103+V104+V105+V106)/-(V107+V108)</f>
        <v>3.6191726854891662</v>
      </c>
      <c r="W191" s="289" t="s">
        <v>115</v>
      </c>
      <c r="X191" s="5"/>
    </row>
    <row r="192" spans="1:24" ht="15.75" x14ac:dyDescent="0.25">
      <c r="A192" s="285"/>
      <c r="B192" s="286" t="s">
        <v>67</v>
      </c>
      <c r="C192" s="286"/>
      <c r="D192" s="286"/>
      <c r="E192" s="286"/>
      <c r="F192" s="286"/>
      <c r="G192" s="286"/>
      <c r="H192" s="286"/>
      <c r="I192" s="286"/>
      <c r="J192" s="286"/>
      <c r="K192" s="286"/>
      <c r="L192" s="286"/>
      <c r="M192" s="286"/>
      <c r="N192" s="286"/>
      <c r="O192" s="286"/>
      <c r="P192" s="286"/>
      <c r="Q192" s="286"/>
      <c r="R192" s="286"/>
      <c r="S192" s="286"/>
      <c r="T192" s="286"/>
      <c r="U192" s="286"/>
      <c r="V192" s="347">
        <v>1.56</v>
      </c>
      <c r="W192" s="289" t="s">
        <v>115</v>
      </c>
      <c r="X192" s="5"/>
    </row>
    <row r="193" spans="1:24" ht="15.75" x14ac:dyDescent="0.25">
      <c r="A193" s="285"/>
      <c r="B193" s="286" t="s">
        <v>68</v>
      </c>
      <c r="C193" s="286"/>
      <c r="D193" s="286"/>
      <c r="E193" s="286"/>
      <c r="F193" s="286"/>
      <c r="G193" s="286"/>
      <c r="H193" s="286"/>
      <c r="I193" s="286"/>
      <c r="J193" s="286"/>
      <c r="K193" s="286"/>
      <c r="L193" s="286"/>
      <c r="M193" s="286"/>
      <c r="N193" s="286"/>
      <c r="O193" s="286"/>
      <c r="P193" s="286"/>
      <c r="Q193" s="286"/>
      <c r="R193" s="286"/>
      <c r="S193" s="286"/>
      <c r="T193" s="286"/>
      <c r="U193" s="286"/>
      <c r="V193" s="343">
        <f>(V101+V103+V104+V105+V106+V107+V108)/-(V109+V110)</f>
        <v>20.561855670103093</v>
      </c>
      <c r="W193" s="289" t="s">
        <v>115</v>
      </c>
      <c r="X193" s="5"/>
    </row>
    <row r="194" spans="1:24" ht="15.75" x14ac:dyDescent="0.25">
      <c r="A194" s="285"/>
      <c r="B194" s="286" t="s">
        <v>69</v>
      </c>
      <c r="C194" s="286"/>
      <c r="D194" s="286"/>
      <c r="E194" s="286"/>
      <c r="F194" s="286"/>
      <c r="G194" s="286"/>
      <c r="H194" s="286"/>
      <c r="I194" s="286"/>
      <c r="J194" s="286"/>
      <c r="K194" s="286"/>
      <c r="L194" s="286"/>
      <c r="M194" s="286"/>
      <c r="N194" s="286"/>
      <c r="O194" s="286"/>
      <c r="P194" s="286"/>
      <c r="Q194" s="286"/>
      <c r="R194" s="286"/>
      <c r="S194" s="286"/>
      <c r="T194" s="286"/>
      <c r="U194" s="286"/>
      <c r="V194" s="347">
        <v>5.7</v>
      </c>
      <c r="W194" s="289" t="s">
        <v>115</v>
      </c>
      <c r="X194" s="5"/>
    </row>
    <row r="195" spans="1:24" ht="15.75" x14ac:dyDescent="0.25">
      <c r="A195" s="285"/>
      <c r="B195" s="286" t="s">
        <v>198</v>
      </c>
      <c r="C195" s="286"/>
      <c r="D195" s="286"/>
      <c r="E195" s="286"/>
      <c r="F195" s="286"/>
      <c r="G195" s="286"/>
      <c r="H195" s="286"/>
      <c r="I195" s="286"/>
      <c r="J195" s="286"/>
      <c r="K195" s="286"/>
      <c r="L195" s="286"/>
      <c r="M195" s="286"/>
      <c r="N195" s="286"/>
      <c r="O195" s="286"/>
      <c r="P195" s="286"/>
      <c r="Q195" s="286"/>
      <c r="R195" s="286"/>
      <c r="S195" s="286"/>
      <c r="T195" s="286"/>
      <c r="U195" s="286"/>
      <c r="V195" s="343">
        <f>(V101+V103+V104+V105+V106+V107+V108+V109+V110)/-(V111)</f>
        <v>14.940944881889763</v>
      </c>
      <c r="W195" s="289" t="s">
        <v>115</v>
      </c>
      <c r="X195" s="5"/>
    </row>
    <row r="196" spans="1:24" ht="15.75" x14ac:dyDescent="0.25">
      <c r="A196" s="285"/>
      <c r="B196" s="286" t="s">
        <v>199</v>
      </c>
      <c r="C196" s="286"/>
      <c r="D196" s="286"/>
      <c r="E196" s="286"/>
      <c r="F196" s="286"/>
      <c r="G196" s="286"/>
      <c r="H196" s="286"/>
      <c r="I196" s="286"/>
      <c r="J196" s="286"/>
      <c r="K196" s="286"/>
      <c r="L196" s="286"/>
      <c r="M196" s="286"/>
      <c r="N196" s="286"/>
      <c r="O196" s="286"/>
      <c r="P196" s="286"/>
      <c r="Q196" s="286"/>
      <c r="R196" s="286"/>
      <c r="S196" s="286"/>
      <c r="T196" s="286"/>
      <c r="U196" s="286"/>
      <c r="V196" s="347">
        <v>4.33</v>
      </c>
      <c r="W196" s="289" t="s">
        <v>115</v>
      </c>
      <c r="X196" s="5"/>
    </row>
    <row r="197" spans="1:24" ht="15.75" x14ac:dyDescent="0.25">
      <c r="A197" s="285"/>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9"/>
      <c r="X197" s="5"/>
    </row>
    <row r="198" spans="1:24" ht="15.75" x14ac:dyDescent="0.25">
      <c r="A198" s="181"/>
      <c r="B198" s="346"/>
      <c r="C198" s="346"/>
      <c r="D198" s="346"/>
      <c r="E198" s="346"/>
      <c r="F198" s="346"/>
      <c r="G198" s="346"/>
      <c r="H198" s="346"/>
      <c r="I198" s="346"/>
      <c r="J198" s="346"/>
      <c r="K198" s="346"/>
      <c r="L198" s="346"/>
      <c r="M198" s="346"/>
      <c r="N198" s="346"/>
      <c r="O198" s="346"/>
      <c r="P198" s="346"/>
      <c r="Q198" s="346"/>
      <c r="R198" s="346"/>
      <c r="S198" s="346"/>
      <c r="T198" s="346"/>
      <c r="U198" s="346"/>
      <c r="V198" s="346"/>
      <c r="W198" s="346"/>
      <c r="X198" s="5"/>
    </row>
    <row r="199" spans="1:24" ht="15.75" x14ac:dyDescent="0.25">
      <c r="A199" s="181"/>
      <c r="B199" s="255"/>
      <c r="C199" s="255"/>
      <c r="D199" s="255"/>
      <c r="E199" s="255"/>
      <c r="F199" s="255"/>
      <c r="G199" s="255"/>
      <c r="H199" s="255"/>
      <c r="I199" s="255"/>
      <c r="J199" s="255"/>
      <c r="K199" s="255"/>
      <c r="L199" s="255"/>
      <c r="M199" s="255"/>
      <c r="N199" s="255"/>
      <c r="O199" s="255"/>
      <c r="P199" s="255"/>
      <c r="Q199" s="255"/>
      <c r="R199" s="255"/>
      <c r="S199" s="255"/>
      <c r="T199" s="255"/>
      <c r="U199" s="255"/>
      <c r="V199" s="255"/>
      <c r="W199" s="255"/>
      <c r="X199" s="5"/>
    </row>
    <row r="200" spans="1:24" ht="19.5" thickBot="1" x14ac:dyDescent="0.35">
      <c r="A200" s="197"/>
      <c r="B200" s="270" t="str">
        <f>B134</f>
        <v>PM15 INVESTOR REPORT QUARTER ENDING AUGUST 2010</v>
      </c>
      <c r="C200" s="271"/>
      <c r="D200" s="271"/>
      <c r="E200" s="271"/>
      <c r="F200" s="271"/>
      <c r="G200" s="271"/>
      <c r="H200" s="271"/>
      <c r="I200" s="271"/>
      <c r="J200" s="271"/>
      <c r="K200" s="271"/>
      <c r="L200" s="271"/>
      <c r="M200" s="271"/>
      <c r="N200" s="271"/>
      <c r="O200" s="271"/>
      <c r="P200" s="271"/>
      <c r="Q200" s="271"/>
      <c r="R200" s="271"/>
      <c r="S200" s="271"/>
      <c r="T200" s="271"/>
      <c r="U200" s="271"/>
      <c r="V200" s="271"/>
      <c r="W200" s="272"/>
      <c r="X200" s="5"/>
    </row>
    <row r="201" spans="1:24" ht="15.75" x14ac:dyDescent="0.25">
      <c r="A201" s="236"/>
      <c r="B201" s="237" t="s">
        <v>70</v>
      </c>
      <c r="C201" s="240"/>
      <c r="D201" s="240"/>
      <c r="E201" s="240"/>
      <c r="F201" s="240"/>
      <c r="G201" s="241"/>
      <c r="H201" s="241"/>
      <c r="I201" s="241"/>
      <c r="J201" s="241"/>
      <c r="K201" s="241"/>
      <c r="L201" s="241"/>
      <c r="M201" s="241"/>
      <c r="N201" s="241"/>
      <c r="O201" s="241"/>
      <c r="P201" s="241"/>
      <c r="Q201" s="241"/>
      <c r="R201" s="241"/>
      <c r="S201" s="241"/>
      <c r="T201" s="241">
        <v>40421</v>
      </c>
      <c r="U201" s="238"/>
      <c r="V201" s="238"/>
      <c r="W201" s="238"/>
      <c r="X201" s="5"/>
    </row>
    <row r="202" spans="1:24" ht="15.75" x14ac:dyDescent="0.25">
      <c r="A202" s="218"/>
      <c r="B202" s="219"/>
      <c r="C202" s="220"/>
      <c r="D202" s="220"/>
      <c r="E202" s="220"/>
      <c r="F202" s="220"/>
      <c r="G202" s="221"/>
      <c r="H202" s="221"/>
      <c r="I202" s="221"/>
      <c r="J202" s="221"/>
      <c r="K202" s="221"/>
      <c r="L202" s="221"/>
      <c r="M202" s="221"/>
      <c r="N202" s="221"/>
      <c r="O202" s="221"/>
      <c r="P202" s="221"/>
      <c r="Q202" s="221"/>
      <c r="R202" s="221"/>
      <c r="S202" s="221"/>
      <c r="T202" s="221"/>
      <c r="U202" s="183"/>
      <c r="V202" s="183"/>
      <c r="W202" s="183"/>
      <c r="X202" s="5"/>
    </row>
    <row r="203" spans="1:24" ht="15.75" x14ac:dyDescent="0.25">
      <c r="A203" s="350"/>
      <c r="B203" s="286" t="s">
        <v>71</v>
      </c>
      <c r="C203" s="351"/>
      <c r="D203" s="351"/>
      <c r="E203" s="351"/>
      <c r="F203" s="351"/>
      <c r="G203" s="330"/>
      <c r="H203" s="330"/>
      <c r="I203" s="330"/>
      <c r="J203" s="330"/>
      <c r="K203" s="330"/>
      <c r="L203" s="330"/>
      <c r="M203" s="330"/>
      <c r="N203" s="330"/>
      <c r="O203" s="330"/>
      <c r="P203" s="330"/>
      <c r="Q203" s="330"/>
      <c r="R203" s="330"/>
      <c r="S203" s="330"/>
      <c r="T203" s="321">
        <v>5.3830000000000003E-2</v>
      </c>
      <c r="U203" s="286"/>
      <c r="V203" s="286"/>
      <c r="W203" s="289"/>
      <c r="X203" s="5"/>
    </row>
    <row r="204" spans="1:24" ht="15.75" x14ac:dyDescent="0.25">
      <c r="A204" s="350"/>
      <c r="B204" s="286" t="s">
        <v>151</v>
      </c>
      <c r="C204" s="351"/>
      <c r="D204" s="351"/>
      <c r="E204" s="351"/>
      <c r="F204" s="351"/>
      <c r="G204" s="330"/>
      <c r="H204" s="330"/>
      <c r="I204" s="330"/>
      <c r="J204" s="330"/>
      <c r="K204" s="330"/>
      <c r="L204" s="330"/>
      <c r="M204" s="330"/>
      <c r="N204" s="330"/>
      <c r="O204" s="330"/>
      <c r="P204" s="330"/>
      <c r="Q204" s="330"/>
      <c r="R204" s="330"/>
      <c r="S204" s="330"/>
      <c r="T204" s="321">
        <v>6.25E-2</v>
      </c>
      <c r="U204" s="286"/>
      <c r="V204" s="286"/>
      <c r="W204" s="289"/>
      <c r="X204" s="5"/>
    </row>
    <row r="205" spans="1:24" ht="15.75" x14ac:dyDescent="0.25">
      <c r="A205" s="350"/>
      <c r="B205" s="286" t="s">
        <v>72</v>
      </c>
      <c r="C205" s="351"/>
      <c r="D205" s="351"/>
      <c r="E205" s="351"/>
      <c r="F205" s="351"/>
      <c r="G205" s="330"/>
      <c r="H205" s="330"/>
      <c r="I205" s="330"/>
      <c r="J205" s="330"/>
      <c r="K205" s="330"/>
      <c r="L205" s="330"/>
      <c r="M205" s="330"/>
      <c r="N205" s="330"/>
      <c r="O205" s="330"/>
      <c r="P205" s="330"/>
      <c r="Q205" s="330"/>
      <c r="R205" s="330"/>
      <c r="S205" s="330"/>
      <c r="T205" s="321">
        <f>T203-T204</f>
        <v>-8.6699999999999972E-3</v>
      </c>
      <c r="U205" s="286"/>
      <c r="V205" s="286"/>
      <c r="W205" s="289"/>
      <c r="X205" s="5"/>
    </row>
    <row r="206" spans="1:24" ht="15.75" x14ac:dyDescent="0.25">
      <c r="A206" s="350"/>
      <c r="B206" s="286" t="s">
        <v>73</v>
      </c>
      <c r="C206" s="351"/>
      <c r="D206" s="351"/>
      <c r="E206" s="351"/>
      <c r="F206" s="351"/>
      <c r="G206" s="330"/>
      <c r="H206" s="330"/>
      <c r="I206" s="330"/>
      <c r="J206" s="330"/>
      <c r="K206" s="330"/>
      <c r="L206" s="330"/>
      <c r="M206" s="330"/>
      <c r="N206" s="330"/>
      <c r="O206" s="330"/>
      <c r="P206" s="330"/>
      <c r="Q206" s="330"/>
      <c r="R206" s="330"/>
      <c r="S206" s="330"/>
      <c r="T206" s="321">
        <v>2.742E-2</v>
      </c>
      <c r="U206" s="286"/>
      <c r="V206" s="286"/>
      <c r="W206" s="289"/>
      <c r="X206" s="5"/>
    </row>
    <row r="207" spans="1:24" ht="15.75" x14ac:dyDescent="0.25">
      <c r="A207" s="350"/>
      <c r="B207" s="286" t="s">
        <v>218</v>
      </c>
      <c r="C207" s="351"/>
      <c r="D207" s="351"/>
      <c r="E207" s="351"/>
      <c r="F207" s="351"/>
      <c r="G207" s="330"/>
      <c r="H207" s="330"/>
      <c r="I207" s="330"/>
      <c r="J207" s="330"/>
      <c r="K207" s="330"/>
      <c r="L207" s="330"/>
      <c r="M207" s="330"/>
      <c r="N207" s="330"/>
      <c r="O207" s="330"/>
      <c r="P207" s="330"/>
      <c r="Q207" s="330"/>
      <c r="R207" s="330"/>
      <c r="S207" s="330"/>
      <c r="T207" s="321">
        <f>V43</f>
        <v>9.0811643222860877E-3</v>
      </c>
      <c r="U207" s="286"/>
      <c r="V207" s="286"/>
      <c r="W207" s="289"/>
      <c r="X207" s="5"/>
    </row>
    <row r="208" spans="1:24" ht="15.75" x14ac:dyDescent="0.25">
      <c r="A208" s="350"/>
      <c r="B208" s="286" t="s">
        <v>74</v>
      </c>
      <c r="C208" s="351"/>
      <c r="D208" s="351"/>
      <c r="E208" s="351"/>
      <c r="F208" s="351"/>
      <c r="G208" s="330"/>
      <c r="H208" s="330"/>
      <c r="I208" s="330"/>
      <c r="J208" s="330"/>
      <c r="K208" s="330"/>
      <c r="L208" s="330"/>
      <c r="M208" s="330"/>
      <c r="N208" s="330"/>
      <c r="O208" s="330"/>
      <c r="P208" s="330"/>
      <c r="Q208" s="330"/>
      <c r="R208" s="330"/>
      <c r="S208" s="330"/>
      <c r="T208" s="321">
        <f>T206-T207</f>
        <v>1.8338835677713911E-2</v>
      </c>
      <c r="U208" s="286"/>
      <c r="V208" s="286"/>
      <c r="W208" s="289"/>
      <c r="X208" s="5"/>
    </row>
    <row r="209" spans="1:24" ht="15.75" x14ac:dyDescent="0.25">
      <c r="A209" s="350"/>
      <c r="B209" s="286" t="s">
        <v>227</v>
      </c>
      <c r="C209" s="351"/>
      <c r="D209" s="351"/>
      <c r="E209" s="351"/>
      <c r="F209" s="351"/>
      <c r="G209" s="330"/>
      <c r="H209" s="330"/>
      <c r="I209" s="330"/>
      <c r="J209" s="330"/>
      <c r="K209" s="330"/>
      <c r="L209" s="330"/>
      <c r="M209" s="330"/>
      <c r="N209" s="330"/>
      <c r="O209" s="330"/>
      <c r="P209" s="330"/>
      <c r="Q209" s="330"/>
      <c r="R209" s="330"/>
      <c r="S209" s="330"/>
      <c r="T209" s="321">
        <f>V101/N71</f>
        <v>7.2216540501510848E-3</v>
      </c>
      <c r="U209" s="286"/>
      <c r="V209" s="286"/>
      <c r="W209" s="289"/>
      <c r="X209" s="5"/>
    </row>
    <row r="210" spans="1:24" ht="15.75" x14ac:dyDescent="0.25">
      <c r="A210" s="350"/>
      <c r="B210" s="286" t="s">
        <v>207</v>
      </c>
      <c r="C210" s="351"/>
      <c r="D210" s="351"/>
      <c r="E210" s="351"/>
      <c r="F210" s="351"/>
      <c r="G210" s="330"/>
      <c r="H210" s="330"/>
      <c r="I210" s="330"/>
      <c r="J210" s="330"/>
      <c r="K210" s="330"/>
      <c r="L210" s="330"/>
      <c r="M210" s="330"/>
      <c r="N210" s="330"/>
      <c r="O210" s="330"/>
      <c r="P210" s="330"/>
      <c r="Q210" s="330"/>
      <c r="R210" s="330"/>
      <c r="S210" s="330"/>
      <c r="T210" s="352">
        <v>51105</v>
      </c>
      <c r="U210" s="286"/>
      <c r="V210" s="286"/>
      <c r="W210" s="289"/>
      <c r="X210" s="5"/>
    </row>
    <row r="211" spans="1:24" ht="15.75" x14ac:dyDescent="0.25">
      <c r="A211" s="350"/>
      <c r="B211" s="286" t="s">
        <v>208</v>
      </c>
      <c r="C211" s="351"/>
      <c r="D211" s="351"/>
      <c r="E211" s="351"/>
      <c r="F211" s="351"/>
      <c r="G211" s="330"/>
      <c r="H211" s="330"/>
      <c r="I211" s="330"/>
      <c r="J211" s="330"/>
      <c r="K211" s="330"/>
      <c r="L211" s="330"/>
      <c r="M211" s="330"/>
      <c r="N211" s="330"/>
      <c r="O211" s="330"/>
      <c r="P211" s="330"/>
      <c r="Q211" s="330"/>
      <c r="R211" s="330"/>
      <c r="S211" s="330"/>
      <c r="T211" s="352">
        <v>51105</v>
      </c>
      <c r="U211" s="286"/>
      <c r="V211" s="286"/>
      <c r="W211" s="289"/>
      <c r="X211" s="5"/>
    </row>
    <row r="212" spans="1:24" ht="15.75" x14ac:dyDescent="0.25">
      <c r="A212" s="350"/>
      <c r="B212" s="286" t="s">
        <v>209</v>
      </c>
      <c r="C212" s="351"/>
      <c r="D212" s="351"/>
      <c r="E212" s="351"/>
      <c r="F212" s="351"/>
      <c r="G212" s="330"/>
      <c r="H212" s="330"/>
      <c r="I212" s="330"/>
      <c r="J212" s="330"/>
      <c r="K212" s="330"/>
      <c r="L212" s="330"/>
      <c r="M212" s="330"/>
      <c r="N212" s="330"/>
      <c r="O212" s="330"/>
      <c r="P212" s="330"/>
      <c r="Q212" s="330"/>
      <c r="R212" s="330"/>
      <c r="S212" s="330"/>
      <c r="T212" s="352">
        <v>51105</v>
      </c>
      <c r="U212" s="286"/>
      <c r="V212" s="286"/>
      <c r="W212" s="289"/>
      <c r="X212" s="5"/>
    </row>
    <row r="213" spans="1:24" ht="15.75" x14ac:dyDescent="0.25">
      <c r="A213" s="350"/>
      <c r="B213" s="286" t="s">
        <v>75</v>
      </c>
      <c r="C213" s="351"/>
      <c r="D213" s="351"/>
      <c r="E213" s="351"/>
      <c r="F213" s="351"/>
      <c r="G213" s="330"/>
      <c r="H213" s="330"/>
      <c r="I213" s="330"/>
      <c r="J213" s="330"/>
      <c r="K213" s="330"/>
      <c r="L213" s="330"/>
      <c r="M213" s="330"/>
      <c r="N213" s="330"/>
      <c r="O213" s="330"/>
      <c r="P213" s="330"/>
      <c r="Q213" s="330"/>
      <c r="R213" s="330"/>
      <c r="S213" s="330"/>
      <c r="T213" s="327">
        <v>21.06</v>
      </c>
      <c r="U213" s="286" t="s">
        <v>110</v>
      </c>
      <c r="V213" s="286"/>
      <c r="W213" s="289"/>
      <c r="X213" s="5"/>
    </row>
    <row r="214" spans="1:24" ht="15.75" x14ac:dyDescent="0.25">
      <c r="A214" s="350"/>
      <c r="B214" s="286" t="s">
        <v>76</v>
      </c>
      <c r="C214" s="351"/>
      <c r="D214" s="351"/>
      <c r="E214" s="351"/>
      <c r="F214" s="351"/>
      <c r="G214" s="330"/>
      <c r="H214" s="330"/>
      <c r="I214" s="330"/>
      <c r="J214" s="330"/>
      <c r="K214" s="330"/>
      <c r="L214" s="330"/>
      <c r="M214" s="330"/>
      <c r="N214" s="330"/>
      <c r="O214" s="330"/>
      <c r="P214" s="330"/>
      <c r="Q214" s="330"/>
      <c r="R214" s="330"/>
      <c r="S214" s="330"/>
      <c r="T214" s="327">
        <v>18.09</v>
      </c>
      <c r="U214" s="286" t="s">
        <v>110</v>
      </c>
      <c r="V214" s="286"/>
      <c r="W214" s="289"/>
      <c r="X214" s="5"/>
    </row>
    <row r="215" spans="1:24" ht="15.75" x14ac:dyDescent="0.25">
      <c r="A215" s="350"/>
      <c r="B215" s="286" t="s">
        <v>77</v>
      </c>
      <c r="C215" s="351"/>
      <c r="D215" s="351"/>
      <c r="E215" s="351"/>
      <c r="F215" s="351"/>
      <c r="G215" s="330"/>
      <c r="H215" s="330"/>
      <c r="I215" s="330"/>
      <c r="J215" s="330"/>
      <c r="K215" s="330"/>
      <c r="L215" s="330"/>
      <c r="M215" s="330"/>
      <c r="N215" s="330"/>
      <c r="O215" s="330"/>
      <c r="P215" s="330"/>
      <c r="Q215" s="330"/>
      <c r="R215" s="330"/>
      <c r="S215" s="330"/>
      <c r="T215" s="321">
        <f>+P68/N68</f>
        <v>8.3244624969672776E-3</v>
      </c>
      <c r="U215" s="286"/>
      <c r="V215" s="286"/>
      <c r="W215" s="289"/>
      <c r="X215" s="5"/>
    </row>
    <row r="216" spans="1:24" ht="15.75" x14ac:dyDescent="0.25">
      <c r="A216" s="350"/>
      <c r="B216" s="286" t="s">
        <v>78</v>
      </c>
      <c r="C216" s="351"/>
      <c r="D216" s="351"/>
      <c r="E216" s="351"/>
      <c r="F216" s="351"/>
      <c r="G216" s="330"/>
      <c r="H216" s="330"/>
      <c r="I216" s="330"/>
      <c r="J216" s="330"/>
      <c r="K216" s="330"/>
      <c r="L216" s="330"/>
      <c r="M216" s="330"/>
      <c r="N216" s="330"/>
      <c r="O216" s="330"/>
      <c r="P216" s="330"/>
      <c r="Q216" s="330"/>
      <c r="R216" s="330"/>
      <c r="S216" s="330"/>
      <c r="T216" s="321">
        <v>5.3100000000000001E-2</v>
      </c>
      <c r="U216" s="286"/>
      <c r="V216" s="286"/>
      <c r="W216" s="289"/>
      <c r="X216" s="5"/>
    </row>
    <row r="217" spans="1:24" ht="15.75" x14ac:dyDescent="0.25">
      <c r="A217" s="218"/>
      <c r="B217" s="348"/>
      <c r="C217" s="348"/>
      <c r="D217" s="348"/>
      <c r="E217" s="348"/>
      <c r="F217" s="348"/>
      <c r="G217" s="212"/>
      <c r="H217" s="212"/>
      <c r="I217" s="212"/>
      <c r="J217" s="212"/>
      <c r="K217" s="212"/>
      <c r="L217" s="212"/>
      <c r="M217" s="212"/>
      <c r="N217" s="212"/>
      <c r="O217" s="212"/>
      <c r="P217" s="212"/>
      <c r="Q217" s="212"/>
      <c r="R217" s="212"/>
      <c r="S217" s="212"/>
      <c r="T217" s="344"/>
      <c r="U217" s="212"/>
      <c r="V217" s="349"/>
      <c r="W217" s="212"/>
      <c r="X217" s="5"/>
    </row>
    <row r="218" spans="1:24" ht="15.75" x14ac:dyDescent="0.25">
      <c r="A218" s="242"/>
      <c r="B218" s="232" t="s">
        <v>79</v>
      </c>
      <c r="C218" s="233"/>
      <c r="D218" s="233"/>
      <c r="E218" s="233"/>
      <c r="F218" s="243"/>
      <c r="G218" s="233"/>
      <c r="H218" s="233"/>
      <c r="I218" s="233"/>
      <c r="J218" s="233"/>
      <c r="K218" s="233"/>
      <c r="L218" s="233"/>
      <c r="M218" s="233"/>
      <c r="N218" s="233"/>
      <c r="O218" s="233"/>
      <c r="P218" s="233"/>
      <c r="Q218" s="233"/>
      <c r="R218" s="233"/>
      <c r="S218" s="233" t="s">
        <v>102</v>
      </c>
      <c r="T218" s="243" t="s">
        <v>108</v>
      </c>
      <c r="U218" s="225"/>
      <c r="V218" s="225"/>
      <c r="W218" s="225"/>
      <c r="X218" s="5"/>
    </row>
    <row r="219" spans="1:24" ht="15.75" x14ac:dyDescent="0.25">
      <c r="A219" s="222"/>
      <c r="B219" s="250" t="s">
        <v>80</v>
      </c>
      <c r="C219" s="249"/>
      <c r="D219" s="249"/>
      <c r="E219" s="249"/>
      <c r="F219" s="250"/>
      <c r="G219" s="250"/>
      <c r="H219" s="268"/>
      <c r="I219" s="268"/>
      <c r="J219" s="268"/>
      <c r="K219" s="268"/>
      <c r="L219" s="268"/>
      <c r="M219" s="268"/>
      <c r="N219" s="268"/>
      <c r="O219" s="268"/>
      <c r="P219" s="268"/>
      <c r="Q219" s="268"/>
      <c r="R219" s="268"/>
      <c r="S219" s="268">
        <v>0</v>
      </c>
      <c r="T219" s="269">
        <v>0</v>
      </c>
      <c r="U219" s="250"/>
      <c r="V219" s="266"/>
      <c r="W219" s="223"/>
      <c r="X219" s="5"/>
    </row>
    <row r="220" spans="1:24" ht="15.75" x14ac:dyDescent="0.25">
      <c r="A220" s="358"/>
      <c r="B220" s="286" t="s">
        <v>145</v>
      </c>
      <c r="C220" s="337"/>
      <c r="D220" s="337"/>
      <c r="E220" s="337"/>
      <c r="F220" s="286"/>
      <c r="G220" s="286"/>
      <c r="H220" s="296"/>
      <c r="I220" s="296"/>
      <c r="J220" s="296"/>
      <c r="K220" s="296"/>
      <c r="L220" s="296"/>
      <c r="M220" s="296"/>
      <c r="N220" s="296"/>
      <c r="O220" s="296"/>
      <c r="P220" s="296"/>
      <c r="Q220" s="296"/>
      <c r="R220" s="296"/>
      <c r="S220" s="359">
        <f>+R272</f>
        <v>145</v>
      </c>
      <c r="T220" s="360">
        <f>+T272</f>
        <v>23565</v>
      </c>
      <c r="U220" s="286"/>
      <c r="V220" s="361"/>
      <c r="W220" s="362"/>
      <c r="X220" s="5"/>
    </row>
    <row r="221" spans="1:24" ht="15.75" x14ac:dyDescent="0.25">
      <c r="A221" s="358"/>
      <c r="B221" s="286" t="s">
        <v>81</v>
      </c>
      <c r="C221" s="337"/>
      <c r="D221" s="337"/>
      <c r="E221" s="337"/>
      <c r="F221" s="286"/>
      <c r="G221" s="286"/>
      <c r="H221" s="296"/>
      <c r="I221" s="296"/>
      <c r="J221" s="296"/>
      <c r="K221" s="296"/>
      <c r="L221" s="296"/>
      <c r="M221" s="296"/>
      <c r="N221" s="296"/>
      <c r="O221" s="296"/>
      <c r="P221" s="296"/>
      <c r="Q221" s="296"/>
      <c r="R221" s="296"/>
      <c r="S221" s="359">
        <v>0</v>
      </c>
      <c r="T221" s="360">
        <v>0</v>
      </c>
      <c r="U221" s="286"/>
      <c r="V221" s="361"/>
      <c r="W221" s="362"/>
      <c r="X221" s="5"/>
    </row>
    <row r="222" spans="1:24" ht="15.75" x14ac:dyDescent="0.25">
      <c r="A222" s="358"/>
      <c r="B222" s="313" t="s">
        <v>82</v>
      </c>
      <c r="C222" s="363"/>
      <c r="D222" s="363"/>
      <c r="E222" s="363"/>
      <c r="F222" s="314"/>
      <c r="G222" s="314"/>
      <c r="H222" s="314"/>
      <c r="I222" s="314"/>
      <c r="J222" s="314"/>
      <c r="K222" s="314"/>
      <c r="L222" s="314"/>
      <c r="M222" s="314"/>
      <c r="N222" s="314"/>
      <c r="O222" s="314"/>
      <c r="P222" s="314"/>
      <c r="Q222" s="314"/>
      <c r="R222" s="314"/>
      <c r="S222" s="286"/>
      <c r="T222" s="360">
        <v>0</v>
      </c>
      <c r="U222" s="314"/>
      <c r="V222" s="364"/>
      <c r="W222" s="362"/>
      <c r="X222" s="5"/>
    </row>
    <row r="223" spans="1:24" ht="15.75" x14ac:dyDescent="0.25">
      <c r="A223" s="358"/>
      <c r="B223" s="313" t="s">
        <v>228</v>
      </c>
      <c r="C223" s="363"/>
      <c r="D223" s="363"/>
      <c r="E223" s="363"/>
      <c r="F223" s="314"/>
      <c r="G223" s="314"/>
      <c r="H223" s="314"/>
      <c r="I223" s="314"/>
      <c r="J223" s="314"/>
      <c r="K223" s="314"/>
      <c r="L223" s="314"/>
      <c r="M223" s="314"/>
      <c r="N223" s="314"/>
      <c r="O223" s="314"/>
      <c r="P223" s="314"/>
      <c r="Q223" s="314"/>
      <c r="R223" s="314"/>
      <c r="S223" s="286"/>
      <c r="T223" s="360">
        <f>+N81</f>
        <v>0</v>
      </c>
      <c r="U223" s="314"/>
      <c r="V223" s="364"/>
      <c r="W223" s="362"/>
      <c r="X223" s="5"/>
    </row>
    <row r="224" spans="1:24" ht="15.75" x14ac:dyDescent="0.25">
      <c r="A224" s="365"/>
      <c r="B224" s="313" t="s">
        <v>83</v>
      </c>
      <c r="C224" s="366"/>
      <c r="D224" s="366"/>
      <c r="E224" s="366"/>
      <c r="F224" s="366"/>
      <c r="G224" s="314"/>
      <c r="H224" s="314"/>
      <c r="I224" s="314"/>
      <c r="J224" s="314"/>
      <c r="K224" s="314"/>
      <c r="L224" s="314"/>
      <c r="M224" s="314"/>
      <c r="N224" s="314"/>
      <c r="O224" s="314"/>
      <c r="P224" s="314"/>
      <c r="Q224" s="314"/>
      <c r="R224" s="314"/>
      <c r="S224" s="286"/>
      <c r="T224" s="360"/>
      <c r="U224" s="314"/>
      <c r="V224" s="364"/>
      <c r="W224" s="367"/>
      <c r="X224" s="5"/>
    </row>
    <row r="225" spans="1:25" ht="15.75" x14ac:dyDescent="0.25">
      <c r="A225" s="365"/>
      <c r="B225" s="291" t="s">
        <v>84</v>
      </c>
      <c r="C225" s="366"/>
      <c r="D225" s="366"/>
      <c r="E225" s="366"/>
      <c r="F225" s="366"/>
      <c r="G225" s="314"/>
      <c r="H225" s="314"/>
      <c r="I225" s="314"/>
      <c r="J225" s="314"/>
      <c r="K225" s="314"/>
      <c r="L225" s="314"/>
      <c r="M225" s="314"/>
      <c r="N225" s="314"/>
      <c r="O225" s="314"/>
      <c r="P225" s="314"/>
      <c r="Q225" s="314"/>
      <c r="R225" s="314"/>
      <c r="S225" s="296"/>
      <c r="T225" s="360">
        <f>V163</f>
        <v>297</v>
      </c>
      <c r="U225" s="314"/>
      <c r="V225" s="364"/>
      <c r="W225" s="367"/>
      <c r="X225" s="5"/>
    </row>
    <row r="226" spans="1:25" ht="15.75" x14ac:dyDescent="0.25">
      <c r="A226" s="358"/>
      <c r="B226" s="286" t="s">
        <v>85</v>
      </c>
      <c r="C226" s="363"/>
      <c r="D226" s="363"/>
      <c r="E226" s="363"/>
      <c r="F226" s="363"/>
      <c r="G226" s="314"/>
      <c r="H226" s="314"/>
      <c r="I226" s="314"/>
      <c r="J226" s="314"/>
      <c r="K226" s="314"/>
      <c r="L226" s="314"/>
      <c r="M226" s="314"/>
      <c r="N226" s="314"/>
      <c r="O226" s="314"/>
      <c r="P226" s="314"/>
      <c r="Q226" s="314"/>
      <c r="R226" s="314"/>
      <c r="S226" s="296"/>
      <c r="T226" s="360">
        <f>'May 10'!T226+T225</f>
        <v>1802</v>
      </c>
      <c r="U226" s="314"/>
      <c r="V226" s="364"/>
      <c r="W226" s="367"/>
      <c r="X226" s="5"/>
    </row>
    <row r="227" spans="1:25" ht="15.75" x14ac:dyDescent="0.25">
      <c r="A227" s="365"/>
      <c r="B227" s="313" t="s">
        <v>285</v>
      </c>
      <c r="C227" s="366"/>
      <c r="D227" s="366"/>
      <c r="E227" s="366"/>
      <c r="F227" s="366"/>
      <c r="G227" s="314"/>
      <c r="H227" s="314"/>
      <c r="I227" s="314"/>
      <c r="J227" s="314"/>
      <c r="K227" s="314"/>
      <c r="L227" s="314"/>
      <c r="M227" s="314"/>
      <c r="N227" s="314"/>
      <c r="O227" s="314"/>
      <c r="P227" s="314"/>
      <c r="Q227" s="314"/>
      <c r="R227" s="314"/>
      <c r="S227" s="296"/>
      <c r="T227" s="360"/>
      <c r="U227" s="314"/>
      <c r="V227" s="364"/>
      <c r="W227" s="367"/>
      <c r="X227" s="5"/>
    </row>
    <row r="228" spans="1:25" ht="15.75" x14ac:dyDescent="0.25">
      <c r="A228" s="365"/>
      <c r="B228" s="286" t="s">
        <v>282</v>
      </c>
      <c r="C228" s="366"/>
      <c r="D228" s="366"/>
      <c r="E228" s="366"/>
      <c r="F228" s="366"/>
      <c r="G228" s="314"/>
      <c r="H228" s="314"/>
      <c r="I228" s="314"/>
      <c r="J228" s="314"/>
      <c r="K228" s="314"/>
      <c r="L228" s="314"/>
      <c r="M228" s="314"/>
      <c r="N228" s="314"/>
      <c r="O228" s="314"/>
      <c r="P228" s="314"/>
      <c r="Q228" s="314"/>
      <c r="R228" s="314"/>
      <c r="S228" s="296">
        <v>0</v>
      </c>
      <c r="T228" s="360">
        <v>0</v>
      </c>
      <c r="U228" s="314"/>
      <c r="V228" s="364"/>
      <c r="W228" s="367"/>
      <c r="X228" s="5"/>
    </row>
    <row r="229" spans="1:25" ht="15.75" x14ac:dyDescent="0.25">
      <c r="A229" s="358"/>
      <c r="B229" s="286" t="s">
        <v>86</v>
      </c>
      <c r="C229" s="368"/>
      <c r="D229" s="368"/>
      <c r="E229" s="368"/>
      <c r="F229" s="369"/>
      <c r="G229" s="314"/>
      <c r="H229" s="314"/>
      <c r="I229" s="314"/>
      <c r="J229" s="314"/>
      <c r="K229" s="314"/>
      <c r="L229" s="314"/>
      <c r="M229" s="314"/>
      <c r="N229" s="314"/>
      <c r="O229" s="314"/>
      <c r="P229" s="314"/>
      <c r="Q229" s="314"/>
      <c r="R229" s="314"/>
      <c r="S229" s="286"/>
      <c r="T229" s="370">
        <v>0</v>
      </c>
      <c r="U229" s="314"/>
      <c r="V229" s="364"/>
      <c r="W229" s="367"/>
      <c r="X229" s="5"/>
    </row>
    <row r="230" spans="1:25" ht="15.75" x14ac:dyDescent="0.25">
      <c r="A230" s="358"/>
      <c r="B230" s="286" t="s">
        <v>87</v>
      </c>
      <c r="C230" s="368"/>
      <c r="D230" s="368"/>
      <c r="E230" s="368"/>
      <c r="F230" s="369"/>
      <c r="G230" s="314"/>
      <c r="H230" s="314"/>
      <c r="I230" s="314"/>
      <c r="J230" s="314"/>
      <c r="K230" s="314"/>
      <c r="L230" s="314"/>
      <c r="M230" s="314"/>
      <c r="N230" s="314"/>
      <c r="O230" s="314"/>
      <c r="P230" s="314"/>
      <c r="Q230" s="314"/>
      <c r="R230" s="314"/>
      <c r="S230" s="286"/>
      <c r="T230" s="370">
        <v>0</v>
      </c>
      <c r="U230" s="314"/>
      <c r="V230" s="364"/>
      <c r="W230" s="367"/>
      <c r="X230" s="5"/>
    </row>
    <row r="231" spans="1:25" ht="15.75" x14ac:dyDescent="0.25">
      <c r="A231" s="358"/>
      <c r="B231" s="313" t="s">
        <v>216</v>
      </c>
      <c r="C231" s="368"/>
      <c r="D231" s="368"/>
      <c r="E231" s="368"/>
      <c r="F231" s="369"/>
      <c r="G231" s="314"/>
      <c r="H231" s="314"/>
      <c r="I231" s="314"/>
      <c r="J231" s="314"/>
      <c r="K231" s="314"/>
      <c r="L231" s="314"/>
      <c r="M231" s="314"/>
      <c r="N231" s="314"/>
      <c r="O231" s="314"/>
      <c r="P231" s="314"/>
      <c r="Q231" s="314"/>
      <c r="R231" s="314"/>
      <c r="S231" s="286"/>
      <c r="T231" s="371"/>
      <c r="U231" s="314"/>
      <c r="V231" s="364"/>
      <c r="W231" s="367"/>
      <c r="X231" s="5"/>
    </row>
    <row r="232" spans="1:25" ht="15.75" x14ac:dyDescent="0.25">
      <c r="A232" s="358"/>
      <c r="B232" s="286" t="s">
        <v>282</v>
      </c>
      <c r="C232" s="368"/>
      <c r="D232" s="368"/>
      <c r="E232" s="368"/>
      <c r="F232" s="369"/>
      <c r="G232" s="314"/>
      <c r="H232" s="314"/>
      <c r="I232" s="314"/>
      <c r="J232" s="314"/>
      <c r="K232" s="314"/>
      <c r="L232" s="314"/>
      <c r="M232" s="314"/>
      <c r="N232" s="314"/>
      <c r="O232" s="314"/>
      <c r="P232" s="314"/>
      <c r="Q232" s="314"/>
      <c r="R232" s="314"/>
      <c r="S232" s="296">
        <v>8</v>
      </c>
      <c r="T232" s="360">
        <v>1113</v>
      </c>
      <c r="U232" s="314"/>
      <c r="V232" s="364"/>
      <c r="W232" s="367"/>
      <c r="X232" s="5"/>
    </row>
    <row r="233" spans="1:25" ht="15.75" x14ac:dyDescent="0.25">
      <c r="A233" s="358"/>
      <c r="B233" s="286" t="s">
        <v>217</v>
      </c>
      <c r="C233" s="368"/>
      <c r="D233" s="368"/>
      <c r="E233" s="368"/>
      <c r="F233" s="369"/>
      <c r="G233" s="314"/>
      <c r="H233" s="314"/>
      <c r="I233" s="314"/>
      <c r="J233" s="314"/>
      <c r="K233" s="314"/>
      <c r="L233" s="314"/>
      <c r="M233" s="314"/>
      <c r="N233" s="314"/>
      <c r="O233" s="314"/>
      <c r="P233" s="314"/>
      <c r="Q233" s="314"/>
      <c r="R233" s="314"/>
      <c r="S233" s="286"/>
      <c r="T233" s="370">
        <v>13.09</v>
      </c>
      <c r="U233" s="314"/>
      <c r="V233" s="364"/>
      <c r="W233" s="367"/>
      <c r="X233" s="5"/>
    </row>
    <row r="234" spans="1:25" ht="15.75" x14ac:dyDescent="0.25">
      <c r="A234" s="358"/>
      <c r="B234" s="366"/>
      <c r="C234" s="368"/>
      <c r="D234" s="368"/>
      <c r="E234" s="368"/>
      <c r="F234" s="369"/>
      <c r="G234" s="314"/>
      <c r="H234" s="314"/>
      <c r="I234" s="314"/>
      <c r="J234" s="314"/>
      <c r="K234" s="314"/>
      <c r="L234" s="314"/>
      <c r="M234" s="314"/>
      <c r="N234" s="314"/>
      <c r="O234" s="314"/>
      <c r="P234" s="314"/>
      <c r="Q234" s="314"/>
      <c r="R234" s="314"/>
      <c r="S234" s="286"/>
      <c r="T234" s="371"/>
      <c r="U234" s="314"/>
      <c r="V234" s="364"/>
      <c r="W234" s="367"/>
      <c r="X234" s="5"/>
    </row>
    <row r="235" spans="1:25" ht="15.75" x14ac:dyDescent="0.25">
      <c r="A235" s="358"/>
      <c r="B235" s="366"/>
      <c r="C235" s="368"/>
      <c r="D235" s="368"/>
      <c r="E235" s="368"/>
      <c r="F235" s="369"/>
      <c r="G235" s="314"/>
      <c r="H235" s="314"/>
      <c r="I235" s="314"/>
      <c r="J235" s="314"/>
      <c r="K235" s="314"/>
      <c r="L235" s="314"/>
      <c r="M235" s="314"/>
      <c r="N235" s="314"/>
      <c r="O235" s="314"/>
      <c r="P235" s="314"/>
      <c r="Q235" s="314"/>
      <c r="R235" s="314"/>
      <c r="S235" s="314"/>
      <c r="T235" s="372"/>
      <c r="U235" s="314"/>
      <c r="V235" s="364"/>
      <c r="W235" s="367"/>
      <c r="X235" s="5"/>
    </row>
    <row r="236" spans="1:25" ht="18.75" x14ac:dyDescent="0.3">
      <c r="A236" s="358"/>
      <c r="B236" s="373" t="s">
        <v>168</v>
      </c>
      <c r="C236" s="368"/>
      <c r="D236" s="368"/>
      <c r="E236" s="368"/>
      <c r="F236" s="369"/>
      <c r="G236" s="314"/>
      <c r="H236" s="314"/>
      <c r="I236" s="314"/>
      <c r="J236" s="314"/>
      <c r="K236" s="314"/>
      <c r="L236" s="314"/>
      <c r="M236" s="314"/>
      <c r="N236" s="314"/>
      <c r="O236" s="314"/>
      <c r="P236" s="374" t="s">
        <v>167</v>
      </c>
      <c r="Q236" s="314"/>
      <c r="R236" s="314"/>
      <c r="S236" s="314"/>
      <c r="T236" s="372"/>
      <c r="U236" s="314"/>
      <c r="V236" s="364"/>
      <c r="W236" s="367"/>
      <c r="X236" s="5"/>
    </row>
    <row r="237" spans="1:25" ht="15.75" x14ac:dyDescent="0.25">
      <c r="A237" s="353"/>
      <c r="B237" s="348"/>
      <c r="C237" s="354"/>
      <c r="D237" s="354"/>
      <c r="E237" s="354"/>
      <c r="F237" s="355"/>
      <c r="G237" s="212"/>
      <c r="H237" s="212"/>
      <c r="I237" s="212"/>
      <c r="J237" s="212"/>
      <c r="K237" s="212"/>
      <c r="L237" s="212"/>
      <c r="M237" s="212"/>
      <c r="N237" s="212"/>
      <c r="O237" s="212"/>
      <c r="P237" s="212"/>
      <c r="Q237" s="212"/>
      <c r="R237" s="212"/>
      <c r="S237" s="212"/>
      <c r="T237" s="356"/>
      <c r="U237" s="212"/>
      <c r="V237" s="349"/>
      <c r="W237" s="357"/>
      <c r="X237" s="5"/>
    </row>
    <row r="238" spans="1:25" ht="15.75" x14ac:dyDescent="0.25">
      <c r="A238" s="224"/>
      <c r="B238" s="232" t="s">
        <v>297</v>
      </c>
      <c r="C238" s="233"/>
      <c r="D238" s="233"/>
      <c r="E238" s="233"/>
      <c r="F238" s="243"/>
      <c r="G238" s="233"/>
      <c r="H238" s="233"/>
      <c r="I238" s="233"/>
      <c r="J238" s="233"/>
      <c r="K238" s="233"/>
      <c r="L238" s="233"/>
      <c r="M238" s="233"/>
      <c r="N238" s="233"/>
      <c r="O238" s="233"/>
      <c r="P238" s="233"/>
      <c r="Q238" s="233"/>
      <c r="R238" s="243" t="s">
        <v>102</v>
      </c>
      <c r="S238" s="233" t="s">
        <v>103</v>
      </c>
      <c r="T238" s="243" t="s">
        <v>109</v>
      </c>
      <c r="U238" s="233" t="s">
        <v>103</v>
      </c>
      <c r="V238" s="225"/>
      <c r="W238" s="232"/>
      <c r="X238" s="5"/>
    </row>
    <row r="239" spans="1:25" ht="15.75" x14ac:dyDescent="0.25">
      <c r="A239" s="193"/>
      <c r="B239" s="249" t="s">
        <v>88</v>
      </c>
      <c r="C239" s="265"/>
      <c r="D239" s="265"/>
      <c r="E239" s="265"/>
      <c r="F239" s="250"/>
      <c r="G239" s="265"/>
      <c r="H239" s="265"/>
      <c r="I239" s="265"/>
      <c r="J239" s="265"/>
      <c r="K239" s="265"/>
      <c r="L239" s="265"/>
      <c r="M239" s="265"/>
      <c r="N239" s="265"/>
      <c r="O239" s="265"/>
      <c r="P239" s="265"/>
      <c r="Q239" s="265"/>
      <c r="R239" s="249">
        <f t="shared" ref="R239:R246" si="1">+R251+R263+R275</f>
        <v>5784</v>
      </c>
      <c r="S239" s="252">
        <f>R239/$R$248</f>
        <v>0.97570850202429149</v>
      </c>
      <c r="T239" s="253">
        <f>+T251+T263+T275</f>
        <v>831640</v>
      </c>
      <c r="U239" s="252">
        <f>T239/$T$248</f>
        <v>0.97327598817987648</v>
      </c>
      <c r="V239" s="266"/>
      <c r="W239" s="267"/>
      <c r="X239" s="5"/>
    </row>
    <row r="240" spans="1:25" ht="15.75" x14ac:dyDescent="0.25">
      <c r="A240" s="285"/>
      <c r="B240" s="337" t="s">
        <v>89</v>
      </c>
      <c r="C240" s="378"/>
      <c r="D240" s="378"/>
      <c r="E240" s="378"/>
      <c r="F240" s="286"/>
      <c r="G240" s="379"/>
      <c r="H240" s="378"/>
      <c r="I240" s="378"/>
      <c r="J240" s="378"/>
      <c r="K240" s="378"/>
      <c r="L240" s="378"/>
      <c r="M240" s="378"/>
      <c r="N240" s="378"/>
      <c r="O240" s="378"/>
      <c r="P240" s="378"/>
      <c r="Q240" s="378"/>
      <c r="R240" s="337">
        <f t="shared" si="1"/>
        <v>48</v>
      </c>
      <c r="S240" s="379">
        <f t="shared" ref="S240:S246" si="2">R240/$R$248</f>
        <v>8.0971659919028341E-3</v>
      </c>
      <c r="T240" s="338">
        <f t="shared" ref="T240:T246" si="3">+T252+T264+T276</f>
        <v>7621</v>
      </c>
      <c r="U240" s="379">
        <f t="shared" ref="U240:U246" si="4">T240/$T$248</f>
        <v>8.9189268264138807E-3</v>
      </c>
      <c r="V240" s="361"/>
      <c r="W240" s="380"/>
      <c r="X240" s="5"/>
      <c r="Y240" s="109"/>
    </row>
    <row r="241" spans="1:25" ht="15.75" x14ac:dyDescent="0.25">
      <c r="A241" s="285"/>
      <c r="B241" s="337" t="s">
        <v>90</v>
      </c>
      <c r="C241" s="378"/>
      <c r="D241" s="378"/>
      <c r="E241" s="378"/>
      <c r="F241" s="286"/>
      <c r="G241" s="379"/>
      <c r="H241" s="378"/>
      <c r="I241" s="378"/>
      <c r="J241" s="378"/>
      <c r="K241" s="378"/>
      <c r="L241" s="378"/>
      <c r="M241" s="378"/>
      <c r="N241" s="378"/>
      <c r="O241" s="378"/>
      <c r="P241" s="378"/>
      <c r="Q241" s="378"/>
      <c r="R241" s="337">
        <f t="shared" si="1"/>
        <v>14</v>
      </c>
      <c r="S241" s="379">
        <f t="shared" si="2"/>
        <v>2.3616734143049934E-3</v>
      </c>
      <c r="T241" s="338">
        <f t="shared" si="3"/>
        <v>2239</v>
      </c>
      <c r="U241" s="379">
        <f t="shared" si="4"/>
        <v>2.6203224201995379E-3</v>
      </c>
      <c r="V241" s="361"/>
      <c r="W241" s="380"/>
      <c r="X241" s="5"/>
    </row>
    <row r="242" spans="1:25" ht="15.75" x14ac:dyDescent="0.25">
      <c r="A242" s="285"/>
      <c r="B242" s="337" t="s">
        <v>156</v>
      </c>
      <c r="C242" s="378"/>
      <c r="D242" s="378"/>
      <c r="E242" s="378"/>
      <c r="F242" s="286"/>
      <c r="G242" s="379"/>
      <c r="H242" s="378"/>
      <c r="I242" s="378"/>
      <c r="J242" s="378"/>
      <c r="K242" s="378"/>
      <c r="L242" s="378"/>
      <c r="M242" s="378"/>
      <c r="N242" s="378"/>
      <c r="O242" s="378"/>
      <c r="P242" s="378"/>
      <c r="Q242" s="378"/>
      <c r="R242" s="337">
        <f t="shared" si="1"/>
        <v>8</v>
      </c>
      <c r="S242" s="379">
        <f t="shared" si="2"/>
        <v>1.3495276653171389E-3</v>
      </c>
      <c r="T242" s="338">
        <f t="shared" si="3"/>
        <v>1865</v>
      </c>
      <c r="U242" s="379">
        <f t="shared" si="4"/>
        <v>2.1826267591210976E-3</v>
      </c>
      <c r="V242" s="361"/>
      <c r="W242" s="380"/>
      <c r="X242" s="5"/>
      <c r="Y242" s="109"/>
    </row>
    <row r="243" spans="1:25" ht="15.75" x14ac:dyDescent="0.25">
      <c r="A243" s="285"/>
      <c r="B243" s="337" t="s">
        <v>157</v>
      </c>
      <c r="C243" s="378"/>
      <c r="D243" s="378"/>
      <c r="E243" s="378"/>
      <c r="F243" s="286"/>
      <c r="G243" s="379"/>
      <c r="H243" s="378"/>
      <c r="I243" s="378"/>
      <c r="J243" s="378"/>
      <c r="K243" s="378"/>
      <c r="L243" s="378"/>
      <c r="M243" s="378"/>
      <c r="N243" s="378"/>
      <c r="O243" s="378"/>
      <c r="P243" s="378"/>
      <c r="Q243" s="378"/>
      <c r="R243" s="337">
        <f t="shared" si="1"/>
        <v>2</v>
      </c>
      <c r="S243" s="379">
        <f t="shared" si="2"/>
        <v>3.3738191632928474E-4</v>
      </c>
      <c r="T243" s="338">
        <f t="shared" si="3"/>
        <v>244</v>
      </c>
      <c r="U243" s="379">
        <f t="shared" si="4"/>
        <v>2.8555545802978435E-4</v>
      </c>
      <c r="V243" s="361"/>
      <c r="W243" s="380"/>
      <c r="X243" s="5"/>
    </row>
    <row r="244" spans="1:25" ht="15.75" x14ac:dyDescent="0.25">
      <c r="A244" s="285"/>
      <c r="B244" s="337" t="s">
        <v>158</v>
      </c>
      <c r="C244" s="378"/>
      <c r="D244" s="378"/>
      <c r="E244" s="378"/>
      <c r="F244" s="286"/>
      <c r="G244" s="379"/>
      <c r="H244" s="378"/>
      <c r="I244" s="378"/>
      <c r="J244" s="378"/>
      <c r="K244" s="378"/>
      <c r="L244" s="378"/>
      <c r="M244" s="378"/>
      <c r="N244" s="378"/>
      <c r="O244" s="378"/>
      <c r="P244" s="378"/>
      <c r="Q244" s="378"/>
      <c r="R244" s="337">
        <f t="shared" si="1"/>
        <v>11</v>
      </c>
      <c r="S244" s="379">
        <f t="shared" si="2"/>
        <v>1.8556005398110661E-3</v>
      </c>
      <c r="T244" s="338">
        <f t="shared" si="3"/>
        <v>1369</v>
      </c>
      <c r="U244" s="379">
        <f t="shared" si="4"/>
        <v>1.6021533690277656E-3</v>
      </c>
      <c r="V244" s="361"/>
      <c r="W244" s="380"/>
      <c r="X244" s="5"/>
      <c r="Y244" s="109"/>
    </row>
    <row r="245" spans="1:25" ht="15.75" x14ac:dyDescent="0.25">
      <c r="A245" s="285"/>
      <c r="B245" s="337" t="s">
        <v>159</v>
      </c>
      <c r="C245" s="378"/>
      <c r="D245" s="378"/>
      <c r="E245" s="378"/>
      <c r="F245" s="286"/>
      <c r="G245" s="379"/>
      <c r="H245" s="378"/>
      <c r="I245" s="378"/>
      <c r="J245" s="378"/>
      <c r="K245" s="378"/>
      <c r="L245" s="378"/>
      <c r="M245" s="378"/>
      <c r="N245" s="378"/>
      <c r="O245" s="378"/>
      <c r="P245" s="378"/>
      <c r="Q245" s="378"/>
      <c r="R245" s="337">
        <f t="shared" si="1"/>
        <v>30</v>
      </c>
      <c r="S245" s="379">
        <f t="shared" si="2"/>
        <v>5.0607287449392713E-3</v>
      </c>
      <c r="T245" s="338">
        <f t="shared" si="3"/>
        <v>4235</v>
      </c>
      <c r="U245" s="379">
        <f t="shared" si="4"/>
        <v>4.9562596916235113E-3</v>
      </c>
      <c r="V245" s="361"/>
      <c r="W245" s="380"/>
      <c r="X245" s="5"/>
    </row>
    <row r="246" spans="1:25" ht="15.75" x14ac:dyDescent="0.25">
      <c r="A246" s="285"/>
      <c r="B246" s="337" t="s">
        <v>160</v>
      </c>
      <c r="C246" s="378"/>
      <c r="D246" s="378"/>
      <c r="E246" s="378"/>
      <c r="F246" s="286"/>
      <c r="G246" s="379"/>
      <c r="H246" s="378"/>
      <c r="I246" s="378"/>
      <c r="J246" s="378"/>
      <c r="K246" s="378"/>
      <c r="L246" s="378"/>
      <c r="M246" s="378"/>
      <c r="N246" s="378"/>
      <c r="O246" s="378"/>
      <c r="P246" s="378"/>
      <c r="Q246" s="378"/>
      <c r="R246" s="386">
        <f t="shared" si="1"/>
        <v>31</v>
      </c>
      <c r="S246" s="379">
        <f t="shared" si="2"/>
        <v>5.2294197031039135E-3</v>
      </c>
      <c r="T246" s="383">
        <f t="shared" si="3"/>
        <v>5262</v>
      </c>
      <c r="U246" s="387">
        <f t="shared" si="4"/>
        <v>6.1581672957078904E-3</v>
      </c>
      <c r="V246" s="361"/>
      <c r="W246" s="380"/>
      <c r="X246" s="5"/>
      <c r="Y246" s="109"/>
    </row>
    <row r="247" spans="1:25" ht="15.75" x14ac:dyDescent="0.25">
      <c r="A247" s="285"/>
      <c r="B247" s="337"/>
      <c r="C247" s="378"/>
      <c r="D247" s="378"/>
      <c r="E247" s="378"/>
      <c r="F247" s="286"/>
      <c r="G247" s="379"/>
      <c r="H247" s="378"/>
      <c r="I247" s="378"/>
      <c r="J247" s="378"/>
      <c r="K247" s="378"/>
      <c r="L247" s="378"/>
      <c r="M247" s="378"/>
      <c r="N247" s="378"/>
      <c r="O247" s="378"/>
      <c r="P247" s="378"/>
      <c r="Q247" s="378"/>
      <c r="R247" s="337"/>
      <c r="S247" s="379"/>
      <c r="T247" s="338"/>
      <c r="U247" s="379"/>
      <c r="V247" s="361"/>
      <c r="W247" s="380"/>
      <c r="X247" s="5"/>
    </row>
    <row r="248" spans="1:25" ht="15.75" x14ac:dyDescent="0.25">
      <c r="A248" s="285"/>
      <c r="B248" s="286"/>
      <c r="C248" s="286"/>
      <c r="D248" s="286"/>
      <c r="E248" s="286"/>
      <c r="F248" s="286"/>
      <c r="G248" s="286"/>
      <c r="H248" s="381"/>
      <c r="I248" s="381"/>
      <c r="J248" s="381"/>
      <c r="K248" s="381"/>
      <c r="L248" s="381"/>
      <c r="M248" s="381"/>
      <c r="N248" s="381"/>
      <c r="O248" s="381"/>
      <c r="P248" s="381"/>
      <c r="Q248" s="381"/>
      <c r="R248" s="337">
        <f>SUM(R239:R247)</f>
        <v>5928</v>
      </c>
      <c r="S248" s="379">
        <f>SUM(S239:S247)</f>
        <v>0.99999999999999989</v>
      </c>
      <c r="T248" s="338">
        <f>SUM(T239:T247)</f>
        <v>854475</v>
      </c>
      <c r="U248" s="379">
        <f>SUM(U239:U247)</f>
        <v>0.99999999999999989</v>
      </c>
      <c r="V248" s="286"/>
      <c r="W248" s="289"/>
      <c r="X248" s="5"/>
    </row>
    <row r="249" spans="1:25" ht="15.75" x14ac:dyDescent="0.25">
      <c r="A249" s="181"/>
      <c r="B249" s="212"/>
      <c r="C249" s="212"/>
      <c r="D249" s="212"/>
      <c r="E249" s="212"/>
      <c r="F249" s="212"/>
      <c r="G249" s="212"/>
      <c r="H249" s="375"/>
      <c r="I249" s="375"/>
      <c r="J249" s="375"/>
      <c r="K249" s="375"/>
      <c r="L249" s="375"/>
      <c r="M249" s="375"/>
      <c r="N249" s="375"/>
      <c r="O249" s="375"/>
      <c r="P249" s="375"/>
      <c r="Q249" s="375"/>
      <c r="R249" s="335"/>
      <c r="S249" s="376"/>
      <c r="T249" s="377"/>
      <c r="U249" s="376"/>
      <c r="V249" s="212"/>
      <c r="W249" s="212"/>
      <c r="X249" s="5"/>
    </row>
    <row r="250" spans="1:25" ht="15.75" x14ac:dyDescent="0.25">
      <c r="A250" s="224"/>
      <c r="B250" s="232" t="s">
        <v>162</v>
      </c>
      <c r="C250" s="233"/>
      <c r="D250" s="233"/>
      <c r="E250" s="233"/>
      <c r="F250" s="243"/>
      <c r="G250" s="233"/>
      <c r="H250" s="233"/>
      <c r="I250" s="233"/>
      <c r="J250" s="233"/>
      <c r="K250" s="233"/>
      <c r="L250" s="233"/>
      <c r="M250" s="233"/>
      <c r="N250" s="233"/>
      <c r="O250" s="233"/>
      <c r="P250" s="233"/>
      <c r="Q250" s="233"/>
      <c r="R250" s="243" t="s">
        <v>102</v>
      </c>
      <c r="S250" s="233" t="s">
        <v>103</v>
      </c>
      <c r="T250" s="243" t="s">
        <v>109</v>
      </c>
      <c r="U250" s="233" t="s">
        <v>103</v>
      </c>
      <c r="V250" s="225"/>
      <c r="W250" s="232"/>
      <c r="X250" s="5"/>
    </row>
    <row r="251" spans="1:25" ht="15.75" x14ac:dyDescent="0.25">
      <c r="A251" s="193"/>
      <c r="B251" s="249" t="s">
        <v>88</v>
      </c>
      <c r="C251" s="265"/>
      <c r="D251" s="265"/>
      <c r="E251" s="265"/>
      <c r="F251" s="250"/>
      <c r="G251" s="265"/>
      <c r="H251" s="265"/>
      <c r="I251" s="265"/>
      <c r="J251" s="265"/>
      <c r="K251" s="265"/>
      <c r="L251" s="265"/>
      <c r="M251" s="265"/>
      <c r="N251" s="265"/>
      <c r="O251" s="265"/>
      <c r="P251" s="265"/>
      <c r="Q251" s="265"/>
      <c r="R251" s="249">
        <v>5738</v>
      </c>
      <c r="S251" s="252">
        <f t="shared" ref="S251:S258" si="5">R251/$R$260</f>
        <v>0.9922185716756009</v>
      </c>
      <c r="T251" s="253">
        <v>822825</v>
      </c>
      <c r="U251" s="252">
        <f t="shared" ref="U251:U258" si="6">T251/$T$260</f>
        <v>0.99026970430010475</v>
      </c>
      <c r="V251" s="266"/>
      <c r="W251" s="267"/>
      <c r="X251" s="5"/>
    </row>
    <row r="252" spans="1:25" ht="15.75" x14ac:dyDescent="0.25">
      <c r="A252" s="285"/>
      <c r="B252" s="337" t="s">
        <v>89</v>
      </c>
      <c r="C252" s="378"/>
      <c r="D252" s="378"/>
      <c r="E252" s="378"/>
      <c r="F252" s="286"/>
      <c r="G252" s="379"/>
      <c r="H252" s="378"/>
      <c r="I252" s="378"/>
      <c r="J252" s="378"/>
      <c r="K252" s="378"/>
      <c r="L252" s="378"/>
      <c r="M252" s="378"/>
      <c r="N252" s="378"/>
      <c r="O252" s="378"/>
      <c r="P252" s="378"/>
      <c r="Q252" s="378"/>
      <c r="R252" s="337">
        <v>37</v>
      </c>
      <c r="S252" s="379">
        <f t="shared" si="5"/>
        <v>6.3980632889503722E-3</v>
      </c>
      <c r="T252" s="338">
        <v>6239</v>
      </c>
      <c r="U252" s="379">
        <f t="shared" si="6"/>
        <v>7.5086351109025047E-3</v>
      </c>
      <c r="V252" s="361"/>
      <c r="W252" s="380"/>
      <c r="X252" s="5"/>
      <c r="Y252" s="109"/>
    </row>
    <row r="253" spans="1:25" ht="15.75" x14ac:dyDescent="0.25">
      <c r="A253" s="285"/>
      <c r="B253" s="337" t="s">
        <v>90</v>
      </c>
      <c r="C253" s="378"/>
      <c r="D253" s="378"/>
      <c r="E253" s="378"/>
      <c r="F253" s="286"/>
      <c r="G253" s="379"/>
      <c r="H253" s="378"/>
      <c r="I253" s="378"/>
      <c r="J253" s="378"/>
      <c r="K253" s="378"/>
      <c r="L253" s="378"/>
      <c r="M253" s="378"/>
      <c r="N253" s="378"/>
      <c r="O253" s="378"/>
      <c r="P253" s="378"/>
      <c r="Q253" s="378"/>
      <c r="R253" s="337">
        <v>4</v>
      </c>
      <c r="S253" s="379">
        <f t="shared" si="5"/>
        <v>6.9168251772436457E-4</v>
      </c>
      <c r="T253" s="338">
        <v>567</v>
      </c>
      <c r="U253" s="379">
        <f t="shared" si="6"/>
        <v>6.8238437375889088E-4</v>
      </c>
      <c r="V253" s="361"/>
      <c r="W253" s="380"/>
      <c r="X253" s="5"/>
    </row>
    <row r="254" spans="1:25" ht="15.75" x14ac:dyDescent="0.25">
      <c r="A254" s="285"/>
      <c r="B254" s="337" t="s">
        <v>156</v>
      </c>
      <c r="C254" s="378"/>
      <c r="D254" s="378"/>
      <c r="E254" s="378"/>
      <c r="F254" s="286"/>
      <c r="G254" s="379"/>
      <c r="H254" s="378"/>
      <c r="I254" s="378"/>
      <c r="J254" s="378"/>
      <c r="K254" s="378"/>
      <c r="L254" s="378"/>
      <c r="M254" s="378"/>
      <c r="N254" s="378"/>
      <c r="O254" s="378"/>
      <c r="P254" s="378"/>
      <c r="Q254" s="378"/>
      <c r="R254" s="337">
        <v>3</v>
      </c>
      <c r="S254" s="379">
        <f t="shared" si="5"/>
        <v>5.1876188829327343E-4</v>
      </c>
      <c r="T254" s="338">
        <v>1144</v>
      </c>
      <c r="U254" s="379">
        <f t="shared" si="6"/>
        <v>1.3768037452913072E-3</v>
      </c>
      <c r="V254" s="361"/>
      <c r="W254" s="380"/>
      <c r="X254" s="5"/>
      <c r="Y254" s="109"/>
    </row>
    <row r="255" spans="1:25" ht="15.75" x14ac:dyDescent="0.25">
      <c r="A255" s="285"/>
      <c r="B255" s="337" t="s">
        <v>157</v>
      </c>
      <c r="C255" s="378"/>
      <c r="D255" s="378"/>
      <c r="E255" s="378"/>
      <c r="F255" s="286"/>
      <c r="G255" s="379"/>
      <c r="H255" s="378"/>
      <c r="I255" s="378"/>
      <c r="J255" s="378"/>
      <c r="K255" s="378"/>
      <c r="L255" s="378"/>
      <c r="M255" s="378"/>
      <c r="N255" s="378"/>
      <c r="O255" s="378"/>
      <c r="P255" s="378"/>
      <c r="Q255" s="378"/>
      <c r="R255" s="337">
        <v>0</v>
      </c>
      <c r="S255" s="379">
        <f t="shared" si="5"/>
        <v>0</v>
      </c>
      <c r="T255" s="338">
        <v>0</v>
      </c>
      <c r="U255" s="379">
        <f t="shared" si="6"/>
        <v>0</v>
      </c>
      <c r="V255" s="361"/>
      <c r="W255" s="380"/>
      <c r="X255" s="5"/>
    </row>
    <row r="256" spans="1:25" ht="15.75" x14ac:dyDescent="0.25">
      <c r="A256" s="285"/>
      <c r="B256" s="337" t="s">
        <v>158</v>
      </c>
      <c r="C256" s="378"/>
      <c r="D256" s="378"/>
      <c r="E256" s="378"/>
      <c r="F256" s="286"/>
      <c r="G256" s="379"/>
      <c r="H256" s="378"/>
      <c r="I256" s="378"/>
      <c r="J256" s="378"/>
      <c r="K256" s="378"/>
      <c r="L256" s="378"/>
      <c r="M256" s="378"/>
      <c r="N256" s="378"/>
      <c r="O256" s="378"/>
      <c r="P256" s="378"/>
      <c r="Q256" s="378"/>
      <c r="R256" s="337">
        <v>0</v>
      </c>
      <c r="S256" s="379">
        <f t="shared" si="5"/>
        <v>0</v>
      </c>
      <c r="T256" s="338">
        <v>0</v>
      </c>
      <c r="U256" s="379">
        <f t="shared" si="6"/>
        <v>0</v>
      </c>
      <c r="V256" s="361"/>
      <c r="W256" s="380"/>
      <c r="X256" s="5"/>
      <c r="Y256" s="109"/>
    </row>
    <row r="257" spans="1:25" ht="15.75" x14ac:dyDescent="0.25">
      <c r="A257" s="285"/>
      <c r="B257" s="337" t="s">
        <v>159</v>
      </c>
      <c r="C257" s="378"/>
      <c r="D257" s="378"/>
      <c r="E257" s="378"/>
      <c r="F257" s="286"/>
      <c r="G257" s="379"/>
      <c r="H257" s="378"/>
      <c r="I257" s="378"/>
      <c r="J257" s="378"/>
      <c r="K257" s="378"/>
      <c r="L257" s="378"/>
      <c r="M257" s="378"/>
      <c r="N257" s="378"/>
      <c r="O257" s="378"/>
      <c r="P257" s="378"/>
      <c r="Q257" s="378"/>
      <c r="R257" s="337">
        <v>1</v>
      </c>
      <c r="S257" s="379">
        <f t="shared" si="5"/>
        <v>1.7292062943109114E-4</v>
      </c>
      <c r="T257" s="338">
        <v>135</v>
      </c>
      <c r="U257" s="379">
        <f t="shared" si="6"/>
        <v>1.6247246994259307E-4</v>
      </c>
      <c r="V257" s="361"/>
      <c r="W257" s="380"/>
      <c r="X257" s="5"/>
    </row>
    <row r="258" spans="1:25" ht="15.75" x14ac:dyDescent="0.25">
      <c r="A258" s="285"/>
      <c r="B258" s="337" t="s">
        <v>160</v>
      </c>
      <c r="C258" s="378"/>
      <c r="D258" s="378"/>
      <c r="E258" s="378"/>
      <c r="F258" s="286"/>
      <c r="G258" s="379"/>
      <c r="H258" s="378"/>
      <c r="I258" s="378"/>
      <c r="J258" s="378"/>
      <c r="K258" s="378"/>
      <c r="L258" s="378"/>
      <c r="M258" s="378"/>
      <c r="N258" s="378"/>
      <c r="O258" s="378"/>
      <c r="P258" s="378"/>
      <c r="Q258" s="378"/>
      <c r="R258" s="337">
        <v>0</v>
      </c>
      <c r="S258" s="379">
        <f t="shared" si="5"/>
        <v>0</v>
      </c>
      <c r="T258" s="338">
        <v>0</v>
      </c>
      <c r="U258" s="379">
        <f t="shared" si="6"/>
        <v>0</v>
      </c>
      <c r="V258" s="361"/>
      <c r="W258" s="380"/>
      <c r="X258" s="5"/>
      <c r="Y258" s="109"/>
    </row>
    <row r="259" spans="1:25" ht="15.75" x14ac:dyDescent="0.25">
      <c r="A259" s="285"/>
      <c r="B259" s="337"/>
      <c r="C259" s="378"/>
      <c r="D259" s="378"/>
      <c r="E259" s="378"/>
      <c r="F259" s="286"/>
      <c r="G259" s="379"/>
      <c r="H259" s="378"/>
      <c r="I259" s="378"/>
      <c r="J259" s="378"/>
      <c r="K259" s="378"/>
      <c r="L259" s="378"/>
      <c r="M259" s="378"/>
      <c r="N259" s="378"/>
      <c r="O259" s="378"/>
      <c r="P259" s="378"/>
      <c r="Q259" s="378"/>
      <c r="R259" s="337"/>
      <c r="S259" s="379"/>
      <c r="T259" s="338"/>
      <c r="U259" s="379"/>
      <c r="V259" s="361"/>
      <c r="W259" s="380"/>
      <c r="X259" s="5"/>
    </row>
    <row r="260" spans="1:25" ht="15.75" x14ac:dyDescent="0.25">
      <c r="A260" s="285"/>
      <c r="B260" s="286"/>
      <c r="C260" s="286"/>
      <c r="D260" s="286"/>
      <c r="E260" s="286"/>
      <c r="F260" s="286"/>
      <c r="G260" s="286"/>
      <c r="H260" s="381"/>
      <c r="I260" s="381"/>
      <c r="J260" s="381"/>
      <c r="K260" s="381"/>
      <c r="L260" s="381"/>
      <c r="M260" s="381"/>
      <c r="N260" s="381"/>
      <c r="O260" s="381"/>
      <c r="P260" s="381"/>
      <c r="Q260" s="381"/>
      <c r="R260" s="337">
        <f>SUM(R251:R259)</f>
        <v>5783</v>
      </c>
      <c r="S260" s="379">
        <f>SUM(S251:S259)</f>
        <v>0.99999999999999989</v>
      </c>
      <c r="T260" s="338">
        <f>SUM(T251:T259)</f>
        <v>830910</v>
      </c>
      <c r="U260" s="379">
        <f>SUM(U251:U259)</f>
        <v>1</v>
      </c>
      <c r="V260" s="286"/>
      <c r="W260" s="289"/>
      <c r="X260" s="5"/>
    </row>
    <row r="261" spans="1:25" ht="15.75" x14ac:dyDescent="0.25">
      <c r="A261" s="181"/>
      <c r="B261" s="212"/>
      <c r="C261" s="212"/>
      <c r="D261" s="212"/>
      <c r="E261" s="212"/>
      <c r="F261" s="212"/>
      <c r="G261" s="212"/>
      <c r="H261" s="375"/>
      <c r="I261" s="375"/>
      <c r="J261" s="375"/>
      <c r="K261" s="375"/>
      <c r="L261" s="375"/>
      <c r="M261" s="375"/>
      <c r="N261" s="375"/>
      <c r="O261" s="375"/>
      <c r="P261" s="375"/>
      <c r="Q261" s="375"/>
      <c r="R261" s="335"/>
      <c r="S261" s="376"/>
      <c r="T261" s="377"/>
      <c r="U261" s="376"/>
      <c r="V261" s="212"/>
      <c r="W261" s="212"/>
      <c r="X261" s="5"/>
    </row>
    <row r="262" spans="1:25" ht="15.75" x14ac:dyDescent="0.25">
      <c r="A262" s="244"/>
      <c r="B262" s="232" t="s">
        <v>236</v>
      </c>
      <c r="C262" s="233"/>
      <c r="D262" s="233"/>
      <c r="E262" s="233"/>
      <c r="F262" s="243"/>
      <c r="G262" s="233"/>
      <c r="H262" s="233"/>
      <c r="I262" s="233"/>
      <c r="J262" s="233"/>
      <c r="K262" s="233"/>
      <c r="L262" s="233"/>
      <c r="M262" s="233"/>
      <c r="N262" s="233"/>
      <c r="O262" s="233"/>
      <c r="P262" s="233"/>
      <c r="Q262" s="233"/>
      <c r="R262" s="243" t="s">
        <v>102</v>
      </c>
      <c r="S262" s="233" t="s">
        <v>103</v>
      </c>
      <c r="T262" s="243" t="s">
        <v>109</v>
      </c>
      <c r="U262" s="233" t="s">
        <v>103</v>
      </c>
      <c r="V262" s="245"/>
      <c r="W262" s="246"/>
      <c r="X262" s="5"/>
    </row>
    <row r="263" spans="1:25" ht="15.75" x14ac:dyDescent="0.25">
      <c r="A263" s="193"/>
      <c r="B263" s="249" t="s">
        <v>88</v>
      </c>
      <c r="C263" s="265"/>
      <c r="D263" s="265"/>
      <c r="E263" s="265"/>
      <c r="F263" s="250"/>
      <c r="G263" s="265"/>
      <c r="H263" s="265"/>
      <c r="I263" s="265"/>
      <c r="J263" s="265"/>
      <c r="K263" s="265"/>
      <c r="L263" s="265"/>
      <c r="M263" s="265"/>
      <c r="N263" s="265"/>
      <c r="O263" s="265"/>
      <c r="P263" s="265"/>
      <c r="Q263" s="265"/>
      <c r="R263" s="249">
        <v>46</v>
      </c>
      <c r="S263" s="252">
        <f t="shared" ref="S263:S270" si="7">R263/$R$272</f>
        <v>0.31724137931034485</v>
      </c>
      <c r="T263" s="253">
        <v>8815</v>
      </c>
      <c r="U263" s="252">
        <f t="shared" ref="U263:U270" si="8">T263/$T$272</f>
        <v>0.37407171652875026</v>
      </c>
      <c r="V263" s="250"/>
      <c r="W263" s="250"/>
      <c r="X263" s="5"/>
    </row>
    <row r="264" spans="1:25" ht="15.75" x14ac:dyDescent="0.25">
      <c r="A264" s="285"/>
      <c r="B264" s="337" t="s">
        <v>89</v>
      </c>
      <c r="C264" s="378"/>
      <c r="D264" s="378"/>
      <c r="E264" s="378"/>
      <c r="F264" s="286"/>
      <c r="G264" s="379"/>
      <c r="H264" s="378"/>
      <c r="I264" s="378"/>
      <c r="J264" s="378"/>
      <c r="K264" s="378"/>
      <c r="L264" s="378"/>
      <c r="M264" s="378"/>
      <c r="N264" s="378"/>
      <c r="O264" s="378"/>
      <c r="P264" s="378"/>
      <c r="Q264" s="378"/>
      <c r="R264" s="337">
        <v>11</v>
      </c>
      <c r="S264" s="379">
        <f t="shared" si="7"/>
        <v>7.586206896551724E-2</v>
      </c>
      <c r="T264" s="338">
        <v>1382</v>
      </c>
      <c r="U264" s="379">
        <f t="shared" si="8"/>
        <v>5.8646297475068956E-2</v>
      </c>
      <c r="V264" s="286"/>
      <c r="W264" s="289"/>
      <c r="X264" s="5"/>
    </row>
    <row r="265" spans="1:25" ht="15.75" x14ac:dyDescent="0.25">
      <c r="A265" s="285"/>
      <c r="B265" s="337" t="s">
        <v>90</v>
      </c>
      <c r="C265" s="378"/>
      <c r="D265" s="378"/>
      <c r="E265" s="378"/>
      <c r="F265" s="286"/>
      <c r="G265" s="379"/>
      <c r="H265" s="378"/>
      <c r="I265" s="378"/>
      <c r="J265" s="378"/>
      <c r="K265" s="378"/>
      <c r="L265" s="378"/>
      <c r="M265" s="378"/>
      <c r="N265" s="378"/>
      <c r="O265" s="378"/>
      <c r="P265" s="378"/>
      <c r="Q265" s="378"/>
      <c r="R265" s="337">
        <v>10</v>
      </c>
      <c r="S265" s="379">
        <f t="shared" si="7"/>
        <v>6.8965517241379309E-2</v>
      </c>
      <c r="T265" s="338">
        <v>1672</v>
      </c>
      <c r="U265" s="379">
        <f t="shared" si="8"/>
        <v>7.0952684065351157E-2</v>
      </c>
      <c r="V265" s="286"/>
      <c r="W265" s="289"/>
      <c r="X265" s="5"/>
    </row>
    <row r="266" spans="1:25" ht="15.75" x14ac:dyDescent="0.25">
      <c r="A266" s="285"/>
      <c r="B266" s="337" t="s">
        <v>156</v>
      </c>
      <c r="C266" s="378"/>
      <c r="D266" s="378"/>
      <c r="E266" s="378"/>
      <c r="F266" s="286"/>
      <c r="G266" s="379"/>
      <c r="H266" s="378"/>
      <c r="I266" s="378"/>
      <c r="J266" s="378"/>
      <c r="K266" s="378"/>
      <c r="L266" s="378"/>
      <c r="M266" s="378"/>
      <c r="N266" s="378"/>
      <c r="O266" s="378"/>
      <c r="P266" s="378"/>
      <c r="Q266" s="378"/>
      <c r="R266" s="337">
        <v>5</v>
      </c>
      <c r="S266" s="379">
        <f t="shared" si="7"/>
        <v>3.4482758620689655E-2</v>
      </c>
      <c r="T266" s="338">
        <v>721</v>
      </c>
      <c r="U266" s="379">
        <f t="shared" si="8"/>
        <v>3.059622321239126E-2</v>
      </c>
      <c r="V266" s="286"/>
      <c r="W266" s="289"/>
      <c r="X266" s="5"/>
    </row>
    <row r="267" spans="1:25" ht="15.75" x14ac:dyDescent="0.25">
      <c r="A267" s="285"/>
      <c r="B267" s="337" t="s">
        <v>157</v>
      </c>
      <c r="C267" s="378"/>
      <c r="D267" s="378"/>
      <c r="E267" s="378"/>
      <c r="F267" s="286"/>
      <c r="G267" s="379"/>
      <c r="H267" s="378"/>
      <c r="I267" s="378"/>
      <c r="J267" s="378"/>
      <c r="K267" s="378"/>
      <c r="L267" s="378"/>
      <c r="M267" s="378"/>
      <c r="N267" s="378"/>
      <c r="O267" s="378"/>
      <c r="P267" s="378"/>
      <c r="Q267" s="378"/>
      <c r="R267" s="337">
        <v>2</v>
      </c>
      <c r="S267" s="379">
        <f t="shared" si="7"/>
        <v>1.3793103448275862E-2</v>
      </c>
      <c r="T267" s="338">
        <v>244</v>
      </c>
      <c r="U267" s="379">
        <f t="shared" si="8"/>
        <v>1.0354339062168471E-2</v>
      </c>
      <c r="V267" s="286"/>
      <c r="W267" s="289"/>
      <c r="X267" s="5"/>
    </row>
    <row r="268" spans="1:25" ht="15.75" x14ac:dyDescent="0.25">
      <c r="A268" s="285"/>
      <c r="B268" s="337" t="s">
        <v>158</v>
      </c>
      <c r="C268" s="378"/>
      <c r="D268" s="378"/>
      <c r="E268" s="378"/>
      <c r="F268" s="286"/>
      <c r="G268" s="379"/>
      <c r="H268" s="378"/>
      <c r="I268" s="378"/>
      <c r="J268" s="378"/>
      <c r="K268" s="378"/>
      <c r="L268" s="378"/>
      <c r="M268" s="378"/>
      <c r="N268" s="378"/>
      <c r="O268" s="378"/>
      <c r="P268" s="378"/>
      <c r="Q268" s="378"/>
      <c r="R268" s="337">
        <v>11</v>
      </c>
      <c r="S268" s="379">
        <f t="shared" si="7"/>
        <v>7.586206896551724E-2</v>
      </c>
      <c r="T268" s="338">
        <v>1369</v>
      </c>
      <c r="U268" s="379">
        <f t="shared" si="8"/>
        <v>5.809463186929769E-2</v>
      </c>
      <c r="V268" s="286"/>
      <c r="W268" s="289"/>
      <c r="X268" s="5"/>
    </row>
    <row r="269" spans="1:25" ht="15.75" x14ac:dyDescent="0.25">
      <c r="A269" s="285"/>
      <c r="B269" s="337" t="s">
        <v>159</v>
      </c>
      <c r="C269" s="378"/>
      <c r="D269" s="378"/>
      <c r="E269" s="378"/>
      <c r="F269" s="286"/>
      <c r="G269" s="379"/>
      <c r="H269" s="378"/>
      <c r="I269" s="378"/>
      <c r="J269" s="378"/>
      <c r="K269" s="378"/>
      <c r="L269" s="378"/>
      <c r="M269" s="378"/>
      <c r="N269" s="378"/>
      <c r="O269" s="378"/>
      <c r="P269" s="378"/>
      <c r="Q269" s="378"/>
      <c r="R269" s="337">
        <v>29</v>
      </c>
      <c r="S269" s="379">
        <f t="shared" si="7"/>
        <v>0.2</v>
      </c>
      <c r="T269" s="338">
        <v>4100</v>
      </c>
      <c r="U269" s="379">
        <f t="shared" si="8"/>
        <v>0.17398684489709315</v>
      </c>
      <c r="V269" s="286"/>
      <c r="W269" s="289"/>
      <c r="X269" s="5"/>
    </row>
    <row r="270" spans="1:25" ht="15.75" x14ac:dyDescent="0.25">
      <c r="A270" s="285"/>
      <c r="B270" s="337" t="s">
        <v>160</v>
      </c>
      <c r="C270" s="378"/>
      <c r="D270" s="378"/>
      <c r="E270" s="378"/>
      <c r="F270" s="286"/>
      <c r="G270" s="379"/>
      <c r="H270" s="378"/>
      <c r="I270" s="378"/>
      <c r="J270" s="378"/>
      <c r="K270" s="378"/>
      <c r="L270" s="378"/>
      <c r="M270" s="378"/>
      <c r="N270" s="378"/>
      <c r="O270" s="378"/>
      <c r="P270" s="378"/>
      <c r="Q270" s="378"/>
      <c r="R270" s="337">
        <v>31</v>
      </c>
      <c r="S270" s="379">
        <f t="shared" si="7"/>
        <v>0.21379310344827587</v>
      </c>
      <c r="T270" s="338">
        <v>5262</v>
      </c>
      <c r="U270" s="379">
        <f t="shared" si="8"/>
        <v>0.22329726288987906</v>
      </c>
      <c r="V270" s="286"/>
      <c r="W270" s="289"/>
      <c r="X270" s="5"/>
    </row>
    <row r="271" spans="1:25" ht="15.75" x14ac:dyDescent="0.25">
      <c r="A271" s="285"/>
      <c r="B271" s="337"/>
      <c r="C271" s="378"/>
      <c r="D271" s="378"/>
      <c r="E271" s="378"/>
      <c r="F271" s="286"/>
      <c r="G271" s="379"/>
      <c r="H271" s="378"/>
      <c r="I271" s="378"/>
      <c r="J271" s="378"/>
      <c r="K271" s="378"/>
      <c r="L271" s="378"/>
      <c r="M271" s="378"/>
      <c r="N271" s="378"/>
      <c r="O271" s="378"/>
      <c r="P271" s="378"/>
      <c r="Q271" s="378"/>
      <c r="R271" s="337"/>
      <c r="S271" s="379"/>
      <c r="T271" s="338"/>
      <c r="U271" s="379"/>
      <c r="V271" s="286"/>
      <c r="W271" s="289"/>
      <c r="X271" s="5"/>
    </row>
    <row r="272" spans="1:25" ht="15.75" x14ac:dyDescent="0.25">
      <c r="A272" s="285"/>
      <c r="B272" s="286"/>
      <c r="C272" s="286"/>
      <c r="D272" s="286"/>
      <c r="E272" s="286"/>
      <c r="F272" s="286"/>
      <c r="G272" s="286"/>
      <c r="H272" s="381"/>
      <c r="I272" s="381"/>
      <c r="J272" s="381"/>
      <c r="K272" s="381"/>
      <c r="L272" s="381"/>
      <c r="M272" s="381"/>
      <c r="N272" s="381"/>
      <c r="O272" s="381"/>
      <c r="P272" s="381"/>
      <c r="Q272" s="381"/>
      <c r="R272" s="337">
        <f>SUM(R263:R271)</f>
        <v>145</v>
      </c>
      <c r="S272" s="379">
        <f>SUM(S263:S271)</f>
        <v>1</v>
      </c>
      <c r="T272" s="338">
        <f>SUM(T263:T271)</f>
        <v>23565</v>
      </c>
      <c r="U272" s="379">
        <f>SUM(U263:U271)</f>
        <v>0.99999999999999989</v>
      </c>
      <c r="V272" s="286"/>
      <c r="W272" s="289"/>
      <c r="X272" s="5"/>
    </row>
    <row r="273" spans="1:24" ht="15.75" x14ac:dyDescent="0.25">
      <c r="A273" s="181"/>
      <c r="B273" s="212"/>
      <c r="C273" s="212"/>
      <c r="D273" s="212"/>
      <c r="E273" s="212"/>
      <c r="F273" s="212"/>
      <c r="G273" s="212"/>
      <c r="H273" s="375"/>
      <c r="I273" s="375"/>
      <c r="J273" s="375"/>
      <c r="K273" s="375"/>
      <c r="L273" s="375"/>
      <c r="M273" s="375"/>
      <c r="N273" s="375"/>
      <c r="O273" s="375"/>
      <c r="P273" s="375"/>
      <c r="Q273" s="375"/>
      <c r="R273" s="335"/>
      <c r="S273" s="376"/>
      <c r="T273" s="377"/>
      <c r="U273" s="376"/>
      <c r="V273" s="212"/>
      <c r="W273" s="212"/>
      <c r="X273" s="5"/>
    </row>
    <row r="274" spans="1:24" ht="15.75" x14ac:dyDescent="0.25">
      <c r="A274" s="244"/>
      <c r="B274" s="232" t="s">
        <v>163</v>
      </c>
      <c r="C274" s="245"/>
      <c r="D274" s="245"/>
      <c r="E274" s="245"/>
      <c r="F274" s="245"/>
      <c r="G274" s="245"/>
      <c r="H274" s="247"/>
      <c r="I274" s="247"/>
      <c r="J274" s="247"/>
      <c r="K274" s="247"/>
      <c r="L274" s="247"/>
      <c r="M274" s="247"/>
      <c r="N274" s="247"/>
      <c r="O274" s="247"/>
      <c r="P274" s="247"/>
      <c r="Q274" s="247"/>
      <c r="R274" s="243" t="s">
        <v>102</v>
      </c>
      <c r="S274" s="233" t="s">
        <v>103</v>
      </c>
      <c r="T274" s="243" t="s">
        <v>109</v>
      </c>
      <c r="U274" s="233" t="s">
        <v>103</v>
      </c>
      <c r="V274" s="245"/>
      <c r="W274" s="246"/>
      <c r="X274" s="5"/>
    </row>
    <row r="275" spans="1:24" ht="15.75" x14ac:dyDescent="0.25">
      <c r="A275" s="248"/>
      <c r="B275" s="249" t="s">
        <v>88</v>
      </c>
      <c r="C275" s="250"/>
      <c r="D275" s="250"/>
      <c r="E275" s="250"/>
      <c r="F275" s="250"/>
      <c r="G275" s="250"/>
      <c r="H275" s="251"/>
      <c r="I275" s="251"/>
      <c r="J275" s="251"/>
      <c r="K275" s="251"/>
      <c r="L275" s="251"/>
      <c r="M275" s="251"/>
      <c r="N275" s="251"/>
      <c r="O275" s="251"/>
      <c r="P275" s="251"/>
      <c r="Q275" s="251"/>
      <c r="R275" s="249">
        <v>0</v>
      </c>
      <c r="S275" s="252">
        <v>0</v>
      </c>
      <c r="T275" s="253">
        <v>0</v>
      </c>
      <c r="U275" s="252">
        <v>0</v>
      </c>
      <c r="V275" s="250"/>
      <c r="W275" s="250"/>
      <c r="X275" s="5"/>
    </row>
    <row r="276" spans="1:24" ht="15.75" x14ac:dyDescent="0.25">
      <c r="A276" s="295"/>
      <c r="B276" s="337" t="s">
        <v>89</v>
      </c>
      <c r="C276" s="286"/>
      <c r="D276" s="286"/>
      <c r="E276" s="286"/>
      <c r="F276" s="286"/>
      <c r="G276" s="286"/>
      <c r="H276" s="381"/>
      <c r="I276" s="381"/>
      <c r="J276" s="381"/>
      <c r="K276" s="381"/>
      <c r="L276" s="381"/>
      <c r="M276" s="381"/>
      <c r="N276" s="381"/>
      <c r="O276" s="381"/>
      <c r="P276" s="381"/>
      <c r="Q276" s="381"/>
      <c r="R276" s="337">
        <v>0</v>
      </c>
      <c r="S276" s="379">
        <v>0</v>
      </c>
      <c r="T276" s="338">
        <v>0</v>
      </c>
      <c r="U276" s="379">
        <v>0</v>
      </c>
      <c r="V276" s="286"/>
      <c r="W276" s="289"/>
      <c r="X276" s="5"/>
    </row>
    <row r="277" spans="1:24" ht="15.75" x14ac:dyDescent="0.25">
      <c r="A277" s="295"/>
      <c r="B277" s="337" t="s">
        <v>90</v>
      </c>
      <c r="C277" s="286"/>
      <c r="D277" s="286"/>
      <c r="E277" s="286"/>
      <c r="F277" s="286"/>
      <c r="G277" s="286"/>
      <c r="H277" s="381"/>
      <c r="I277" s="381"/>
      <c r="J277" s="381"/>
      <c r="K277" s="381"/>
      <c r="L277" s="381"/>
      <c r="M277" s="381"/>
      <c r="N277" s="381"/>
      <c r="O277" s="381"/>
      <c r="P277" s="381"/>
      <c r="Q277" s="381"/>
      <c r="R277" s="337">
        <v>0</v>
      </c>
      <c r="S277" s="379">
        <v>0</v>
      </c>
      <c r="T277" s="338">
        <v>0</v>
      </c>
      <c r="U277" s="379">
        <v>0</v>
      </c>
      <c r="V277" s="286"/>
      <c r="W277" s="289"/>
      <c r="X277" s="5"/>
    </row>
    <row r="278" spans="1:24" ht="15.75" x14ac:dyDescent="0.25">
      <c r="A278" s="295"/>
      <c r="B278" s="337" t="s">
        <v>156</v>
      </c>
      <c r="C278" s="286"/>
      <c r="D278" s="286"/>
      <c r="E278" s="286"/>
      <c r="F278" s="286"/>
      <c r="G278" s="286"/>
      <c r="H278" s="381"/>
      <c r="I278" s="381"/>
      <c r="J278" s="381"/>
      <c r="K278" s="381"/>
      <c r="L278" s="381"/>
      <c r="M278" s="381"/>
      <c r="N278" s="381"/>
      <c r="O278" s="381"/>
      <c r="P278" s="381"/>
      <c r="Q278" s="381"/>
      <c r="R278" s="337">
        <v>0</v>
      </c>
      <c r="S278" s="379">
        <v>0</v>
      </c>
      <c r="T278" s="338">
        <v>0</v>
      </c>
      <c r="U278" s="379">
        <v>0</v>
      </c>
      <c r="V278" s="286"/>
      <c r="W278" s="289"/>
      <c r="X278" s="5"/>
    </row>
    <row r="279" spans="1:24" ht="15.75" x14ac:dyDescent="0.25">
      <c r="A279" s="295"/>
      <c r="B279" s="337" t="s">
        <v>157</v>
      </c>
      <c r="C279" s="286"/>
      <c r="D279" s="286"/>
      <c r="E279" s="286"/>
      <c r="F279" s="286"/>
      <c r="G279" s="286"/>
      <c r="H279" s="381"/>
      <c r="I279" s="381"/>
      <c r="J279" s="381"/>
      <c r="K279" s="381"/>
      <c r="L279" s="381"/>
      <c r="M279" s="381"/>
      <c r="N279" s="381"/>
      <c r="O279" s="381"/>
      <c r="P279" s="381"/>
      <c r="Q279" s="381"/>
      <c r="R279" s="337">
        <v>0</v>
      </c>
      <c r="S279" s="379">
        <v>0</v>
      </c>
      <c r="T279" s="338">
        <v>0</v>
      </c>
      <c r="U279" s="379">
        <v>0</v>
      </c>
      <c r="V279" s="286"/>
      <c r="W279" s="289"/>
      <c r="X279" s="5"/>
    </row>
    <row r="280" spans="1:24" ht="15.75" x14ac:dyDescent="0.25">
      <c r="A280" s="295"/>
      <c r="B280" s="337" t="s">
        <v>158</v>
      </c>
      <c r="C280" s="286"/>
      <c r="D280" s="286"/>
      <c r="E280" s="286"/>
      <c r="F280" s="286"/>
      <c r="G280" s="286"/>
      <c r="H280" s="381"/>
      <c r="I280" s="381"/>
      <c r="J280" s="381"/>
      <c r="K280" s="381"/>
      <c r="L280" s="381"/>
      <c r="M280" s="381"/>
      <c r="N280" s="381"/>
      <c r="O280" s="381"/>
      <c r="P280" s="381"/>
      <c r="Q280" s="381"/>
      <c r="R280" s="337">
        <v>0</v>
      </c>
      <c r="S280" s="379">
        <v>0</v>
      </c>
      <c r="T280" s="338">
        <v>0</v>
      </c>
      <c r="U280" s="379">
        <v>0</v>
      </c>
      <c r="V280" s="286"/>
      <c r="W280" s="289"/>
      <c r="X280" s="5"/>
    </row>
    <row r="281" spans="1:24" ht="15.75" x14ac:dyDescent="0.25">
      <c r="A281" s="295"/>
      <c r="B281" s="337" t="s">
        <v>159</v>
      </c>
      <c r="C281" s="286"/>
      <c r="D281" s="286"/>
      <c r="E281" s="286"/>
      <c r="F281" s="286"/>
      <c r="G281" s="286"/>
      <c r="H281" s="381"/>
      <c r="I281" s="381"/>
      <c r="J281" s="381"/>
      <c r="K281" s="381"/>
      <c r="L281" s="381"/>
      <c r="M281" s="381"/>
      <c r="N281" s="381"/>
      <c r="O281" s="381"/>
      <c r="P281" s="381"/>
      <c r="Q281" s="381"/>
      <c r="R281" s="337">
        <v>0</v>
      </c>
      <c r="S281" s="379">
        <v>0</v>
      </c>
      <c r="T281" s="338">
        <v>0</v>
      </c>
      <c r="U281" s="379">
        <v>0</v>
      </c>
      <c r="V281" s="286"/>
      <c r="W281" s="289"/>
      <c r="X281" s="5"/>
    </row>
    <row r="282" spans="1:24" ht="15.75" x14ac:dyDescent="0.25">
      <c r="A282" s="295"/>
      <c r="B282" s="337" t="s">
        <v>160</v>
      </c>
      <c r="C282" s="286"/>
      <c r="D282" s="286"/>
      <c r="E282" s="286"/>
      <c r="F282" s="286"/>
      <c r="G282" s="286"/>
      <c r="H282" s="381"/>
      <c r="I282" s="381"/>
      <c r="J282" s="381"/>
      <c r="K282" s="381"/>
      <c r="L282" s="381"/>
      <c r="M282" s="381"/>
      <c r="N282" s="381"/>
      <c r="O282" s="381"/>
      <c r="P282" s="381"/>
      <c r="Q282" s="381"/>
      <c r="R282" s="337">
        <v>0</v>
      </c>
      <c r="S282" s="379">
        <v>0</v>
      </c>
      <c r="T282" s="338">
        <v>0</v>
      </c>
      <c r="U282" s="379">
        <v>0</v>
      </c>
      <c r="V282" s="286"/>
      <c r="W282" s="289"/>
      <c r="X282" s="5"/>
    </row>
    <row r="283" spans="1:24" ht="15.75" x14ac:dyDescent="0.25">
      <c r="A283" s="295"/>
      <c r="B283" s="337"/>
      <c r="C283" s="286"/>
      <c r="D283" s="286"/>
      <c r="E283" s="286"/>
      <c r="F283" s="286"/>
      <c r="G283" s="286"/>
      <c r="H283" s="381"/>
      <c r="I283" s="381"/>
      <c r="J283" s="381"/>
      <c r="K283" s="381"/>
      <c r="L283" s="381"/>
      <c r="M283" s="381"/>
      <c r="N283" s="381"/>
      <c r="O283" s="381"/>
      <c r="P283" s="381"/>
      <c r="Q283" s="381"/>
      <c r="R283" s="337"/>
      <c r="S283" s="379"/>
      <c r="T283" s="338"/>
      <c r="U283" s="379"/>
      <c r="V283" s="286"/>
      <c r="W283" s="289"/>
      <c r="X283" s="5"/>
    </row>
    <row r="284" spans="1:24" ht="15.75" x14ac:dyDescent="0.25">
      <c r="A284" s="295"/>
      <c r="B284" s="286" t="s">
        <v>114</v>
      </c>
      <c r="C284" s="286"/>
      <c r="D284" s="286"/>
      <c r="E284" s="286"/>
      <c r="F284" s="286"/>
      <c r="G284" s="286"/>
      <c r="H284" s="381"/>
      <c r="I284" s="381"/>
      <c r="J284" s="381"/>
      <c r="K284" s="381"/>
      <c r="L284" s="381"/>
      <c r="M284" s="381"/>
      <c r="N284" s="381"/>
      <c r="O284" s="381"/>
      <c r="P284" s="381"/>
      <c r="Q284" s="381"/>
      <c r="R284" s="337">
        <f>SUM(R275:R282)</f>
        <v>0</v>
      </c>
      <c r="S284" s="379">
        <f>SUM(S275:S282)</f>
        <v>0</v>
      </c>
      <c r="T284" s="338">
        <f>SUM(T275:T282)</f>
        <v>0</v>
      </c>
      <c r="U284" s="379">
        <f>SUM(U275:U282)</f>
        <v>0</v>
      </c>
      <c r="V284" s="286"/>
      <c r="W284" s="289"/>
      <c r="X284" s="5"/>
    </row>
    <row r="285" spans="1:24" ht="15.75" x14ac:dyDescent="0.25">
      <c r="A285" s="295"/>
      <c r="B285" s="286"/>
      <c r="C285" s="286"/>
      <c r="D285" s="286"/>
      <c r="E285" s="286"/>
      <c r="F285" s="286"/>
      <c r="G285" s="286"/>
      <c r="H285" s="381"/>
      <c r="I285" s="381"/>
      <c r="J285" s="381"/>
      <c r="K285" s="381"/>
      <c r="L285" s="381"/>
      <c r="M285" s="381"/>
      <c r="N285" s="381"/>
      <c r="O285" s="381"/>
      <c r="P285" s="381"/>
      <c r="Q285" s="381"/>
      <c r="R285" s="337"/>
      <c r="S285" s="379"/>
      <c r="T285" s="338"/>
      <c r="U285" s="379"/>
      <c r="V285" s="286"/>
      <c r="W285" s="289"/>
      <c r="X285" s="5"/>
    </row>
    <row r="286" spans="1:24" ht="15.75" x14ac:dyDescent="0.25">
      <c r="A286" s="295"/>
      <c r="B286" s="297" t="s">
        <v>164</v>
      </c>
      <c r="C286" s="286"/>
      <c r="D286" s="286"/>
      <c r="E286" s="286"/>
      <c r="F286" s="286"/>
      <c r="G286" s="286"/>
      <c r="H286" s="381"/>
      <c r="I286" s="381"/>
      <c r="J286" s="381"/>
      <c r="K286" s="381"/>
      <c r="L286" s="381"/>
      <c r="M286" s="381"/>
      <c r="N286" s="381"/>
      <c r="O286" s="381"/>
      <c r="P286" s="381"/>
      <c r="Q286" s="381"/>
      <c r="R286" s="384">
        <f>R284+R272+R260</f>
        <v>5928</v>
      </c>
      <c r="S286" s="379"/>
      <c r="T286" s="385">
        <f>+T284+T272+T260</f>
        <v>854475</v>
      </c>
      <c r="U286" s="379"/>
      <c r="V286" s="286"/>
      <c r="W286" s="289"/>
      <c r="X286" s="5"/>
    </row>
    <row r="287" spans="1:24" ht="15.75" x14ac:dyDescent="0.25">
      <c r="A287" s="254"/>
      <c r="B287" s="346"/>
      <c r="C287" s="346"/>
      <c r="D287" s="346"/>
      <c r="E287" s="346"/>
      <c r="F287" s="346"/>
      <c r="G287" s="346"/>
      <c r="H287" s="382"/>
      <c r="I287" s="382"/>
      <c r="J287" s="382"/>
      <c r="K287" s="382"/>
      <c r="L287" s="382"/>
      <c r="M287" s="382"/>
      <c r="N287" s="382"/>
      <c r="O287" s="382"/>
      <c r="P287" s="382"/>
      <c r="Q287" s="382"/>
      <c r="R287" s="382"/>
      <c r="S287" s="382"/>
      <c r="T287" s="383"/>
      <c r="U287" s="382"/>
      <c r="V287" s="346"/>
      <c r="W287" s="346"/>
      <c r="X287" s="5"/>
    </row>
    <row r="288" spans="1:24" ht="15.75" x14ac:dyDescent="0.25">
      <c r="A288" s="254"/>
      <c r="B288" s="255"/>
      <c r="C288" s="255"/>
      <c r="D288" s="255"/>
      <c r="E288" s="255"/>
      <c r="F288" s="255"/>
      <c r="G288" s="255"/>
      <c r="H288" s="256"/>
      <c r="I288" s="256"/>
      <c r="J288" s="256"/>
      <c r="K288" s="256"/>
      <c r="L288" s="256"/>
      <c r="M288" s="256"/>
      <c r="N288" s="256"/>
      <c r="O288" s="256"/>
      <c r="P288" s="256"/>
      <c r="Q288" s="256"/>
      <c r="R288" s="256"/>
      <c r="S288" s="256"/>
      <c r="T288" s="257"/>
      <c r="U288" s="256"/>
      <c r="V288" s="255"/>
      <c r="W288" s="255"/>
      <c r="X288" s="5"/>
    </row>
    <row r="289" spans="1:24" ht="15.75" x14ac:dyDescent="0.25">
      <c r="A289" s="258"/>
      <c r="B289" s="259" t="s">
        <v>91</v>
      </c>
      <c r="C289" s="255"/>
      <c r="D289" s="255"/>
      <c r="E289" s="255"/>
      <c r="F289" s="260" t="s">
        <v>97</v>
      </c>
      <c r="G289" s="255"/>
      <c r="H289" s="259" t="s">
        <v>99</v>
      </c>
      <c r="I289" s="259"/>
      <c r="J289" s="259"/>
      <c r="K289" s="261"/>
      <c r="L289" s="261"/>
      <c r="M289" s="261"/>
      <c r="N289" s="261"/>
      <c r="O289" s="261"/>
      <c r="P289" s="261"/>
      <c r="Q289" s="261"/>
      <c r="R289" s="261"/>
      <c r="S289" s="261"/>
      <c r="T289" s="261"/>
      <c r="U289" s="261"/>
      <c r="V289" s="261"/>
      <c r="W289" s="261"/>
      <c r="X289" s="5"/>
    </row>
    <row r="290" spans="1:24" ht="15.75" x14ac:dyDescent="0.25">
      <c r="A290" s="258"/>
      <c r="B290" s="261"/>
      <c r="C290" s="255"/>
      <c r="D290" s="255"/>
      <c r="E290" s="255"/>
      <c r="F290" s="255"/>
      <c r="G290" s="255"/>
      <c r="H290" s="255"/>
      <c r="I290" s="255"/>
      <c r="J290" s="255"/>
      <c r="K290" s="261"/>
      <c r="L290" s="261"/>
      <c r="M290" s="261"/>
      <c r="N290" s="261"/>
      <c r="O290" s="261"/>
      <c r="P290" s="261"/>
      <c r="Q290" s="261"/>
      <c r="R290" s="261"/>
      <c r="S290" s="261"/>
      <c r="T290" s="261"/>
      <c r="U290" s="261"/>
      <c r="V290" s="261"/>
      <c r="W290" s="261"/>
      <c r="X290" s="5"/>
    </row>
    <row r="291" spans="1:24" ht="15.75" x14ac:dyDescent="0.25">
      <c r="A291" s="258"/>
      <c r="B291" s="259" t="s">
        <v>92</v>
      </c>
      <c r="C291" s="259"/>
      <c r="D291" s="259"/>
      <c r="E291" s="259"/>
      <c r="F291" s="262" t="s">
        <v>148</v>
      </c>
      <c r="G291" s="259"/>
      <c r="H291" s="259" t="s">
        <v>152</v>
      </c>
      <c r="I291" s="259"/>
      <c r="J291" s="259"/>
      <c r="K291" s="261"/>
      <c r="L291" s="261"/>
      <c r="M291" s="261"/>
      <c r="N291" s="261"/>
      <c r="O291" s="261"/>
      <c r="P291" s="261"/>
      <c r="Q291" s="261"/>
      <c r="R291" s="261"/>
      <c r="S291" s="261"/>
      <c r="T291" s="261"/>
      <c r="U291" s="261"/>
      <c r="V291" s="261"/>
      <c r="W291" s="261"/>
      <c r="X291" s="5"/>
    </row>
    <row r="292" spans="1:24" ht="15.75" x14ac:dyDescent="0.25">
      <c r="A292" s="258"/>
      <c r="B292" s="259" t="s">
        <v>265</v>
      </c>
      <c r="C292" s="259"/>
      <c r="D292" s="259"/>
      <c r="E292" s="259"/>
      <c r="F292" s="262" t="s">
        <v>266</v>
      </c>
      <c r="G292" s="259"/>
      <c r="H292" s="259" t="s">
        <v>267</v>
      </c>
      <c r="I292" s="259"/>
      <c r="J292" s="259"/>
      <c r="K292" s="261"/>
      <c r="L292" s="261"/>
      <c r="M292" s="261"/>
      <c r="N292" s="261"/>
      <c r="O292" s="261"/>
      <c r="P292" s="261"/>
      <c r="Q292" s="261"/>
      <c r="R292" s="261"/>
      <c r="S292" s="261"/>
      <c r="T292" s="261"/>
      <c r="U292" s="261"/>
      <c r="V292" s="261"/>
      <c r="W292" s="261"/>
      <c r="X292" s="5"/>
    </row>
    <row r="293" spans="1:24" ht="15.75" x14ac:dyDescent="0.25">
      <c r="A293" s="258"/>
      <c r="B293" s="259" t="s">
        <v>93</v>
      </c>
      <c r="C293" s="259"/>
      <c r="D293" s="259"/>
      <c r="E293" s="259"/>
      <c r="F293" s="262" t="s">
        <v>147</v>
      </c>
      <c r="G293" s="259"/>
      <c r="H293" s="259" t="s">
        <v>153</v>
      </c>
      <c r="I293" s="259"/>
      <c r="J293" s="259"/>
      <c r="K293" s="261"/>
      <c r="L293" s="261"/>
      <c r="M293" s="261"/>
      <c r="N293" s="261"/>
      <c r="O293" s="261"/>
      <c r="P293" s="261"/>
      <c r="Q293" s="261"/>
      <c r="R293" s="261"/>
      <c r="S293" s="261"/>
      <c r="T293" s="261"/>
      <c r="U293" s="261"/>
      <c r="V293" s="261"/>
      <c r="W293" s="261"/>
      <c r="X293" s="5"/>
    </row>
    <row r="294" spans="1:24" ht="15.75" x14ac:dyDescent="0.25">
      <c r="A294" s="258"/>
      <c r="B294" s="259"/>
      <c r="C294" s="259"/>
      <c r="D294" s="259"/>
      <c r="E294" s="259"/>
      <c r="F294" s="259"/>
      <c r="G294" s="263"/>
      <c r="H294" s="261"/>
      <c r="I294" s="261"/>
      <c r="J294" s="261"/>
      <c r="K294" s="261"/>
      <c r="L294" s="261"/>
      <c r="M294" s="261"/>
      <c r="N294" s="261"/>
      <c r="O294" s="261"/>
      <c r="P294" s="261"/>
      <c r="Q294" s="261"/>
      <c r="R294" s="261"/>
      <c r="S294" s="261"/>
      <c r="T294" s="261"/>
      <c r="U294" s="261"/>
      <c r="V294" s="261"/>
      <c r="W294" s="261"/>
      <c r="X294" s="5"/>
    </row>
    <row r="295" spans="1:24" ht="15.75" x14ac:dyDescent="0.25">
      <c r="A295" s="258"/>
      <c r="B295" s="259"/>
      <c r="C295" s="259"/>
      <c r="D295" s="259"/>
      <c r="E295" s="259"/>
      <c r="F295" s="259"/>
      <c r="G295" s="263"/>
      <c r="H295" s="261"/>
      <c r="I295" s="261"/>
      <c r="J295" s="261"/>
      <c r="K295" s="261"/>
      <c r="L295" s="261"/>
      <c r="M295" s="261"/>
      <c r="N295" s="261"/>
      <c r="O295" s="261"/>
      <c r="P295" s="261"/>
      <c r="Q295" s="261"/>
      <c r="R295" s="261"/>
      <c r="S295" s="261"/>
      <c r="T295" s="261"/>
      <c r="U295" s="261"/>
      <c r="V295" s="261"/>
      <c r="W295" s="261"/>
      <c r="X295" s="5"/>
    </row>
    <row r="296" spans="1:24" ht="19.5" thickBot="1" x14ac:dyDescent="0.35">
      <c r="A296" s="258"/>
      <c r="B296" s="264" t="str">
        <f>B200</f>
        <v>PM15 INVESTOR REPORT QUARTER ENDING AUGUST 2010</v>
      </c>
      <c r="C296" s="259"/>
      <c r="D296" s="259"/>
      <c r="E296" s="259"/>
      <c r="F296" s="259"/>
      <c r="G296" s="263"/>
      <c r="H296" s="261"/>
      <c r="I296" s="261"/>
      <c r="J296" s="261"/>
      <c r="K296" s="261"/>
      <c r="L296" s="261"/>
      <c r="M296" s="261"/>
      <c r="N296" s="261"/>
      <c r="O296" s="261"/>
      <c r="P296" s="261"/>
      <c r="Q296" s="261"/>
      <c r="R296" s="261"/>
      <c r="S296" s="261"/>
      <c r="T296" s="261"/>
      <c r="U296" s="261"/>
      <c r="V296" s="261"/>
      <c r="W296" s="261"/>
      <c r="X296" s="5"/>
    </row>
    <row r="297" spans="1:24" x14ac:dyDescent="0.2">
      <c r="A297" s="100"/>
      <c r="B297" s="100"/>
      <c r="C297" s="100"/>
      <c r="D297" s="100"/>
      <c r="E297" s="100"/>
      <c r="F297" s="100"/>
      <c r="G297" s="100"/>
      <c r="H297" s="100"/>
      <c r="I297" s="100"/>
      <c r="J297" s="100"/>
      <c r="K297" s="100"/>
      <c r="L297" s="100"/>
      <c r="M297" s="100"/>
      <c r="N297" s="100"/>
      <c r="O297" s="100"/>
      <c r="P297" s="100"/>
      <c r="Q297" s="100"/>
      <c r="R297" s="100"/>
      <c r="S297" s="100"/>
      <c r="T297" s="100"/>
      <c r="U297" s="100"/>
      <c r="V297" s="100"/>
      <c r="W297" s="100"/>
    </row>
  </sheetData>
  <phoneticPr fontId="0" type="noConversion"/>
  <hyperlinks>
    <hyperlink ref="P236" r:id="rId1" xr:uid="{00000000-0004-0000-0B00-000000000000}"/>
    <hyperlink ref="I9" r:id="rId2" xr:uid="{00000000-0004-0000-0B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4" max="14" man="1"/>
    <brk id="200" max="14" man="1"/>
  </rowBreak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IV297"/>
  <sheetViews>
    <sheetView showGridLines="0" showOutlineSymbols="0" zoomScale="70" zoomScaleNormal="70" workbookViewId="0"/>
  </sheetViews>
  <sheetFormatPr defaultColWidth="9.6640625" defaultRowHeight="15" x14ac:dyDescent="0.2"/>
  <cols>
    <col min="1" max="1" width="4" style="1" customWidth="1"/>
    <col min="2" max="2" width="71.21875" style="1" customWidth="1"/>
    <col min="3" max="3" width="2.21875" style="1" customWidth="1"/>
    <col min="4" max="4" width="19.33203125" style="1" customWidth="1"/>
    <col min="5" max="5" width="2.21875" style="1" customWidth="1"/>
    <col min="6" max="6" width="25.109375" style="1" customWidth="1"/>
    <col min="7" max="7" width="2.21875" style="1" customWidth="1"/>
    <col min="8" max="8" width="16.21875" style="1" customWidth="1"/>
    <col min="9" max="9" width="2.88671875" style="1" customWidth="1"/>
    <col min="10" max="10" width="16.21875" style="1" customWidth="1"/>
    <col min="11" max="11" width="2.21875" style="1" customWidth="1"/>
    <col min="12" max="12" width="17.88671875" style="1" customWidth="1"/>
    <col min="13" max="13" width="2.33203125" style="1" customWidth="1"/>
    <col min="14" max="14" width="14.88671875" style="1" customWidth="1"/>
    <col min="15" max="15" width="2.33203125" style="1" customWidth="1"/>
    <col min="16" max="16" width="15.5546875" style="1" customWidth="1"/>
    <col min="17" max="17" width="2.21875" style="1" customWidth="1"/>
    <col min="18" max="18" width="15.5546875" style="1" customWidth="1"/>
    <col min="19" max="20" width="12.6640625" style="1" customWidth="1"/>
    <col min="21" max="21" width="7.77734375" style="1" customWidth="1"/>
    <col min="22" max="22" width="14.6640625" style="1" customWidth="1"/>
    <col min="23" max="23" width="11.77734375" style="1" customWidth="1"/>
    <col min="24" max="16384" width="9.6640625" style="1"/>
  </cols>
  <sheetData>
    <row r="1" spans="1:24" ht="20.25" x14ac:dyDescent="0.3">
      <c r="A1" s="179"/>
      <c r="B1" s="274" t="s">
        <v>237</v>
      </c>
      <c r="C1" s="180"/>
      <c r="D1" s="180"/>
      <c r="E1" s="180"/>
      <c r="F1" s="180"/>
      <c r="G1" s="180"/>
      <c r="H1" s="180"/>
      <c r="I1" s="180"/>
      <c r="J1" s="180"/>
      <c r="K1" s="180"/>
      <c r="L1" s="180"/>
      <c r="M1" s="180"/>
      <c r="N1" s="180"/>
      <c r="O1" s="180"/>
      <c r="P1" s="180"/>
      <c r="Q1" s="180"/>
      <c r="R1" s="180"/>
      <c r="S1" s="180"/>
      <c r="T1" s="180"/>
      <c r="U1" s="180"/>
      <c r="V1" s="180"/>
      <c r="W1" s="180"/>
      <c r="X1" s="5"/>
    </row>
    <row r="2" spans="1:24" ht="15.75" x14ac:dyDescent="0.25">
      <c r="A2" s="181"/>
      <c r="B2" s="182"/>
      <c r="C2" s="183"/>
      <c r="D2" s="183"/>
      <c r="E2" s="183"/>
      <c r="F2" s="183"/>
      <c r="G2" s="183"/>
      <c r="H2" s="183"/>
      <c r="I2" s="183"/>
      <c r="J2" s="183"/>
      <c r="K2" s="183"/>
      <c r="L2" s="183"/>
      <c r="M2" s="183"/>
      <c r="N2" s="183"/>
      <c r="O2" s="183"/>
      <c r="P2" s="183"/>
      <c r="Q2" s="183"/>
      <c r="R2" s="183"/>
      <c r="S2" s="183"/>
      <c r="T2" s="183"/>
      <c r="U2" s="183"/>
      <c r="V2" s="183"/>
      <c r="W2" s="183"/>
      <c r="X2" s="5"/>
    </row>
    <row r="3" spans="1:24" ht="15.75" x14ac:dyDescent="0.25">
      <c r="A3" s="184"/>
      <c r="B3" s="185" t="s">
        <v>238</v>
      </c>
      <c r="C3" s="183"/>
      <c r="D3" s="183"/>
      <c r="E3" s="183"/>
      <c r="F3" s="183"/>
      <c r="G3" s="183"/>
      <c r="H3" s="183"/>
      <c r="I3" s="183"/>
      <c r="J3" s="183"/>
      <c r="K3" s="183"/>
      <c r="L3" s="183"/>
      <c r="M3" s="183"/>
      <c r="N3" s="183"/>
      <c r="O3" s="183"/>
      <c r="P3" s="183"/>
      <c r="Q3" s="183"/>
      <c r="R3" s="183"/>
      <c r="S3" s="183"/>
      <c r="T3" s="183"/>
      <c r="U3" s="183"/>
      <c r="V3" s="183"/>
      <c r="W3" s="183"/>
      <c r="X3" s="5"/>
    </row>
    <row r="4" spans="1:24" ht="15.75" x14ac:dyDescent="0.25">
      <c r="A4" s="181"/>
      <c r="B4" s="182"/>
      <c r="C4" s="183"/>
      <c r="D4" s="183"/>
      <c r="E4" s="183"/>
      <c r="F4" s="183"/>
      <c r="G4" s="183"/>
      <c r="H4" s="183"/>
      <c r="I4" s="183"/>
      <c r="J4" s="183"/>
      <c r="K4" s="183"/>
      <c r="L4" s="183"/>
      <c r="M4" s="183"/>
      <c r="N4" s="183"/>
      <c r="O4" s="183"/>
      <c r="P4" s="183"/>
      <c r="Q4" s="183"/>
      <c r="R4" s="183"/>
      <c r="S4" s="183"/>
      <c r="T4" s="183"/>
      <c r="U4" s="183"/>
      <c r="V4" s="183"/>
      <c r="W4" s="183"/>
      <c r="X4" s="5"/>
    </row>
    <row r="5" spans="1:24" ht="15.75" x14ac:dyDescent="0.25">
      <c r="A5" s="181"/>
      <c r="B5" s="275" t="s">
        <v>137</v>
      </c>
      <c r="C5" s="183"/>
      <c r="D5" s="183"/>
      <c r="E5" s="183"/>
      <c r="F5" s="183"/>
      <c r="G5" s="183"/>
      <c r="H5" s="183"/>
      <c r="I5" s="183"/>
      <c r="J5" s="183"/>
      <c r="K5" s="183"/>
      <c r="L5" s="183"/>
      <c r="M5" s="183"/>
      <c r="N5" s="183"/>
      <c r="O5" s="183"/>
      <c r="P5" s="183"/>
      <c r="Q5" s="183"/>
      <c r="R5" s="183"/>
      <c r="S5" s="183"/>
      <c r="T5" s="183"/>
      <c r="U5" s="183"/>
      <c r="V5" s="183"/>
      <c r="W5" s="183"/>
      <c r="X5" s="5"/>
    </row>
    <row r="6" spans="1:24" ht="15.75" x14ac:dyDescent="0.25">
      <c r="A6" s="181"/>
      <c r="B6" s="275" t="s">
        <v>139</v>
      </c>
      <c r="C6" s="183"/>
      <c r="D6" s="183"/>
      <c r="E6" s="183"/>
      <c r="F6" s="183"/>
      <c r="G6" s="183"/>
      <c r="H6" s="183"/>
      <c r="I6" s="183"/>
      <c r="J6" s="183"/>
      <c r="K6" s="183"/>
      <c r="L6" s="183"/>
      <c r="M6" s="183"/>
      <c r="N6" s="183"/>
      <c r="O6" s="183"/>
      <c r="P6" s="183"/>
      <c r="Q6" s="183"/>
      <c r="R6" s="183"/>
      <c r="S6" s="183"/>
      <c r="T6" s="183"/>
      <c r="U6" s="183"/>
      <c r="V6" s="183"/>
      <c r="W6" s="183"/>
      <c r="X6" s="5"/>
    </row>
    <row r="7" spans="1:24" ht="15.75" x14ac:dyDescent="0.25">
      <c r="A7" s="181"/>
      <c r="B7" s="275" t="s">
        <v>138</v>
      </c>
      <c r="C7" s="183"/>
      <c r="D7" s="183"/>
      <c r="E7" s="183"/>
      <c r="F7" s="183"/>
      <c r="G7" s="183"/>
      <c r="H7" s="183"/>
      <c r="I7" s="183"/>
      <c r="J7" s="183"/>
      <c r="K7" s="183"/>
      <c r="L7" s="183"/>
      <c r="M7" s="183"/>
      <c r="N7" s="183"/>
      <c r="O7" s="183"/>
      <c r="P7" s="183"/>
      <c r="Q7" s="183"/>
      <c r="R7" s="183"/>
      <c r="S7" s="183"/>
      <c r="T7" s="183"/>
      <c r="U7" s="183"/>
      <c r="V7" s="183"/>
      <c r="W7" s="183"/>
      <c r="X7" s="5"/>
    </row>
    <row r="8" spans="1:24" ht="15.75" x14ac:dyDescent="0.25">
      <c r="A8" s="181"/>
      <c r="B8" s="186"/>
      <c r="C8" s="183"/>
      <c r="D8" s="183"/>
      <c r="E8" s="183"/>
      <c r="F8" s="183"/>
      <c r="G8" s="183"/>
      <c r="H8" s="183"/>
      <c r="I8" s="183"/>
      <c r="J8" s="183"/>
      <c r="K8" s="183"/>
      <c r="L8" s="183"/>
      <c r="M8" s="183"/>
      <c r="N8" s="183"/>
      <c r="O8" s="183"/>
      <c r="P8" s="183"/>
      <c r="Q8" s="183"/>
      <c r="R8" s="183"/>
      <c r="S8" s="183"/>
      <c r="T8" s="183"/>
      <c r="U8" s="183"/>
      <c r="V8" s="183"/>
      <c r="W8" s="183"/>
      <c r="X8" s="5"/>
    </row>
    <row r="9" spans="1:24" ht="18.75" x14ac:dyDescent="0.3">
      <c r="A9" s="181"/>
      <c r="B9" s="187" t="s">
        <v>166</v>
      </c>
      <c r="C9" s="183"/>
      <c r="D9" s="183"/>
      <c r="E9" s="183"/>
      <c r="F9" s="183"/>
      <c r="G9" s="183"/>
      <c r="H9" s="183"/>
      <c r="I9" s="188" t="s">
        <v>167</v>
      </c>
      <c r="J9" s="183"/>
      <c r="K9" s="183"/>
      <c r="L9" s="188"/>
      <c r="M9" s="183"/>
      <c r="N9" s="188"/>
      <c r="O9" s="183"/>
      <c r="P9" s="183"/>
      <c r="Q9" s="183"/>
      <c r="R9" s="183"/>
      <c r="S9" s="183"/>
      <c r="T9" s="183"/>
      <c r="U9" s="183"/>
      <c r="V9" s="183"/>
      <c r="W9" s="183"/>
      <c r="X9" s="5"/>
    </row>
    <row r="10" spans="1:24" ht="15.75" x14ac:dyDescent="0.25">
      <c r="A10" s="181"/>
      <c r="B10" s="186"/>
      <c r="C10" s="189"/>
      <c r="D10" s="189"/>
      <c r="E10" s="189"/>
      <c r="F10" s="183"/>
      <c r="G10" s="183"/>
      <c r="H10" s="183"/>
      <c r="I10" s="183"/>
      <c r="J10" s="183"/>
      <c r="K10" s="183"/>
      <c r="L10" s="183"/>
      <c r="M10" s="183"/>
      <c r="N10" s="183"/>
      <c r="O10" s="183"/>
      <c r="P10" s="183"/>
      <c r="Q10" s="183"/>
      <c r="R10" s="183"/>
      <c r="S10" s="183"/>
      <c r="T10" s="183"/>
      <c r="U10" s="183"/>
      <c r="V10" s="183"/>
      <c r="W10" s="183"/>
      <c r="X10" s="5"/>
    </row>
    <row r="11" spans="1:24" ht="15.75" x14ac:dyDescent="0.25">
      <c r="A11" s="181"/>
      <c r="B11" s="259" t="s">
        <v>0</v>
      </c>
      <c r="C11" s="183"/>
      <c r="D11" s="183"/>
      <c r="E11" s="183"/>
      <c r="F11" s="183"/>
      <c r="G11" s="183"/>
      <c r="H11" s="183"/>
      <c r="I11" s="183"/>
      <c r="J11" s="183"/>
      <c r="K11" s="183"/>
      <c r="L11" s="183"/>
      <c r="M11" s="183"/>
      <c r="N11" s="183"/>
      <c r="O11" s="183"/>
      <c r="P11" s="183"/>
      <c r="Q11" s="183"/>
      <c r="R11" s="183"/>
      <c r="S11" s="183"/>
      <c r="T11" s="183"/>
      <c r="U11" s="183"/>
      <c r="V11" s="183"/>
      <c r="W11" s="183"/>
      <c r="X11" s="5"/>
    </row>
    <row r="12" spans="1:24" ht="16.5" thickBot="1" x14ac:dyDescent="0.3">
      <c r="A12" s="181"/>
      <c r="B12" s="189"/>
      <c r="C12" s="183"/>
      <c r="D12" s="183"/>
      <c r="E12" s="183"/>
      <c r="F12" s="183"/>
      <c r="G12" s="183"/>
      <c r="H12" s="183"/>
      <c r="I12" s="183"/>
      <c r="J12" s="183"/>
      <c r="K12" s="183"/>
      <c r="L12" s="183"/>
      <c r="M12" s="183"/>
      <c r="N12" s="183"/>
      <c r="O12" s="183"/>
      <c r="P12" s="183"/>
      <c r="Q12" s="183"/>
      <c r="R12" s="183"/>
      <c r="S12" s="183"/>
      <c r="T12" s="183"/>
      <c r="U12" s="183"/>
      <c r="V12" s="183"/>
      <c r="W12" s="183"/>
      <c r="X12" s="5"/>
    </row>
    <row r="13" spans="1:24" ht="15.75" x14ac:dyDescent="0.25">
      <c r="A13" s="179"/>
      <c r="B13" s="180"/>
      <c r="C13" s="180"/>
      <c r="D13" s="180"/>
      <c r="E13" s="180"/>
      <c r="F13" s="180"/>
      <c r="G13" s="180"/>
      <c r="H13" s="180"/>
      <c r="I13" s="180"/>
      <c r="J13" s="180"/>
      <c r="K13" s="180"/>
      <c r="L13" s="180"/>
      <c r="M13" s="180"/>
      <c r="N13" s="180"/>
      <c r="O13" s="180"/>
      <c r="P13" s="180"/>
      <c r="Q13" s="180"/>
      <c r="R13" s="180"/>
      <c r="S13" s="180"/>
      <c r="T13" s="180"/>
      <c r="U13" s="180"/>
      <c r="V13" s="180"/>
      <c r="W13" s="180"/>
      <c r="X13" s="5"/>
    </row>
    <row r="14" spans="1:24" ht="15.75" x14ac:dyDescent="0.25">
      <c r="A14" s="181"/>
      <c r="B14" s="259" t="s">
        <v>1</v>
      </c>
      <c r="C14" s="255"/>
      <c r="D14" s="255"/>
      <c r="E14" s="255"/>
      <c r="F14" s="255"/>
      <c r="G14" s="255"/>
      <c r="H14" s="255"/>
      <c r="I14" s="255"/>
      <c r="J14" s="255"/>
      <c r="K14" s="255"/>
      <c r="L14" s="255"/>
      <c r="M14" s="255"/>
      <c r="N14" s="255"/>
      <c r="O14" s="255"/>
      <c r="P14" s="255"/>
      <c r="Q14" s="255"/>
      <c r="R14" s="255"/>
      <c r="S14" s="255"/>
      <c r="T14" s="255"/>
      <c r="U14" s="255"/>
      <c r="V14" s="276" t="s">
        <v>239</v>
      </c>
      <c r="W14" s="255"/>
      <c r="X14" s="5"/>
    </row>
    <row r="15" spans="1:24" ht="15.75" x14ac:dyDescent="0.25">
      <c r="A15" s="181"/>
      <c r="B15" s="259" t="s">
        <v>2</v>
      </c>
      <c r="C15" s="255"/>
      <c r="D15" s="255"/>
      <c r="E15" s="255"/>
      <c r="F15" s="255"/>
      <c r="G15" s="255"/>
      <c r="H15" s="277"/>
      <c r="I15" s="277"/>
      <c r="J15" s="277"/>
      <c r="K15" s="277"/>
      <c r="L15" s="277"/>
      <c r="M15" s="277"/>
      <c r="N15" s="277"/>
      <c r="O15" s="277"/>
      <c r="P15" s="277"/>
      <c r="Q15" s="277"/>
      <c r="R15" s="277" t="s">
        <v>104</v>
      </c>
      <c r="S15" s="278">
        <v>0.47189999999999999</v>
      </c>
      <c r="T15" s="260" t="s">
        <v>140</v>
      </c>
      <c r="U15" s="278">
        <v>0.52810000000000001</v>
      </c>
      <c r="V15" s="276"/>
      <c r="W15" s="255"/>
      <c r="X15" s="5"/>
    </row>
    <row r="16" spans="1:24" ht="15.75" x14ac:dyDescent="0.25">
      <c r="A16" s="181"/>
      <c r="B16" s="259" t="s">
        <v>3</v>
      </c>
      <c r="C16" s="255"/>
      <c r="D16" s="255"/>
      <c r="E16" s="255"/>
      <c r="F16" s="255"/>
      <c r="G16" s="255"/>
      <c r="H16" s="277"/>
      <c r="I16" s="277"/>
      <c r="J16" s="277"/>
      <c r="K16" s="277"/>
      <c r="L16" s="277"/>
      <c r="M16" s="277"/>
      <c r="N16" s="277"/>
      <c r="O16" s="277"/>
      <c r="P16" s="277"/>
      <c r="Q16" s="277"/>
      <c r="R16" s="277" t="s">
        <v>104</v>
      </c>
      <c r="S16" s="278">
        <v>0.5353</v>
      </c>
      <c r="T16" s="260" t="s">
        <v>140</v>
      </c>
      <c r="U16" s="278">
        <v>0.4647</v>
      </c>
      <c r="V16" s="276"/>
      <c r="W16" s="255"/>
      <c r="X16" s="5"/>
    </row>
    <row r="17" spans="1:24" ht="15.75" x14ac:dyDescent="0.25">
      <c r="A17" s="181"/>
      <c r="B17" s="259" t="s">
        <v>4</v>
      </c>
      <c r="C17" s="255"/>
      <c r="D17" s="255"/>
      <c r="E17" s="255"/>
      <c r="F17" s="255"/>
      <c r="G17" s="255"/>
      <c r="H17" s="255"/>
      <c r="I17" s="255"/>
      <c r="J17" s="255"/>
      <c r="K17" s="255"/>
      <c r="L17" s="255"/>
      <c r="M17" s="255"/>
      <c r="N17" s="255"/>
      <c r="O17" s="255"/>
      <c r="P17" s="255"/>
      <c r="Q17" s="255"/>
      <c r="R17" s="255"/>
      <c r="S17" s="255"/>
      <c r="T17" s="255"/>
      <c r="U17" s="255"/>
      <c r="V17" s="279">
        <v>39282</v>
      </c>
      <c r="W17" s="255"/>
      <c r="X17" s="5"/>
    </row>
    <row r="18" spans="1:24" ht="15.75" x14ac:dyDescent="0.25">
      <c r="A18" s="181"/>
      <c r="B18" s="259" t="s">
        <v>5</v>
      </c>
      <c r="C18" s="255"/>
      <c r="D18" s="255"/>
      <c r="E18" s="255"/>
      <c r="F18" s="255"/>
      <c r="G18" s="255"/>
      <c r="H18" s="255"/>
      <c r="I18" s="255"/>
      <c r="J18" s="255"/>
      <c r="K18" s="255"/>
      <c r="L18" s="255"/>
      <c r="M18" s="255"/>
      <c r="N18" s="255"/>
      <c r="O18" s="255"/>
      <c r="P18" s="255"/>
      <c r="Q18" s="255"/>
      <c r="R18" s="255"/>
      <c r="S18" s="255"/>
      <c r="T18" s="255"/>
      <c r="U18" s="255"/>
      <c r="V18" s="279">
        <v>40529</v>
      </c>
      <c r="W18" s="255"/>
      <c r="X18" s="5"/>
    </row>
    <row r="19" spans="1:24" ht="15.75" x14ac:dyDescent="0.25">
      <c r="A19" s="181"/>
      <c r="B19" s="183"/>
      <c r="C19" s="183"/>
      <c r="D19" s="183"/>
      <c r="E19" s="183"/>
      <c r="F19" s="183"/>
      <c r="G19" s="183"/>
      <c r="H19" s="183"/>
      <c r="I19" s="183"/>
      <c r="J19" s="183"/>
      <c r="K19" s="183"/>
      <c r="L19" s="183"/>
      <c r="M19" s="183"/>
      <c r="N19" s="183"/>
      <c r="O19" s="183"/>
      <c r="P19" s="183"/>
      <c r="Q19" s="183"/>
      <c r="R19" s="183"/>
      <c r="S19" s="183"/>
      <c r="T19" s="183"/>
      <c r="U19" s="183"/>
      <c r="V19" s="190"/>
      <c r="W19" s="183"/>
      <c r="X19" s="5"/>
    </row>
    <row r="20" spans="1:24" ht="15.75" x14ac:dyDescent="0.25">
      <c r="A20" s="181"/>
      <c r="B20" s="280" t="s">
        <v>6</v>
      </c>
      <c r="C20" s="255"/>
      <c r="D20" s="255"/>
      <c r="E20" s="255"/>
      <c r="F20" s="255"/>
      <c r="G20" s="255"/>
      <c r="H20" s="255"/>
      <c r="I20" s="255"/>
      <c r="J20" s="255"/>
      <c r="K20" s="255"/>
      <c r="L20" s="255"/>
      <c r="M20" s="255"/>
      <c r="N20" s="255"/>
      <c r="O20" s="255"/>
      <c r="P20" s="255"/>
      <c r="Q20" s="255"/>
      <c r="R20" s="255"/>
      <c r="S20" s="255"/>
      <c r="T20" s="281" t="s">
        <v>105</v>
      </c>
      <c r="U20" s="255"/>
      <c r="V20" s="261"/>
      <c r="W20" s="183"/>
      <c r="X20" s="5"/>
    </row>
    <row r="21" spans="1:24" ht="15.75" x14ac:dyDescent="0.25">
      <c r="A21" s="181"/>
      <c r="B21" s="183"/>
      <c r="C21" s="183"/>
      <c r="D21" s="183"/>
      <c r="E21" s="183"/>
      <c r="F21" s="183"/>
      <c r="G21" s="183"/>
      <c r="H21" s="183"/>
      <c r="I21" s="183"/>
      <c r="J21" s="183"/>
      <c r="K21" s="183"/>
      <c r="L21" s="183"/>
      <c r="M21" s="183"/>
      <c r="N21" s="183"/>
      <c r="O21" s="183"/>
      <c r="P21" s="183"/>
      <c r="Q21" s="183"/>
      <c r="R21" s="183"/>
      <c r="S21" s="183"/>
      <c r="T21" s="183"/>
      <c r="U21" s="183"/>
      <c r="V21" s="192"/>
      <c r="W21" s="183"/>
      <c r="X21" s="5"/>
    </row>
    <row r="22" spans="1:24" ht="15.75" x14ac:dyDescent="0.25">
      <c r="A22" s="224"/>
      <c r="B22" s="225"/>
      <c r="C22" s="226"/>
      <c r="D22" s="226" t="s">
        <v>177</v>
      </c>
      <c r="E22" s="226"/>
      <c r="F22" s="226" t="s">
        <v>178</v>
      </c>
      <c r="G22" s="226"/>
      <c r="H22" s="226" t="s">
        <v>179</v>
      </c>
      <c r="I22" s="226"/>
      <c r="J22" s="226" t="s">
        <v>219</v>
      </c>
      <c r="K22" s="226"/>
      <c r="L22" s="226" t="s">
        <v>180</v>
      </c>
      <c r="M22" s="226"/>
      <c r="N22" s="226" t="s">
        <v>181</v>
      </c>
      <c r="O22" s="226"/>
      <c r="P22" s="226" t="s">
        <v>182</v>
      </c>
      <c r="Q22" s="226"/>
      <c r="R22" s="226"/>
      <c r="S22" s="227"/>
      <c r="T22" s="228"/>
      <c r="U22" s="229"/>
      <c r="V22" s="229"/>
      <c r="W22" s="225"/>
      <c r="X22" s="5"/>
    </row>
    <row r="23" spans="1:24" ht="15.75" x14ac:dyDescent="0.25">
      <c r="A23" s="193"/>
      <c r="B23" s="250" t="s">
        <v>7</v>
      </c>
      <c r="C23" s="282"/>
      <c r="D23" s="282" t="s">
        <v>212</v>
      </c>
      <c r="E23" s="282"/>
      <c r="F23" s="282" t="s">
        <v>141</v>
      </c>
      <c r="G23" s="282"/>
      <c r="H23" s="282" t="s">
        <v>141</v>
      </c>
      <c r="I23" s="282"/>
      <c r="J23" s="282" t="s">
        <v>141</v>
      </c>
      <c r="K23" s="282"/>
      <c r="L23" s="282" t="s">
        <v>183</v>
      </c>
      <c r="M23" s="282"/>
      <c r="N23" s="282" t="s">
        <v>183</v>
      </c>
      <c r="O23" s="282"/>
      <c r="P23" s="282" t="s">
        <v>142</v>
      </c>
      <c r="Q23" s="282"/>
      <c r="R23" s="282"/>
      <c r="S23" s="282"/>
      <c r="T23" s="282"/>
      <c r="U23" s="273"/>
      <c r="V23" s="273"/>
      <c r="W23" s="250"/>
      <c r="X23" s="5"/>
    </row>
    <row r="24" spans="1:24" ht="15.75" x14ac:dyDescent="0.25">
      <c r="A24" s="285"/>
      <c r="B24" s="286" t="s">
        <v>8</v>
      </c>
      <c r="C24" s="287"/>
      <c r="D24" s="287" t="s">
        <v>213</v>
      </c>
      <c r="E24" s="287"/>
      <c r="F24" s="287" t="s">
        <v>143</v>
      </c>
      <c r="G24" s="287"/>
      <c r="H24" s="287" t="s">
        <v>143</v>
      </c>
      <c r="I24" s="287"/>
      <c r="J24" s="287" t="s">
        <v>143</v>
      </c>
      <c r="K24" s="287"/>
      <c r="L24" s="287" t="s">
        <v>165</v>
      </c>
      <c r="M24" s="287"/>
      <c r="N24" s="287" t="s">
        <v>165</v>
      </c>
      <c r="O24" s="287"/>
      <c r="P24" s="287" t="s">
        <v>144</v>
      </c>
      <c r="Q24" s="287"/>
      <c r="R24" s="287"/>
      <c r="S24" s="287"/>
      <c r="T24" s="287"/>
      <c r="U24" s="288"/>
      <c r="V24" s="288"/>
      <c r="W24" s="289"/>
      <c r="X24" s="5"/>
    </row>
    <row r="25" spans="1:24" ht="15.75" x14ac:dyDescent="0.25">
      <c r="A25" s="290"/>
      <c r="B25" s="291" t="s">
        <v>190</v>
      </c>
      <c r="C25" s="292"/>
      <c r="D25" s="287" t="s">
        <v>214</v>
      </c>
      <c r="E25" s="287"/>
      <c r="F25" s="287" t="s">
        <v>143</v>
      </c>
      <c r="G25" s="287"/>
      <c r="H25" s="287" t="s">
        <v>143</v>
      </c>
      <c r="I25" s="287"/>
      <c r="J25" s="287" t="s">
        <v>143</v>
      </c>
      <c r="K25" s="287"/>
      <c r="L25" s="287" t="s">
        <v>165</v>
      </c>
      <c r="M25" s="287"/>
      <c r="N25" s="287" t="s">
        <v>165</v>
      </c>
      <c r="O25" s="287"/>
      <c r="P25" s="287" t="s">
        <v>144</v>
      </c>
      <c r="Q25" s="287"/>
      <c r="R25" s="287"/>
      <c r="S25" s="292"/>
      <c r="T25" s="287"/>
      <c r="U25" s="288"/>
      <c r="V25" s="288"/>
      <c r="W25" s="289"/>
      <c r="X25" s="5"/>
    </row>
    <row r="26" spans="1:24" ht="15.75" x14ac:dyDescent="0.25">
      <c r="A26" s="293"/>
      <c r="B26" s="294" t="s">
        <v>9</v>
      </c>
      <c r="C26" s="292"/>
      <c r="D26" s="292" t="s">
        <v>141</v>
      </c>
      <c r="E26" s="292"/>
      <c r="F26" s="292" t="s">
        <v>141</v>
      </c>
      <c r="G26" s="292"/>
      <c r="H26" s="292" t="s">
        <v>141</v>
      </c>
      <c r="I26" s="292"/>
      <c r="J26" s="292" t="s">
        <v>141</v>
      </c>
      <c r="K26" s="292"/>
      <c r="L26" s="292" t="s">
        <v>183</v>
      </c>
      <c r="M26" s="292"/>
      <c r="N26" s="292" t="s">
        <v>183</v>
      </c>
      <c r="O26" s="292"/>
      <c r="P26" s="292" t="s">
        <v>142</v>
      </c>
      <c r="Q26" s="292"/>
      <c r="R26" s="292"/>
      <c r="S26" s="292"/>
      <c r="T26" s="287"/>
      <c r="U26" s="288"/>
      <c r="V26" s="288"/>
      <c r="W26" s="289"/>
      <c r="X26" s="5"/>
    </row>
    <row r="27" spans="1:24" ht="15.75" x14ac:dyDescent="0.25">
      <c r="A27" s="295"/>
      <c r="B27" s="294" t="s">
        <v>191</v>
      </c>
      <c r="C27" s="287"/>
      <c r="D27" s="292" t="s">
        <v>143</v>
      </c>
      <c r="E27" s="292"/>
      <c r="F27" s="292" t="s">
        <v>143</v>
      </c>
      <c r="G27" s="292"/>
      <c r="H27" s="292" t="s">
        <v>143</v>
      </c>
      <c r="I27" s="292"/>
      <c r="J27" s="292" t="s">
        <v>143</v>
      </c>
      <c r="K27" s="292"/>
      <c r="L27" s="292" t="s">
        <v>165</v>
      </c>
      <c r="M27" s="292"/>
      <c r="N27" s="292" t="s">
        <v>165</v>
      </c>
      <c r="O27" s="292"/>
      <c r="P27" s="292" t="s">
        <v>144</v>
      </c>
      <c r="Q27" s="292"/>
      <c r="R27" s="292"/>
      <c r="S27" s="287"/>
      <c r="T27" s="296"/>
      <c r="U27" s="288"/>
      <c r="V27" s="288"/>
      <c r="W27" s="289"/>
      <c r="X27" s="5"/>
    </row>
    <row r="28" spans="1:24" ht="15.75" x14ac:dyDescent="0.25">
      <c r="A28" s="295"/>
      <c r="B28" s="297" t="s">
        <v>192</v>
      </c>
      <c r="C28" s="287"/>
      <c r="D28" s="292" t="s">
        <v>143</v>
      </c>
      <c r="E28" s="292"/>
      <c r="F28" s="292" t="s">
        <v>143</v>
      </c>
      <c r="G28" s="292"/>
      <c r="H28" s="292" t="s">
        <v>143</v>
      </c>
      <c r="I28" s="292"/>
      <c r="J28" s="292" t="s">
        <v>143</v>
      </c>
      <c r="K28" s="292"/>
      <c r="L28" s="292" t="s">
        <v>165</v>
      </c>
      <c r="M28" s="292"/>
      <c r="N28" s="292" t="s">
        <v>165</v>
      </c>
      <c r="O28" s="292"/>
      <c r="P28" s="292" t="s">
        <v>144</v>
      </c>
      <c r="Q28" s="292"/>
      <c r="R28" s="292"/>
      <c r="S28" s="287"/>
      <c r="T28" s="296"/>
      <c r="U28" s="288"/>
      <c r="V28" s="288"/>
      <c r="W28" s="289"/>
      <c r="X28" s="5"/>
    </row>
    <row r="29" spans="1:24" ht="15.75" x14ac:dyDescent="0.25">
      <c r="A29" s="295"/>
      <c r="B29" s="286" t="s">
        <v>10</v>
      </c>
      <c r="C29" s="298"/>
      <c r="D29" s="287" t="s">
        <v>242</v>
      </c>
      <c r="E29" s="287"/>
      <c r="F29" s="296" t="s">
        <v>244</v>
      </c>
      <c r="G29" s="287"/>
      <c r="H29" s="287" t="s">
        <v>245</v>
      </c>
      <c r="I29" s="287"/>
      <c r="J29" s="287" t="s">
        <v>247</v>
      </c>
      <c r="K29" s="287"/>
      <c r="L29" s="287" t="s">
        <v>248</v>
      </c>
      <c r="M29" s="287"/>
      <c r="N29" s="287" t="s">
        <v>249</v>
      </c>
      <c r="O29" s="287"/>
      <c r="P29" s="287" t="s">
        <v>250</v>
      </c>
      <c r="Q29" s="287"/>
      <c r="R29" s="287"/>
      <c r="S29" s="299"/>
      <c r="T29" s="299"/>
      <c r="U29" s="300"/>
      <c r="V29" s="299"/>
      <c r="W29" s="301"/>
      <c r="X29" s="5"/>
    </row>
    <row r="30" spans="1:24" ht="15.75" x14ac:dyDescent="0.25">
      <c r="A30" s="295"/>
      <c r="B30" s="286" t="s">
        <v>10</v>
      </c>
      <c r="C30" s="298"/>
      <c r="D30" s="287" t="s">
        <v>243</v>
      </c>
      <c r="E30" s="287"/>
      <c r="F30" s="296" t="s">
        <v>118</v>
      </c>
      <c r="G30" s="287"/>
      <c r="H30" s="287" t="s">
        <v>118</v>
      </c>
      <c r="I30" s="287"/>
      <c r="J30" s="287" t="s">
        <v>246</v>
      </c>
      <c r="K30" s="287"/>
      <c r="L30" s="287" t="s">
        <v>118</v>
      </c>
      <c r="M30" s="287"/>
      <c r="N30" s="287" t="s">
        <v>118</v>
      </c>
      <c r="O30" s="287"/>
      <c r="P30" s="287" t="s">
        <v>118</v>
      </c>
      <c r="Q30" s="287"/>
      <c r="R30" s="287"/>
      <c r="S30" s="299"/>
      <c r="T30" s="299"/>
      <c r="U30" s="300"/>
      <c r="V30" s="299"/>
      <c r="W30" s="301"/>
      <c r="X30" s="5"/>
    </row>
    <row r="31" spans="1:24" ht="15.75" x14ac:dyDescent="0.25">
      <c r="A31" s="293"/>
      <c r="B31" s="286" t="s">
        <v>133</v>
      </c>
      <c r="C31" s="302"/>
      <c r="D31" s="303">
        <v>1000000</v>
      </c>
      <c r="E31" s="298"/>
      <c r="F31" s="299">
        <v>209500</v>
      </c>
      <c r="G31" s="299"/>
      <c r="H31" s="304">
        <v>110000</v>
      </c>
      <c r="I31" s="304"/>
      <c r="J31" s="303">
        <v>150000</v>
      </c>
      <c r="K31" s="299"/>
      <c r="L31" s="299">
        <v>17000</v>
      </c>
      <c r="M31" s="299"/>
      <c r="N31" s="304">
        <v>85500</v>
      </c>
      <c r="O31" s="299"/>
      <c r="P31" s="304">
        <v>110500</v>
      </c>
      <c r="Q31" s="299"/>
      <c r="R31" s="304"/>
      <c r="S31" s="305"/>
      <c r="T31" s="305"/>
      <c r="U31" s="306"/>
      <c r="V31" s="305"/>
      <c r="W31" s="301"/>
      <c r="X31" s="5"/>
    </row>
    <row r="32" spans="1:24" ht="15.75" x14ac:dyDescent="0.25">
      <c r="A32" s="295"/>
      <c r="B32" s="286" t="s">
        <v>132</v>
      </c>
      <c r="C32" s="298"/>
      <c r="D32" s="303">
        <f>D31*D38</f>
        <v>827677.7</v>
      </c>
      <c r="E32" s="298"/>
      <c r="F32" s="299">
        <f>F31*F38</f>
        <v>173398.62480000002</v>
      </c>
      <c r="G32" s="299"/>
      <c r="H32" s="304">
        <f>H31*H38</f>
        <v>91044.975999999995</v>
      </c>
      <c r="I32" s="304"/>
      <c r="J32" s="303">
        <f>J31*J38</f>
        <v>124151.655</v>
      </c>
      <c r="K32" s="299"/>
      <c r="L32" s="299">
        <f>L31*L38</f>
        <v>17000</v>
      </c>
      <c r="M32" s="299"/>
      <c r="N32" s="304">
        <f>N31*N38</f>
        <v>85500</v>
      </c>
      <c r="O32" s="299"/>
      <c r="P32" s="304">
        <f>P31*P38</f>
        <v>110500</v>
      </c>
      <c r="Q32" s="299"/>
      <c r="R32" s="304"/>
      <c r="S32" s="299"/>
      <c r="T32" s="299"/>
      <c r="U32" s="300"/>
      <c r="V32" s="299"/>
      <c r="W32" s="301"/>
      <c r="X32" s="5"/>
    </row>
    <row r="33" spans="1:27" ht="15.75" x14ac:dyDescent="0.25">
      <c r="A33" s="295"/>
      <c r="B33" s="294" t="s">
        <v>134</v>
      </c>
      <c r="C33" s="298"/>
      <c r="D33" s="307">
        <f>D37*D31</f>
        <v>822906.1</v>
      </c>
      <c r="E33" s="302"/>
      <c r="F33" s="305">
        <f>F37*F31</f>
        <v>172398.97460000002</v>
      </c>
      <c r="G33" s="305"/>
      <c r="H33" s="308">
        <f>H31*H37</f>
        <v>90520.122000000003</v>
      </c>
      <c r="I33" s="308"/>
      <c r="J33" s="307">
        <f>J37*J31</f>
        <v>123435.91499999999</v>
      </c>
      <c r="K33" s="305"/>
      <c r="L33" s="305">
        <f>L31*L37</f>
        <v>17000</v>
      </c>
      <c r="M33" s="305"/>
      <c r="N33" s="308">
        <f>N31*N37</f>
        <v>85500</v>
      </c>
      <c r="O33" s="305"/>
      <c r="P33" s="308">
        <f>P31*P37</f>
        <v>110500</v>
      </c>
      <c r="Q33" s="305"/>
      <c r="R33" s="308"/>
      <c r="S33" s="299"/>
      <c r="T33" s="299"/>
      <c r="U33" s="300"/>
      <c r="V33" s="299"/>
      <c r="W33" s="301"/>
      <c r="X33" s="5"/>
    </row>
    <row r="34" spans="1:27" ht="15.75" x14ac:dyDescent="0.25">
      <c r="A34" s="293"/>
      <c r="B34" s="286" t="s">
        <v>286</v>
      </c>
      <c r="C34" s="302"/>
      <c r="D34" s="299">
        <v>492951</v>
      </c>
      <c r="E34" s="298"/>
      <c r="F34" s="299">
        <v>209500</v>
      </c>
      <c r="G34" s="299"/>
      <c r="H34" s="299">
        <v>74677</v>
      </c>
      <c r="I34" s="299"/>
      <c r="J34" s="299">
        <v>73943</v>
      </c>
      <c r="K34" s="299"/>
      <c r="L34" s="299">
        <v>17000</v>
      </c>
      <c r="M34" s="299"/>
      <c r="N34" s="299">
        <v>58045</v>
      </c>
      <c r="O34" s="299"/>
      <c r="P34" s="299">
        <v>75017</v>
      </c>
      <c r="Q34" s="299"/>
      <c r="R34" s="299"/>
      <c r="S34" s="305"/>
      <c r="T34" s="305"/>
      <c r="U34" s="306"/>
      <c r="V34" s="309">
        <f>SUM(C34:R34)</f>
        <v>1001133</v>
      </c>
      <c r="W34" s="301"/>
      <c r="X34" s="5"/>
    </row>
    <row r="35" spans="1:27" ht="15.75" x14ac:dyDescent="0.25">
      <c r="A35" s="293"/>
      <c r="B35" s="286" t="s">
        <v>287</v>
      </c>
      <c r="C35" s="310"/>
      <c r="D35" s="299">
        <f>D34*D38</f>
        <v>408004.54989269999</v>
      </c>
      <c r="E35" s="298"/>
      <c r="F35" s="299">
        <f>F34*F38</f>
        <v>173398.62480000002</v>
      </c>
      <c r="G35" s="299"/>
      <c r="H35" s="299">
        <f>H34*H38</f>
        <v>61808.778843200002</v>
      </c>
      <c r="I35" s="299"/>
      <c r="J35" s="299">
        <f>J34*J38</f>
        <v>61200.972171099995</v>
      </c>
      <c r="K35" s="299"/>
      <c r="L35" s="299">
        <f>L34*L38</f>
        <v>17000</v>
      </c>
      <c r="M35" s="299"/>
      <c r="N35" s="299">
        <f>N34*N38</f>
        <v>58045</v>
      </c>
      <c r="O35" s="299"/>
      <c r="P35" s="299">
        <f>P34*P38</f>
        <v>75017</v>
      </c>
      <c r="Q35" s="299"/>
      <c r="R35" s="299"/>
      <c r="S35" s="299"/>
      <c r="T35" s="299"/>
      <c r="U35" s="300"/>
      <c r="V35" s="309">
        <f>SUM(C35:R35)</f>
        <v>854474.92570699996</v>
      </c>
      <c r="W35" s="301"/>
      <c r="X35" s="5"/>
    </row>
    <row r="36" spans="1:27" ht="15.75" x14ac:dyDescent="0.25">
      <c r="A36" s="293"/>
      <c r="B36" s="294" t="s">
        <v>288</v>
      </c>
      <c r="C36" s="310"/>
      <c r="D36" s="305">
        <f>D34*D37</f>
        <v>405652.38490110001</v>
      </c>
      <c r="E36" s="302"/>
      <c r="F36" s="305">
        <f>F34*F37</f>
        <v>172398.97460000002</v>
      </c>
      <c r="G36" s="305"/>
      <c r="H36" s="305">
        <f>H34*H37</f>
        <v>61452.465005400001</v>
      </c>
      <c r="I36" s="305"/>
      <c r="J36" s="305">
        <f>J34*J37</f>
        <v>60848.145752299999</v>
      </c>
      <c r="K36" s="305"/>
      <c r="L36" s="305">
        <f>L34*L37</f>
        <v>17000</v>
      </c>
      <c r="M36" s="305"/>
      <c r="N36" s="305">
        <f>N34*N37</f>
        <v>58045</v>
      </c>
      <c r="O36" s="305"/>
      <c r="P36" s="305">
        <f>P34*P37</f>
        <v>75017</v>
      </c>
      <c r="Q36" s="305"/>
      <c r="R36" s="305"/>
      <c r="S36" s="311"/>
      <c r="T36" s="311"/>
      <c r="U36" s="300"/>
      <c r="V36" s="312">
        <f>SUM(C36:R36)</f>
        <v>850413.97025880008</v>
      </c>
      <c r="W36" s="301"/>
      <c r="X36" s="5"/>
    </row>
    <row r="37" spans="1:27" ht="15.75" x14ac:dyDescent="0.25">
      <c r="A37" s="285"/>
      <c r="B37" s="313" t="s">
        <v>130</v>
      </c>
      <c r="C37" s="314"/>
      <c r="D37" s="315">
        <v>0.82290609999999997</v>
      </c>
      <c r="E37" s="315"/>
      <c r="F37" s="315">
        <v>0.82290680000000005</v>
      </c>
      <c r="G37" s="315"/>
      <c r="H37" s="315">
        <v>0.82291020000000004</v>
      </c>
      <c r="I37" s="315"/>
      <c r="J37" s="315">
        <v>0.82290609999999997</v>
      </c>
      <c r="K37" s="315"/>
      <c r="L37" s="315">
        <v>1</v>
      </c>
      <c r="M37" s="315"/>
      <c r="N37" s="315">
        <v>1</v>
      </c>
      <c r="O37" s="315"/>
      <c r="P37" s="315">
        <v>1</v>
      </c>
      <c r="Q37" s="315"/>
      <c r="R37" s="315"/>
      <c r="S37" s="316"/>
      <c r="T37" s="316"/>
      <c r="U37" s="317"/>
      <c r="V37" s="317"/>
      <c r="W37" s="318"/>
      <c r="X37" s="5"/>
    </row>
    <row r="38" spans="1:27" ht="15.75" x14ac:dyDescent="0.25">
      <c r="A38" s="285"/>
      <c r="B38" s="313" t="s">
        <v>131</v>
      </c>
      <c r="C38" s="314"/>
      <c r="D38" s="315">
        <v>0.82767769999999996</v>
      </c>
      <c r="E38" s="315"/>
      <c r="F38" s="315">
        <v>0.82767840000000004</v>
      </c>
      <c r="G38" s="315"/>
      <c r="H38" s="315">
        <v>0.82768160000000002</v>
      </c>
      <c r="I38" s="315"/>
      <c r="J38" s="315">
        <v>0.82767769999999996</v>
      </c>
      <c r="K38" s="315"/>
      <c r="L38" s="315">
        <v>1</v>
      </c>
      <c r="M38" s="315"/>
      <c r="N38" s="315">
        <v>1</v>
      </c>
      <c r="O38" s="315"/>
      <c r="P38" s="315">
        <v>1</v>
      </c>
      <c r="Q38" s="315"/>
      <c r="R38" s="315"/>
      <c r="S38" s="319"/>
      <c r="T38" s="320"/>
      <c r="U38" s="317"/>
      <c r="V38" s="319"/>
      <c r="W38" s="318"/>
      <c r="X38" s="5"/>
    </row>
    <row r="39" spans="1:27" ht="15.75" x14ac:dyDescent="0.25">
      <c r="A39" s="285"/>
      <c r="B39" s="286" t="s">
        <v>11</v>
      </c>
      <c r="C39" s="286"/>
      <c r="D39" s="296" t="s">
        <v>278</v>
      </c>
      <c r="E39" s="286"/>
      <c r="F39" s="296" t="s">
        <v>251</v>
      </c>
      <c r="G39" s="296"/>
      <c r="H39" s="296" t="s">
        <v>252</v>
      </c>
      <c r="I39" s="296"/>
      <c r="J39" s="296" t="s">
        <v>253</v>
      </c>
      <c r="K39" s="296"/>
      <c r="L39" s="296" t="s">
        <v>254</v>
      </c>
      <c r="M39" s="296"/>
      <c r="N39" s="296" t="s">
        <v>254</v>
      </c>
      <c r="O39" s="296"/>
      <c r="P39" s="296" t="s">
        <v>255</v>
      </c>
      <c r="Q39" s="296"/>
      <c r="R39" s="296"/>
      <c r="S39" s="321"/>
      <c r="T39" s="322"/>
      <c r="U39" s="288"/>
      <c r="V39" s="288"/>
      <c r="W39" s="289"/>
      <c r="X39" s="5"/>
    </row>
    <row r="40" spans="1:27" ht="15.75" x14ac:dyDescent="0.25">
      <c r="A40" s="285"/>
      <c r="B40" s="286" t="s">
        <v>12</v>
      </c>
      <c r="C40" s="286"/>
      <c r="D40" s="322">
        <v>3.4344000000000002E-3</v>
      </c>
      <c r="E40" s="286"/>
      <c r="F40" s="322">
        <v>8.5468999999999996E-3</v>
      </c>
      <c r="G40" s="321"/>
      <c r="H40" s="322">
        <v>9.9900000000000006E-3</v>
      </c>
      <c r="I40" s="322"/>
      <c r="J40" s="322">
        <v>4.0219000000000001E-3</v>
      </c>
      <c r="K40" s="321"/>
      <c r="L40" s="322">
        <v>9.9468999999999998E-3</v>
      </c>
      <c r="M40" s="321"/>
      <c r="N40" s="322">
        <v>1.149E-2</v>
      </c>
      <c r="O40" s="321"/>
      <c r="P40" s="322">
        <v>1.4290000000000001E-2</v>
      </c>
      <c r="Q40" s="321"/>
      <c r="R40" s="322"/>
      <c r="S40" s="321"/>
      <c r="T40" s="322"/>
      <c r="U40" s="288"/>
      <c r="V40" s="296"/>
      <c r="W40" s="289"/>
      <c r="X40" s="5"/>
      <c r="AA40" s="1" t="s">
        <v>193</v>
      </c>
    </row>
    <row r="41" spans="1:27" ht="15.75" x14ac:dyDescent="0.25">
      <c r="A41" s="285"/>
      <c r="B41" s="286" t="s">
        <v>13</v>
      </c>
      <c r="C41" s="286"/>
      <c r="D41" s="322">
        <v>3.6594000000000002E-3</v>
      </c>
      <c r="E41" s="286"/>
      <c r="F41" s="322">
        <v>8.6E-3</v>
      </c>
      <c r="G41" s="321"/>
      <c r="H41" s="322">
        <v>8.3899999999999999E-3</v>
      </c>
      <c r="I41" s="322"/>
      <c r="J41" s="322">
        <v>6.4706E-3</v>
      </c>
      <c r="K41" s="321"/>
      <c r="L41" s="322">
        <v>0.01</v>
      </c>
      <c r="M41" s="321"/>
      <c r="N41" s="322">
        <v>9.8899999999999995E-3</v>
      </c>
      <c r="O41" s="321"/>
      <c r="P41" s="322">
        <v>1.269E-2</v>
      </c>
      <c r="Q41" s="321"/>
      <c r="R41" s="322"/>
      <c r="S41" s="321"/>
      <c r="T41" s="322"/>
      <c r="U41" s="288"/>
      <c r="V41" s="321" t="s">
        <v>193</v>
      </c>
      <c r="W41" s="289"/>
      <c r="X41" s="5"/>
    </row>
    <row r="42" spans="1:27" ht="15.75" x14ac:dyDescent="0.25">
      <c r="A42" s="285"/>
      <c r="B42" s="286" t="s">
        <v>289</v>
      </c>
      <c r="C42" s="286"/>
      <c r="D42" s="296" t="s">
        <v>279</v>
      </c>
      <c r="E42" s="286"/>
      <c r="F42" s="296" t="s">
        <v>251</v>
      </c>
      <c r="G42" s="296"/>
      <c r="H42" s="296" t="s">
        <v>229</v>
      </c>
      <c r="I42" s="296"/>
      <c r="J42" s="296" t="s">
        <v>229</v>
      </c>
      <c r="K42" s="296"/>
      <c r="L42" s="296" t="s">
        <v>254</v>
      </c>
      <c r="M42" s="296"/>
      <c r="N42" s="296" t="s">
        <v>262</v>
      </c>
      <c r="O42" s="296"/>
      <c r="P42" s="296" t="s">
        <v>263</v>
      </c>
      <c r="Q42" s="296"/>
      <c r="R42" s="296"/>
      <c r="S42" s="321"/>
      <c r="T42" s="322"/>
      <c r="U42" s="288"/>
      <c r="V42" s="288"/>
      <c r="W42" s="289"/>
      <c r="X42" s="5"/>
    </row>
    <row r="43" spans="1:27" ht="15.75" x14ac:dyDescent="0.25">
      <c r="A43" s="285"/>
      <c r="B43" s="286" t="s">
        <v>290</v>
      </c>
      <c r="C43" s="323"/>
      <c r="D43" s="322">
        <v>8.3388500000000001E-3</v>
      </c>
      <c r="E43" s="322"/>
      <c r="F43" s="322">
        <f>+F40</f>
        <v>8.5468999999999996E-3</v>
      </c>
      <c r="G43" s="322"/>
      <c r="H43" s="322">
        <v>8.6219E-3</v>
      </c>
      <c r="I43" s="322"/>
      <c r="J43" s="322">
        <v>8.6368999999999994E-3</v>
      </c>
      <c r="K43" s="322"/>
      <c r="L43" s="322">
        <f>+L40</f>
        <v>9.9468999999999998E-3</v>
      </c>
      <c r="M43" s="322"/>
      <c r="N43" s="322">
        <v>1.0313900000000001E-2</v>
      </c>
      <c r="O43" s="322"/>
      <c r="P43" s="322">
        <v>1.33939E-2</v>
      </c>
      <c r="Q43" s="321"/>
      <c r="R43" s="322"/>
      <c r="S43" s="296"/>
      <c r="T43" s="296"/>
      <c r="U43" s="288"/>
      <c r="V43" s="321">
        <f>SUMPRODUCT(D43:R43,D35:R35)/V35</f>
        <v>9.0328490908523715E-3</v>
      </c>
      <c r="W43" s="289"/>
      <c r="X43" s="5"/>
    </row>
    <row r="44" spans="1:27" ht="15.75" x14ac:dyDescent="0.25">
      <c r="A44" s="285"/>
      <c r="B44" s="286" t="s">
        <v>291</v>
      </c>
      <c r="C44" s="323"/>
      <c r="D44" s="322">
        <v>8.3919500000000005E-3</v>
      </c>
      <c r="E44" s="322"/>
      <c r="F44" s="322">
        <f>+F41</f>
        <v>8.6E-3</v>
      </c>
      <c r="G44" s="322"/>
      <c r="H44" s="322">
        <v>8.6750000000000004E-3</v>
      </c>
      <c r="I44" s="322"/>
      <c r="J44" s="322">
        <v>8.6899999999999998E-3</v>
      </c>
      <c r="K44" s="322"/>
      <c r="L44" s="322">
        <f>+L41</f>
        <v>0.01</v>
      </c>
      <c r="M44" s="322"/>
      <c r="N44" s="322">
        <v>1.0366999999999999E-2</v>
      </c>
      <c r="O44" s="322"/>
      <c r="P44" s="322">
        <v>1.3447000000000001E-2</v>
      </c>
      <c r="Q44" s="321"/>
      <c r="R44" s="322"/>
      <c r="S44" s="296"/>
      <c r="T44" s="296"/>
      <c r="U44" s="288"/>
      <c r="V44" s="288"/>
      <c r="W44" s="289"/>
      <c r="X44" s="5"/>
    </row>
    <row r="45" spans="1:27" ht="15.75" x14ac:dyDescent="0.25">
      <c r="A45" s="285"/>
      <c r="B45" s="286" t="s">
        <v>14</v>
      </c>
      <c r="C45" s="286"/>
      <c r="D45" s="323">
        <v>40709</v>
      </c>
      <c r="E45" s="323"/>
      <c r="F45" s="323">
        <v>40709</v>
      </c>
      <c r="G45" s="323"/>
      <c r="H45" s="323">
        <v>40709</v>
      </c>
      <c r="I45" s="323"/>
      <c r="J45" s="323">
        <v>40709</v>
      </c>
      <c r="K45" s="323"/>
      <c r="L45" s="323">
        <v>40709</v>
      </c>
      <c r="M45" s="323"/>
      <c r="N45" s="323">
        <v>40709</v>
      </c>
      <c r="O45" s="323"/>
      <c r="P45" s="323">
        <v>40709</v>
      </c>
      <c r="Q45" s="323"/>
      <c r="R45" s="323"/>
      <c r="S45" s="296"/>
      <c r="T45" s="296"/>
      <c r="U45" s="288"/>
      <c r="V45" s="288"/>
      <c r="W45" s="289"/>
      <c r="X45" s="5"/>
    </row>
    <row r="46" spans="1:27" ht="15.75" x14ac:dyDescent="0.25">
      <c r="A46" s="285"/>
      <c r="B46" s="286" t="s">
        <v>15</v>
      </c>
      <c r="C46" s="286"/>
      <c r="D46" s="323" t="s">
        <v>118</v>
      </c>
      <c r="E46" s="323"/>
      <c r="F46" s="323">
        <v>41075</v>
      </c>
      <c r="G46" s="323"/>
      <c r="H46" s="323">
        <v>41075</v>
      </c>
      <c r="I46" s="323"/>
      <c r="J46" s="323">
        <v>41075</v>
      </c>
      <c r="K46" s="296"/>
      <c r="L46" s="323">
        <v>41075</v>
      </c>
      <c r="M46" s="296"/>
      <c r="N46" s="323">
        <v>41075</v>
      </c>
      <c r="O46" s="296"/>
      <c r="P46" s="323">
        <v>41075</v>
      </c>
      <c r="Q46" s="296"/>
      <c r="R46" s="323"/>
      <c r="S46" s="296"/>
      <c r="T46" s="296"/>
      <c r="U46" s="288"/>
      <c r="V46" s="288"/>
      <c r="W46" s="289"/>
      <c r="X46" s="5"/>
    </row>
    <row r="47" spans="1:27" ht="15.75" x14ac:dyDescent="0.25">
      <c r="A47" s="285"/>
      <c r="B47" s="286" t="s">
        <v>119</v>
      </c>
      <c r="C47" s="286"/>
      <c r="D47" s="324" t="s">
        <v>118</v>
      </c>
      <c r="E47" s="286"/>
      <c r="F47" s="296" t="s">
        <v>256</v>
      </c>
      <c r="G47" s="296"/>
      <c r="H47" s="296" t="s">
        <v>257</v>
      </c>
      <c r="I47" s="296"/>
      <c r="J47" s="296" t="s">
        <v>258</v>
      </c>
      <c r="K47" s="296"/>
      <c r="L47" s="296" t="s">
        <v>259</v>
      </c>
      <c r="M47" s="296"/>
      <c r="N47" s="296" t="s">
        <v>259</v>
      </c>
      <c r="O47" s="296"/>
      <c r="P47" s="296" t="s">
        <v>260</v>
      </c>
      <c r="Q47" s="296"/>
      <c r="R47" s="296"/>
      <c r="S47" s="325"/>
      <c r="T47" s="325"/>
      <c r="U47" s="325"/>
      <c r="V47" s="325"/>
      <c r="W47" s="289"/>
      <c r="X47" s="5"/>
    </row>
    <row r="48" spans="1:27" ht="15.75" x14ac:dyDescent="0.25">
      <c r="A48" s="285"/>
      <c r="B48" s="286" t="s">
        <v>292</v>
      </c>
      <c r="C48" s="286"/>
      <c r="D48" s="296" t="s">
        <v>200</v>
      </c>
      <c r="E48" s="286"/>
      <c r="F48" s="296" t="s">
        <v>256</v>
      </c>
      <c r="G48" s="296"/>
      <c r="H48" s="296" t="s">
        <v>261</v>
      </c>
      <c r="I48" s="296"/>
      <c r="J48" s="296" t="s">
        <v>261</v>
      </c>
      <c r="K48" s="296"/>
      <c r="L48" s="296" t="s">
        <v>259</v>
      </c>
      <c r="M48" s="296"/>
      <c r="N48" s="296" t="s">
        <v>263</v>
      </c>
      <c r="O48" s="296"/>
      <c r="P48" s="296" t="s">
        <v>264</v>
      </c>
      <c r="Q48" s="296"/>
      <c r="R48" s="296"/>
      <c r="S48" s="286"/>
      <c r="T48" s="286"/>
      <c r="U48" s="286"/>
      <c r="V48" s="321"/>
      <c r="W48" s="289"/>
      <c r="X48" s="5"/>
    </row>
    <row r="49" spans="1:25" ht="15.75" x14ac:dyDescent="0.25">
      <c r="A49" s="285"/>
      <c r="B49" s="286"/>
      <c r="C49" s="286"/>
      <c r="D49" s="296"/>
      <c r="E49" s="286"/>
      <c r="F49" s="296"/>
      <c r="G49" s="296"/>
      <c r="H49" s="296"/>
      <c r="I49" s="296"/>
      <c r="J49" s="296"/>
      <c r="K49" s="296"/>
      <c r="L49" s="296"/>
      <c r="M49" s="296"/>
      <c r="N49" s="296"/>
      <c r="O49" s="296"/>
      <c r="P49" s="296"/>
      <c r="Q49" s="296"/>
      <c r="R49" s="296"/>
      <c r="S49" s="286"/>
      <c r="T49" s="286"/>
      <c r="U49" s="286"/>
      <c r="V49" s="321" t="s">
        <v>193</v>
      </c>
      <c r="W49" s="289"/>
      <c r="X49" s="5"/>
    </row>
    <row r="50" spans="1:25" ht="15.75" x14ac:dyDescent="0.25">
      <c r="A50" s="285"/>
      <c r="B50" s="286" t="s">
        <v>169</v>
      </c>
      <c r="C50" s="286"/>
      <c r="D50" s="296"/>
      <c r="E50" s="286"/>
      <c r="F50" s="296"/>
      <c r="G50" s="296"/>
      <c r="H50" s="296"/>
      <c r="I50" s="296"/>
      <c r="J50" s="296"/>
      <c r="K50" s="296"/>
      <c r="L50" s="296"/>
      <c r="M50" s="296"/>
      <c r="N50" s="296"/>
      <c r="O50" s="296"/>
      <c r="P50" s="296"/>
      <c r="Q50" s="296"/>
      <c r="R50" s="296"/>
      <c r="S50" s="286"/>
      <c r="T50" s="286"/>
      <c r="U50" s="286"/>
      <c r="V50" s="321">
        <f>SUM(L34:R34)/SUM(D34:J34)</f>
        <v>0.17632136449250416</v>
      </c>
      <c r="W50" s="289"/>
      <c r="X50" s="5"/>
    </row>
    <row r="51" spans="1:25" ht="15.75" x14ac:dyDescent="0.25">
      <c r="A51" s="285"/>
      <c r="B51" s="286" t="s">
        <v>170</v>
      </c>
      <c r="C51" s="286"/>
      <c r="D51" s="286"/>
      <c r="E51" s="286"/>
      <c r="F51" s="326"/>
      <c r="G51" s="286"/>
      <c r="H51" s="286"/>
      <c r="I51" s="286"/>
      <c r="J51" s="286"/>
      <c r="K51" s="286"/>
      <c r="L51" s="286"/>
      <c r="M51" s="286"/>
      <c r="N51" s="286"/>
      <c r="O51" s="286"/>
      <c r="P51" s="286"/>
      <c r="Q51" s="286"/>
      <c r="R51" s="286"/>
      <c r="S51" s="286"/>
      <c r="T51" s="286"/>
      <c r="U51" s="286"/>
      <c r="V51" s="321">
        <f>SUM(L36:R36)/SUM(D36:J36)</f>
        <v>0.21426654935310285</v>
      </c>
      <c r="W51" s="289"/>
      <c r="X51" s="5"/>
    </row>
    <row r="52" spans="1:25" ht="15.75" x14ac:dyDescent="0.25">
      <c r="A52" s="285"/>
      <c r="B52" s="286" t="s">
        <v>171</v>
      </c>
      <c r="C52" s="286"/>
      <c r="D52" s="286"/>
      <c r="E52" s="286"/>
      <c r="F52" s="286"/>
      <c r="G52" s="286"/>
      <c r="H52" s="286"/>
      <c r="I52" s="286"/>
      <c r="J52" s="286"/>
      <c r="K52" s="286"/>
      <c r="L52" s="286"/>
      <c r="M52" s="286"/>
      <c r="N52" s="286"/>
      <c r="O52" s="286"/>
      <c r="P52" s="286"/>
      <c r="Q52" s="286"/>
      <c r="R52" s="286"/>
      <c r="S52" s="286"/>
      <c r="T52" s="296"/>
      <c r="U52" s="296"/>
      <c r="V52" s="299" t="s">
        <v>268</v>
      </c>
      <c r="W52" s="289"/>
      <c r="X52" s="5"/>
    </row>
    <row r="53" spans="1:25" ht="15.75" x14ac:dyDescent="0.25">
      <c r="A53" s="285"/>
      <c r="B53" s="286"/>
      <c r="C53" s="286"/>
      <c r="D53" s="286"/>
      <c r="E53" s="286"/>
      <c r="F53" s="286"/>
      <c r="G53" s="286"/>
      <c r="H53" s="286"/>
      <c r="I53" s="286"/>
      <c r="J53" s="286"/>
      <c r="K53" s="286"/>
      <c r="L53" s="286"/>
      <c r="M53" s="286"/>
      <c r="N53" s="286"/>
      <c r="O53" s="286"/>
      <c r="P53" s="286"/>
      <c r="Q53" s="286"/>
      <c r="R53" s="286"/>
      <c r="S53" s="286"/>
      <c r="T53" s="286"/>
      <c r="U53" s="286"/>
      <c r="V53" s="327"/>
      <c r="W53" s="289"/>
      <c r="X53" s="5"/>
    </row>
    <row r="54" spans="1:25" ht="15.75" x14ac:dyDescent="0.25">
      <c r="A54" s="285"/>
      <c r="B54" s="286" t="s">
        <v>202</v>
      </c>
      <c r="C54" s="286"/>
      <c r="D54" s="286"/>
      <c r="E54" s="286"/>
      <c r="F54" s="286"/>
      <c r="G54" s="286"/>
      <c r="H54" s="286"/>
      <c r="I54" s="286"/>
      <c r="J54" s="286"/>
      <c r="K54" s="286"/>
      <c r="L54" s="286"/>
      <c r="M54" s="286"/>
      <c r="N54" s="286"/>
      <c r="O54" s="286"/>
      <c r="P54" s="286"/>
      <c r="Q54" s="286"/>
      <c r="R54" s="286"/>
      <c r="S54" s="286"/>
      <c r="T54" s="286"/>
      <c r="U54" s="286"/>
      <c r="V54" s="328" t="s">
        <v>203</v>
      </c>
      <c r="W54" s="289"/>
      <c r="X54" s="5"/>
    </row>
    <row r="55" spans="1:25" ht="15.75" x14ac:dyDescent="0.25">
      <c r="A55" s="285"/>
      <c r="B55" s="286" t="s">
        <v>270</v>
      </c>
      <c r="C55" s="286"/>
      <c r="D55" s="286"/>
      <c r="E55" s="286"/>
      <c r="F55" s="286"/>
      <c r="G55" s="286"/>
      <c r="H55" s="286"/>
      <c r="I55" s="286"/>
      <c r="J55" s="286"/>
      <c r="K55" s="286"/>
      <c r="L55" s="286"/>
      <c r="M55" s="286"/>
      <c r="N55" s="286"/>
      <c r="O55" s="286"/>
      <c r="P55" s="286"/>
      <c r="Q55" s="286"/>
      <c r="R55" s="286"/>
      <c r="S55" s="286"/>
      <c r="T55" s="296"/>
      <c r="U55" s="296"/>
      <c r="V55" s="329" t="s">
        <v>111</v>
      </c>
      <c r="W55" s="289"/>
      <c r="X55" s="5"/>
    </row>
    <row r="56" spans="1:25" ht="15.75" x14ac:dyDescent="0.25">
      <c r="A56" s="285"/>
      <c r="B56" s="294" t="s">
        <v>201</v>
      </c>
      <c r="C56" s="294"/>
      <c r="D56" s="294"/>
      <c r="E56" s="294"/>
      <c r="F56" s="294"/>
      <c r="G56" s="294"/>
      <c r="H56" s="294"/>
      <c r="I56" s="294"/>
      <c r="J56" s="294"/>
      <c r="K56" s="294"/>
      <c r="L56" s="294"/>
      <c r="M56" s="294"/>
      <c r="N56" s="294"/>
      <c r="O56" s="294"/>
      <c r="P56" s="294"/>
      <c r="Q56" s="294"/>
      <c r="R56" s="294"/>
      <c r="S56" s="294"/>
      <c r="T56" s="330"/>
      <c r="U56" s="330"/>
      <c r="V56" s="331">
        <v>40527</v>
      </c>
      <c r="W56" s="289"/>
      <c r="X56" s="5"/>
    </row>
    <row r="57" spans="1:25" ht="15.75" x14ac:dyDescent="0.25">
      <c r="A57" s="285"/>
      <c r="B57" s="286" t="s">
        <v>121</v>
      </c>
      <c r="C57" s="286"/>
      <c r="D57" s="286"/>
      <c r="E57" s="286"/>
      <c r="F57" s="286"/>
      <c r="G57" s="286"/>
      <c r="H57" s="332"/>
      <c r="I57" s="332"/>
      <c r="J57" s="332"/>
      <c r="K57" s="332"/>
      <c r="L57" s="332"/>
      <c r="M57" s="332"/>
      <c r="N57" s="332"/>
      <c r="O57" s="332"/>
      <c r="P57" s="332"/>
      <c r="Q57" s="332"/>
      <c r="R57" s="286">
        <f>+V57-T57+1</f>
        <v>92</v>
      </c>
      <c r="S57" s="332"/>
      <c r="T57" s="333">
        <v>40344</v>
      </c>
      <c r="U57" s="334"/>
      <c r="V57" s="333">
        <v>40435</v>
      </c>
      <c r="W57" s="289"/>
      <c r="X57" s="5"/>
    </row>
    <row r="58" spans="1:25" ht="15.75" x14ac:dyDescent="0.25">
      <c r="A58" s="285"/>
      <c r="B58" s="286" t="s">
        <v>122</v>
      </c>
      <c r="C58" s="286"/>
      <c r="D58" s="286"/>
      <c r="E58" s="286"/>
      <c r="F58" s="286"/>
      <c r="G58" s="286"/>
      <c r="H58" s="286"/>
      <c r="I58" s="286"/>
      <c r="J58" s="286"/>
      <c r="K58" s="286"/>
      <c r="L58" s="286"/>
      <c r="M58" s="286"/>
      <c r="N58" s="286"/>
      <c r="O58" s="286"/>
      <c r="P58" s="286"/>
      <c r="Q58" s="286"/>
      <c r="R58" s="286">
        <f>+V58-T58+1</f>
        <v>91</v>
      </c>
      <c r="S58" s="286"/>
      <c r="T58" s="333">
        <v>40436</v>
      </c>
      <c r="U58" s="334"/>
      <c r="V58" s="333">
        <v>40526</v>
      </c>
      <c r="W58" s="289"/>
      <c r="X58" s="5"/>
    </row>
    <row r="59" spans="1:25" ht="15.75" x14ac:dyDescent="0.25">
      <c r="A59" s="285"/>
      <c r="B59" s="286" t="s">
        <v>223</v>
      </c>
      <c r="C59" s="286"/>
      <c r="D59" s="286"/>
      <c r="E59" s="286"/>
      <c r="F59" s="286"/>
      <c r="G59" s="286"/>
      <c r="H59" s="286"/>
      <c r="I59" s="286"/>
      <c r="J59" s="286"/>
      <c r="K59" s="286"/>
      <c r="L59" s="286"/>
      <c r="M59" s="286"/>
      <c r="N59" s="286"/>
      <c r="O59" s="286"/>
      <c r="P59" s="286"/>
      <c r="Q59" s="286"/>
      <c r="R59" s="286"/>
      <c r="S59" s="286"/>
      <c r="T59" s="333"/>
      <c r="U59" s="334"/>
      <c r="V59" s="333" t="s">
        <v>120</v>
      </c>
      <c r="W59" s="289"/>
      <c r="X59" s="5"/>
    </row>
    <row r="60" spans="1:25" ht="15.75" x14ac:dyDescent="0.25">
      <c r="A60" s="285"/>
      <c r="B60" s="286" t="s">
        <v>271</v>
      </c>
      <c r="C60" s="286"/>
      <c r="D60" s="286"/>
      <c r="E60" s="286"/>
      <c r="F60" s="286"/>
      <c r="G60" s="286"/>
      <c r="H60" s="286"/>
      <c r="I60" s="286"/>
      <c r="J60" s="286"/>
      <c r="K60" s="286"/>
      <c r="L60" s="286"/>
      <c r="M60" s="286"/>
      <c r="N60" s="286"/>
      <c r="O60" s="286"/>
      <c r="P60" s="286"/>
      <c r="Q60" s="286"/>
      <c r="R60" s="286"/>
      <c r="S60" s="286"/>
      <c r="T60" s="333"/>
      <c r="U60" s="334"/>
      <c r="V60" s="333" t="s">
        <v>154</v>
      </c>
      <c r="W60" s="289"/>
      <c r="X60" s="5"/>
      <c r="Y60" s="133"/>
    </row>
    <row r="61" spans="1:25" ht="15.75" x14ac:dyDescent="0.25">
      <c r="A61" s="285"/>
      <c r="B61" s="286" t="s">
        <v>16</v>
      </c>
      <c r="C61" s="286"/>
      <c r="D61" s="286"/>
      <c r="E61" s="286"/>
      <c r="F61" s="286"/>
      <c r="G61" s="286"/>
      <c r="H61" s="286"/>
      <c r="I61" s="286"/>
      <c r="J61" s="286"/>
      <c r="K61" s="286"/>
      <c r="L61" s="286"/>
      <c r="M61" s="286"/>
      <c r="N61" s="286"/>
      <c r="O61" s="286"/>
      <c r="P61" s="286"/>
      <c r="Q61" s="286"/>
      <c r="R61" s="286"/>
      <c r="S61" s="286"/>
      <c r="T61" s="333"/>
      <c r="U61" s="334"/>
      <c r="V61" s="333">
        <v>40513</v>
      </c>
      <c r="W61" s="289"/>
      <c r="X61" s="5"/>
    </row>
    <row r="62" spans="1:25" ht="15.75" x14ac:dyDescent="0.25">
      <c r="A62" s="181"/>
      <c r="B62" s="212"/>
      <c r="C62" s="212"/>
      <c r="D62" s="212"/>
      <c r="E62" s="212"/>
      <c r="F62" s="212"/>
      <c r="G62" s="212"/>
      <c r="H62" s="212"/>
      <c r="I62" s="212"/>
      <c r="J62" s="212"/>
      <c r="K62" s="212"/>
      <c r="L62" s="212"/>
      <c r="M62" s="212"/>
      <c r="N62" s="212"/>
      <c r="O62" s="212"/>
      <c r="P62" s="212"/>
      <c r="Q62" s="212"/>
      <c r="R62" s="212"/>
      <c r="S62" s="212"/>
      <c r="T62" s="283"/>
      <c r="U62" s="284"/>
      <c r="V62" s="283"/>
      <c r="W62" s="212"/>
      <c r="X62" s="5"/>
    </row>
    <row r="63" spans="1:25" ht="15.75" x14ac:dyDescent="0.25">
      <c r="A63" s="181"/>
      <c r="B63" s="183"/>
      <c r="C63" s="183"/>
      <c r="D63" s="183"/>
      <c r="E63" s="183"/>
      <c r="F63" s="183"/>
      <c r="G63" s="183"/>
      <c r="H63" s="183"/>
      <c r="I63" s="183"/>
      <c r="J63" s="183"/>
      <c r="K63" s="183"/>
      <c r="L63" s="183"/>
      <c r="M63" s="183"/>
      <c r="N63" s="183"/>
      <c r="O63" s="183"/>
      <c r="P63" s="183"/>
      <c r="Q63" s="183"/>
      <c r="R63" s="183"/>
      <c r="S63" s="183"/>
      <c r="T63" s="195"/>
      <c r="U63" s="196"/>
      <c r="V63" s="195"/>
      <c r="W63" s="183"/>
      <c r="X63" s="5"/>
    </row>
    <row r="64" spans="1:25" ht="19.5" thickBot="1" x14ac:dyDescent="0.35">
      <c r="A64" s="197"/>
      <c r="B64" s="270" t="s">
        <v>298</v>
      </c>
      <c r="C64" s="198"/>
      <c r="D64" s="198"/>
      <c r="E64" s="198"/>
      <c r="F64" s="198"/>
      <c r="G64" s="198"/>
      <c r="H64" s="198"/>
      <c r="I64" s="198"/>
      <c r="J64" s="198"/>
      <c r="K64" s="198"/>
      <c r="L64" s="198"/>
      <c r="M64" s="198"/>
      <c r="N64" s="198"/>
      <c r="O64" s="198"/>
      <c r="P64" s="198"/>
      <c r="Q64" s="198"/>
      <c r="R64" s="198"/>
      <c r="S64" s="198"/>
      <c r="T64" s="198"/>
      <c r="U64" s="198"/>
      <c r="V64" s="199"/>
      <c r="W64" s="200"/>
      <c r="X64" s="5"/>
    </row>
    <row r="65" spans="1:24" ht="15.75" x14ac:dyDescent="0.25">
      <c r="A65" s="224"/>
      <c r="B65" s="230" t="s">
        <v>17</v>
      </c>
      <c r="C65" s="225"/>
      <c r="D65" s="225"/>
      <c r="E65" s="225"/>
      <c r="F65" s="225"/>
      <c r="G65" s="225"/>
      <c r="H65" s="225"/>
      <c r="I65" s="225"/>
      <c r="J65" s="225"/>
      <c r="K65" s="225"/>
      <c r="L65" s="225"/>
      <c r="M65" s="225"/>
      <c r="N65" s="225"/>
      <c r="O65" s="225"/>
      <c r="P65" s="225"/>
      <c r="Q65" s="225"/>
      <c r="R65" s="225"/>
      <c r="S65" s="225"/>
      <c r="T65" s="225"/>
      <c r="U65" s="225"/>
      <c r="V65" s="231"/>
      <c r="W65" s="225"/>
      <c r="X65" s="5"/>
    </row>
    <row r="66" spans="1:24" ht="15.75" x14ac:dyDescent="0.25">
      <c r="A66" s="181"/>
      <c r="B66" s="189"/>
      <c r="C66" s="183"/>
      <c r="D66" s="183"/>
      <c r="E66" s="183"/>
      <c r="F66" s="183"/>
      <c r="G66" s="183"/>
      <c r="H66" s="183"/>
      <c r="I66" s="183"/>
      <c r="J66" s="183"/>
      <c r="K66" s="183"/>
      <c r="L66" s="183"/>
      <c r="M66" s="183"/>
      <c r="N66" s="183"/>
      <c r="O66" s="183"/>
      <c r="P66" s="183"/>
      <c r="Q66" s="183"/>
      <c r="R66" s="183"/>
      <c r="S66" s="183"/>
      <c r="T66" s="183"/>
      <c r="U66" s="183"/>
      <c r="V66" s="202"/>
      <c r="W66" s="183"/>
      <c r="X66" s="5"/>
    </row>
    <row r="67" spans="1:24" ht="47.25" x14ac:dyDescent="0.25">
      <c r="A67" s="181"/>
      <c r="B67" s="203" t="s">
        <v>18</v>
      </c>
      <c r="C67" s="204"/>
      <c r="D67" s="204"/>
      <c r="E67" s="204"/>
      <c r="F67" s="204"/>
      <c r="G67" s="204"/>
      <c r="H67" s="204"/>
      <c r="I67" s="204"/>
      <c r="J67" s="204"/>
      <c r="K67" s="204"/>
      <c r="L67" s="204" t="s">
        <v>94</v>
      </c>
      <c r="M67" s="204"/>
      <c r="N67" s="204" t="s">
        <v>96</v>
      </c>
      <c r="O67" s="204"/>
      <c r="P67" s="204" t="s">
        <v>98</v>
      </c>
      <c r="Q67" s="204"/>
      <c r="R67" s="204" t="s">
        <v>100</v>
      </c>
      <c r="S67" s="204"/>
      <c r="T67" s="204" t="s">
        <v>106</v>
      </c>
      <c r="U67" s="204"/>
      <c r="V67" s="205" t="s">
        <v>112</v>
      </c>
      <c r="W67" s="206"/>
      <c r="X67" s="5"/>
    </row>
    <row r="68" spans="1:24" ht="15.75" x14ac:dyDescent="0.25">
      <c r="A68" s="285"/>
      <c r="B68" s="286" t="s">
        <v>19</v>
      </c>
      <c r="C68" s="337"/>
      <c r="D68" s="337"/>
      <c r="E68" s="337"/>
      <c r="F68" s="337"/>
      <c r="G68" s="337"/>
      <c r="H68" s="337"/>
      <c r="I68" s="337"/>
      <c r="J68" s="337"/>
      <c r="K68" s="337"/>
      <c r="L68" s="337">
        <v>812446</v>
      </c>
      <c r="M68" s="337"/>
      <c r="N68" s="338">
        <v>854475</v>
      </c>
      <c r="O68" s="337"/>
      <c r="P68" s="337">
        <f>4061+44+18</f>
        <v>4123</v>
      </c>
      <c r="Q68" s="337"/>
      <c r="R68" s="337">
        <f>44+18</f>
        <v>62</v>
      </c>
      <c r="S68" s="337"/>
      <c r="T68" s="337">
        <v>0</v>
      </c>
      <c r="U68" s="337"/>
      <c r="V68" s="338">
        <f>+N68-P68+R68-T68</f>
        <v>850414</v>
      </c>
      <c r="W68" s="289"/>
      <c r="X68" s="5"/>
    </row>
    <row r="69" spans="1:24" ht="15.75" x14ac:dyDescent="0.25">
      <c r="A69" s="285"/>
      <c r="B69" s="286" t="s">
        <v>20</v>
      </c>
      <c r="C69" s="337"/>
      <c r="D69" s="337"/>
      <c r="E69" s="337"/>
      <c r="F69" s="337"/>
      <c r="G69" s="337"/>
      <c r="H69" s="337"/>
      <c r="I69" s="337"/>
      <c r="J69" s="337"/>
      <c r="K69" s="337"/>
      <c r="L69" s="337">
        <v>0</v>
      </c>
      <c r="M69" s="337"/>
      <c r="N69" s="338">
        <v>0</v>
      </c>
      <c r="O69" s="337"/>
      <c r="P69" s="337">
        <v>0</v>
      </c>
      <c r="Q69" s="337"/>
      <c r="R69" s="337">
        <v>0</v>
      </c>
      <c r="S69" s="337"/>
      <c r="T69" s="337">
        <v>0</v>
      </c>
      <c r="U69" s="337"/>
      <c r="V69" s="338">
        <f>+L69-P69</f>
        <v>0</v>
      </c>
      <c r="W69" s="289"/>
      <c r="X69" s="5"/>
    </row>
    <row r="70" spans="1:24" ht="15.75" x14ac:dyDescent="0.25">
      <c r="A70" s="285"/>
      <c r="B70" s="286"/>
      <c r="C70" s="337"/>
      <c r="D70" s="337"/>
      <c r="E70" s="337"/>
      <c r="F70" s="337"/>
      <c r="G70" s="337"/>
      <c r="H70" s="337"/>
      <c r="I70" s="337"/>
      <c r="J70" s="337"/>
      <c r="K70" s="337"/>
      <c r="L70" s="337"/>
      <c r="M70" s="337"/>
      <c r="N70" s="338"/>
      <c r="O70" s="337"/>
      <c r="P70" s="337"/>
      <c r="Q70" s="337"/>
      <c r="R70" s="337"/>
      <c r="S70" s="337"/>
      <c r="T70" s="337"/>
      <c r="U70" s="337"/>
      <c r="V70" s="338"/>
      <c r="W70" s="289"/>
      <c r="X70" s="5"/>
    </row>
    <row r="71" spans="1:24" ht="15.75" x14ac:dyDescent="0.25">
      <c r="A71" s="285"/>
      <c r="B71" s="286" t="s">
        <v>21</v>
      </c>
      <c r="C71" s="337"/>
      <c r="D71" s="337"/>
      <c r="E71" s="337"/>
      <c r="F71" s="337"/>
      <c r="G71" s="337"/>
      <c r="H71" s="337"/>
      <c r="I71" s="337"/>
      <c r="J71" s="337"/>
      <c r="K71" s="337"/>
      <c r="L71" s="337">
        <f>SUM(L68:L70)</f>
        <v>812446</v>
      </c>
      <c r="M71" s="337"/>
      <c r="N71" s="337">
        <f>N68+N69</f>
        <v>854475</v>
      </c>
      <c r="O71" s="337"/>
      <c r="P71" s="337">
        <f>SUM(P68:P70)</f>
        <v>4123</v>
      </c>
      <c r="Q71" s="337"/>
      <c r="R71" s="337">
        <f>SUM(R68:R70)</f>
        <v>62</v>
      </c>
      <c r="S71" s="337"/>
      <c r="T71" s="337">
        <f>SUM(T68:T70)</f>
        <v>0</v>
      </c>
      <c r="U71" s="337"/>
      <c r="V71" s="337">
        <f>SUM(V68:V70)</f>
        <v>850414</v>
      </c>
      <c r="W71" s="289"/>
      <c r="X71" s="5"/>
    </row>
    <row r="72" spans="1:24" ht="15.75" x14ac:dyDescent="0.25">
      <c r="A72" s="181"/>
      <c r="B72" s="212"/>
      <c r="C72" s="335"/>
      <c r="D72" s="335"/>
      <c r="E72" s="335"/>
      <c r="F72" s="335"/>
      <c r="G72" s="335"/>
      <c r="H72" s="335"/>
      <c r="I72" s="335"/>
      <c r="J72" s="335"/>
      <c r="K72" s="335"/>
      <c r="L72" s="335"/>
      <c r="M72" s="335"/>
      <c r="N72" s="335"/>
      <c r="O72" s="335"/>
      <c r="P72" s="335"/>
      <c r="Q72" s="335"/>
      <c r="R72" s="335"/>
      <c r="S72" s="335"/>
      <c r="T72" s="335"/>
      <c r="U72" s="335"/>
      <c r="V72" s="336"/>
      <c r="W72" s="212"/>
      <c r="X72" s="5"/>
    </row>
    <row r="73" spans="1:24" ht="15.75" x14ac:dyDescent="0.25">
      <c r="A73" s="181"/>
      <c r="B73" s="185" t="s">
        <v>22</v>
      </c>
      <c r="C73" s="207"/>
      <c r="D73" s="207"/>
      <c r="E73" s="207"/>
      <c r="F73" s="207"/>
      <c r="G73" s="207"/>
      <c r="H73" s="207"/>
      <c r="I73" s="207"/>
      <c r="J73" s="207"/>
      <c r="K73" s="207"/>
      <c r="L73" s="207"/>
      <c r="M73" s="207"/>
      <c r="N73" s="207"/>
      <c r="O73" s="207"/>
      <c r="P73" s="207"/>
      <c r="Q73" s="207"/>
      <c r="R73" s="207"/>
      <c r="S73" s="207"/>
      <c r="T73" s="207"/>
      <c r="U73" s="207"/>
      <c r="V73" s="208"/>
      <c r="W73" s="183"/>
      <c r="X73" s="5"/>
    </row>
    <row r="74" spans="1:24" ht="15.75" x14ac:dyDescent="0.25">
      <c r="A74" s="181"/>
      <c r="B74" s="183"/>
      <c r="C74" s="207"/>
      <c r="D74" s="207"/>
      <c r="E74" s="207"/>
      <c r="F74" s="207"/>
      <c r="G74" s="207"/>
      <c r="H74" s="207"/>
      <c r="I74" s="207"/>
      <c r="J74" s="207"/>
      <c r="K74" s="207"/>
      <c r="L74" s="207"/>
      <c r="M74" s="207"/>
      <c r="N74" s="207"/>
      <c r="O74" s="207"/>
      <c r="P74" s="207"/>
      <c r="Q74" s="207"/>
      <c r="R74" s="207"/>
      <c r="S74" s="207"/>
      <c r="T74" s="207"/>
      <c r="U74" s="207"/>
      <c r="V74" s="208"/>
      <c r="W74" s="183"/>
      <c r="X74" s="5"/>
    </row>
    <row r="75" spans="1:24" ht="15.75" x14ac:dyDescent="0.25">
      <c r="A75" s="285"/>
      <c r="B75" s="286" t="s">
        <v>19</v>
      </c>
      <c r="C75" s="337"/>
      <c r="D75" s="337"/>
      <c r="E75" s="337"/>
      <c r="F75" s="337"/>
      <c r="G75" s="337"/>
      <c r="H75" s="337"/>
      <c r="I75" s="337"/>
      <c r="J75" s="337"/>
      <c r="K75" s="337"/>
      <c r="L75" s="337"/>
      <c r="M75" s="337"/>
      <c r="N75" s="337"/>
      <c r="O75" s="337"/>
      <c r="P75" s="337"/>
      <c r="Q75" s="337"/>
      <c r="R75" s="337"/>
      <c r="S75" s="337"/>
      <c r="T75" s="337"/>
      <c r="U75" s="337"/>
      <c r="V75" s="337"/>
      <c r="W75" s="289"/>
      <c r="X75" s="5"/>
    </row>
    <row r="76" spans="1:24" ht="15.75" x14ac:dyDescent="0.25">
      <c r="A76" s="285"/>
      <c r="B76" s="286" t="s">
        <v>20</v>
      </c>
      <c r="C76" s="337"/>
      <c r="D76" s="337"/>
      <c r="E76" s="337"/>
      <c r="F76" s="337"/>
      <c r="G76" s="337"/>
      <c r="H76" s="337"/>
      <c r="I76" s="337"/>
      <c r="J76" s="337"/>
      <c r="K76" s="337"/>
      <c r="L76" s="337"/>
      <c r="M76" s="337"/>
      <c r="N76" s="337"/>
      <c r="O76" s="337"/>
      <c r="P76" s="337"/>
      <c r="Q76" s="337"/>
      <c r="R76" s="337"/>
      <c r="S76" s="337"/>
      <c r="T76" s="337"/>
      <c r="U76" s="337"/>
      <c r="V76" s="337"/>
      <c r="W76" s="289"/>
      <c r="X76" s="5"/>
    </row>
    <row r="77" spans="1:24" ht="15.75" x14ac:dyDescent="0.25">
      <c r="A77" s="285"/>
      <c r="B77" s="286"/>
      <c r="C77" s="337"/>
      <c r="D77" s="337"/>
      <c r="E77" s="337"/>
      <c r="F77" s="337"/>
      <c r="G77" s="337"/>
      <c r="H77" s="337"/>
      <c r="I77" s="337"/>
      <c r="J77" s="337"/>
      <c r="K77" s="337"/>
      <c r="L77" s="337"/>
      <c r="M77" s="337"/>
      <c r="N77" s="337"/>
      <c r="O77" s="337"/>
      <c r="P77" s="337"/>
      <c r="Q77" s="337"/>
      <c r="R77" s="337"/>
      <c r="S77" s="337"/>
      <c r="T77" s="337"/>
      <c r="U77" s="337"/>
      <c r="V77" s="337"/>
      <c r="W77" s="289"/>
      <c r="X77" s="5"/>
    </row>
    <row r="78" spans="1:24" ht="15.75" x14ac:dyDescent="0.25">
      <c r="A78" s="285"/>
      <c r="B78" s="286" t="s">
        <v>21</v>
      </c>
      <c r="C78" s="337"/>
      <c r="D78" s="337"/>
      <c r="E78" s="337"/>
      <c r="F78" s="337"/>
      <c r="G78" s="337"/>
      <c r="H78" s="337"/>
      <c r="I78" s="337"/>
      <c r="J78" s="337"/>
      <c r="K78" s="337"/>
      <c r="L78" s="337"/>
      <c r="M78" s="337"/>
      <c r="N78" s="337"/>
      <c r="O78" s="337"/>
      <c r="P78" s="337"/>
      <c r="Q78" s="337"/>
      <c r="R78" s="337"/>
      <c r="S78" s="337"/>
      <c r="T78" s="337"/>
      <c r="U78" s="337"/>
      <c r="V78" s="337"/>
      <c r="W78" s="289"/>
      <c r="X78" s="5"/>
    </row>
    <row r="79" spans="1:24" ht="15.75" x14ac:dyDescent="0.25">
      <c r="A79" s="285"/>
      <c r="B79" s="286"/>
      <c r="C79" s="337"/>
      <c r="D79" s="337"/>
      <c r="E79" s="337"/>
      <c r="F79" s="337"/>
      <c r="G79" s="337"/>
      <c r="H79" s="337"/>
      <c r="I79" s="337"/>
      <c r="J79" s="337"/>
      <c r="K79" s="337"/>
      <c r="L79" s="337"/>
      <c r="M79" s="337"/>
      <c r="N79" s="337"/>
      <c r="O79" s="337"/>
      <c r="P79" s="337"/>
      <c r="Q79" s="337"/>
      <c r="R79" s="337"/>
      <c r="S79" s="337"/>
      <c r="T79" s="337"/>
      <c r="U79" s="337"/>
      <c r="V79" s="337"/>
      <c r="W79" s="289"/>
      <c r="X79" s="5"/>
    </row>
    <row r="80" spans="1:24" ht="15.75" x14ac:dyDescent="0.25">
      <c r="A80" s="285"/>
      <c r="B80" s="286" t="s">
        <v>23</v>
      </c>
      <c r="C80" s="337"/>
      <c r="D80" s="337"/>
      <c r="E80" s="337"/>
      <c r="F80" s="337"/>
      <c r="G80" s="337"/>
      <c r="H80" s="337"/>
      <c r="I80" s="337"/>
      <c r="J80" s="337"/>
      <c r="K80" s="337"/>
      <c r="L80" s="337">
        <v>0</v>
      </c>
      <c r="M80" s="337"/>
      <c r="N80" s="337">
        <v>0</v>
      </c>
      <c r="O80" s="337"/>
      <c r="P80" s="337"/>
      <c r="Q80" s="337"/>
      <c r="R80" s="337"/>
      <c r="S80" s="337"/>
      <c r="T80" s="337"/>
      <c r="U80" s="337"/>
      <c r="V80" s="338">
        <v>0</v>
      </c>
      <c r="W80" s="289"/>
      <c r="X80" s="5"/>
    </row>
    <row r="81" spans="1:24" ht="15.75" x14ac:dyDescent="0.25">
      <c r="A81" s="285"/>
      <c r="B81" s="286" t="s">
        <v>117</v>
      </c>
      <c r="C81" s="337"/>
      <c r="D81" s="337"/>
      <c r="E81" s="337"/>
      <c r="F81" s="337"/>
      <c r="G81" s="337"/>
      <c r="H81" s="337"/>
      <c r="I81" s="337"/>
      <c r="J81" s="337"/>
      <c r="K81" s="337"/>
      <c r="L81" s="337">
        <v>188687</v>
      </c>
      <c r="M81" s="337"/>
      <c r="N81" s="337">
        <v>0</v>
      </c>
      <c r="O81" s="337"/>
      <c r="P81" s="337">
        <v>0</v>
      </c>
      <c r="Q81" s="337"/>
      <c r="R81" s="337"/>
      <c r="S81" s="337"/>
      <c r="T81" s="337"/>
      <c r="U81" s="337"/>
      <c r="V81" s="337">
        <f>SUM(N81:R81)</f>
        <v>0</v>
      </c>
      <c r="W81" s="289"/>
      <c r="X81" s="5"/>
    </row>
    <row r="82" spans="1:24" ht="15.75" x14ac:dyDescent="0.25">
      <c r="A82" s="285"/>
      <c r="B82" s="286"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89"/>
      <c r="X82" s="5"/>
    </row>
    <row r="83" spans="1:24" ht="15.75" x14ac:dyDescent="0.25">
      <c r="A83" s="285"/>
      <c r="B83" s="286" t="s">
        <v>25</v>
      </c>
      <c r="C83" s="337"/>
      <c r="D83" s="337"/>
      <c r="E83" s="337"/>
      <c r="F83" s="337"/>
      <c r="G83" s="337"/>
      <c r="H83" s="337"/>
      <c r="I83" s="337"/>
      <c r="J83" s="337"/>
      <c r="K83" s="337"/>
      <c r="L83" s="337">
        <v>0</v>
      </c>
      <c r="M83" s="337"/>
      <c r="N83" s="337">
        <v>0</v>
      </c>
      <c r="O83" s="337"/>
      <c r="P83" s="337"/>
      <c r="Q83" s="337"/>
      <c r="R83" s="337"/>
      <c r="S83" s="337"/>
      <c r="T83" s="337"/>
      <c r="U83" s="337"/>
      <c r="V83" s="337">
        <v>0</v>
      </c>
      <c r="W83" s="289"/>
      <c r="X83" s="5"/>
    </row>
    <row r="84" spans="1:24" ht="15.75" x14ac:dyDescent="0.25">
      <c r="A84" s="285"/>
      <c r="B84" s="286" t="s">
        <v>26</v>
      </c>
      <c r="C84" s="337"/>
      <c r="D84" s="337"/>
      <c r="E84" s="337"/>
      <c r="F84" s="337"/>
      <c r="G84" s="337"/>
      <c r="H84" s="337"/>
      <c r="I84" s="337"/>
      <c r="J84" s="337"/>
      <c r="K84" s="337"/>
      <c r="L84" s="337">
        <f>SUM(L71:L83)</f>
        <v>1001133</v>
      </c>
      <c r="M84" s="337"/>
      <c r="N84" s="337">
        <f>SUM(N71:N83)</f>
        <v>854475</v>
      </c>
      <c r="O84" s="337"/>
      <c r="P84" s="337"/>
      <c r="Q84" s="337"/>
      <c r="R84" s="337"/>
      <c r="S84" s="337"/>
      <c r="T84" s="337"/>
      <c r="U84" s="337"/>
      <c r="V84" s="337">
        <f>SUM(V71:V83)</f>
        <v>850414</v>
      </c>
      <c r="W84" s="289"/>
      <c r="X84" s="5"/>
    </row>
    <row r="85" spans="1:24" ht="15.75" x14ac:dyDescent="0.25">
      <c r="A85" s="181"/>
      <c r="B85" s="212"/>
      <c r="C85" s="335"/>
      <c r="D85" s="335"/>
      <c r="E85" s="335"/>
      <c r="F85" s="335"/>
      <c r="G85" s="335"/>
      <c r="H85" s="335"/>
      <c r="I85" s="335"/>
      <c r="J85" s="335"/>
      <c r="K85" s="335"/>
      <c r="L85" s="335"/>
      <c r="M85" s="335"/>
      <c r="N85" s="335"/>
      <c r="O85" s="335"/>
      <c r="P85" s="335"/>
      <c r="Q85" s="335"/>
      <c r="R85" s="335"/>
      <c r="S85" s="335"/>
      <c r="T85" s="335"/>
      <c r="U85" s="335"/>
      <c r="V85" s="336"/>
      <c r="W85" s="212"/>
      <c r="X85" s="5"/>
    </row>
    <row r="86" spans="1:24" ht="15.75" x14ac:dyDescent="0.25">
      <c r="A86" s="181"/>
      <c r="B86" s="183"/>
      <c r="C86" s="183"/>
      <c r="D86" s="183"/>
      <c r="E86" s="183"/>
      <c r="F86" s="183"/>
      <c r="G86" s="183"/>
      <c r="H86" s="183"/>
      <c r="I86" s="183"/>
      <c r="J86" s="183"/>
      <c r="K86" s="183"/>
      <c r="L86" s="183"/>
      <c r="M86" s="183"/>
      <c r="N86" s="183"/>
      <c r="O86" s="183"/>
      <c r="P86" s="183"/>
      <c r="Q86" s="183"/>
      <c r="R86" s="183"/>
      <c r="S86" s="183"/>
      <c r="T86" s="183"/>
      <c r="U86" s="183"/>
      <c r="V86" s="183"/>
      <c r="W86" s="183"/>
      <c r="X86" s="5"/>
    </row>
    <row r="87" spans="1:24" ht="15.75" x14ac:dyDescent="0.25">
      <c r="A87" s="224"/>
      <c r="B87" s="232" t="s">
        <v>27</v>
      </c>
      <c r="C87" s="232"/>
      <c r="D87" s="232"/>
      <c r="E87" s="232"/>
      <c r="F87" s="232"/>
      <c r="G87" s="232"/>
      <c r="H87" s="233"/>
      <c r="I87" s="233"/>
      <c r="J87" s="233"/>
      <c r="K87" s="233"/>
      <c r="L87" s="234" t="s">
        <v>95</v>
      </c>
      <c r="M87" s="233"/>
      <c r="N87" s="235">
        <f>+T201</f>
        <v>40512</v>
      </c>
      <c r="O87" s="233"/>
      <c r="P87" s="233"/>
      <c r="Q87" s="233"/>
      <c r="R87" s="233"/>
      <c r="S87" s="233"/>
      <c r="T87" s="233" t="s">
        <v>107</v>
      </c>
      <c r="U87" s="233"/>
      <c r="V87" s="233" t="s">
        <v>113</v>
      </c>
      <c r="W87" s="225"/>
      <c r="X87" s="5"/>
    </row>
    <row r="88" spans="1:24" ht="15.75" x14ac:dyDescent="0.25">
      <c r="A88" s="248"/>
      <c r="B88" s="250" t="s">
        <v>28</v>
      </c>
      <c r="C88" s="194"/>
      <c r="D88" s="194"/>
      <c r="E88" s="194"/>
      <c r="F88" s="194"/>
      <c r="G88" s="194"/>
      <c r="H88" s="194"/>
      <c r="I88" s="194"/>
      <c r="J88" s="194"/>
      <c r="K88" s="194"/>
      <c r="L88" s="194"/>
      <c r="M88" s="194"/>
      <c r="N88" s="194"/>
      <c r="O88" s="194"/>
      <c r="P88" s="194"/>
      <c r="Q88" s="194"/>
      <c r="R88" s="194"/>
      <c r="S88" s="194"/>
      <c r="T88" s="249">
        <v>0</v>
      </c>
      <c r="U88" s="250"/>
      <c r="V88" s="253">
        <v>0</v>
      </c>
      <c r="W88" s="194"/>
      <c r="X88" s="5"/>
    </row>
    <row r="89" spans="1:24" ht="15.75" x14ac:dyDescent="0.25">
      <c r="A89" s="295"/>
      <c r="B89" s="286" t="s">
        <v>29</v>
      </c>
      <c r="C89" s="314"/>
      <c r="D89" s="314"/>
      <c r="E89" s="314"/>
      <c r="F89" s="314"/>
      <c r="G89" s="314"/>
      <c r="H89" s="339"/>
      <c r="I89" s="339"/>
      <c r="J89" s="339"/>
      <c r="K89" s="340"/>
      <c r="L89" s="339"/>
      <c r="M89" s="314"/>
      <c r="N89" s="341"/>
      <c r="O89" s="314"/>
      <c r="P89" s="314"/>
      <c r="Q89" s="314"/>
      <c r="R89" s="314"/>
      <c r="S89" s="314"/>
      <c r="T89" s="337">
        <f>4123-300</f>
        <v>3823</v>
      </c>
      <c r="U89" s="286"/>
      <c r="V89" s="338"/>
      <c r="W89" s="318"/>
      <c r="X89" s="5"/>
    </row>
    <row r="90" spans="1:24" ht="15.75" x14ac:dyDescent="0.25">
      <c r="A90" s="295"/>
      <c r="B90" s="286" t="s">
        <v>215</v>
      </c>
      <c r="C90" s="314"/>
      <c r="D90" s="314"/>
      <c r="E90" s="314"/>
      <c r="F90" s="314"/>
      <c r="G90" s="314"/>
      <c r="H90" s="339"/>
      <c r="I90" s="339"/>
      <c r="J90" s="339"/>
      <c r="K90" s="340"/>
      <c r="L90" s="339"/>
      <c r="M90" s="314"/>
      <c r="N90" s="341"/>
      <c r="O90" s="314"/>
      <c r="P90" s="314"/>
      <c r="Q90" s="314"/>
      <c r="R90" s="314"/>
      <c r="S90" s="314"/>
      <c r="T90" s="337"/>
      <c r="U90" s="286"/>
      <c r="V90" s="338">
        <f>3487+3078-322-315+19</f>
        <v>5947</v>
      </c>
      <c r="W90" s="318"/>
      <c r="X90" s="5"/>
    </row>
    <row r="91" spans="1:24" ht="15.75" x14ac:dyDescent="0.25">
      <c r="A91" s="295"/>
      <c r="B91" s="286" t="s">
        <v>210</v>
      </c>
      <c r="C91" s="314"/>
      <c r="D91" s="314"/>
      <c r="E91" s="314"/>
      <c r="F91" s="314"/>
      <c r="G91" s="314"/>
      <c r="H91" s="339"/>
      <c r="I91" s="339"/>
      <c r="J91" s="339"/>
      <c r="K91" s="340"/>
      <c r="L91" s="339"/>
      <c r="M91" s="314"/>
      <c r="N91" s="341"/>
      <c r="O91" s="314"/>
      <c r="P91" s="314"/>
      <c r="Q91" s="314"/>
      <c r="R91" s="314"/>
      <c r="S91" s="314"/>
      <c r="T91" s="337"/>
      <c r="U91" s="286"/>
      <c r="V91" s="338">
        <f>52+34</f>
        <v>86</v>
      </c>
      <c r="W91" s="318"/>
      <c r="X91" s="5"/>
    </row>
    <row r="92" spans="1:24" ht="15.75" x14ac:dyDescent="0.25">
      <c r="A92" s="295"/>
      <c r="B92" s="286" t="s">
        <v>211</v>
      </c>
      <c r="C92" s="314"/>
      <c r="D92" s="314"/>
      <c r="E92" s="314"/>
      <c r="F92" s="314"/>
      <c r="G92" s="314"/>
      <c r="H92" s="339"/>
      <c r="I92" s="339"/>
      <c r="J92" s="339"/>
      <c r="K92" s="340"/>
      <c r="L92" s="339"/>
      <c r="M92" s="314"/>
      <c r="N92" s="341"/>
      <c r="O92" s="314"/>
      <c r="P92" s="314"/>
      <c r="Q92" s="314"/>
      <c r="R92" s="314"/>
      <c r="S92" s="314"/>
      <c r="T92" s="337"/>
      <c r="U92" s="286"/>
      <c r="V92" s="338">
        <v>40</v>
      </c>
      <c r="W92" s="318"/>
      <c r="X92" s="5"/>
    </row>
    <row r="93" spans="1:24" ht="15.75" x14ac:dyDescent="0.25">
      <c r="A93" s="295"/>
      <c r="B93" s="286" t="s">
        <v>233</v>
      </c>
      <c r="C93" s="314"/>
      <c r="D93" s="314"/>
      <c r="E93" s="314"/>
      <c r="F93" s="314"/>
      <c r="G93" s="314"/>
      <c r="H93" s="339"/>
      <c r="I93" s="339"/>
      <c r="J93" s="339"/>
      <c r="K93" s="340"/>
      <c r="L93" s="339"/>
      <c r="M93" s="314"/>
      <c r="N93" s="341"/>
      <c r="O93" s="314"/>
      <c r="P93" s="314"/>
      <c r="Q93" s="314"/>
      <c r="R93" s="314"/>
      <c r="S93" s="314"/>
      <c r="T93" s="337"/>
      <c r="U93" s="286"/>
      <c r="V93" s="338">
        <v>0</v>
      </c>
      <c r="W93" s="318"/>
      <c r="X93" s="5"/>
    </row>
    <row r="94" spans="1:24" ht="15.75" x14ac:dyDescent="0.25">
      <c r="A94" s="295"/>
      <c r="B94" s="286" t="s">
        <v>235</v>
      </c>
      <c r="C94" s="314"/>
      <c r="D94" s="314"/>
      <c r="E94" s="314"/>
      <c r="F94" s="314"/>
      <c r="G94" s="314"/>
      <c r="H94" s="339"/>
      <c r="I94" s="339"/>
      <c r="J94" s="339"/>
      <c r="K94" s="340"/>
      <c r="L94" s="339"/>
      <c r="M94" s="314"/>
      <c r="N94" s="341"/>
      <c r="O94" s="314"/>
      <c r="P94" s="314"/>
      <c r="Q94" s="314"/>
      <c r="R94" s="314"/>
      <c r="S94" s="314"/>
      <c r="T94" s="337"/>
      <c r="U94" s="286"/>
      <c r="V94" s="338">
        <v>0</v>
      </c>
      <c r="W94" s="318"/>
      <c r="X94" s="5"/>
    </row>
    <row r="95" spans="1:24" ht="15.75" x14ac:dyDescent="0.25">
      <c r="A95" s="295"/>
      <c r="B95" s="286" t="s">
        <v>135</v>
      </c>
      <c r="C95" s="314"/>
      <c r="D95" s="314"/>
      <c r="E95" s="314"/>
      <c r="F95" s="314"/>
      <c r="G95" s="314"/>
      <c r="H95" s="314"/>
      <c r="I95" s="314"/>
      <c r="J95" s="314"/>
      <c r="K95" s="314"/>
      <c r="L95" s="314"/>
      <c r="M95" s="314"/>
      <c r="N95" s="314"/>
      <c r="O95" s="314"/>
      <c r="P95" s="314"/>
      <c r="Q95" s="314"/>
      <c r="R95" s="314"/>
      <c r="S95" s="314"/>
      <c r="T95" s="337"/>
      <c r="U95" s="286"/>
      <c r="V95" s="338">
        <v>0</v>
      </c>
      <c r="W95" s="318"/>
      <c r="X95" s="5"/>
    </row>
    <row r="96" spans="1:24" ht="15.75" x14ac:dyDescent="0.25">
      <c r="A96" s="295"/>
      <c r="B96" s="286" t="s">
        <v>272</v>
      </c>
      <c r="C96" s="314"/>
      <c r="D96" s="314"/>
      <c r="E96" s="314"/>
      <c r="F96" s="314"/>
      <c r="G96" s="314"/>
      <c r="H96" s="314"/>
      <c r="I96" s="314"/>
      <c r="J96" s="314"/>
      <c r="K96" s="314"/>
      <c r="L96" s="314"/>
      <c r="M96" s="314"/>
      <c r="N96" s="314"/>
      <c r="O96" s="314"/>
      <c r="P96" s="314"/>
      <c r="Q96" s="314"/>
      <c r="R96" s="314"/>
      <c r="S96" s="314"/>
      <c r="T96" s="337"/>
      <c r="U96" s="286"/>
      <c r="V96" s="338">
        <v>0</v>
      </c>
      <c r="W96" s="318"/>
      <c r="X96" s="5"/>
    </row>
    <row r="97" spans="1:25" ht="15.75" x14ac:dyDescent="0.25">
      <c r="A97" s="295"/>
      <c r="B97" s="286" t="s">
        <v>30</v>
      </c>
      <c r="C97" s="314"/>
      <c r="D97" s="314"/>
      <c r="E97" s="314"/>
      <c r="F97" s="314"/>
      <c r="G97" s="314"/>
      <c r="H97" s="314"/>
      <c r="I97" s="314"/>
      <c r="J97" s="314"/>
      <c r="K97" s="314"/>
      <c r="L97" s="314"/>
      <c r="M97" s="314"/>
      <c r="N97" s="314"/>
      <c r="O97" s="314"/>
      <c r="P97" s="314"/>
      <c r="Q97" s="314"/>
      <c r="R97" s="314"/>
      <c r="S97" s="314"/>
      <c r="T97" s="337">
        <f>SUM(T88:T96)</f>
        <v>3823</v>
      </c>
      <c r="U97" s="286"/>
      <c r="V97" s="337">
        <f>SUM(V88:V96)</f>
        <v>6073</v>
      </c>
      <c r="W97" s="318"/>
      <c r="X97" s="5"/>
    </row>
    <row r="98" spans="1:25" ht="15.75" x14ac:dyDescent="0.25">
      <c r="A98" s="295"/>
      <c r="B98" s="286" t="s">
        <v>161</v>
      </c>
      <c r="C98" s="314"/>
      <c r="D98" s="314"/>
      <c r="E98" s="314"/>
      <c r="F98" s="314"/>
      <c r="G98" s="314"/>
      <c r="H98" s="314"/>
      <c r="I98" s="314"/>
      <c r="J98" s="314"/>
      <c r="K98" s="314"/>
      <c r="L98" s="314"/>
      <c r="M98" s="314"/>
      <c r="N98" s="314"/>
      <c r="O98" s="314"/>
      <c r="P98" s="314"/>
      <c r="Q98" s="314"/>
      <c r="R98" s="314"/>
      <c r="S98" s="314"/>
      <c r="T98" s="337">
        <f>-V98</f>
        <v>-16</v>
      </c>
      <c r="U98" s="286"/>
      <c r="V98" s="337">
        <v>16</v>
      </c>
      <c r="W98" s="318"/>
      <c r="X98" s="5"/>
    </row>
    <row r="99" spans="1:25" ht="15.75" x14ac:dyDescent="0.25">
      <c r="A99" s="295"/>
      <c r="B99" s="286" t="s">
        <v>31</v>
      </c>
      <c r="C99" s="314"/>
      <c r="D99" s="314"/>
      <c r="E99" s="314"/>
      <c r="F99" s="314"/>
      <c r="G99" s="314"/>
      <c r="H99" s="314"/>
      <c r="I99" s="314"/>
      <c r="J99" s="314"/>
      <c r="K99" s="314"/>
      <c r="L99" s="314"/>
      <c r="M99" s="314"/>
      <c r="N99" s="314"/>
      <c r="O99" s="314"/>
      <c r="P99" s="314"/>
      <c r="Q99" s="314"/>
      <c r="R99" s="314"/>
      <c r="S99" s="314"/>
      <c r="T99" s="337">
        <f>-V99</f>
        <v>0</v>
      </c>
      <c r="U99" s="286"/>
      <c r="V99" s="338">
        <v>0</v>
      </c>
      <c r="W99" s="318"/>
      <c r="X99" s="5"/>
    </row>
    <row r="100" spans="1:25" ht="15.75" x14ac:dyDescent="0.25">
      <c r="A100" s="295"/>
      <c r="B100" s="286" t="s">
        <v>274</v>
      </c>
      <c r="C100" s="314"/>
      <c r="D100" s="314"/>
      <c r="E100" s="314"/>
      <c r="F100" s="314"/>
      <c r="G100" s="314"/>
      <c r="H100" s="314"/>
      <c r="I100" s="314"/>
      <c r="J100" s="314"/>
      <c r="K100" s="314"/>
      <c r="L100" s="314"/>
      <c r="M100" s="314"/>
      <c r="N100" s="314"/>
      <c r="O100" s="314"/>
      <c r="P100" s="314"/>
      <c r="Q100" s="314"/>
      <c r="R100" s="314"/>
      <c r="S100" s="314"/>
      <c r="T100" s="337"/>
      <c r="U100" s="286"/>
      <c r="V100" s="338">
        <v>-321</v>
      </c>
      <c r="W100" s="318"/>
      <c r="X100" s="5"/>
    </row>
    <row r="101" spans="1:25" ht="15.75" x14ac:dyDescent="0.25">
      <c r="A101" s="295"/>
      <c r="B101" s="286" t="s">
        <v>32</v>
      </c>
      <c r="C101" s="314"/>
      <c r="D101" s="314"/>
      <c r="E101" s="314"/>
      <c r="F101" s="314"/>
      <c r="G101" s="314"/>
      <c r="H101" s="314"/>
      <c r="I101" s="314"/>
      <c r="J101" s="314"/>
      <c r="K101" s="314"/>
      <c r="L101" s="314"/>
      <c r="M101" s="314"/>
      <c r="N101" s="314"/>
      <c r="O101" s="314"/>
      <c r="P101" s="314"/>
      <c r="Q101" s="314"/>
      <c r="R101" s="314"/>
      <c r="S101" s="314"/>
      <c r="T101" s="337">
        <f>T97+T99+T98</f>
        <v>3807</v>
      </c>
      <c r="U101" s="286"/>
      <c r="V101" s="337">
        <f>V97+V99+V98+V100</f>
        <v>5768</v>
      </c>
      <c r="W101" s="318"/>
      <c r="X101" s="5"/>
    </row>
    <row r="102" spans="1:25" ht="15.75" x14ac:dyDescent="0.25">
      <c r="A102" s="285"/>
      <c r="B102" s="342" t="s">
        <v>33</v>
      </c>
      <c r="C102" s="314"/>
      <c r="D102" s="314"/>
      <c r="E102" s="314"/>
      <c r="F102" s="314"/>
      <c r="G102" s="314"/>
      <c r="H102" s="314"/>
      <c r="I102" s="314"/>
      <c r="J102" s="314"/>
      <c r="K102" s="314"/>
      <c r="L102" s="314"/>
      <c r="M102" s="314"/>
      <c r="N102" s="314"/>
      <c r="O102" s="314"/>
      <c r="P102" s="314"/>
      <c r="Q102" s="314"/>
      <c r="R102" s="314"/>
      <c r="S102" s="314"/>
      <c r="T102" s="337"/>
      <c r="U102" s="286"/>
      <c r="V102" s="338"/>
      <c r="W102" s="318"/>
      <c r="X102" s="5"/>
    </row>
    <row r="103" spans="1:25" ht="15.75" x14ac:dyDescent="0.25">
      <c r="A103" s="295">
        <v>1</v>
      </c>
      <c r="B103" s="286" t="s">
        <v>34</v>
      </c>
      <c r="C103" s="286"/>
      <c r="D103" s="286"/>
      <c r="E103" s="314"/>
      <c r="F103" s="314"/>
      <c r="G103" s="314"/>
      <c r="H103" s="314"/>
      <c r="I103" s="314"/>
      <c r="J103" s="314"/>
      <c r="K103" s="314"/>
      <c r="L103" s="314"/>
      <c r="M103" s="314"/>
      <c r="N103" s="314"/>
      <c r="O103" s="314"/>
      <c r="P103" s="314"/>
      <c r="Q103" s="314"/>
      <c r="R103" s="314"/>
      <c r="S103" s="314"/>
      <c r="T103" s="286"/>
      <c r="U103" s="286"/>
      <c r="V103" s="338">
        <v>0</v>
      </c>
      <c r="W103" s="318"/>
      <c r="X103" s="5"/>
    </row>
    <row r="104" spans="1:25" ht="15.75" x14ac:dyDescent="0.25">
      <c r="A104" s="295">
        <f>+A103+1</f>
        <v>2</v>
      </c>
      <c r="B104" s="286" t="s">
        <v>221</v>
      </c>
      <c r="C104" s="286"/>
      <c r="D104" s="286"/>
      <c r="E104" s="314"/>
      <c r="F104" s="314"/>
      <c r="G104" s="314"/>
      <c r="H104" s="314"/>
      <c r="I104" s="314"/>
      <c r="J104" s="314"/>
      <c r="K104" s="314"/>
      <c r="L104" s="314"/>
      <c r="M104" s="314"/>
      <c r="N104" s="314"/>
      <c r="O104" s="314"/>
      <c r="P104" s="314"/>
      <c r="Q104" s="314"/>
      <c r="R104" s="314"/>
      <c r="S104" s="314"/>
      <c r="T104" s="286"/>
      <c r="U104" s="286"/>
      <c r="V104" s="338">
        <v>-2</v>
      </c>
      <c r="W104" s="318"/>
      <c r="X104" s="5"/>
    </row>
    <row r="105" spans="1:25" ht="15.75" x14ac:dyDescent="0.25">
      <c r="A105" s="295">
        <f>+A104+1</f>
        <v>3</v>
      </c>
      <c r="B105" s="286" t="s">
        <v>204</v>
      </c>
      <c r="C105" s="286"/>
      <c r="D105" s="286"/>
      <c r="E105" s="314"/>
      <c r="F105" s="314"/>
      <c r="G105" s="314"/>
      <c r="H105" s="314"/>
      <c r="I105" s="314"/>
      <c r="J105" s="314"/>
      <c r="K105" s="314"/>
      <c r="L105" s="314"/>
      <c r="M105" s="314"/>
      <c r="N105" s="314"/>
      <c r="O105" s="314"/>
      <c r="P105" s="314"/>
      <c r="Q105" s="314"/>
      <c r="R105" s="314"/>
      <c r="S105" s="314"/>
      <c r="T105" s="286"/>
      <c r="U105" s="286"/>
      <c r="V105" s="338">
        <f>-321-199-10</f>
        <v>-530</v>
      </c>
      <c r="W105" s="318"/>
      <c r="X105" s="5"/>
    </row>
    <row r="106" spans="1:25" ht="15.75" x14ac:dyDescent="0.25">
      <c r="A106" s="295" t="s">
        <v>127</v>
      </c>
      <c r="B106" s="286" t="s">
        <v>116</v>
      </c>
      <c r="C106" s="286"/>
      <c r="D106" s="286"/>
      <c r="E106" s="314"/>
      <c r="F106" s="314"/>
      <c r="G106" s="314"/>
      <c r="H106" s="314"/>
      <c r="I106" s="314"/>
      <c r="J106" s="314"/>
      <c r="K106" s="314"/>
      <c r="L106" s="314"/>
      <c r="M106" s="314"/>
      <c r="N106" s="314"/>
      <c r="O106" s="314"/>
      <c r="P106" s="314"/>
      <c r="Q106" s="314"/>
      <c r="R106" s="314"/>
      <c r="S106" s="314"/>
      <c r="T106" s="286"/>
      <c r="U106" s="286"/>
      <c r="V106" s="338">
        <v>-233</v>
      </c>
      <c r="W106" s="318"/>
      <c r="X106" s="5"/>
    </row>
    <row r="107" spans="1:25" ht="15.75" x14ac:dyDescent="0.25">
      <c r="A107" s="295" t="s">
        <v>128</v>
      </c>
      <c r="B107" s="286" t="s">
        <v>220</v>
      </c>
      <c r="C107" s="286"/>
      <c r="D107" s="286"/>
      <c r="E107" s="314"/>
      <c r="F107" s="314"/>
      <c r="G107" s="314"/>
      <c r="H107" s="314"/>
      <c r="I107" s="314"/>
      <c r="J107" s="314"/>
      <c r="K107" s="314"/>
      <c r="L107" s="314"/>
      <c r="M107" s="314"/>
      <c r="N107" s="314"/>
      <c r="O107" s="314"/>
      <c r="P107" s="314"/>
      <c r="Q107" s="314"/>
      <c r="R107" s="314"/>
      <c r="S107" s="314"/>
      <c r="T107" s="286"/>
      <c r="U107" s="286"/>
      <c r="V107" s="338">
        <f>-1482+369</f>
        <v>-1113</v>
      </c>
      <c r="W107" s="318"/>
      <c r="X107" s="5"/>
      <c r="Y107" s="109"/>
    </row>
    <row r="108" spans="1:25" ht="15.75" x14ac:dyDescent="0.25">
      <c r="A108" s="295" t="s">
        <v>150</v>
      </c>
      <c r="B108" s="286" t="s">
        <v>184</v>
      </c>
      <c r="C108" s="286"/>
      <c r="D108" s="286"/>
      <c r="E108" s="314"/>
      <c r="F108" s="314"/>
      <c r="G108" s="314"/>
      <c r="H108" s="314"/>
      <c r="I108" s="314"/>
      <c r="J108" s="314"/>
      <c r="K108" s="314"/>
      <c r="L108" s="314"/>
      <c r="M108" s="314"/>
      <c r="N108" s="314"/>
      <c r="O108" s="314"/>
      <c r="P108" s="314"/>
      <c r="Q108" s="314"/>
      <c r="R108" s="314"/>
      <c r="S108" s="314"/>
      <c r="T108" s="286"/>
      <c r="U108" s="286"/>
      <c r="V108" s="338">
        <v>-369</v>
      </c>
      <c r="W108" s="318"/>
      <c r="X108" s="5"/>
      <c r="Y108" s="109"/>
    </row>
    <row r="109" spans="1:25" ht="15.75" x14ac:dyDescent="0.25">
      <c r="A109" s="295" t="s">
        <v>205</v>
      </c>
      <c r="B109" s="286" t="s">
        <v>185</v>
      </c>
      <c r="C109" s="286"/>
      <c r="D109" s="286"/>
      <c r="E109" s="314"/>
      <c r="F109" s="314"/>
      <c r="G109" s="314"/>
      <c r="H109" s="314"/>
      <c r="I109" s="314"/>
      <c r="J109" s="314"/>
      <c r="K109" s="314"/>
      <c r="L109" s="314"/>
      <c r="M109" s="314"/>
      <c r="N109" s="314"/>
      <c r="O109" s="314"/>
      <c r="P109" s="314"/>
      <c r="Q109" s="314"/>
      <c r="R109" s="314"/>
      <c r="S109" s="314"/>
      <c r="T109" s="286"/>
      <c r="U109" s="286"/>
      <c r="V109" s="338">
        <v>-149</v>
      </c>
      <c r="W109" s="318"/>
      <c r="X109" s="5"/>
      <c r="Y109" s="109"/>
    </row>
    <row r="110" spans="1:25" ht="15.75" x14ac:dyDescent="0.25">
      <c r="A110" s="295" t="s">
        <v>206</v>
      </c>
      <c r="B110" s="286" t="s">
        <v>186</v>
      </c>
      <c r="C110" s="286"/>
      <c r="D110" s="286"/>
      <c r="E110" s="314"/>
      <c r="F110" s="314"/>
      <c r="G110" s="314"/>
      <c r="H110" s="314"/>
      <c r="I110" s="314"/>
      <c r="J110" s="314"/>
      <c r="K110" s="314"/>
      <c r="L110" s="314"/>
      <c r="M110" s="314"/>
      <c r="N110" s="314"/>
      <c r="O110" s="314"/>
      <c r="P110" s="314"/>
      <c r="Q110" s="314"/>
      <c r="R110" s="314"/>
      <c r="S110" s="314"/>
      <c r="T110" s="286"/>
      <c r="U110" s="286"/>
      <c r="V110" s="338">
        <v>-42</v>
      </c>
      <c r="W110" s="318"/>
      <c r="X110" s="5"/>
      <c r="Y110" s="109"/>
    </row>
    <row r="111" spans="1:25" ht="15.75" x14ac:dyDescent="0.25">
      <c r="A111" s="295">
        <v>6</v>
      </c>
      <c r="B111" s="286" t="s">
        <v>196</v>
      </c>
      <c r="C111" s="286"/>
      <c r="D111" s="286"/>
      <c r="E111" s="314"/>
      <c r="F111" s="314"/>
      <c r="G111" s="314"/>
      <c r="H111" s="314"/>
      <c r="I111" s="314"/>
      <c r="J111" s="314"/>
      <c r="K111" s="314"/>
      <c r="L111" s="314"/>
      <c r="M111" s="314"/>
      <c r="N111" s="314"/>
      <c r="O111" s="314"/>
      <c r="P111" s="314"/>
      <c r="Q111" s="314"/>
      <c r="R111" s="314"/>
      <c r="S111" s="314"/>
      <c r="T111" s="286"/>
      <c r="U111" s="286"/>
      <c r="V111" s="338">
        <v>-251</v>
      </c>
      <c r="W111" s="318"/>
      <c r="X111" s="5"/>
      <c r="Y111" s="109"/>
    </row>
    <row r="112" spans="1:25" ht="15.75" x14ac:dyDescent="0.25">
      <c r="A112" s="295">
        <v>7</v>
      </c>
      <c r="B112" s="286" t="s">
        <v>35</v>
      </c>
      <c r="C112" s="286"/>
      <c r="D112" s="286"/>
      <c r="E112" s="314"/>
      <c r="F112" s="314"/>
      <c r="G112" s="314"/>
      <c r="H112" s="314"/>
      <c r="I112" s="314"/>
      <c r="J112" s="314"/>
      <c r="K112" s="314"/>
      <c r="L112" s="314"/>
      <c r="M112" s="314"/>
      <c r="N112" s="314"/>
      <c r="O112" s="314"/>
      <c r="P112" s="314"/>
      <c r="Q112" s="314"/>
      <c r="R112" s="314"/>
      <c r="S112" s="314"/>
      <c r="T112" s="286"/>
      <c r="U112" s="286"/>
      <c r="V112" s="338">
        <v>-9</v>
      </c>
      <c r="W112" s="318"/>
      <c r="X112" s="5"/>
    </row>
    <row r="113" spans="1:24" ht="15.75" x14ac:dyDescent="0.25">
      <c r="A113" s="295">
        <f t="shared" ref="A113:A118" si="0">+A112+1</f>
        <v>8</v>
      </c>
      <c r="B113" s="286" t="s">
        <v>45</v>
      </c>
      <c r="C113" s="286"/>
      <c r="D113" s="286"/>
      <c r="E113" s="314"/>
      <c r="F113" s="314"/>
      <c r="G113" s="314"/>
      <c r="H113" s="314"/>
      <c r="I113" s="314"/>
      <c r="J113" s="314"/>
      <c r="K113" s="314"/>
      <c r="L113" s="314"/>
      <c r="M113" s="314"/>
      <c r="N113" s="314"/>
      <c r="O113" s="314"/>
      <c r="P113" s="314"/>
      <c r="Q113" s="314"/>
      <c r="R113" s="314"/>
      <c r="S113" s="314"/>
      <c r="T113" s="337">
        <f>-V113</f>
        <v>300</v>
      </c>
      <c r="U113" s="286"/>
      <c r="V113" s="338">
        <v>-300</v>
      </c>
      <c r="W113" s="318"/>
      <c r="X113" s="5"/>
    </row>
    <row r="114" spans="1:24" ht="15.75" x14ac:dyDescent="0.25">
      <c r="A114" s="295">
        <f t="shared" si="0"/>
        <v>9</v>
      </c>
      <c r="B114" s="286" t="s">
        <v>125</v>
      </c>
      <c r="C114" s="286"/>
      <c r="D114" s="286"/>
      <c r="E114" s="314"/>
      <c r="F114" s="314"/>
      <c r="G114" s="314"/>
      <c r="H114" s="314"/>
      <c r="I114" s="314"/>
      <c r="J114" s="314"/>
      <c r="K114" s="314"/>
      <c r="L114" s="314"/>
      <c r="M114" s="314"/>
      <c r="N114" s="314"/>
      <c r="O114" s="314"/>
      <c r="P114" s="314"/>
      <c r="Q114" s="314"/>
      <c r="R114" s="314"/>
      <c r="S114" s="314"/>
      <c r="T114" s="286"/>
      <c r="U114" s="286"/>
      <c r="V114" s="338">
        <v>0</v>
      </c>
      <c r="W114" s="318"/>
      <c r="X114" s="5"/>
    </row>
    <row r="115" spans="1:24" ht="15.75" x14ac:dyDescent="0.25">
      <c r="A115" s="295">
        <f t="shared" si="0"/>
        <v>10</v>
      </c>
      <c r="B115" s="286" t="s">
        <v>225</v>
      </c>
      <c r="C115" s="286"/>
      <c r="D115" s="286"/>
      <c r="E115" s="314"/>
      <c r="F115" s="314"/>
      <c r="G115" s="314"/>
      <c r="H115" s="314"/>
      <c r="I115" s="314"/>
      <c r="J115" s="314"/>
      <c r="K115" s="314"/>
      <c r="L115" s="314"/>
      <c r="M115" s="314"/>
      <c r="N115" s="314"/>
      <c r="O115" s="314"/>
      <c r="P115" s="314"/>
      <c r="Q115" s="314"/>
      <c r="R115" s="314"/>
      <c r="S115" s="314"/>
      <c r="T115" s="286"/>
      <c r="U115" s="286"/>
      <c r="V115" s="338">
        <v>0</v>
      </c>
      <c r="W115" s="318"/>
      <c r="X115" s="5"/>
    </row>
    <row r="116" spans="1:24" ht="15.75" x14ac:dyDescent="0.25">
      <c r="A116" s="295">
        <f t="shared" si="0"/>
        <v>11</v>
      </c>
      <c r="B116" s="286" t="s">
        <v>36</v>
      </c>
      <c r="C116" s="286"/>
      <c r="D116" s="286"/>
      <c r="E116" s="314"/>
      <c r="F116" s="314"/>
      <c r="G116" s="314"/>
      <c r="H116" s="314"/>
      <c r="I116" s="314"/>
      <c r="J116" s="314"/>
      <c r="K116" s="314"/>
      <c r="L116" s="314"/>
      <c r="M116" s="314"/>
      <c r="N116" s="314"/>
      <c r="O116" s="314"/>
      <c r="P116" s="314"/>
      <c r="Q116" s="314"/>
      <c r="R116" s="314"/>
      <c r="S116" s="314"/>
      <c r="T116" s="286"/>
      <c r="U116" s="286"/>
      <c r="V116" s="338">
        <v>0</v>
      </c>
      <c r="W116" s="318"/>
      <c r="X116" s="5"/>
    </row>
    <row r="117" spans="1:24" ht="15.75" x14ac:dyDescent="0.25">
      <c r="A117" s="295">
        <f t="shared" si="0"/>
        <v>12</v>
      </c>
      <c r="B117" s="286" t="s">
        <v>149</v>
      </c>
      <c r="C117" s="286"/>
      <c r="D117" s="286"/>
      <c r="E117" s="314"/>
      <c r="F117" s="314"/>
      <c r="G117" s="314"/>
      <c r="H117" s="314"/>
      <c r="I117" s="314"/>
      <c r="J117" s="314"/>
      <c r="K117" s="314"/>
      <c r="L117" s="314"/>
      <c r="M117" s="314"/>
      <c r="N117" s="314"/>
      <c r="O117" s="314"/>
      <c r="P117" s="314"/>
      <c r="Q117" s="314"/>
      <c r="R117" s="314"/>
      <c r="S117" s="314"/>
      <c r="T117" s="286"/>
      <c r="U117" s="286"/>
      <c r="V117" s="338">
        <v>-321</v>
      </c>
      <c r="W117" s="318"/>
      <c r="X117" s="5"/>
    </row>
    <row r="118" spans="1:24" ht="15.75" x14ac:dyDescent="0.25">
      <c r="A118" s="295">
        <f t="shared" si="0"/>
        <v>13</v>
      </c>
      <c r="B118" s="286" t="s">
        <v>126</v>
      </c>
      <c r="C118" s="286"/>
      <c r="D118" s="286"/>
      <c r="E118" s="314"/>
      <c r="F118" s="314"/>
      <c r="G118" s="314"/>
      <c r="H118" s="314"/>
      <c r="I118" s="314"/>
      <c r="J118" s="314"/>
      <c r="K118" s="314"/>
      <c r="L118" s="314"/>
      <c r="M118" s="314"/>
      <c r="N118" s="314"/>
      <c r="O118" s="314"/>
      <c r="P118" s="314"/>
      <c r="Q118" s="314"/>
      <c r="R118" s="314"/>
      <c r="S118" s="314"/>
      <c r="T118" s="286"/>
      <c r="U118" s="286"/>
      <c r="V118" s="338">
        <f>-V101-SUM(V103:V117)</f>
        <v>-2449</v>
      </c>
      <c r="W118" s="318"/>
      <c r="X118" s="5"/>
    </row>
    <row r="119" spans="1:24" ht="15.75" x14ac:dyDescent="0.25">
      <c r="A119" s="285"/>
      <c r="B119" s="342" t="s">
        <v>37</v>
      </c>
      <c r="C119" s="314"/>
      <c r="D119" s="314"/>
      <c r="E119" s="314"/>
      <c r="F119" s="314"/>
      <c r="G119" s="314"/>
      <c r="H119" s="314"/>
      <c r="I119" s="314"/>
      <c r="J119" s="314"/>
      <c r="K119" s="314"/>
      <c r="L119" s="314"/>
      <c r="M119" s="314"/>
      <c r="N119" s="314"/>
      <c r="O119" s="314"/>
      <c r="P119" s="314"/>
      <c r="Q119" s="314"/>
      <c r="R119" s="314"/>
      <c r="S119" s="314"/>
      <c r="T119" s="286"/>
      <c r="U119" s="286"/>
      <c r="V119" s="343"/>
      <c r="W119" s="318"/>
      <c r="X119" s="5"/>
    </row>
    <row r="120" spans="1:24" ht="15.75" x14ac:dyDescent="0.25">
      <c r="A120" s="285"/>
      <c r="B120" s="286" t="s">
        <v>173</v>
      </c>
      <c r="C120" s="314"/>
      <c r="D120" s="314"/>
      <c r="E120" s="314"/>
      <c r="F120" s="314"/>
      <c r="G120" s="314"/>
      <c r="H120" s="314"/>
      <c r="I120" s="314"/>
      <c r="J120" s="314"/>
      <c r="K120" s="314"/>
      <c r="L120" s="314"/>
      <c r="M120" s="314"/>
      <c r="N120" s="314"/>
      <c r="O120" s="314"/>
      <c r="P120" s="314"/>
      <c r="Q120" s="314"/>
      <c r="R120" s="314"/>
      <c r="S120" s="314"/>
      <c r="T120" s="337">
        <f>-T185</f>
        <v>0</v>
      </c>
      <c r="U120" s="337"/>
      <c r="V120" s="338"/>
      <c r="W120" s="318"/>
      <c r="X120" s="5"/>
    </row>
    <row r="121" spans="1:24" ht="15.75" x14ac:dyDescent="0.25">
      <c r="A121" s="285"/>
      <c r="B121" s="286" t="s">
        <v>174</v>
      </c>
      <c r="C121" s="314"/>
      <c r="D121" s="314"/>
      <c r="E121" s="314"/>
      <c r="F121" s="314"/>
      <c r="G121" s="314"/>
      <c r="H121" s="314"/>
      <c r="I121" s="314"/>
      <c r="J121" s="314"/>
      <c r="K121" s="314"/>
      <c r="L121" s="314"/>
      <c r="M121" s="314"/>
      <c r="N121" s="314"/>
      <c r="O121" s="314"/>
      <c r="P121" s="314"/>
      <c r="Q121" s="314"/>
      <c r="R121" s="314"/>
      <c r="S121" s="314"/>
      <c r="T121" s="337">
        <v>-2</v>
      </c>
      <c r="U121" s="337"/>
      <c r="V121" s="338"/>
      <c r="W121" s="318"/>
      <c r="X121" s="5"/>
    </row>
    <row r="122" spans="1:24" ht="15.75" x14ac:dyDescent="0.25">
      <c r="A122" s="285"/>
      <c r="B122" s="286" t="s">
        <v>38</v>
      </c>
      <c r="C122" s="314"/>
      <c r="D122" s="314"/>
      <c r="E122" s="314"/>
      <c r="F122" s="314"/>
      <c r="G122" s="314"/>
      <c r="H122" s="314"/>
      <c r="I122" s="314"/>
      <c r="J122" s="314"/>
      <c r="K122" s="314"/>
      <c r="L122" s="314"/>
      <c r="M122" s="314"/>
      <c r="N122" s="314"/>
      <c r="O122" s="314"/>
      <c r="P122" s="314"/>
      <c r="Q122" s="314"/>
      <c r="R122" s="314"/>
      <c r="S122" s="314"/>
      <c r="T122" s="337">
        <f>-S185</f>
        <v>-44</v>
      </c>
      <c r="U122" s="337"/>
      <c r="V122" s="338"/>
      <c r="W122" s="318"/>
      <c r="X122" s="5"/>
    </row>
    <row r="123" spans="1:24" ht="15.75" x14ac:dyDescent="0.25">
      <c r="A123" s="285"/>
      <c r="B123" s="286" t="s">
        <v>197</v>
      </c>
      <c r="C123" s="314"/>
      <c r="D123" s="314"/>
      <c r="E123" s="314"/>
      <c r="F123" s="314"/>
      <c r="G123" s="314"/>
      <c r="H123" s="314"/>
      <c r="I123" s="314"/>
      <c r="J123" s="314"/>
      <c r="K123" s="314"/>
      <c r="L123" s="314"/>
      <c r="M123" s="314"/>
      <c r="N123" s="314"/>
      <c r="O123" s="314"/>
      <c r="P123" s="314"/>
      <c r="Q123" s="314"/>
      <c r="R123" s="314"/>
      <c r="S123" s="314"/>
      <c r="T123" s="337">
        <v>-2352</v>
      </c>
      <c r="U123" s="337"/>
      <c r="V123" s="338"/>
      <c r="W123" s="318"/>
      <c r="X123" s="5"/>
    </row>
    <row r="124" spans="1:24" ht="15.75" x14ac:dyDescent="0.25">
      <c r="A124" s="285"/>
      <c r="B124" s="286" t="s">
        <v>195</v>
      </c>
      <c r="C124" s="314"/>
      <c r="D124" s="314"/>
      <c r="E124" s="314"/>
      <c r="F124" s="314"/>
      <c r="G124" s="314"/>
      <c r="H124" s="314"/>
      <c r="I124" s="314"/>
      <c r="J124" s="314"/>
      <c r="K124" s="314"/>
      <c r="L124" s="314"/>
      <c r="M124" s="314"/>
      <c r="N124" s="314"/>
      <c r="O124" s="314"/>
      <c r="P124" s="314"/>
      <c r="Q124" s="314"/>
      <c r="R124" s="314"/>
      <c r="S124" s="314"/>
      <c r="T124" s="337">
        <v>-1000</v>
      </c>
      <c r="U124" s="337"/>
      <c r="V124" s="338"/>
      <c r="W124" s="318"/>
      <c r="X124" s="5"/>
    </row>
    <row r="125" spans="1:24" ht="15.75" x14ac:dyDescent="0.25">
      <c r="A125" s="285"/>
      <c r="B125" s="286" t="s">
        <v>194</v>
      </c>
      <c r="C125" s="314"/>
      <c r="D125" s="314"/>
      <c r="E125" s="314"/>
      <c r="F125" s="314"/>
      <c r="G125" s="314"/>
      <c r="H125" s="314"/>
      <c r="I125" s="314"/>
      <c r="J125" s="314"/>
      <c r="K125" s="314"/>
      <c r="L125" s="314"/>
      <c r="M125" s="314"/>
      <c r="N125" s="314"/>
      <c r="O125" s="314"/>
      <c r="P125" s="314"/>
      <c r="Q125" s="314"/>
      <c r="R125" s="314"/>
      <c r="S125" s="314"/>
      <c r="T125" s="337">
        <v>-356</v>
      </c>
      <c r="U125" s="337"/>
      <c r="V125" s="338"/>
      <c r="W125" s="318"/>
      <c r="X125" s="5"/>
    </row>
    <row r="126" spans="1:24" ht="15.75" x14ac:dyDescent="0.25">
      <c r="A126" s="285"/>
      <c r="B126" s="286" t="s">
        <v>222</v>
      </c>
      <c r="C126" s="314"/>
      <c r="D126" s="314"/>
      <c r="E126" s="314"/>
      <c r="F126" s="314"/>
      <c r="G126" s="314"/>
      <c r="H126" s="314"/>
      <c r="I126" s="314"/>
      <c r="J126" s="314"/>
      <c r="K126" s="314"/>
      <c r="L126" s="314"/>
      <c r="M126" s="314"/>
      <c r="N126" s="314"/>
      <c r="O126" s="314"/>
      <c r="P126" s="314"/>
      <c r="Q126" s="314"/>
      <c r="R126" s="314"/>
      <c r="S126" s="314"/>
      <c r="T126" s="337">
        <v>-353</v>
      </c>
      <c r="U126" s="337"/>
      <c r="V126" s="338"/>
      <c r="W126" s="318"/>
      <c r="X126" s="5"/>
    </row>
    <row r="127" spans="1:24" ht="15.75" x14ac:dyDescent="0.25">
      <c r="A127" s="285"/>
      <c r="B127" s="286" t="s">
        <v>189</v>
      </c>
      <c r="C127" s="314"/>
      <c r="D127" s="314"/>
      <c r="E127" s="314"/>
      <c r="F127" s="314"/>
      <c r="G127" s="314"/>
      <c r="H127" s="314"/>
      <c r="I127" s="314"/>
      <c r="J127" s="314"/>
      <c r="K127" s="314"/>
      <c r="L127" s="314"/>
      <c r="M127" s="314"/>
      <c r="N127" s="314"/>
      <c r="O127" s="314"/>
      <c r="P127" s="314"/>
      <c r="Q127" s="314"/>
      <c r="R127" s="314"/>
      <c r="S127" s="314"/>
      <c r="T127" s="337">
        <v>0</v>
      </c>
      <c r="U127" s="337"/>
      <c r="V127" s="338"/>
      <c r="W127" s="318"/>
      <c r="X127" s="5"/>
    </row>
    <row r="128" spans="1:24" ht="15.75" x14ac:dyDescent="0.25">
      <c r="A128" s="285"/>
      <c r="B128" s="286" t="s">
        <v>188</v>
      </c>
      <c r="C128" s="314"/>
      <c r="D128" s="314"/>
      <c r="E128" s="314"/>
      <c r="F128" s="314"/>
      <c r="G128" s="314"/>
      <c r="H128" s="314"/>
      <c r="I128" s="314"/>
      <c r="J128" s="314"/>
      <c r="K128" s="314"/>
      <c r="L128" s="314"/>
      <c r="M128" s="314"/>
      <c r="N128" s="314"/>
      <c r="O128" s="314"/>
      <c r="P128" s="314"/>
      <c r="Q128" s="314"/>
      <c r="R128" s="314"/>
      <c r="S128" s="314"/>
      <c r="T128" s="337">
        <v>0</v>
      </c>
      <c r="U128" s="337"/>
      <c r="V128" s="338"/>
      <c r="W128" s="318"/>
      <c r="X128" s="5"/>
    </row>
    <row r="129" spans="1:24" ht="15.75" x14ac:dyDescent="0.25">
      <c r="A129" s="285"/>
      <c r="B129" s="286" t="s">
        <v>187</v>
      </c>
      <c r="C129" s="314"/>
      <c r="D129" s="314"/>
      <c r="E129" s="314"/>
      <c r="F129" s="314"/>
      <c r="G129" s="314"/>
      <c r="H129" s="314"/>
      <c r="I129" s="314"/>
      <c r="J129" s="314"/>
      <c r="K129" s="314"/>
      <c r="L129" s="314"/>
      <c r="M129" s="314"/>
      <c r="N129" s="314"/>
      <c r="O129" s="314"/>
      <c r="P129" s="314"/>
      <c r="Q129" s="314"/>
      <c r="R129" s="314"/>
      <c r="S129" s="314"/>
      <c r="T129" s="337">
        <v>0</v>
      </c>
      <c r="U129" s="337"/>
      <c r="V129" s="338"/>
      <c r="W129" s="318"/>
      <c r="X129" s="5"/>
    </row>
    <row r="130" spans="1:24" ht="15.75" x14ac:dyDescent="0.25">
      <c r="A130" s="285"/>
      <c r="B130" s="286" t="s">
        <v>39</v>
      </c>
      <c r="C130" s="314"/>
      <c r="D130" s="314"/>
      <c r="E130" s="314"/>
      <c r="F130" s="314"/>
      <c r="G130" s="314"/>
      <c r="H130" s="314"/>
      <c r="I130" s="314"/>
      <c r="J130" s="314"/>
      <c r="K130" s="314"/>
      <c r="L130" s="314"/>
      <c r="M130" s="314"/>
      <c r="N130" s="314"/>
      <c r="O130" s="314"/>
      <c r="P130" s="314"/>
      <c r="Q130" s="314"/>
      <c r="R130" s="314"/>
      <c r="S130" s="314"/>
      <c r="T130" s="337">
        <f>SUM(T120:T129)</f>
        <v>-4107</v>
      </c>
      <c r="U130" s="337"/>
      <c r="V130" s="337">
        <f>SUM(V102:V128)</f>
        <v>-5768</v>
      </c>
      <c r="W130" s="318"/>
      <c r="X130" s="5"/>
    </row>
    <row r="131" spans="1:24" ht="15.75" x14ac:dyDescent="0.25">
      <c r="A131" s="285"/>
      <c r="B131" s="286" t="s">
        <v>40</v>
      </c>
      <c r="C131" s="314"/>
      <c r="D131" s="314"/>
      <c r="E131" s="314"/>
      <c r="F131" s="314"/>
      <c r="G131" s="314"/>
      <c r="H131" s="314"/>
      <c r="I131" s="314"/>
      <c r="J131" s="314"/>
      <c r="K131" s="314"/>
      <c r="L131" s="314"/>
      <c r="M131" s="314"/>
      <c r="N131" s="314"/>
      <c r="O131" s="314"/>
      <c r="P131" s="314"/>
      <c r="Q131" s="314"/>
      <c r="R131" s="314"/>
      <c r="S131" s="314"/>
      <c r="T131" s="337">
        <f>T101+T130+T113</f>
        <v>0</v>
      </c>
      <c r="U131" s="337"/>
      <c r="V131" s="337">
        <f>V101+V130</f>
        <v>0</v>
      </c>
      <c r="W131" s="318"/>
      <c r="X131" s="5"/>
    </row>
    <row r="132" spans="1:24" ht="15.75" x14ac:dyDescent="0.25">
      <c r="A132" s="181"/>
      <c r="B132" s="212"/>
      <c r="C132" s="212"/>
      <c r="D132" s="212"/>
      <c r="E132" s="212"/>
      <c r="F132" s="212"/>
      <c r="G132" s="212"/>
      <c r="H132" s="212"/>
      <c r="I132" s="212"/>
      <c r="J132" s="212"/>
      <c r="K132" s="212"/>
      <c r="L132" s="212"/>
      <c r="M132" s="212"/>
      <c r="N132" s="212"/>
      <c r="O132" s="212"/>
      <c r="P132" s="212"/>
      <c r="Q132" s="212"/>
      <c r="R132" s="212"/>
      <c r="S132" s="212"/>
      <c r="T132" s="335"/>
      <c r="U132" s="335"/>
      <c r="V132" s="335"/>
      <c r="W132" s="212"/>
      <c r="X132" s="5"/>
    </row>
    <row r="133" spans="1:24" ht="15.75" x14ac:dyDescent="0.25">
      <c r="A133" s="181"/>
      <c r="B133" s="183"/>
      <c r="C133" s="183"/>
      <c r="D133" s="183"/>
      <c r="E133" s="183"/>
      <c r="F133" s="183"/>
      <c r="G133" s="183"/>
      <c r="H133" s="183"/>
      <c r="I133" s="183"/>
      <c r="J133" s="183"/>
      <c r="K133" s="183"/>
      <c r="L133" s="183"/>
      <c r="M133" s="183"/>
      <c r="N133" s="183"/>
      <c r="O133" s="183"/>
      <c r="P133" s="183"/>
      <c r="Q133" s="183"/>
      <c r="R133" s="183"/>
      <c r="S133" s="183"/>
      <c r="T133" s="183"/>
      <c r="U133" s="183"/>
      <c r="V133" s="202"/>
      <c r="W133" s="183"/>
      <c r="X133" s="5"/>
    </row>
    <row r="134" spans="1:24" ht="19.5" thickBot="1" x14ac:dyDescent="0.35">
      <c r="A134" s="197"/>
      <c r="B134" s="270" t="str">
        <f>B64</f>
        <v>PM15 INVESTOR REPORT QUARTER ENDING NOVEMBER 2010</v>
      </c>
      <c r="C134" s="198"/>
      <c r="D134" s="198"/>
      <c r="E134" s="198"/>
      <c r="F134" s="198"/>
      <c r="G134" s="198"/>
      <c r="H134" s="198"/>
      <c r="I134" s="198"/>
      <c r="J134" s="198"/>
      <c r="K134" s="198"/>
      <c r="L134" s="198"/>
      <c r="M134" s="198"/>
      <c r="N134" s="198"/>
      <c r="O134" s="198"/>
      <c r="P134" s="198"/>
      <c r="Q134" s="198"/>
      <c r="R134" s="198"/>
      <c r="S134" s="198"/>
      <c r="T134" s="198"/>
      <c r="U134" s="198"/>
      <c r="V134" s="209"/>
      <c r="W134" s="200"/>
      <c r="X134" s="5"/>
    </row>
    <row r="135" spans="1:24" ht="15.75" x14ac:dyDescent="0.25">
      <c r="A135" s="236"/>
      <c r="B135" s="237" t="s">
        <v>41</v>
      </c>
      <c r="C135" s="238"/>
      <c r="D135" s="238"/>
      <c r="E135" s="238"/>
      <c r="F135" s="238"/>
      <c r="G135" s="238"/>
      <c r="H135" s="238"/>
      <c r="I135" s="238"/>
      <c r="J135" s="238"/>
      <c r="K135" s="238"/>
      <c r="L135" s="238"/>
      <c r="M135" s="238"/>
      <c r="N135" s="238"/>
      <c r="O135" s="238"/>
      <c r="P135" s="238"/>
      <c r="Q135" s="238"/>
      <c r="R135" s="238"/>
      <c r="S135" s="238"/>
      <c r="T135" s="238"/>
      <c r="U135" s="238"/>
      <c r="V135" s="239"/>
      <c r="W135" s="238"/>
      <c r="X135" s="5"/>
    </row>
    <row r="136" spans="1:24" ht="15.75" x14ac:dyDescent="0.25">
      <c r="A136" s="181"/>
      <c r="B136" s="191"/>
      <c r="C136" s="183"/>
      <c r="D136" s="183"/>
      <c r="E136" s="183"/>
      <c r="F136" s="183"/>
      <c r="G136" s="183"/>
      <c r="H136" s="183"/>
      <c r="I136" s="183"/>
      <c r="J136" s="183"/>
      <c r="K136" s="183"/>
      <c r="L136" s="183"/>
      <c r="M136" s="183"/>
      <c r="N136" s="183"/>
      <c r="O136" s="183"/>
      <c r="P136" s="183"/>
      <c r="Q136" s="183"/>
      <c r="R136" s="183"/>
      <c r="S136" s="183"/>
      <c r="T136" s="183"/>
      <c r="U136" s="183"/>
      <c r="V136" s="202"/>
      <c r="W136" s="183"/>
      <c r="X136" s="5"/>
    </row>
    <row r="137" spans="1:24" ht="15.75" x14ac:dyDescent="0.25">
      <c r="A137" s="181"/>
      <c r="B137" s="210" t="s">
        <v>42</v>
      </c>
      <c r="C137" s="183"/>
      <c r="D137" s="183"/>
      <c r="E137" s="183"/>
      <c r="F137" s="183"/>
      <c r="G137" s="183"/>
      <c r="H137" s="183"/>
      <c r="I137" s="183"/>
      <c r="J137" s="183"/>
      <c r="K137" s="183"/>
      <c r="L137" s="183"/>
      <c r="M137" s="183"/>
      <c r="N137" s="183"/>
      <c r="O137" s="183"/>
      <c r="P137" s="183"/>
      <c r="Q137" s="183"/>
      <c r="R137" s="183"/>
      <c r="S137" s="183"/>
      <c r="T137" s="183"/>
      <c r="U137" s="183"/>
      <c r="V137" s="202"/>
      <c r="W137" s="183"/>
      <c r="X137" s="5"/>
    </row>
    <row r="138" spans="1:24" ht="15.75" x14ac:dyDescent="0.25">
      <c r="A138" s="285"/>
      <c r="B138" s="286" t="s">
        <v>43</v>
      </c>
      <c r="C138" s="286"/>
      <c r="D138" s="286"/>
      <c r="E138" s="286"/>
      <c r="F138" s="286"/>
      <c r="G138" s="286"/>
      <c r="H138" s="286"/>
      <c r="I138" s="286"/>
      <c r="J138" s="286"/>
      <c r="K138" s="286"/>
      <c r="L138" s="286"/>
      <c r="M138" s="286"/>
      <c r="N138" s="286"/>
      <c r="O138" s="286"/>
      <c r="P138" s="286"/>
      <c r="Q138" s="286"/>
      <c r="R138" s="286"/>
      <c r="S138" s="286"/>
      <c r="T138" s="286"/>
      <c r="U138" s="286"/>
      <c r="V138" s="338">
        <f>+V34*0.019</f>
        <v>19021.526999999998</v>
      </c>
      <c r="W138" s="289"/>
      <c r="X138" s="5"/>
    </row>
    <row r="139" spans="1:24" ht="15.75" x14ac:dyDescent="0.25">
      <c r="A139" s="285"/>
      <c r="B139" s="286" t="s">
        <v>44</v>
      </c>
      <c r="C139" s="286"/>
      <c r="D139" s="286"/>
      <c r="E139" s="286"/>
      <c r="F139" s="286"/>
      <c r="G139" s="286"/>
      <c r="H139" s="286"/>
      <c r="I139" s="286"/>
      <c r="J139" s="286"/>
      <c r="K139" s="286"/>
      <c r="L139" s="286"/>
      <c r="M139" s="286"/>
      <c r="N139" s="286"/>
      <c r="O139" s="286"/>
      <c r="P139" s="286"/>
      <c r="Q139" s="286"/>
      <c r="R139" s="286"/>
      <c r="S139" s="286"/>
      <c r="T139" s="286"/>
      <c r="U139" s="286"/>
      <c r="V139" s="338">
        <v>19022</v>
      </c>
      <c r="W139" s="289"/>
      <c r="X139" s="5"/>
    </row>
    <row r="140" spans="1:24" ht="15.75" x14ac:dyDescent="0.25">
      <c r="A140" s="285"/>
      <c r="B140" s="286" t="s">
        <v>136</v>
      </c>
      <c r="C140" s="286"/>
      <c r="D140" s="286"/>
      <c r="E140" s="286"/>
      <c r="F140" s="286"/>
      <c r="G140" s="286"/>
      <c r="H140" s="286"/>
      <c r="I140" s="286"/>
      <c r="J140" s="286"/>
      <c r="K140" s="286"/>
      <c r="L140" s="286"/>
      <c r="M140" s="286"/>
      <c r="N140" s="286"/>
      <c r="O140" s="286"/>
      <c r="P140" s="286"/>
      <c r="Q140" s="286"/>
      <c r="R140" s="286"/>
      <c r="S140" s="286"/>
      <c r="T140" s="286"/>
      <c r="U140" s="286"/>
      <c r="V140" s="338"/>
      <c r="W140" s="289"/>
      <c r="X140" s="5"/>
    </row>
    <row r="141" spans="1:24" ht="15.75" x14ac:dyDescent="0.25">
      <c r="A141" s="285"/>
      <c r="B141" s="286" t="s">
        <v>123</v>
      </c>
      <c r="C141" s="286"/>
      <c r="D141" s="286"/>
      <c r="E141" s="286"/>
      <c r="F141" s="286"/>
      <c r="G141" s="286"/>
      <c r="H141" s="286"/>
      <c r="I141" s="286"/>
      <c r="J141" s="286"/>
      <c r="K141" s="286"/>
      <c r="L141" s="286"/>
      <c r="M141" s="286"/>
      <c r="N141" s="286"/>
      <c r="O141" s="286"/>
      <c r="P141" s="286"/>
      <c r="Q141" s="286"/>
      <c r="R141" s="286"/>
      <c r="S141" s="286"/>
      <c r="T141" s="286"/>
      <c r="U141" s="286"/>
      <c r="V141" s="338">
        <v>0</v>
      </c>
      <c r="W141" s="289"/>
      <c r="X141" s="5"/>
    </row>
    <row r="142" spans="1:24" ht="15.75" x14ac:dyDescent="0.25">
      <c r="A142" s="285"/>
      <c r="B142" s="286" t="s">
        <v>124</v>
      </c>
      <c r="C142" s="286"/>
      <c r="D142" s="286"/>
      <c r="E142" s="286"/>
      <c r="F142" s="286"/>
      <c r="G142" s="286"/>
      <c r="H142" s="286"/>
      <c r="I142" s="286"/>
      <c r="J142" s="286"/>
      <c r="K142" s="286"/>
      <c r="L142" s="286"/>
      <c r="M142" s="286"/>
      <c r="N142" s="286"/>
      <c r="O142" s="286"/>
      <c r="P142" s="286"/>
      <c r="Q142" s="286"/>
      <c r="R142" s="286"/>
      <c r="S142" s="286"/>
      <c r="T142" s="286"/>
      <c r="U142" s="286"/>
      <c r="V142" s="338">
        <v>0</v>
      </c>
      <c r="W142" s="289"/>
      <c r="X142" s="5"/>
    </row>
    <row r="143" spans="1:24" ht="15.75" x14ac:dyDescent="0.25">
      <c r="A143" s="285"/>
      <c r="B143" s="286" t="s">
        <v>175</v>
      </c>
      <c r="C143" s="286"/>
      <c r="D143" s="286"/>
      <c r="E143" s="286"/>
      <c r="F143" s="286"/>
      <c r="G143" s="286"/>
      <c r="H143" s="286"/>
      <c r="I143" s="286"/>
      <c r="J143" s="286"/>
      <c r="K143" s="286"/>
      <c r="L143" s="286"/>
      <c r="M143" s="286"/>
      <c r="N143" s="286"/>
      <c r="O143" s="286"/>
      <c r="P143" s="286"/>
      <c r="Q143" s="286"/>
      <c r="R143" s="286"/>
      <c r="S143" s="286"/>
      <c r="T143" s="286"/>
      <c r="U143" s="286"/>
      <c r="V143" s="338">
        <v>0</v>
      </c>
      <c r="W143" s="289"/>
      <c r="X143" s="5"/>
    </row>
    <row r="144" spans="1:24" ht="15.75" x14ac:dyDescent="0.25">
      <c r="A144" s="285"/>
      <c r="B144" s="286" t="s">
        <v>45</v>
      </c>
      <c r="C144" s="286"/>
      <c r="D144" s="286"/>
      <c r="E144" s="286"/>
      <c r="F144" s="286"/>
      <c r="G144" s="286"/>
      <c r="H144" s="286"/>
      <c r="I144" s="286"/>
      <c r="J144" s="286"/>
      <c r="K144" s="286"/>
      <c r="L144" s="286"/>
      <c r="M144" s="286"/>
      <c r="N144" s="286"/>
      <c r="O144" s="286"/>
      <c r="P144" s="286"/>
      <c r="Q144" s="286"/>
      <c r="R144" s="286"/>
      <c r="S144" s="286"/>
      <c r="T144" s="286"/>
      <c r="U144" s="286"/>
      <c r="V144" s="338">
        <v>0</v>
      </c>
      <c r="W144" s="289"/>
      <c r="X144" s="5"/>
    </row>
    <row r="145" spans="1:25" ht="15.75" x14ac:dyDescent="0.25">
      <c r="A145" s="285"/>
      <c r="B145" s="286" t="s">
        <v>129</v>
      </c>
      <c r="C145" s="286"/>
      <c r="D145" s="286"/>
      <c r="E145" s="286"/>
      <c r="F145" s="286"/>
      <c r="G145" s="286"/>
      <c r="H145" s="286"/>
      <c r="I145" s="286"/>
      <c r="J145" s="286"/>
      <c r="K145" s="286"/>
      <c r="L145" s="286"/>
      <c r="M145" s="286"/>
      <c r="N145" s="286"/>
      <c r="O145" s="286"/>
      <c r="P145" s="286"/>
      <c r="Q145" s="286"/>
      <c r="R145" s="286"/>
      <c r="S145" s="286"/>
      <c r="T145" s="286"/>
      <c r="U145" s="286"/>
      <c r="V145" s="338">
        <v>0</v>
      </c>
      <c r="W145" s="289"/>
      <c r="X145" s="5"/>
    </row>
    <row r="146" spans="1:25" ht="15.75" x14ac:dyDescent="0.25">
      <c r="A146" s="285"/>
      <c r="B146" s="286" t="s">
        <v>241</v>
      </c>
      <c r="C146" s="286"/>
      <c r="D146" s="286"/>
      <c r="E146" s="286"/>
      <c r="F146" s="286"/>
      <c r="G146" s="286"/>
      <c r="H146" s="286"/>
      <c r="I146" s="286"/>
      <c r="J146" s="286"/>
      <c r="K146" s="286"/>
      <c r="L146" s="286"/>
      <c r="M146" s="286"/>
      <c r="N146" s="286"/>
      <c r="O146" s="286"/>
      <c r="P146" s="286"/>
      <c r="Q146" s="286"/>
      <c r="R146" s="286"/>
      <c r="S146" s="286"/>
      <c r="T146" s="286"/>
      <c r="U146" s="286"/>
      <c r="V146" s="338">
        <v>0</v>
      </c>
      <c r="W146" s="289"/>
      <c r="X146" s="5"/>
      <c r="Y146" s="109"/>
    </row>
    <row r="147" spans="1:25" ht="15.75" x14ac:dyDescent="0.25">
      <c r="A147" s="285"/>
      <c r="B147" s="286" t="s">
        <v>46</v>
      </c>
      <c r="C147" s="286"/>
      <c r="D147" s="286"/>
      <c r="E147" s="286"/>
      <c r="F147" s="286"/>
      <c r="G147" s="286"/>
      <c r="H147" s="286"/>
      <c r="I147" s="286"/>
      <c r="J147" s="286"/>
      <c r="K147" s="286"/>
      <c r="L147" s="286"/>
      <c r="M147" s="286"/>
      <c r="N147" s="286"/>
      <c r="O147" s="286"/>
      <c r="P147" s="286"/>
      <c r="Q147" s="286"/>
      <c r="R147" s="286"/>
      <c r="S147" s="286"/>
      <c r="T147" s="286"/>
      <c r="U147" s="286"/>
      <c r="V147" s="338">
        <f>SUM(V139:V146)</f>
        <v>19022</v>
      </c>
      <c r="W147" s="289"/>
      <c r="X147" s="5"/>
    </row>
    <row r="148" spans="1:25" ht="15.75" x14ac:dyDescent="0.25">
      <c r="A148" s="285"/>
      <c r="B148" s="314"/>
      <c r="C148" s="314"/>
      <c r="D148" s="314"/>
      <c r="E148" s="314"/>
      <c r="F148" s="314"/>
      <c r="G148" s="314"/>
      <c r="H148" s="314"/>
      <c r="I148" s="314"/>
      <c r="J148" s="314"/>
      <c r="K148" s="314"/>
      <c r="L148" s="314"/>
      <c r="M148" s="314"/>
      <c r="N148" s="314"/>
      <c r="O148" s="314"/>
      <c r="P148" s="314"/>
      <c r="Q148" s="314"/>
      <c r="R148" s="314"/>
      <c r="S148" s="314"/>
      <c r="T148" s="314"/>
      <c r="U148" s="314"/>
      <c r="V148" s="345"/>
      <c r="W148" s="318"/>
      <c r="X148" s="5"/>
    </row>
    <row r="149" spans="1:25" ht="15.75" x14ac:dyDescent="0.25">
      <c r="A149" s="285"/>
      <c r="B149" s="342" t="s">
        <v>269</v>
      </c>
      <c r="C149" s="314"/>
      <c r="D149" s="314"/>
      <c r="E149" s="314"/>
      <c r="F149" s="314"/>
      <c r="G149" s="314"/>
      <c r="H149" s="314"/>
      <c r="I149" s="314"/>
      <c r="J149" s="314"/>
      <c r="K149" s="314"/>
      <c r="L149" s="314"/>
      <c r="M149" s="314"/>
      <c r="N149" s="314"/>
      <c r="O149" s="314"/>
      <c r="P149" s="314"/>
      <c r="Q149" s="314"/>
      <c r="R149" s="314"/>
      <c r="S149" s="314"/>
      <c r="T149" s="314"/>
      <c r="U149" s="314"/>
      <c r="V149" s="345"/>
      <c r="W149" s="318"/>
      <c r="X149" s="5"/>
    </row>
    <row r="150" spans="1:25" ht="15.75" x14ac:dyDescent="0.25">
      <c r="A150" s="285"/>
      <c r="B150" s="286" t="s">
        <v>155</v>
      </c>
      <c r="C150" s="286"/>
      <c r="D150" s="286"/>
      <c r="E150" s="286"/>
      <c r="F150" s="286"/>
      <c r="G150" s="286"/>
      <c r="H150" s="286"/>
      <c r="I150" s="286"/>
      <c r="J150" s="286"/>
      <c r="K150" s="286"/>
      <c r="L150" s="286"/>
      <c r="M150" s="286"/>
      <c r="N150" s="286"/>
      <c r="O150" s="286"/>
      <c r="P150" s="286"/>
      <c r="Q150" s="286"/>
      <c r="R150" s="286"/>
      <c r="S150" s="286"/>
      <c r="T150" s="286"/>
      <c r="U150" s="286"/>
      <c r="V150" s="338">
        <v>0</v>
      </c>
      <c r="W150" s="289"/>
      <c r="X150" s="5"/>
    </row>
    <row r="151" spans="1:25" ht="15.75" x14ac:dyDescent="0.25">
      <c r="A151" s="285"/>
      <c r="B151" s="286" t="s">
        <v>172</v>
      </c>
      <c r="C151" s="286"/>
      <c r="D151" s="286"/>
      <c r="E151" s="286"/>
      <c r="F151" s="286"/>
      <c r="G151" s="286"/>
      <c r="H151" s="286"/>
      <c r="I151" s="286"/>
      <c r="J151" s="286"/>
      <c r="K151" s="286"/>
      <c r="L151" s="286"/>
      <c r="M151" s="286"/>
      <c r="N151" s="286"/>
      <c r="O151" s="286"/>
      <c r="P151" s="286"/>
      <c r="Q151" s="286"/>
      <c r="R151" s="286"/>
      <c r="S151" s="286"/>
      <c r="T151" s="286"/>
      <c r="U151" s="286"/>
      <c r="V151" s="338">
        <v>0</v>
      </c>
      <c r="W151" s="289"/>
      <c r="X151" s="5"/>
    </row>
    <row r="152" spans="1:25" ht="15.75" x14ac:dyDescent="0.25">
      <c r="A152" s="285"/>
      <c r="B152" s="286" t="s">
        <v>226</v>
      </c>
      <c r="C152" s="286"/>
      <c r="D152" s="286"/>
      <c r="E152" s="286"/>
      <c r="F152" s="286"/>
      <c r="G152" s="286"/>
      <c r="H152" s="286"/>
      <c r="I152" s="286"/>
      <c r="J152" s="286"/>
      <c r="K152" s="286"/>
      <c r="L152" s="286"/>
      <c r="M152" s="286"/>
      <c r="N152" s="286"/>
      <c r="O152" s="286"/>
      <c r="P152" s="286"/>
      <c r="Q152" s="286"/>
      <c r="R152" s="286"/>
      <c r="S152" s="286"/>
      <c r="T152" s="286"/>
      <c r="U152" s="286"/>
      <c r="V152" s="338">
        <v>0</v>
      </c>
      <c r="W152" s="289"/>
      <c r="X152" s="5"/>
    </row>
    <row r="153" spans="1:25" ht="15.75" x14ac:dyDescent="0.25">
      <c r="A153" s="285"/>
      <c r="B153" s="314"/>
      <c r="C153" s="314"/>
      <c r="D153" s="314"/>
      <c r="E153" s="314"/>
      <c r="F153" s="314"/>
      <c r="G153" s="314"/>
      <c r="H153" s="314"/>
      <c r="I153" s="314"/>
      <c r="J153" s="314"/>
      <c r="K153" s="314"/>
      <c r="L153" s="314"/>
      <c r="M153" s="314"/>
      <c r="N153" s="314"/>
      <c r="O153" s="314"/>
      <c r="P153" s="314"/>
      <c r="Q153" s="314"/>
      <c r="R153" s="314"/>
      <c r="S153" s="314"/>
      <c r="T153" s="314"/>
      <c r="U153" s="314"/>
      <c r="V153" s="345"/>
      <c r="W153" s="318"/>
      <c r="X153" s="5"/>
    </row>
    <row r="154" spans="1:25" ht="15.75" x14ac:dyDescent="0.25">
      <c r="A154" s="181"/>
      <c r="B154" s="212"/>
      <c r="C154" s="212"/>
      <c r="D154" s="212"/>
      <c r="E154" s="212"/>
      <c r="F154" s="212"/>
      <c r="G154" s="212"/>
      <c r="H154" s="212"/>
      <c r="I154" s="212"/>
      <c r="J154" s="212"/>
      <c r="K154" s="212"/>
      <c r="L154" s="212"/>
      <c r="M154" s="212"/>
      <c r="N154" s="212"/>
      <c r="O154" s="212"/>
      <c r="P154" s="212"/>
      <c r="Q154" s="212"/>
      <c r="R154" s="212"/>
      <c r="S154" s="212"/>
      <c r="T154" s="212"/>
      <c r="U154" s="212"/>
      <c r="V154" s="344"/>
      <c r="W154" s="212"/>
      <c r="X154" s="5"/>
    </row>
    <row r="155" spans="1:25" ht="15.75" x14ac:dyDescent="0.25">
      <c r="A155" s="181"/>
      <c r="B155" s="210" t="s">
        <v>24</v>
      </c>
      <c r="C155" s="183"/>
      <c r="D155" s="183"/>
      <c r="E155" s="183"/>
      <c r="F155" s="183"/>
      <c r="G155" s="183"/>
      <c r="H155" s="183"/>
      <c r="I155" s="183"/>
      <c r="J155" s="183"/>
      <c r="K155" s="183"/>
      <c r="L155" s="183"/>
      <c r="M155" s="183"/>
      <c r="N155" s="183"/>
      <c r="O155" s="183"/>
      <c r="P155" s="183"/>
      <c r="Q155" s="183"/>
      <c r="R155" s="183"/>
      <c r="S155" s="183"/>
      <c r="T155" s="183"/>
      <c r="U155" s="183"/>
      <c r="V155" s="202"/>
      <c r="W155" s="183"/>
      <c r="X155" s="5"/>
    </row>
    <row r="156" spans="1:25" ht="15.75" x14ac:dyDescent="0.25">
      <c r="A156" s="285"/>
      <c r="B156" s="286" t="s">
        <v>47</v>
      </c>
      <c r="C156" s="286"/>
      <c r="D156" s="286"/>
      <c r="E156" s="286"/>
      <c r="F156" s="286"/>
      <c r="G156" s="286"/>
      <c r="H156" s="286"/>
      <c r="I156" s="286"/>
      <c r="J156" s="286"/>
      <c r="K156" s="286"/>
      <c r="L156" s="286"/>
      <c r="M156" s="286"/>
      <c r="N156" s="286"/>
      <c r="O156" s="286"/>
      <c r="P156" s="286"/>
      <c r="Q156" s="286"/>
      <c r="R156" s="286"/>
      <c r="S156" s="286"/>
      <c r="T156" s="286"/>
      <c r="U156" s="286"/>
      <c r="V156" s="343" t="s">
        <v>118</v>
      </c>
      <c r="W156" s="318"/>
      <c r="X156" s="5"/>
    </row>
    <row r="157" spans="1:25" ht="15.75" x14ac:dyDescent="0.25">
      <c r="A157" s="285"/>
      <c r="B157" s="286" t="s">
        <v>48</v>
      </c>
      <c r="C157" s="288"/>
      <c r="D157" s="288"/>
      <c r="E157" s="288"/>
      <c r="F157" s="288"/>
      <c r="G157" s="288"/>
      <c r="H157" s="288"/>
      <c r="I157" s="288"/>
      <c r="J157" s="288"/>
      <c r="K157" s="288"/>
      <c r="L157" s="288"/>
      <c r="M157" s="288"/>
      <c r="N157" s="288"/>
      <c r="O157" s="288"/>
      <c r="P157" s="288"/>
      <c r="Q157" s="288"/>
      <c r="R157" s="288"/>
      <c r="S157" s="288"/>
      <c r="T157" s="288"/>
      <c r="U157" s="288"/>
      <c r="V157" s="343" t="s">
        <v>118</v>
      </c>
      <c r="W157" s="318"/>
      <c r="X157" s="5"/>
    </row>
    <row r="158" spans="1:25" ht="15.75" x14ac:dyDescent="0.25">
      <c r="A158" s="285"/>
      <c r="B158" s="286" t="s">
        <v>49</v>
      </c>
      <c r="C158" s="286"/>
      <c r="D158" s="286"/>
      <c r="E158" s="286"/>
      <c r="F158" s="286"/>
      <c r="G158" s="286"/>
      <c r="H158" s="286"/>
      <c r="I158" s="286"/>
      <c r="J158" s="286"/>
      <c r="K158" s="286"/>
      <c r="L158" s="286"/>
      <c r="M158" s="286"/>
      <c r="N158" s="286"/>
      <c r="O158" s="286"/>
      <c r="P158" s="286"/>
      <c r="Q158" s="286"/>
      <c r="R158" s="286"/>
      <c r="S158" s="286"/>
      <c r="T158" s="286"/>
      <c r="U158" s="286"/>
      <c r="V158" s="343" t="s">
        <v>118</v>
      </c>
      <c r="W158" s="318"/>
      <c r="X158" s="5"/>
    </row>
    <row r="159" spans="1:25" ht="15.75" x14ac:dyDescent="0.25">
      <c r="A159" s="285"/>
      <c r="B159" s="286" t="s">
        <v>50</v>
      </c>
      <c r="C159" s="286"/>
      <c r="D159" s="286"/>
      <c r="E159" s="286"/>
      <c r="F159" s="286"/>
      <c r="G159" s="286"/>
      <c r="H159" s="286"/>
      <c r="I159" s="286"/>
      <c r="J159" s="286"/>
      <c r="K159" s="286"/>
      <c r="L159" s="286"/>
      <c r="M159" s="286"/>
      <c r="N159" s="286"/>
      <c r="O159" s="286"/>
      <c r="P159" s="286"/>
      <c r="Q159" s="286"/>
      <c r="R159" s="286"/>
      <c r="S159" s="286"/>
      <c r="T159" s="286"/>
      <c r="U159" s="286"/>
      <c r="V159" s="343" t="s">
        <v>118</v>
      </c>
      <c r="W159" s="318"/>
      <c r="X159" s="5"/>
    </row>
    <row r="160" spans="1:25" ht="15.75" x14ac:dyDescent="0.25">
      <c r="A160" s="181"/>
      <c r="B160" s="212"/>
      <c r="C160" s="212"/>
      <c r="D160" s="212"/>
      <c r="E160" s="212"/>
      <c r="F160" s="212"/>
      <c r="G160" s="212"/>
      <c r="H160" s="212"/>
      <c r="I160" s="212"/>
      <c r="J160" s="212"/>
      <c r="K160" s="212"/>
      <c r="L160" s="212"/>
      <c r="M160" s="212"/>
      <c r="N160" s="212"/>
      <c r="O160" s="212"/>
      <c r="P160" s="212"/>
      <c r="Q160" s="212"/>
      <c r="R160" s="212"/>
      <c r="S160" s="212"/>
      <c r="T160" s="212"/>
      <c r="U160" s="212"/>
      <c r="V160" s="344"/>
      <c r="W160" s="212"/>
      <c r="X160" s="5"/>
    </row>
    <row r="161" spans="1:256" ht="15.75" x14ac:dyDescent="0.25">
      <c r="A161" s="181"/>
      <c r="B161" s="210" t="s">
        <v>51</v>
      </c>
      <c r="C161" s="183"/>
      <c r="D161" s="183"/>
      <c r="E161" s="183"/>
      <c r="F161" s="183"/>
      <c r="G161" s="183"/>
      <c r="H161" s="183"/>
      <c r="I161" s="183"/>
      <c r="J161" s="183"/>
      <c r="K161" s="183"/>
      <c r="L161" s="183"/>
      <c r="M161" s="183"/>
      <c r="N161" s="183"/>
      <c r="O161" s="183"/>
      <c r="P161" s="183"/>
      <c r="Q161" s="183"/>
      <c r="R161" s="183"/>
      <c r="S161" s="183"/>
      <c r="T161" s="183"/>
      <c r="U161" s="183"/>
      <c r="V161" s="211"/>
      <c r="W161" s="183"/>
      <c r="X161" s="5"/>
    </row>
    <row r="162" spans="1:256" ht="15.75" x14ac:dyDescent="0.25">
      <c r="A162" s="285"/>
      <c r="B162" s="286" t="s">
        <v>52</v>
      </c>
      <c r="C162" s="286"/>
      <c r="D162" s="286"/>
      <c r="E162" s="286"/>
      <c r="F162" s="286"/>
      <c r="G162" s="286"/>
      <c r="H162" s="286"/>
      <c r="I162" s="286"/>
      <c r="J162" s="286"/>
      <c r="K162" s="286"/>
      <c r="L162" s="286"/>
      <c r="M162" s="286"/>
      <c r="N162" s="286"/>
      <c r="O162" s="286"/>
      <c r="P162" s="286"/>
      <c r="Q162" s="286"/>
      <c r="R162" s="286"/>
      <c r="S162" s="286"/>
      <c r="T162" s="286"/>
      <c r="U162" s="286"/>
      <c r="V162" s="338">
        <v>0</v>
      </c>
      <c r="W162" s="289"/>
      <c r="X162" s="5"/>
    </row>
    <row r="163" spans="1:256" ht="15.75" x14ac:dyDescent="0.25">
      <c r="A163" s="285"/>
      <c r="B163" s="286" t="s">
        <v>53</v>
      </c>
      <c r="C163" s="286"/>
      <c r="D163" s="286"/>
      <c r="E163" s="286"/>
      <c r="F163" s="286"/>
      <c r="G163" s="286"/>
      <c r="H163" s="286"/>
      <c r="I163" s="286"/>
      <c r="J163" s="286"/>
      <c r="K163" s="286"/>
      <c r="L163" s="286"/>
      <c r="M163" s="286"/>
      <c r="N163" s="286"/>
      <c r="O163" s="286"/>
      <c r="P163" s="286"/>
      <c r="Q163" s="286"/>
      <c r="R163" s="286"/>
      <c r="S163" s="286"/>
      <c r="T163" s="286"/>
      <c r="U163" s="286"/>
      <c r="V163" s="338">
        <v>300</v>
      </c>
      <c r="W163" s="289"/>
      <c r="X163" s="5"/>
    </row>
    <row r="164" spans="1:256" ht="15.75" x14ac:dyDescent="0.25">
      <c r="A164" s="285"/>
      <c r="B164" s="286" t="s">
        <v>54</v>
      </c>
      <c r="C164" s="286"/>
      <c r="D164" s="286"/>
      <c r="E164" s="286"/>
      <c r="F164" s="286"/>
      <c r="G164" s="286"/>
      <c r="H164" s="286"/>
      <c r="I164" s="286"/>
      <c r="J164" s="286"/>
      <c r="K164" s="286"/>
      <c r="L164" s="286"/>
      <c r="M164" s="286"/>
      <c r="N164" s="286"/>
      <c r="O164" s="286"/>
      <c r="P164" s="286"/>
      <c r="Q164" s="286"/>
      <c r="R164" s="286"/>
      <c r="S164" s="286"/>
      <c r="T164" s="286"/>
      <c r="U164" s="286"/>
      <c r="V164" s="338">
        <f>V163+V162</f>
        <v>300</v>
      </c>
      <c r="W164" s="289"/>
      <c r="X164" s="5"/>
    </row>
    <row r="165" spans="1:256" ht="15.75" x14ac:dyDescent="0.25">
      <c r="A165" s="285"/>
      <c r="B165" s="286" t="s">
        <v>303</v>
      </c>
      <c r="C165" s="286"/>
      <c r="D165" s="286"/>
      <c r="E165" s="286"/>
      <c r="F165" s="286"/>
      <c r="G165" s="286"/>
      <c r="H165" s="286"/>
      <c r="I165" s="286"/>
      <c r="J165" s="286"/>
      <c r="K165" s="286"/>
      <c r="L165" s="286"/>
      <c r="M165" s="286"/>
      <c r="N165" s="286"/>
      <c r="O165" s="286"/>
      <c r="P165" s="286"/>
      <c r="Q165" s="286"/>
      <c r="R165" s="286"/>
      <c r="S165" s="286"/>
      <c r="T165" s="286"/>
      <c r="U165" s="286"/>
      <c r="V165" s="338">
        <f>V113</f>
        <v>-300</v>
      </c>
      <c r="W165" s="289"/>
      <c r="X165" s="5"/>
    </row>
    <row r="166" spans="1:256" ht="15.75" x14ac:dyDescent="0.25">
      <c r="A166" s="285"/>
      <c r="B166" s="286" t="s">
        <v>55</v>
      </c>
      <c r="C166" s="286"/>
      <c r="D166" s="286"/>
      <c r="E166" s="286"/>
      <c r="F166" s="286"/>
      <c r="G166" s="286"/>
      <c r="H166" s="286"/>
      <c r="I166" s="286"/>
      <c r="J166" s="286"/>
      <c r="K166" s="286"/>
      <c r="L166" s="286"/>
      <c r="M166" s="286"/>
      <c r="N166" s="286"/>
      <c r="O166" s="286"/>
      <c r="P166" s="286"/>
      <c r="Q166" s="286"/>
      <c r="R166" s="286"/>
      <c r="S166" s="286"/>
      <c r="T166" s="286"/>
      <c r="U166" s="286"/>
      <c r="V166" s="338">
        <f>V164+V165</f>
        <v>0</v>
      </c>
      <c r="W166" s="289"/>
      <c r="X166" s="5"/>
    </row>
    <row r="167" spans="1:256" ht="15.75" x14ac:dyDescent="0.25">
      <c r="A167" s="285"/>
      <c r="B167" s="286" t="s">
        <v>274</v>
      </c>
      <c r="C167" s="286"/>
      <c r="D167" s="286"/>
      <c r="E167" s="286"/>
      <c r="F167" s="286"/>
      <c r="G167" s="286"/>
      <c r="H167" s="286"/>
      <c r="I167" s="286"/>
      <c r="J167" s="286"/>
      <c r="K167" s="286"/>
      <c r="L167" s="286"/>
      <c r="M167" s="286"/>
      <c r="N167" s="286"/>
      <c r="O167" s="286"/>
      <c r="P167" s="286"/>
      <c r="Q167" s="286"/>
      <c r="R167" s="286"/>
      <c r="S167" s="286"/>
      <c r="T167" s="286"/>
      <c r="U167" s="286"/>
      <c r="V167" s="338">
        <f>-V100</f>
        <v>321</v>
      </c>
      <c r="W167" s="289"/>
      <c r="X167" s="5"/>
    </row>
    <row r="168" spans="1:256" ht="16.5" thickBot="1" x14ac:dyDescent="0.3">
      <c r="A168" s="181"/>
      <c r="B168" s="212"/>
      <c r="C168" s="212"/>
      <c r="D168" s="212"/>
      <c r="E168" s="212"/>
      <c r="F168" s="212"/>
      <c r="G168" s="212"/>
      <c r="H168" s="212"/>
      <c r="I168" s="212"/>
      <c r="J168" s="212"/>
      <c r="K168" s="212"/>
      <c r="L168" s="212"/>
      <c r="M168" s="212"/>
      <c r="N168" s="212"/>
      <c r="O168" s="212"/>
      <c r="P168" s="212"/>
      <c r="Q168" s="212"/>
      <c r="R168" s="212"/>
      <c r="S168" s="212"/>
      <c r="T168" s="212"/>
      <c r="U168" s="212"/>
      <c r="V168" s="344"/>
      <c r="W168" s="212"/>
      <c r="X168" s="5"/>
    </row>
    <row r="169" spans="1:256" ht="15.75" x14ac:dyDescent="0.25">
      <c r="A169" s="179"/>
      <c r="B169" s="180"/>
      <c r="C169" s="180"/>
      <c r="D169" s="180"/>
      <c r="E169" s="180"/>
      <c r="F169" s="180"/>
      <c r="G169" s="180"/>
      <c r="H169" s="180"/>
      <c r="I169" s="180"/>
      <c r="J169" s="180"/>
      <c r="K169" s="180"/>
      <c r="L169" s="180"/>
      <c r="M169" s="180"/>
      <c r="N169" s="180"/>
      <c r="O169" s="180"/>
      <c r="P169" s="180"/>
      <c r="Q169" s="180"/>
      <c r="R169" s="180"/>
      <c r="S169" s="180"/>
      <c r="T169" s="180"/>
      <c r="U169" s="180"/>
      <c r="V169" s="201"/>
      <c r="W169" s="180"/>
      <c r="X169" s="5"/>
    </row>
    <row r="170" spans="1:256" s="158" customFormat="1" ht="15.75" x14ac:dyDescent="0.25">
      <c r="A170" s="181"/>
      <c r="B170" s="210" t="s">
        <v>230</v>
      </c>
      <c r="C170" s="212"/>
      <c r="D170" s="212"/>
      <c r="E170" s="212"/>
      <c r="F170" s="212"/>
      <c r="G170" s="212"/>
      <c r="H170" s="212"/>
      <c r="I170" s="212"/>
      <c r="J170" s="212"/>
      <c r="K170" s="212"/>
      <c r="L170" s="212"/>
      <c r="M170" s="212"/>
      <c r="N170" s="212"/>
      <c r="O170" s="212"/>
      <c r="P170" s="212"/>
      <c r="Q170" s="212"/>
      <c r="R170" s="212"/>
      <c r="S170" s="212"/>
      <c r="T170" s="212"/>
      <c r="U170" s="212"/>
      <c r="V170" s="213"/>
      <c r="W170" s="212"/>
      <c r="X170" s="5"/>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s="160" customFormat="1" ht="15.75" x14ac:dyDescent="0.25">
      <c r="A171" s="285"/>
      <c r="B171" s="286" t="s">
        <v>231</v>
      </c>
      <c r="C171" s="286"/>
      <c r="D171" s="286"/>
      <c r="E171" s="286"/>
      <c r="F171" s="286"/>
      <c r="G171" s="286"/>
      <c r="H171" s="286"/>
      <c r="I171" s="286"/>
      <c r="J171" s="286"/>
      <c r="K171" s="286"/>
      <c r="L171" s="286"/>
      <c r="M171" s="286"/>
      <c r="N171" s="286"/>
      <c r="O171" s="286"/>
      <c r="P171" s="286"/>
      <c r="Q171" s="286"/>
      <c r="R171" s="286"/>
      <c r="S171" s="286"/>
      <c r="T171" s="286"/>
      <c r="U171" s="286"/>
      <c r="V171" s="338">
        <f>+'Aug 08'!V173</f>
        <v>0</v>
      </c>
      <c r="W171" s="289"/>
      <c r="X171" s="5"/>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s="160" customFormat="1" ht="15.75" x14ac:dyDescent="0.25">
      <c r="A172" s="285"/>
      <c r="B172" s="286" t="s">
        <v>234</v>
      </c>
      <c r="C172" s="286"/>
      <c r="D172" s="286"/>
      <c r="E172" s="286"/>
      <c r="F172" s="286"/>
      <c r="G172" s="286"/>
      <c r="H172" s="286"/>
      <c r="I172" s="286"/>
      <c r="J172" s="286"/>
      <c r="K172" s="286"/>
      <c r="L172" s="286"/>
      <c r="M172" s="286"/>
      <c r="N172" s="286"/>
      <c r="O172" s="286"/>
      <c r="P172" s="286"/>
      <c r="Q172" s="286"/>
      <c r="R172" s="286"/>
      <c r="S172" s="286"/>
      <c r="T172" s="286"/>
      <c r="U172" s="286"/>
      <c r="V172" s="338">
        <f>+V94</f>
        <v>0</v>
      </c>
      <c r="W172" s="289"/>
      <c r="X172" s="5"/>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s="160" customFormat="1" ht="15.75" x14ac:dyDescent="0.25">
      <c r="A173" s="285"/>
      <c r="B173" s="286" t="s">
        <v>232</v>
      </c>
      <c r="C173" s="286"/>
      <c r="D173" s="286"/>
      <c r="E173" s="286"/>
      <c r="F173" s="286"/>
      <c r="G173" s="286"/>
      <c r="H173" s="286"/>
      <c r="I173" s="286"/>
      <c r="J173" s="286"/>
      <c r="K173" s="286"/>
      <c r="L173" s="286"/>
      <c r="M173" s="286"/>
      <c r="N173" s="286"/>
      <c r="O173" s="286"/>
      <c r="P173" s="286"/>
      <c r="Q173" s="286"/>
      <c r="R173" s="286"/>
      <c r="S173" s="286"/>
      <c r="T173" s="286"/>
      <c r="U173" s="286"/>
      <c r="V173" s="338">
        <f>+V171-V172</f>
        <v>0</v>
      </c>
      <c r="W173" s="289"/>
      <c r="X173" s="5"/>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s="163" customFormat="1" ht="16.5" thickBot="1" x14ac:dyDescent="0.3">
      <c r="A174" s="197"/>
      <c r="B174" s="212"/>
      <c r="C174" s="212"/>
      <c r="D174" s="212"/>
      <c r="E174" s="212"/>
      <c r="F174" s="212"/>
      <c r="G174" s="212"/>
      <c r="H174" s="212"/>
      <c r="I174" s="212"/>
      <c r="J174" s="212"/>
      <c r="K174" s="212"/>
      <c r="L174" s="212"/>
      <c r="M174" s="212"/>
      <c r="N174" s="212"/>
      <c r="O174" s="212"/>
      <c r="P174" s="212"/>
      <c r="Q174" s="212"/>
      <c r="R174" s="212"/>
      <c r="S174" s="212"/>
      <c r="T174" s="212"/>
      <c r="U174" s="212"/>
      <c r="V174" s="344"/>
      <c r="W174" s="212"/>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4" customFormat="1" ht="15.75" x14ac:dyDescent="0.25">
      <c r="A175" s="179"/>
      <c r="B175" s="180"/>
      <c r="C175" s="180"/>
      <c r="D175" s="180"/>
      <c r="E175" s="180"/>
      <c r="F175" s="180"/>
      <c r="G175" s="180"/>
      <c r="H175" s="180"/>
      <c r="I175" s="180"/>
      <c r="J175" s="180"/>
      <c r="K175" s="180"/>
      <c r="L175" s="180"/>
      <c r="M175" s="180"/>
      <c r="N175" s="180"/>
      <c r="O175" s="180"/>
      <c r="P175" s="180"/>
      <c r="Q175" s="180"/>
      <c r="R175" s="180"/>
      <c r="S175" s="180"/>
      <c r="T175" s="180"/>
      <c r="U175" s="180"/>
      <c r="V175" s="201"/>
      <c r="W175" s="180"/>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ht="15.75" x14ac:dyDescent="0.25">
      <c r="A176" s="181"/>
      <c r="B176" s="210" t="s">
        <v>56</v>
      </c>
      <c r="C176" s="183"/>
      <c r="D176" s="183"/>
      <c r="E176" s="183"/>
      <c r="F176" s="183"/>
      <c r="G176" s="183"/>
      <c r="H176" s="183"/>
      <c r="I176" s="183"/>
      <c r="J176" s="183"/>
      <c r="K176" s="183"/>
      <c r="L176" s="183"/>
      <c r="M176" s="183"/>
      <c r="N176" s="183"/>
      <c r="O176" s="183"/>
      <c r="P176" s="183"/>
      <c r="Q176" s="183"/>
      <c r="R176" s="183"/>
      <c r="S176" s="183"/>
      <c r="T176" s="183"/>
      <c r="U176" s="183"/>
      <c r="V176" s="202"/>
      <c r="W176" s="183"/>
      <c r="X176" s="5"/>
    </row>
    <row r="177" spans="1:24" ht="15.75" x14ac:dyDescent="0.25">
      <c r="A177" s="181"/>
      <c r="B177" s="191"/>
      <c r="C177" s="183"/>
      <c r="D177" s="183"/>
      <c r="E177" s="183"/>
      <c r="F177" s="183"/>
      <c r="G177" s="183"/>
      <c r="H177" s="183"/>
      <c r="I177" s="183"/>
      <c r="J177" s="183"/>
      <c r="K177" s="183"/>
      <c r="L177" s="183"/>
      <c r="M177" s="183"/>
      <c r="N177" s="183"/>
      <c r="O177" s="183"/>
      <c r="P177" s="183"/>
      <c r="Q177" s="183"/>
      <c r="R177" s="183"/>
      <c r="S177" s="183"/>
      <c r="T177" s="183"/>
      <c r="U177" s="183"/>
      <c r="V177" s="202"/>
      <c r="W177" s="183"/>
      <c r="X177" s="5"/>
    </row>
    <row r="178" spans="1:24" ht="15.75" x14ac:dyDescent="0.25">
      <c r="A178" s="285"/>
      <c r="B178" s="286" t="s">
        <v>57</v>
      </c>
      <c r="C178" s="286"/>
      <c r="D178" s="286"/>
      <c r="E178" s="286"/>
      <c r="F178" s="286"/>
      <c r="G178" s="286"/>
      <c r="H178" s="286"/>
      <c r="I178" s="286"/>
      <c r="J178" s="286"/>
      <c r="K178" s="286"/>
      <c r="L178" s="286"/>
      <c r="M178" s="286"/>
      <c r="N178" s="286"/>
      <c r="O178" s="286"/>
      <c r="P178" s="286"/>
      <c r="Q178" s="286"/>
      <c r="R178" s="286"/>
      <c r="S178" s="286"/>
      <c r="T178" s="286"/>
      <c r="U178" s="286"/>
      <c r="V178" s="338">
        <f>V71</f>
        <v>850414</v>
      </c>
      <c r="W178" s="289"/>
      <c r="X178" s="5"/>
    </row>
    <row r="179" spans="1:24" ht="15.75" x14ac:dyDescent="0.25">
      <c r="A179" s="285"/>
      <c r="B179" s="286" t="s">
        <v>58</v>
      </c>
      <c r="C179" s="286"/>
      <c r="D179" s="286"/>
      <c r="E179" s="286"/>
      <c r="F179" s="286"/>
      <c r="G179" s="286"/>
      <c r="H179" s="286"/>
      <c r="I179" s="286"/>
      <c r="J179" s="286"/>
      <c r="K179" s="286"/>
      <c r="L179" s="286"/>
      <c r="M179" s="286"/>
      <c r="N179" s="286"/>
      <c r="O179" s="286"/>
      <c r="P179" s="286"/>
      <c r="Q179" s="286"/>
      <c r="R179" s="286"/>
      <c r="S179" s="286"/>
      <c r="T179" s="286"/>
      <c r="U179" s="286"/>
      <c r="V179" s="338">
        <f>V84</f>
        <v>850414</v>
      </c>
      <c r="W179" s="289"/>
      <c r="X179" s="5"/>
    </row>
    <row r="180" spans="1:24" ht="16.5" thickBot="1" x14ac:dyDescent="0.3">
      <c r="A180" s="181"/>
      <c r="B180" s="212"/>
      <c r="C180" s="212"/>
      <c r="D180" s="212"/>
      <c r="E180" s="212"/>
      <c r="F180" s="212"/>
      <c r="G180" s="212"/>
      <c r="H180" s="212"/>
      <c r="I180" s="212"/>
      <c r="J180" s="212"/>
      <c r="K180" s="212"/>
      <c r="L180" s="212"/>
      <c r="M180" s="212"/>
      <c r="N180" s="212"/>
      <c r="O180" s="212"/>
      <c r="P180" s="212"/>
      <c r="Q180" s="212"/>
      <c r="R180" s="212"/>
      <c r="S180" s="212"/>
      <c r="T180" s="212"/>
      <c r="U180" s="212"/>
      <c r="V180" s="344"/>
      <c r="W180" s="212"/>
      <c r="X180" s="5"/>
    </row>
    <row r="181" spans="1:24" ht="15.75" x14ac:dyDescent="0.25">
      <c r="A181" s="179"/>
      <c r="B181" s="180"/>
      <c r="C181" s="180"/>
      <c r="D181" s="180"/>
      <c r="E181" s="180"/>
      <c r="F181" s="180"/>
      <c r="G181" s="180"/>
      <c r="H181" s="180"/>
      <c r="I181" s="180"/>
      <c r="J181" s="180"/>
      <c r="K181" s="180"/>
      <c r="L181" s="180"/>
      <c r="M181" s="180"/>
      <c r="N181" s="180"/>
      <c r="O181" s="180"/>
      <c r="P181" s="180"/>
      <c r="Q181" s="180"/>
      <c r="R181" s="180"/>
      <c r="S181" s="180"/>
      <c r="T181" s="180"/>
      <c r="U181" s="180"/>
      <c r="V181" s="201"/>
      <c r="W181" s="180"/>
      <c r="X181" s="5"/>
    </row>
    <row r="182" spans="1:24" ht="15.75" x14ac:dyDescent="0.25">
      <c r="A182" s="181"/>
      <c r="B182" s="210" t="s">
        <v>59</v>
      </c>
      <c r="C182" s="206"/>
      <c r="D182" s="206"/>
      <c r="E182" s="206"/>
      <c r="F182" s="206"/>
      <c r="G182" s="206"/>
      <c r="H182" s="214"/>
      <c r="I182" s="214"/>
      <c r="J182" s="214"/>
      <c r="K182" s="214"/>
      <c r="L182" s="214"/>
      <c r="M182" s="214"/>
      <c r="N182" s="214"/>
      <c r="O182" s="214"/>
      <c r="P182" s="214"/>
      <c r="Q182" s="214"/>
      <c r="R182" s="214"/>
      <c r="S182" s="214" t="s">
        <v>101</v>
      </c>
      <c r="T182" s="214" t="s">
        <v>176</v>
      </c>
      <c r="U182" s="185"/>
      <c r="V182" s="215" t="s">
        <v>114</v>
      </c>
      <c r="W182" s="216"/>
      <c r="X182" s="5"/>
    </row>
    <row r="183" spans="1:24" ht="15.75" x14ac:dyDescent="0.25">
      <c r="A183" s="285"/>
      <c r="B183" s="286" t="s">
        <v>60</v>
      </c>
      <c r="C183" s="286"/>
      <c r="D183" s="286"/>
      <c r="E183" s="286"/>
      <c r="F183" s="286"/>
      <c r="G183" s="286"/>
      <c r="H183" s="286"/>
      <c r="I183" s="286"/>
      <c r="J183" s="286"/>
      <c r="K183" s="286"/>
      <c r="L183" s="286"/>
      <c r="M183" s="286"/>
      <c r="N183" s="286"/>
      <c r="O183" s="286"/>
      <c r="P183" s="286"/>
      <c r="Q183" s="286"/>
      <c r="R183" s="286"/>
      <c r="S183" s="338">
        <f>+V34*0.16</f>
        <v>160181.28</v>
      </c>
      <c r="T183" s="325"/>
      <c r="U183" s="286"/>
      <c r="V183" s="338"/>
      <c r="W183" s="289"/>
      <c r="X183" s="5"/>
    </row>
    <row r="184" spans="1:24" ht="15.75" x14ac:dyDescent="0.25">
      <c r="A184" s="285"/>
      <c r="B184" s="286" t="s">
        <v>61</v>
      </c>
      <c r="C184" s="286"/>
      <c r="D184" s="286"/>
      <c r="E184" s="286"/>
      <c r="F184" s="286"/>
      <c r="G184" s="286"/>
      <c r="H184" s="286"/>
      <c r="I184" s="286"/>
      <c r="J184" s="286"/>
      <c r="K184" s="286"/>
      <c r="L184" s="286"/>
      <c r="M184" s="286"/>
      <c r="N184" s="286"/>
      <c r="O184" s="286"/>
      <c r="P184" s="286"/>
      <c r="Q184" s="286"/>
      <c r="R184" s="286"/>
      <c r="S184" s="338">
        <f>+'Aug 10'!S186</f>
        <v>10566</v>
      </c>
      <c r="T184" s="338">
        <f>+'Aug 10'!T186</f>
        <v>6090</v>
      </c>
      <c r="U184" s="286"/>
      <c r="V184" s="338">
        <f>S184+T184</f>
        <v>16656</v>
      </c>
      <c r="W184" s="289"/>
      <c r="X184" s="5"/>
    </row>
    <row r="185" spans="1:24" ht="15.75" x14ac:dyDescent="0.25">
      <c r="A185" s="285"/>
      <c r="B185" s="286" t="s">
        <v>62</v>
      </c>
      <c r="C185" s="286"/>
      <c r="D185" s="286"/>
      <c r="E185" s="286"/>
      <c r="F185" s="286"/>
      <c r="G185" s="286"/>
      <c r="H185" s="286"/>
      <c r="I185" s="286"/>
      <c r="J185" s="286"/>
      <c r="K185" s="286"/>
      <c r="L185" s="286"/>
      <c r="M185" s="286"/>
      <c r="N185" s="286"/>
      <c r="O185" s="286"/>
      <c r="P185" s="286"/>
      <c r="Q185" s="286"/>
      <c r="R185" s="286"/>
      <c r="S185" s="337">
        <f>44</f>
        <v>44</v>
      </c>
      <c r="T185" s="337">
        <v>0</v>
      </c>
      <c r="U185" s="286"/>
      <c r="V185" s="338">
        <f>S185+T185</f>
        <v>44</v>
      </c>
      <c r="W185" s="289"/>
      <c r="X185" s="5"/>
    </row>
    <row r="186" spans="1:24" ht="15.75" x14ac:dyDescent="0.25">
      <c r="A186" s="285"/>
      <c r="B186" s="286" t="s">
        <v>63</v>
      </c>
      <c r="C186" s="286"/>
      <c r="D186" s="286"/>
      <c r="E186" s="286"/>
      <c r="F186" s="286"/>
      <c r="G186" s="286"/>
      <c r="H186" s="286"/>
      <c r="I186" s="286"/>
      <c r="J186" s="286"/>
      <c r="K186" s="286"/>
      <c r="L186" s="286"/>
      <c r="M186" s="286"/>
      <c r="N186" s="286"/>
      <c r="O186" s="286"/>
      <c r="P186" s="286"/>
      <c r="Q186" s="286"/>
      <c r="R186" s="286"/>
      <c r="S186" s="338">
        <f>S184+S185</f>
        <v>10610</v>
      </c>
      <c r="T186" s="338">
        <f>T185+T184</f>
        <v>6090</v>
      </c>
      <c r="U186" s="286"/>
      <c r="V186" s="338">
        <f>S186+T186</f>
        <v>16700</v>
      </c>
      <c r="W186" s="289"/>
      <c r="X186" s="5"/>
    </row>
    <row r="187" spans="1:24" ht="15.75" x14ac:dyDescent="0.25">
      <c r="A187" s="285"/>
      <c r="B187" s="286" t="s">
        <v>64</v>
      </c>
      <c r="C187" s="286"/>
      <c r="D187" s="286"/>
      <c r="E187" s="286"/>
      <c r="F187" s="286"/>
      <c r="G187" s="286"/>
      <c r="H187" s="286"/>
      <c r="I187" s="286"/>
      <c r="J187" s="286"/>
      <c r="K187" s="286"/>
      <c r="L187" s="286"/>
      <c r="M187" s="286"/>
      <c r="N187" s="286"/>
      <c r="O187" s="286"/>
      <c r="P187" s="286"/>
      <c r="Q187" s="286"/>
      <c r="R187" s="286"/>
      <c r="S187" s="338">
        <f>S183-S186-T186</f>
        <v>143481.28</v>
      </c>
      <c r="T187" s="325"/>
      <c r="U187" s="286"/>
      <c r="V187" s="338"/>
      <c r="W187" s="289"/>
      <c r="X187" s="5"/>
    </row>
    <row r="188" spans="1:24" ht="16.5" thickBot="1" x14ac:dyDescent="0.3">
      <c r="A188" s="181"/>
      <c r="B188" s="212"/>
      <c r="C188" s="212"/>
      <c r="D188" s="212"/>
      <c r="E188" s="212"/>
      <c r="F188" s="212"/>
      <c r="G188" s="212"/>
      <c r="H188" s="212"/>
      <c r="I188" s="212"/>
      <c r="J188" s="212"/>
      <c r="K188" s="212"/>
      <c r="L188" s="212"/>
      <c r="M188" s="212"/>
      <c r="N188" s="212"/>
      <c r="O188" s="212"/>
      <c r="P188" s="212"/>
      <c r="Q188" s="212"/>
      <c r="R188" s="212"/>
      <c r="S188" s="212"/>
      <c r="T188" s="212"/>
      <c r="U188" s="212"/>
      <c r="V188" s="344"/>
      <c r="W188" s="212"/>
      <c r="X188" s="5"/>
    </row>
    <row r="189" spans="1:24" ht="15.75" x14ac:dyDescent="0.25">
      <c r="A189" s="179"/>
      <c r="B189" s="180"/>
      <c r="C189" s="180"/>
      <c r="D189" s="180"/>
      <c r="E189" s="180"/>
      <c r="F189" s="180"/>
      <c r="G189" s="180"/>
      <c r="H189" s="180"/>
      <c r="I189" s="180"/>
      <c r="J189" s="180"/>
      <c r="K189" s="180"/>
      <c r="L189" s="180"/>
      <c r="M189" s="180"/>
      <c r="N189" s="180"/>
      <c r="O189" s="180"/>
      <c r="P189" s="180"/>
      <c r="Q189" s="180"/>
      <c r="R189" s="180"/>
      <c r="S189" s="180"/>
      <c r="T189" s="180"/>
      <c r="U189" s="180"/>
      <c r="V189" s="201"/>
      <c r="W189" s="180"/>
      <c r="X189" s="5"/>
    </row>
    <row r="190" spans="1:24" ht="15.75" x14ac:dyDescent="0.25">
      <c r="A190" s="181"/>
      <c r="B190" s="210" t="s">
        <v>65</v>
      </c>
      <c r="C190" s="183"/>
      <c r="D190" s="183"/>
      <c r="E190" s="183"/>
      <c r="F190" s="183"/>
      <c r="G190" s="183"/>
      <c r="H190" s="183"/>
      <c r="I190" s="183"/>
      <c r="J190" s="183"/>
      <c r="K190" s="183"/>
      <c r="L190" s="183"/>
      <c r="M190" s="183"/>
      <c r="N190" s="183"/>
      <c r="O190" s="183"/>
      <c r="P190" s="183"/>
      <c r="Q190" s="183"/>
      <c r="R190" s="183"/>
      <c r="S190" s="183"/>
      <c r="T190" s="183"/>
      <c r="U190" s="183"/>
      <c r="V190" s="217"/>
      <c r="W190" s="183"/>
      <c r="X190" s="5"/>
    </row>
    <row r="191" spans="1:24" ht="15.75" x14ac:dyDescent="0.25">
      <c r="A191" s="285"/>
      <c r="B191" s="286" t="s">
        <v>66</v>
      </c>
      <c r="C191" s="286"/>
      <c r="D191" s="286"/>
      <c r="E191" s="286"/>
      <c r="F191" s="286"/>
      <c r="G191" s="286"/>
      <c r="H191" s="286"/>
      <c r="I191" s="286"/>
      <c r="J191" s="286"/>
      <c r="K191" s="286"/>
      <c r="L191" s="286"/>
      <c r="M191" s="286"/>
      <c r="N191" s="286"/>
      <c r="O191" s="286"/>
      <c r="P191" s="286"/>
      <c r="Q191" s="286"/>
      <c r="R191" s="286"/>
      <c r="S191" s="286"/>
      <c r="T191" s="286"/>
      <c r="U191" s="286"/>
      <c r="V191" s="343">
        <f>(V101+V103+V104+V105+V106)/-(V107+V108)</f>
        <v>3.3758434547908234</v>
      </c>
      <c r="W191" s="289" t="s">
        <v>115</v>
      </c>
      <c r="X191" s="5"/>
    </row>
    <row r="192" spans="1:24" ht="15.75" x14ac:dyDescent="0.25">
      <c r="A192" s="285"/>
      <c r="B192" s="286" t="s">
        <v>67</v>
      </c>
      <c r="C192" s="286"/>
      <c r="D192" s="286"/>
      <c r="E192" s="286"/>
      <c r="F192" s="286"/>
      <c r="G192" s="286"/>
      <c r="H192" s="286"/>
      <c r="I192" s="286"/>
      <c r="J192" s="286"/>
      <c r="K192" s="286"/>
      <c r="L192" s="286"/>
      <c r="M192" s="286"/>
      <c r="N192" s="286"/>
      <c r="O192" s="286"/>
      <c r="P192" s="286"/>
      <c r="Q192" s="286"/>
      <c r="R192" s="286"/>
      <c r="S192" s="286"/>
      <c r="T192" s="286"/>
      <c r="U192" s="286"/>
      <c r="V192" s="347">
        <v>1.59</v>
      </c>
      <c r="W192" s="289" t="s">
        <v>115</v>
      </c>
      <c r="X192" s="5"/>
    </row>
    <row r="193" spans="1:24" ht="15.75" x14ac:dyDescent="0.25">
      <c r="A193" s="285"/>
      <c r="B193" s="286" t="s">
        <v>68</v>
      </c>
      <c r="C193" s="286"/>
      <c r="D193" s="286"/>
      <c r="E193" s="286"/>
      <c r="F193" s="286"/>
      <c r="G193" s="286"/>
      <c r="H193" s="286"/>
      <c r="I193" s="286"/>
      <c r="J193" s="286"/>
      <c r="K193" s="286"/>
      <c r="L193" s="286"/>
      <c r="M193" s="286"/>
      <c r="N193" s="286"/>
      <c r="O193" s="286"/>
      <c r="P193" s="286"/>
      <c r="Q193" s="286"/>
      <c r="R193" s="286"/>
      <c r="S193" s="286"/>
      <c r="T193" s="286"/>
      <c r="U193" s="286"/>
      <c r="V193" s="343">
        <f>(V101+V103+V104+V105+V106+V107+V108)/-(V109+V110)</f>
        <v>18.434554973821989</v>
      </c>
      <c r="W193" s="289" t="s">
        <v>115</v>
      </c>
      <c r="X193" s="5"/>
    </row>
    <row r="194" spans="1:24" ht="15.75" x14ac:dyDescent="0.25">
      <c r="A194" s="285"/>
      <c r="B194" s="286" t="s">
        <v>69</v>
      </c>
      <c r="C194" s="286"/>
      <c r="D194" s="286"/>
      <c r="E194" s="286"/>
      <c r="F194" s="286"/>
      <c r="G194" s="286"/>
      <c r="H194" s="286"/>
      <c r="I194" s="286"/>
      <c r="J194" s="286"/>
      <c r="K194" s="286"/>
      <c r="L194" s="286"/>
      <c r="M194" s="286"/>
      <c r="N194" s="286"/>
      <c r="O194" s="286"/>
      <c r="P194" s="286"/>
      <c r="Q194" s="286"/>
      <c r="R194" s="286"/>
      <c r="S194" s="286"/>
      <c r="T194" s="286"/>
      <c r="U194" s="286"/>
      <c r="V194" s="347">
        <v>5.98</v>
      </c>
      <c r="W194" s="289" t="s">
        <v>115</v>
      </c>
      <c r="X194" s="5"/>
    </row>
    <row r="195" spans="1:24" ht="15.75" x14ac:dyDescent="0.25">
      <c r="A195" s="285"/>
      <c r="B195" s="286" t="s">
        <v>198</v>
      </c>
      <c r="C195" s="286"/>
      <c r="D195" s="286"/>
      <c r="E195" s="286"/>
      <c r="F195" s="286"/>
      <c r="G195" s="286"/>
      <c r="H195" s="286"/>
      <c r="I195" s="286"/>
      <c r="J195" s="286"/>
      <c r="K195" s="286"/>
      <c r="L195" s="286"/>
      <c r="M195" s="286"/>
      <c r="N195" s="286"/>
      <c r="O195" s="286"/>
      <c r="P195" s="286"/>
      <c r="Q195" s="286"/>
      <c r="R195" s="286"/>
      <c r="S195" s="286"/>
      <c r="T195" s="286"/>
      <c r="U195" s="286"/>
      <c r="V195" s="343">
        <f>(V101+V103+V104+V105+V106+V107+V108+V109+V110)/-(V111)</f>
        <v>13.266932270916335</v>
      </c>
      <c r="W195" s="289" t="s">
        <v>115</v>
      </c>
      <c r="X195" s="5"/>
    </row>
    <row r="196" spans="1:24" ht="15.75" x14ac:dyDescent="0.25">
      <c r="A196" s="285"/>
      <c r="B196" s="286" t="s">
        <v>199</v>
      </c>
      <c r="C196" s="286"/>
      <c r="D196" s="286"/>
      <c r="E196" s="286"/>
      <c r="F196" s="286"/>
      <c r="G196" s="286"/>
      <c r="H196" s="286"/>
      <c r="I196" s="286"/>
      <c r="J196" s="286"/>
      <c r="K196" s="286"/>
      <c r="L196" s="286"/>
      <c r="M196" s="286"/>
      <c r="N196" s="286"/>
      <c r="O196" s="286"/>
      <c r="P196" s="286"/>
      <c r="Q196" s="286"/>
      <c r="R196" s="286"/>
      <c r="S196" s="286"/>
      <c r="T196" s="286"/>
      <c r="U196" s="286"/>
      <c r="V196" s="347">
        <v>4.5599999999999996</v>
      </c>
      <c r="W196" s="289" t="s">
        <v>115</v>
      </c>
      <c r="X196" s="5"/>
    </row>
    <row r="197" spans="1:24" ht="15.75" x14ac:dyDescent="0.25">
      <c r="A197" s="285"/>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9"/>
      <c r="X197" s="5"/>
    </row>
    <row r="198" spans="1:24" ht="15.75" x14ac:dyDescent="0.25">
      <c r="A198" s="181"/>
      <c r="B198" s="346"/>
      <c r="C198" s="346"/>
      <c r="D198" s="346"/>
      <c r="E198" s="346"/>
      <c r="F198" s="346"/>
      <c r="G198" s="346"/>
      <c r="H198" s="346"/>
      <c r="I198" s="346"/>
      <c r="J198" s="346"/>
      <c r="K198" s="346"/>
      <c r="L198" s="346"/>
      <c r="M198" s="346"/>
      <c r="N198" s="346"/>
      <c r="O198" s="346"/>
      <c r="P198" s="346"/>
      <c r="Q198" s="346"/>
      <c r="R198" s="346"/>
      <c r="S198" s="346"/>
      <c r="T198" s="346"/>
      <c r="U198" s="346"/>
      <c r="V198" s="346"/>
      <c r="W198" s="346"/>
      <c r="X198" s="5"/>
    </row>
    <row r="199" spans="1:24" ht="15.75" x14ac:dyDescent="0.25">
      <c r="A199" s="181"/>
      <c r="B199" s="255"/>
      <c r="C199" s="255"/>
      <c r="D199" s="255"/>
      <c r="E199" s="255"/>
      <c r="F199" s="255"/>
      <c r="G199" s="255"/>
      <c r="H199" s="255"/>
      <c r="I199" s="255"/>
      <c r="J199" s="255"/>
      <c r="K199" s="255"/>
      <c r="L199" s="255"/>
      <c r="M199" s="255"/>
      <c r="N199" s="255"/>
      <c r="O199" s="255"/>
      <c r="P199" s="255"/>
      <c r="Q199" s="255"/>
      <c r="R199" s="255"/>
      <c r="S199" s="255"/>
      <c r="T199" s="255"/>
      <c r="U199" s="255"/>
      <c r="V199" s="255"/>
      <c r="W199" s="255"/>
      <c r="X199" s="5"/>
    </row>
    <row r="200" spans="1:24" ht="19.5" thickBot="1" x14ac:dyDescent="0.35">
      <c r="A200" s="197"/>
      <c r="B200" s="270" t="str">
        <f>B134</f>
        <v>PM15 INVESTOR REPORT QUARTER ENDING NOVEMBER 2010</v>
      </c>
      <c r="C200" s="271"/>
      <c r="D200" s="271"/>
      <c r="E200" s="271"/>
      <c r="F200" s="271"/>
      <c r="G200" s="271"/>
      <c r="H200" s="271"/>
      <c r="I200" s="271"/>
      <c r="J200" s="271"/>
      <c r="K200" s="271"/>
      <c r="L200" s="271"/>
      <c r="M200" s="271"/>
      <c r="N200" s="271"/>
      <c r="O200" s="271"/>
      <c r="P200" s="271"/>
      <c r="Q200" s="271"/>
      <c r="R200" s="271"/>
      <c r="S200" s="271"/>
      <c r="T200" s="271"/>
      <c r="U200" s="271"/>
      <c r="V200" s="271"/>
      <c r="W200" s="272"/>
      <c r="X200" s="5"/>
    </row>
    <row r="201" spans="1:24" ht="15.75" x14ac:dyDescent="0.25">
      <c r="A201" s="236"/>
      <c r="B201" s="237" t="s">
        <v>70</v>
      </c>
      <c r="C201" s="240"/>
      <c r="D201" s="240"/>
      <c r="E201" s="240"/>
      <c r="F201" s="240"/>
      <c r="G201" s="241"/>
      <c r="H201" s="241"/>
      <c r="I201" s="241"/>
      <c r="J201" s="241"/>
      <c r="K201" s="241"/>
      <c r="L201" s="241"/>
      <c r="M201" s="241"/>
      <c r="N201" s="241"/>
      <c r="O201" s="241"/>
      <c r="P201" s="241"/>
      <c r="Q201" s="241"/>
      <c r="R201" s="241"/>
      <c r="S201" s="241"/>
      <c r="T201" s="241">
        <v>40512</v>
      </c>
      <c r="U201" s="238"/>
      <c r="V201" s="238"/>
      <c r="W201" s="238"/>
      <c r="X201" s="5"/>
    </row>
    <row r="202" spans="1:24" ht="15.75" x14ac:dyDescent="0.25">
      <c r="A202" s="218"/>
      <c r="B202" s="219"/>
      <c r="C202" s="220"/>
      <c r="D202" s="220"/>
      <c r="E202" s="220"/>
      <c r="F202" s="220"/>
      <c r="G202" s="221"/>
      <c r="H202" s="221"/>
      <c r="I202" s="221"/>
      <c r="J202" s="221"/>
      <c r="K202" s="221"/>
      <c r="L202" s="221"/>
      <c r="M202" s="221"/>
      <c r="N202" s="221"/>
      <c r="O202" s="221"/>
      <c r="P202" s="221"/>
      <c r="Q202" s="221"/>
      <c r="R202" s="221"/>
      <c r="S202" s="221"/>
      <c r="T202" s="221"/>
      <c r="U202" s="183"/>
      <c r="V202" s="183"/>
      <c r="W202" s="183"/>
      <c r="X202" s="5"/>
    </row>
    <row r="203" spans="1:24" ht="15.75" x14ac:dyDescent="0.25">
      <c r="A203" s="350"/>
      <c r="B203" s="286" t="s">
        <v>71</v>
      </c>
      <c r="C203" s="351"/>
      <c r="D203" s="351"/>
      <c r="E203" s="351"/>
      <c r="F203" s="351"/>
      <c r="G203" s="330"/>
      <c r="H203" s="330"/>
      <c r="I203" s="330"/>
      <c r="J203" s="330"/>
      <c r="K203" s="330"/>
      <c r="L203" s="330"/>
      <c r="M203" s="330"/>
      <c r="N203" s="330"/>
      <c r="O203" s="330"/>
      <c r="P203" s="330"/>
      <c r="Q203" s="330"/>
      <c r="R203" s="330"/>
      <c r="S203" s="330"/>
      <c r="T203" s="321">
        <v>5.3830000000000003E-2</v>
      </c>
      <c r="U203" s="286"/>
      <c r="V203" s="286"/>
      <c r="W203" s="289"/>
      <c r="X203" s="5"/>
    </row>
    <row r="204" spans="1:24" ht="15.75" x14ac:dyDescent="0.25">
      <c r="A204" s="350"/>
      <c r="B204" s="286" t="s">
        <v>151</v>
      </c>
      <c r="C204" s="351"/>
      <c r="D204" s="351"/>
      <c r="E204" s="351"/>
      <c r="F204" s="351"/>
      <c r="G204" s="330"/>
      <c r="H204" s="330"/>
      <c r="I204" s="330"/>
      <c r="J204" s="330"/>
      <c r="K204" s="330"/>
      <c r="L204" s="330"/>
      <c r="M204" s="330"/>
      <c r="N204" s="330"/>
      <c r="O204" s="330"/>
      <c r="P204" s="330"/>
      <c r="Q204" s="330"/>
      <c r="R204" s="330"/>
      <c r="S204" s="330"/>
      <c r="T204" s="321">
        <v>6.25E-2</v>
      </c>
      <c r="U204" s="286"/>
      <c r="V204" s="286"/>
      <c r="W204" s="289"/>
      <c r="X204" s="5"/>
    </row>
    <row r="205" spans="1:24" ht="15.75" x14ac:dyDescent="0.25">
      <c r="A205" s="350"/>
      <c r="B205" s="286" t="s">
        <v>72</v>
      </c>
      <c r="C205" s="351"/>
      <c r="D205" s="351"/>
      <c r="E205" s="351"/>
      <c r="F205" s="351"/>
      <c r="G205" s="330"/>
      <c r="H205" s="330"/>
      <c r="I205" s="330"/>
      <c r="J205" s="330"/>
      <c r="K205" s="330"/>
      <c r="L205" s="330"/>
      <c r="M205" s="330"/>
      <c r="N205" s="330"/>
      <c r="O205" s="330"/>
      <c r="P205" s="330"/>
      <c r="Q205" s="330"/>
      <c r="R205" s="330"/>
      <c r="S205" s="330"/>
      <c r="T205" s="321">
        <f>T203-T204</f>
        <v>-8.6699999999999972E-3</v>
      </c>
      <c r="U205" s="286"/>
      <c r="V205" s="286"/>
      <c r="W205" s="289"/>
      <c r="X205" s="5"/>
    </row>
    <row r="206" spans="1:24" ht="15.75" x14ac:dyDescent="0.25">
      <c r="A206" s="350"/>
      <c r="B206" s="286" t="s">
        <v>73</v>
      </c>
      <c r="C206" s="351"/>
      <c r="D206" s="351"/>
      <c r="E206" s="351"/>
      <c r="F206" s="351"/>
      <c r="G206" s="330"/>
      <c r="H206" s="330"/>
      <c r="I206" s="330"/>
      <c r="J206" s="330"/>
      <c r="K206" s="330"/>
      <c r="L206" s="330"/>
      <c r="M206" s="330"/>
      <c r="N206" s="330"/>
      <c r="O206" s="330"/>
      <c r="P206" s="330"/>
      <c r="Q206" s="330"/>
      <c r="R206" s="330"/>
      <c r="S206" s="330"/>
      <c r="T206" s="321">
        <v>2.743E-2</v>
      </c>
      <c r="U206" s="286"/>
      <c r="V206" s="286"/>
      <c r="W206" s="289"/>
      <c r="X206" s="5"/>
    </row>
    <row r="207" spans="1:24" ht="15.75" x14ac:dyDescent="0.25">
      <c r="A207" s="350"/>
      <c r="B207" s="286" t="s">
        <v>218</v>
      </c>
      <c r="C207" s="351"/>
      <c r="D207" s="351"/>
      <c r="E207" s="351"/>
      <c r="F207" s="351"/>
      <c r="G207" s="330"/>
      <c r="H207" s="330"/>
      <c r="I207" s="330"/>
      <c r="J207" s="330"/>
      <c r="K207" s="330"/>
      <c r="L207" s="330"/>
      <c r="M207" s="330"/>
      <c r="N207" s="330"/>
      <c r="O207" s="330"/>
      <c r="P207" s="330"/>
      <c r="Q207" s="330"/>
      <c r="R207" s="330"/>
      <c r="S207" s="330"/>
      <c r="T207" s="321">
        <f>V43</f>
        <v>9.0328490908523715E-3</v>
      </c>
      <c r="U207" s="286"/>
      <c r="V207" s="286"/>
      <c r="W207" s="289"/>
      <c r="X207" s="5"/>
    </row>
    <row r="208" spans="1:24" ht="15.75" x14ac:dyDescent="0.25">
      <c r="A208" s="350"/>
      <c r="B208" s="286" t="s">
        <v>74</v>
      </c>
      <c r="C208" s="351"/>
      <c r="D208" s="351"/>
      <c r="E208" s="351"/>
      <c r="F208" s="351"/>
      <c r="G208" s="330"/>
      <c r="H208" s="330"/>
      <c r="I208" s="330"/>
      <c r="J208" s="330"/>
      <c r="K208" s="330"/>
      <c r="L208" s="330"/>
      <c r="M208" s="330"/>
      <c r="N208" s="330"/>
      <c r="O208" s="330"/>
      <c r="P208" s="330"/>
      <c r="Q208" s="330"/>
      <c r="R208" s="330"/>
      <c r="S208" s="330"/>
      <c r="T208" s="321">
        <f>T206-T207</f>
        <v>1.8397150909147626E-2</v>
      </c>
      <c r="U208" s="286"/>
      <c r="V208" s="286"/>
      <c r="W208" s="289"/>
      <c r="X208" s="5"/>
    </row>
    <row r="209" spans="1:24" ht="15.75" x14ac:dyDescent="0.25">
      <c r="A209" s="350"/>
      <c r="B209" s="286" t="s">
        <v>227</v>
      </c>
      <c r="C209" s="351"/>
      <c r="D209" s="351"/>
      <c r="E209" s="351"/>
      <c r="F209" s="351"/>
      <c r="G209" s="330"/>
      <c r="H209" s="330"/>
      <c r="I209" s="330"/>
      <c r="J209" s="330"/>
      <c r="K209" s="330"/>
      <c r="L209" s="330"/>
      <c r="M209" s="330"/>
      <c r="N209" s="330"/>
      <c r="O209" s="330"/>
      <c r="P209" s="330"/>
      <c r="Q209" s="330"/>
      <c r="R209" s="330"/>
      <c r="S209" s="330"/>
      <c r="T209" s="321">
        <f>V101/N71</f>
        <v>6.7503437783434268E-3</v>
      </c>
      <c r="U209" s="286"/>
      <c r="V209" s="286"/>
      <c r="W209" s="289"/>
      <c r="X209" s="5"/>
    </row>
    <row r="210" spans="1:24" ht="15.75" x14ac:dyDescent="0.25">
      <c r="A210" s="350"/>
      <c r="B210" s="286" t="s">
        <v>207</v>
      </c>
      <c r="C210" s="351"/>
      <c r="D210" s="351"/>
      <c r="E210" s="351"/>
      <c r="F210" s="351"/>
      <c r="G210" s="330"/>
      <c r="H210" s="330"/>
      <c r="I210" s="330"/>
      <c r="J210" s="330"/>
      <c r="K210" s="330"/>
      <c r="L210" s="330"/>
      <c r="M210" s="330"/>
      <c r="N210" s="330"/>
      <c r="O210" s="330"/>
      <c r="P210" s="330"/>
      <c r="Q210" s="330"/>
      <c r="R210" s="330"/>
      <c r="S210" s="330"/>
      <c r="T210" s="352">
        <v>51105</v>
      </c>
      <c r="U210" s="286"/>
      <c r="V210" s="286"/>
      <c r="W210" s="289"/>
      <c r="X210" s="5"/>
    </row>
    <row r="211" spans="1:24" ht="15.75" x14ac:dyDescent="0.25">
      <c r="A211" s="350"/>
      <c r="B211" s="286" t="s">
        <v>208</v>
      </c>
      <c r="C211" s="351"/>
      <c r="D211" s="351"/>
      <c r="E211" s="351"/>
      <c r="F211" s="351"/>
      <c r="G211" s="330"/>
      <c r="H211" s="330"/>
      <c r="I211" s="330"/>
      <c r="J211" s="330"/>
      <c r="K211" s="330"/>
      <c r="L211" s="330"/>
      <c r="M211" s="330"/>
      <c r="N211" s="330"/>
      <c r="O211" s="330"/>
      <c r="P211" s="330"/>
      <c r="Q211" s="330"/>
      <c r="R211" s="330"/>
      <c r="S211" s="330"/>
      <c r="T211" s="352">
        <v>51105</v>
      </c>
      <c r="U211" s="286"/>
      <c r="V211" s="286"/>
      <c r="W211" s="289"/>
      <c r="X211" s="5"/>
    </row>
    <row r="212" spans="1:24" ht="15.75" x14ac:dyDescent="0.25">
      <c r="A212" s="350"/>
      <c r="B212" s="286" t="s">
        <v>209</v>
      </c>
      <c r="C212" s="351"/>
      <c r="D212" s="351"/>
      <c r="E212" s="351"/>
      <c r="F212" s="351"/>
      <c r="G212" s="330"/>
      <c r="H212" s="330"/>
      <c r="I212" s="330"/>
      <c r="J212" s="330"/>
      <c r="K212" s="330"/>
      <c r="L212" s="330"/>
      <c r="M212" s="330"/>
      <c r="N212" s="330"/>
      <c r="O212" s="330"/>
      <c r="P212" s="330"/>
      <c r="Q212" s="330"/>
      <c r="R212" s="330"/>
      <c r="S212" s="330"/>
      <c r="T212" s="352">
        <v>51105</v>
      </c>
      <c r="U212" s="286"/>
      <c r="V212" s="286"/>
      <c r="W212" s="289"/>
      <c r="X212" s="5"/>
    </row>
    <row r="213" spans="1:24" ht="15.75" x14ac:dyDescent="0.25">
      <c r="A213" s="350"/>
      <c r="B213" s="286" t="s">
        <v>75</v>
      </c>
      <c r="C213" s="351"/>
      <c r="D213" s="351"/>
      <c r="E213" s="351"/>
      <c r="F213" s="351"/>
      <c r="G213" s="330"/>
      <c r="H213" s="330"/>
      <c r="I213" s="330"/>
      <c r="J213" s="330"/>
      <c r="K213" s="330"/>
      <c r="L213" s="330"/>
      <c r="M213" s="330"/>
      <c r="N213" s="330"/>
      <c r="O213" s="330"/>
      <c r="P213" s="330"/>
      <c r="Q213" s="330"/>
      <c r="R213" s="330"/>
      <c r="S213" s="330"/>
      <c r="T213" s="327">
        <v>21.06</v>
      </c>
      <c r="U213" s="286" t="s">
        <v>110</v>
      </c>
      <c r="V213" s="286"/>
      <c r="W213" s="289"/>
      <c r="X213" s="5"/>
    </row>
    <row r="214" spans="1:24" ht="15.75" x14ac:dyDescent="0.25">
      <c r="A214" s="350"/>
      <c r="B214" s="286" t="s">
        <v>76</v>
      </c>
      <c r="C214" s="351"/>
      <c r="D214" s="351"/>
      <c r="E214" s="351"/>
      <c r="F214" s="351"/>
      <c r="G214" s="330"/>
      <c r="H214" s="330"/>
      <c r="I214" s="330"/>
      <c r="J214" s="330"/>
      <c r="K214" s="330"/>
      <c r="L214" s="330"/>
      <c r="M214" s="330"/>
      <c r="N214" s="330"/>
      <c r="O214" s="330"/>
      <c r="P214" s="330"/>
      <c r="Q214" s="330"/>
      <c r="R214" s="330"/>
      <c r="S214" s="330"/>
      <c r="T214" s="327">
        <v>17.84</v>
      </c>
      <c r="U214" s="286" t="s">
        <v>110</v>
      </c>
      <c r="V214" s="286"/>
      <c r="W214" s="289"/>
      <c r="X214" s="5"/>
    </row>
    <row r="215" spans="1:24" ht="15.75" x14ac:dyDescent="0.25">
      <c r="A215" s="350"/>
      <c r="B215" s="286" t="s">
        <v>77</v>
      </c>
      <c r="C215" s="351"/>
      <c r="D215" s="351"/>
      <c r="E215" s="351"/>
      <c r="F215" s="351"/>
      <c r="G215" s="330"/>
      <c r="H215" s="330"/>
      <c r="I215" s="330"/>
      <c r="J215" s="330"/>
      <c r="K215" s="330"/>
      <c r="L215" s="330"/>
      <c r="M215" s="330"/>
      <c r="N215" s="330"/>
      <c r="O215" s="330"/>
      <c r="P215" s="330"/>
      <c r="Q215" s="330"/>
      <c r="R215" s="330"/>
      <c r="S215" s="330"/>
      <c r="T215" s="321">
        <f>+P68/N68</f>
        <v>4.8251850551508232E-3</v>
      </c>
      <c r="U215" s="286"/>
      <c r="V215" s="286"/>
      <c r="W215" s="289"/>
      <c r="X215" s="5"/>
    </row>
    <row r="216" spans="1:24" ht="15.75" x14ac:dyDescent="0.25">
      <c r="A216" s="350"/>
      <c r="B216" s="286" t="s">
        <v>78</v>
      </c>
      <c r="C216" s="351"/>
      <c r="D216" s="351"/>
      <c r="E216" s="351"/>
      <c r="F216" s="351"/>
      <c r="G216" s="330"/>
      <c r="H216" s="330"/>
      <c r="I216" s="330"/>
      <c r="J216" s="330"/>
      <c r="K216" s="330"/>
      <c r="L216" s="330"/>
      <c r="M216" s="330"/>
      <c r="N216" s="330"/>
      <c r="O216" s="330"/>
      <c r="P216" s="330"/>
      <c r="Q216" s="330"/>
      <c r="R216" s="330"/>
      <c r="S216" s="330"/>
      <c r="T216" s="321">
        <v>5.0700000000000002E-2</v>
      </c>
      <c r="U216" s="286"/>
      <c r="V216" s="286"/>
      <c r="W216" s="289"/>
      <c r="X216" s="5"/>
    </row>
    <row r="217" spans="1:24" ht="15.75" x14ac:dyDescent="0.25">
      <c r="A217" s="218"/>
      <c r="B217" s="348"/>
      <c r="C217" s="348"/>
      <c r="D217" s="348"/>
      <c r="E217" s="348"/>
      <c r="F217" s="348"/>
      <c r="G217" s="212"/>
      <c r="H217" s="212"/>
      <c r="I217" s="212"/>
      <c r="J217" s="212"/>
      <c r="K217" s="212"/>
      <c r="L217" s="212"/>
      <c r="M217" s="212"/>
      <c r="N217" s="212"/>
      <c r="O217" s="212"/>
      <c r="P217" s="212"/>
      <c r="Q217" s="212"/>
      <c r="R217" s="212"/>
      <c r="S217" s="212"/>
      <c r="T217" s="344"/>
      <c r="U217" s="212"/>
      <c r="V217" s="349"/>
      <c r="W217" s="212"/>
      <c r="X217" s="5"/>
    </row>
    <row r="218" spans="1:24" ht="15.75" x14ac:dyDescent="0.25">
      <c r="A218" s="242"/>
      <c r="B218" s="232" t="s">
        <v>79</v>
      </c>
      <c r="C218" s="233"/>
      <c r="D218" s="233"/>
      <c r="E218" s="233"/>
      <c r="F218" s="243"/>
      <c r="G218" s="233"/>
      <c r="H218" s="233"/>
      <c r="I218" s="233"/>
      <c r="J218" s="233"/>
      <c r="K218" s="233"/>
      <c r="L218" s="233"/>
      <c r="M218" s="233"/>
      <c r="N218" s="233"/>
      <c r="O218" s="233"/>
      <c r="P218" s="233"/>
      <c r="Q218" s="233"/>
      <c r="R218" s="233"/>
      <c r="S218" s="233" t="s">
        <v>102</v>
      </c>
      <c r="T218" s="243" t="s">
        <v>108</v>
      </c>
      <c r="U218" s="225"/>
      <c r="V218" s="225"/>
      <c r="W218" s="225"/>
      <c r="X218" s="5"/>
    </row>
    <row r="219" spans="1:24" ht="15.75" x14ac:dyDescent="0.25">
      <c r="A219" s="222"/>
      <c r="B219" s="250" t="s">
        <v>80</v>
      </c>
      <c r="C219" s="249"/>
      <c r="D219" s="249"/>
      <c r="E219" s="249"/>
      <c r="F219" s="250"/>
      <c r="G219" s="250"/>
      <c r="H219" s="268"/>
      <c r="I219" s="268"/>
      <c r="J219" s="268"/>
      <c r="K219" s="268"/>
      <c r="L219" s="268"/>
      <c r="M219" s="268"/>
      <c r="N219" s="268"/>
      <c r="O219" s="268"/>
      <c r="P219" s="268"/>
      <c r="Q219" s="268"/>
      <c r="R219" s="268"/>
      <c r="S219" s="268">
        <v>0</v>
      </c>
      <c r="T219" s="269">
        <v>0</v>
      </c>
      <c r="U219" s="250"/>
      <c r="V219" s="266"/>
      <c r="W219" s="223"/>
      <c r="X219" s="5"/>
    </row>
    <row r="220" spans="1:24" ht="15.75" x14ac:dyDescent="0.25">
      <c r="A220" s="358"/>
      <c r="B220" s="286" t="s">
        <v>145</v>
      </c>
      <c r="C220" s="337"/>
      <c r="D220" s="337"/>
      <c r="E220" s="337"/>
      <c r="F220" s="286"/>
      <c r="G220" s="286"/>
      <c r="H220" s="296"/>
      <c r="I220" s="296"/>
      <c r="J220" s="296"/>
      <c r="K220" s="296"/>
      <c r="L220" s="296"/>
      <c r="M220" s="296"/>
      <c r="N220" s="296"/>
      <c r="O220" s="296"/>
      <c r="P220" s="296"/>
      <c r="Q220" s="296"/>
      <c r="R220" s="296"/>
      <c r="S220" s="359">
        <f>+R272</f>
        <v>141</v>
      </c>
      <c r="T220" s="360">
        <f>+T272</f>
        <v>23713</v>
      </c>
      <c r="U220" s="286"/>
      <c r="V220" s="361"/>
      <c r="W220" s="362"/>
      <c r="X220" s="5"/>
    </row>
    <row r="221" spans="1:24" ht="15.75" x14ac:dyDescent="0.25">
      <c r="A221" s="358"/>
      <c r="B221" s="286" t="s">
        <v>81</v>
      </c>
      <c r="C221" s="337"/>
      <c r="D221" s="337"/>
      <c r="E221" s="337"/>
      <c r="F221" s="286"/>
      <c r="G221" s="286"/>
      <c r="H221" s="296"/>
      <c r="I221" s="296"/>
      <c r="J221" s="296"/>
      <c r="K221" s="296"/>
      <c r="L221" s="296"/>
      <c r="M221" s="296"/>
      <c r="N221" s="296"/>
      <c r="O221" s="296"/>
      <c r="P221" s="296"/>
      <c r="Q221" s="296"/>
      <c r="R221" s="296"/>
      <c r="S221" s="359">
        <v>0</v>
      </c>
      <c r="T221" s="360">
        <v>0</v>
      </c>
      <c r="U221" s="286"/>
      <c r="V221" s="361"/>
      <c r="W221" s="362"/>
      <c r="X221" s="5"/>
    </row>
    <row r="222" spans="1:24" ht="15.75" x14ac:dyDescent="0.25">
      <c r="A222" s="358"/>
      <c r="B222" s="313" t="s">
        <v>82</v>
      </c>
      <c r="C222" s="363"/>
      <c r="D222" s="363"/>
      <c r="E222" s="363"/>
      <c r="F222" s="314"/>
      <c r="G222" s="314"/>
      <c r="H222" s="314"/>
      <c r="I222" s="314"/>
      <c r="J222" s="314"/>
      <c r="K222" s="314"/>
      <c r="L222" s="314"/>
      <c r="M222" s="314"/>
      <c r="N222" s="314"/>
      <c r="O222" s="314"/>
      <c r="P222" s="314"/>
      <c r="Q222" s="314"/>
      <c r="R222" s="314"/>
      <c r="S222" s="286"/>
      <c r="T222" s="360">
        <v>0</v>
      </c>
      <c r="U222" s="314"/>
      <c r="V222" s="364"/>
      <c r="W222" s="362"/>
      <c r="X222" s="5"/>
    </row>
    <row r="223" spans="1:24" ht="15.75" x14ac:dyDescent="0.25">
      <c r="A223" s="358"/>
      <c r="B223" s="313" t="s">
        <v>228</v>
      </c>
      <c r="C223" s="363"/>
      <c r="D223" s="363"/>
      <c r="E223" s="363"/>
      <c r="F223" s="314"/>
      <c r="G223" s="314"/>
      <c r="H223" s="314"/>
      <c r="I223" s="314"/>
      <c r="J223" s="314"/>
      <c r="K223" s="314"/>
      <c r="L223" s="314"/>
      <c r="M223" s="314"/>
      <c r="N223" s="314"/>
      <c r="O223" s="314"/>
      <c r="P223" s="314"/>
      <c r="Q223" s="314"/>
      <c r="R223" s="314"/>
      <c r="S223" s="286"/>
      <c r="T223" s="360">
        <f>+N81</f>
        <v>0</v>
      </c>
      <c r="U223" s="314"/>
      <c r="V223" s="364"/>
      <c r="W223" s="362"/>
      <c r="X223" s="5"/>
    </row>
    <row r="224" spans="1:24" ht="15.75" x14ac:dyDescent="0.25">
      <c r="A224" s="365"/>
      <c r="B224" s="313" t="s">
        <v>83</v>
      </c>
      <c r="C224" s="366"/>
      <c r="D224" s="366"/>
      <c r="E224" s="366"/>
      <c r="F224" s="366"/>
      <c r="G224" s="314"/>
      <c r="H224" s="314"/>
      <c r="I224" s="314"/>
      <c r="J224" s="314"/>
      <c r="K224" s="314"/>
      <c r="L224" s="314"/>
      <c r="M224" s="314"/>
      <c r="N224" s="314"/>
      <c r="O224" s="314"/>
      <c r="P224" s="314"/>
      <c r="Q224" s="314"/>
      <c r="R224" s="314"/>
      <c r="S224" s="286"/>
      <c r="T224" s="360"/>
      <c r="U224" s="314"/>
      <c r="V224" s="364"/>
      <c r="W224" s="367"/>
      <c r="X224" s="5"/>
    </row>
    <row r="225" spans="1:25" ht="15.75" x14ac:dyDescent="0.25">
      <c r="A225" s="365"/>
      <c r="B225" s="291" t="s">
        <v>84</v>
      </c>
      <c r="C225" s="366"/>
      <c r="D225" s="366"/>
      <c r="E225" s="366"/>
      <c r="F225" s="366"/>
      <c r="G225" s="314"/>
      <c r="H225" s="314"/>
      <c r="I225" s="314"/>
      <c r="J225" s="314"/>
      <c r="K225" s="314"/>
      <c r="L225" s="314"/>
      <c r="M225" s="314"/>
      <c r="N225" s="314"/>
      <c r="O225" s="314"/>
      <c r="P225" s="314"/>
      <c r="Q225" s="314"/>
      <c r="R225" s="314"/>
      <c r="S225" s="296"/>
      <c r="T225" s="360">
        <f>V163</f>
        <v>300</v>
      </c>
      <c r="U225" s="314"/>
      <c r="V225" s="364"/>
      <c r="W225" s="367"/>
      <c r="X225" s="5"/>
    </row>
    <row r="226" spans="1:25" ht="15.75" x14ac:dyDescent="0.25">
      <c r="A226" s="358"/>
      <c r="B226" s="286" t="s">
        <v>85</v>
      </c>
      <c r="C226" s="363"/>
      <c r="D226" s="363"/>
      <c r="E226" s="363"/>
      <c r="F226" s="363"/>
      <c r="G226" s="314"/>
      <c r="H226" s="314"/>
      <c r="I226" s="314"/>
      <c r="J226" s="314"/>
      <c r="K226" s="314"/>
      <c r="L226" s="314"/>
      <c r="M226" s="314"/>
      <c r="N226" s="314"/>
      <c r="O226" s="314"/>
      <c r="P226" s="314"/>
      <c r="Q226" s="314"/>
      <c r="R226" s="314"/>
      <c r="S226" s="296"/>
      <c r="T226" s="360">
        <f>'Aug 10'!T226+T225</f>
        <v>2102</v>
      </c>
      <c r="U226" s="314"/>
      <c r="V226" s="364"/>
      <c r="W226" s="367"/>
      <c r="X226" s="5"/>
    </row>
    <row r="227" spans="1:25" ht="15.75" x14ac:dyDescent="0.25">
      <c r="A227" s="365"/>
      <c r="B227" s="313" t="s">
        <v>285</v>
      </c>
      <c r="C227" s="366"/>
      <c r="D227" s="366"/>
      <c r="E227" s="366"/>
      <c r="F227" s="366"/>
      <c r="G227" s="314"/>
      <c r="H227" s="314"/>
      <c r="I227" s="314"/>
      <c r="J227" s="314"/>
      <c r="K227" s="314"/>
      <c r="L227" s="314"/>
      <c r="M227" s="314"/>
      <c r="N227" s="314"/>
      <c r="O227" s="314"/>
      <c r="P227" s="314"/>
      <c r="Q227" s="314"/>
      <c r="R227" s="314"/>
      <c r="S227" s="296"/>
      <c r="T227" s="360"/>
      <c r="U227" s="314"/>
      <c r="V227" s="364"/>
      <c r="W227" s="367"/>
      <c r="X227" s="5"/>
    </row>
    <row r="228" spans="1:25" ht="15.75" x14ac:dyDescent="0.25">
      <c r="A228" s="365"/>
      <c r="B228" s="286" t="s">
        <v>282</v>
      </c>
      <c r="C228" s="366"/>
      <c r="D228" s="366"/>
      <c r="E228" s="366"/>
      <c r="F228" s="366"/>
      <c r="G228" s="314"/>
      <c r="H228" s="314"/>
      <c r="I228" s="314"/>
      <c r="J228" s="314"/>
      <c r="K228" s="314"/>
      <c r="L228" s="314"/>
      <c r="M228" s="314"/>
      <c r="N228" s="314"/>
      <c r="O228" s="314"/>
      <c r="P228" s="314"/>
      <c r="Q228" s="314"/>
      <c r="R228" s="314"/>
      <c r="S228" s="296">
        <v>0</v>
      </c>
      <c r="T228" s="360">
        <v>0</v>
      </c>
      <c r="U228" s="314"/>
      <c r="V228" s="364"/>
      <c r="W228" s="367"/>
      <c r="X228" s="5"/>
    </row>
    <row r="229" spans="1:25" ht="15.75" x14ac:dyDescent="0.25">
      <c r="A229" s="358"/>
      <c r="B229" s="286" t="s">
        <v>86</v>
      </c>
      <c r="C229" s="368"/>
      <c r="D229" s="368"/>
      <c r="E229" s="368"/>
      <c r="F229" s="369"/>
      <c r="G229" s="314"/>
      <c r="H229" s="314"/>
      <c r="I229" s="314"/>
      <c r="J229" s="314"/>
      <c r="K229" s="314"/>
      <c r="L229" s="314"/>
      <c r="M229" s="314"/>
      <c r="N229" s="314"/>
      <c r="O229" s="314"/>
      <c r="P229" s="314"/>
      <c r="Q229" s="314"/>
      <c r="R229" s="314"/>
      <c r="S229" s="286"/>
      <c r="T229" s="370">
        <v>0</v>
      </c>
      <c r="U229" s="314"/>
      <c r="V229" s="364"/>
      <c r="W229" s="367"/>
      <c r="X229" s="5"/>
    </row>
    <row r="230" spans="1:25" ht="15.75" x14ac:dyDescent="0.25">
      <c r="A230" s="358"/>
      <c r="B230" s="286" t="s">
        <v>87</v>
      </c>
      <c r="C230" s="368"/>
      <c r="D230" s="368"/>
      <c r="E230" s="368"/>
      <c r="F230" s="369"/>
      <c r="G230" s="314"/>
      <c r="H230" s="314"/>
      <c r="I230" s="314"/>
      <c r="J230" s="314"/>
      <c r="K230" s="314"/>
      <c r="L230" s="314"/>
      <c r="M230" s="314"/>
      <c r="N230" s="314"/>
      <c r="O230" s="314"/>
      <c r="P230" s="314"/>
      <c r="Q230" s="314"/>
      <c r="R230" s="314"/>
      <c r="S230" s="286"/>
      <c r="T230" s="370">
        <v>0</v>
      </c>
      <c r="U230" s="314"/>
      <c r="V230" s="364"/>
      <c r="W230" s="367"/>
      <c r="X230" s="5"/>
    </row>
    <row r="231" spans="1:25" ht="15.75" x14ac:dyDescent="0.25">
      <c r="A231" s="358"/>
      <c r="B231" s="313" t="s">
        <v>216</v>
      </c>
      <c r="C231" s="368"/>
      <c r="D231" s="368"/>
      <c r="E231" s="368"/>
      <c r="F231" s="369"/>
      <c r="G231" s="314"/>
      <c r="H231" s="314"/>
      <c r="I231" s="314"/>
      <c r="J231" s="314"/>
      <c r="K231" s="314"/>
      <c r="L231" s="314"/>
      <c r="M231" s="314"/>
      <c r="N231" s="314"/>
      <c r="O231" s="314"/>
      <c r="P231" s="314"/>
      <c r="Q231" s="314"/>
      <c r="R231" s="314"/>
      <c r="S231" s="286"/>
      <c r="T231" s="371"/>
      <c r="U231" s="314"/>
      <c r="V231" s="364"/>
      <c r="W231" s="367"/>
      <c r="X231" s="5"/>
    </row>
    <row r="232" spans="1:25" ht="15.75" x14ac:dyDescent="0.25">
      <c r="A232" s="358"/>
      <c r="B232" s="286" t="s">
        <v>282</v>
      </c>
      <c r="C232" s="368"/>
      <c r="D232" s="368"/>
      <c r="E232" s="368"/>
      <c r="F232" s="369"/>
      <c r="G232" s="314"/>
      <c r="H232" s="314"/>
      <c r="I232" s="314"/>
      <c r="J232" s="314"/>
      <c r="K232" s="314"/>
      <c r="L232" s="314"/>
      <c r="M232" s="314"/>
      <c r="N232" s="314"/>
      <c r="O232" s="314"/>
      <c r="P232" s="314"/>
      <c r="Q232" s="314"/>
      <c r="R232" s="314"/>
      <c r="S232" s="296">
        <v>6</v>
      </c>
      <c r="T232" s="360">
        <v>743</v>
      </c>
      <c r="U232" s="314"/>
      <c r="V232" s="364"/>
      <c r="W232" s="367"/>
      <c r="X232" s="5"/>
    </row>
    <row r="233" spans="1:25" ht="15.75" x14ac:dyDescent="0.25">
      <c r="A233" s="358"/>
      <c r="B233" s="286" t="s">
        <v>217</v>
      </c>
      <c r="C233" s="368"/>
      <c r="D233" s="368"/>
      <c r="E233" s="368"/>
      <c r="F233" s="369"/>
      <c r="G233" s="314"/>
      <c r="H233" s="314"/>
      <c r="I233" s="314"/>
      <c r="J233" s="314"/>
      <c r="K233" s="314"/>
      <c r="L233" s="314"/>
      <c r="M233" s="314"/>
      <c r="N233" s="314"/>
      <c r="O233" s="314"/>
      <c r="P233" s="314"/>
      <c r="Q233" s="314"/>
      <c r="R233" s="314"/>
      <c r="S233" s="286"/>
      <c r="T233" s="370">
        <v>16.010000000000002</v>
      </c>
      <c r="U233" s="314"/>
      <c r="V233" s="364"/>
      <c r="W233" s="367"/>
      <c r="X233" s="5"/>
    </row>
    <row r="234" spans="1:25" ht="15.75" x14ac:dyDescent="0.25">
      <c r="A234" s="358"/>
      <c r="B234" s="366"/>
      <c r="C234" s="368"/>
      <c r="D234" s="368"/>
      <c r="E234" s="368"/>
      <c r="F234" s="369"/>
      <c r="G234" s="314"/>
      <c r="H234" s="314"/>
      <c r="I234" s="314"/>
      <c r="J234" s="314"/>
      <c r="K234" s="314"/>
      <c r="L234" s="314"/>
      <c r="M234" s="314"/>
      <c r="N234" s="314"/>
      <c r="O234" s="314"/>
      <c r="P234" s="314"/>
      <c r="Q234" s="314"/>
      <c r="R234" s="314"/>
      <c r="S234" s="286"/>
      <c r="T234" s="371"/>
      <c r="U234" s="314"/>
      <c r="V234" s="364"/>
      <c r="W234" s="367"/>
      <c r="X234" s="5"/>
    </row>
    <row r="235" spans="1:25" ht="15.75" x14ac:dyDescent="0.25">
      <c r="A235" s="358"/>
      <c r="B235" s="366"/>
      <c r="C235" s="368"/>
      <c r="D235" s="368"/>
      <c r="E235" s="368"/>
      <c r="F235" s="369"/>
      <c r="G235" s="314"/>
      <c r="H235" s="314"/>
      <c r="I235" s="314"/>
      <c r="J235" s="314"/>
      <c r="K235" s="314"/>
      <c r="L235" s="314"/>
      <c r="M235" s="314"/>
      <c r="N235" s="314"/>
      <c r="O235" s="314"/>
      <c r="P235" s="314"/>
      <c r="Q235" s="314"/>
      <c r="R235" s="314"/>
      <c r="S235" s="314"/>
      <c r="T235" s="372"/>
      <c r="U235" s="314"/>
      <c r="V235" s="364"/>
      <c r="W235" s="367"/>
      <c r="X235" s="5"/>
    </row>
    <row r="236" spans="1:25" ht="18.75" x14ac:dyDescent="0.3">
      <c r="A236" s="358"/>
      <c r="B236" s="373" t="s">
        <v>168</v>
      </c>
      <c r="C236" s="368"/>
      <c r="D236" s="368"/>
      <c r="E236" s="368"/>
      <c r="F236" s="369"/>
      <c r="G236" s="314"/>
      <c r="H236" s="314"/>
      <c r="I236" s="314"/>
      <c r="J236" s="314"/>
      <c r="K236" s="314"/>
      <c r="L236" s="314"/>
      <c r="M236" s="314"/>
      <c r="N236" s="314"/>
      <c r="O236" s="314"/>
      <c r="P236" s="374" t="s">
        <v>167</v>
      </c>
      <c r="Q236" s="314"/>
      <c r="R236" s="314"/>
      <c r="S236" s="314"/>
      <c r="T236" s="372"/>
      <c r="U236" s="314"/>
      <c r="V236" s="364"/>
      <c r="W236" s="367"/>
      <c r="X236" s="5"/>
    </row>
    <row r="237" spans="1:25" ht="15.75" x14ac:dyDescent="0.25">
      <c r="A237" s="353"/>
      <c r="B237" s="348"/>
      <c r="C237" s="354"/>
      <c r="D237" s="354"/>
      <c r="E237" s="354"/>
      <c r="F237" s="355"/>
      <c r="G237" s="212"/>
      <c r="H237" s="212"/>
      <c r="I237" s="212"/>
      <c r="J237" s="212"/>
      <c r="K237" s="212"/>
      <c r="L237" s="212"/>
      <c r="M237" s="212"/>
      <c r="N237" s="212"/>
      <c r="O237" s="212"/>
      <c r="P237" s="212"/>
      <c r="Q237" s="212"/>
      <c r="R237" s="212"/>
      <c r="S237" s="212"/>
      <c r="T237" s="356"/>
      <c r="U237" s="212"/>
      <c r="V237" s="349"/>
      <c r="W237" s="357"/>
      <c r="X237" s="5"/>
    </row>
    <row r="238" spans="1:25" ht="15.75" x14ac:dyDescent="0.25">
      <c r="A238" s="224"/>
      <c r="B238" s="232" t="s">
        <v>297</v>
      </c>
      <c r="C238" s="233"/>
      <c r="D238" s="233"/>
      <c r="E238" s="233"/>
      <c r="F238" s="243"/>
      <c r="G238" s="233"/>
      <c r="H238" s="233"/>
      <c r="I238" s="233"/>
      <c r="J238" s="233"/>
      <c r="K238" s="233"/>
      <c r="L238" s="233"/>
      <c r="M238" s="233"/>
      <c r="N238" s="233"/>
      <c r="O238" s="233"/>
      <c r="P238" s="233"/>
      <c r="Q238" s="233"/>
      <c r="R238" s="243" t="s">
        <v>102</v>
      </c>
      <c r="S238" s="233" t="s">
        <v>103</v>
      </c>
      <c r="T238" s="243" t="s">
        <v>109</v>
      </c>
      <c r="U238" s="233" t="s">
        <v>103</v>
      </c>
      <c r="V238" s="225"/>
      <c r="W238" s="232"/>
      <c r="X238" s="5"/>
    </row>
    <row r="239" spans="1:25" ht="15.75" x14ac:dyDescent="0.25">
      <c r="A239" s="193"/>
      <c r="B239" s="249" t="s">
        <v>88</v>
      </c>
      <c r="C239" s="265"/>
      <c r="D239" s="265"/>
      <c r="E239" s="265"/>
      <c r="F239" s="250"/>
      <c r="G239" s="265"/>
      <c r="H239" s="265"/>
      <c r="I239" s="265"/>
      <c r="J239" s="265"/>
      <c r="K239" s="265"/>
      <c r="L239" s="265"/>
      <c r="M239" s="265"/>
      <c r="N239" s="265"/>
      <c r="O239" s="265"/>
      <c r="P239" s="265"/>
      <c r="Q239" s="265"/>
      <c r="R239" s="249">
        <f t="shared" ref="R239:R246" si="1">+R251+R263+R275</f>
        <v>5779</v>
      </c>
      <c r="S239" s="252">
        <f t="shared" ref="S239:S246" si="2">R239/$R$248</f>
        <v>0.97899373200067763</v>
      </c>
      <c r="T239" s="253">
        <f t="shared" ref="T239:T246" si="3">+T251+T263+T275</f>
        <v>829753</v>
      </c>
      <c r="U239" s="252">
        <f t="shared" ref="U239:U246" si="4">T239/$T$248</f>
        <v>0.9757047743804782</v>
      </c>
      <c r="V239" s="266"/>
      <c r="W239" s="267"/>
      <c r="X239" s="5"/>
    </row>
    <row r="240" spans="1:25" ht="15.75" x14ac:dyDescent="0.25">
      <c r="A240" s="285"/>
      <c r="B240" s="337" t="s">
        <v>89</v>
      </c>
      <c r="C240" s="378"/>
      <c r="D240" s="378"/>
      <c r="E240" s="378"/>
      <c r="F240" s="286"/>
      <c r="G240" s="379"/>
      <c r="H240" s="378"/>
      <c r="I240" s="378"/>
      <c r="J240" s="378"/>
      <c r="K240" s="378"/>
      <c r="L240" s="378"/>
      <c r="M240" s="378"/>
      <c r="N240" s="378"/>
      <c r="O240" s="378"/>
      <c r="P240" s="378"/>
      <c r="Q240" s="378"/>
      <c r="R240" s="337">
        <f t="shared" si="1"/>
        <v>42</v>
      </c>
      <c r="S240" s="379">
        <f t="shared" si="2"/>
        <v>7.115026257834999E-3</v>
      </c>
      <c r="T240" s="338">
        <f t="shared" si="3"/>
        <v>7587</v>
      </c>
      <c r="U240" s="379">
        <f t="shared" si="4"/>
        <v>8.9215370396065908E-3</v>
      </c>
      <c r="V240" s="361"/>
      <c r="W240" s="380"/>
      <c r="X240" s="5"/>
      <c r="Y240" s="109"/>
    </row>
    <row r="241" spans="1:25" ht="15.75" x14ac:dyDescent="0.25">
      <c r="A241" s="285"/>
      <c r="B241" s="337" t="s">
        <v>90</v>
      </c>
      <c r="C241" s="378"/>
      <c r="D241" s="378"/>
      <c r="E241" s="378"/>
      <c r="F241" s="286"/>
      <c r="G241" s="379"/>
      <c r="H241" s="378"/>
      <c r="I241" s="378"/>
      <c r="J241" s="378"/>
      <c r="K241" s="378"/>
      <c r="L241" s="378"/>
      <c r="M241" s="378"/>
      <c r="N241" s="378"/>
      <c r="O241" s="378"/>
      <c r="P241" s="378"/>
      <c r="Q241" s="378"/>
      <c r="R241" s="337">
        <f t="shared" si="1"/>
        <v>18</v>
      </c>
      <c r="S241" s="379">
        <f t="shared" si="2"/>
        <v>3.0492969676435711E-3</v>
      </c>
      <c r="T241" s="338">
        <f t="shared" si="3"/>
        <v>3369</v>
      </c>
      <c r="U241" s="379">
        <f t="shared" si="4"/>
        <v>3.9615998795880592E-3</v>
      </c>
      <c r="V241" s="361"/>
      <c r="W241" s="380"/>
      <c r="X241" s="5"/>
    </row>
    <row r="242" spans="1:25" ht="15.75" x14ac:dyDescent="0.25">
      <c r="A242" s="285"/>
      <c r="B242" s="337" t="s">
        <v>156</v>
      </c>
      <c r="C242" s="378"/>
      <c r="D242" s="378"/>
      <c r="E242" s="378"/>
      <c r="F242" s="286"/>
      <c r="G242" s="379"/>
      <c r="H242" s="378"/>
      <c r="I242" s="378"/>
      <c r="J242" s="378"/>
      <c r="K242" s="378"/>
      <c r="L242" s="378"/>
      <c r="M242" s="378"/>
      <c r="N242" s="378"/>
      <c r="O242" s="378"/>
      <c r="P242" s="378"/>
      <c r="Q242" s="378"/>
      <c r="R242" s="337">
        <f t="shared" si="1"/>
        <v>3</v>
      </c>
      <c r="S242" s="379">
        <f t="shared" si="2"/>
        <v>5.0821616127392848E-4</v>
      </c>
      <c r="T242" s="338">
        <f t="shared" si="3"/>
        <v>313</v>
      </c>
      <c r="U242" s="379">
        <f t="shared" si="4"/>
        <v>3.6805602918108123E-4</v>
      </c>
      <c r="V242" s="361"/>
      <c r="W242" s="380"/>
      <c r="X242" s="5"/>
      <c r="Y242" s="109"/>
    </row>
    <row r="243" spans="1:25" ht="15.75" x14ac:dyDescent="0.25">
      <c r="A243" s="285"/>
      <c r="B243" s="337" t="s">
        <v>157</v>
      </c>
      <c r="C243" s="378"/>
      <c r="D243" s="378"/>
      <c r="E243" s="378"/>
      <c r="F243" s="286"/>
      <c r="G243" s="379"/>
      <c r="H243" s="378"/>
      <c r="I243" s="378"/>
      <c r="J243" s="378"/>
      <c r="K243" s="378"/>
      <c r="L243" s="378"/>
      <c r="M243" s="378"/>
      <c r="N243" s="378"/>
      <c r="O243" s="378"/>
      <c r="P243" s="378"/>
      <c r="Q243" s="378"/>
      <c r="R243" s="337">
        <f t="shared" si="1"/>
        <v>3</v>
      </c>
      <c r="S243" s="379">
        <f t="shared" si="2"/>
        <v>5.0821616127392848E-4</v>
      </c>
      <c r="T243" s="338">
        <f t="shared" si="3"/>
        <v>414</v>
      </c>
      <c r="U243" s="379">
        <f t="shared" si="4"/>
        <v>4.868217127187464E-4</v>
      </c>
      <c r="V243" s="361"/>
      <c r="W243" s="380"/>
      <c r="X243" s="5"/>
    </row>
    <row r="244" spans="1:25" ht="15.75" x14ac:dyDescent="0.25">
      <c r="A244" s="285"/>
      <c r="B244" s="337" t="s">
        <v>158</v>
      </c>
      <c r="C244" s="378"/>
      <c r="D244" s="378"/>
      <c r="E244" s="378"/>
      <c r="F244" s="286"/>
      <c r="G244" s="379"/>
      <c r="H244" s="378"/>
      <c r="I244" s="378"/>
      <c r="J244" s="378"/>
      <c r="K244" s="378"/>
      <c r="L244" s="378"/>
      <c r="M244" s="378"/>
      <c r="N244" s="378"/>
      <c r="O244" s="378"/>
      <c r="P244" s="378"/>
      <c r="Q244" s="378"/>
      <c r="R244" s="337">
        <f t="shared" si="1"/>
        <v>8</v>
      </c>
      <c r="S244" s="379">
        <f t="shared" si="2"/>
        <v>1.355243096730476E-3</v>
      </c>
      <c r="T244" s="338">
        <f t="shared" si="3"/>
        <v>1078</v>
      </c>
      <c r="U244" s="379">
        <f t="shared" si="4"/>
        <v>1.2676178896396343E-3</v>
      </c>
      <c r="V244" s="361"/>
      <c r="W244" s="380"/>
      <c r="X244" s="5"/>
      <c r="Y244" s="109"/>
    </row>
    <row r="245" spans="1:25" ht="15.75" x14ac:dyDescent="0.25">
      <c r="A245" s="285"/>
      <c r="B245" s="337" t="s">
        <v>159</v>
      </c>
      <c r="C245" s="378"/>
      <c r="D245" s="378"/>
      <c r="E245" s="378"/>
      <c r="F245" s="286"/>
      <c r="G245" s="379"/>
      <c r="H245" s="378"/>
      <c r="I245" s="378"/>
      <c r="J245" s="378"/>
      <c r="K245" s="378"/>
      <c r="L245" s="378"/>
      <c r="M245" s="378"/>
      <c r="N245" s="378"/>
      <c r="O245" s="378"/>
      <c r="P245" s="378"/>
      <c r="Q245" s="378"/>
      <c r="R245" s="337">
        <f t="shared" si="1"/>
        <v>25</v>
      </c>
      <c r="S245" s="379">
        <f t="shared" si="2"/>
        <v>4.2351346772827375E-3</v>
      </c>
      <c r="T245" s="338">
        <f t="shared" si="3"/>
        <v>3754</v>
      </c>
      <c r="U245" s="379">
        <f t="shared" si="4"/>
        <v>4.4143205544593571E-3</v>
      </c>
      <c r="V245" s="361"/>
      <c r="W245" s="380"/>
      <c r="X245" s="5"/>
    </row>
    <row r="246" spans="1:25" ht="15.75" x14ac:dyDescent="0.25">
      <c r="A246" s="285"/>
      <c r="B246" s="337" t="s">
        <v>160</v>
      </c>
      <c r="C246" s="378"/>
      <c r="D246" s="378"/>
      <c r="E246" s="378"/>
      <c r="F246" s="286"/>
      <c r="G246" s="379"/>
      <c r="H246" s="378"/>
      <c r="I246" s="378"/>
      <c r="J246" s="378"/>
      <c r="K246" s="378"/>
      <c r="L246" s="378"/>
      <c r="M246" s="378"/>
      <c r="N246" s="378"/>
      <c r="O246" s="378"/>
      <c r="P246" s="378"/>
      <c r="Q246" s="378"/>
      <c r="R246" s="386">
        <f t="shared" si="1"/>
        <v>25</v>
      </c>
      <c r="S246" s="379">
        <f t="shared" si="2"/>
        <v>4.2351346772827375E-3</v>
      </c>
      <c r="T246" s="383">
        <f t="shared" si="3"/>
        <v>4146</v>
      </c>
      <c r="U246" s="387">
        <f t="shared" si="4"/>
        <v>4.8752725143283151E-3</v>
      </c>
      <c r="V246" s="361"/>
      <c r="W246" s="380"/>
      <c r="X246" s="5"/>
      <c r="Y246" s="109"/>
    </row>
    <row r="247" spans="1:25" ht="15.75" x14ac:dyDescent="0.25">
      <c r="A247" s="285"/>
      <c r="B247" s="337"/>
      <c r="C247" s="378"/>
      <c r="D247" s="378"/>
      <c r="E247" s="378"/>
      <c r="F247" s="286"/>
      <c r="G247" s="379"/>
      <c r="H247" s="378"/>
      <c r="I247" s="378"/>
      <c r="J247" s="378"/>
      <c r="K247" s="378"/>
      <c r="L247" s="378"/>
      <c r="M247" s="378"/>
      <c r="N247" s="378"/>
      <c r="O247" s="378"/>
      <c r="P247" s="378"/>
      <c r="Q247" s="378"/>
      <c r="R247" s="337"/>
      <c r="S247" s="379"/>
      <c r="T247" s="338"/>
      <c r="U247" s="379"/>
      <c r="V247" s="361"/>
      <c r="W247" s="380"/>
      <c r="X247" s="5"/>
    </row>
    <row r="248" spans="1:25" ht="15.75" x14ac:dyDescent="0.25">
      <c r="A248" s="285"/>
      <c r="B248" s="286"/>
      <c r="C248" s="286"/>
      <c r="D248" s="286"/>
      <c r="E248" s="286"/>
      <c r="F248" s="286"/>
      <c r="G248" s="286"/>
      <c r="H248" s="381"/>
      <c r="I248" s="381"/>
      <c r="J248" s="381"/>
      <c r="K248" s="381"/>
      <c r="L248" s="381"/>
      <c r="M248" s="381"/>
      <c r="N248" s="381"/>
      <c r="O248" s="381"/>
      <c r="P248" s="381"/>
      <c r="Q248" s="381"/>
      <c r="R248" s="337">
        <f>SUM(R239:R247)</f>
        <v>5903</v>
      </c>
      <c r="S248" s="379">
        <f>SUM(S239:S247)</f>
        <v>1</v>
      </c>
      <c r="T248" s="338">
        <f>SUM(T239:T247)</f>
        <v>850414</v>
      </c>
      <c r="U248" s="379">
        <f>SUM(U239:U247)</f>
        <v>1</v>
      </c>
      <c r="V248" s="286"/>
      <c r="W248" s="289"/>
      <c r="X248" s="5"/>
    </row>
    <row r="249" spans="1:25" ht="15.75" x14ac:dyDescent="0.25">
      <c r="A249" s="181"/>
      <c r="B249" s="212"/>
      <c r="C249" s="212"/>
      <c r="D249" s="212"/>
      <c r="E249" s="212"/>
      <c r="F249" s="212"/>
      <c r="G249" s="212"/>
      <c r="H249" s="375"/>
      <c r="I249" s="375"/>
      <c r="J249" s="375"/>
      <c r="K249" s="375"/>
      <c r="L249" s="375"/>
      <c r="M249" s="375"/>
      <c r="N249" s="375"/>
      <c r="O249" s="375"/>
      <c r="P249" s="375"/>
      <c r="Q249" s="375"/>
      <c r="R249" s="335"/>
      <c r="S249" s="376"/>
      <c r="T249" s="377"/>
      <c r="U249" s="376"/>
      <c r="V249" s="212"/>
      <c r="W249" s="212"/>
      <c r="X249" s="5"/>
    </row>
    <row r="250" spans="1:25" ht="15.75" x14ac:dyDescent="0.25">
      <c r="A250" s="224"/>
      <c r="B250" s="232" t="s">
        <v>162</v>
      </c>
      <c r="C250" s="233"/>
      <c r="D250" s="233"/>
      <c r="E250" s="233"/>
      <c r="F250" s="243"/>
      <c r="G250" s="233"/>
      <c r="H250" s="233"/>
      <c r="I250" s="233"/>
      <c r="J250" s="233"/>
      <c r="K250" s="233"/>
      <c r="L250" s="233"/>
      <c r="M250" s="233"/>
      <c r="N250" s="233"/>
      <c r="O250" s="233"/>
      <c r="P250" s="233"/>
      <c r="Q250" s="233"/>
      <c r="R250" s="243" t="s">
        <v>102</v>
      </c>
      <c r="S250" s="233" t="s">
        <v>103</v>
      </c>
      <c r="T250" s="243" t="s">
        <v>109</v>
      </c>
      <c r="U250" s="233" t="s">
        <v>103</v>
      </c>
      <c r="V250" s="225"/>
      <c r="W250" s="232"/>
      <c r="X250" s="5"/>
    </row>
    <row r="251" spans="1:25" ht="15.75" x14ac:dyDescent="0.25">
      <c r="A251" s="193"/>
      <c r="B251" s="249" t="s">
        <v>88</v>
      </c>
      <c r="C251" s="265"/>
      <c r="D251" s="265"/>
      <c r="E251" s="265"/>
      <c r="F251" s="250"/>
      <c r="G251" s="265"/>
      <c r="H251" s="265"/>
      <c r="I251" s="265"/>
      <c r="J251" s="265"/>
      <c r="K251" s="265"/>
      <c r="L251" s="265"/>
      <c r="M251" s="265"/>
      <c r="N251" s="265"/>
      <c r="O251" s="265"/>
      <c r="P251" s="265"/>
      <c r="Q251" s="265"/>
      <c r="R251" s="249">
        <v>5725</v>
      </c>
      <c r="S251" s="252">
        <f t="shared" ref="S251:S258" si="5">R251/$R$260</f>
        <v>0.99357861853523077</v>
      </c>
      <c r="T251" s="253">
        <v>820827</v>
      </c>
      <c r="U251" s="252">
        <f t="shared" ref="U251:U258" si="6">T251/$T$260</f>
        <v>0.99289464993994203</v>
      </c>
      <c r="V251" s="266"/>
      <c r="W251" s="267"/>
      <c r="X251" s="5"/>
    </row>
    <row r="252" spans="1:25" ht="15.75" x14ac:dyDescent="0.25">
      <c r="A252" s="285"/>
      <c r="B252" s="337" t="s">
        <v>89</v>
      </c>
      <c r="C252" s="378"/>
      <c r="D252" s="378"/>
      <c r="E252" s="378"/>
      <c r="F252" s="286"/>
      <c r="G252" s="379"/>
      <c r="H252" s="378"/>
      <c r="I252" s="378"/>
      <c r="J252" s="378"/>
      <c r="K252" s="378"/>
      <c r="L252" s="378"/>
      <c r="M252" s="378"/>
      <c r="N252" s="378"/>
      <c r="O252" s="378"/>
      <c r="P252" s="378"/>
      <c r="Q252" s="378"/>
      <c r="R252" s="337">
        <v>22</v>
      </c>
      <c r="S252" s="379">
        <f t="shared" si="5"/>
        <v>3.8181187087816732E-3</v>
      </c>
      <c r="T252" s="338">
        <v>3731</v>
      </c>
      <c r="U252" s="379">
        <f t="shared" si="6"/>
        <v>4.5131190115894381E-3</v>
      </c>
      <c r="V252" s="361"/>
      <c r="W252" s="380"/>
      <c r="X252" s="5"/>
      <c r="Y252" s="109"/>
    </row>
    <row r="253" spans="1:25" ht="15.75" x14ac:dyDescent="0.25">
      <c r="A253" s="285"/>
      <c r="B253" s="337" t="s">
        <v>90</v>
      </c>
      <c r="C253" s="378"/>
      <c r="D253" s="378"/>
      <c r="E253" s="378"/>
      <c r="F253" s="286"/>
      <c r="G253" s="379"/>
      <c r="H253" s="378"/>
      <c r="I253" s="378"/>
      <c r="J253" s="378"/>
      <c r="K253" s="378"/>
      <c r="L253" s="378"/>
      <c r="M253" s="378"/>
      <c r="N253" s="378"/>
      <c r="O253" s="378"/>
      <c r="P253" s="378"/>
      <c r="Q253" s="378"/>
      <c r="R253" s="337">
        <v>13</v>
      </c>
      <c r="S253" s="379">
        <f t="shared" si="5"/>
        <v>2.2561610551891705E-3</v>
      </c>
      <c r="T253" s="338">
        <v>1950</v>
      </c>
      <c r="U253" s="379">
        <f t="shared" si="6"/>
        <v>2.358773002572877E-3</v>
      </c>
      <c r="V253" s="361"/>
      <c r="W253" s="380"/>
      <c r="X253" s="5"/>
    </row>
    <row r="254" spans="1:25" ht="15.75" x14ac:dyDescent="0.25">
      <c r="A254" s="285"/>
      <c r="B254" s="337" t="s">
        <v>156</v>
      </c>
      <c r="C254" s="378"/>
      <c r="D254" s="378"/>
      <c r="E254" s="378"/>
      <c r="F254" s="286"/>
      <c r="G254" s="379"/>
      <c r="H254" s="378"/>
      <c r="I254" s="378"/>
      <c r="J254" s="378"/>
      <c r="K254" s="378"/>
      <c r="L254" s="378"/>
      <c r="M254" s="378"/>
      <c r="N254" s="378"/>
      <c r="O254" s="378"/>
      <c r="P254" s="378"/>
      <c r="Q254" s="378"/>
      <c r="R254" s="337">
        <v>1</v>
      </c>
      <c r="S254" s="379">
        <f t="shared" si="5"/>
        <v>1.7355085039916696E-4</v>
      </c>
      <c r="T254" s="338">
        <v>58</v>
      </c>
      <c r="U254" s="379">
        <f t="shared" si="6"/>
        <v>7.0158376486783008E-5</v>
      </c>
      <c r="V254" s="361"/>
      <c r="W254" s="380"/>
      <c r="X254" s="5"/>
      <c r="Y254" s="109"/>
    </row>
    <row r="255" spans="1:25" ht="15.75" x14ac:dyDescent="0.25">
      <c r="A255" s="285"/>
      <c r="B255" s="337" t="s">
        <v>157</v>
      </c>
      <c r="C255" s="378"/>
      <c r="D255" s="378"/>
      <c r="E255" s="378"/>
      <c r="F255" s="286"/>
      <c r="G255" s="379"/>
      <c r="H255" s="378"/>
      <c r="I255" s="378"/>
      <c r="J255" s="378"/>
      <c r="K255" s="378"/>
      <c r="L255" s="378"/>
      <c r="M255" s="378"/>
      <c r="N255" s="378"/>
      <c r="O255" s="378"/>
      <c r="P255" s="378"/>
      <c r="Q255" s="378"/>
      <c r="R255" s="337">
        <v>0</v>
      </c>
      <c r="S255" s="379">
        <f t="shared" si="5"/>
        <v>0</v>
      </c>
      <c r="T255" s="338">
        <v>0</v>
      </c>
      <c r="U255" s="379">
        <f t="shared" si="6"/>
        <v>0</v>
      </c>
      <c r="V255" s="361"/>
      <c r="W255" s="380"/>
      <c r="X255" s="5"/>
    </row>
    <row r="256" spans="1:25" ht="15.75" x14ac:dyDescent="0.25">
      <c r="A256" s="285"/>
      <c r="B256" s="337" t="s">
        <v>158</v>
      </c>
      <c r="C256" s="378"/>
      <c r="D256" s="378"/>
      <c r="E256" s="378"/>
      <c r="F256" s="286"/>
      <c r="G256" s="379"/>
      <c r="H256" s="378"/>
      <c r="I256" s="378"/>
      <c r="J256" s="378"/>
      <c r="K256" s="378"/>
      <c r="L256" s="378"/>
      <c r="M256" s="378"/>
      <c r="N256" s="378"/>
      <c r="O256" s="378"/>
      <c r="P256" s="378"/>
      <c r="Q256" s="378"/>
      <c r="R256" s="337">
        <v>0</v>
      </c>
      <c r="S256" s="379">
        <f t="shared" si="5"/>
        <v>0</v>
      </c>
      <c r="T256" s="338">
        <v>0</v>
      </c>
      <c r="U256" s="379">
        <f t="shared" si="6"/>
        <v>0</v>
      </c>
      <c r="V256" s="361"/>
      <c r="W256" s="380"/>
      <c r="X256" s="5"/>
      <c r="Y256" s="109"/>
    </row>
    <row r="257" spans="1:25" ht="15.75" x14ac:dyDescent="0.25">
      <c r="A257" s="285"/>
      <c r="B257" s="337" t="s">
        <v>159</v>
      </c>
      <c r="C257" s="378"/>
      <c r="D257" s="378"/>
      <c r="E257" s="378"/>
      <c r="F257" s="286"/>
      <c r="G257" s="379"/>
      <c r="H257" s="378"/>
      <c r="I257" s="378"/>
      <c r="J257" s="378"/>
      <c r="K257" s="378"/>
      <c r="L257" s="378"/>
      <c r="M257" s="378"/>
      <c r="N257" s="378"/>
      <c r="O257" s="378"/>
      <c r="P257" s="378"/>
      <c r="Q257" s="378"/>
      <c r="R257" s="337">
        <v>1</v>
      </c>
      <c r="S257" s="379">
        <f t="shared" si="5"/>
        <v>1.7355085039916696E-4</v>
      </c>
      <c r="T257" s="338">
        <v>135</v>
      </c>
      <c r="U257" s="379">
        <f t="shared" si="6"/>
        <v>1.6329966940889149E-4</v>
      </c>
      <c r="V257" s="361"/>
      <c r="W257" s="380"/>
      <c r="X257" s="5"/>
    </row>
    <row r="258" spans="1:25" ht="15.75" x14ac:dyDescent="0.25">
      <c r="A258" s="285"/>
      <c r="B258" s="337" t="s">
        <v>160</v>
      </c>
      <c r="C258" s="378"/>
      <c r="D258" s="378"/>
      <c r="E258" s="378"/>
      <c r="F258" s="286"/>
      <c r="G258" s="379"/>
      <c r="H258" s="378"/>
      <c r="I258" s="378"/>
      <c r="J258" s="378"/>
      <c r="K258" s="378"/>
      <c r="L258" s="378"/>
      <c r="M258" s="378"/>
      <c r="N258" s="378"/>
      <c r="O258" s="378"/>
      <c r="P258" s="378"/>
      <c r="Q258" s="378"/>
      <c r="R258" s="337">
        <v>0</v>
      </c>
      <c r="S258" s="379">
        <f t="shared" si="5"/>
        <v>0</v>
      </c>
      <c r="T258" s="338">
        <v>0</v>
      </c>
      <c r="U258" s="379">
        <f t="shared" si="6"/>
        <v>0</v>
      </c>
      <c r="V258" s="361"/>
      <c r="W258" s="380"/>
      <c r="X258" s="5"/>
      <c r="Y258" s="109"/>
    </row>
    <row r="259" spans="1:25" ht="15.75" x14ac:dyDescent="0.25">
      <c r="A259" s="285"/>
      <c r="B259" s="337"/>
      <c r="C259" s="378"/>
      <c r="D259" s="378"/>
      <c r="E259" s="378"/>
      <c r="F259" s="286"/>
      <c r="G259" s="379"/>
      <c r="H259" s="378"/>
      <c r="I259" s="378"/>
      <c r="J259" s="378"/>
      <c r="K259" s="378"/>
      <c r="L259" s="378"/>
      <c r="M259" s="378"/>
      <c r="N259" s="378"/>
      <c r="O259" s="378"/>
      <c r="P259" s="378"/>
      <c r="Q259" s="378"/>
      <c r="R259" s="337"/>
      <c r="S259" s="379"/>
      <c r="T259" s="338"/>
      <c r="U259" s="379"/>
      <c r="V259" s="361"/>
      <c r="W259" s="380"/>
      <c r="X259" s="5"/>
    </row>
    <row r="260" spans="1:25" ht="15.75" x14ac:dyDescent="0.25">
      <c r="A260" s="285"/>
      <c r="B260" s="286"/>
      <c r="C260" s="286"/>
      <c r="D260" s="286"/>
      <c r="E260" s="286"/>
      <c r="F260" s="286"/>
      <c r="G260" s="286"/>
      <c r="H260" s="381"/>
      <c r="I260" s="381"/>
      <c r="J260" s="381"/>
      <c r="K260" s="381"/>
      <c r="L260" s="381"/>
      <c r="M260" s="381"/>
      <c r="N260" s="381"/>
      <c r="O260" s="381"/>
      <c r="P260" s="381"/>
      <c r="Q260" s="381"/>
      <c r="R260" s="337">
        <f>SUM(R251:R259)</f>
        <v>5762</v>
      </c>
      <c r="S260" s="379">
        <f>SUM(S251:S259)</f>
        <v>1</v>
      </c>
      <c r="T260" s="338">
        <f>SUM(T251:T259)</f>
        <v>826701</v>
      </c>
      <c r="U260" s="379">
        <f>SUM(U251:U259)</f>
        <v>1.0000000000000002</v>
      </c>
      <c r="V260" s="286"/>
      <c r="W260" s="289"/>
      <c r="X260" s="5"/>
    </row>
    <row r="261" spans="1:25" ht="15.75" x14ac:dyDescent="0.25">
      <c r="A261" s="181"/>
      <c r="B261" s="212"/>
      <c r="C261" s="212"/>
      <c r="D261" s="212"/>
      <c r="E261" s="212"/>
      <c r="F261" s="212"/>
      <c r="G261" s="212"/>
      <c r="H261" s="375"/>
      <c r="I261" s="375"/>
      <c r="J261" s="375"/>
      <c r="K261" s="375"/>
      <c r="L261" s="375"/>
      <c r="M261" s="375"/>
      <c r="N261" s="375"/>
      <c r="O261" s="375"/>
      <c r="P261" s="375"/>
      <c r="Q261" s="375"/>
      <c r="R261" s="335"/>
      <c r="S261" s="376"/>
      <c r="T261" s="377"/>
      <c r="U261" s="376"/>
      <c r="V261" s="212"/>
      <c r="W261" s="212"/>
      <c r="X261" s="5"/>
    </row>
    <row r="262" spans="1:25" ht="15.75" x14ac:dyDescent="0.25">
      <c r="A262" s="244"/>
      <c r="B262" s="232" t="s">
        <v>236</v>
      </c>
      <c r="C262" s="233"/>
      <c r="D262" s="233"/>
      <c r="E262" s="233"/>
      <c r="F262" s="243"/>
      <c r="G262" s="233"/>
      <c r="H262" s="233"/>
      <c r="I262" s="233"/>
      <c r="J262" s="233"/>
      <c r="K262" s="233"/>
      <c r="L262" s="233"/>
      <c r="M262" s="233"/>
      <c r="N262" s="233"/>
      <c r="O262" s="233"/>
      <c r="P262" s="233"/>
      <c r="Q262" s="233"/>
      <c r="R262" s="243" t="s">
        <v>102</v>
      </c>
      <c r="S262" s="233" t="s">
        <v>103</v>
      </c>
      <c r="T262" s="243" t="s">
        <v>109</v>
      </c>
      <c r="U262" s="233" t="s">
        <v>103</v>
      </c>
      <c r="V262" s="245"/>
      <c r="W262" s="246"/>
      <c r="X262" s="5"/>
    </row>
    <row r="263" spans="1:25" ht="15.75" x14ac:dyDescent="0.25">
      <c r="A263" s="193"/>
      <c r="B263" s="249" t="s">
        <v>88</v>
      </c>
      <c r="C263" s="265"/>
      <c r="D263" s="265"/>
      <c r="E263" s="265"/>
      <c r="F263" s="250"/>
      <c r="G263" s="265"/>
      <c r="H263" s="265"/>
      <c r="I263" s="265"/>
      <c r="J263" s="265"/>
      <c r="K263" s="265"/>
      <c r="L263" s="265"/>
      <c r="M263" s="265"/>
      <c r="N263" s="265"/>
      <c r="O263" s="265"/>
      <c r="P263" s="265"/>
      <c r="Q263" s="265"/>
      <c r="R263" s="249">
        <v>54</v>
      </c>
      <c r="S263" s="252">
        <f t="shared" ref="S263:S270" si="7">R263/$R$272</f>
        <v>0.38297872340425532</v>
      </c>
      <c r="T263" s="253">
        <v>8926</v>
      </c>
      <c r="U263" s="252">
        <f t="shared" ref="U263:U270" si="8">T263/$T$272</f>
        <v>0.37641799856618735</v>
      </c>
      <c r="V263" s="250"/>
      <c r="W263" s="250"/>
      <c r="X263" s="5"/>
    </row>
    <row r="264" spans="1:25" ht="15.75" x14ac:dyDescent="0.25">
      <c r="A264" s="285"/>
      <c r="B264" s="337" t="s">
        <v>89</v>
      </c>
      <c r="C264" s="378"/>
      <c r="D264" s="378"/>
      <c r="E264" s="378"/>
      <c r="F264" s="286"/>
      <c r="G264" s="379"/>
      <c r="H264" s="378"/>
      <c r="I264" s="378"/>
      <c r="J264" s="378"/>
      <c r="K264" s="378"/>
      <c r="L264" s="378"/>
      <c r="M264" s="378"/>
      <c r="N264" s="378"/>
      <c r="O264" s="378"/>
      <c r="P264" s="378"/>
      <c r="Q264" s="378"/>
      <c r="R264" s="337">
        <v>20</v>
      </c>
      <c r="S264" s="379">
        <f t="shared" si="7"/>
        <v>0.14184397163120568</v>
      </c>
      <c r="T264" s="338">
        <v>3856</v>
      </c>
      <c r="U264" s="379">
        <f t="shared" si="8"/>
        <v>0.16261122590983848</v>
      </c>
      <c r="V264" s="286"/>
      <c r="W264" s="289"/>
      <c r="X264" s="5"/>
    </row>
    <row r="265" spans="1:25" ht="15.75" x14ac:dyDescent="0.25">
      <c r="A265" s="285"/>
      <c r="B265" s="337" t="s">
        <v>90</v>
      </c>
      <c r="C265" s="378"/>
      <c r="D265" s="378"/>
      <c r="E265" s="378"/>
      <c r="F265" s="286"/>
      <c r="G265" s="379"/>
      <c r="H265" s="378"/>
      <c r="I265" s="378"/>
      <c r="J265" s="378"/>
      <c r="K265" s="378"/>
      <c r="L265" s="378"/>
      <c r="M265" s="378"/>
      <c r="N265" s="378"/>
      <c r="O265" s="378"/>
      <c r="P265" s="378"/>
      <c r="Q265" s="378"/>
      <c r="R265" s="337">
        <v>5</v>
      </c>
      <c r="S265" s="379">
        <f t="shared" si="7"/>
        <v>3.5460992907801421E-2</v>
      </c>
      <c r="T265" s="338">
        <v>1419</v>
      </c>
      <c r="U265" s="379">
        <f t="shared" si="8"/>
        <v>5.9840593767131953E-2</v>
      </c>
      <c r="V265" s="286"/>
      <c r="W265" s="289"/>
      <c r="X265" s="5"/>
    </row>
    <row r="266" spans="1:25" ht="15.75" x14ac:dyDescent="0.25">
      <c r="A266" s="285"/>
      <c r="B266" s="337" t="s">
        <v>156</v>
      </c>
      <c r="C266" s="378"/>
      <c r="D266" s="378"/>
      <c r="E266" s="378"/>
      <c r="F266" s="286"/>
      <c r="G266" s="379"/>
      <c r="H266" s="378"/>
      <c r="I266" s="378"/>
      <c r="J266" s="378"/>
      <c r="K266" s="378"/>
      <c r="L266" s="378"/>
      <c r="M266" s="378"/>
      <c r="N266" s="378"/>
      <c r="O266" s="378"/>
      <c r="P266" s="378"/>
      <c r="Q266" s="378"/>
      <c r="R266" s="337">
        <v>2</v>
      </c>
      <c r="S266" s="379">
        <f t="shared" si="7"/>
        <v>1.4184397163120567E-2</v>
      </c>
      <c r="T266" s="338">
        <v>255</v>
      </c>
      <c r="U266" s="379">
        <f t="shared" si="8"/>
        <v>1.0753595074431747E-2</v>
      </c>
      <c r="V266" s="286"/>
      <c r="W266" s="289"/>
      <c r="X266" s="5"/>
    </row>
    <row r="267" spans="1:25" ht="15.75" x14ac:dyDescent="0.25">
      <c r="A267" s="285"/>
      <c r="B267" s="337" t="s">
        <v>157</v>
      </c>
      <c r="C267" s="378"/>
      <c r="D267" s="378"/>
      <c r="E267" s="378"/>
      <c r="F267" s="286"/>
      <c r="G267" s="379"/>
      <c r="H267" s="378"/>
      <c r="I267" s="378"/>
      <c r="J267" s="378"/>
      <c r="K267" s="378"/>
      <c r="L267" s="378"/>
      <c r="M267" s="378"/>
      <c r="N267" s="378"/>
      <c r="O267" s="378"/>
      <c r="P267" s="378"/>
      <c r="Q267" s="378"/>
      <c r="R267" s="337">
        <v>3</v>
      </c>
      <c r="S267" s="379">
        <f t="shared" si="7"/>
        <v>2.1276595744680851E-2</v>
      </c>
      <c r="T267" s="338">
        <v>414</v>
      </c>
      <c r="U267" s="379">
        <f t="shared" si="8"/>
        <v>1.7458777885548012E-2</v>
      </c>
      <c r="V267" s="286"/>
      <c r="W267" s="289"/>
      <c r="X267" s="5"/>
    </row>
    <row r="268" spans="1:25" ht="15.75" x14ac:dyDescent="0.25">
      <c r="A268" s="285"/>
      <c r="B268" s="337" t="s">
        <v>158</v>
      </c>
      <c r="C268" s="378"/>
      <c r="D268" s="378"/>
      <c r="E268" s="378"/>
      <c r="F268" s="286"/>
      <c r="G268" s="379"/>
      <c r="H268" s="378"/>
      <c r="I268" s="378"/>
      <c r="J268" s="378"/>
      <c r="K268" s="378"/>
      <c r="L268" s="378"/>
      <c r="M268" s="378"/>
      <c r="N268" s="378"/>
      <c r="O268" s="378"/>
      <c r="P268" s="378"/>
      <c r="Q268" s="378"/>
      <c r="R268" s="337">
        <v>8</v>
      </c>
      <c r="S268" s="379">
        <f t="shared" si="7"/>
        <v>5.6737588652482268E-2</v>
      </c>
      <c r="T268" s="338">
        <v>1078</v>
      </c>
      <c r="U268" s="379">
        <f t="shared" si="8"/>
        <v>4.5460296040146758E-2</v>
      </c>
      <c r="V268" s="286"/>
      <c r="W268" s="289"/>
      <c r="X268" s="5"/>
    </row>
    <row r="269" spans="1:25" ht="15.75" x14ac:dyDescent="0.25">
      <c r="A269" s="285"/>
      <c r="B269" s="337" t="s">
        <v>159</v>
      </c>
      <c r="C269" s="378"/>
      <c r="D269" s="378"/>
      <c r="E269" s="378"/>
      <c r="F269" s="286"/>
      <c r="G269" s="379"/>
      <c r="H269" s="378"/>
      <c r="I269" s="378"/>
      <c r="J269" s="378"/>
      <c r="K269" s="378"/>
      <c r="L269" s="378"/>
      <c r="M269" s="378"/>
      <c r="N269" s="378"/>
      <c r="O269" s="378"/>
      <c r="P269" s="378"/>
      <c r="Q269" s="378"/>
      <c r="R269" s="337">
        <v>24</v>
      </c>
      <c r="S269" s="379">
        <f t="shared" si="7"/>
        <v>0.1702127659574468</v>
      </c>
      <c r="T269" s="338">
        <v>3619</v>
      </c>
      <c r="U269" s="379">
        <f t="shared" si="8"/>
        <v>0.1526167081347784</v>
      </c>
      <c r="V269" s="286"/>
      <c r="W269" s="289"/>
      <c r="X269" s="5"/>
    </row>
    <row r="270" spans="1:25" ht="15.75" x14ac:dyDescent="0.25">
      <c r="A270" s="285"/>
      <c r="B270" s="337" t="s">
        <v>160</v>
      </c>
      <c r="C270" s="378"/>
      <c r="D270" s="378"/>
      <c r="E270" s="378"/>
      <c r="F270" s="286"/>
      <c r="G270" s="379"/>
      <c r="H270" s="378"/>
      <c r="I270" s="378"/>
      <c r="J270" s="378"/>
      <c r="K270" s="378"/>
      <c r="L270" s="378"/>
      <c r="M270" s="378"/>
      <c r="N270" s="378"/>
      <c r="O270" s="378"/>
      <c r="P270" s="378"/>
      <c r="Q270" s="378"/>
      <c r="R270" s="337">
        <v>25</v>
      </c>
      <c r="S270" s="379">
        <f t="shared" si="7"/>
        <v>0.1773049645390071</v>
      </c>
      <c r="T270" s="338">
        <v>4146</v>
      </c>
      <c r="U270" s="379">
        <f t="shared" si="8"/>
        <v>0.17484080462193732</v>
      </c>
      <c r="V270" s="286"/>
      <c r="W270" s="289"/>
      <c r="X270" s="5"/>
    </row>
    <row r="271" spans="1:25" ht="15.75" x14ac:dyDescent="0.25">
      <c r="A271" s="285"/>
      <c r="B271" s="337"/>
      <c r="C271" s="378"/>
      <c r="D271" s="378"/>
      <c r="E271" s="378"/>
      <c r="F271" s="286"/>
      <c r="G271" s="379"/>
      <c r="H271" s="378"/>
      <c r="I271" s="378"/>
      <c r="J271" s="378"/>
      <c r="K271" s="378"/>
      <c r="L271" s="378"/>
      <c r="M271" s="378"/>
      <c r="N271" s="378"/>
      <c r="O271" s="378"/>
      <c r="P271" s="378"/>
      <c r="Q271" s="378"/>
      <c r="R271" s="337"/>
      <c r="S271" s="379"/>
      <c r="T271" s="338"/>
      <c r="U271" s="379"/>
      <c r="V271" s="286"/>
      <c r="W271" s="289"/>
      <c r="X271" s="5"/>
    </row>
    <row r="272" spans="1:25" ht="15.75" x14ac:dyDescent="0.25">
      <c r="A272" s="285"/>
      <c r="B272" s="286"/>
      <c r="C272" s="286"/>
      <c r="D272" s="286"/>
      <c r="E272" s="286"/>
      <c r="F272" s="286"/>
      <c r="G272" s="286"/>
      <c r="H272" s="381"/>
      <c r="I272" s="381"/>
      <c r="J272" s="381"/>
      <c r="K272" s="381"/>
      <c r="L272" s="381"/>
      <c r="M272" s="381"/>
      <c r="N272" s="381"/>
      <c r="O272" s="381"/>
      <c r="P272" s="381"/>
      <c r="Q272" s="381"/>
      <c r="R272" s="337">
        <f>SUM(R263:R271)</f>
        <v>141</v>
      </c>
      <c r="S272" s="379">
        <f>SUM(S263:S271)</f>
        <v>1</v>
      </c>
      <c r="T272" s="338">
        <f>SUM(T263:T271)</f>
        <v>23713</v>
      </c>
      <c r="U272" s="379">
        <f>SUM(U263:U271)</f>
        <v>1.0000000000000002</v>
      </c>
      <c r="V272" s="286"/>
      <c r="W272" s="289"/>
      <c r="X272" s="5"/>
    </row>
    <row r="273" spans="1:24" ht="15.75" x14ac:dyDescent="0.25">
      <c r="A273" s="181"/>
      <c r="B273" s="212"/>
      <c r="C273" s="212"/>
      <c r="D273" s="212"/>
      <c r="E273" s="212"/>
      <c r="F273" s="212"/>
      <c r="G273" s="212"/>
      <c r="H273" s="375"/>
      <c r="I273" s="375"/>
      <c r="J273" s="375"/>
      <c r="K273" s="375"/>
      <c r="L273" s="375"/>
      <c r="M273" s="375"/>
      <c r="N273" s="375"/>
      <c r="O273" s="375"/>
      <c r="P273" s="375"/>
      <c r="Q273" s="375"/>
      <c r="R273" s="335"/>
      <c r="S273" s="376"/>
      <c r="T273" s="377"/>
      <c r="U273" s="376"/>
      <c r="V273" s="212"/>
      <c r="W273" s="212"/>
      <c r="X273" s="5"/>
    </row>
    <row r="274" spans="1:24" ht="15.75" x14ac:dyDescent="0.25">
      <c r="A274" s="244"/>
      <c r="B274" s="232" t="s">
        <v>163</v>
      </c>
      <c r="C274" s="245"/>
      <c r="D274" s="245"/>
      <c r="E274" s="245"/>
      <c r="F274" s="245"/>
      <c r="G274" s="245"/>
      <c r="H274" s="247"/>
      <c r="I274" s="247"/>
      <c r="J274" s="247"/>
      <c r="K274" s="247"/>
      <c r="L274" s="247"/>
      <c r="M274" s="247"/>
      <c r="N274" s="247"/>
      <c r="O274" s="247"/>
      <c r="P274" s="247"/>
      <c r="Q274" s="247"/>
      <c r="R274" s="243" t="s">
        <v>102</v>
      </c>
      <c r="S274" s="233" t="s">
        <v>103</v>
      </c>
      <c r="T274" s="243" t="s">
        <v>109</v>
      </c>
      <c r="U274" s="233" t="s">
        <v>103</v>
      </c>
      <c r="V274" s="245"/>
      <c r="W274" s="246"/>
      <c r="X274" s="5"/>
    </row>
    <row r="275" spans="1:24" ht="15.75" x14ac:dyDescent="0.25">
      <c r="A275" s="248"/>
      <c r="B275" s="249" t="s">
        <v>88</v>
      </c>
      <c r="C275" s="250"/>
      <c r="D275" s="250"/>
      <c r="E275" s="250"/>
      <c r="F275" s="250"/>
      <c r="G275" s="250"/>
      <c r="H275" s="251"/>
      <c r="I275" s="251"/>
      <c r="J275" s="251"/>
      <c r="K275" s="251"/>
      <c r="L275" s="251"/>
      <c r="M275" s="251"/>
      <c r="N275" s="251"/>
      <c r="O275" s="251"/>
      <c r="P275" s="251"/>
      <c r="Q275" s="251"/>
      <c r="R275" s="249">
        <v>0</v>
      </c>
      <c r="S275" s="252">
        <v>0</v>
      </c>
      <c r="T275" s="253">
        <v>0</v>
      </c>
      <c r="U275" s="252">
        <v>0</v>
      </c>
      <c r="V275" s="250"/>
      <c r="W275" s="250"/>
      <c r="X275" s="5"/>
    </row>
    <row r="276" spans="1:24" ht="15.75" x14ac:dyDescent="0.25">
      <c r="A276" s="295"/>
      <c r="B276" s="337" t="s">
        <v>89</v>
      </c>
      <c r="C276" s="286"/>
      <c r="D276" s="286"/>
      <c r="E276" s="286"/>
      <c r="F276" s="286"/>
      <c r="G276" s="286"/>
      <c r="H276" s="381"/>
      <c r="I276" s="381"/>
      <c r="J276" s="381"/>
      <c r="K276" s="381"/>
      <c r="L276" s="381"/>
      <c r="M276" s="381"/>
      <c r="N276" s="381"/>
      <c r="O276" s="381"/>
      <c r="P276" s="381"/>
      <c r="Q276" s="381"/>
      <c r="R276" s="337">
        <v>0</v>
      </c>
      <c r="S276" s="379">
        <v>0</v>
      </c>
      <c r="T276" s="338">
        <v>0</v>
      </c>
      <c r="U276" s="379">
        <v>0</v>
      </c>
      <c r="V276" s="286"/>
      <c r="W276" s="289"/>
      <c r="X276" s="5"/>
    </row>
    <row r="277" spans="1:24" ht="15.75" x14ac:dyDescent="0.25">
      <c r="A277" s="295"/>
      <c r="B277" s="337" t="s">
        <v>90</v>
      </c>
      <c r="C277" s="286"/>
      <c r="D277" s="286"/>
      <c r="E277" s="286"/>
      <c r="F277" s="286"/>
      <c r="G277" s="286"/>
      <c r="H277" s="381"/>
      <c r="I277" s="381"/>
      <c r="J277" s="381"/>
      <c r="K277" s="381"/>
      <c r="L277" s="381"/>
      <c r="M277" s="381"/>
      <c r="N277" s="381"/>
      <c r="O277" s="381"/>
      <c r="P277" s="381"/>
      <c r="Q277" s="381"/>
      <c r="R277" s="337">
        <v>0</v>
      </c>
      <c r="S277" s="379">
        <v>0</v>
      </c>
      <c r="T277" s="338">
        <v>0</v>
      </c>
      <c r="U277" s="379">
        <v>0</v>
      </c>
      <c r="V277" s="286"/>
      <c r="W277" s="289"/>
      <c r="X277" s="5"/>
    </row>
    <row r="278" spans="1:24" ht="15.75" x14ac:dyDescent="0.25">
      <c r="A278" s="295"/>
      <c r="B278" s="337" t="s">
        <v>156</v>
      </c>
      <c r="C278" s="286"/>
      <c r="D278" s="286"/>
      <c r="E278" s="286"/>
      <c r="F278" s="286"/>
      <c r="G278" s="286"/>
      <c r="H278" s="381"/>
      <c r="I278" s="381"/>
      <c r="J278" s="381"/>
      <c r="K278" s="381"/>
      <c r="L278" s="381"/>
      <c r="M278" s="381"/>
      <c r="N278" s="381"/>
      <c r="O278" s="381"/>
      <c r="P278" s="381"/>
      <c r="Q278" s="381"/>
      <c r="R278" s="337">
        <v>0</v>
      </c>
      <c r="S278" s="379">
        <v>0</v>
      </c>
      <c r="T278" s="338">
        <v>0</v>
      </c>
      <c r="U278" s="379">
        <v>0</v>
      </c>
      <c r="V278" s="286"/>
      <c r="W278" s="289"/>
      <c r="X278" s="5"/>
    </row>
    <row r="279" spans="1:24" ht="15.75" x14ac:dyDescent="0.25">
      <c r="A279" s="295"/>
      <c r="B279" s="337" t="s">
        <v>157</v>
      </c>
      <c r="C279" s="286"/>
      <c r="D279" s="286"/>
      <c r="E279" s="286"/>
      <c r="F279" s="286"/>
      <c r="G279" s="286"/>
      <c r="H279" s="381"/>
      <c r="I279" s="381"/>
      <c r="J279" s="381"/>
      <c r="K279" s="381"/>
      <c r="L279" s="381"/>
      <c r="M279" s="381"/>
      <c r="N279" s="381"/>
      <c r="O279" s="381"/>
      <c r="P279" s="381"/>
      <c r="Q279" s="381"/>
      <c r="R279" s="337">
        <v>0</v>
      </c>
      <c r="S279" s="379">
        <v>0</v>
      </c>
      <c r="T279" s="338">
        <v>0</v>
      </c>
      <c r="U279" s="379">
        <v>0</v>
      </c>
      <c r="V279" s="286"/>
      <c r="W279" s="289"/>
      <c r="X279" s="5"/>
    </row>
    <row r="280" spans="1:24" ht="15.75" x14ac:dyDescent="0.25">
      <c r="A280" s="295"/>
      <c r="B280" s="337" t="s">
        <v>158</v>
      </c>
      <c r="C280" s="286"/>
      <c r="D280" s="286"/>
      <c r="E280" s="286"/>
      <c r="F280" s="286"/>
      <c r="G280" s="286"/>
      <c r="H280" s="381"/>
      <c r="I280" s="381"/>
      <c r="J280" s="381"/>
      <c r="K280" s="381"/>
      <c r="L280" s="381"/>
      <c r="M280" s="381"/>
      <c r="N280" s="381"/>
      <c r="O280" s="381"/>
      <c r="P280" s="381"/>
      <c r="Q280" s="381"/>
      <c r="R280" s="337">
        <v>0</v>
      </c>
      <c r="S280" s="379">
        <v>0</v>
      </c>
      <c r="T280" s="338">
        <v>0</v>
      </c>
      <c r="U280" s="379">
        <v>0</v>
      </c>
      <c r="V280" s="286"/>
      <c r="W280" s="289"/>
      <c r="X280" s="5"/>
    </row>
    <row r="281" spans="1:24" ht="15.75" x14ac:dyDescent="0.25">
      <c r="A281" s="295"/>
      <c r="B281" s="337" t="s">
        <v>159</v>
      </c>
      <c r="C281" s="286"/>
      <c r="D281" s="286"/>
      <c r="E281" s="286"/>
      <c r="F281" s="286"/>
      <c r="G281" s="286"/>
      <c r="H281" s="381"/>
      <c r="I281" s="381"/>
      <c r="J281" s="381"/>
      <c r="K281" s="381"/>
      <c r="L281" s="381"/>
      <c r="M281" s="381"/>
      <c r="N281" s="381"/>
      <c r="O281" s="381"/>
      <c r="P281" s="381"/>
      <c r="Q281" s="381"/>
      <c r="R281" s="337">
        <v>0</v>
      </c>
      <c r="S281" s="379">
        <v>0</v>
      </c>
      <c r="T281" s="338">
        <v>0</v>
      </c>
      <c r="U281" s="379">
        <v>0</v>
      </c>
      <c r="V281" s="286"/>
      <c r="W281" s="289"/>
      <c r="X281" s="5"/>
    </row>
    <row r="282" spans="1:24" ht="15.75" x14ac:dyDescent="0.25">
      <c r="A282" s="295"/>
      <c r="B282" s="337" t="s">
        <v>160</v>
      </c>
      <c r="C282" s="286"/>
      <c r="D282" s="286"/>
      <c r="E282" s="286"/>
      <c r="F282" s="286"/>
      <c r="G282" s="286"/>
      <c r="H282" s="381"/>
      <c r="I282" s="381"/>
      <c r="J282" s="381"/>
      <c r="K282" s="381"/>
      <c r="L282" s="381"/>
      <c r="M282" s="381"/>
      <c r="N282" s="381"/>
      <c r="O282" s="381"/>
      <c r="P282" s="381"/>
      <c r="Q282" s="381"/>
      <c r="R282" s="337">
        <v>0</v>
      </c>
      <c r="S282" s="379">
        <v>0</v>
      </c>
      <c r="T282" s="338">
        <v>0</v>
      </c>
      <c r="U282" s="379">
        <v>0</v>
      </c>
      <c r="V282" s="286"/>
      <c r="W282" s="289"/>
      <c r="X282" s="5"/>
    </row>
    <row r="283" spans="1:24" ht="15.75" x14ac:dyDescent="0.25">
      <c r="A283" s="295"/>
      <c r="B283" s="337"/>
      <c r="C283" s="286"/>
      <c r="D283" s="286"/>
      <c r="E283" s="286"/>
      <c r="F283" s="286"/>
      <c r="G283" s="286"/>
      <c r="H283" s="381"/>
      <c r="I283" s="381"/>
      <c r="J283" s="381"/>
      <c r="K283" s="381"/>
      <c r="L283" s="381"/>
      <c r="M283" s="381"/>
      <c r="N283" s="381"/>
      <c r="O283" s="381"/>
      <c r="P283" s="381"/>
      <c r="Q283" s="381"/>
      <c r="R283" s="337"/>
      <c r="S283" s="379"/>
      <c r="T283" s="338"/>
      <c r="U283" s="379"/>
      <c r="V283" s="286"/>
      <c r="W283" s="289"/>
      <c r="X283" s="5"/>
    </row>
    <row r="284" spans="1:24" ht="15.75" x14ac:dyDescent="0.25">
      <c r="A284" s="295"/>
      <c r="B284" s="286" t="s">
        <v>114</v>
      </c>
      <c r="C284" s="286"/>
      <c r="D284" s="286"/>
      <c r="E284" s="286"/>
      <c r="F284" s="286"/>
      <c r="G284" s="286"/>
      <c r="H284" s="381"/>
      <c r="I284" s="381"/>
      <c r="J284" s="381"/>
      <c r="K284" s="381"/>
      <c r="L284" s="381"/>
      <c r="M284" s="381"/>
      <c r="N284" s="381"/>
      <c r="O284" s="381"/>
      <c r="P284" s="381"/>
      <c r="Q284" s="381"/>
      <c r="R284" s="337">
        <f>SUM(R275:R282)</f>
        <v>0</v>
      </c>
      <c r="S284" s="379">
        <f>SUM(S275:S282)</f>
        <v>0</v>
      </c>
      <c r="T284" s="338">
        <f>SUM(T275:T282)</f>
        <v>0</v>
      </c>
      <c r="U284" s="379">
        <f>SUM(U275:U282)</f>
        <v>0</v>
      </c>
      <c r="V284" s="286"/>
      <c r="W284" s="289"/>
      <c r="X284" s="5"/>
    </row>
    <row r="285" spans="1:24" ht="15.75" x14ac:dyDescent="0.25">
      <c r="A285" s="295"/>
      <c r="B285" s="286"/>
      <c r="C285" s="286"/>
      <c r="D285" s="286"/>
      <c r="E285" s="286"/>
      <c r="F285" s="286"/>
      <c r="G285" s="286"/>
      <c r="H285" s="381"/>
      <c r="I285" s="381"/>
      <c r="J285" s="381"/>
      <c r="K285" s="381"/>
      <c r="L285" s="381"/>
      <c r="M285" s="381"/>
      <c r="N285" s="381"/>
      <c r="O285" s="381"/>
      <c r="P285" s="381"/>
      <c r="Q285" s="381"/>
      <c r="R285" s="337"/>
      <c r="S285" s="379"/>
      <c r="T285" s="338"/>
      <c r="U285" s="379"/>
      <c r="V285" s="286"/>
      <c r="W285" s="289"/>
      <c r="X285" s="5"/>
    </row>
    <row r="286" spans="1:24" ht="15.75" x14ac:dyDescent="0.25">
      <c r="A286" s="295"/>
      <c r="B286" s="297" t="s">
        <v>164</v>
      </c>
      <c r="C286" s="286"/>
      <c r="D286" s="286"/>
      <c r="E286" s="286"/>
      <c r="F286" s="286"/>
      <c r="G286" s="286"/>
      <c r="H286" s="381"/>
      <c r="I286" s="381"/>
      <c r="J286" s="381"/>
      <c r="K286" s="381"/>
      <c r="L286" s="381"/>
      <c r="M286" s="381"/>
      <c r="N286" s="381"/>
      <c r="O286" s="381"/>
      <c r="P286" s="381"/>
      <c r="Q286" s="381"/>
      <c r="R286" s="384">
        <f>R284+R272+R260</f>
        <v>5903</v>
      </c>
      <c r="S286" s="379"/>
      <c r="T286" s="385">
        <f>+T284+T272+T260</f>
        <v>850414</v>
      </c>
      <c r="U286" s="379"/>
      <c r="V286" s="286"/>
      <c r="W286" s="289"/>
      <c r="X286" s="5"/>
    </row>
    <row r="287" spans="1:24" ht="15.75" x14ac:dyDescent="0.25">
      <c r="A287" s="254"/>
      <c r="B287" s="346"/>
      <c r="C287" s="346"/>
      <c r="D287" s="346"/>
      <c r="E287" s="346"/>
      <c r="F287" s="346"/>
      <c r="G287" s="346"/>
      <c r="H287" s="382"/>
      <c r="I287" s="382"/>
      <c r="J287" s="382"/>
      <c r="K287" s="382"/>
      <c r="L287" s="382"/>
      <c r="M287" s="382"/>
      <c r="N287" s="382"/>
      <c r="O287" s="382"/>
      <c r="P287" s="382"/>
      <c r="Q287" s="382"/>
      <c r="R287" s="382"/>
      <c r="S287" s="382"/>
      <c r="T287" s="383"/>
      <c r="U287" s="382"/>
      <c r="V287" s="346"/>
      <c r="W287" s="346"/>
      <c r="X287" s="5"/>
    </row>
    <row r="288" spans="1:24" ht="15.75" x14ac:dyDescent="0.25">
      <c r="A288" s="254"/>
      <c r="B288" s="255"/>
      <c r="C288" s="255"/>
      <c r="D288" s="255"/>
      <c r="E288" s="255"/>
      <c r="F288" s="255"/>
      <c r="G288" s="255"/>
      <c r="H288" s="256"/>
      <c r="I288" s="256"/>
      <c r="J288" s="256"/>
      <c r="K288" s="256"/>
      <c r="L288" s="256"/>
      <c r="M288" s="256"/>
      <c r="N288" s="256"/>
      <c r="O288" s="256"/>
      <c r="P288" s="256"/>
      <c r="Q288" s="256"/>
      <c r="R288" s="256"/>
      <c r="S288" s="256"/>
      <c r="T288" s="257"/>
      <c r="U288" s="256"/>
      <c r="V288" s="255"/>
      <c r="W288" s="255"/>
      <c r="X288" s="5"/>
    </row>
    <row r="289" spans="1:24" ht="15.75" x14ac:dyDescent="0.25">
      <c r="A289" s="258"/>
      <c r="B289" s="259" t="s">
        <v>91</v>
      </c>
      <c r="C289" s="255"/>
      <c r="D289" s="255"/>
      <c r="E289" s="255"/>
      <c r="F289" s="260" t="s">
        <v>97</v>
      </c>
      <c r="G289" s="255"/>
      <c r="H289" s="259" t="s">
        <v>99</v>
      </c>
      <c r="I289" s="259"/>
      <c r="J289" s="259"/>
      <c r="K289" s="261"/>
      <c r="L289" s="261"/>
      <c r="M289" s="261"/>
      <c r="N289" s="261"/>
      <c r="O289" s="261"/>
      <c r="P289" s="261"/>
      <c r="Q289" s="261"/>
      <c r="R289" s="261"/>
      <c r="S289" s="261"/>
      <c r="T289" s="261"/>
      <c r="U289" s="261"/>
      <c r="V289" s="261"/>
      <c r="W289" s="261"/>
      <c r="X289" s="5"/>
    </row>
    <row r="290" spans="1:24" ht="15.75" x14ac:dyDescent="0.25">
      <c r="A290" s="258"/>
      <c r="B290" s="261"/>
      <c r="C290" s="255"/>
      <c r="D290" s="255"/>
      <c r="E290" s="255"/>
      <c r="F290" s="255"/>
      <c r="G290" s="255"/>
      <c r="H290" s="255"/>
      <c r="I290" s="255"/>
      <c r="J290" s="255"/>
      <c r="K290" s="261"/>
      <c r="L290" s="261"/>
      <c r="M290" s="261"/>
      <c r="N290" s="261"/>
      <c r="O290" s="261"/>
      <c r="P290" s="261"/>
      <c r="Q290" s="261"/>
      <c r="R290" s="261"/>
      <c r="S290" s="261"/>
      <c r="T290" s="261"/>
      <c r="U290" s="261"/>
      <c r="V290" s="261"/>
      <c r="W290" s="261"/>
      <c r="X290" s="5"/>
    </row>
    <row r="291" spans="1:24" ht="15.75" x14ac:dyDescent="0.25">
      <c r="A291" s="258"/>
      <c r="B291" s="259" t="s">
        <v>92</v>
      </c>
      <c r="C291" s="259"/>
      <c r="D291" s="259"/>
      <c r="E291" s="259"/>
      <c r="F291" s="262" t="s">
        <v>148</v>
      </c>
      <c r="G291" s="259"/>
      <c r="H291" s="259" t="s">
        <v>152</v>
      </c>
      <c r="I291" s="259"/>
      <c r="J291" s="259"/>
      <c r="K291" s="261"/>
      <c r="L291" s="261"/>
      <c r="M291" s="261"/>
      <c r="N291" s="261"/>
      <c r="O291" s="261"/>
      <c r="P291" s="261"/>
      <c r="Q291" s="261"/>
      <c r="R291" s="261"/>
      <c r="S291" s="261"/>
      <c r="T291" s="261"/>
      <c r="U291" s="261"/>
      <c r="V291" s="261"/>
      <c r="W291" s="261"/>
      <c r="X291" s="5"/>
    </row>
    <row r="292" spans="1:24" ht="15.75" x14ac:dyDescent="0.25">
      <c r="A292" s="258"/>
      <c r="B292" s="259" t="s">
        <v>265</v>
      </c>
      <c r="C292" s="259"/>
      <c r="D292" s="259"/>
      <c r="E292" s="259"/>
      <c r="F292" s="262" t="s">
        <v>266</v>
      </c>
      <c r="G292" s="259"/>
      <c r="H292" s="259" t="s">
        <v>267</v>
      </c>
      <c r="I292" s="259"/>
      <c r="J292" s="259"/>
      <c r="K292" s="261"/>
      <c r="L292" s="261"/>
      <c r="M292" s="261"/>
      <c r="N292" s="261"/>
      <c r="O292" s="261"/>
      <c r="P292" s="261"/>
      <c r="Q292" s="261"/>
      <c r="R292" s="261"/>
      <c r="S292" s="261"/>
      <c r="T292" s="261"/>
      <c r="U292" s="261"/>
      <c r="V292" s="261"/>
      <c r="W292" s="261"/>
      <c r="X292" s="5"/>
    </row>
    <row r="293" spans="1:24" ht="15.75" x14ac:dyDescent="0.25">
      <c r="A293" s="258"/>
      <c r="B293" s="259" t="s">
        <v>93</v>
      </c>
      <c r="C293" s="259"/>
      <c r="D293" s="259"/>
      <c r="E293" s="259"/>
      <c r="F293" s="262" t="s">
        <v>147</v>
      </c>
      <c r="G293" s="259"/>
      <c r="H293" s="259" t="s">
        <v>153</v>
      </c>
      <c r="I293" s="259"/>
      <c r="J293" s="259"/>
      <c r="K293" s="261"/>
      <c r="L293" s="261"/>
      <c r="M293" s="261"/>
      <c r="N293" s="261"/>
      <c r="O293" s="261"/>
      <c r="P293" s="261"/>
      <c r="Q293" s="261"/>
      <c r="R293" s="261"/>
      <c r="S293" s="261"/>
      <c r="T293" s="261"/>
      <c r="U293" s="261"/>
      <c r="V293" s="261"/>
      <c r="W293" s="261"/>
      <c r="X293" s="5"/>
    </row>
    <row r="294" spans="1:24" ht="15.75" x14ac:dyDescent="0.25">
      <c r="A294" s="258"/>
      <c r="B294" s="259"/>
      <c r="C294" s="259"/>
      <c r="D294" s="259"/>
      <c r="E294" s="259"/>
      <c r="F294" s="259"/>
      <c r="G294" s="263"/>
      <c r="H294" s="261"/>
      <c r="I294" s="261"/>
      <c r="J294" s="261"/>
      <c r="K294" s="261"/>
      <c r="L294" s="261"/>
      <c r="M294" s="261"/>
      <c r="N294" s="261"/>
      <c r="O294" s="261"/>
      <c r="P294" s="261"/>
      <c r="Q294" s="261"/>
      <c r="R294" s="261"/>
      <c r="S294" s="261"/>
      <c r="T294" s="261"/>
      <c r="U294" s="261"/>
      <c r="V294" s="261"/>
      <c r="W294" s="261"/>
      <c r="X294" s="5"/>
    </row>
    <row r="295" spans="1:24" ht="15.75" x14ac:dyDescent="0.25">
      <c r="A295" s="258"/>
      <c r="B295" s="259"/>
      <c r="C295" s="259"/>
      <c r="D295" s="259"/>
      <c r="E295" s="259"/>
      <c r="F295" s="259"/>
      <c r="G295" s="263"/>
      <c r="H295" s="261"/>
      <c r="I295" s="261"/>
      <c r="J295" s="261"/>
      <c r="K295" s="261"/>
      <c r="L295" s="261"/>
      <c r="M295" s="261"/>
      <c r="N295" s="261"/>
      <c r="O295" s="261"/>
      <c r="P295" s="261"/>
      <c r="Q295" s="261"/>
      <c r="R295" s="261"/>
      <c r="S295" s="261"/>
      <c r="T295" s="261"/>
      <c r="U295" s="261"/>
      <c r="V295" s="261"/>
      <c r="W295" s="261"/>
      <c r="X295" s="5"/>
    </row>
    <row r="296" spans="1:24" ht="19.5" thickBot="1" x14ac:dyDescent="0.35">
      <c r="A296" s="258"/>
      <c r="B296" s="264" t="str">
        <f>B200</f>
        <v>PM15 INVESTOR REPORT QUARTER ENDING NOVEMBER 2010</v>
      </c>
      <c r="C296" s="259"/>
      <c r="D296" s="259"/>
      <c r="E296" s="259"/>
      <c r="F296" s="259"/>
      <c r="G296" s="263"/>
      <c r="H296" s="261"/>
      <c r="I296" s="261"/>
      <c r="J296" s="261"/>
      <c r="K296" s="261"/>
      <c r="L296" s="261"/>
      <c r="M296" s="261"/>
      <c r="N296" s="261"/>
      <c r="O296" s="261"/>
      <c r="P296" s="261"/>
      <c r="Q296" s="261"/>
      <c r="R296" s="261"/>
      <c r="S296" s="261"/>
      <c r="T296" s="261"/>
      <c r="U296" s="261"/>
      <c r="V296" s="261"/>
      <c r="W296" s="261"/>
      <c r="X296" s="5"/>
    </row>
    <row r="297" spans="1:24" x14ac:dyDescent="0.2">
      <c r="A297" s="100"/>
      <c r="B297" s="100"/>
      <c r="C297" s="100"/>
      <c r="D297" s="100"/>
      <c r="E297" s="100"/>
      <c r="F297" s="100"/>
      <c r="G297" s="100"/>
      <c r="H297" s="100"/>
      <c r="I297" s="100"/>
      <c r="J297" s="100"/>
      <c r="K297" s="100"/>
      <c r="L297" s="100"/>
      <c r="M297" s="100"/>
      <c r="N297" s="100"/>
      <c r="O297" s="100"/>
      <c r="P297" s="100"/>
      <c r="Q297" s="100"/>
      <c r="R297" s="100"/>
      <c r="S297" s="100"/>
      <c r="T297" s="100"/>
      <c r="U297" s="100"/>
      <c r="V297" s="100"/>
      <c r="W297" s="100"/>
    </row>
  </sheetData>
  <phoneticPr fontId="0" type="noConversion"/>
  <hyperlinks>
    <hyperlink ref="P236" r:id="rId1" xr:uid="{00000000-0004-0000-0C00-000000000000}"/>
    <hyperlink ref="I9" r:id="rId2" xr:uid="{00000000-0004-0000-0C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4" max="14" man="1"/>
    <brk id="200" max="14" man="1"/>
  </rowBreak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sheetPr>
  <dimension ref="A1:IV297"/>
  <sheetViews>
    <sheetView showGridLines="0" showOutlineSymbols="0" zoomScale="70" zoomScaleNormal="70" workbookViewId="0"/>
  </sheetViews>
  <sheetFormatPr defaultColWidth="9.6640625" defaultRowHeight="15" x14ac:dyDescent="0.2"/>
  <cols>
    <col min="1" max="1" width="4" style="1" customWidth="1"/>
    <col min="2" max="2" width="71.21875" style="1" customWidth="1"/>
    <col min="3" max="3" width="2.21875" style="1" customWidth="1"/>
    <col min="4" max="4" width="19.33203125" style="1" customWidth="1"/>
    <col min="5" max="5" width="2.21875" style="1" customWidth="1"/>
    <col min="6" max="6" width="25.109375" style="1" customWidth="1"/>
    <col min="7" max="7" width="2.21875" style="1" customWidth="1"/>
    <col min="8" max="8" width="16.21875" style="1" customWidth="1"/>
    <col min="9" max="9" width="2.88671875" style="1" customWidth="1"/>
    <col min="10" max="10" width="16.21875" style="1" customWidth="1"/>
    <col min="11" max="11" width="2.21875" style="1" customWidth="1"/>
    <col min="12" max="12" width="17.88671875" style="1" customWidth="1"/>
    <col min="13" max="13" width="2.33203125" style="1" customWidth="1"/>
    <col min="14" max="14" width="14.88671875" style="1" customWidth="1"/>
    <col min="15" max="15" width="2.33203125" style="1" customWidth="1"/>
    <col min="16" max="16" width="15.5546875" style="1" customWidth="1"/>
    <col min="17" max="17" width="2.21875" style="1" customWidth="1"/>
    <col min="18" max="18" width="15.5546875" style="1" customWidth="1"/>
    <col min="19" max="20" width="12.6640625" style="1" customWidth="1"/>
    <col min="21" max="21" width="7.77734375" style="1" customWidth="1"/>
    <col min="22" max="22" width="14.6640625" style="1" customWidth="1"/>
    <col min="23" max="23" width="11.77734375" style="1" customWidth="1"/>
    <col min="24" max="16384" width="9.6640625" style="1"/>
  </cols>
  <sheetData>
    <row r="1" spans="1:24" ht="20.25" x14ac:dyDescent="0.3">
      <c r="A1" s="179"/>
      <c r="B1" s="274" t="s">
        <v>237</v>
      </c>
      <c r="C1" s="180"/>
      <c r="D1" s="180"/>
      <c r="E1" s="180"/>
      <c r="F1" s="180"/>
      <c r="G1" s="180"/>
      <c r="H1" s="180"/>
      <c r="I1" s="180"/>
      <c r="J1" s="180"/>
      <c r="K1" s="180"/>
      <c r="L1" s="180"/>
      <c r="M1" s="180"/>
      <c r="N1" s="180"/>
      <c r="O1" s="180"/>
      <c r="P1" s="180"/>
      <c r="Q1" s="180"/>
      <c r="R1" s="180"/>
      <c r="S1" s="180"/>
      <c r="T1" s="180"/>
      <c r="U1" s="180"/>
      <c r="V1" s="180"/>
      <c r="W1" s="180"/>
      <c r="X1" s="5"/>
    </row>
    <row r="2" spans="1:24" ht="15.75" x14ac:dyDescent="0.25">
      <c r="A2" s="181"/>
      <c r="B2" s="182"/>
      <c r="C2" s="183"/>
      <c r="D2" s="183"/>
      <c r="E2" s="183"/>
      <c r="F2" s="183"/>
      <c r="G2" s="183"/>
      <c r="H2" s="183"/>
      <c r="I2" s="183"/>
      <c r="J2" s="183"/>
      <c r="K2" s="183"/>
      <c r="L2" s="183"/>
      <c r="M2" s="183"/>
      <c r="N2" s="183"/>
      <c r="O2" s="183"/>
      <c r="P2" s="183"/>
      <c r="Q2" s="183"/>
      <c r="R2" s="183"/>
      <c r="S2" s="183"/>
      <c r="T2" s="183"/>
      <c r="U2" s="183"/>
      <c r="V2" s="183"/>
      <c r="W2" s="183"/>
      <c r="X2" s="5"/>
    </row>
    <row r="3" spans="1:24" ht="15.75" x14ac:dyDescent="0.25">
      <c r="A3" s="184"/>
      <c r="B3" s="185" t="s">
        <v>238</v>
      </c>
      <c r="C3" s="183"/>
      <c r="D3" s="183"/>
      <c r="E3" s="183"/>
      <c r="F3" s="183"/>
      <c r="G3" s="183"/>
      <c r="H3" s="183"/>
      <c r="I3" s="183"/>
      <c r="J3" s="183"/>
      <c r="K3" s="183"/>
      <c r="L3" s="183"/>
      <c r="M3" s="183"/>
      <c r="N3" s="183"/>
      <c r="O3" s="183"/>
      <c r="P3" s="183"/>
      <c r="Q3" s="183"/>
      <c r="R3" s="183"/>
      <c r="S3" s="183"/>
      <c r="T3" s="183"/>
      <c r="U3" s="183"/>
      <c r="V3" s="183"/>
      <c r="W3" s="183"/>
      <c r="X3" s="5"/>
    </row>
    <row r="4" spans="1:24" ht="15.75" x14ac:dyDescent="0.25">
      <c r="A4" s="181"/>
      <c r="B4" s="182"/>
      <c r="C4" s="183"/>
      <c r="D4" s="183"/>
      <c r="E4" s="183"/>
      <c r="F4" s="183"/>
      <c r="G4" s="183"/>
      <c r="H4" s="183"/>
      <c r="I4" s="183"/>
      <c r="J4" s="183"/>
      <c r="K4" s="183"/>
      <c r="L4" s="183"/>
      <c r="M4" s="183"/>
      <c r="N4" s="183"/>
      <c r="O4" s="183"/>
      <c r="P4" s="183"/>
      <c r="Q4" s="183"/>
      <c r="R4" s="183"/>
      <c r="S4" s="183"/>
      <c r="T4" s="183"/>
      <c r="U4" s="183"/>
      <c r="V4" s="183"/>
      <c r="W4" s="183"/>
      <c r="X4" s="5"/>
    </row>
    <row r="5" spans="1:24" ht="15.75" x14ac:dyDescent="0.25">
      <c r="A5" s="181"/>
      <c r="B5" s="275" t="s">
        <v>137</v>
      </c>
      <c r="C5" s="183"/>
      <c r="D5" s="183"/>
      <c r="E5" s="183"/>
      <c r="F5" s="183"/>
      <c r="G5" s="183"/>
      <c r="H5" s="183"/>
      <c r="I5" s="183"/>
      <c r="J5" s="183"/>
      <c r="K5" s="183"/>
      <c r="L5" s="183"/>
      <c r="M5" s="183"/>
      <c r="N5" s="183"/>
      <c r="O5" s="183"/>
      <c r="P5" s="183"/>
      <c r="Q5" s="183"/>
      <c r="R5" s="183"/>
      <c r="S5" s="183"/>
      <c r="T5" s="183"/>
      <c r="U5" s="183"/>
      <c r="V5" s="183"/>
      <c r="W5" s="183"/>
      <c r="X5" s="5"/>
    </row>
    <row r="6" spans="1:24" ht="15.75" x14ac:dyDescent="0.25">
      <c r="A6" s="181"/>
      <c r="B6" s="275" t="s">
        <v>139</v>
      </c>
      <c r="C6" s="183"/>
      <c r="D6" s="183"/>
      <c r="E6" s="183"/>
      <c r="F6" s="183"/>
      <c r="G6" s="183"/>
      <c r="H6" s="183"/>
      <c r="I6" s="183"/>
      <c r="J6" s="183"/>
      <c r="K6" s="183"/>
      <c r="L6" s="183"/>
      <c r="M6" s="183"/>
      <c r="N6" s="183"/>
      <c r="O6" s="183"/>
      <c r="P6" s="183"/>
      <c r="Q6" s="183"/>
      <c r="R6" s="183"/>
      <c r="S6" s="183"/>
      <c r="T6" s="183"/>
      <c r="U6" s="183"/>
      <c r="V6" s="183"/>
      <c r="W6" s="183"/>
      <c r="X6" s="5"/>
    </row>
    <row r="7" spans="1:24" ht="15.75" x14ac:dyDescent="0.25">
      <c r="A7" s="181"/>
      <c r="B7" s="275" t="s">
        <v>138</v>
      </c>
      <c r="C7" s="183"/>
      <c r="D7" s="183"/>
      <c r="E7" s="183"/>
      <c r="F7" s="183"/>
      <c r="G7" s="183"/>
      <c r="H7" s="183"/>
      <c r="I7" s="183"/>
      <c r="J7" s="183"/>
      <c r="K7" s="183"/>
      <c r="L7" s="183"/>
      <c r="M7" s="183"/>
      <c r="N7" s="183"/>
      <c r="O7" s="183"/>
      <c r="P7" s="183"/>
      <c r="Q7" s="183"/>
      <c r="R7" s="183"/>
      <c r="S7" s="183"/>
      <c r="T7" s="183"/>
      <c r="U7" s="183"/>
      <c r="V7" s="183"/>
      <c r="W7" s="183"/>
      <c r="X7" s="5"/>
    </row>
    <row r="8" spans="1:24" ht="15.75" x14ac:dyDescent="0.25">
      <c r="A8" s="181"/>
      <c r="B8" s="186"/>
      <c r="C8" s="183"/>
      <c r="D8" s="183"/>
      <c r="E8" s="183"/>
      <c r="F8" s="183"/>
      <c r="G8" s="183"/>
      <c r="H8" s="183"/>
      <c r="I8" s="183"/>
      <c r="J8" s="183"/>
      <c r="K8" s="183"/>
      <c r="L8" s="183"/>
      <c r="M8" s="183"/>
      <c r="N8" s="183"/>
      <c r="O8" s="183"/>
      <c r="P8" s="183"/>
      <c r="Q8" s="183"/>
      <c r="R8" s="183"/>
      <c r="S8" s="183"/>
      <c r="T8" s="183"/>
      <c r="U8" s="183"/>
      <c r="V8" s="183"/>
      <c r="W8" s="183"/>
      <c r="X8" s="5"/>
    </row>
    <row r="9" spans="1:24" ht="18.75" x14ac:dyDescent="0.3">
      <c r="A9" s="181"/>
      <c r="B9" s="187" t="s">
        <v>166</v>
      </c>
      <c r="C9" s="183"/>
      <c r="D9" s="183"/>
      <c r="E9" s="183"/>
      <c r="F9" s="183"/>
      <c r="G9" s="183"/>
      <c r="H9" s="183"/>
      <c r="I9" s="188" t="s">
        <v>167</v>
      </c>
      <c r="J9" s="183"/>
      <c r="K9" s="183"/>
      <c r="L9" s="188"/>
      <c r="M9" s="183"/>
      <c r="N9" s="188"/>
      <c r="O9" s="183"/>
      <c r="P9" s="183"/>
      <c r="Q9" s="183"/>
      <c r="R9" s="183"/>
      <c r="S9" s="183"/>
      <c r="T9" s="183"/>
      <c r="U9" s="183"/>
      <c r="V9" s="183"/>
      <c r="W9" s="183"/>
      <c r="X9" s="5"/>
    </row>
    <row r="10" spans="1:24" ht="15.75" x14ac:dyDescent="0.25">
      <c r="A10" s="181"/>
      <c r="B10" s="186"/>
      <c r="C10" s="189"/>
      <c r="D10" s="189"/>
      <c r="E10" s="189"/>
      <c r="F10" s="183"/>
      <c r="G10" s="183"/>
      <c r="H10" s="183"/>
      <c r="I10" s="183"/>
      <c r="J10" s="183"/>
      <c r="K10" s="183"/>
      <c r="L10" s="183"/>
      <c r="M10" s="183"/>
      <c r="N10" s="183"/>
      <c r="O10" s="183"/>
      <c r="P10" s="183"/>
      <c r="Q10" s="183"/>
      <c r="R10" s="183"/>
      <c r="S10" s="183"/>
      <c r="T10" s="183"/>
      <c r="U10" s="183"/>
      <c r="V10" s="183"/>
      <c r="W10" s="183"/>
      <c r="X10" s="5"/>
    </row>
    <row r="11" spans="1:24" ht="15.75" x14ac:dyDescent="0.25">
      <c r="A11" s="181"/>
      <c r="B11" s="259" t="s">
        <v>0</v>
      </c>
      <c r="C11" s="183"/>
      <c r="D11" s="183"/>
      <c r="E11" s="183"/>
      <c r="F11" s="183"/>
      <c r="G11" s="183"/>
      <c r="H11" s="183"/>
      <c r="I11" s="183"/>
      <c r="J11" s="183"/>
      <c r="K11" s="183"/>
      <c r="L11" s="183"/>
      <c r="M11" s="183"/>
      <c r="N11" s="183"/>
      <c r="O11" s="183"/>
      <c r="P11" s="183"/>
      <c r="Q11" s="183"/>
      <c r="R11" s="183"/>
      <c r="S11" s="183"/>
      <c r="T11" s="183"/>
      <c r="U11" s="183"/>
      <c r="V11" s="183"/>
      <c r="W11" s="183"/>
      <c r="X11" s="5"/>
    </row>
    <row r="12" spans="1:24" ht="16.5" thickBot="1" x14ac:dyDescent="0.3">
      <c r="A12" s="181"/>
      <c r="B12" s="189"/>
      <c r="C12" s="183"/>
      <c r="D12" s="183"/>
      <c r="E12" s="183"/>
      <c r="F12" s="183"/>
      <c r="G12" s="183"/>
      <c r="H12" s="183"/>
      <c r="I12" s="183"/>
      <c r="J12" s="183"/>
      <c r="K12" s="183"/>
      <c r="L12" s="183"/>
      <c r="M12" s="183"/>
      <c r="N12" s="183"/>
      <c r="O12" s="183"/>
      <c r="P12" s="183"/>
      <c r="Q12" s="183"/>
      <c r="R12" s="183"/>
      <c r="S12" s="183"/>
      <c r="T12" s="183"/>
      <c r="U12" s="183"/>
      <c r="V12" s="183"/>
      <c r="W12" s="183"/>
      <c r="X12" s="5"/>
    </row>
    <row r="13" spans="1:24" ht="15.75" x14ac:dyDescent="0.25">
      <c r="A13" s="179"/>
      <c r="B13" s="180"/>
      <c r="C13" s="180"/>
      <c r="D13" s="180"/>
      <c r="E13" s="180"/>
      <c r="F13" s="180"/>
      <c r="G13" s="180"/>
      <c r="H13" s="180"/>
      <c r="I13" s="180"/>
      <c r="J13" s="180"/>
      <c r="K13" s="180"/>
      <c r="L13" s="180"/>
      <c r="M13" s="180"/>
      <c r="N13" s="180"/>
      <c r="O13" s="180"/>
      <c r="P13" s="180"/>
      <c r="Q13" s="180"/>
      <c r="R13" s="180"/>
      <c r="S13" s="180"/>
      <c r="T13" s="180"/>
      <c r="U13" s="180"/>
      <c r="V13" s="180"/>
      <c r="W13" s="180"/>
      <c r="X13" s="5"/>
    </row>
    <row r="14" spans="1:24" ht="15.75" x14ac:dyDescent="0.25">
      <c r="A14" s="181"/>
      <c r="B14" s="259" t="s">
        <v>1</v>
      </c>
      <c r="C14" s="255"/>
      <c r="D14" s="255"/>
      <c r="E14" s="255"/>
      <c r="F14" s="255"/>
      <c r="G14" s="255"/>
      <c r="H14" s="255"/>
      <c r="I14" s="255"/>
      <c r="J14" s="255"/>
      <c r="K14" s="255"/>
      <c r="L14" s="255"/>
      <c r="M14" s="255"/>
      <c r="N14" s="255"/>
      <c r="O14" s="255"/>
      <c r="P14" s="255"/>
      <c r="Q14" s="255"/>
      <c r="R14" s="255"/>
      <c r="S14" s="255"/>
      <c r="T14" s="255"/>
      <c r="U14" s="255"/>
      <c r="V14" s="276" t="s">
        <v>239</v>
      </c>
      <c r="W14" s="255"/>
      <c r="X14" s="5"/>
    </row>
    <row r="15" spans="1:24" ht="15.75" x14ac:dyDescent="0.25">
      <c r="A15" s="181"/>
      <c r="B15" s="259" t="s">
        <v>2</v>
      </c>
      <c r="C15" s="255"/>
      <c r="D15" s="255"/>
      <c r="E15" s="255"/>
      <c r="F15" s="255"/>
      <c r="G15" s="255"/>
      <c r="H15" s="277"/>
      <c r="I15" s="277"/>
      <c r="J15" s="277"/>
      <c r="K15" s="277"/>
      <c r="L15" s="277"/>
      <c r="M15" s="277"/>
      <c r="N15" s="277"/>
      <c r="O15" s="277"/>
      <c r="P15" s="277"/>
      <c r="Q15" s="277"/>
      <c r="R15" s="277" t="s">
        <v>104</v>
      </c>
      <c r="S15" s="278">
        <v>0.47189999999999999</v>
      </c>
      <c r="T15" s="260" t="s">
        <v>140</v>
      </c>
      <c r="U15" s="278">
        <v>0.52810000000000001</v>
      </c>
      <c r="V15" s="276"/>
      <c r="W15" s="255"/>
      <c r="X15" s="5"/>
    </row>
    <row r="16" spans="1:24" ht="15.75" x14ac:dyDescent="0.25">
      <c r="A16" s="181"/>
      <c r="B16" s="259" t="s">
        <v>3</v>
      </c>
      <c r="C16" s="255"/>
      <c r="D16" s="255"/>
      <c r="E16" s="255"/>
      <c r="F16" s="255"/>
      <c r="G16" s="255"/>
      <c r="H16" s="277"/>
      <c r="I16" s="277"/>
      <c r="J16" s="277"/>
      <c r="K16" s="277"/>
      <c r="L16" s="277"/>
      <c r="M16" s="277"/>
      <c r="N16" s="277"/>
      <c r="O16" s="277"/>
      <c r="P16" s="277"/>
      <c r="Q16" s="277"/>
      <c r="R16" s="277" t="s">
        <v>104</v>
      </c>
      <c r="S16" s="278">
        <v>0.53559999999999997</v>
      </c>
      <c r="T16" s="260" t="s">
        <v>140</v>
      </c>
      <c r="U16" s="278">
        <v>0.46439999999999998</v>
      </c>
      <c r="V16" s="276"/>
      <c r="W16" s="255"/>
      <c r="X16" s="5"/>
    </row>
    <row r="17" spans="1:24" ht="15.75" x14ac:dyDescent="0.25">
      <c r="A17" s="181"/>
      <c r="B17" s="259" t="s">
        <v>4</v>
      </c>
      <c r="C17" s="255"/>
      <c r="D17" s="255"/>
      <c r="E17" s="255"/>
      <c r="F17" s="255"/>
      <c r="G17" s="255"/>
      <c r="H17" s="255"/>
      <c r="I17" s="255"/>
      <c r="J17" s="255"/>
      <c r="K17" s="255"/>
      <c r="L17" s="255"/>
      <c r="M17" s="255"/>
      <c r="N17" s="255"/>
      <c r="O17" s="255"/>
      <c r="P17" s="255"/>
      <c r="Q17" s="255"/>
      <c r="R17" s="255"/>
      <c r="S17" s="255"/>
      <c r="T17" s="255"/>
      <c r="U17" s="255"/>
      <c r="V17" s="279">
        <v>39282</v>
      </c>
      <c r="W17" s="255"/>
      <c r="X17" s="5"/>
    </row>
    <row r="18" spans="1:24" ht="15.75" x14ac:dyDescent="0.25">
      <c r="A18" s="181"/>
      <c r="B18" s="259" t="s">
        <v>5</v>
      </c>
      <c r="C18" s="255"/>
      <c r="D18" s="255"/>
      <c r="E18" s="255"/>
      <c r="F18" s="255"/>
      <c r="G18" s="255"/>
      <c r="H18" s="255"/>
      <c r="I18" s="255"/>
      <c r="J18" s="255"/>
      <c r="K18" s="255"/>
      <c r="L18" s="255"/>
      <c r="M18" s="255"/>
      <c r="N18" s="255"/>
      <c r="O18" s="255"/>
      <c r="P18" s="255"/>
      <c r="Q18" s="255"/>
      <c r="R18" s="255"/>
      <c r="S18" s="255"/>
      <c r="T18" s="255"/>
      <c r="U18" s="255"/>
      <c r="V18" s="279">
        <v>40619</v>
      </c>
      <c r="W18" s="255"/>
      <c r="X18" s="5"/>
    </row>
    <row r="19" spans="1:24" ht="15.75" x14ac:dyDescent="0.25">
      <c r="A19" s="181"/>
      <c r="B19" s="183"/>
      <c r="C19" s="183"/>
      <c r="D19" s="183"/>
      <c r="E19" s="183"/>
      <c r="F19" s="183"/>
      <c r="G19" s="183"/>
      <c r="H19" s="183"/>
      <c r="I19" s="183"/>
      <c r="J19" s="183"/>
      <c r="K19" s="183"/>
      <c r="L19" s="183"/>
      <c r="M19" s="183"/>
      <c r="N19" s="183"/>
      <c r="O19" s="183"/>
      <c r="P19" s="183"/>
      <c r="Q19" s="183"/>
      <c r="R19" s="183"/>
      <c r="S19" s="183"/>
      <c r="T19" s="183"/>
      <c r="U19" s="183"/>
      <c r="V19" s="190"/>
      <c r="W19" s="183"/>
      <c r="X19" s="5"/>
    </row>
    <row r="20" spans="1:24" ht="15.75" x14ac:dyDescent="0.25">
      <c r="A20" s="181"/>
      <c r="B20" s="280" t="s">
        <v>6</v>
      </c>
      <c r="C20" s="255"/>
      <c r="D20" s="255"/>
      <c r="E20" s="255"/>
      <c r="F20" s="255"/>
      <c r="G20" s="255"/>
      <c r="H20" s="255"/>
      <c r="I20" s="255"/>
      <c r="J20" s="255"/>
      <c r="K20" s="255"/>
      <c r="L20" s="255"/>
      <c r="M20" s="255"/>
      <c r="N20" s="255"/>
      <c r="O20" s="255"/>
      <c r="P20" s="255"/>
      <c r="Q20" s="255"/>
      <c r="R20" s="255"/>
      <c r="S20" s="255"/>
      <c r="T20" s="281" t="s">
        <v>105</v>
      </c>
      <c r="U20" s="255"/>
      <c r="V20" s="261"/>
      <c r="W20" s="183"/>
      <c r="X20" s="5"/>
    </row>
    <row r="21" spans="1:24" ht="15.75" x14ac:dyDescent="0.25">
      <c r="A21" s="181"/>
      <c r="B21" s="183"/>
      <c r="C21" s="183"/>
      <c r="D21" s="183"/>
      <c r="E21" s="183"/>
      <c r="F21" s="183"/>
      <c r="G21" s="183"/>
      <c r="H21" s="183"/>
      <c r="I21" s="183"/>
      <c r="J21" s="183"/>
      <c r="K21" s="183"/>
      <c r="L21" s="183"/>
      <c r="M21" s="183"/>
      <c r="N21" s="183"/>
      <c r="O21" s="183"/>
      <c r="P21" s="183"/>
      <c r="Q21" s="183"/>
      <c r="R21" s="183"/>
      <c r="S21" s="183"/>
      <c r="T21" s="183"/>
      <c r="U21" s="183"/>
      <c r="V21" s="192"/>
      <c r="W21" s="183"/>
      <c r="X21" s="5"/>
    </row>
    <row r="22" spans="1:24" ht="15.75" x14ac:dyDescent="0.25">
      <c r="A22" s="224"/>
      <c r="B22" s="225"/>
      <c r="C22" s="226"/>
      <c r="D22" s="226" t="s">
        <v>177</v>
      </c>
      <c r="E22" s="226"/>
      <c r="F22" s="226" t="s">
        <v>178</v>
      </c>
      <c r="G22" s="226"/>
      <c r="H22" s="226" t="s">
        <v>179</v>
      </c>
      <c r="I22" s="226"/>
      <c r="J22" s="226" t="s">
        <v>219</v>
      </c>
      <c r="K22" s="226"/>
      <c r="L22" s="226" t="s">
        <v>180</v>
      </c>
      <c r="M22" s="226"/>
      <c r="N22" s="226" t="s">
        <v>181</v>
      </c>
      <c r="O22" s="226"/>
      <c r="P22" s="226" t="s">
        <v>182</v>
      </c>
      <c r="Q22" s="226"/>
      <c r="R22" s="226"/>
      <c r="S22" s="227"/>
      <c r="T22" s="228"/>
      <c r="U22" s="229"/>
      <c r="V22" s="229"/>
      <c r="W22" s="225"/>
      <c r="X22" s="5"/>
    </row>
    <row r="23" spans="1:24" ht="15.75" x14ac:dyDescent="0.25">
      <c r="A23" s="193"/>
      <c r="B23" s="250" t="s">
        <v>7</v>
      </c>
      <c r="C23" s="282"/>
      <c r="D23" s="282" t="s">
        <v>212</v>
      </c>
      <c r="E23" s="282"/>
      <c r="F23" s="282" t="s">
        <v>141</v>
      </c>
      <c r="G23" s="282"/>
      <c r="H23" s="282" t="s">
        <v>141</v>
      </c>
      <c r="I23" s="282"/>
      <c r="J23" s="282" t="s">
        <v>141</v>
      </c>
      <c r="K23" s="282"/>
      <c r="L23" s="282" t="s">
        <v>183</v>
      </c>
      <c r="M23" s="282"/>
      <c r="N23" s="282" t="s">
        <v>183</v>
      </c>
      <c r="O23" s="282"/>
      <c r="P23" s="282" t="s">
        <v>142</v>
      </c>
      <c r="Q23" s="282"/>
      <c r="R23" s="282"/>
      <c r="S23" s="282"/>
      <c r="T23" s="282"/>
      <c r="U23" s="273"/>
      <c r="V23" s="273"/>
      <c r="W23" s="250"/>
      <c r="X23" s="5"/>
    </row>
    <row r="24" spans="1:24" ht="15.75" x14ac:dyDescent="0.25">
      <c r="A24" s="285"/>
      <c r="B24" s="286" t="s">
        <v>8</v>
      </c>
      <c r="C24" s="287"/>
      <c r="D24" s="287" t="s">
        <v>213</v>
      </c>
      <c r="E24" s="287"/>
      <c r="F24" s="287" t="s">
        <v>143</v>
      </c>
      <c r="G24" s="287"/>
      <c r="H24" s="287" t="s">
        <v>143</v>
      </c>
      <c r="I24" s="287"/>
      <c r="J24" s="287" t="s">
        <v>143</v>
      </c>
      <c r="K24" s="287"/>
      <c r="L24" s="287" t="s">
        <v>165</v>
      </c>
      <c r="M24" s="287"/>
      <c r="N24" s="287" t="s">
        <v>165</v>
      </c>
      <c r="O24" s="287"/>
      <c r="P24" s="287" t="s">
        <v>144</v>
      </c>
      <c r="Q24" s="287"/>
      <c r="R24" s="287"/>
      <c r="S24" s="287"/>
      <c r="T24" s="287"/>
      <c r="U24" s="288"/>
      <c r="V24" s="288"/>
      <c r="W24" s="289"/>
      <c r="X24" s="5"/>
    </row>
    <row r="25" spans="1:24" ht="15.75" x14ac:dyDescent="0.25">
      <c r="A25" s="290"/>
      <c r="B25" s="291" t="s">
        <v>190</v>
      </c>
      <c r="C25" s="292"/>
      <c r="D25" s="287" t="s">
        <v>214</v>
      </c>
      <c r="E25" s="287"/>
      <c r="F25" s="287" t="s">
        <v>143</v>
      </c>
      <c r="G25" s="287"/>
      <c r="H25" s="287" t="s">
        <v>143</v>
      </c>
      <c r="I25" s="287"/>
      <c r="J25" s="287" t="s">
        <v>143</v>
      </c>
      <c r="K25" s="287"/>
      <c r="L25" s="287" t="s">
        <v>165</v>
      </c>
      <c r="M25" s="287"/>
      <c r="N25" s="287" t="s">
        <v>165</v>
      </c>
      <c r="O25" s="287"/>
      <c r="P25" s="287" t="s">
        <v>144</v>
      </c>
      <c r="Q25" s="287"/>
      <c r="R25" s="287"/>
      <c r="S25" s="292"/>
      <c r="T25" s="287"/>
      <c r="U25" s="288"/>
      <c r="V25" s="288"/>
      <c r="W25" s="289"/>
      <c r="X25" s="5"/>
    </row>
    <row r="26" spans="1:24" ht="15.75" x14ac:dyDescent="0.25">
      <c r="A26" s="293"/>
      <c r="B26" s="294" t="s">
        <v>9</v>
      </c>
      <c r="C26" s="292"/>
      <c r="D26" s="292" t="s">
        <v>141</v>
      </c>
      <c r="E26" s="292"/>
      <c r="F26" s="292" t="s">
        <v>141</v>
      </c>
      <c r="G26" s="292"/>
      <c r="H26" s="292" t="s">
        <v>141</v>
      </c>
      <c r="I26" s="292"/>
      <c r="J26" s="292" t="s">
        <v>141</v>
      </c>
      <c r="K26" s="292"/>
      <c r="L26" s="292" t="s">
        <v>183</v>
      </c>
      <c r="M26" s="292"/>
      <c r="N26" s="292" t="s">
        <v>183</v>
      </c>
      <c r="O26" s="292"/>
      <c r="P26" s="292" t="s">
        <v>142</v>
      </c>
      <c r="Q26" s="292"/>
      <c r="R26" s="292"/>
      <c r="S26" s="292"/>
      <c r="T26" s="287"/>
      <c r="U26" s="288"/>
      <c r="V26" s="288"/>
      <c r="W26" s="289"/>
      <c r="X26" s="5"/>
    </row>
    <row r="27" spans="1:24" ht="15.75" x14ac:dyDescent="0.25">
      <c r="A27" s="295"/>
      <c r="B27" s="294" t="s">
        <v>191</v>
      </c>
      <c r="C27" s="287"/>
      <c r="D27" s="292" t="s">
        <v>143</v>
      </c>
      <c r="E27" s="292"/>
      <c r="F27" s="292" t="s">
        <v>143</v>
      </c>
      <c r="G27" s="292"/>
      <c r="H27" s="292" t="s">
        <v>143</v>
      </c>
      <c r="I27" s="292"/>
      <c r="J27" s="292" t="s">
        <v>143</v>
      </c>
      <c r="K27" s="292"/>
      <c r="L27" s="292" t="s">
        <v>165</v>
      </c>
      <c r="M27" s="292"/>
      <c r="N27" s="292" t="s">
        <v>165</v>
      </c>
      <c r="O27" s="292"/>
      <c r="P27" s="292" t="s">
        <v>144</v>
      </c>
      <c r="Q27" s="292"/>
      <c r="R27" s="292"/>
      <c r="S27" s="287"/>
      <c r="T27" s="296"/>
      <c r="U27" s="288"/>
      <c r="V27" s="288"/>
      <c r="W27" s="289"/>
      <c r="X27" s="5"/>
    </row>
    <row r="28" spans="1:24" ht="15.75" x14ac:dyDescent="0.25">
      <c r="A28" s="295"/>
      <c r="B28" s="297" t="s">
        <v>192</v>
      </c>
      <c r="C28" s="287"/>
      <c r="D28" s="292" t="s">
        <v>143</v>
      </c>
      <c r="E28" s="292"/>
      <c r="F28" s="292" t="s">
        <v>143</v>
      </c>
      <c r="G28" s="292"/>
      <c r="H28" s="292" t="s">
        <v>143</v>
      </c>
      <c r="I28" s="292"/>
      <c r="J28" s="292" t="s">
        <v>143</v>
      </c>
      <c r="K28" s="292"/>
      <c r="L28" s="292" t="s">
        <v>165</v>
      </c>
      <c r="M28" s="292"/>
      <c r="N28" s="292" t="s">
        <v>165</v>
      </c>
      <c r="O28" s="292"/>
      <c r="P28" s="292" t="s">
        <v>144</v>
      </c>
      <c r="Q28" s="292"/>
      <c r="R28" s="292"/>
      <c r="S28" s="287"/>
      <c r="T28" s="296"/>
      <c r="U28" s="288"/>
      <c r="V28" s="288"/>
      <c r="W28" s="289"/>
      <c r="X28" s="5"/>
    </row>
    <row r="29" spans="1:24" ht="15.75" x14ac:dyDescent="0.25">
      <c r="A29" s="295"/>
      <c r="B29" s="286" t="s">
        <v>10</v>
      </c>
      <c r="C29" s="298"/>
      <c r="D29" s="287" t="s">
        <v>242</v>
      </c>
      <c r="E29" s="287"/>
      <c r="F29" s="296" t="s">
        <v>244</v>
      </c>
      <c r="G29" s="287"/>
      <c r="H29" s="287" t="s">
        <v>245</v>
      </c>
      <c r="I29" s="287"/>
      <c r="J29" s="287" t="s">
        <v>247</v>
      </c>
      <c r="K29" s="287"/>
      <c r="L29" s="287" t="s">
        <v>248</v>
      </c>
      <c r="M29" s="287"/>
      <c r="N29" s="287" t="s">
        <v>249</v>
      </c>
      <c r="O29" s="287"/>
      <c r="P29" s="287" t="s">
        <v>250</v>
      </c>
      <c r="Q29" s="287"/>
      <c r="R29" s="287"/>
      <c r="S29" s="299"/>
      <c r="T29" s="299"/>
      <c r="U29" s="300"/>
      <c r="V29" s="299"/>
      <c r="W29" s="301"/>
      <c r="X29" s="5"/>
    </row>
    <row r="30" spans="1:24" ht="15.75" x14ac:dyDescent="0.25">
      <c r="A30" s="295"/>
      <c r="B30" s="286" t="s">
        <v>10</v>
      </c>
      <c r="C30" s="298"/>
      <c r="D30" s="287" t="s">
        <v>243</v>
      </c>
      <c r="E30" s="287"/>
      <c r="F30" s="296" t="s">
        <v>118</v>
      </c>
      <c r="G30" s="287"/>
      <c r="H30" s="287" t="s">
        <v>118</v>
      </c>
      <c r="I30" s="287"/>
      <c r="J30" s="287" t="s">
        <v>246</v>
      </c>
      <c r="K30" s="287"/>
      <c r="L30" s="287" t="s">
        <v>118</v>
      </c>
      <c r="M30" s="287"/>
      <c r="N30" s="287" t="s">
        <v>118</v>
      </c>
      <c r="O30" s="287"/>
      <c r="P30" s="287" t="s">
        <v>118</v>
      </c>
      <c r="Q30" s="287"/>
      <c r="R30" s="287"/>
      <c r="S30" s="299"/>
      <c r="T30" s="299"/>
      <c r="U30" s="300"/>
      <c r="V30" s="299"/>
      <c r="W30" s="301"/>
      <c r="X30" s="5"/>
    </row>
    <row r="31" spans="1:24" ht="15.75" x14ac:dyDescent="0.25">
      <c r="A31" s="293"/>
      <c r="B31" s="286" t="s">
        <v>133</v>
      </c>
      <c r="C31" s="302"/>
      <c r="D31" s="303">
        <v>1000000</v>
      </c>
      <c r="E31" s="298"/>
      <c r="F31" s="299">
        <v>209500</v>
      </c>
      <c r="G31" s="299"/>
      <c r="H31" s="304">
        <v>110000</v>
      </c>
      <c r="I31" s="304"/>
      <c r="J31" s="303">
        <v>150000</v>
      </c>
      <c r="K31" s="299"/>
      <c r="L31" s="299">
        <v>17000</v>
      </c>
      <c r="M31" s="299"/>
      <c r="N31" s="304">
        <v>85500</v>
      </c>
      <c r="O31" s="299"/>
      <c r="P31" s="304">
        <v>110500</v>
      </c>
      <c r="Q31" s="299"/>
      <c r="R31" s="304"/>
      <c r="S31" s="305"/>
      <c r="T31" s="305"/>
      <c r="U31" s="306"/>
      <c r="V31" s="305"/>
      <c r="W31" s="301"/>
      <c r="X31" s="5"/>
    </row>
    <row r="32" spans="1:24" ht="15.75" x14ac:dyDescent="0.25">
      <c r="A32" s="295"/>
      <c r="B32" s="286" t="s">
        <v>132</v>
      </c>
      <c r="C32" s="298"/>
      <c r="D32" s="303">
        <f>D31*D38</f>
        <v>822906.1</v>
      </c>
      <c r="E32" s="298"/>
      <c r="F32" s="299">
        <f>F31*F38</f>
        <v>172398.97460000002</v>
      </c>
      <c r="G32" s="299"/>
      <c r="H32" s="304">
        <f>H31*H38</f>
        <v>90520.122000000003</v>
      </c>
      <c r="I32" s="304"/>
      <c r="J32" s="303">
        <f>J31*J38</f>
        <v>123435.91499999999</v>
      </c>
      <c r="K32" s="299"/>
      <c r="L32" s="299">
        <f>L31*L38</f>
        <v>17000</v>
      </c>
      <c r="M32" s="299"/>
      <c r="N32" s="304">
        <f>N31*N38</f>
        <v>85500</v>
      </c>
      <c r="O32" s="299"/>
      <c r="P32" s="304">
        <f>P31*P38</f>
        <v>110500</v>
      </c>
      <c r="Q32" s="299"/>
      <c r="R32" s="304"/>
      <c r="S32" s="299"/>
      <c r="T32" s="299"/>
      <c r="U32" s="300"/>
      <c r="V32" s="299"/>
      <c r="W32" s="301"/>
      <c r="X32" s="5"/>
    </row>
    <row r="33" spans="1:27" ht="15.75" x14ac:dyDescent="0.25">
      <c r="A33" s="295"/>
      <c r="B33" s="294" t="s">
        <v>134</v>
      </c>
      <c r="C33" s="298"/>
      <c r="D33" s="307">
        <f>D37*D31</f>
        <v>819096</v>
      </c>
      <c r="E33" s="302"/>
      <c r="F33" s="305">
        <f>F37*F31</f>
        <v>171600.77959999998</v>
      </c>
      <c r="G33" s="305"/>
      <c r="H33" s="308">
        <f>H31*H37</f>
        <v>90101.021999999997</v>
      </c>
      <c r="I33" s="308"/>
      <c r="J33" s="307">
        <f>J37*J31</f>
        <v>122864.40000000001</v>
      </c>
      <c r="K33" s="305"/>
      <c r="L33" s="305">
        <f>L31*L37</f>
        <v>17000</v>
      </c>
      <c r="M33" s="305"/>
      <c r="N33" s="308">
        <f>N31*N37</f>
        <v>85500</v>
      </c>
      <c r="O33" s="305"/>
      <c r="P33" s="308">
        <f>P31*P37</f>
        <v>110500</v>
      </c>
      <c r="Q33" s="305"/>
      <c r="R33" s="308"/>
      <c r="S33" s="299"/>
      <c r="T33" s="299"/>
      <c r="U33" s="300"/>
      <c r="V33" s="299"/>
      <c r="W33" s="301"/>
      <c r="X33" s="5"/>
    </row>
    <row r="34" spans="1:27" ht="15.75" x14ac:dyDescent="0.25">
      <c r="A34" s="293"/>
      <c r="B34" s="286" t="s">
        <v>286</v>
      </c>
      <c r="C34" s="302"/>
      <c r="D34" s="299">
        <v>492951</v>
      </c>
      <c r="E34" s="298"/>
      <c r="F34" s="299">
        <v>209500</v>
      </c>
      <c r="G34" s="299"/>
      <c r="H34" s="299">
        <v>74677</v>
      </c>
      <c r="I34" s="299"/>
      <c r="J34" s="299">
        <v>73943</v>
      </c>
      <c r="K34" s="299"/>
      <c r="L34" s="299">
        <v>17000</v>
      </c>
      <c r="M34" s="299"/>
      <c r="N34" s="299">
        <v>58045</v>
      </c>
      <c r="O34" s="299"/>
      <c r="P34" s="299">
        <v>75017</v>
      </c>
      <c r="Q34" s="299"/>
      <c r="R34" s="299"/>
      <c r="S34" s="305"/>
      <c r="T34" s="305"/>
      <c r="U34" s="306"/>
      <c r="V34" s="309">
        <f>SUM(C34:R34)</f>
        <v>1001133</v>
      </c>
      <c r="W34" s="301"/>
      <c r="X34" s="5"/>
    </row>
    <row r="35" spans="1:27" ht="15.75" x14ac:dyDescent="0.25">
      <c r="A35" s="293"/>
      <c r="B35" s="286" t="s">
        <v>287</v>
      </c>
      <c r="C35" s="310"/>
      <c r="D35" s="299">
        <f>D34*D38</f>
        <v>405652.38490110001</v>
      </c>
      <c r="E35" s="298"/>
      <c r="F35" s="299">
        <f>F34*F38</f>
        <v>172398.97460000002</v>
      </c>
      <c r="G35" s="299"/>
      <c r="H35" s="299">
        <f>H34*H38</f>
        <v>61452.465005400001</v>
      </c>
      <c r="I35" s="299"/>
      <c r="J35" s="299">
        <f>J34*J38</f>
        <v>60848.145752299999</v>
      </c>
      <c r="K35" s="299"/>
      <c r="L35" s="299">
        <f>L34*L38</f>
        <v>17000</v>
      </c>
      <c r="M35" s="299"/>
      <c r="N35" s="299">
        <f>N34*N38</f>
        <v>58045</v>
      </c>
      <c r="O35" s="299"/>
      <c r="P35" s="299">
        <f>P34*P38</f>
        <v>75017</v>
      </c>
      <c r="Q35" s="299"/>
      <c r="R35" s="299"/>
      <c r="S35" s="299"/>
      <c r="T35" s="299"/>
      <c r="U35" s="300"/>
      <c r="V35" s="309">
        <f>SUM(C35:R35)</f>
        <v>850413.97025880008</v>
      </c>
      <c r="W35" s="301"/>
      <c r="X35" s="5"/>
    </row>
    <row r="36" spans="1:27" ht="15.75" x14ac:dyDescent="0.25">
      <c r="A36" s="293"/>
      <c r="B36" s="294" t="s">
        <v>288</v>
      </c>
      <c r="C36" s="310"/>
      <c r="D36" s="305">
        <f>D34*D37</f>
        <v>403774.19229600002</v>
      </c>
      <c r="E36" s="302"/>
      <c r="F36" s="305">
        <f>F34*F37</f>
        <v>171600.77959999998</v>
      </c>
      <c r="G36" s="305"/>
      <c r="H36" s="305">
        <f>H34*H37</f>
        <v>61167.945635399999</v>
      </c>
      <c r="I36" s="305"/>
      <c r="J36" s="305">
        <f>J34*J37</f>
        <v>60566.415528000005</v>
      </c>
      <c r="K36" s="305"/>
      <c r="L36" s="305">
        <f>L34*L37</f>
        <v>17000</v>
      </c>
      <c r="M36" s="305"/>
      <c r="N36" s="305">
        <f>N34*N37</f>
        <v>58045</v>
      </c>
      <c r="O36" s="305"/>
      <c r="P36" s="305">
        <f>P34*P37</f>
        <v>75017</v>
      </c>
      <c r="Q36" s="305"/>
      <c r="R36" s="305"/>
      <c r="S36" s="311"/>
      <c r="T36" s="311"/>
      <c r="U36" s="300"/>
      <c r="V36" s="312">
        <f>SUM(C36:R36)</f>
        <v>847171.33305939997</v>
      </c>
      <c r="W36" s="301"/>
      <c r="X36" s="5"/>
    </row>
    <row r="37" spans="1:27" ht="15.75" x14ac:dyDescent="0.25">
      <c r="A37" s="285"/>
      <c r="B37" s="313" t="s">
        <v>130</v>
      </c>
      <c r="C37" s="314"/>
      <c r="D37" s="315">
        <v>0.81909600000000005</v>
      </c>
      <c r="E37" s="315"/>
      <c r="F37" s="315">
        <v>0.81909679999999996</v>
      </c>
      <c r="G37" s="315"/>
      <c r="H37" s="315">
        <v>0.81910019999999994</v>
      </c>
      <c r="I37" s="315"/>
      <c r="J37" s="315">
        <v>0.81909600000000005</v>
      </c>
      <c r="K37" s="315"/>
      <c r="L37" s="315">
        <v>1</v>
      </c>
      <c r="M37" s="315"/>
      <c r="N37" s="315">
        <v>1</v>
      </c>
      <c r="O37" s="315"/>
      <c r="P37" s="315">
        <v>1</v>
      </c>
      <c r="Q37" s="315"/>
      <c r="R37" s="315"/>
      <c r="S37" s="316"/>
      <c r="T37" s="316"/>
      <c r="U37" s="317"/>
      <c r="V37" s="317"/>
      <c r="W37" s="318"/>
      <c r="X37" s="5"/>
    </row>
    <row r="38" spans="1:27" ht="15.75" x14ac:dyDescent="0.25">
      <c r="A38" s="285"/>
      <c r="B38" s="313" t="s">
        <v>131</v>
      </c>
      <c r="C38" s="314"/>
      <c r="D38" s="315">
        <v>0.82290609999999997</v>
      </c>
      <c r="E38" s="315"/>
      <c r="F38" s="315">
        <v>0.82290680000000005</v>
      </c>
      <c r="G38" s="315"/>
      <c r="H38" s="315">
        <v>0.82291020000000004</v>
      </c>
      <c r="I38" s="315"/>
      <c r="J38" s="315">
        <v>0.82290609999999997</v>
      </c>
      <c r="K38" s="315"/>
      <c r="L38" s="315">
        <v>1</v>
      </c>
      <c r="M38" s="315"/>
      <c r="N38" s="315">
        <v>1</v>
      </c>
      <c r="O38" s="315"/>
      <c r="P38" s="315">
        <v>1</v>
      </c>
      <c r="Q38" s="315"/>
      <c r="R38" s="315"/>
      <c r="S38" s="319"/>
      <c r="T38" s="320"/>
      <c r="U38" s="317"/>
      <c r="V38" s="319"/>
      <c r="W38" s="318"/>
      <c r="X38" s="5"/>
    </row>
    <row r="39" spans="1:27" ht="15.75" x14ac:dyDescent="0.25">
      <c r="A39" s="285"/>
      <c r="B39" s="286" t="s">
        <v>11</v>
      </c>
      <c r="C39" s="286"/>
      <c r="D39" s="296" t="s">
        <v>278</v>
      </c>
      <c r="E39" s="286"/>
      <c r="F39" s="296" t="s">
        <v>251</v>
      </c>
      <c r="G39" s="296"/>
      <c r="H39" s="296" t="s">
        <v>252</v>
      </c>
      <c r="I39" s="296"/>
      <c r="J39" s="296" t="s">
        <v>253</v>
      </c>
      <c r="K39" s="296"/>
      <c r="L39" s="296" t="s">
        <v>254</v>
      </c>
      <c r="M39" s="296"/>
      <c r="N39" s="296" t="s">
        <v>254</v>
      </c>
      <c r="O39" s="296"/>
      <c r="P39" s="296" t="s">
        <v>255</v>
      </c>
      <c r="Q39" s="296"/>
      <c r="R39" s="296"/>
      <c r="S39" s="321"/>
      <c r="T39" s="322"/>
      <c r="U39" s="288"/>
      <c r="V39" s="288"/>
      <c r="W39" s="289"/>
      <c r="X39" s="5"/>
    </row>
    <row r="40" spans="1:27" ht="15.75" x14ac:dyDescent="0.25">
      <c r="A40" s="285"/>
      <c r="B40" s="286" t="s">
        <v>12</v>
      </c>
      <c r="C40" s="286"/>
      <c r="D40" s="322">
        <v>3.5574999999999999E-3</v>
      </c>
      <c r="E40" s="286"/>
      <c r="F40" s="322">
        <v>8.7937999999999992E-3</v>
      </c>
      <c r="G40" s="321"/>
      <c r="H40" s="322">
        <v>1.146E-2</v>
      </c>
      <c r="I40" s="322"/>
      <c r="J40" s="322">
        <v>4.1155999999999996E-3</v>
      </c>
      <c r="K40" s="321"/>
      <c r="L40" s="322">
        <v>1.0193799999999999E-2</v>
      </c>
      <c r="M40" s="321"/>
      <c r="N40" s="322">
        <v>1.2959999999999999E-2</v>
      </c>
      <c r="O40" s="321"/>
      <c r="P40" s="322">
        <v>1.576E-2</v>
      </c>
      <c r="Q40" s="321"/>
      <c r="R40" s="322"/>
      <c r="S40" s="321"/>
      <c r="T40" s="322"/>
      <c r="U40" s="288"/>
      <c r="V40" s="296"/>
      <c r="W40" s="289"/>
      <c r="X40" s="5"/>
      <c r="AA40" s="1" t="s">
        <v>193</v>
      </c>
    </row>
    <row r="41" spans="1:27" ht="15.75" x14ac:dyDescent="0.25">
      <c r="A41" s="285"/>
      <c r="B41" s="286" t="s">
        <v>13</v>
      </c>
      <c r="C41" s="286"/>
      <c r="D41" s="322">
        <v>3.4344000000000002E-3</v>
      </c>
      <c r="E41" s="286"/>
      <c r="F41" s="322">
        <v>8.5468999999999996E-3</v>
      </c>
      <c r="G41" s="321"/>
      <c r="H41" s="322">
        <v>9.9900000000000006E-3</v>
      </c>
      <c r="I41" s="322"/>
      <c r="J41" s="322">
        <v>4.0219000000000001E-3</v>
      </c>
      <c r="K41" s="321"/>
      <c r="L41" s="322">
        <v>9.9468999999999998E-3</v>
      </c>
      <c r="M41" s="321"/>
      <c r="N41" s="322">
        <v>1.149E-2</v>
      </c>
      <c r="O41" s="321"/>
      <c r="P41" s="322">
        <v>1.4290000000000001E-2</v>
      </c>
      <c r="Q41" s="321"/>
      <c r="R41" s="322"/>
      <c r="S41" s="321"/>
      <c r="T41" s="322"/>
      <c r="U41" s="288"/>
      <c r="V41" s="321" t="s">
        <v>193</v>
      </c>
      <c r="W41" s="289"/>
      <c r="X41" s="5"/>
    </row>
    <row r="42" spans="1:27" ht="15.75" x14ac:dyDescent="0.25">
      <c r="A42" s="285"/>
      <c r="B42" s="286" t="s">
        <v>289</v>
      </c>
      <c r="C42" s="286"/>
      <c r="D42" s="296" t="s">
        <v>279</v>
      </c>
      <c r="E42" s="286"/>
      <c r="F42" s="296" t="s">
        <v>251</v>
      </c>
      <c r="G42" s="296"/>
      <c r="H42" s="296" t="s">
        <v>229</v>
      </c>
      <c r="I42" s="296"/>
      <c r="J42" s="296" t="s">
        <v>229</v>
      </c>
      <c r="K42" s="296"/>
      <c r="L42" s="296" t="s">
        <v>254</v>
      </c>
      <c r="M42" s="296"/>
      <c r="N42" s="296" t="s">
        <v>262</v>
      </c>
      <c r="O42" s="296"/>
      <c r="P42" s="296" t="s">
        <v>263</v>
      </c>
      <c r="Q42" s="296"/>
      <c r="R42" s="296"/>
      <c r="S42" s="321"/>
      <c r="T42" s="322"/>
      <c r="U42" s="288"/>
      <c r="V42" s="288"/>
      <c r="W42" s="289"/>
      <c r="X42" s="5"/>
    </row>
    <row r="43" spans="1:27" ht="15.75" x14ac:dyDescent="0.25">
      <c r="A43" s="285"/>
      <c r="B43" s="286" t="s">
        <v>290</v>
      </c>
      <c r="C43" s="323"/>
      <c r="D43" s="322">
        <v>8.5857499999999996E-3</v>
      </c>
      <c r="E43" s="322"/>
      <c r="F43" s="322">
        <f>+F40</f>
        <v>8.7937999999999992E-3</v>
      </c>
      <c r="G43" s="322"/>
      <c r="H43" s="322">
        <v>8.8687999999999996E-3</v>
      </c>
      <c r="I43" s="322"/>
      <c r="J43" s="322">
        <v>8.8838000000000007E-3</v>
      </c>
      <c r="K43" s="322"/>
      <c r="L43" s="322">
        <f>+L40</f>
        <v>1.0193799999999999E-2</v>
      </c>
      <c r="M43" s="322"/>
      <c r="N43" s="322">
        <v>1.05608E-2</v>
      </c>
      <c r="O43" s="322"/>
      <c r="P43" s="322">
        <v>1.36408E-2</v>
      </c>
      <c r="Q43" s="321"/>
      <c r="R43" s="322"/>
      <c r="S43" s="296"/>
      <c r="T43" s="296"/>
      <c r="U43" s="288"/>
      <c r="V43" s="321">
        <f>SUMPRODUCT(D43:R43,D35:R35)/V35</f>
        <v>9.2825763111275585E-3</v>
      </c>
      <c r="W43" s="289"/>
      <c r="X43" s="5"/>
    </row>
    <row r="44" spans="1:27" ht="15.75" x14ac:dyDescent="0.25">
      <c r="A44" s="285"/>
      <c r="B44" s="286" t="s">
        <v>291</v>
      </c>
      <c r="C44" s="323"/>
      <c r="D44" s="322">
        <v>8.3388500000000001E-3</v>
      </c>
      <c r="E44" s="322"/>
      <c r="F44" s="322">
        <f>+F41</f>
        <v>8.5468999999999996E-3</v>
      </c>
      <c r="G44" s="322"/>
      <c r="H44" s="322">
        <v>8.6219E-3</v>
      </c>
      <c r="I44" s="322"/>
      <c r="J44" s="322">
        <v>8.6368999999999994E-3</v>
      </c>
      <c r="K44" s="322"/>
      <c r="L44" s="322">
        <f>+L41</f>
        <v>9.9468999999999998E-3</v>
      </c>
      <c r="M44" s="322"/>
      <c r="N44" s="322">
        <v>1.0313900000000001E-2</v>
      </c>
      <c r="O44" s="322"/>
      <c r="P44" s="322">
        <v>1.33939E-2</v>
      </c>
      <c r="Q44" s="321"/>
      <c r="R44" s="322"/>
      <c r="S44" s="296"/>
      <c r="T44" s="296"/>
      <c r="U44" s="288"/>
      <c r="V44" s="288"/>
      <c r="W44" s="289"/>
      <c r="X44" s="5"/>
    </row>
    <row r="45" spans="1:27" ht="15.75" x14ac:dyDescent="0.25">
      <c r="A45" s="285"/>
      <c r="B45" s="286" t="s">
        <v>14</v>
      </c>
      <c r="C45" s="286"/>
      <c r="D45" s="323">
        <v>40709</v>
      </c>
      <c r="E45" s="323"/>
      <c r="F45" s="323">
        <v>40709</v>
      </c>
      <c r="G45" s="323"/>
      <c r="H45" s="323">
        <v>40709</v>
      </c>
      <c r="I45" s="323"/>
      <c r="J45" s="323">
        <v>40709</v>
      </c>
      <c r="K45" s="323"/>
      <c r="L45" s="323">
        <v>40709</v>
      </c>
      <c r="M45" s="323"/>
      <c r="N45" s="323">
        <v>40709</v>
      </c>
      <c r="O45" s="323"/>
      <c r="P45" s="323">
        <v>40709</v>
      </c>
      <c r="Q45" s="323"/>
      <c r="R45" s="323"/>
      <c r="S45" s="296"/>
      <c r="T45" s="296"/>
      <c r="U45" s="288"/>
      <c r="V45" s="288"/>
      <c r="W45" s="289"/>
      <c r="X45" s="5"/>
    </row>
    <row r="46" spans="1:27" ht="15.75" x14ac:dyDescent="0.25">
      <c r="A46" s="285"/>
      <c r="B46" s="286" t="s">
        <v>15</v>
      </c>
      <c r="C46" s="286"/>
      <c r="D46" s="323" t="s">
        <v>118</v>
      </c>
      <c r="E46" s="323"/>
      <c r="F46" s="323">
        <v>41075</v>
      </c>
      <c r="G46" s="323"/>
      <c r="H46" s="323">
        <v>41075</v>
      </c>
      <c r="I46" s="323"/>
      <c r="J46" s="323">
        <v>41075</v>
      </c>
      <c r="K46" s="296"/>
      <c r="L46" s="323">
        <v>41075</v>
      </c>
      <c r="M46" s="296"/>
      <c r="N46" s="323">
        <v>41075</v>
      </c>
      <c r="O46" s="296"/>
      <c r="P46" s="323">
        <v>41075</v>
      </c>
      <c r="Q46" s="296"/>
      <c r="R46" s="323"/>
      <c r="S46" s="296"/>
      <c r="T46" s="296"/>
      <c r="U46" s="288"/>
      <c r="V46" s="288"/>
      <c r="W46" s="289"/>
      <c r="X46" s="5"/>
    </row>
    <row r="47" spans="1:27" ht="15.75" x14ac:dyDescent="0.25">
      <c r="A47" s="285"/>
      <c r="B47" s="286" t="s">
        <v>119</v>
      </c>
      <c r="C47" s="286"/>
      <c r="D47" s="324" t="s">
        <v>118</v>
      </c>
      <c r="E47" s="286"/>
      <c r="F47" s="296" t="s">
        <v>256</v>
      </c>
      <c r="G47" s="296"/>
      <c r="H47" s="296" t="s">
        <v>257</v>
      </c>
      <c r="I47" s="296"/>
      <c r="J47" s="296" t="s">
        <v>258</v>
      </c>
      <c r="K47" s="296"/>
      <c r="L47" s="296" t="s">
        <v>259</v>
      </c>
      <c r="M47" s="296"/>
      <c r="N47" s="296" t="s">
        <v>259</v>
      </c>
      <c r="O47" s="296"/>
      <c r="P47" s="296" t="s">
        <v>260</v>
      </c>
      <c r="Q47" s="296"/>
      <c r="R47" s="296"/>
      <c r="S47" s="325"/>
      <c r="T47" s="325"/>
      <c r="U47" s="325"/>
      <c r="V47" s="325"/>
      <c r="W47" s="289"/>
      <c r="X47" s="5"/>
    </row>
    <row r="48" spans="1:27" ht="15.75" x14ac:dyDescent="0.25">
      <c r="A48" s="285"/>
      <c r="B48" s="286" t="s">
        <v>292</v>
      </c>
      <c r="C48" s="286"/>
      <c r="D48" s="296" t="s">
        <v>200</v>
      </c>
      <c r="E48" s="286"/>
      <c r="F48" s="296" t="s">
        <v>256</v>
      </c>
      <c r="G48" s="296"/>
      <c r="H48" s="296" t="s">
        <v>261</v>
      </c>
      <c r="I48" s="296"/>
      <c r="J48" s="296" t="s">
        <v>261</v>
      </c>
      <c r="K48" s="296"/>
      <c r="L48" s="296" t="s">
        <v>259</v>
      </c>
      <c r="M48" s="296"/>
      <c r="N48" s="296" t="s">
        <v>263</v>
      </c>
      <c r="O48" s="296"/>
      <c r="P48" s="296" t="s">
        <v>264</v>
      </c>
      <c r="Q48" s="296"/>
      <c r="R48" s="296"/>
      <c r="S48" s="286"/>
      <c r="T48" s="286"/>
      <c r="U48" s="286"/>
      <c r="V48" s="321"/>
      <c r="W48" s="289"/>
      <c r="X48" s="5"/>
    </row>
    <row r="49" spans="1:25" ht="15.75" x14ac:dyDescent="0.25">
      <c r="A49" s="285"/>
      <c r="B49" s="286"/>
      <c r="C49" s="286"/>
      <c r="D49" s="296"/>
      <c r="E49" s="286"/>
      <c r="F49" s="296"/>
      <c r="G49" s="296"/>
      <c r="H49" s="296"/>
      <c r="I49" s="296"/>
      <c r="J49" s="296"/>
      <c r="K49" s="296"/>
      <c r="L49" s="296"/>
      <c r="M49" s="296"/>
      <c r="N49" s="296"/>
      <c r="O49" s="296"/>
      <c r="P49" s="296"/>
      <c r="Q49" s="296"/>
      <c r="R49" s="296"/>
      <c r="S49" s="286"/>
      <c r="T49" s="286"/>
      <c r="U49" s="286"/>
      <c r="V49" s="321" t="s">
        <v>193</v>
      </c>
      <c r="W49" s="289"/>
      <c r="X49" s="5"/>
    </row>
    <row r="50" spans="1:25" ht="15.75" x14ac:dyDescent="0.25">
      <c r="A50" s="285"/>
      <c r="B50" s="286" t="s">
        <v>169</v>
      </c>
      <c r="C50" s="286"/>
      <c r="D50" s="296"/>
      <c r="E50" s="286"/>
      <c r="F50" s="296"/>
      <c r="G50" s="296"/>
      <c r="H50" s="296"/>
      <c r="I50" s="296"/>
      <c r="J50" s="296"/>
      <c r="K50" s="296"/>
      <c r="L50" s="296"/>
      <c r="M50" s="296"/>
      <c r="N50" s="296"/>
      <c r="O50" s="296"/>
      <c r="P50" s="296"/>
      <c r="Q50" s="296"/>
      <c r="R50" s="296"/>
      <c r="S50" s="286"/>
      <c r="T50" s="286"/>
      <c r="U50" s="286"/>
      <c r="V50" s="321">
        <f>SUM(L34:R34)/SUM(D34:J34)</f>
        <v>0.17632136449250416</v>
      </c>
      <c r="W50" s="289"/>
      <c r="X50" s="5"/>
    </row>
    <row r="51" spans="1:25" ht="15.75" x14ac:dyDescent="0.25">
      <c r="A51" s="285"/>
      <c r="B51" s="286" t="s">
        <v>170</v>
      </c>
      <c r="C51" s="286"/>
      <c r="D51" s="286"/>
      <c r="E51" s="286"/>
      <c r="F51" s="326"/>
      <c r="G51" s="286"/>
      <c r="H51" s="286"/>
      <c r="I51" s="286"/>
      <c r="J51" s="286"/>
      <c r="K51" s="286"/>
      <c r="L51" s="286"/>
      <c r="M51" s="286"/>
      <c r="N51" s="286"/>
      <c r="O51" s="286"/>
      <c r="P51" s="286"/>
      <c r="Q51" s="286"/>
      <c r="R51" s="286"/>
      <c r="S51" s="286"/>
      <c r="T51" s="286"/>
      <c r="U51" s="286"/>
      <c r="V51" s="321">
        <f>SUM(L36:R36)/SUM(D36:J36)</f>
        <v>0.2152632203924508</v>
      </c>
      <c r="W51" s="289"/>
      <c r="X51" s="5"/>
    </row>
    <row r="52" spans="1:25" ht="15.75" x14ac:dyDescent="0.25">
      <c r="A52" s="285"/>
      <c r="B52" s="286" t="s">
        <v>171</v>
      </c>
      <c r="C52" s="286"/>
      <c r="D52" s="286"/>
      <c r="E52" s="286"/>
      <c r="F52" s="286"/>
      <c r="G52" s="286"/>
      <c r="H52" s="286"/>
      <c r="I52" s="286"/>
      <c r="J52" s="286"/>
      <c r="K52" s="286"/>
      <c r="L52" s="286"/>
      <c r="M52" s="286"/>
      <c r="N52" s="286"/>
      <c r="O52" s="286"/>
      <c r="P52" s="286"/>
      <c r="Q52" s="286"/>
      <c r="R52" s="286"/>
      <c r="S52" s="286"/>
      <c r="T52" s="296"/>
      <c r="U52" s="296"/>
      <c r="V52" s="299" t="s">
        <v>268</v>
      </c>
      <c r="W52" s="289"/>
      <c r="X52" s="5"/>
    </row>
    <row r="53" spans="1:25" ht="15.75" x14ac:dyDescent="0.25">
      <c r="A53" s="285"/>
      <c r="B53" s="286"/>
      <c r="C53" s="286"/>
      <c r="D53" s="286"/>
      <c r="E53" s="286"/>
      <c r="F53" s="286"/>
      <c r="G53" s="286"/>
      <c r="H53" s="286"/>
      <c r="I53" s="286"/>
      <c r="J53" s="286"/>
      <c r="K53" s="286"/>
      <c r="L53" s="286"/>
      <c r="M53" s="286"/>
      <c r="N53" s="286"/>
      <c r="O53" s="286"/>
      <c r="P53" s="286"/>
      <c r="Q53" s="286"/>
      <c r="R53" s="286"/>
      <c r="S53" s="286"/>
      <c r="T53" s="286"/>
      <c r="U53" s="286"/>
      <c r="V53" s="327"/>
      <c r="W53" s="289"/>
      <c r="X53" s="5"/>
    </row>
    <row r="54" spans="1:25" ht="15.75" x14ac:dyDescent="0.25">
      <c r="A54" s="285"/>
      <c r="B54" s="286" t="s">
        <v>202</v>
      </c>
      <c r="C54" s="286"/>
      <c r="D54" s="286"/>
      <c r="E54" s="286"/>
      <c r="F54" s="286"/>
      <c r="G54" s="286"/>
      <c r="H54" s="286"/>
      <c r="I54" s="286"/>
      <c r="J54" s="286"/>
      <c r="K54" s="286"/>
      <c r="L54" s="286"/>
      <c r="M54" s="286"/>
      <c r="N54" s="286"/>
      <c r="O54" s="286"/>
      <c r="P54" s="286"/>
      <c r="Q54" s="286"/>
      <c r="R54" s="286"/>
      <c r="S54" s="286"/>
      <c r="T54" s="286"/>
      <c r="U54" s="286"/>
      <c r="V54" s="328" t="s">
        <v>203</v>
      </c>
      <c r="W54" s="289"/>
      <c r="X54" s="5"/>
    </row>
    <row r="55" spans="1:25" ht="15.75" x14ac:dyDescent="0.25">
      <c r="A55" s="285"/>
      <c r="B55" s="286" t="s">
        <v>270</v>
      </c>
      <c r="C55" s="286"/>
      <c r="D55" s="286"/>
      <c r="E55" s="286"/>
      <c r="F55" s="286"/>
      <c r="G55" s="286"/>
      <c r="H55" s="286"/>
      <c r="I55" s="286"/>
      <c r="J55" s="286"/>
      <c r="K55" s="286"/>
      <c r="L55" s="286"/>
      <c r="M55" s="286"/>
      <c r="N55" s="286"/>
      <c r="O55" s="286"/>
      <c r="P55" s="286"/>
      <c r="Q55" s="286"/>
      <c r="R55" s="286"/>
      <c r="S55" s="286"/>
      <c r="T55" s="296"/>
      <c r="U55" s="296"/>
      <c r="V55" s="329" t="s">
        <v>111</v>
      </c>
      <c r="W55" s="289"/>
      <c r="X55" s="5"/>
    </row>
    <row r="56" spans="1:25" ht="15.75" x14ac:dyDescent="0.25">
      <c r="A56" s="285"/>
      <c r="B56" s="294" t="s">
        <v>201</v>
      </c>
      <c r="C56" s="294"/>
      <c r="D56" s="294"/>
      <c r="E56" s="294"/>
      <c r="F56" s="294"/>
      <c r="G56" s="294"/>
      <c r="H56" s="294"/>
      <c r="I56" s="294"/>
      <c r="J56" s="294"/>
      <c r="K56" s="294"/>
      <c r="L56" s="294"/>
      <c r="M56" s="294"/>
      <c r="N56" s="294"/>
      <c r="O56" s="294"/>
      <c r="P56" s="294"/>
      <c r="Q56" s="294"/>
      <c r="R56" s="294"/>
      <c r="S56" s="294"/>
      <c r="T56" s="330"/>
      <c r="U56" s="330"/>
      <c r="V56" s="331">
        <v>40617</v>
      </c>
      <c r="W56" s="289"/>
      <c r="X56" s="5"/>
    </row>
    <row r="57" spans="1:25" ht="15.75" x14ac:dyDescent="0.25">
      <c r="A57" s="285"/>
      <c r="B57" s="286" t="s">
        <v>121</v>
      </c>
      <c r="C57" s="286"/>
      <c r="D57" s="286"/>
      <c r="E57" s="286"/>
      <c r="F57" s="286"/>
      <c r="G57" s="286"/>
      <c r="H57" s="332"/>
      <c r="I57" s="332"/>
      <c r="J57" s="332"/>
      <c r="K57" s="332"/>
      <c r="L57" s="332"/>
      <c r="M57" s="332"/>
      <c r="N57" s="332"/>
      <c r="O57" s="332"/>
      <c r="P57" s="332"/>
      <c r="Q57" s="332"/>
      <c r="R57" s="286">
        <f>+V57-T57+1</f>
        <v>91</v>
      </c>
      <c r="S57" s="332"/>
      <c r="T57" s="333">
        <v>40436</v>
      </c>
      <c r="U57" s="334"/>
      <c r="V57" s="333">
        <v>40526</v>
      </c>
      <c r="W57" s="289"/>
      <c r="X57" s="5"/>
    </row>
    <row r="58" spans="1:25" ht="15.75" x14ac:dyDescent="0.25">
      <c r="A58" s="285"/>
      <c r="B58" s="286" t="s">
        <v>122</v>
      </c>
      <c r="C58" s="286"/>
      <c r="D58" s="286"/>
      <c r="E58" s="286"/>
      <c r="F58" s="286"/>
      <c r="G58" s="286"/>
      <c r="H58" s="286"/>
      <c r="I58" s="286"/>
      <c r="J58" s="286"/>
      <c r="K58" s="286"/>
      <c r="L58" s="286"/>
      <c r="M58" s="286"/>
      <c r="N58" s="286"/>
      <c r="O58" s="286"/>
      <c r="P58" s="286"/>
      <c r="Q58" s="286"/>
      <c r="R58" s="286">
        <f>+V58-T58+1</f>
        <v>90</v>
      </c>
      <c r="S58" s="286"/>
      <c r="T58" s="333">
        <v>40527</v>
      </c>
      <c r="U58" s="334"/>
      <c r="V58" s="333">
        <v>40616</v>
      </c>
      <c r="W58" s="289"/>
      <c r="X58" s="5"/>
    </row>
    <row r="59" spans="1:25" ht="15.75" x14ac:dyDescent="0.25">
      <c r="A59" s="285"/>
      <c r="B59" s="286" t="s">
        <v>223</v>
      </c>
      <c r="C59" s="286"/>
      <c r="D59" s="286"/>
      <c r="E59" s="286"/>
      <c r="F59" s="286"/>
      <c r="G59" s="286"/>
      <c r="H59" s="286"/>
      <c r="I59" s="286"/>
      <c r="J59" s="286"/>
      <c r="K59" s="286"/>
      <c r="L59" s="286"/>
      <c r="M59" s="286"/>
      <c r="N59" s="286"/>
      <c r="O59" s="286"/>
      <c r="P59" s="286"/>
      <c r="Q59" s="286"/>
      <c r="R59" s="286"/>
      <c r="S59" s="286"/>
      <c r="T59" s="333"/>
      <c r="U59" s="334"/>
      <c r="V59" s="333" t="s">
        <v>120</v>
      </c>
      <c r="W59" s="289"/>
      <c r="X59" s="5"/>
    </row>
    <row r="60" spans="1:25" ht="15.75" x14ac:dyDescent="0.25">
      <c r="A60" s="285"/>
      <c r="B60" s="286" t="s">
        <v>271</v>
      </c>
      <c r="C60" s="286"/>
      <c r="D60" s="286"/>
      <c r="E60" s="286"/>
      <c r="F60" s="286"/>
      <c r="G60" s="286"/>
      <c r="H60" s="286"/>
      <c r="I60" s="286"/>
      <c r="J60" s="286"/>
      <c r="K60" s="286"/>
      <c r="L60" s="286"/>
      <c r="M60" s="286"/>
      <c r="N60" s="286"/>
      <c r="O60" s="286"/>
      <c r="P60" s="286"/>
      <c r="Q60" s="286"/>
      <c r="R60" s="286"/>
      <c r="S60" s="286"/>
      <c r="T60" s="333"/>
      <c r="U60" s="334"/>
      <c r="V60" s="333" t="s">
        <v>154</v>
      </c>
      <c r="W60" s="289"/>
      <c r="X60" s="5"/>
      <c r="Y60" s="133"/>
    </row>
    <row r="61" spans="1:25" ht="15.75" x14ac:dyDescent="0.25">
      <c r="A61" s="285"/>
      <c r="B61" s="286" t="s">
        <v>16</v>
      </c>
      <c r="C61" s="286"/>
      <c r="D61" s="286"/>
      <c r="E61" s="286"/>
      <c r="F61" s="286"/>
      <c r="G61" s="286"/>
      <c r="H61" s="286"/>
      <c r="I61" s="286"/>
      <c r="J61" s="286"/>
      <c r="K61" s="286"/>
      <c r="L61" s="286"/>
      <c r="M61" s="286"/>
      <c r="N61" s="286"/>
      <c r="O61" s="286"/>
      <c r="P61" s="286"/>
      <c r="Q61" s="286"/>
      <c r="R61" s="286"/>
      <c r="S61" s="286"/>
      <c r="T61" s="333"/>
      <c r="U61" s="334"/>
      <c r="V61" s="333">
        <v>40603</v>
      </c>
      <c r="W61" s="289"/>
      <c r="X61" s="5"/>
    </row>
    <row r="62" spans="1:25" ht="15.75" x14ac:dyDescent="0.25">
      <c r="A62" s="181"/>
      <c r="B62" s="212"/>
      <c r="C62" s="212"/>
      <c r="D62" s="212"/>
      <c r="E62" s="212"/>
      <c r="F62" s="212"/>
      <c r="G62" s="212"/>
      <c r="H62" s="212"/>
      <c r="I62" s="212"/>
      <c r="J62" s="212"/>
      <c r="K62" s="212"/>
      <c r="L62" s="212"/>
      <c r="M62" s="212"/>
      <c r="N62" s="212"/>
      <c r="O62" s="212"/>
      <c r="P62" s="212"/>
      <c r="Q62" s="212"/>
      <c r="R62" s="212"/>
      <c r="S62" s="212"/>
      <c r="T62" s="283"/>
      <c r="U62" s="284"/>
      <c r="V62" s="283"/>
      <c r="W62" s="212"/>
      <c r="X62" s="5"/>
    </row>
    <row r="63" spans="1:25" ht="15.75" x14ac:dyDescent="0.25">
      <c r="A63" s="181"/>
      <c r="B63" s="183"/>
      <c r="C63" s="183"/>
      <c r="D63" s="183"/>
      <c r="E63" s="183"/>
      <c r="F63" s="183"/>
      <c r="G63" s="183"/>
      <c r="H63" s="183"/>
      <c r="I63" s="183"/>
      <c r="J63" s="183"/>
      <c r="K63" s="183"/>
      <c r="L63" s="183"/>
      <c r="M63" s="183"/>
      <c r="N63" s="183"/>
      <c r="O63" s="183"/>
      <c r="P63" s="183"/>
      <c r="Q63" s="183"/>
      <c r="R63" s="183"/>
      <c r="S63" s="183"/>
      <c r="T63" s="195"/>
      <c r="U63" s="196"/>
      <c r="V63" s="195"/>
      <c r="W63" s="183"/>
      <c r="X63" s="5"/>
    </row>
    <row r="64" spans="1:25" ht="19.5" thickBot="1" x14ac:dyDescent="0.35">
      <c r="A64" s="197"/>
      <c r="B64" s="270" t="s">
        <v>299</v>
      </c>
      <c r="C64" s="198"/>
      <c r="D64" s="198"/>
      <c r="E64" s="198"/>
      <c r="F64" s="198"/>
      <c r="G64" s="198"/>
      <c r="H64" s="198"/>
      <c r="I64" s="198"/>
      <c r="J64" s="198"/>
      <c r="K64" s="198"/>
      <c r="L64" s="198"/>
      <c r="M64" s="198"/>
      <c r="N64" s="198"/>
      <c r="O64" s="198"/>
      <c r="P64" s="198"/>
      <c r="Q64" s="198"/>
      <c r="R64" s="198"/>
      <c r="S64" s="198"/>
      <c r="T64" s="198"/>
      <c r="U64" s="198"/>
      <c r="V64" s="199"/>
      <c r="W64" s="200"/>
      <c r="X64" s="5"/>
    </row>
    <row r="65" spans="1:24" ht="15.75" x14ac:dyDescent="0.25">
      <c r="A65" s="224"/>
      <c r="B65" s="230" t="s">
        <v>17</v>
      </c>
      <c r="C65" s="225"/>
      <c r="D65" s="225"/>
      <c r="E65" s="225"/>
      <c r="F65" s="225"/>
      <c r="G65" s="225"/>
      <c r="H65" s="225"/>
      <c r="I65" s="225"/>
      <c r="J65" s="225"/>
      <c r="K65" s="225"/>
      <c r="L65" s="225"/>
      <c r="M65" s="225"/>
      <c r="N65" s="225"/>
      <c r="O65" s="225"/>
      <c r="P65" s="225"/>
      <c r="Q65" s="225"/>
      <c r="R65" s="225"/>
      <c r="S65" s="225"/>
      <c r="T65" s="225"/>
      <c r="U65" s="225"/>
      <c r="V65" s="231"/>
      <c r="W65" s="225"/>
      <c r="X65" s="5"/>
    </row>
    <row r="66" spans="1:24" ht="15.75" x14ac:dyDescent="0.25">
      <c r="A66" s="181"/>
      <c r="B66" s="189"/>
      <c r="C66" s="183"/>
      <c r="D66" s="183"/>
      <c r="E66" s="183"/>
      <c r="F66" s="183"/>
      <c r="G66" s="183"/>
      <c r="H66" s="183"/>
      <c r="I66" s="183"/>
      <c r="J66" s="183"/>
      <c r="K66" s="183"/>
      <c r="L66" s="183"/>
      <c r="M66" s="183"/>
      <c r="N66" s="183"/>
      <c r="O66" s="183"/>
      <c r="P66" s="183"/>
      <c r="Q66" s="183"/>
      <c r="R66" s="183"/>
      <c r="S66" s="183"/>
      <c r="T66" s="183"/>
      <c r="U66" s="183"/>
      <c r="V66" s="202"/>
      <c r="W66" s="183"/>
      <c r="X66" s="5"/>
    </row>
    <row r="67" spans="1:24" ht="47.25" x14ac:dyDescent="0.25">
      <c r="A67" s="181"/>
      <c r="B67" s="203" t="s">
        <v>18</v>
      </c>
      <c r="C67" s="204"/>
      <c r="D67" s="204"/>
      <c r="E67" s="204"/>
      <c r="F67" s="204"/>
      <c r="G67" s="204"/>
      <c r="H67" s="204"/>
      <c r="I67" s="204"/>
      <c r="J67" s="204"/>
      <c r="K67" s="204"/>
      <c r="L67" s="204" t="s">
        <v>94</v>
      </c>
      <c r="M67" s="204"/>
      <c r="N67" s="204" t="s">
        <v>96</v>
      </c>
      <c r="O67" s="204"/>
      <c r="P67" s="204" t="s">
        <v>98</v>
      </c>
      <c r="Q67" s="204"/>
      <c r="R67" s="204" t="s">
        <v>100</v>
      </c>
      <c r="S67" s="204"/>
      <c r="T67" s="204" t="s">
        <v>106</v>
      </c>
      <c r="U67" s="204"/>
      <c r="V67" s="205" t="s">
        <v>112</v>
      </c>
      <c r="W67" s="206"/>
      <c r="X67" s="5"/>
    </row>
    <row r="68" spans="1:24" ht="15.75" x14ac:dyDescent="0.25">
      <c r="A68" s="285"/>
      <c r="B68" s="286" t="s">
        <v>19</v>
      </c>
      <c r="C68" s="337"/>
      <c r="D68" s="337"/>
      <c r="E68" s="337"/>
      <c r="F68" s="337"/>
      <c r="G68" s="337"/>
      <c r="H68" s="337"/>
      <c r="I68" s="337"/>
      <c r="J68" s="337"/>
      <c r="K68" s="337"/>
      <c r="L68" s="337">
        <v>812446</v>
      </c>
      <c r="M68" s="337"/>
      <c r="N68" s="338">
        <v>850414</v>
      </c>
      <c r="O68" s="337"/>
      <c r="P68" s="337">
        <f>3243+39+14</f>
        <v>3296</v>
      </c>
      <c r="Q68" s="337"/>
      <c r="R68" s="337">
        <f>39+14</f>
        <v>53</v>
      </c>
      <c r="S68" s="337"/>
      <c r="T68" s="337">
        <v>0</v>
      </c>
      <c r="U68" s="337"/>
      <c r="V68" s="338">
        <f>+N68-P68+R68-T68</f>
        <v>847171</v>
      </c>
      <c r="W68" s="289"/>
      <c r="X68" s="5"/>
    </row>
    <row r="69" spans="1:24" ht="15.75" x14ac:dyDescent="0.25">
      <c r="A69" s="285"/>
      <c r="B69" s="286" t="s">
        <v>20</v>
      </c>
      <c r="C69" s="337"/>
      <c r="D69" s="337"/>
      <c r="E69" s="337"/>
      <c r="F69" s="337"/>
      <c r="G69" s="337"/>
      <c r="H69" s="337"/>
      <c r="I69" s="337"/>
      <c r="J69" s="337"/>
      <c r="K69" s="337"/>
      <c r="L69" s="337">
        <v>0</v>
      </c>
      <c r="M69" s="337"/>
      <c r="N69" s="338">
        <v>0</v>
      </c>
      <c r="O69" s="337"/>
      <c r="P69" s="337">
        <v>0</v>
      </c>
      <c r="Q69" s="337"/>
      <c r="R69" s="337">
        <v>0</v>
      </c>
      <c r="S69" s="337"/>
      <c r="T69" s="337">
        <v>0</v>
      </c>
      <c r="U69" s="337"/>
      <c r="V69" s="338">
        <f>+L69-P69</f>
        <v>0</v>
      </c>
      <c r="W69" s="289"/>
      <c r="X69" s="5"/>
    </row>
    <row r="70" spans="1:24" ht="15.75" x14ac:dyDescent="0.25">
      <c r="A70" s="285"/>
      <c r="B70" s="286"/>
      <c r="C70" s="337"/>
      <c r="D70" s="337"/>
      <c r="E70" s="337"/>
      <c r="F70" s="337"/>
      <c r="G70" s="337"/>
      <c r="H70" s="337"/>
      <c r="I70" s="337"/>
      <c r="J70" s="337"/>
      <c r="K70" s="337"/>
      <c r="L70" s="337"/>
      <c r="M70" s="337"/>
      <c r="N70" s="338"/>
      <c r="O70" s="337"/>
      <c r="P70" s="337"/>
      <c r="Q70" s="337"/>
      <c r="R70" s="337"/>
      <c r="S70" s="337"/>
      <c r="T70" s="337"/>
      <c r="U70" s="337"/>
      <c r="V70" s="338"/>
      <c r="W70" s="289"/>
      <c r="X70" s="5"/>
    </row>
    <row r="71" spans="1:24" ht="15.75" x14ac:dyDescent="0.25">
      <c r="A71" s="285"/>
      <c r="B71" s="286" t="s">
        <v>21</v>
      </c>
      <c r="C71" s="337"/>
      <c r="D71" s="337"/>
      <c r="E71" s="337"/>
      <c r="F71" s="337"/>
      <c r="G71" s="337"/>
      <c r="H71" s="337"/>
      <c r="I71" s="337"/>
      <c r="J71" s="337"/>
      <c r="K71" s="337"/>
      <c r="L71" s="337">
        <f>SUM(L68:L70)</f>
        <v>812446</v>
      </c>
      <c r="M71" s="337"/>
      <c r="N71" s="337">
        <f>N68+N69</f>
        <v>850414</v>
      </c>
      <c r="O71" s="337"/>
      <c r="P71" s="337">
        <f>SUM(P68:P70)</f>
        <v>3296</v>
      </c>
      <c r="Q71" s="337"/>
      <c r="R71" s="337">
        <f>SUM(R68:R70)</f>
        <v>53</v>
      </c>
      <c r="S71" s="337"/>
      <c r="T71" s="337">
        <f>SUM(T68:T70)</f>
        <v>0</v>
      </c>
      <c r="U71" s="337"/>
      <c r="V71" s="337">
        <f>SUM(V68:V70)</f>
        <v>847171</v>
      </c>
      <c r="W71" s="289"/>
      <c r="X71" s="5"/>
    </row>
    <row r="72" spans="1:24" ht="15.75" x14ac:dyDescent="0.25">
      <c r="A72" s="181"/>
      <c r="B72" s="212"/>
      <c r="C72" s="335"/>
      <c r="D72" s="335"/>
      <c r="E72" s="335"/>
      <c r="F72" s="335"/>
      <c r="G72" s="335"/>
      <c r="H72" s="335"/>
      <c r="I72" s="335"/>
      <c r="J72" s="335"/>
      <c r="K72" s="335"/>
      <c r="L72" s="335"/>
      <c r="M72" s="335"/>
      <c r="N72" s="335"/>
      <c r="O72" s="335"/>
      <c r="P72" s="335"/>
      <c r="Q72" s="335"/>
      <c r="R72" s="335"/>
      <c r="S72" s="335"/>
      <c r="T72" s="335"/>
      <c r="U72" s="335"/>
      <c r="V72" s="336"/>
      <c r="W72" s="212"/>
      <c r="X72" s="5"/>
    </row>
    <row r="73" spans="1:24" ht="15.75" x14ac:dyDescent="0.25">
      <c r="A73" s="181"/>
      <c r="B73" s="185" t="s">
        <v>22</v>
      </c>
      <c r="C73" s="207"/>
      <c r="D73" s="207"/>
      <c r="E73" s="207"/>
      <c r="F73" s="207"/>
      <c r="G73" s="207"/>
      <c r="H73" s="207"/>
      <c r="I73" s="207"/>
      <c r="J73" s="207"/>
      <c r="K73" s="207"/>
      <c r="L73" s="207"/>
      <c r="M73" s="207"/>
      <c r="N73" s="207"/>
      <c r="O73" s="207"/>
      <c r="P73" s="207"/>
      <c r="Q73" s="207"/>
      <c r="R73" s="207"/>
      <c r="S73" s="207"/>
      <c r="T73" s="207"/>
      <c r="U73" s="207"/>
      <c r="V73" s="208"/>
      <c r="W73" s="183"/>
      <c r="X73" s="5"/>
    </row>
    <row r="74" spans="1:24" ht="15.75" x14ac:dyDescent="0.25">
      <c r="A74" s="181"/>
      <c r="B74" s="183"/>
      <c r="C74" s="207"/>
      <c r="D74" s="207"/>
      <c r="E74" s="207"/>
      <c r="F74" s="207"/>
      <c r="G74" s="207"/>
      <c r="H74" s="207"/>
      <c r="I74" s="207"/>
      <c r="J74" s="207"/>
      <c r="K74" s="207"/>
      <c r="L74" s="207"/>
      <c r="M74" s="207"/>
      <c r="N74" s="207"/>
      <c r="O74" s="207"/>
      <c r="P74" s="207"/>
      <c r="Q74" s="207"/>
      <c r="R74" s="207"/>
      <c r="S74" s="207"/>
      <c r="T74" s="207"/>
      <c r="U74" s="207"/>
      <c r="V74" s="208"/>
      <c r="W74" s="183"/>
      <c r="X74" s="5"/>
    </row>
    <row r="75" spans="1:24" ht="15.75" x14ac:dyDescent="0.25">
      <c r="A75" s="285"/>
      <c r="B75" s="286" t="s">
        <v>19</v>
      </c>
      <c r="C75" s="337"/>
      <c r="D75" s="337"/>
      <c r="E75" s="337"/>
      <c r="F75" s="337"/>
      <c r="G75" s="337"/>
      <c r="H75" s="337"/>
      <c r="I75" s="337"/>
      <c r="J75" s="337"/>
      <c r="K75" s="337"/>
      <c r="L75" s="337"/>
      <c r="M75" s="337"/>
      <c r="N75" s="337"/>
      <c r="O75" s="337"/>
      <c r="P75" s="337"/>
      <c r="Q75" s="337"/>
      <c r="R75" s="337"/>
      <c r="S75" s="337"/>
      <c r="T75" s="337"/>
      <c r="U75" s="337"/>
      <c r="V75" s="337"/>
      <c r="W75" s="289"/>
      <c r="X75" s="5"/>
    </row>
    <row r="76" spans="1:24" ht="15.75" x14ac:dyDescent="0.25">
      <c r="A76" s="285"/>
      <c r="B76" s="286" t="s">
        <v>20</v>
      </c>
      <c r="C76" s="337"/>
      <c r="D76" s="337"/>
      <c r="E76" s="337"/>
      <c r="F76" s="337"/>
      <c r="G76" s="337"/>
      <c r="H76" s="337"/>
      <c r="I76" s="337"/>
      <c r="J76" s="337"/>
      <c r="K76" s="337"/>
      <c r="L76" s="337"/>
      <c r="M76" s="337"/>
      <c r="N76" s="337"/>
      <c r="O76" s="337"/>
      <c r="P76" s="337"/>
      <c r="Q76" s="337"/>
      <c r="R76" s="337"/>
      <c r="S76" s="337"/>
      <c r="T76" s="337"/>
      <c r="U76" s="337"/>
      <c r="V76" s="337"/>
      <c r="W76" s="289"/>
      <c r="X76" s="5"/>
    </row>
    <row r="77" spans="1:24" ht="15.75" x14ac:dyDescent="0.25">
      <c r="A77" s="285"/>
      <c r="B77" s="286"/>
      <c r="C77" s="337"/>
      <c r="D77" s="337"/>
      <c r="E77" s="337"/>
      <c r="F77" s="337"/>
      <c r="G77" s="337"/>
      <c r="H77" s="337"/>
      <c r="I77" s="337"/>
      <c r="J77" s="337"/>
      <c r="K77" s="337"/>
      <c r="L77" s="337"/>
      <c r="M77" s="337"/>
      <c r="N77" s="337"/>
      <c r="O77" s="337"/>
      <c r="P77" s="337"/>
      <c r="Q77" s="337"/>
      <c r="R77" s="337"/>
      <c r="S77" s="337"/>
      <c r="T77" s="337"/>
      <c r="U77" s="337"/>
      <c r="V77" s="337"/>
      <c r="W77" s="289"/>
      <c r="X77" s="5"/>
    </row>
    <row r="78" spans="1:24" ht="15.75" x14ac:dyDescent="0.25">
      <c r="A78" s="285"/>
      <c r="B78" s="286" t="s">
        <v>21</v>
      </c>
      <c r="C78" s="337"/>
      <c r="D78" s="337"/>
      <c r="E78" s="337"/>
      <c r="F78" s="337"/>
      <c r="G78" s="337"/>
      <c r="H78" s="337"/>
      <c r="I78" s="337"/>
      <c r="J78" s="337"/>
      <c r="K78" s="337"/>
      <c r="L78" s="337"/>
      <c r="M78" s="337"/>
      <c r="N78" s="337"/>
      <c r="O78" s="337"/>
      <c r="P78" s="337"/>
      <c r="Q78" s="337"/>
      <c r="R78" s="337"/>
      <c r="S78" s="337"/>
      <c r="T78" s="337"/>
      <c r="U78" s="337"/>
      <c r="V78" s="337"/>
      <c r="W78" s="289"/>
      <c r="X78" s="5"/>
    </row>
    <row r="79" spans="1:24" ht="15.75" x14ac:dyDescent="0.25">
      <c r="A79" s="285"/>
      <c r="B79" s="286"/>
      <c r="C79" s="337"/>
      <c r="D79" s="337"/>
      <c r="E79" s="337"/>
      <c r="F79" s="337"/>
      <c r="G79" s="337"/>
      <c r="H79" s="337"/>
      <c r="I79" s="337"/>
      <c r="J79" s="337"/>
      <c r="K79" s="337"/>
      <c r="L79" s="337"/>
      <c r="M79" s="337"/>
      <c r="N79" s="337"/>
      <c r="O79" s="337"/>
      <c r="P79" s="337"/>
      <c r="Q79" s="337"/>
      <c r="R79" s="337"/>
      <c r="S79" s="337"/>
      <c r="T79" s="337"/>
      <c r="U79" s="337"/>
      <c r="V79" s="337"/>
      <c r="W79" s="289"/>
      <c r="X79" s="5"/>
    </row>
    <row r="80" spans="1:24" ht="15.75" x14ac:dyDescent="0.25">
      <c r="A80" s="285"/>
      <c r="B80" s="286" t="s">
        <v>23</v>
      </c>
      <c r="C80" s="337"/>
      <c r="D80" s="337"/>
      <c r="E80" s="337"/>
      <c r="F80" s="337"/>
      <c r="G80" s="337"/>
      <c r="H80" s="337"/>
      <c r="I80" s="337"/>
      <c r="J80" s="337"/>
      <c r="K80" s="337"/>
      <c r="L80" s="337">
        <v>0</v>
      </c>
      <c r="M80" s="337"/>
      <c r="N80" s="337">
        <v>0</v>
      </c>
      <c r="O80" s="337"/>
      <c r="P80" s="337"/>
      <c r="Q80" s="337"/>
      <c r="R80" s="337"/>
      <c r="S80" s="337"/>
      <c r="T80" s="337"/>
      <c r="U80" s="337"/>
      <c r="V80" s="338">
        <v>0</v>
      </c>
      <c r="W80" s="289"/>
      <c r="X80" s="5"/>
    </row>
    <row r="81" spans="1:24" ht="15.75" x14ac:dyDescent="0.25">
      <c r="A81" s="285"/>
      <c r="B81" s="286" t="s">
        <v>117</v>
      </c>
      <c r="C81" s="337"/>
      <c r="D81" s="337"/>
      <c r="E81" s="337"/>
      <c r="F81" s="337"/>
      <c r="G81" s="337"/>
      <c r="H81" s="337"/>
      <c r="I81" s="337"/>
      <c r="J81" s="337"/>
      <c r="K81" s="337"/>
      <c r="L81" s="337">
        <v>188687</v>
      </c>
      <c r="M81" s="337"/>
      <c r="N81" s="337">
        <v>0</v>
      </c>
      <c r="O81" s="337"/>
      <c r="P81" s="337">
        <v>0</v>
      </c>
      <c r="Q81" s="337"/>
      <c r="R81" s="337"/>
      <c r="S81" s="337"/>
      <c r="T81" s="337"/>
      <c r="U81" s="337"/>
      <c r="V81" s="337">
        <f>SUM(N81:R81)</f>
        <v>0</v>
      </c>
      <c r="W81" s="289"/>
      <c r="X81" s="5"/>
    </row>
    <row r="82" spans="1:24" ht="15.75" x14ac:dyDescent="0.25">
      <c r="A82" s="285"/>
      <c r="B82" s="286"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89"/>
      <c r="X82" s="5"/>
    </row>
    <row r="83" spans="1:24" ht="15.75" x14ac:dyDescent="0.25">
      <c r="A83" s="285"/>
      <c r="B83" s="286" t="s">
        <v>25</v>
      </c>
      <c r="C83" s="337"/>
      <c r="D83" s="337"/>
      <c r="E83" s="337"/>
      <c r="F83" s="337"/>
      <c r="G83" s="337"/>
      <c r="H83" s="337"/>
      <c r="I83" s="337"/>
      <c r="J83" s="337"/>
      <c r="K83" s="337"/>
      <c r="L83" s="337">
        <v>0</v>
      </c>
      <c r="M83" s="337"/>
      <c r="N83" s="337">
        <v>0</v>
      </c>
      <c r="O83" s="337"/>
      <c r="P83" s="337"/>
      <c r="Q83" s="337"/>
      <c r="R83" s="337"/>
      <c r="S83" s="337"/>
      <c r="T83" s="337"/>
      <c r="U83" s="337"/>
      <c r="V83" s="337">
        <v>0</v>
      </c>
      <c r="W83" s="289"/>
      <c r="X83" s="5"/>
    </row>
    <row r="84" spans="1:24" ht="15.75" x14ac:dyDescent="0.25">
      <c r="A84" s="285"/>
      <c r="B84" s="286" t="s">
        <v>26</v>
      </c>
      <c r="C84" s="337"/>
      <c r="D84" s="337"/>
      <c r="E84" s="337"/>
      <c r="F84" s="337"/>
      <c r="G84" s="337"/>
      <c r="H84" s="337"/>
      <c r="I84" s="337"/>
      <c r="J84" s="337"/>
      <c r="K84" s="337"/>
      <c r="L84" s="337">
        <f>SUM(L71:L83)</f>
        <v>1001133</v>
      </c>
      <c r="M84" s="337"/>
      <c r="N84" s="337">
        <f>SUM(N71:N83)</f>
        <v>850414</v>
      </c>
      <c r="O84" s="337"/>
      <c r="P84" s="337"/>
      <c r="Q84" s="337"/>
      <c r="R84" s="337"/>
      <c r="S84" s="337"/>
      <c r="T84" s="337"/>
      <c r="U84" s="337"/>
      <c r="V84" s="337">
        <f>SUM(V71:V83)</f>
        <v>847171</v>
      </c>
      <c r="W84" s="289"/>
      <c r="X84" s="5"/>
    </row>
    <row r="85" spans="1:24" ht="15.75" x14ac:dyDescent="0.25">
      <c r="A85" s="181"/>
      <c r="B85" s="212"/>
      <c r="C85" s="335"/>
      <c r="D85" s="335"/>
      <c r="E85" s="335"/>
      <c r="F85" s="335"/>
      <c r="G85" s="335"/>
      <c r="H85" s="335"/>
      <c r="I85" s="335"/>
      <c r="J85" s="335"/>
      <c r="K85" s="335"/>
      <c r="L85" s="335"/>
      <c r="M85" s="335"/>
      <c r="N85" s="335"/>
      <c r="O85" s="335"/>
      <c r="P85" s="335"/>
      <c r="Q85" s="335"/>
      <c r="R85" s="335"/>
      <c r="S85" s="335"/>
      <c r="T85" s="335"/>
      <c r="U85" s="335"/>
      <c r="V85" s="336"/>
      <c r="W85" s="212"/>
      <c r="X85" s="5"/>
    </row>
    <row r="86" spans="1:24" ht="15.75" x14ac:dyDescent="0.25">
      <c r="A86" s="181"/>
      <c r="B86" s="183"/>
      <c r="C86" s="183"/>
      <c r="D86" s="183"/>
      <c r="E86" s="183"/>
      <c r="F86" s="183"/>
      <c r="G86" s="183"/>
      <c r="H86" s="183"/>
      <c r="I86" s="183"/>
      <c r="J86" s="183"/>
      <c r="K86" s="183"/>
      <c r="L86" s="183"/>
      <c r="M86" s="183"/>
      <c r="N86" s="183"/>
      <c r="O86" s="183"/>
      <c r="P86" s="183"/>
      <c r="Q86" s="183"/>
      <c r="R86" s="183"/>
      <c r="S86" s="183"/>
      <c r="T86" s="183"/>
      <c r="U86" s="183"/>
      <c r="V86" s="183"/>
      <c r="W86" s="183"/>
      <c r="X86" s="5"/>
    </row>
    <row r="87" spans="1:24" ht="15.75" x14ac:dyDescent="0.25">
      <c r="A87" s="224"/>
      <c r="B87" s="232" t="s">
        <v>27</v>
      </c>
      <c r="C87" s="232"/>
      <c r="D87" s="232"/>
      <c r="E87" s="232"/>
      <c r="F87" s="232"/>
      <c r="G87" s="232"/>
      <c r="H87" s="233"/>
      <c r="I87" s="233"/>
      <c r="J87" s="233"/>
      <c r="K87" s="233"/>
      <c r="L87" s="234" t="s">
        <v>95</v>
      </c>
      <c r="M87" s="233"/>
      <c r="N87" s="235">
        <f>+T201</f>
        <v>40602</v>
      </c>
      <c r="O87" s="233"/>
      <c r="P87" s="233"/>
      <c r="Q87" s="233"/>
      <c r="R87" s="233"/>
      <c r="S87" s="233"/>
      <c r="T87" s="233" t="s">
        <v>107</v>
      </c>
      <c r="U87" s="233"/>
      <c r="V87" s="233" t="s">
        <v>113</v>
      </c>
      <c r="W87" s="225"/>
      <c r="X87" s="5"/>
    </row>
    <row r="88" spans="1:24" ht="15.75" x14ac:dyDescent="0.25">
      <c r="A88" s="248"/>
      <c r="B88" s="250" t="s">
        <v>28</v>
      </c>
      <c r="C88" s="194"/>
      <c r="D88" s="194"/>
      <c r="E88" s="194"/>
      <c r="F88" s="194"/>
      <c r="G88" s="194"/>
      <c r="H88" s="194"/>
      <c r="I88" s="194"/>
      <c r="J88" s="194"/>
      <c r="K88" s="194"/>
      <c r="L88" s="194"/>
      <c r="M88" s="194"/>
      <c r="N88" s="194"/>
      <c r="O88" s="194"/>
      <c r="P88" s="194"/>
      <c r="Q88" s="194"/>
      <c r="R88" s="194"/>
      <c r="S88" s="194"/>
      <c r="T88" s="249">
        <v>0</v>
      </c>
      <c r="U88" s="250"/>
      <c r="V88" s="253">
        <v>0</v>
      </c>
      <c r="W88" s="194"/>
      <c r="X88" s="5"/>
    </row>
    <row r="89" spans="1:24" ht="15.75" x14ac:dyDescent="0.25">
      <c r="A89" s="295"/>
      <c r="B89" s="286" t="s">
        <v>29</v>
      </c>
      <c r="C89" s="314"/>
      <c r="D89" s="314"/>
      <c r="E89" s="314"/>
      <c r="F89" s="314"/>
      <c r="G89" s="314"/>
      <c r="H89" s="339"/>
      <c r="I89" s="339"/>
      <c r="J89" s="339"/>
      <c r="K89" s="340"/>
      <c r="L89" s="339"/>
      <c r="M89" s="314"/>
      <c r="N89" s="341"/>
      <c r="O89" s="314"/>
      <c r="P89" s="314"/>
      <c r="Q89" s="314"/>
      <c r="R89" s="314"/>
      <c r="S89" s="314"/>
      <c r="T89" s="337">
        <f>3296-509</f>
        <v>2787</v>
      </c>
      <c r="U89" s="286"/>
      <c r="V89" s="338"/>
      <c r="W89" s="318"/>
      <c r="X89" s="5"/>
    </row>
    <row r="90" spans="1:24" ht="15.75" x14ac:dyDescent="0.25">
      <c r="A90" s="295"/>
      <c r="B90" s="286" t="s">
        <v>215</v>
      </c>
      <c r="C90" s="314"/>
      <c r="D90" s="314"/>
      <c r="E90" s="314"/>
      <c r="F90" s="314"/>
      <c r="G90" s="314"/>
      <c r="H90" s="339"/>
      <c r="I90" s="339"/>
      <c r="J90" s="339"/>
      <c r="K90" s="340"/>
      <c r="L90" s="339"/>
      <c r="M90" s="314"/>
      <c r="N90" s="341"/>
      <c r="O90" s="314"/>
      <c r="P90" s="314"/>
      <c r="Q90" s="314"/>
      <c r="R90" s="314"/>
      <c r="S90" s="314"/>
      <c r="T90" s="337"/>
      <c r="U90" s="286"/>
      <c r="V90" s="338">
        <f>3355+3402-239-643+14</f>
        <v>5889</v>
      </c>
      <c r="W90" s="318"/>
      <c r="X90" s="5"/>
    </row>
    <row r="91" spans="1:24" ht="15.75" x14ac:dyDescent="0.25">
      <c r="A91" s="295"/>
      <c r="B91" s="286" t="s">
        <v>210</v>
      </c>
      <c r="C91" s="314"/>
      <c r="D91" s="314"/>
      <c r="E91" s="314"/>
      <c r="F91" s="314"/>
      <c r="G91" s="314"/>
      <c r="H91" s="339"/>
      <c r="I91" s="339"/>
      <c r="J91" s="339"/>
      <c r="K91" s="340"/>
      <c r="L91" s="339"/>
      <c r="M91" s="314"/>
      <c r="N91" s="341"/>
      <c r="O91" s="314"/>
      <c r="P91" s="314"/>
      <c r="Q91" s="314"/>
      <c r="R91" s="314"/>
      <c r="S91" s="314"/>
      <c r="T91" s="337"/>
      <c r="U91" s="286"/>
      <c r="V91" s="338">
        <f>39+2</f>
        <v>41</v>
      </c>
      <c r="W91" s="318"/>
      <c r="X91" s="5"/>
    </row>
    <row r="92" spans="1:24" ht="15.75" x14ac:dyDescent="0.25">
      <c r="A92" s="295"/>
      <c r="B92" s="286" t="s">
        <v>211</v>
      </c>
      <c r="C92" s="314"/>
      <c r="D92" s="314"/>
      <c r="E92" s="314"/>
      <c r="F92" s="314"/>
      <c r="G92" s="314"/>
      <c r="H92" s="339"/>
      <c r="I92" s="339"/>
      <c r="J92" s="339"/>
      <c r="K92" s="340"/>
      <c r="L92" s="339"/>
      <c r="M92" s="314"/>
      <c r="N92" s="341"/>
      <c r="O92" s="314"/>
      <c r="P92" s="314"/>
      <c r="Q92" s="314"/>
      <c r="R92" s="314"/>
      <c r="S92" s="314"/>
      <c r="T92" s="337"/>
      <c r="U92" s="286"/>
      <c r="V92" s="338">
        <v>38</v>
      </c>
      <c r="W92" s="318"/>
      <c r="X92" s="5"/>
    </row>
    <row r="93" spans="1:24" ht="15.75" x14ac:dyDescent="0.25">
      <c r="A93" s="295"/>
      <c r="B93" s="286" t="s">
        <v>233</v>
      </c>
      <c r="C93" s="314"/>
      <c r="D93" s="314"/>
      <c r="E93" s="314"/>
      <c r="F93" s="314"/>
      <c r="G93" s="314"/>
      <c r="H93" s="339"/>
      <c r="I93" s="339"/>
      <c r="J93" s="339"/>
      <c r="K93" s="340"/>
      <c r="L93" s="339"/>
      <c r="M93" s="314"/>
      <c r="N93" s="341"/>
      <c r="O93" s="314"/>
      <c r="P93" s="314"/>
      <c r="Q93" s="314"/>
      <c r="R93" s="314"/>
      <c r="S93" s="314"/>
      <c r="T93" s="337"/>
      <c r="U93" s="286"/>
      <c r="V93" s="338">
        <v>0</v>
      </c>
      <c r="W93" s="318"/>
      <c r="X93" s="5"/>
    </row>
    <row r="94" spans="1:24" ht="15.75" x14ac:dyDescent="0.25">
      <c r="A94" s="295"/>
      <c r="B94" s="286" t="s">
        <v>235</v>
      </c>
      <c r="C94" s="314"/>
      <c r="D94" s="314"/>
      <c r="E94" s="314"/>
      <c r="F94" s="314"/>
      <c r="G94" s="314"/>
      <c r="H94" s="339"/>
      <c r="I94" s="339"/>
      <c r="J94" s="339"/>
      <c r="K94" s="340"/>
      <c r="L94" s="339"/>
      <c r="M94" s="314"/>
      <c r="N94" s="341"/>
      <c r="O94" s="314"/>
      <c r="P94" s="314"/>
      <c r="Q94" s="314"/>
      <c r="R94" s="314"/>
      <c r="S94" s="314"/>
      <c r="T94" s="337"/>
      <c r="U94" s="286"/>
      <c r="V94" s="338">
        <v>0</v>
      </c>
      <c r="W94" s="318"/>
      <c r="X94" s="5"/>
    </row>
    <row r="95" spans="1:24" ht="15.75" x14ac:dyDescent="0.25">
      <c r="A95" s="295"/>
      <c r="B95" s="286" t="s">
        <v>135</v>
      </c>
      <c r="C95" s="314"/>
      <c r="D95" s="314"/>
      <c r="E95" s="314"/>
      <c r="F95" s="314"/>
      <c r="G95" s="314"/>
      <c r="H95" s="314"/>
      <c r="I95" s="314"/>
      <c r="J95" s="314"/>
      <c r="K95" s="314"/>
      <c r="L95" s="314"/>
      <c r="M95" s="314"/>
      <c r="N95" s="314"/>
      <c r="O95" s="314"/>
      <c r="P95" s="314"/>
      <c r="Q95" s="314"/>
      <c r="R95" s="314"/>
      <c r="S95" s="314"/>
      <c r="T95" s="337"/>
      <c r="U95" s="286"/>
      <c r="V95" s="338">
        <v>0</v>
      </c>
      <c r="W95" s="318"/>
      <c r="X95" s="5"/>
    </row>
    <row r="96" spans="1:24" ht="15.75" x14ac:dyDescent="0.25">
      <c r="A96" s="295"/>
      <c r="B96" s="286" t="s">
        <v>272</v>
      </c>
      <c r="C96" s="314"/>
      <c r="D96" s="314"/>
      <c r="E96" s="314"/>
      <c r="F96" s="314"/>
      <c r="G96" s="314"/>
      <c r="H96" s="314"/>
      <c r="I96" s="314"/>
      <c r="J96" s="314"/>
      <c r="K96" s="314"/>
      <c r="L96" s="314"/>
      <c r="M96" s="314"/>
      <c r="N96" s="314"/>
      <c r="O96" s="314"/>
      <c r="P96" s="314"/>
      <c r="Q96" s="314"/>
      <c r="R96" s="314"/>
      <c r="S96" s="314"/>
      <c r="T96" s="337"/>
      <c r="U96" s="286"/>
      <c r="V96" s="338">
        <v>0</v>
      </c>
      <c r="W96" s="318"/>
      <c r="X96" s="5"/>
    </row>
    <row r="97" spans="1:25" ht="15.75" x14ac:dyDescent="0.25">
      <c r="A97" s="295"/>
      <c r="B97" s="286" t="s">
        <v>30</v>
      </c>
      <c r="C97" s="314"/>
      <c r="D97" s="314"/>
      <c r="E97" s="314"/>
      <c r="F97" s="314"/>
      <c r="G97" s="314"/>
      <c r="H97" s="314"/>
      <c r="I97" s="314"/>
      <c r="J97" s="314"/>
      <c r="K97" s="314"/>
      <c r="L97" s="314"/>
      <c r="M97" s="314"/>
      <c r="N97" s="314"/>
      <c r="O97" s="314"/>
      <c r="P97" s="314"/>
      <c r="Q97" s="314"/>
      <c r="R97" s="314"/>
      <c r="S97" s="314"/>
      <c r="T97" s="337">
        <f>SUM(T88:T96)</f>
        <v>2787</v>
      </c>
      <c r="U97" s="286"/>
      <c r="V97" s="337">
        <f>SUM(V88:V96)</f>
        <v>5968</v>
      </c>
      <c r="W97" s="318"/>
      <c r="X97" s="5"/>
    </row>
    <row r="98" spans="1:25" ht="15.75" x14ac:dyDescent="0.25">
      <c r="A98" s="295"/>
      <c r="B98" s="286" t="s">
        <v>161</v>
      </c>
      <c r="C98" s="314"/>
      <c r="D98" s="314"/>
      <c r="E98" s="314"/>
      <c r="F98" s="314"/>
      <c r="G98" s="314"/>
      <c r="H98" s="314"/>
      <c r="I98" s="314"/>
      <c r="J98" s="314"/>
      <c r="K98" s="314"/>
      <c r="L98" s="314"/>
      <c r="M98" s="314"/>
      <c r="N98" s="314"/>
      <c r="O98" s="314"/>
      <c r="P98" s="314"/>
      <c r="Q98" s="314"/>
      <c r="R98" s="314"/>
      <c r="S98" s="314"/>
      <c r="T98" s="337">
        <f>-V98</f>
        <v>-12</v>
      </c>
      <c r="U98" s="286"/>
      <c r="V98" s="337">
        <v>12</v>
      </c>
      <c r="W98" s="318"/>
      <c r="X98" s="5"/>
    </row>
    <row r="99" spans="1:25" ht="15.75" x14ac:dyDescent="0.25">
      <c r="A99" s="295"/>
      <c r="B99" s="286" t="s">
        <v>31</v>
      </c>
      <c r="C99" s="314"/>
      <c r="D99" s="314"/>
      <c r="E99" s="314"/>
      <c r="F99" s="314"/>
      <c r="G99" s="314"/>
      <c r="H99" s="314"/>
      <c r="I99" s="314"/>
      <c r="J99" s="314"/>
      <c r="K99" s="314"/>
      <c r="L99" s="314"/>
      <c r="M99" s="314"/>
      <c r="N99" s="314"/>
      <c r="O99" s="314"/>
      <c r="P99" s="314"/>
      <c r="Q99" s="314"/>
      <c r="R99" s="314"/>
      <c r="S99" s="314"/>
      <c r="T99" s="337">
        <f>-V99</f>
        <v>0</v>
      </c>
      <c r="U99" s="286"/>
      <c r="V99" s="338">
        <v>0</v>
      </c>
      <c r="W99" s="318"/>
      <c r="X99" s="5"/>
    </row>
    <row r="100" spans="1:25" ht="15.75" x14ac:dyDescent="0.25">
      <c r="A100" s="295"/>
      <c r="B100" s="286" t="s">
        <v>274</v>
      </c>
      <c r="C100" s="314"/>
      <c r="D100" s="314"/>
      <c r="E100" s="314"/>
      <c r="F100" s="314"/>
      <c r="G100" s="314"/>
      <c r="H100" s="314"/>
      <c r="I100" s="314"/>
      <c r="J100" s="314"/>
      <c r="K100" s="314"/>
      <c r="L100" s="314"/>
      <c r="M100" s="314"/>
      <c r="N100" s="314"/>
      <c r="O100" s="314"/>
      <c r="P100" s="314"/>
      <c r="Q100" s="314"/>
      <c r="R100" s="314"/>
      <c r="S100" s="314"/>
      <c r="T100" s="337"/>
      <c r="U100" s="286"/>
      <c r="V100" s="338">
        <v>209</v>
      </c>
      <c r="W100" s="318"/>
      <c r="X100" s="5"/>
    </row>
    <row r="101" spans="1:25" ht="15.75" x14ac:dyDescent="0.25">
      <c r="A101" s="295"/>
      <c r="B101" s="286" t="s">
        <v>32</v>
      </c>
      <c r="C101" s="314"/>
      <c r="D101" s="314"/>
      <c r="E101" s="314"/>
      <c r="F101" s="314"/>
      <c r="G101" s="314"/>
      <c r="H101" s="314"/>
      <c r="I101" s="314"/>
      <c r="J101" s="314"/>
      <c r="K101" s="314"/>
      <c r="L101" s="314"/>
      <c r="M101" s="314"/>
      <c r="N101" s="314"/>
      <c r="O101" s="314"/>
      <c r="P101" s="314"/>
      <c r="Q101" s="314"/>
      <c r="R101" s="314"/>
      <c r="S101" s="314"/>
      <c r="T101" s="337">
        <f>T97+T99+T98</f>
        <v>2775</v>
      </c>
      <c r="U101" s="286"/>
      <c r="V101" s="337">
        <f>V97+V99+V98+V100</f>
        <v>6189</v>
      </c>
      <c r="W101" s="318"/>
      <c r="X101" s="5"/>
    </row>
    <row r="102" spans="1:25" ht="15.75" x14ac:dyDescent="0.25">
      <c r="A102" s="285"/>
      <c r="B102" s="342" t="s">
        <v>33</v>
      </c>
      <c r="C102" s="314"/>
      <c r="D102" s="314"/>
      <c r="E102" s="314"/>
      <c r="F102" s="314"/>
      <c r="G102" s="314"/>
      <c r="H102" s="314"/>
      <c r="I102" s="314"/>
      <c r="J102" s="314"/>
      <c r="K102" s="314"/>
      <c r="L102" s="314"/>
      <c r="M102" s="314"/>
      <c r="N102" s="314"/>
      <c r="O102" s="314"/>
      <c r="P102" s="314"/>
      <c r="Q102" s="314"/>
      <c r="R102" s="314"/>
      <c r="S102" s="314"/>
      <c r="T102" s="337"/>
      <c r="U102" s="286"/>
      <c r="V102" s="338"/>
      <c r="W102" s="318"/>
      <c r="X102" s="5"/>
    </row>
    <row r="103" spans="1:25" ht="15.75" x14ac:dyDescent="0.25">
      <c r="A103" s="295">
        <v>1</v>
      </c>
      <c r="B103" s="286" t="s">
        <v>34</v>
      </c>
      <c r="C103" s="286"/>
      <c r="D103" s="286"/>
      <c r="E103" s="314"/>
      <c r="F103" s="314"/>
      <c r="G103" s="314"/>
      <c r="H103" s="314"/>
      <c r="I103" s="314"/>
      <c r="J103" s="314"/>
      <c r="K103" s="314"/>
      <c r="L103" s="314"/>
      <c r="M103" s="314"/>
      <c r="N103" s="314"/>
      <c r="O103" s="314"/>
      <c r="P103" s="314"/>
      <c r="Q103" s="314"/>
      <c r="R103" s="314"/>
      <c r="S103" s="314"/>
      <c r="T103" s="286"/>
      <c r="U103" s="286"/>
      <c r="V103" s="338">
        <v>0</v>
      </c>
      <c r="W103" s="318"/>
      <c r="X103" s="5"/>
    </row>
    <row r="104" spans="1:25" ht="15.75" x14ac:dyDescent="0.25">
      <c r="A104" s="295">
        <f>+A103+1</f>
        <v>2</v>
      </c>
      <c r="B104" s="286" t="s">
        <v>221</v>
      </c>
      <c r="C104" s="286"/>
      <c r="D104" s="286"/>
      <c r="E104" s="314"/>
      <c r="F104" s="314"/>
      <c r="G104" s="314"/>
      <c r="H104" s="314"/>
      <c r="I104" s="314"/>
      <c r="J104" s="314"/>
      <c r="K104" s="314"/>
      <c r="L104" s="314"/>
      <c r="M104" s="314"/>
      <c r="N104" s="314"/>
      <c r="O104" s="314"/>
      <c r="P104" s="314"/>
      <c r="Q104" s="314"/>
      <c r="R104" s="314"/>
      <c r="S104" s="314"/>
      <c r="T104" s="286"/>
      <c r="U104" s="286"/>
      <c r="V104" s="338">
        <v>-2</v>
      </c>
      <c r="W104" s="318"/>
      <c r="X104" s="5"/>
    </row>
    <row r="105" spans="1:25" ht="15.75" x14ac:dyDescent="0.25">
      <c r="A105" s="295">
        <f>+A104+1</f>
        <v>3</v>
      </c>
      <c r="B105" s="286" t="s">
        <v>204</v>
      </c>
      <c r="C105" s="286"/>
      <c r="D105" s="286"/>
      <c r="E105" s="314"/>
      <c r="F105" s="314"/>
      <c r="G105" s="314"/>
      <c r="H105" s="314"/>
      <c r="I105" s="314"/>
      <c r="J105" s="314"/>
      <c r="K105" s="314"/>
      <c r="L105" s="314"/>
      <c r="M105" s="314"/>
      <c r="N105" s="314"/>
      <c r="O105" s="314"/>
      <c r="P105" s="314"/>
      <c r="Q105" s="314"/>
      <c r="R105" s="314"/>
      <c r="S105" s="314"/>
      <c r="T105" s="286"/>
      <c r="U105" s="286"/>
      <c r="V105" s="338">
        <f>-316-122-10</f>
        <v>-448</v>
      </c>
      <c r="W105" s="318"/>
      <c r="X105" s="5"/>
    </row>
    <row r="106" spans="1:25" ht="15.75" x14ac:dyDescent="0.25">
      <c r="A106" s="295" t="s">
        <v>127</v>
      </c>
      <c r="B106" s="286" t="s">
        <v>116</v>
      </c>
      <c r="C106" s="286"/>
      <c r="D106" s="286"/>
      <c r="E106" s="314"/>
      <c r="F106" s="314"/>
      <c r="G106" s="314"/>
      <c r="H106" s="314"/>
      <c r="I106" s="314"/>
      <c r="J106" s="314"/>
      <c r="K106" s="314"/>
      <c r="L106" s="314"/>
      <c r="M106" s="314"/>
      <c r="N106" s="314"/>
      <c r="O106" s="314"/>
      <c r="P106" s="314"/>
      <c r="Q106" s="314"/>
      <c r="R106" s="314"/>
      <c r="S106" s="314"/>
      <c r="T106" s="286"/>
      <c r="U106" s="286"/>
      <c r="V106" s="338">
        <v>-220</v>
      </c>
      <c r="W106" s="318"/>
      <c r="X106" s="5"/>
    </row>
    <row r="107" spans="1:25" ht="15.75" x14ac:dyDescent="0.25">
      <c r="A107" s="295" t="s">
        <v>128</v>
      </c>
      <c r="B107" s="286" t="s">
        <v>220</v>
      </c>
      <c r="C107" s="286"/>
      <c r="D107" s="286"/>
      <c r="E107" s="314"/>
      <c r="F107" s="314"/>
      <c r="G107" s="314"/>
      <c r="H107" s="314"/>
      <c r="I107" s="314"/>
      <c r="J107" s="314"/>
      <c r="K107" s="314"/>
      <c r="L107" s="314"/>
      <c r="M107" s="314"/>
      <c r="N107" s="314"/>
      <c r="O107" s="314"/>
      <c r="P107" s="314"/>
      <c r="Q107" s="314"/>
      <c r="R107" s="314"/>
      <c r="S107" s="314"/>
      <c r="T107" s="286"/>
      <c r="U107" s="286"/>
      <c r="V107" s="338">
        <v>-1126</v>
      </c>
      <c r="W107" s="318"/>
      <c r="X107" s="5"/>
      <c r="Y107" s="109"/>
    </row>
    <row r="108" spans="1:25" ht="15.75" x14ac:dyDescent="0.25">
      <c r="A108" s="295" t="s">
        <v>150</v>
      </c>
      <c r="B108" s="286" t="s">
        <v>184</v>
      </c>
      <c r="C108" s="286"/>
      <c r="D108" s="286"/>
      <c r="E108" s="314"/>
      <c r="F108" s="314"/>
      <c r="G108" s="314"/>
      <c r="H108" s="314"/>
      <c r="I108" s="314"/>
      <c r="J108" s="314"/>
      <c r="K108" s="314"/>
      <c r="L108" s="314"/>
      <c r="M108" s="314"/>
      <c r="N108" s="314"/>
      <c r="O108" s="314"/>
      <c r="P108" s="314"/>
      <c r="Q108" s="314"/>
      <c r="R108" s="314"/>
      <c r="S108" s="314"/>
      <c r="T108" s="286"/>
      <c r="U108" s="286"/>
      <c r="V108" s="338">
        <v>-374</v>
      </c>
      <c r="W108" s="318"/>
      <c r="X108" s="5"/>
      <c r="Y108" s="109"/>
    </row>
    <row r="109" spans="1:25" ht="15.75" x14ac:dyDescent="0.25">
      <c r="A109" s="295" t="s">
        <v>205</v>
      </c>
      <c r="B109" s="286" t="s">
        <v>185</v>
      </c>
      <c r="C109" s="286"/>
      <c r="D109" s="286"/>
      <c r="E109" s="314"/>
      <c r="F109" s="314"/>
      <c r="G109" s="314"/>
      <c r="H109" s="314"/>
      <c r="I109" s="314"/>
      <c r="J109" s="314"/>
      <c r="K109" s="314"/>
      <c r="L109" s="314"/>
      <c r="M109" s="314"/>
      <c r="N109" s="314"/>
      <c r="O109" s="314"/>
      <c r="P109" s="314"/>
      <c r="Q109" s="314"/>
      <c r="R109" s="314"/>
      <c r="S109" s="314"/>
      <c r="T109" s="286"/>
      <c r="U109" s="286"/>
      <c r="V109" s="338">
        <v>-151</v>
      </c>
      <c r="W109" s="318"/>
      <c r="X109" s="5"/>
      <c r="Y109" s="109"/>
    </row>
    <row r="110" spans="1:25" ht="15.75" x14ac:dyDescent="0.25">
      <c r="A110" s="295" t="s">
        <v>206</v>
      </c>
      <c r="B110" s="286" t="s">
        <v>186</v>
      </c>
      <c r="C110" s="286"/>
      <c r="D110" s="286"/>
      <c r="E110" s="314"/>
      <c r="F110" s="314"/>
      <c r="G110" s="314"/>
      <c r="H110" s="314"/>
      <c r="I110" s="314"/>
      <c r="J110" s="314"/>
      <c r="K110" s="314"/>
      <c r="L110" s="314"/>
      <c r="M110" s="314"/>
      <c r="N110" s="314"/>
      <c r="O110" s="314"/>
      <c r="P110" s="314"/>
      <c r="Q110" s="314"/>
      <c r="R110" s="314"/>
      <c r="S110" s="314"/>
      <c r="T110" s="286"/>
      <c r="U110" s="286"/>
      <c r="V110" s="338">
        <v>-43</v>
      </c>
      <c r="W110" s="318"/>
      <c r="X110" s="5"/>
      <c r="Y110" s="109"/>
    </row>
    <row r="111" spans="1:25" ht="15.75" x14ac:dyDescent="0.25">
      <c r="A111" s="295">
        <v>6</v>
      </c>
      <c r="B111" s="286" t="s">
        <v>196</v>
      </c>
      <c r="C111" s="286"/>
      <c r="D111" s="286"/>
      <c r="E111" s="314"/>
      <c r="F111" s="314"/>
      <c r="G111" s="314"/>
      <c r="H111" s="314"/>
      <c r="I111" s="314"/>
      <c r="J111" s="314"/>
      <c r="K111" s="314"/>
      <c r="L111" s="314"/>
      <c r="M111" s="314"/>
      <c r="N111" s="314"/>
      <c r="O111" s="314"/>
      <c r="P111" s="314"/>
      <c r="Q111" s="314"/>
      <c r="R111" s="314"/>
      <c r="S111" s="314"/>
      <c r="T111" s="286"/>
      <c r="U111" s="286"/>
      <c r="V111" s="338">
        <v>-252</v>
      </c>
      <c r="W111" s="318"/>
      <c r="X111" s="5"/>
      <c r="Y111" s="109"/>
    </row>
    <row r="112" spans="1:25" ht="15.75" x14ac:dyDescent="0.25">
      <c r="A112" s="295">
        <v>7</v>
      </c>
      <c r="B112" s="286" t="s">
        <v>35</v>
      </c>
      <c r="C112" s="286"/>
      <c r="D112" s="286"/>
      <c r="E112" s="314"/>
      <c r="F112" s="314"/>
      <c r="G112" s="314"/>
      <c r="H112" s="314"/>
      <c r="I112" s="314"/>
      <c r="J112" s="314"/>
      <c r="K112" s="314"/>
      <c r="L112" s="314"/>
      <c r="M112" s="314"/>
      <c r="N112" s="314"/>
      <c r="O112" s="314"/>
      <c r="P112" s="314"/>
      <c r="Q112" s="314"/>
      <c r="R112" s="314"/>
      <c r="S112" s="314"/>
      <c r="T112" s="286"/>
      <c r="U112" s="286"/>
      <c r="V112" s="338">
        <v>-9</v>
      </c>
      <c r="W112" s="318"/>
      <c r="X112" s="5"/>
    </row>
    <row r="113" spans="1:24" ht="15.75" x14ac:dyDescent="0.25">
      <c r="A113" s="295">
        <f t="shared" ref="A113:A118" si="0">+A112+1</f>
        <v>8</v>
      </c>
      <c r="B113" s="286" t="s">
        <v>45</v>
      </c>
      <c r="C113" s="286"/>
      <c r="D113" s="286"/>
      <c r="E113" s="314"/>
      <c r="F113" s="314"/>
      <c r="G113" s="314"/>
      <c r="H113" s="314"/>
      <c r="I113" s="314"/>
      <c r="J113" s="314"/>
      <c r="K113" s="314"/>
      <c r="L113" s="314"/>
      <c r="M113" s="314"/>
      <c r="N113" s="314"/>
      <c r="O113" s="314"/>
      <c r="P113" s="314"/>
      <c r="Q113" s="314"/>
      <c r="R113" s="314"/>
      <c r="S113" s="314"/>
      <c r="T113" s="337">
        <f>-V113</f>
        <v>509</v>
      </c>
      <c r="U113" s="286"/>
      <c r="V113" s="338">
        <v>-509</v>
      </c>
      <c r="W113" s="318"/>
      <c r="X113" s="5"/>
    </row>
    <row r="114" spans="1:24" ht="15.75" x14ac:dyDescent="0.25">
      <c r="A114" s="295">
        <f t="shared" si="0"/>
        <v>9</v>
      </c>
      <c r="B114" s="286" t="s">
        <v>125</v>
      </c>
      <c r="C114" s="286"/>
      <c r="D114" s="286"/>
      <c r="E114" s="314"/>
      <c r="F114" s="314"/>
      <c r="G114" s="314"/>
      <c r="H114" s="314"/>
      <c r="I114" s="314"/>
      <c r="J114" s="314"/>
      <c r="K114" s="314"/>
      <c r="L114" s="314"/>
      <c r="M114" s="314"/>
      <c r="N114" s="314"/>
      <c r="O114" s="314"/>
      <c r="P114" s="314"/>
      <c r="Q114" s="314"/>
      <c r="R114" s="314"/>
      <c r="S114" s="314"/>
      <c r="T114" s="286"/>
      <c r="U114" s="286"/>
      <c r="V114" s="338">
        <v>0</v>
      </c>
      <c r="W114" s="318"/>
      <c r="X114" s="5"/>
    </row>
    <row r="115" spans="1:24" ht="15.75" x14ac:dyDescent="0.25">
      <c r="A115" s="295">
        <f t="shared" si="0"/>
        <v>10</v>
      </c>
      <c r="B115" s="286" t="s">
        <v>225</v>
      </c>
      <c r="C115" s="286"/>
      <c r="D115" s="286"/>
      <c r="E115" s="314"/>
      <c r="F115" s="314"/>
      <c r="G115" s="314"/>
      <c r="H115" s="314"/>
      <c r="I115" s="314"/>
      <c r="J115" s="314"/>
      <c r="K115" s="314"/>
      <c r="L115" s="314"/>
      <c r="M115" s="314"/>
      <c r="N115" s="314"/>
      <c r="O115" s="314"/>
      <c r="P115" s="314"/>
      <c r="Q115" s="314"/>
      <c r="R115" s="314"/>
      <c r="S115" s="314"/>
      <c r="T115" s="286"/>
      <c r="U115" s="286"/>
      <c r="V115" s="338">
        <v>0</v>
      </c>
      <c r="W115" s="318"/>
      <c r="X115" s="5"/>
    </row>
    <row r="116" spans="1:24" ht="15.75" x14ac:dyDescent="0.25">
      <c r="A116" s="295">
        <f t="shared" si="0"/>
        <v>11</v>
      </c>
      <c r="B116" s="286" t="s">
        <v>36</v>
      </c>
      <c r="C116" s="286"/>
      <c r="D116" s="286"/>
      <c r="E116" s="314"/>
      <c r="F116" s="314"/>
      <c r="G116" s="314"/>
      <c r="H116" s="314"/>
      <c r="I116" s="314"/>
      <c r="J116" s="314"/>
      <c r="K116" s="314"/>
      <c r="L116" s="314"/>
      <c r="M116" s="314"/>
      <c r="N116" s="314"/>
      <c r="O116" s="314"/>
      <c r="P116" s="314"/>
      <c r="Q116" s="314"/>
      <c r="R116" s="314"/>
      <c r="S116" s="314"/>
      <c r="T116" s="286"/>
      <c r="U116" s="286"/>
      <c r="V116" s="338">
        <v>0</v>
      </c>
      <c r="W116" s="318"/>
      <c r="X116" s="5"/>
    </row>
    <row r="117" spans="1:24" ht="15.75" x14ac:dyDescent="0.25">
      <c r="A117" s="295">
        <f t="shared" si="0"/>
        <v>12</v>
      </c>
      <c r="B117" s="286" t="s">
        <v>149</v>
      </c>
      <c r="C117" s="286"/>
      <c r="D117" s="286"/>
      <c r="E117" s="314"/>
      <c r="F117" s="314"/>
      <c r="G117" s="314"/>
      <c r="H117" s="314"/>
      <c r="I117" s="314"/>
      <c r="J117" s="314"/>
      <c r="K117" s="314"/>
      <c r="L117" s="314"/>
      <c r="M117" s="314"/>
      <c r="N117" s="314"/>
      <c r="O117" s="314"/>
      <c r="P117" s="314"/>
      <c r="Q117" s="314"/>
      <c r="R117" s="314"/>
      <c r="S117" s="314"/>
      <c r="T117" s="286"/>
      <c r="U117" s="286"/>
      <c r="V117" s="338">
        <v>-316</v>
      </c>
      <c r="W117" s="318"/>
      <c r="X117" s="5"/>
    </row>
    <row r="118" spans="1:24" ht="15.75" x14ac:dyDescent="0.25">
      <c r="A118" s="295">
        <f t="shared" si="0"/>
        <v>13</v>
      </c>
      <c r="B118" s="286" t="s">
        <v>126</v>
      </c>
      <c r="C118" s="286"/>
      <c r="D118" s="286"/>
      <c r="E118" s="314"/>
      <c r="F118" s="314"/>
      <c r="G118" s="314"/>
      <c r="H118" s="314"/>
      <c r="I118" s="314"/>
      <c r="J118" s="314"/>
      <c r="K118" s="314"/>
      <c r="L118" s="314"/>
      <c r="M118" s="314"/>
      <c r="N118" s="314"/>
      <c r="O118" s="314"/>
      <c r="P118" s="314"/>
      <c r="Q118" s="314"/>
      <c r="R118" s="314"/>
      <c r="S118" s="314"/>
      <c r="T118" s="286"/>
      <c r="U118" s="286"/>
      <c r="V118" s="338">
        <f>-V101-SUM(V103:V117)</f>
        <v>-2739</v>
      </c>
      <c r="W118" s="318"/>
      <c r="X118" s="5"/>
    </row>
    <row r="119" spans="1:24" ht="15.75" x14ac:dyDescent="0.25">
      <c r="A119" s="285"/>
      <c r="B119" s="342" t="s">
        <v>37</v>
      </c>
      <c r="C119" s="314"/>
      <c r="D119" s="314"/>
      <c r="E119" s="314"/>
      <c r="F119" s="314"/>
      <c r="G119" s="314"/>
      <c r="H119" s="314"/>
      <c r="I119" s="314"/>
      <c r="J119" s="314"/>
      <c r="K119" s="314"/>
      <c r="L119" s="314"/>
      <c r="M119" s="314"/>
      <c r="N119" s="314"/>
      <c r="O119" s="314"/>
      <c r="P119" s="314"/>
      <c r="Q119" s="314"/>
      <c r="R119" s="314"/>
      <c r="S119" s="314"/>
      <c r="T119" s="286"/>
      <c r="U119" s="286"/>
      <c r="V119" s="343"/>
      <c r="W119" s="318"/>
      <c r="X119" s="5"/>
    </row>
    <row r="120" spans="1:24" ht="15.75" x14ac:dyDescent="0.25">
      <c r="A120" s="285"/>
      <c r="B120" s="286" t="s">
        <v>173</v>
      </c>
      <c r="C120" s="314"/>
      <c r="D120" s="314"/>
      <c r="E120" s="314"/>
      <c r="F120" s="314"/>
      <c r="G120" s="314"/>
      <c r="H120" s="314"/>
      <c r="I120" s="314"/>
      <c r="J120" s="314"/>
      <c r="K120" s="314"/>
      <c r="L120" s="314"/>
      <c r="M120" s="314"/>
      <c r="N120" s="314"/>
      <c r="O120" s="314"/>
      <c r="P120" s="314"/>
      <c r="Q120" s="314"/>
      <c r="R120" s="314"/>
      <c r="S120" s="314"/>
      <c r="T120" s="337">
        <f>-T185</f>
        <v>0</v>
      </c>
      <c r="U120" s="337"/>
      <c r="V120" s="338"/>
      <c r="W120" s="318"/>
      <c r="X120" s="5"/>
    </row>
    <row r="121" spans="1:24" ht="15.75" x14ac:dyDescent="0.25">
      <c r="A121" s="285"/>
      <c r="B121" s="286" t="s">
        <v>174</v>
      </c>
      <c r="C121" s="314"/>
      <c r="D121" s="314"/>
      <c r="E121" s="314"/>
      <c r="F121" s="314"/>
      <c r="G121" s="314"/>
      <c r="H121" s="314"/>
      <c r="I121" s="314"/>
      <c r="J121" s="314"/>
      <c r="K121" s="314"/>
      <c r="L121" s="314"/>
      <c r="M121" s="314"/>
      <c r="N121" s="314"/>
      <c r="O121" s="314"/>
      <c r="P121" s="314"/>
      <c r="Q121" s="314"/>
      <c r="R121" s="314"/>
      <c r="S121" s="314"/>
      <c r="T121" s="337">
        <v>-2</v>
      </c>
      <c r="U121" s="337"/>
      <c r="V121" s="338"/>
      <c r="W121" s="318"/>
      <c r="X121" s="5"/>
    </row>
    <row r="122" spans="1:24" ht="15.75" x14ac:dyDescent="0.25">
      <c r="A122" s="285"/>
      <c r="B122" s="286" t="s">
        <v>38</v>
      </c>
      <c r="C122" s="314"/>
      <c r="D122" s="314"/>
      <c r="E122" s="314"/>
      <c r="F122" s="314"/>
      <c r="G122" s="314"/>
      <c r="H122" s="314"/>
      <c r="I122" s="314"/>
      <c r="J122" s="314"/>
      <c r="K122" s="314"/>
      <c r="L122" s="314"/>
      <c r="M122" s="314"/>
      <c r="N122" s="314"/>
      <c r="O122" s="314"/>
      <c r="P122" s="314"/>
      <c r="Q122" s="314"/>
      <c r="R122" s="314"/>
      <c r="S122" s="314"/>
      <c r="T122" s="337">
        <f>-S185</f>
        <v>-39</v>
      </c>
      <c r="U122" s="337"/>
      <c r="V122" s="338"/>
      <c r="W122" s="318"/>
      <c r="X122" s="5"/>
    </row>
    <row r="123" spans="1:24" ht="15.75" x14ac:dyDescent="0.25">
      <c r="A123" s="285"/>
      <c r="B123" s="286" t="s">
        <v>197</v>
      </c>
      <c r="C123" s="314"/>
      <c r="D123" s="314"/>
      <c r="E123" s="314"/>
      <c r="F123" s="314"/>
      <c r="G123" s="314"/>
      <c r="H123" s="314"/>
      <c r="I123" s="314"/>
      <c r="J123" s="314"/>
      <c r="K123" s="314"/>
      <c r="L123" s="314"/>
      <c r="M123" s="314"/>
      <c r="N123" s="314"/>
      <c r="O123" s="314"/>
      <c r="P123" s="314"/>
      <c r="Q123" s="314"/>
      <c r="R123" s="314"/>
      <c r="S123" s="314"/>
      <c r="T123" s="337">
        <v>-1878</v>
      </c>
      <c r="U123" s="337"/>
      <c r="V123" s="338"/>
      <c r="W123" s="318"/>
      <c r="X123" s="5"/>
    </row>
    <row r="124" spans="1:24" ht="15.75" x14ac:dyDescent="0.25">
      <c r="A124" s="285"/>
      <c r="B124" s="286" t="s">
        <v>195</v>
      </c>
      <c r="C124" s="314"/>
      <c r="D124" s="314"/>
      <c r="E124" s="314"/>
      <c r="F124" s="314"/>
      <c r="G124" s="314"/>
      <c r="H124" s="314"/>
      <c r="I124" s="314"/>
      <c r="J124" s="314"/>
      <c r="K124" s="314"/>
      <c r="L124" s="314"/>
      <c r="M124" s="314"/>
      <c r="N124" s="314"/>
      <c r="O124" s="314"/>
      <c r="P124" s="314"/>
      <c r="Q124" s="314"/>
      <c r="R124" s="314"/>
      <c r="S124" s="314"/>
      <c r="T124" s="337">
        <v>-798</v>
      </c>
      <c r="U124" s="337"/>
      <c r="V124" s="338"/>
      <c r="W124" s="318"/>
      <c r="X124" s="5"/>
    </row>
    <row r="125" spans="1:24" ht="15.75" x14ac:dyDescent="0.25">
      <c r="A125" s="285"/>
      <c r="B125" s="286" t="s">
        <v>194</v>
      </c>
      <c r="C125" s="314"/>
      <c r="D125" s="314"/>
      <c r="E125" s="314"/>
      <c r="F125" s="314"/>
      <c r="G125" s="314"/>
      <c r="H125" s="314"/>
      <c r="I125" s="314"/>
      <c r="J125" s="314"/>
      <c r="K125" s="314"/>
      <c r="L125" s="314"/>
      <c r="M125" s="314"/>
      <c r="N125" s="314"/>
      <c r="O125" s="314"/>
      <c r="P125" s="314"/>
      <c r="Q125" s="314"/>
      <c r="R125" s="314"/>
      <c r="S125" s="314"/>
      <c r="T125" s="337">
        <v>-285</v>
      </c>
      <c r="U125" s="337"/>
      <c r="V125" s="338"/>
      <c r="W125" s="318"/>
      <c r="X125" s="5"/>
    </row>
    <row r="126" spans="1:24" ht="15.75" x14ac:dyDescent="0.25">
      <c r="A126" s="285"/>
      <c r="B126" s="286" t="s">
        <v>222</v>
      </c>
      <c r="C126" s="314"/>
      <c r="D126" s="314"/>
      <c r="E126" s="314"/>
      <c r="F126" s="314"/>
      <c r="G126" s="314"/>
      <c r="H126" s="314"/>
      <c r="I126" s="314"/>
      <c r="J126" s="314"/>
      <c r="K126" s="314"/>
      <c r="L126" s="314"/>
      <c r="M126" s="314"/>
      <c r="N126" s="314"/>
      <c r="O126" s="314"/>
      <c r="P126" s="314"/>
      <c r="Q126" s="314"/>
      <c r="R126" s="314"/>
      <c r="S126" s="314"/>
      <c r="T126" s="337">
        <v>-282</v>
      </c>
      <c r="U126" s="337"/>
      <c r="V126" s="338"/>
      <c r="W126" s="318"/>
      <c r="X126" s="5"/>
    </row>
    <row r="127" spans="1:24" ht="15.75" x14ac:dyDescent="0.25">
      <c r="A127" s="285"/>
      <c r="B127" s="286" t="s">
        <v>189</v>
      </c>
      <c r="C127" s="314"/>
      <c r="D127" s="314"/>
      <c r="E127" s="314"/>
      <c r="F127" s="314"/>
      <c r="G127" s="314"/>
      <c r="H127" s="314"/>
      <c r="I127" s="314"/>
      <c r="J127" s="314"/>
      <c r="K127" s="314"/>
      <c r="L127" s="314"/>
      <c r="M127" s="314"/>
      <c r="N127" s="314"/>
      <c r="O127" s="314"/>
      <c r="P127" s="314"/>
      <c r="Q127" s="314"/>
      <c r="R127" s="314"/>
      <c r="S127" s="314"/>
      <c r="T127" s="337">
        <v>0</v>
      </c>
      <c r="U127" s="337"/>
      <c r="V127" s="338"/>
      <c r="W127" s="318"/>
      <c r="X127" s="5"/>
    </row>
    <row r="128" spans="1:24" ht="15.75" x14ac:dyDescent="0.25">
      <c r="A128" s="285"/>
      <c r="B128" s="286" t="s">
        <v>188</v>
      </c>
      <c r="C128" s="314"/>
      <c r="D128" s="314"/>
      <c r="E128" s="314"/>
      <c r="F128" s="314"/>
      <c r="G128" s="314"/>
      <c r="H128" s="314"/>
      <c r="I128" s="314"/>
      <c r="J128" s="314"/>
      <c r="K128" s="314"/>
      <c r="L128" s="314"/>
      <c r="M128" s="314"/>
      <c r="N128" s="314"/>
      <c r="O128" s="314"/>
      <c r="P128" s="314"/>
      <c r="Q128" s="314"/>
      <c r="R128" s="314"/>
      <c r="S128" s="314"/>
      <c r="T128" s="337">
        <v>0</v>
      </c>
      <c r="U128" s="337"/>
      <c r="V128" s="338"/>
      <c r="W128" s="318"/>
      <c r="X128" s="5"/>
    </row>
    <row r="129" spans="1:24" ht="15.75" x14ac:dyDescent="0.25">
      <c r="A129" s="285"/>
      <c r="B129" s="286" t="s">
        <v>187</v>
      </c>
      <c r="C129" s="314"/>
      <c r="D129" s="314"/>
      <c r="E129" s="314"/>
      <c r="F129" s="314"/>
      <c r="G129" s="314"/>
      <c r="H129" s="314"/>
      <c r="I129" s="314"/>
      <c r="J129" s="314"/>
      <c r="K129" s="314"/>
      <c r="L129" s="314"/>
      <c r="M129" s="314"/>
      <c r="N129" s="314"/>
      <c r="O129" s="314"/>
      <c r="P129" s="314"/>
      <c r="Q129" s="314"/>
      <c r="R129" s="314"/>
      <c r="S129" s="314"/>
      <c r="T129" s="337">
        <v>0</v>
      </c>
      <c r="U129" s="337"/>
      <c r="V129" s="338"/>
      <c r="W129" s="318"/>
      <c r="X129" s="5"/>
    </row>
    <row r="130" spans="1:24" ht="15.75" x14ac:dyDescent="0.25">
      <c r="A130" s="285"/>
      <c r="B130" s="286" t="s">
        <v>39</v>
      </c>
      <c r="C130" s="314"/>
      <c r="D130" s="314"/>
      <c r="E130" s="314"/>
      <c r="F130" s="314"/>
      <c r="G130" s="314"/>
      <c r="H130" s="314"/>
      <c r="I130" s="314"/>
      <c r="J130" s="314"/>
      <c r="K130" s="314"/>
      <c r="L130" s="314"/>
      <c r="M130" s="314"/>
      <c r="N130" s="314"/>
      <c r="O130" s="314"/>
      <c r="P130" s="314"/>
      <c r="Q130" s="314"/>
      <c r="R130" s="314"/>
      <c r="S130" s="314"/>
      <c r="T130" s="337">
        <f>SUM(T120:T129)</f>
        <v>-3284</v>
      </c>
      <c r="U130" s="337"/>
      <c r="V130" s="337">
        <f>SUM(V102:V128)</f>
        <v>-6189</v>
      </c>
      <c r="W130" s="318"/>
      <c r="X130" s="5"/>
    </row>
    <row r="131" spans="1:24" ht="15.75" x14ac:dyDescent="0.25">
      <c r="A131" s="285"/>
      <c r="B131" s="286" t="s">
        <v>40</v>
      </c>
      <c r="C131" s="314"/>
      <c r="D131" s="314"/>
      <c r="E131" s="314"/>
      <c r="F131" s="314"/>
      <c r="G131" s="314"/>
      <c r="H131" s="314"/>
      <c r="I131" s="314"/>
      <c r="J131" s="314"/>
      <c r="K131" s="314"/>
      <c r="L131" s="314"/>
      <c r="M131" s="314"/>
      <c r="N131" s="314"/>
      <c r="O131" s="314"/>
      <c r="P131" s="314"/>
      <c r="Q131" s="314"/>
      <c r="R131" s="314"/>
      <c r="S131" s="314"/>
      <c r="T131" s="337">
        <f>T101+T130+T113</f>
        <v>0</v>
      </c>
      <c r="U131" s="337"/>
      <c r="V131" s="337">
        <f>V101+V130</f>
        <v>0</v>
      </c>
      <c r="W131" s="318"/>
      <c r="X131" s="5"/>
    </row>
    <row r="132" spans="1:24" ht="15.75" x14ac:dyDescent="0.25">
      <c r="A132" s="181"/>
      <c r="B132" s="212"/>
      <c r="C132" s="212"/>
      <c r="D132" s="212"/>
      <c r="E132" s="212"/>
      <c r="F132" s="212"/>
      <c r="G132" s="212"/>
      <c r="H132" s="212"/>
      <c r="I132" s="212"/>
      <c r="J132" s="212"/>
      <c r="K132" s="212"/>
      <c r="L132" s="212"/>
      <c r="M132" s="212"/>
      <c r="N132" s="212"/>
      <c r="O132" s="212"/>
      <c r="P132" s="212"/>
      <c r="Q132" s="212"/>
      <c r="R132" s="212"/>
      <c r="S132" s="212"/>
      <c r="T132" s="335"/>
      <c r="U132" s="335"/>
      <c r="V132" s="335"/>
      <c r="W132" s="212"/>
      <c r="X132" s="5"/>
    </row>
    <row r="133" spans="1:24" ht="15.75" x14ac:dyDescent="0.25">
      <c r="A133" s="181"/>
      <c r="B133" s="183"/>
      <c r="C133" s="183"/>
      <c r="D133" s="183"/>
      <c r="E133" s="183"/>
      <c r="F133" s="183"/>
      <c r="G133" s="183"/>
      <c r="H133" s="183"/>
      <c r="I133" s="183"/>
      <c r="J133" s="183"/>
      <c r="K133" s="183"/>
      <c r="L133" s="183"/>
      <c r="M133" s="183"/>
      <c r="N133" s="183"/>
      <c r="O133" s="183"/>
      <c r="P133" s="183"/>
      <c r="Q133" s="183"/>
      <c r="R133" s="183"/>
      <c r="S133" s="183"/>
      <c r="T133" s="183"/>
      <c r="U133" s="183"/>
      <c r="V133" s="202"/>
      <c r="W133" s="183"/>
      <c r="X133" s="5"/>
    </row>
    <row r="134" spans="1:24" ht="19.5" thickBot="1" x14ac:dyDescent="0.35">
      <c r="A134" s="197"/>
      <c r="B134" s="270" t="str">
        <f>B64</f>
        <v>PM15 INVESTOR REPORT QUARTER ENDING FEBRUARY 2011</v>
      </c>
      <c r="C134" s="198"/>
      <c r="D134" s="198"/>
      <c r="E134" s="198"/>
      <c r="F134" s="198"/>
      <c r="G134" s="198"/>
      <c r="H134" s="198"/>
      <c r="I134" s="198"/>
      <c r="J134" s="198"/>
      <c r="K134" s="198"/>
      <c r="L134" s="198"/>
      <c r="M134" s="198"/>
      <c r="N134" s="198"/>
      <c r="O134" s="198"/>
      <c r="P134" s="198"/>
      <c r="Q134" s="198"/>
      <c r="R134" s="198"/>
      <c r="S134" s="198"/>
      <c r="T134" s="198"/>
      <c r="U134" s="198"/>
      <c r="V134" s="209"/>
      <c r="W134" s="200"/>
      <c r="X134" s="5"/>
    </row>
    <row r="135" spans="1:24" ht="15.75" x14ac:dyDescent="0.25">
      <c r="A135" s="236"/>
      <c r="B135" s="237" t="s">
        <v>41</v>
      </c>
      <c r="C135" s="238"/>
      <c r="D135" s="238"/>
      <c r="E135" s="238"/>
      <c r="F135" s="238"/>
      <c r="G135" s="238"/>
      <c r="H135" s="238"/>
      <c r="I135" s="238"/>
      <c r="J135" s="238"/>
      <c r="K135" s="238"/>
      <c r="L135" s="238"/>
      <c r="M135" s="238"/>
      <c r="N135" s="238"/>
      <c r="O135" s="238"/>
      <c r="P135" s="238"/>
      <c r="Q135" s="238"/>
      <c r="R135" s="238"/>
      <c r="S135" s="238"/>
      <c r="T135" s="238"/>
      <c r="U135" s="238"/>
      <c r="V135" s="239"/>
      <c r="W135" s="238"/>
      <c r="X135" s="5"/>
    </row>
    <row r="136" spans="1:24" ht="15.75" x14ac:dyDescent="0.25">
      <c r="A136" s="181"/>
      <c r="B136" s="191"/>
      <c r="C136" s="183"/>
      <c r="D136" s="183"/>
      <c r="E136" s="183"/>
      <c r="F136" s="183"/>
      <c r="G136" s="183"/>
      <c r="H136" s="183"/>
      <c r="I136" s="183"/>
      <c r="J136" s="183"/>
      <c r="K136" s="183"/>
      <c r="L136" s="183"/>
      <c r="M136" s="183"/>
      <c r="N136" s="183"/>
      <c r="O136" s="183"/>
      <c r="P136" s="183"/>
      <c r="Q136" s="183"/>
      <c r="R136" s="183"/>
      <c r="S136" s="183"/>
      <c r="T136" s="183"/>
      <c r="U136" s="183"/>
      <c r="V136" s="202"/>
      <c r="W136" s="183"/>
      <c r="X136" s="5"/>
    </row>
    <row r="137" spans="1:24" ht="15.75" x14ac:dyDescent="0.25">
      <c r="A137" s="181"/>
      <c r="B137" s="210" t="s">
        <v>42</v>
      </c>
      <c r="C137" s="183"/>
      <c r="D137" s="183"/>
      <c r="E137" s="183"/>
      <c r="F137" s="183"/>
      <c r="G137" s="183"/>
      <c r="H137" s="183"/>
      <c r="I137" s="183"/>
      <c r="J137" s="183"/>
      <c r="K137" s="183"/>
      <c r="L137" s="183"/>
      <c r="M137" s="183"/>
      <c r="N137" s="183"/>
      <c r="O137" s="183"/>
      <c r="P137" s="183"/>
      <c r="Q137" s="183"/>
      <c r="R137" s="183"/>
      <c r="S137" s="183"/>
      <c r="T137" s="183"/>
      <c r="U137" s="183"/>
      <c r="V137" s="202"/>
      <c r="W137" s="183"/>
      <c r="X137" s="5"/>
    </row>
    <row r="138" spans="1:24" ht="15.75" x14ac:dyDescent="0.25">
      <c r="A138" s="285"/>
      <c r="B138" s="286" t="s">
        <v>43</v>
      </c>
      <c r="C138" s="286"/>
      <c r="D138" s="286"/>
      <c r="E138" s="286"/>
      <c r="F138" s="286"/>
      <c r="G138" s="286"/>
      <c r="H138" s="286"/>
      <c r="I138" s="286"/>
      <c r="J138" s="286"/>
      <c r="K138" s="286"/>
      <c r="L138" s="286"/>
      <c r="M138" s="286"/>
      <c r="N138" s="286"/>
      <c r="O138" s="286"/>
      <c r="P138" s="286"/>
      <c r="Q138" s="286"/>
      <c r="R138" s="286"/>
      <c r="S138" s="286"/>
      <c r="T138" s="286"/>
      <c r="U138" s="286"/>
      <c r="V138" s="338">
        <f>+V34*0.019</f>
        <v>19021.526999999998</v>
      </c>
      <c r="W138" s="289"/>
      <c r="X138" s="5"/>
    </row>
    <row r="139" spans="1:24" ht="15.75" x14ac:dyDescent="0.25">
      <c r="A139" s="285"/>
      <c r="B139" s="286" t="s">
        <v>44</v>
      </c>
      <c r="C139" s="286"/>
      <c r="D139" s="286"/>
      <c r="E139" s="286"/>
      <c r="F139" s="286"/>
      <c r="G139" s="286"/>
      <c r="H139" s="286"/>
      <c r="I139" s="286"/>
      <c r="J139" s="286"/>
      <c r="K139" s="286"/>
      <c r="L139" s="286"/>
      <c r="M139" s="286"/>
      <c r="N139" s="286"/>
      <c r="O139" s="286"/>
      <c r="P139" s="286"/>
      <c r="Q139" s="286"/>
      <c r="R139" s="286"/>
      <c r="S139" s="286"/>
      <c r="T139" s="286"/>
      <c r="U139" s="286"/>
      <c r="V139" s="338">
        <v>19022</v>
      </c>
      <c r="W139" s="289"/>
      <c r="X139" s="5"/>
    </row>
    <row r="140" spans="1:24" ht="15.75" x14ac:dyDescent="0.25">
      <c r="A140" s="285"/>
      <c r="B140" s="286" t="s">
        <v>136</v>
      </c>
      <c r="C140" s="286"/>
      <c r="D140" s="286"/>
      <c r="E140" s="286"/>
      <c r="F140" s="286"/>
      <c r="G140" s="286"/>
      <c r="H140" s="286"/>
      <c r="I140" s="286"/>
      <c r="J140" s="286"/>
      <c r="K140" s="286"/>
      <c r="L140" s="286"/>
      <c r="M140" s="286"/>
      <c r="N140" s="286"/>
      <c r="O140" s="286"/>
      <c r="P140" s="286"/>
      <c r="Q140" s="286"/>
      <c r="R140" s="286"/>
      <c r="S140" s="286"/>
      <c r="T140" s="286"/>
      <c r="U140" s="286"/>
      <c r="V140" s="338"/>
      <c r="W140" s="289"/>
      <c r="X140" s="5"/>
    </row>
    <row r="141" spans="1:24" ht="15.75" x14ac:dyDescent="0.25">
      <c r="A141" s="285"/>
      <c r="B141" s="286" t="s">
        <v>123</v>
      </c>
      <c r="C141" s="286"/>
      <c r="D141" s="286"/>
      <c r="E141" s="286"/>
      <c r="F141" s="286"/>
      <c r="G141" s="286"/>
      <c r="H141" s="286"/>
      <c r="I141" s="286"/>
      <c r="J141" s="286"/>
      <c r="K141" s="286"/>
      <c r="L141" s="286"/>
      <c r="M141" s="286"/>
      <c r="N141" s="286"/>
      <c r="O141" s="286"/>
      <c r="P141" s="286"/>
      <c r="Q141" s="286"/>
      <c r="R141" s="286"/>
      <c r="S141" s="286"/>
      <c r="T141" s="286"/>
      <c r="U141" s="286"/>
      <c r="V141" s="338">
        <v>0</v>
      </c>
      <c r="W141" s="289"/>
      <c r="X141" s="5"/>
    </row>
    <row r="142" spans="1:24" ht="15.75" x14ac:dyDescent="0.25">
      <c r="A142" s="285"/>
      <c r="B142" s="286" t="s">
        <v>124</v>
      </c>
      <c r="C142" s="286"/>
      <c r="D142" s="286"/>
      <c r="E142" s="286"/>
      <c r="F142" s="286"/>
      <c r="G142" s="286"/>
      <c r="H142" s="286"/>
      <c r="I142" s="286"/>
      <c r="J142" s="286"/>
      <c r="K142" s="286"/>
      <c r="L142" s="286"/>
      <c r="M142" s="286"/>
      <c r="N142" s="286"/>
      <c r="O142" s="286"/>
      <c r="P142" s="286"/>
      <c r="Q142" s="286"/>
      <c r="R142" s="286"/>
      <c r="S142" s="286"/>
      <c r="T142" s="286"/>
      <c r="U142" s="286"/>
      <c r="V142" s="338">
        <v>0</v>
      </c>
      <c r="W142" s="289"/>
      <c r="X142" s="5"/>
    </row>
    <row r="143" spans="1:24" ht="15.75" x14ac:dyDescent="0.25">
      <c r="A143" s="285"/>
      <c r="B143" s="286" t="s">
        <v>175</v>
      </c>
      <c r="C143" s="286"/>
      <c r="D143" s="286"/>
      <c r="E143" s="286"/>
      <c r="F143" s="286"/>
      <c r="G143" s="286"/>
      <c r="H143" s="286"/>
      <c r="I143" s="286"/>
      <c r="J143" s="286"/>
      <c r="K143" s="286"/>
      <c r="L143" s="286"/>
      <c r="M143" s="286"/>
      <c r="N143" s="286"/>
      <c r="O143" s="286"/>
      <c r="P143" s="286"/>
      <c r="Q143" s="286"/>
      <c r="R143" s="286"/>
      <c r="S143" s="286"/>
      <c r="T143" s="286"/>
      <c r="U143" s="286"/>
      <c r="V143" s="338">
        <v>0</v>
      </c>
      <c r="W143" s="289"/>
      <c r="X143" s="5"/>
    </row>
    <row r="144" spans="1:24" ht="15.75" x14ac:dyDescent="0.25">
      <c r="A144" s="285"/>
      <c r="B144" s="286" t="s">
        <v>45</v>
      </c>
      <c r="C144" s="286"/>
      <c r="D144" s="286"/>
      <c r="E144" s="286"/>
      <c r="F144" s="286"/>
      <c r="G144" s="286"/>
      <c r="H144" s="286"/>
      <c r="I144" s="286"/>
      <c r="J144" s="286"/>
      <c r="K144" s="286"/>
      <c r="L144" s="286"/>
      <c r="M144" s="286"/>
      <c r="N144" s="286"/>
      <c r="O144" s="286"/>
      <c r="P144" s="286"/>
      <c r="Q144" s="286"/>
      <c r="R144" s="286"/>
      <c r="S144" s="286"/>
      <c r="T144" s="286"/>
      <c r="U144" s="286"/>
      <c r="V144" s="338">
        <v>0</v>
      </c>
      <c r="W144" s="289"/>
      <c r="X144" s="5"/>
    </row>
    <row r="145" spans="1:25" ht="15.75" x14ac:dyDescent="0.25">
      <c r="A145" s="285"/>
      <c r="B145" s="286" t="s">
        <v>129</v>
      </c>
      <c r="C145" s="286"/>
      <c r="D145" s="286"/>
      <c r="E145" s="286"/>
      <c r="F145" s="286"/>
      <c r="G145" s="286"/>
      <c r="H145" s="286"/>
      <c r="I145" s="286"/>
      <c r="J145" s="286"/>
      <c r="K145" s="286"/>
      <c r="L145" s="286"/>
      <c r="M145" s="286"/>
      <c r="N145" s="286"/>
      <c r="O145" s="286"/>
      <c r="P145" s="286"/>
      <c r="Q145" s="286"/>
      <c r="R145" s="286"/>
      <c r="S145" s="286"/>
      <c r="T145" s="286"/>
      <c r="U145" s="286"/>
      <c r="V145" s="338">
        <v>0</v>
      </c>
      <c r="W145" s="289"/>
      <c r="X145" s="5"/>
    </row>
    <row r="146" spans="1:25" ht="15.75" x14ac:dyDescent="0.25">
      <c r="A146" s="285"/>
      <c r="B146" s="286" t="s">
        <v>241</v>
      </c>
      <c r="C146" s="286"/>
      <c r="D146" s="286"/>
      <c r="E146" s="286"/>
      <c r="F146" s="286"/>
      <c r="G146" s="286"/>
      <c r="H146" s="286"/>
      <c r="I146" s="286"/>
      <c r="J146" s="286"/>
      <c r="K146" s="286"/>
      <c r="L146" s="286"/>
      <c r="M146" s="286"/>
      <c r="N146" s="286"/>
      <c r="O146" s="286"/>
      <c r="P146" s="286"/>
      <c r="Q146" s="286"/>
      <c r="R146" s="286"/>
      <c r="S146" s="286"/>
      <c r="T146" s="286"/>
      <c r="U146" s="286"/>
      <c r="V146" s="338">
        <v>0</v>
      </c>
      <c r="W146" s="289"/>
      <c r="X146" s="5"/>
      <c r="Y146" s="109"/>
    </row>
    <row r="147" spans="1:25" ht="15.75" x14ac:dyDescent="0.25">
      <c r="A147" s="285"/>
      <c r="B147" s="286" t="s">
        <v>46</v>
      </c>
      <c r="C147" s="286"/>
      <c r="D147" s="286"/>
      <c r="E147" s="286"/>
      <c r="F147" s="286"/>
      <c r="G147" s="286"/>
      <c r="H147" s="286"/>
      <c r="I147" s="286"/>
      <c r="J147" s="286"/>
      <c r="K147" s="286"/>
      <c r="L147" s="286"/>
      <c r="M147" s="286"/>
      <c r="N147" s="286"/>
      <c r="O147" s="286"/>
      <c r="P147" s="286"/>
      <c r="Q147" s="286"/>
      <c r="R147" s="286"/>
      <c r="S147" s="286"/>
      <c r="T147" s="286"/>
      <c r="U147" s="286"/>
      <c r="V147" s="338">
        <f>SUM(V139:V146)</f>
        <v>19022</v>
      </c>
      <c r="W147" s="289"/>
      <c r="X147" s="5"/>
    </row>
    <row r="148" spans="1:25" ht="15.75" x14ac:dyDescent="0.25">
      <c r="A148" s="285"/>
      <c r="B148" s="314"/>
      <c r="C148" s="314"/>
      <c r="D148" s="314"/>
      <c r="E148" s="314"/>
      <c r="F148" s="314"/>
      <c r="G148" s="314"/>
      <c r="H148" s="314"/>
      <c r="I148" s="314"/>
      <c r="J148" s="314"/>
      <c r="K148" s="314"/>
      <c r="L148" s="314"/>
      <c r="M148" s="314"/>
      <c r="N148" s="314"/>
      <c r="O148" s="314"/>
      <c r="P148" s="314"/>
      <c r="Q148" s="314"/>
      <c r="R148" s="314"/>
      <c r="S148" s="314"/>
      <c r="T148" s="314"/>
      <c r="U148" s="314"/>
      <c r="V148" s="345"/>
      <c r="W148" s="318"/>
      <c r="X148" s="5"/>
    </row>
    <row r="149" spans="1:25" ht="15.75" x14ac:dyDescent="0.25">
      <c r="A149" s="285"/>
      <c r="B149" s="342" t="s">
        <v>269</v>
      </c>
      <c r="C149" s="314"/>
      <c r="D149" s="314"/>
      <c r="E149" s="314"/>
      <c r="F149" s="314"/>
      <c r="G149" s="314"/>
      <c r="H149" s="314"/>
      <c r="I149" s="314"/>
      <c r="J149" s="314"/>
      <c r="K149" s="314"/>
      <c r="L149" s="314"/>
      <c r="M149" s="314"/>
      <c r="N149" s="314"/>
      <c r="O149" s="314"/>
      <c r="P149" s="314"/>
      <c r="Q149" s="314"/>
      <c r="R149" s="314"/>
      <c r="S149" s="314"/>
      <c r="T149" s="314"/>
      <c r="U149" s="314"/>
      <c r="V149" s="345"/>
      <c r="W149" s="318"/>
      <c r="X149" s="5"/>
    </row>
    <row r="150" spans="1:25" ht="15.75" x14ac:dyDescent="0.25">
      <c r="A150" s="285"/>
      <c r="B150" s="286" t="s">
        <v>155</v>
      </c>
      <c r="C150" s="286"/>
      <c r="D150" s="286"/>
      <c r="E150" s="286"/>
      <c r="F150" s="286"/>
      <c r="G150" s="286"/>
      <c r="H150" s="286"/>
      <c r="I150" s="286"/>
      <c r="J150" s="286"/>
      <c r="K150" s="286"/>
      <c r="L150" s="286"/>
      <c r="M150" s="286"/>
      <c r="N150" s="286"/>
      <c r="O150" s="286"/>
      <c r="P150" s="286"/>
      <c r="Q150" s="286"/>
      <c r="R150" s="286"/>
      <c r="S150" s="286"/>
      <c r="T150" s="286"/>
      <c r="U150" s="286"/>
      <c r="V150" s="338">
        <v>0</v>
      </c>
      <c r="W150" s="289"/>
      <c r="X150" s="5"/>
    </row>
    <row r="151" spans="1:25" ht="15.75" x14ac:dyDescent="0.25">
      <c r="A151" s="285"/>
      <c r="B151" s="286" t="s">
        <v>172</v>
      </c>
      <c r="C151" s="286"/>
      <c r="D151" s="286"/>
      <c r="E151" s="286"/>
      <c r="F151" s="286"/>
      <c r="G151" s="286"/>
      <c r="H151" s="286"/>
      <c r="I151" s="286"/>
      <c r="J151" s="286"/>
      <c r="K151" s="286"/>
      <c r="L151" s="286"/>
      <c r="M151" s="286"/>
      <c r="N151" s="286"/>
      <c r="O151" s="286"/>
      <c r="P151" s="286"/>
      <c r="Q151" s="286"/>
      <c r="R151" s="286"/>
      <c r="S151" s="286"/>
      <c r="T151" s="286"/>
      <c r="U151" s="286"/>
      <c r="V151" s="338">
        <v>0</v>
      </c>
      <c r="W151" s="289"/>
      <c r="X151" s="5"/>
    </row>
    <row r="152" spans="1:25" ht="15.75" x14ac:dyDescent="0.25">
      <c r="A152" s="285"/>
      <c r="B152" s="286" t="s">
        <v>226</v>
      </c>
      <c r="C152" s="286"/>
      <c r="D152" s="286"/>
      <c r="E152" s="286"/>
      <c r="F152" s="286"/>
      <c r="G152" s="286"/>
      <c r="H152" s="286"/>
      <c r="I152" s="286"/>
      <c r="J152" s="286"/>
      <c r="K152" s="286"/>
      <c r="L152" s="286"/>
      <c r="M152" s="286"/>
      <c r="N152" s="286"/>
      <c r="O152" s="286"/>
      <c r="P152" s="286"/>
      <c r="Q152" s="286"/>
      <c r="R152" s="286"/>
      <c r="S152" s="286"/>
      <c r="T152" s="286"/>
      <c r="U152" s="286"/>
      <c r="V152" s="338">
        <v>0</v>
      </c>
      <c r="W152" s="289"/>
      <c r="X152" s="5"/>
    </row>
    <row r="153" spans="1:25" ht="15.75" x14ac:dyDescent="0.25">
      <c r="A153" s="285"/>
      <c r="B153" s="314"/>
      <c r="C153" s="314"/>
      <c r="D153" s="314"/>
      <c r="E153" s="314"/>
      <c r="F153" s="314"/>
      <c r="G153" s="314"/>
      <c r="H153" s="314"/>
      <c r="I153" s="314"/>
      <c r="J153" s="314"/>
      <c r="K153" s="314"/>
      <c r="L153" s="314"/>
      <c r="M153" s="314"/>
      <c r="N153" s="314"/>
      <c r="O153" s="314"/>
      <c r="P153" s="314"/>
      <c r="Q153" s="314"/>
      <c r="R153" s="314"/>
      <c r="S153" s="314"/>
      <c r="T153" s="314"/>
      <c r="U153" s="314"/>
      <c r="V153" s="345"/>
      <c r="W153" s="318"/>
      <c r="X153" s="5"/>
    </row>
    <row r="154" spans="1:25" ht="15.75" x14ac:dyDescent="0.25">
      <c r="A154" s="181"/>
      <c r="B154" s="212"/>
      <c r="C154" s="212"/>
      <c r="D154" s="212"/>
      <c r="E154" s="212"/>
      <c r="F154" s="212"/>
      <c r="G154" s="212"/>
      <c r="H154" s="212"/>
      <c r="I154" s="212"/>
      <c r="J154" s="212"/>
      <c r="K154" s="212"/>
      <c r="L154" s="212"/>
      <c r="M154" s="212"/>
      <c r="N154" s="212"/>
      <c r="O154" s="212"/>
      <c r="P154" s="212"/>
      <c r="Q154" s="212"/>
      <c r="R154" s="212"/>
      <c r="S154" s="212"/>
      <c r="T154" s="212"/>
      <c r="U154" s="212"/>
      <c r="V154" s="344"/>
      <c r="W154" s="212"/>
      <c r="X154" s="5"/>
    </row>
    <row r="155" spans="1:25" ht="15.75" x14ac:dyDescent="0.25">
      <c r="A155" s="181"/>
      <c r="B155" s="210" t="s">
        <v>24</v>
      </c>
      <c r="C155" s="183"/>
      <c r="D155" s="183"/>
      <c r="E155" s="183"/>
      <c r="F155" s="183"/>
      <c r="G155" s="183"/>
      <c r="H155" s="183"/>
      <c r="I155" s="183"/>
      <c r="J155" s="183"/>
      <c r="K155" s="183"/>
      <c r="L155" s="183"/>
      <c r="M155" s="183"/>
      <c r="N155" s="183"/>
      <c r="O155" s="183"/>
      <c r="P155" s="183"/>
      <c r="Q155" s="183"/>
      <c r="R155" s="183"/>
      <c r="S155" s="183"/>
      <c r="T155" s="183"/>
      <c r="U155" s="183"/>
      <c r="V155" s="202"/>
      <c r="W155" s="183"/>
      <c r="X155" s="5"/>
    </row>
    <row r="156" spans="1:25" ht="15.75" x14ac:dyDescent="0.25">
      <c r="A156" s="285"/>
      <c r="B156" s="286" t="s">
        <v>47</v>
      </c>
      <c r="C156" s="286"/>
      <c r="D156" s="286"/>
      <c r="E156" s="286"/>
      <c r="F156" s="286"/>
      <c r="G156" s="286"/>
      <c r="H156" s="286"/>
      <c r="I156" s="286"/>
      <c r="J156" s="286"/>
      <c r="K156" s="286"/>
      <c r="L156" s="286"/>
      <c r="M156" s="286"/>
      <c r="N156" s="286"/>
      <c r="O156" s="286"/>
      <c r="P156" s="286"/>
      <c r="Q156" s="286"/>
      <c r="R156" s="286"/>
      <c r="S156" s="286"/>
      <c r="T156" s="286"/>
      <c r="U156" s="286"/>
      <c r="V156" s="343" t="s">
        <v>118</v>
      </c>
      <c r="W156" s="318"/>
      <c r="X156" s="5"/>
    </row>
    <row r="157" spans="1:25" ht="15.75" x14ac:dyDescent="0.25">
      <c r="A157" s="285"/>
      <c r="B157" s="286" t="s">
        <v>48</v>
      </c>
      <c r="C157" s="288"/>
      <c r="D157" s="288"/>
      <c r="E157" s="288"/>
      <c r="F157" s="288"/>
      <c r="G157" s="288"/>
      <c r="H157" s="288"/>
      <c r="I157" s="288"/>
      <c r="J157" s="288"/>
      <c r="K157" s="288"/>
      <c r="L157" s="288"/>
      <c r="M157" s="288"/>
      <c r="N157" s="288"/>
      <c r="O157" s="288"/>
      <c r="P157" s="288"/>
      <c r="Q157" s="288"/>
      <c r="R157" s="288"/>
      <c r="S157" s="288"/>
      <c r="T157" s="288"/>
      <c r="U157" s="288"/>
      <c r="V157" s="343" t="s">
        <v>118</v>
      </c>
      <c r="W157" s="318"/>
      <c r="X157" s="5"/>
    </row>
    <row r="158" spans="1:25" ht="15.75" x14ac:dyDescent="0.25">
      <c r="A158" s="285"/>
      <c r="B158" s="286" t="s">
        <v>49</v>
      </c>
      <c r="C158" s="286"/>
      <c r="D158" s="286"/>
      <c r="E158" s="286"/>
      <c r="F158" s="286"/>
      <c r="G158" s="286"/>
      <c r="H158" s="286"/>
      <c r="I158" s="286"/>
      <c r="J158" s="286"/>
      <c r="K158" s="286"/>
      <c r="L158" s="286"/>
      <c r="M158" s="286"/>
      <c r="N158" s="286"/>
      <c r="O158" s="286"/>
      <c r="P158" s="286"/>
      <c r="Q158" s="286"/>
      <c r="R158" s="286"/>
      <c r="S158" s="286"/>
      <c r="T158" s="286"/>
      <c r="U158" s="286"/>
      <c r="V158" s="343" t="s">
        <v>118</v>
      </c>
      <c r="W158" s="318"/>
      <c r="X158" s="5"/>
    </row>
    <row r="159" spans="1:25" ht="15.75" x14ac:dyDescent="0.25">
      <c r="A159" s="285"/>
      <c r="B159" s="286" t="s">
        <v>50</v>
      </c>
      <c r="C159" s="286"/>
      <c r="D159" s="286"/>
      <c r="E159" s="286"/>
      <c r="F159" s="286"/>
      <c r="G159" s="286"/>
      <c r="H159" s="286"/>
      <c r="I159" s="286"/>
      <c r="J159" s="286"/>
      <c r="K159" s="286"/>
      <c r="L159" s="286"/>
      <c r="M159" s="286"/>
      <c r="N159" s="286"/>
      <c r="O159" s="286"/>
      <c r="P159" s="286"/>
      <c r="Q159" s="286"/>
      <c r="R159" s="286"/>
      <c r="S159" s="286"/>
      <c r="T159" s="286"/>
      <c r="U159" s="286"/>
      <c r="V159" s="343" t="s">
        <v>118</v>
      </c>
      <c r="W159" s="318"/>
      <c r="X159" s="5"/>
    </row>
    <row r="160" spans="1:25" ht="15.75" x14ac:dyDescent="0.25">
      <c r="A160" s="181"/>
      <c r="B160" s="212"/>
      <c r="C160" s="212"/>
      <c r="D160" s="212"/>
      <c r="E160" s="212"/>
      <c r="F160" s="212"/>
      <c r="G160" s="212"/>
      <c r="H160" s="212"/>
      <c r="I160" s="212"/>
      <c r="J160" s="212"/>
      <c r="K160" s="212"/>
      <c r="L160" s="212"/>
      <c r="M160" s="212"/>
      <c r="N160" s="212"/>
      <c r="O160" s="212"/>
      <c r="P160" s="212"/>
      <c r="Q160" s="212"/>
      <c r="R160" s="212"/>
      <c r="S160" s="212"/>
      <c r="T160" s="212"/>
      <c r="U160" s="212"/>
      <c r="V160" s="344"/>
      <c r="W160" s="212"/>
      <c r="X160" s="5"/>
    </row>
    <row r="161" spans="1:256" ht="15.75" x14ac:dyDescent="0.25">
      <c r="A161" s="181"/>
      <c r="B161" s="210" t="s">
        <v>51</v>
      </c>
      <c r="C161" s="183"/>
      <c r="D161" s="183"/>
      <c r="E161" s="183"/>
      <c r="F161" s="183"/>
      <c r="G161" s="183"/>
      <c r="H161" s="183"/>
      <c r="I161" s="183"/>
      <c r="J161" s="183"/>
      <c r="K161" s="183"/>
      <c r="L161" s="183"/>
      <c r="M161" s="183"/>
      <c r="N161" s="183"/>
      <c r="O161" s="183"/>
      <c r="P161" s="183"/>
      <c r="Q161" s="183"/>
      <c r="R161" s="183"/>
      <c r="S161" s="183"/>
      <c r="T161" s="183"/>
      <c r="U161" s="183"/>
      <c r="V161" s="211"/>
      <c r="W161" s="183"/>
      <c r="X161" s="5"/>
    </row>
    <row r="162" spans="1:256" ht="15.75" x14ac:dyDescent="0.25">
      <c r="A162" s="285"/>
      <c r="B162" s="286" t="s">
        <v>52</v>
      </c>
      <c r="C162" s="286"/>
      <c r="D162" s="286"/>
      <c r="E162" s="286"/>
      <c r="F162" s="286"/>
      <c r="G162" s="286"/>
      <c r="H162" s="286"/>
      <c r="I162" s="286"/>
      <c r="J162" s="286"/>
      <c r="K162" s="286"/>
      <c r="L162" s="286"/>
      <c r="M162" s="286"/>
      <c r="N162" s="286"/>
      <c r="O162" s="286"/>
      <c r="P162" s="286"/>
      <c r="Q162" s="286"/>
      <c r="R162" s="286"/>
      <c r="S162" s="286"/>
      <c r="T162" s="286"/>
      <c r="U162" s="286"/>
      <c r="V162" s="338">
        <v>0</v>
      </c>
      <c r="W162" s="289"/>
      <c r="X162" s="5"/>
    </row>
    <row r="163" spans="1:256" ht="15.75" x14ac:dyDescent="0.25">
      <c r="A163" s="285"/>
      <c r="B163" s="286" t="s">
        <v>53</v>
      </c>
      <c r="C163" s="286"/>
      <c r="D163" s="286"/>
      <c r="E163" s="286"/>
      <c r="F163" s="286"/>
      <c r="G163" s="286"/>
      <c r="H163" s="286"/>
      <c r="I163" s="286"/>
      <c r="J163" s="286"/>
      <c r="K163" s="286"/>
      <c r="L163" s="286"/>
      <c r="M163" s="286"/>
      <c r="N163" s="286"/>
      <c r="O163" s="286"/>
      <c r="P163" s="286"/>
      <c r="Q163" s="286"/>
      <c r="R163" s="286"/>
      <c r="S163" s="286"/>
      <c r="T163" s="286"/>
      <c r="U163" s="286"/>
      <c r="V163" s="338">
        <v>509</v>
      </c>
      <c r="W163" s="289"/>
      <c r="X163" s="5"/>
    </row>
    <row r="164" spans="1:256" ht="15.75" x14ac:dyDescent="0.25">
      <c r="A164" s="285"/>
      <c r="B164" s="286" t="s">
        <v>54</v>
      </c>
      <c r="C164" s="286"/>
      <c r="D164" s="286"/>
      <c r="E164" s="286"/>
      <c r="F164" s="286"/>
      <c r="G164" s="286"/>
      <c r="H164" s="286"/>
      <c r="I164" s="286"/>
      <c r="J164" s="286"/>
      <c r="K164" s="286"/>
      <c r="L164" s="286"/>
      <c r="M164" s="286"/>
      <c r="N164" s="286"/>
      <c r="O164" s="286"/>
      <c r="P164" s="286"/>
      <c r="Q164" s="286"/>
      <c r="R164" s="286"/>
      <c r="S164" s="286"/>
      <c r="T164" s="286"/>
      <c r="U164" s="286"/>
      <c r="V164" s="338">
        <f>V163+V162</f>
        <v>509</v>
      </c>
      <c r="W164" s="289"/>
      <c r="X164" s="5"/>
    </row>
    <row r="165" spans="1:256" ht="15.75" x14ac:dyDescent="0.25">
      <c r="A165" s="285"/>
      <c r="B165" s="286" t="s">
        <v>303</v>
      </c>
      <c r="C165" s="286"/>
      <c r="D165" s="286"/>
      <c r="E165" s="286"/>
      <c r="F165" s="286"/>
      <c r="G165" s="286"/>
      <c r="H165" s="286"/>
      <c r="I165" s="286"/>
      <c r="J165" s="286"/>
      <c r="K165" s="286"/>
      <c r="L165" s="286"/>
      <c r="M165" s="286"/>
      <c r="N165" s="286"/>
      <c r="O165" s="286"/>
      <c r="P165" s="286"/>
      <c r="Q165" s="286"/>
      <c r="R165" s="286"/>
      <c r="S165" s="286"/>
      <c r="T165" s="286"/>
      <c r="U165" s="286"/>
      <c r="V165" s="338">
        <f>V113</f>
        <v>-509</v>
      </c>
      <c r="W165" s="289"/>
      <c r="X165" s="5"/>
    </row>
    <row r="166" spans="1:256" ht="15.75" x14ac:dyDescent="0.25">
      <c r="A166" s="285"/>
      <c r="B166" s="286" t="s">
        <v>55</v>
      </c>
      <c r="C166" s="286"/>
      <c r="D166" s="286"/>
      <c r="E166" s="286"/>
      <c r="F166" s="286"/>
      <c r="G166" s="286"/>
      <c r="H166" s="286"/>
      <c r="I166" s="286"/>
      <c r="J166" s="286"/>
      <c r="K166" s="286"/>
      <c r="L166" s="286"/>
      <c r="M166" s="286"/>
      <c r="N166" s="286"/>
      <c r="O166" s="286"/>
      <c r="P166" s="286"/>
      <c r="Q166" s="286"/>
      <c r="R166" s="286"/>
      <c r="S166" s="286"/>
      <c r="T166" s="286"/>
      <c r="U166" s="286"/>
      <c r="V166" s="338">
        <f>V164+V165</f>
        <v>0</v>
      </c>
      <c r="W166" s="289"/>
      <c r="X166" s="5"/>
    </row>
    <row r="167" spans="1:256" ht="15.75" x14ac:dyDescent="0.25">
      <c r="A167" s="285"/>
      <c r="B167" s="286" t="s">
        <v>274</v>
      </c>
      <c r="C167" s="286"/>
      <c r="D167" s="286"/>
      <c r="E167" s="286"/>
      <c r="F167" s="286"/>
      <c r="G167" s="286"/>
      <c r="H167" s="286"/>
      <c r="I167" s="286"/>
      <c r="J167" s="286"/>
      <c r="K167" s="286"/>
      <c r="L167" s="286"/>
      <c r="M167" s="286"/>
      <c r="N167" s="286"/>
      <c r="O167" s="286"/>
      <c r="P167" s="286"/>
      <c r="Q167" s="286"/>
      <c r="R167" s="286"/>
      <c r="S167" s="286"/>
      <c r="T167" s="286"/>
      <c r="U167" s="286"/>
      <c r="V167" s="338">
        <v>0</v>
      </c>
      <c r="W167" s="289"/>
      <c r="X167" s="5"/>
    </row>
    <row r="168" spans="1:256" ht="16.5" thickBot="1" x14ac:dyDescent="0.3">
      <c r="A168" s="181"/>
      <c r="B168" s="212"/>
      <c r="C168" s="212"/>
      <c r="D168" s="212"/>
      <c r="E168" s="212"/>
      <c r="F168" s="212"/>
      <c r="G168" s="212"/>
      <c r="H168" s="212"/>
      <c r="I168" s="212"/>
      <c r="J168" s="212"/>
      <c r="K168" s="212"/>
      <c r="L168" s="212"/>
      <c r="M168" s="212"/>
      <c r="N168" s="212"/>
      <c r="O168" s="212"/>
      <c r="P168" s="212"/>
      <c r="Q168" s="212"/>
      <c r="R168" s="212"/>
      <c r="S168" s="212"/>
      <c r="T168" s="212"/>
      <c r="U168" s="212"/>
      <c r="V168" s="344"/>
      <c r="W168" s="212"/>
      <c r="X168" s="5"/>
    </row>
    <row r="169" spans="1:256" ht="15.75" x14ac:dyDescent="0.25">
      <c r="A169" s="179"/>
      <c r="B169" s="180"/>
      <c r="C169" s="180"/>
      <c r="D169" s="180"/>
      <c r="E169" s="180"/>
      <c r="F169" s="180"/>
      <c r="G169" s="180"/>
      <c r="H169" s="180"/>
      <c r="I169" s="180"/>
      <c r="J169" s="180"/>
      <c r="K169" s="180"/>
      <c r="L169" s="180"/>
      <c r="M169" s="180"/>
      <c r="N169" s="180"/>
      <c r="O169" s="180"/>
      <c r="P169" s="180"/>
      <c r="Q169" s="180"/>
      <c r="R169" s="180"/>
      <c r="S169" s="180"/>
      <c r="T169" s="180"/>
      <c r="U169" s="180"/>
      <c r="V169" s="201"/>
      <c r="W169" s="180"/>
      <c r="X169" s="5"/>
    </row>
    <row r="170" spans="1:256" s="158" customFormat="1" ht="15.75" x14ac:dyDescent="0.25">
      <c r="A170" s="181"/>
      <c r="B170" s="210" t="s">
        <v>230</v>
      </c>
      <c r="C170" s="212"/>
      <c r="D170" s="212"/>
      <c r="E170" s="212"/>
      <c r="F170" s="212"/>
      <c r="G170" s="212"/>
      <c r="H170" s="212"/>
      <c r="I170" s="212"/>
      <c r="J170" s="212"/>
      <c r="K170" s="212"/>
      <c r="L170" s="212"/>
      <c r="M170" s="212"/>
      <c r="N170" s="212"/>
      <c r="O170" s="212"/>
      <c r="P170" s="212"/>
      <c r="Q170" s="212"/>
      <c r="R170" s="212"/>
      <c r="S170" s="212"/>
      <c r="T170" s="212"/>
      <c r="U170" s="212"/>
      <c r="V170" s="213"/>
      <c r="W170" s="212"/>
      <c r="X170" s="5"/>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s="160" customFormat="1" ht="15.75" x14ac:dyDescent="0.25">
      <c r="A171" s="285"/>
      <c r="B171" s="286" t="s">
        <v>231</v>
      </c>
      <c r="C171" s="286"/>
      <c r="D171" s="286"/>
      <c r="E171" s="286"/>
      <c r="F171" s="286"/>
      <c r="G171" s="286"/>
      <c r="H171" s="286"/>
      <c r="I171" s="286"/>
      <c r="J171" s="286"/>
      <c r="K171" s="286"/>
      <c r="L171" s="286"/>
      <c r="M171" s="286"/>
      <c r="N171" s="286"/>
      <c r="O171" s="286"/>
      <c r="P171" s="286"/>
      <c r="Q171" s="286"/>
      <c r="R171" s="286"/>
      <c r="S171" s="286"/>
      <c r="T171" s="286"/>
      <c r="U171" s="286"/>
      <c r="V171" s="338">
        <f>+'Aug 08'!V173</f>
        <v>0</v>
      </c>
      <c r="W171" s="289"/>
      <c r="X171" s="5"/>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s="160" customFormat="1" ht="15.75" x14ac:dyDescent="0.25">
      <c r="A172" s="285"/>
      <c r="B172" s="286" t="s">
        <v>234</v>
      </c>
      <c r="C172" s="286"/>
      <c r="D172" s="286"/>
      <c r="E172" s="286"/>
      <c r="F172" s="286"/>
      <c r="G172" s="286"/>
      <c r="H172" s="286"/>
      <c r="I172" s="286"/>
      <c r="J172" s="286"/>
      <c r="K172" s="286"/>
      <c r="L172" s="286"/>
      <c r="M172" s="286"/>
      <c r="N172" s="286"/>
      <c r="O172" s="286"/>
      <c r="P172" s="286"/>
      <c r="Q172" s="286"/>
      <c r="R172" s="286"/>
      <c r="S172" s="286"/>
      <c r="T172" s="286"/>
      <c r="U172" s="286"/>
      <c r="V172" s="338">
        <f>+V94</f>
        <v>0</v>
      </c>
      <c r="W172" s="289"/>
      <c r="X172" s="5"/>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s="160" customFormat="1" ht="15.75" x14ac:dyDescent="0.25">
      <c r="A173" s="285"/>
      <c r="B173" s="286" t="s">
        <v>232</v>
      </c>
      <c r="C173" s="286"/>
      <c r="D173" s="286"/>
      <c r="E173" s="286"/>
      <c r="F173" s="286"/>
      <c r="G173" s="286"/>
      <c r="H173" s="286"/>
      <c r="I173" s="286"/>
      <c r="J173" s="286"/>
      <c r="K173" s="286"/>
      <c r="L173" s="286"/>
      <c r="M173" s="286"/>
      <c r="N173" s="286"/>
      <c r="O173" s="286"/>
      <c r="P173" s="286"/>
      <c r="Q173" s="286"/>
      <c r="R173" s="286"/>
      <c r="S173" s="286"/>
      <c r="T173" s="286"/>
      <c r="U173" s="286"/>
      <c r="V173" s="338">
        <f>+V171-V172</f>
        <v>0</v>
      </c>
      <c r="W173" s="289"/>
      <c r="X173" s="5"/>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s="163" customFormat="1" ht="16.5" thickBot="1" x14ac:dyDescent="0.3">
      <c r="A174" s="197"/>
      <c r="B174" s="212"/>
      <c r="C174" s="212"/>
      <c r="D174" s="212"/>
      <c r="E174" s="212"/>
      <c r="F174" s="212"/>
      <c r="G174" s="212"/>
      <c r="H174" s="212"/>
      <c r="I174" s="212"/>
      <c r="J174" s="212"/>
      <c r="K174" s="212"/>
      <c r="L174" s="212"/>
      <c r="M174" s="212"/>
      <c r="N174" s="212"/>
      <c r="O174" s="212"/>
      <c r="P174" s="212"/>
      <c r="Q174" s="212"/>
      <c r="R174" s="212"/>
      <c r="S174" s="212"/>
      <c r="T174" s="212"/>
      <c r="U174" s="212"/>
      <c r="V174" s="344"/>
      <c r="W174" s="212"/>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4" customFormat="1" ht="15.75" x14ac:dyDescent="0.25">
      <c r="A175" s="179"/>
      <c r="B175" s="180"/>
      <c r="C175" s="180"/>
      <c r="D175" s="180"/>
      <c r="E175" s="180"/>
      <c r="F175" s="180"/>
      <c r="G175" s="180"/>
      <c r="H175" s="180"/>
      <c r="I175" s="180"/>
      <c r="J175" s="180"/>
      <c r="K175" s="180"/>
      <c r="L175" s="180"/>
      <c r="M175" s="180"/>
      <c r="N175" s="180"/>
      <c r="O175" s="180"/>
      <c r="P175" s="180"/>
      <c r="Q175" s="180"/>
      <c r="R175" s="180"/>
      <c r="S175" s="180"/>
      <c r="T175" s="180"/>
      <c r="U175" s="180"/>
      <c r="V175" s="201"/>
      <c r="W175" s="180"/>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ht="15.75" x14ac:dyDescent="0.25">
      <c r="A176" s="181"/>
      <c r="B176" s="210" t="s">
        <v>56</v>
      </c>
      <c r="C176" s="183"/>
      <c r="D176" s="183"/>
      <c r="E176" s="183"/>
      <c r="F176" s="183"/>
      <c r="G176" s="183"/>
      <c r="H176" s="183"/>
      <c r="I176" s="183"/>
      <c r="J176" s="183"/>
      <c r="K176" s="183"/>
      <c r="L176" s="183"/>
      <c r="M176" s="183"/>
      <c r="N176" s="183"/>
      <c r="O176" s="183"/>
      <c r="P176" s="183"/>
      <c r="Q176" s="183"/>
      <c r="R176" s="183"/>
      <c r="S176" s="183"/>
      <c r="T176" s="183"/>
      <c r="U176" s="183"/>
      <c r="V176" s="202"/>
      <c r="W176" s="183"/>
      <c r="X176" s="5"/>
    </row>
    <row r="177" spans="1:24" ht="15.75" x14ac:dyDescent="0.25">
      <c r="A177" s="181"/>
      <c r="B177" s="191"/>
      <c r="C177" s="183"/>
      <c r="D177" s="183"/>
      <c r="E177" s="183"/>
      <c r="F177" s="183"/>
      <c r="G177" s="183"/>
      <c r="H177" s="183"/>
      <c r="I177" s="183"/>
      <c r="J177" s="183"/>
      <c r="K177" s="183"/>
      <c r="L177" s="183"/>
      <c r="M177" s="183"/>
      <c r="N177" s="183"/>
      <c r="O177" s="183"/>
      <c r="P177" s="183"/>
      <c r="Q177" s="183"/>
      <c r="R177" s="183"/>
      <c r="S177" s="183"/>
      <c r="T177" s="183"/>
      <c r="U177" s="183"/>
      <c r="V177" s="202"/>
      <c r="W177" s="183"/>
      <c r="X177" s="5"/>
    </row>
    <row r="178" spans="1:24" ht="15.75" x14ac:dyDescent="0.25">
      <c r="A178" s="285"/>
      <c r="B178" s="286" t="s">
        <v>57</v>
      </c>
      <c r="C178" s="286"/>
      <c r="D178" s="286"/>
      <c r="E178" s="286"/>
      <c r="F178" s="286"/>
      <c r="G178" s="286"/>
      <c r="H178" s="286"/>
      <c r="I178" s="286"/>
      <c r="J178" s="286"/>
      <c r="K178" s="286"/>
      <c r="L178" s="286"/>
      <c r="M178" s="286"/>
      <c r="N178" s="286"/>
      <c r="O178" s="286"/>
      <c r="P178" s="286"/>
      <c r="Q178" s="286"/>
      <c r="R178" s="286"/>
      <c r="S178" s="286"/>
      <c r="T178" s="286"/>
      <c r="U178" s="286"/>
      <c r="V178" s="338">
        <f>V71</f>
        <v>847171</v>
      </c>
      <c r="W178" s="289"/>
      <c r="X178" s="5"/>
    </row>
    <row r="179" spans="1:24" ht="15.75" x14ac:dyDescent="0.25">
      <c r="A179" s="285"/>
      <c r="B179" s="286" t="s">
        <v>58</v>
      </c>
      <c r="C179" s="286"/>
      <c r="D179" s="286"/>
      <c r="E179" s="286"/>
      <c r="F179" s="286"/>
      <c r="G179" s="286"/>
      <c r="H179" s="286"/>
      <c r="I179" s="286"/>
      <c r="J179" s="286"/>
      <c r="K179" s="286"/>
      <c r="L179" s="286"/>
      <c r="M179" s="286"/>
      <c r="N179" s="286"/>
      <c r="O179" s="286"/>
      <c r="P179" s="286"/>
      <c r="Q179" s="286"/>
      <c r="R179" s="286"/>
      <c r="S179" s="286"/>
      <c r="T179" s="286"/>
      <c r="U179" s="286"/>
      <c r="V179" s="338">
        <f>V84</f>
        <v>847171</v>
      </c>
      <c r="W179" s="289"/>
      <c r="X179" s="5"/>
    </row>
    <row r="180" spans="1:24" ht="16.5" thickBot="1" x14ac:dyDescent="0.3">
      <c r="A180" s="181"/>
      <c r="B180" s="212"/>
      <c r="C180" s="212"/>
      <c r="D180" s="212"/>
      <c r="E180" s="212"/>
      <c r="F180" s="212"/>
      <c r="G180" s="212"/>
      <c r="H180" s="212"/>
      <c r="I180" s="212"/>
      <c r="J180" s="212"/>
      <c r="K180" s="212"/>
      <c r="L180" s="212"/>
      <c r="M180" s="212"/>
      <c r="N180" s="212"/>
      <c r="O180" s="212"/>
      <c r="P180" s="212"/>
      <c r="Q180" s="212"/>
      <c r="R180" s="212"/>
      <c r="S180" s="212"/>
      <c r="T180" s="212"/>
      <c r="U180" s="212"/>
      <c r="V180" s="344"/>
      <c r="W180" s="212"/>
      <c r="X180" s="5"/>
    </row>
    <row r="181" spans="1:24" ht="15.75" x14ac:dyDescent="0.25">
      <c r="A181" s="179"/>
      <c r="B181" s="180"/>
      <c r="C181" s="180"/>
      <c r="D181" s="180"/>
      <c r="E181" s="180"/>
      <c r="F181" s="180"/>
      <c r="G181" s="180"/>
      <c r="H181" s="180"/>
      <c r="I181" s="180"/>
      <c r="J181" s="180"/>
      <c r="K181" s="180"/>
      <c r="L181" s="180"/>
      <c r="M181" s="180"/>
      <c r="N181" s="180"/>
      <c r="O181" s="180"/>
      <c r="P181" s="180"/>
      <c r="Q181" s="180"/>
      <c r="R181" s="180"/>
      <c r="S181" s="180"/>
      <c r="T181" s="180"/>
      <c r="U181" s="180"/>
      <c r="V181" s="201"/>
      <c r="W181" s="180"/>
      <c r="X181" s="5"/>
    </row>
    <row r="182" spans="1:24" ht="15.75" x14ac:dyDescent="0.25">
      <c r="A182" s="181"/>
      <c r="B182" s="210" t="s">
        <v>59</v>
      </c>
      <c r="C182" s="206"/>
      <c r="D182" s="206"/>
      <c r="E182" s="206"/>
      <c r="F182" s="206"/>
      <c r="G182" s="206"/>
      <c r="H182" s="214"/>
      <c r="I182" s="214"/>
      <c r="J182" s="214"/>
      <c r="K182" s="214"/>
      <c r="L182" s="214"/>
      <c r="M182" s="214"/>
      <c r="N182" s="214"/>
      <c r="O182" s="214"/>
      <c r="P182" s="214"/>
      <c r="Q182" s="214"/>
      <c r="R182" s="214"/>
      <c r="S182" s="214" t="s">
        <v>101</v>
      </c>
      <c r="T182" s="214" t="s">
        <v>176</v>
      </c>
      <c r="U182" s="185"/>
      <c r="V182" s="215" t="s">
        <v>114</v>
      </c>
      <c r="W182" s="216"/>
      <c r="X182" s="5"/>
    </row>
    <row r="183" spans="1:24" ht="15.75" x14ac:dyDescent="0.25">
      <c r="A183" s="285"/>
      <c r="B183" s="286" t="s">
        <v>60</v>
      </c>
      <c r="C183" s="286"/>
      <c r="D183" s="286"/>
      <c r="E183" s="286"/>
      <c r="F183" s="286"/>
      <c r="G183" s="286"/>
      <c r="H183" s="286"/>
      <c r="I183" s="286"/>
      <c r="J183" s="286"/>
      <c r="K183" s="286"/>
      <c r="L183" s="286"/>
      <c r="M183" s="286"/>
      <c r="N183" s="286"/>
      <c r="O183" s="286"/>
      <c r="P183" s="286"/>
      <c r="Q183" s="286"/>
      <c r="R183" s="286"/>
      <c r="S183" s="338">
        <f>+V34*0.16</f>
        <v>160181.28</v>
      </c>
      <c r="T183" s="325"/>
      <c r="U183" s="286"/>
      <c r="V183" s="338"/>
      <c r="W183" s="289"/>
      <c r="X183" s="5"/>
    </row>
    <row r="184" spans="1:24" ht="15.75" x14ac:dyDescent="0.25">
      <c r="A184" s="285"/>
      <c r="B184" s="286" t="s">
        <v>61</v>
      </c>
      <c r="C184" s="286"/>
      <c r="D184" s="286"/>
      <c r="E184" s="286"/>
      <c r="F184" s="286"/>
      <c r="G184" s="286"/>
      <c r="H184" s="286"/>
      <c r="I184" s="286"/>
      <c r="J184" s="286"/>
      <c r="K184" s="286"/>
      <c r="L184" s="286"/>
      <c r="M184" s="286"/>
      <c r="N184" s="286"/>
      <c r="O184" s="286"/>
      <c r="P184" s="286"/>
      <c r="Q184" s="286"/>
      <c r="R184" s="286"/>
      <c r="S184" s="338">
        <f>+'Nov 10'!S186</f>
        <v>10610</v>
      </c>
      <c r="T184" s="338">
        <f>+'Nov 10'!T186</f>
        <v>6090</v>
      </c>
      <c r="U184" s="286"/>
      <c r="V184" s="338">
        <f>S184+T184</f>
        <v>16700</v>
      </c>
      <c r="W184" s="289"/>
      <c r="X184" s="5"/>
    </row>
    <row r="185" spans="1:24" ht="15.75" x14ac:dyDescent="0.25">
      <c r="A185" s="285"/>
      <c r="B185" s="286" t="s">
        <v>62</v>
      </c>
      <c r="C185" s="286"/>
      <c r="D185" s="286"/>
      <c r="E185" s="286"/>
      <c r="F185" s="286"/>
      <c r="G185" s="286"/>
      <c r="H185" s="286"/>
      <c r="I185" s="286"/>
      <c r="J185" s="286"/>
      <c r="K185" s="286"/>
      <c r="L185" s="286"/>
      <c r="M185" s="286"/>
      <c r="N185" s="286"/>
      <c r="O185" s="286"/>
      <c r="P185" s="286"/>
      <c r="Q185" s="286"/>
      <c r="R185" s="286"/>
      <c r="S185" s="337">
        <v>39</v>
      </c>
      <c r="T185" s="337">
        <v>0</v>
      </c>
      <c r="U185" s="286"/>
      <c r="V185" s="338">
        <f>S185+T185</f>
        <v>39</v>
      </c>
      <c r="W185" s="289"/>
      <c r="X185" s="5"/>
    </row>
    <row r="186" spans="1:24" ht="15.75" x14ac:dyDescent="0.25">
      <c r="A186" s="285"/>
      <c r="B186" s="286" t="s">
        <v>63</v>
      </c>
      <c r="C186" s="286"/>
      <c r="D186" s="286"/>
      <c r="E186" s="286"/>
      <c r="F186" s="286"/>
      <c r="G186" s="286"/>
      <c r="H186" s="286"/>
      <c r="I186" s="286"/>
      <c r="J186" s="286"/>
      <c r="K186" s="286"/>
      <c r="L186" s="286"/>
      <c r="M186" s="286"/>
      <c r="N186" s="286"/>
      <c r="O186" s="286"/>
      <c r="P186" s="286"/>
      <c r="Q186" s="286"/>
      <c r="R186" s="286"/>
      <c r="S186" s="338">
        <f>S184+S185</f>
        <v>10649</v>
      </c>
      <c r="T186" s="338">
        <f>T185+T184</f>
        <v>6090</v>
      </c>
      <c r="U186" s="286"/>
      <c r="V186" s="338">
        <f>S186+T186</f>
        <v>16739</v>
      </c>
      <c r="W186" s="289"/>
      <c r="X186" s="5"/>
    </row>
    <row r="187" spans="1:24" ht="15.75" x14ac:dyDescent="0.25">
      <c r="A187" s="285"/>
      <c r="B187" s="286" t="s">
        <v>64</v>
      </c>
      <c r="C187" s="286"/>
      <c r="D187" s="286"/>
      <c r="E187" s="286"/>
      <c r="F187" s="286"/>
      <c r="G187" s="286"/>
      <c r="H187" s="286"/>
      <c r="I187" s="286"/>
      <c r="J187" s="286"/>
      <c r="K187" s="286"/>
      <c r="L187" s="286"/>
      <c r="M187" s="286"/>
      <c r="N187" s="286"/>
      <c r="O187" s="286"/>
      <c r="P187" s="286"/>
      <c r="Q187" s="286"/>
      <c r="R187" s="286"/>
      <c r="S187" s="338">
        <f>S183-S186-T186</f>
        <v>143442.28</v>
      </c>
      <c r="T187" s="325"/>
      <c r="U187" s="286"/>
      <c r="V187" s="338"/>
      <c r="W187" s="289"/>
      <c r="X187" s="5"/>
    </row>
    <row r="188" spans="1:24" ht="16.5" thickBot="1" x14ac:dyDescent="0.3">
      <c r="A188" s="181"/>
      <c r="B188" s="212"/>
      <c r="C188" s="212"/>
      <c r="D188" s="212"/>
      <c r="E188" s="212"/>
      <c r="F188" s="212"/>
      <c r="G188" s="212"/>
      <c r="H188" s="212"/>
      <c r="I188" s="212"/>
      <c r="J188" s="212"/>
      <c r="K188" s="212"/>
      <c r="L188" s="212"/>
      <c r="M188" s="212"/>
      <c r="N188" s="212"/>
      <c r="O188" s="212"/>
      <c r="P188" s="212"/>
      <c r="Q188" s="212"/>
      <c r="R188" s="212"/>
      <c r="S188" s="212"/>
      <c r="T188" s="212"/>
      <c r="U188" s="212"/>
      <c r="V188" s="344"/>
      <c r="W188" s="212"/>
      <c r="X188" s="5"/>
    </row>
    <row r="189" spans="1:24" ht="15.75" x14ac:dyDescent="0.25">
      <c r="A189" s="179"/>
      <c r="B189" s="180"/>
      <c r="C189" s="180"/>
      <c r="D189" s="180"/>
      <c r="E189" s="180"/>
      <c r="F189" s="180"/>
      <c r="G189" s="180"/>
      <c r="H189" s="180"/>
      <c r="I189" s="180"/>
      <c r="J189" s="180"/>
      <c r="K189" s="180"/>
      <c r="L189" s="180"/>
      <c r="M189" s="180"/>
      <c r="N189" s="180"/>
      <c r="O189" s="180"/>
      <c r="P189" s="180"/>
      <c r="Q189" s="180"/>
      <c r="R189" s="180"/>
      <c r="S189" s="180"/>
      <c r="T189" s="180"/>
      <c r="U189" s="180"/>
      <c r="V189" s="201"/>
      <c r="W189" s="180"/>
      <c r="X189" s="5"/>
    </row>
    <row r="190" spans="1:24" ht="15.75" x14ac:dyDescent="0.25">
      <c r="A190" s="181"/>
      <c r="B190" s="210" t="s">
        <v>65</v>
      </c>
      <c r="C190" s="183"/>
      <c r="D190" s="183"/>
      <c r="E190" s="183"/>
      <c r="F190" s="183"/>
      <c r="G190" s="183"/>
      <c r="H190" s="183"/>
      <c r="I190" s="183"/>
      <c r="J190" s="183"/>
      <c r="K190" s="183"/>
      <c r="L190" s="183"/>
      <c r="M190" s="183"/>
      <c r="N190" s="183"/>
      <c r="O190" s="183"/>
      <c r="P190" s="183"/>
      <c r="Q190" s="183"/>
      <c r="R190" s="183"/>
      <c r="S190" s="183"/>
      <c r="T190" s="183"/>
      <c r="U190" s="183"/>
      <c r="V190" s="217"/>
      <c r="W190" s="183"/>
      <c r="X190" s="5"/>
    </row>
    <row r="191" spans="1:24" ht="15.75" x14ac:dyDescent="0.25">
      <c r="A191" s="285"/>
      <c r="B191" s="286" t="s">
        <v>66</v>
      </c>
      <c r="C191" s="286"/>
      <c r="D191" s="286"/>
      <c r="E191" s="286"/>
      <c r="F191" s="286"/>
      <c r="G191" s="286"/>
      <c r="H191" s="286"/>
      <c r="I191" s="286"/>
      <c r="J191" s="286"/>
      <c r="K191" s="286"/>
      <c r="L191" s="286"/>
      <c r="M191" s="286"/>
      <c r="N191" s="286"/>
      <c r="O191" s="286"/>
      <c r="P191" s="286"/>
      <c r="Q191" s="286"/>
      <c r="R191" s="286"/>
      <c r="S191" s="286"/>
      <c r="T191" s="286"/>
      <c r="U191" s="286"/>
      <c r="V191" s="343">
        <f>(V101+V103+V104+V105+V106)/-(V107+V108)</f>
        <v>3.6793333333333331</v>
      </c>
      <c r="W191" s="289" t="s">
        <v>115</v>
      </c>
      <c r="X191" s="5"/>
    </row>
    <row r="192" spans="1:24" ht="15.75" x14ac:dyDescent="0.25">
      <c r="A192" s="285"/>
      <c r="B192" s="286" t="s">
        <v>67</v>
      </c>
      <c r="C192" s="286"/>
      <c r="D192" s="286"/>
      <c r="E192" s="286"/>
      <c r="F192" s="286"/>
      <c r="G192" s="286"/>
      <c r="H192" s="286"/>
      <c r="I192" s="286"/>
      <c r="J192" s="286"/>
      <c r="K192" s="286"/>
      <c r="L192" s="286"/>
      <c r="M192" s="286"/>
      <c r="N192" s="286"/>
      <c r="O192" s="286"/>
      <c r="P192" s="286"/>
      <c r="Q192" s="286"/>
      <c r="R192" s="286"/>
      <c r="S192" s="286"/>
      <c r="T192" s="286"/>
      <c r="U192" s="286"/>
      <c r="V192" s="347">
        <v>1.62</v>
      </c>
      <c r="W192" s="289" t="s">
        <v>115</v>
      </c>
      <c r="X192" s="5"/>
    </row>
    <row r="193" spans="1:24" ht="15.75" x14ac:dyDescent="0.25">
      <c r="A193" s="285"/>
      <c r="B193" s="286" t="s">
        <v>68</v>
      </c>
      <c r="C193" s="286"/>
      <c r="D193" s="286"/>
      <c r="E193" s="286"/>
      <c r="F193" s="286"/>
      <c r="G193" s="286"/>
      <c r="H193" s="286"/>
      <c r="I193" s="286"/>
      <c r="J193" s="286"/>
      <c r="K193" s="286"/>
      <c r="L193" s="286"/>
      <c r="M193" s="286"/>
      <c r="N193" s="286"/>
      <c r="O193" s="286"/>
      <c r="P193" s="286"/>
      <c r="Q193" s="286"/>
      <c r="R193" s="286"/>
      <c r="S193" s="286"/>
      <c r="T193" s="286"/>
      <c r="U193" s="286"/>
      <c r="V193" s="343">
        <f>(V101+V103+V104+V105+V106+V107+V108)/-(V109+V110)</f>
        <v>20.716494845360824</v>
      </c>
      <c r="W193" s="289" t="s">
        <v>115</v>
      </c>
      <c r="X193" s="5"/>
    </row>
    <row r="194" spans="1:24" ht="15.75" x14ac:dyDescent="0.25">
      <c r="A194" s="285"/>
      <c r="B194" s="286" t="s">
        <v>69</v>
      </c>
      <c r="C194" s="286"/>
      <c r="D194" s="286"/>
      <c r="E194" s="286"/>
      <c r="F194" s="286"/>
      <c r="G194" s="286"/>
      <c r="H194" s="286"/>
      <c r="I194" s="286"/>
      <c r="J194" s="286"/>
      <c r="K194" s="286"/>
      <c r="L194" s="286"/>
      <c r="M194" s="286"/>
      <c r="N194" s="286"/>
      <c r="O194" s="286"/>
      <c r="P194" s="286"/>
      <c r="Q194" s="286"/>
      <c r="R194" s="286"/>
      <c r="S194" s="286"/>
      <c r="T194" s="286"/>
      <c r="U194" s="286"/>
      <c r="V194" s="347">
        <v>6.29</v>
      </c>
      <c r="W194" s="289" t="s">
        <v>115</v>
      </c>
      <c r="X194" s="5"/>
    </row>
    <row r="195" spans="1:24" ht="15.75" x14ac:dyDescent="0.25">
      <c r="A195" s="285"/>
      <c r="B195" s="286" t="s">
        <v>198</v>
      </c>
      <c r="C195" s="286"/>
      <c r="D195" s="286"/>
      <c r="E195" s="286"/>
      <c r="F195" s="286"/>
      <c r="G195" s="286"/>
      <c r="H195" s="286"/>
      <c r="I195" s="286"/>
      <c r="J195" s="286"/>
      <c r="K195" s="286"/>
      <c r="L195" s="286"/>
      <c r="M195" s="286"/>
      <c r="N195" s="286"/>
      <c r="O195" s="286"/>
      <c r="P195" s="286"/>
      <c r="Q195" s="286"/>
      <c r="R195" s="286"/>
      <c r="S195" s="286"/>
      <c r="T195" s="286"/>
      <c r="U195" s="286"/>
      <c r="V195" s="343">
        <f>(V101+V103+V104+V105+V106+V107+V108+V109+V110)/-(V111)</f>
        <v>15.178571428571429</v>
      </c>
      <c r="W195" s="289" t="s">
        <v>115</v>
      </c>
      <c r="X195" s="5"/>
    </row>
    <row r="196" spans="1:24" ht="15.75" x14ac:dyDescent="0.25">
      <c r="A196" s="285"/>
      <c r="B196" s="286" t="s">
        <v>199</v>
      </c>
      <c r="C196" s="286"/>
      <c r="D196" s="286"/>
      <c r="E196" s="286"/>
      <c r="F196" s="286"/>
      <c r="G196" s="286"/>
      <c r="H196" s="286"/>
      <c r="I196" s="286"/>
      <c r="J196" s="286"/>
      <c r="K196" s="286"/>
      <c r="L196" s="286"/>
      <c r="M196" s="286"/>
      <c r="N196" s="286"/>
      <c r="O196" s="286"/>
      <c r="P196" s="286"/>
      <c r="Q196" s="286"/>
      <c r="R196" s="286"/>
      <c r="S196" s="286"/>
      <c r="T196" s="286"/>
      <c r="U196" s="286"/>
      <c r="V196" s="347">
        <v>4.83</v>
      </c>
      <c r="W196" s="289" t="s">
        <v>115</v>
      </c>
      <c r="X196" s="5"/>
    </row>
    <row r="197" spans="1:24" ht="15.75" x14ac:dyDescent="0.25">
      <c r="A197" s="285"/>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9"/>
      <c r="X197" s="5"/>
    </row>
    <row r="198" spans="1:24" ht="15.75" x14ac:dyDescent="0.25">
      <c r="A198" s="181"/>
      <c r="B198" s="346"/>
      <c r="C198" s="346"/>
      <c r="D198" s="346"/>
      <c r="E198" s="346"/>
      <c r="F198" s="346"/>
      <c r="G198" s="346"/>
      <c r="H198" s="346"/>
      <c r="I198" s="346"/>
      <c r="J198" s="346"/>
      <c r="K198" s="346"/>
      <c r="L198" s="346"/>
      <c r="M198" s="346"/>
      <c r="N198" s="346"/>
      <c r="O198" s="346"/>
      <c r="P198" s="346"/>
      <c r="Q198" s="346"/>
      <c r="R198" s="346"/>
      <c r="S198" s="346"/>
      <c r="T198" s="346"/>
      <c r="U198" s="346"/>
      <c r="V198" s="346"/>
      <c r="W198" s="346"/>
      <c r="X198" s="5"/>
    </row>
    <row r="199" spans="1:24" ht="15.75" x14ac:dyDescent="0.25">
      <c r="A199" s="181"/>
      <c r="B199" s="255"/>
      <c r="C199" s="255"/>
      <c r="D199" s="255"/>
      <c r="E199" s="255"/>
      <c r="F199" s="255"/>
      <c r="G199" s="255"/>
      <c r="H199" s="255"/>
      <c r="I199" s="255"/>
      <c r="J199" s="255"/>
      <c r="K199" s="255"/>
      <c r="L199" s="255"/>
      <c r="M199" s="255"/>
      <c r="N199" s="255"/>
      <c r="O199" s="255"/>
      <c r="P199" s="255"/>
      <c r="Q199" s="255"/>
      <c r="R199" s="255"/>
      <c r="S199" s="255"/>
      <c r="T199" s="255"/>
      <c r="U199" s="255"/>
      <c r="V199" s="255"/>
      <c r="W199" s="255"/>
      <c r="X199" s="5"/>
    </row>
    <row r="200" spans="1:24" ht="19.5" thickBot="1" x14ac:dyDescent="0.35">
      <c r="A200" s="197"/>
      <c r="B200" s="270" t="str">
        <f>B134</f>
        <v>PM15 INVESTOR REPORT QUARTER ENDING FEBRUARY 2011</v>
      </c>
      <c r="C200" s="271"/>
      <c r="D200" s="271"/>
      <c r="E200" s="271"/>
      <c r="F200" s="271"/>
      <c r="G200" s="271"/>
      <c r="H200" s="271"/>
      <c r="I200" s="271"/>
      <c r="J200" s="271"/>
      <c r="K200" s="271"/>
      <c r="L200" s="271"/>
      <c r="M200" s="271"/>
      <c r="N200" s="271"/>
      <c r="O200" s="271"/>
      <c r="P200" s="271"/>
      <c r="Q200" s="271"/>
      <c r="R200" s="271"/>
      <c r="S200" s="271"/>
      <c r="T200" s="271"/>
      <c r="U200" s="271"/>
      <c r="V200" s="271"/>
      <c r="W200" s="272"/>
      <c r="X200" s="5"/>
    </row>
    <row r="201" spans="1:24" ht="15.75" x14ac:dyDescent="0.25">
      <c r="A201" s="236"/>
      <c r="B201" s="237" t="s">
        <v>70</v>
      </c>
      <c r="C201" s="240"/>
      <c r="D201" s="240"/>
      <c r="E201" s="240"/>
      <c r="F201" s="240"/>
      <c r="G201" s="241"/>
      <c r="H201" s="241"/>
      <c r="I201" s="241"/>
      <c r="J201" s="241"/>
      <c r="K201" s="241"/>
      <c r="L201" s="241"/>
      <c r="M201" s="241"/>
      <c r="N201" s="241"/>
      <c r="O201" s="241"/>
      <c r="P201" s="241"/>
      <c r="Q201" s="241"/>
      <c r="R201" s="241"/>
      <c r="S201" s="241"/>
      <c r="T201" s="241">
        <v>40602</v>
      </c>
      <c r="U201" s="238"/>
      <c r="V201" s="238"/>
      <c r="W201" s="238"/>
      <c r="X201" s="5"/>
    </row>
    <row r="202" spans="1:24" ht="15.75" x14ac:dyDescent="0.25">
      <c r="A202" s="218"/>
      <c r="B202" s="219"/>
      <c r="C202" s="220"/>
      <c r="D202" s="220"/>
      <c r="E202" s="220"/>
      <c r="F202" s="220"/>
      <c r="G202" s="221"/>
      <c r="H202" s="221"/>
      <c r="I202" s="221"/>
      <c r="J202" s="221"/>
      <c r="K202" s="221"/>
      <c r="L202" s="221"/>
      <c r="M202" s="221"/>
      <c r="N202" s="221"/>
      <c r="O202" s="221"/>
      <c r="P202" s="221"/>
      <c r="Q202" s="221"/>
      <c r="R202" s="221"/>
      <c r="S202" s="221"/>
      <c r="T202" s="221"/>
      <c r="U202" s="183"/>
      <c r="V202" s="183"/>
      <c r="W202" s="183"/>
      <c r="X202" s="5"/>
    </row>
    <row r="203" spans="1:24" ht="15.75" x14ac:dyDescent="0.25">
      <c r="A203" s="350"/>
      <c r="B203" s="286" t="s">
        <v>71</v>
      </c>
      <c r="C203" s="351"/>
      <c r="D203" s="351"/>
      <c r="E203" s="351"/>
      <c r="F203" s="351"/>
      <c r="G203" s="330"/>
      <c r="H203" s="330"/>
      <c r="I203" s="330"/>
      <c r="J203" s="330"/>
      <c r="K203" s="330"/>
      <c r="L203" s="330"/>
      <c r="M203" s="330"/>
      <c r="N203" s="330"/>
      <c r="O203" s="330"/>
      <c r="P203" s="330"/>
      <c r="Q203" s="330"/>
      <c r="R203" s="330"/>
      <c r="S203" s="330"/>
      <c r="T203" s="321">
        <v>5.3830000000000003E-2</v>
      </c>
      <c r="U203" s="286"/>
      <c r="V203" s="286"/>
      <c r="W203" s="289"/>
      <c r="X203" s="5"/>
    </row>
    <row r="204" spans="1:24" ht="15.75" x14ac:dyDescent="0.25">
      <c r="A204" s="350"/>
      <c r="B204" s="286" t="s">
        <v>151</v>
      </c>
      <c r="C204" s="351"/>
      <c r="D204" s="351"/>
      <c r="E204" s="351"/>
      <c r="F204" s="351"/>
      <c r="G204" s="330"/>
      <c r="H204" s="330"/>
      <c r="I204" s="330"/>
      <c r="J204" s="330"/>
      <c r="K204" s="330"/>
      <c r="L204" s="330"/>
      <c r="M204" s="330"/>
      <c r="N204" s="330"/>
      <c r="O204" s="330"/>
      <c r="P204" s="330"/>
      <c r="Q204" s="330"/>
      <c r="R204" s="330"/>
      <c r="S204" s="330"/>
      <c r="T204" s="321">
        <v>6.25E-2</v>
      </c>
      <c r="U204" s="286"/>
      <c r="V204" s="286"/>
      <c r="W204" s="289"/>
      <c r="X204" s="5"/>
    </row>
    <row r="205" spans="1:24" ht="15.75" x14ac:dyDescent="0.25">
      <c r="A205" s="350"/>
      <c r="B205" s="286" t="s">
        <v>72</v>
      </c>
      <c r="C205" s="351"/>
      <c r="D205" s="351"/>
      <c r="E205" s="351"/>
      <c r="F205" s="351"/>
      <c r="G205" s="330"/>
      <c r="H205" s="330"/>
      <c r="I205" s="330"/>
      <c r="J205" s="330"/>
      <c r="K205" s="330"/>
      <c r="L205" s="330"/>
      <c r="M205" s="330"/>
      <c r="N205" s="330"/>
      <c r="O205" s="330"/>
      <c r="P205" s="330"/>
      <c r="Q205" s="330"/>
      <c r="R205" s="330"/>
      <c r="S205" s="330"/>
      <c r="T205" s="321">
        <f>T203-T204</f>
        <v>-8.6699999999999972E-3</v>
      </c>
      <c r="U205" s="286"/>
      <c r="V205" s="286"/>
      <c r="W205" s="289"/>
      <c r="X205" s="5"/>
    </row>
    <row r="206" spans="1:24" ht="15.75" x14ac:dyDescent="0.25">
      <c r="A206" s="350"/>
      <c r="B206" s="286" t="s">
        <v>73</v>
      </c>
      <c r="C206" s="351"/>
      <c r="D206" s="351"/>
      <c r="E206" s="351"/>
      <c r="F206" s="351"/>
      <c r="G206" s="330"/>
      <c r="H206" s="330"/>
      <c r="I206" s="330"/>
      <c r="J206" s="330"/>
      <c r="K206" s="330"/>
      <c r="L206" s="330"/>
      <c r="M206" s="330"/>
      <c r="N206" s="330"/>
      <c r="O206" s="330"/>
      <c r="P206" s="330"/>
      <c r="Q206" s="330"/>
      <c r="R206" s="330"/>
      <c r="S206" s="330"/>
      <c r="T206" s="321">
        <v>2.741E-2</v>
      </c>
      <c r="U206" s="286"/>
      <c r="V206" s="286"/>
      <c r="W206" s="289"/>
      <c r="X206" s="5"/>
    </row>
    <row r="207" spans="1:24" ht="15.75" x14ac:dyDescent="0.25">
      <c r="A207" s="350"/>
      <c r="B207" s="286" t="s">
        <v>218</v>
      </c>
      <c r="C207" s="351"/>
      <c r="D207" s="351"/>
      <c r="E207" s="351"/>
      <c r="F207" s="351"/>
      <c r="G207" s="330"/>
      <c r="H207" s="330"/>
      <c r="I207" s="330"/>
      <c r="J207" s="330"/>
      <c r="K207" s="330"/>
      <c r="L207" s="330"/>
      <c r="M207" s="330"/>
      <c r="N207" s="330"/>
      <c r="O207" s="330"/>
      <c r="P207" s="330"/>
      <c r="Q207" s="330"/>
      <c r="R207" s="330"/>
      <c r="S207" s="330"/>
      <c r="T207" s="321">
        <f>V43</f>
        <v>9.2825763111275585E-3</v>
      </c>
      <c r="U207" s="286"/>
      <c r="V207" s="286"/>
      <c r="W207" s="289"/>
      <c r="X207" s="5"/>
    </row>
    <row r="208" spans="1:24" ht="15.75" x14ac:dyDescent="0.25">
      <c r="A208" s="350"/>
      <c r="B208" s="286" t="s">
        <v>74</v>
      </c>
      <c r="C208" s="351"/>
      <c r="D208" s="351"/>
      <c r="E208" s="351"/>
      <c r="F208" s="351"/>
      <c r="G208" s="330"/>
      <c r="H208" s="330"/>
      <c r="I208" s="330"/>
      <c r="J208" s="330"/>
      <c r="K208" s="330"/>
      <c r="L208" s="330"/>
      <c r="M208" s="330"/>
      <c r="N208" s="330"/>
      <c r="O208" s="330"/>
      <c r="P208" s="330"/>
      <c r="Q208" s="330"/>
      <c r="R208" s="330"/>
      <c r="S208" s="330"/>
      <c r="T208" s="321">
        <f>T206-T207</f>
        <v>1.8127423688872442E-2</v>
      </c>
      <c r="U208" s="286"/>
      <c r="V208" s="286"/>
      <c r="W208" s="289"/>
      <c r="X208" s="5"/>
    </row>
    <row r="209" spans="1:24" ht="15.75" x14ac:dyDescent="0.25">
      <c r="A209" s="350"/>
      <c r="B209" s="286" t="s">
        <v>227</v>
      </c>
      <c r="C209" s="351"/>
      <c r="D209" s="351"/>
      <c r="E209" s="351"/>
      <c r="F209" s="351"/>
      <c r="G209" s="330"/>
      <c r="H209" s="330"/>
      <c r="I209" s="330"/>
      <c r="J209" s="330"/>
      <c r="K209" s="330"/>
      <c r="L209" s="330"/>
      <c r="M209" s="330"/>
      <c r="N209" s="330"/>
      <c r="O209" s="330"/>
      <c r="P209" s="330"/>
      <c r="Q209" s="330"/>
      <c r="R209" s="330"/>
      <c r="S209" s="330"/>
      <c r="T209" s="321">
        <f>V101/N71</f>
        <v>7.2776318357882161E-3</v>
      </c>
      <c r="U209" s="286"/>
      <c r="V209" s="286"/>
      <c r="W209" s="289"/>
      <c r="X209" s="5"/>
    </row>
    <row r="210" spans="1:24" ht="15.75" x14ac:dyDescent="0.25">
      <c r="A210" s="350"/>
      <c r="B210" s="286" t="s">
        <v>207</v>
      </c>
      <c r="C210" s="351"/>
      <c r="D210" s="351"/>
      <c r="E210" s="351"/>
      <c r="F210" s="351"/>
      <c r="G210" s="330"/>
      <c r="H210" s="330"/>
      <c r="I210" s="330"/>
      <c r="J210" s="330"/>
      <c r="K210" s="330"/>
      <c r="L210" s="330"/>
      <c r="M210" s="330"/>
      <c r="N210" s="330"/>
      <c r="O210" s="330"/>
      <c r="P210" s="330"/>
      <c r="Q210" s="330"/>
      <c r="R210" s="330"/>
      <c r="S210" s="330"/>
      <c r="T210" s="352">
        <v>51105</v>
      </c>
      <c r="U210" s="286"/>
      <c r="V210" s="286"/>
      <c r="W210" s="289"/>
      <c r="X210" s="5"/>
    </row>
    <row r="211" spans="1:24" ht="15.75" x14ac:dyDescent="0.25">
      <c r="A211" s="350"/>
      <c r="B211" s="286" t="s">
        <v>208</v>
      </c>
      <c r="C211" s="351"/>
      <c r="D211" s="351"/>
      <c r="E211" s="351"/>
      <c r="F211" s="351"/>
      <c r="G211" s="330"/>
      <c r="H211" s="330"/>
      <c r="I211" s="330"/>
      <c r="J211" s="330"/>
      <c r="K211" s="330"/>
      <c r="L211" s="330"/>
      <c r="M211" s="330"/>
      <c r="N211" s="330"/>
      <c r="O211" s="330"/>
      <c r="P211" s="330"/>
      <c r="Q211" s="330"/>
      <c r="R211" s="330"/>
      <c r="S211" s="330"/>
      <c r="T211" s="352">
        <v>51105</v>
      </c>
      <c r="U211" s="286"/>
      <c r="V211" s="286"/>
      <c r="W211" s="289"/>
      <c r="X211" s="5"/>
    </row>
    <row r="212" spans="1:24" ht="15.75" x14ac:dyDescent="0.25">
      <c r="A212" s="350"/>
      <c r="B212" s="286" t="s">
        <v>209</v>
      </c>
      <c r="C212" s="351"/>
      <c r="D212" s="351"/>
      <c r="E212" s="351"/>
      <c r="F212" s="351"/>
      <c r="G212" s="330"/>
      <c r="H212" s="330"/>
      <c r="I212" s="330"/>
      <c r="J212" s="330"/>
      <c r="K212" s="330"/>
      <c r="L212" s="330"/>
      <c r="M212" s="330"/>
      <c r="N212" s="330"/>
      <c r="O212" s="330"/>
      <c r="P212" s="330"/>
      <c r="Q212" s="330"/>
      <c r="R212" s="330"/>
      <c r="S212" s="330"/>
      <c r="T212" s="352">
        <v>51105</v>
      </c>
      <c r="U212" s="286"/>
      <c r="V212" s="286"/>
      <c r="W212" s="289"/>
      <c r="X212" s="5"/>
    </row>
    <row r="213" spans="1:24" ht="15.75" x14ac:dyDescent="0.25">
      <c r="A213" s="350"/>
      <c r="B213" s="286" t="s">
        <v>75</v>
      </c>
      <c r="C213" s="351"/>
      <c r="D213" s="351"/>
      <c r="E213" s="351"/>
      <c r="F213" s="351"/>
      <c r="G213" s="330"/>
      <c r="H213" s="330"/>
      <c r="I213" s="330"/>
      <c r="J213" s="330"/>
      <c r="K213" s="330"/>
      <c r="L213" s="330"/>
      <c r="M213" s="330"/>
      <c r="N213" s="330"/>
      <c r="O213" s="330"/>
      <c r="P213" s="330"/>
      <c r="Q213" s="330"/>
      <c r="R213" s="330"/>
      <c r="S213" s="330"/>
      <c r="T213" s="327">
        <v>21.06</v>
      </c>
      <c r="U213" s="286" t="s">
        <v>110</v>
      </c>
      <c r="V213" s="286"/>
      <c r="W213" s="289"/>
      <c r="X213" s="5"/>
    </row>
    <row r="214" spans="1:24" ht="15.75" x14ac:dyDescent="0.25">
      <c r="A214" s="350"/>
      <c r="B214" s="286" t="s">
        <v>76</v>
      </c>
      <c r="C214" s="351"/>
      <c r="D214" s="351"/>
      <c r="E214" s="351"/>
      <c r="F214" s="351"/>
      <c r="G214" s="330"/>
      <c r="H214" s="330"/>
      <c r="I214" s="330"/>
      <c r="J214" s="330"/>
      <c r="K214" s="330"/>
      <c r="L214" s="330"/>
      <c r="M214" s="330"/>
      <c r="N214" s="330"/>
      <c r="O214" s="330"/>
      <c r="P214" s="330"/>
      <c r="Q214" s="330"/>
      <c r="R214" s="330"/>
      <c r="S214" s="330"/>
      <c r="T214" s="327">
        <v>17.59</v>
      </c>
      <c r="U214" s="286" t="s">
        <v>110</v>
      </c>
      <c r="V214" s="286"/>
      <c r="W214" s="289"/>
      <c r="X214" s="5"/>
    </row>
    <row r="215" spans="1:24" ht="15.75" x14ac:dyDescent="0.25">
      <c r="A215" s="350"/>
      <c r="B215" s="286" t="s">
        <v>77</v>
      </c>
      <c r="C215" s="351"/>
      <c r="D215" s="351"/>
      <c r="E215" s="351"/>
      <c r="F215" s="351"/>
      <c r="G215" s="330"/>
      <c r="H215" s="330"/>
      <c r="I215" s="330"/>
      <c r="J215" s="330"/>
      <c r="K215" s="330"/>
      <c r="L215" s="330"/>
      <c r="M215" s="330"/>
      <c r="N215" s="330"/>
      <c r="O215" s="330"/>
      <c r="P215" s="330"/>
      <c r="Q215" s="330"/>
      <c r="R215" s="330"/>
      <c r="S215" s="330"/>
      <c r="T215" s="321">
        <f>+P68/N68</f>
        <v>3.8757593360410343E-3</v>
      </c>
      <c r="U215" s="286"/>
      <c r="V215" s="286"/>
      <c r="W215" s="289"/>
      <c r="X215" s="5"/>
    </row>
    <row r="216" spans="1:24" ht="15.75" x14ac:dyDescent="0.25">
      <c r="A216" s="350"/>
      <c r="B216" s="286" t="s">
        <v>78</v>
      </c>
      <c r="C216" s="351"/>
      <c r="D216" s="351"/>
      <c r="E216" s="351"/>
      <c r="F216" s="351"/>
      <c r="G216" s="330"/>
      <c r="H216" s="330"/>
      <c r="I216" s="330"/>
      <c r="J216" s="330"/>
      <c r="K216" s="330"/>
      <c r="L216" s="330"/>
      <c r="M216" s="330"/>
      <c r="N216" s="330"/>
      <c r="O216" s="330"/>
      <c r="P216" s="330"/>
      <c r="Q216" s="330"/>
      <c r="R216" s="330"/>
      <c r="S216" s="330"/>
      <c r="T216" s="321">
        <v>4.8300000000000003E-2</v>
      </c>
      <c r="U216" s="286"/>
      <c r="V216" s="286"/>
      <c r="W216" s="289"/>
      <c r="X216" s="5"/>
    </row>
    <row r="217" spans="1:24" ht="15.75" x14ac:dyDescent="0.25">
      <c r="A217" s="218"/>
      <c r="B217" s="348"/>
      <c r="C217" s="348"/>
      <c r="D217" s="348"/>
      <c r="E217" s="348"/>
      <c r="F217" s="348"/>
      <c r="G217" s="212"/>
      <c r="H217" s="212"/>
      <c r="I217" s="212"/>
      <c r="J217" s="212"/>
      <c r="K217" s="212"/>
      <c r="L217" s="212"/>
      <c r="M217" s="212"/>
      <c r="N217" s="212"/>
      <c r="O217" s="212"/>
      <c r="P217" s="212"/>
      <c r="Q217" s="212"/>
      <c r="R217" s="212"/>
      <c r="S217" s="212"/>
      <c r="T217" s="344"/>
      <c r="U217" s="212"/>
      <c r="V217" s="349"/>
      <c r="W217" s="212"/>
      <c r="X217" s="5"/>
    </row>
    <row r="218" spans="1:24" ht="15.75" x14ac:dyDescent="0.25">
      <c r="A218" s="242"/>
      <c r="B218" s="232" t="s">
        <v>79</v>
      </c>
      <c r="C218" s="233"/>
      <c r="D218" s="233"/>
      <c r="E218" s="233"/>
      <c r="F218" s="243"/>
      <c r="G218" s="233"/>
      <c r="H218" s="233"/>
      <c r="I218" s="233"/>
      <c r="J218" s="233"/>
      <c r="K218" s="233"/>
      <c r="L218" s="233"/>
      <c r="M218" s="233"/>
      <c r="N218" s="233"/>
      <c r="O218" s="233"/>
      <c r="P218" s="233"/>
      <c r="Q218" s="233"/>
      <c r="R218" s="233"/>
      <c r="S218" s="233" t="s">
        <v>102</v>
      </c>
      <c r="T218" s="243" t="s">
        <v>108</v>
      </c>
      <c r="U218" s="225"/>
      <c r="V218" s="225"/>
      <c r="W218" s="225"/>
      <c r="X218" s="5"/>
    </row>
    <row r="219" spans="1:24" ht="15.75" x14ac:dyDescent="0.25">
      <c r="A219" s="222"/>
      <c r="B219" s="250" t="s">
        <v>80</v>
      </c>
      <c r="C219" s="249"/>
      <c r="D219" s="249"/>
      <c r="E219" s="249"/>
      <c r="F219" s="250"/>
      <c r="G219" s="250"/>
      <c r="H219" s="268"/>
      <c r="I219" s="268"/>
      <c r="J219" s="268"/>
      <c r="K219" s="268"/>
      <c r="L219" s="268"/>
      <c r="M219" s="268"/>
      <c r="N219" s="268"/>
      <c r="O219" s="268"/>
      <c r="P219" s="268"/>
      <c r="Q219" s="268"/>
      <c r="R219" s="268"/>
      <c r="S219" s="268">
        <v>1</v>
      </c>
      <c r="T219" s="269">
        <v>201</v>
      </c>
      <c r="U219" s="250"/>
      <c r="V219" s="266"/>
      <c r="W219" s="223"/>
      <c r="X219" s="5"/>
    </row>
    <row r="220" spans="1:24" ht="15.75" x14ac:dyDescent="0.25">
      <c r="A220" s="358"/>
      <c r="B220" s="286" t="s">
        <v>145</v>
      </c>
      <c r="C220" s="337"/>
      <c r="D220" s="337"/>
      <c r="E220" s="337"/>
      <c r="F220" s="286"/>
      <c r="G220" s="286"/>
      <c r="H220" s="296"/>
      <c r="I220" s="296"/>
      <c r="J220" s="296"/>
      <c r="K220" s="296"/>
      <c r="L220" s="296"/>
      <c r="M220" s="296"/>
      <c r="N220" s="296"/>
      <c r="O220" s="296"/>
      <c r="P220" s="296"/>
      <c r="Q220" s="296"/>
      <c r="R220" s="296"/>
      <c r="S220" s="359">
        <f>+R272</f>
        <v>142</v>
      </c>
      <c r="T220" s="360">
        <f>+T272</f>
        <v>22830</v>
      </c>
      <c r="U220" s="286"/>
      <c r="V220" s="361"/>
      <c r="W220" s="362"/>
      <c r="X220" s="5"/>
    </row>
    <row r="221" spans="1:24" ht="15.75" x14ac:dyDescent="0.25">
      <c r="A221" s="358"/>
      <c r="B221" s="286" t="s">
        <v>81</v>
      </c>
      <c r="C221" s="337"/>
      <c r="D221" s="337"/>
      <c r="E221" s="337"/>
      <c r="F221" s="286"/>
      <c r="G221" s="286"/>
      <c r="H221" s="296"/>
      <c r="I221" s="296"/>
      <c r="J221" s="296"/>
      <c r="K221" s="296"/>
      <c r="L221" s="296"/>
      <c r="M221" s="296"/>
      <c r="N221" s="296"/>
      <c r="O221" s="296"/>
      <c r="P221" s="296"/>
      <c r="Q221" s="296"/>
      <c r="R221" s="296"/>
      <c r="S221" s="359">
        <v>0</v>
      </c>
      <c r="T221" s="360">
        <v>0</v>
      </c>
      <c r="U221" s="286"/>
      <c r="V221" s="361"/>
      <c r="W221" s="362"/>
      <c r="X221" s="5"/>
    </row>
    <row r="222" spans="1:24" ht="15.75" x14ac:dyDescent="0.25">
      <c r="A222" s="358"/>
      <c r="B222" s="313" t="s">
        <v>82</v>
      </c>
      <c r="C222" s="363"/>
      <c r="D222" s="363"/>
      <c r="E222" s="363"/>
      <c r="F222" s="314"/>
      <c r="G222" s="314"/>
      <c r="H222" s="314"/>
      <c r="I222" s="314"/>
      <c r="J222" s="314"/>
      <c r="K222" s="314"/>
      <c r="L222" s="314"/>
      <c r="M222" s="314"/>
      <c r="N222" s="314"/>
      <c r="O222" s="314"/>
      <c r="P222" s="314"/>
      <c r="Q222" s="314"/>
      <c r="R222" s="314"/>
      <c r="S222" s="286"/>
      <c r="T222" s="360">
        <v>0</v>
      </c>
      <c r="U222" s="314"/>
      <c r="V222" s="364"/>
      <c r="W222" s="362"/>
      <c r="X222" s="5"/>
    </row>
    <row r="223" spans="1:24" ht="15.75" x14ac:dyDescent="0.25">
      <c r="A223" s="358"/>
      <c r="B223" s="313" t="s">
        <v>228</v>
      </c>
      <c r="C223" s="363"/>
      <c r="D223" s="363"/>
      <c r="E223" s="363"/>
      <c r="F223" s="314"/>
      <c r="G223" s="314"/>
      <c r="H223" s="314"/>
      <c r="I223" s="314"/>
      <c r="J223" s="314"/>
      <c r="K223" s="314"/>
      <c r="L223" s="314"/>
      <c r="M223" s="314"/>
      <c r="N223" s="314"/>
      <c r="O223" s="314"/>
      <c r="P223" s="314"/>
      <c r="Q223" s="314"/>
      <c r="R223" s="314"/>
      <c r="S223" s="286"/>
      <c r="T223" s="360">
        <f>+N81</f>
        <v>0</v>
      </c>
      <c r="U223" s="314"/>
      <c r="V223" s="364"/>
      <c r="W223" s="362"/>
      <c r="X223" s="5"/>
    </row>
    <row r="224" spans="1:24" ht="15.75" x14ac:dyDescent="0.25">
      <c r="A224" s="365"/>
      <c r="B224" s="313" t="s">
        <v>83</v>
      </c>
      <c r="C224" s="366"/>
      <c r="D224" s="366"/>
      <c r="E224" s="366"/>
      <c r="F224" s="366"/>
      <c r="G224" s="314"/>
      <c r="H224" s="314"/>
      <c r="I224" s="314"/>
      <c r="J224" s="314"/>
      <c r="K224" s="314"/>
      <c r="L224" s="314"/>
      <c r="M224" s="314"/>
      <c r="N224" s="314"/>
      <c r="O224" s="314"/>
      <c r="P224" s="314"/>
      <c r="Q224" s="314"/>
      <c r="R224" s="314"/>
      <c r="S224" s="286"/>
      <c r="T224" s="360"/>
      <c r="U224" s="314"/>
      <c r="V224" s="364"/>
      <c r="W224" s="367"/>
      <c r="X224" s="5"/>
    </row>
    <row r="225" spans="1:25" ht="15.75" x14ac:dyDescent="0.25">
      <c r="A225" s="365"/>
      <c r="B225" s="291" t="s">
        <v>84</v>
      </c>
      <c r="C225" s="366"/>
      <c r="D225" s="366"/>
      <c r="E225" s="366"/>
      <c r="F225" s="366"/>
      <c r="G225" s="314"/>
      <c r="H225" s="314"/>
      <c r="I225" s="314"/>
      <c r="J225" s="314"/>
      <c r="K225" s="314"/>
      <c r="L225" s="314"/>
      <c r="M225" s="314"/>
      <c r="N225" s="314"/>
      <c r="O225" s="314"/>
      <c r="P225" s="314"/>
      <c r="Q225" s="314"/>
      <c r="R225" s="314"/>
      <c r="S225" s="296"/>
      <c r="T225" s="360">
        <f>V163</f>
        <v>509</v>
      </c>
      <c r="U225" s="314"/>
      <c r="V225" s="364"/>
      <c r="W225" s="367"/>
      <c r="X225" s="5"/>
    </row>
    <row r="226" spans="1:25" ht="15.75" x14ac:dyDescent="0.25">
      <c r="A226" s="358"/>
      <c r="B226" s="286" t="s">
        <v>85</v>
      </c>
      <c r="C226" s="363"/>
      <c r="D226" s="363"/>
      <c r="E226" s="363"/>
      <c r="F226" s="363"/>
      <c r="G226" s="314"/>
      <c r="H226" s="314"/>
      <c r="I226" s="314"/>
      <c r="J226" s="314"/>
      <c r="K226" s="314"/>
      <c r="L226" s="314"/>
      <c r="M226" s="314"/>
      <c r="N226" s="314"/>
      <c r="O226" s="314"/>
      <c r="P226" s="314"/>
      <c r="Q226" s="314"/>
      <c r="R226" s="314"/>
      <c r="S226" s="296"/>
      <c r="T226" s="360">
        <f>'Nov 10'!T226+T225</f>
        <v>2611</v>
      </c>
      <c r="U226" s="314"/>
      <c r="V226" s="364"/>
      <c r="W226" s="367"/>
      <c r="X226" s="5"/>
    </row>
    <row r="227" spans="1:25" ht="15.75" x14ac:dyDescent="0.25">
      <c r="A227" s="365"/>
      <c r="B227" s="313" t="s">
        <v>285</v>
      </c>
      <c r="C227" s="366"/>
      <c r="D227" s="366"/>
      <c r="E227" s="366"/>
      <c r="F227" s="366"/>
      <c r="G227" s="314"/>
      <c r="H227" s="314"/>
      <c r="I227" s="314"/>
      <c r="J227" s="314"/>
      <c r="K227" s="314"/>
      <c r="L227" s="314"/>
      <c r="M227" s="314"/>
      <c r="N227" s="314"/>
      <c r="O227" s="314"/>
      <c r="P227" s="314"/>
      <c r="Q227" s="314"/>
      <c r="R227" s="314"/>
      <c r="S227" s="296"/>
      <c r="T227" s="360"/>
      <c r="U227" s="314"/>
      <c r="V227" s="364"/>
      <c r="W227" s="367"/>
      <c r="X227" s="5"/>
    </row>
    <row r="228" spans="1:25" ht="15.75" x14ac:dyDescent="0.25">
      <c r="A228" s="365"/>
      <c r="B228" s="286" t="s">
        <v>282</v>
      </c>
      <c r="C228" s="366"/>
      <c r="D228" s="366"/>
      <c r="E228" s="366"/>
      <c r="F228" s="366"/>
      <c r="G228" s="314"/>
      <c r="H228" s="314"/>
      <c r="I228" s="314"/>
      <c r="J228" s="314"/>
      <c r="K228" s="314"/>
      <c r="L228" s="314"/>
      <c r="M228" s="314"/>
      <c r="N228" s="314"/>
      <c r="O228" s="314"/>
      <c r="P228" s="314"/>
      <c r="Q228" s="314"/>
      <c r="R228" s="314"/>
      <c r="S228" s="296">
        <v>0</v>
      </c>
      <c r="T228" s="360">
        <v>0</v>
      </c>
      <c r="U228" s="314"/>
      <c r="V228" s="364"/>
      <c r="W228" s="367"/>
      <c r="X228" s="5"/>
    </row>
    <row r="229" spans="1:25" ht="15.75" x14ac:dyDescent="0.25">
      <c r="A229" s="358"/>
      <c r="B229" s="286" t="s">
        <v>86</v>
      </c>
      <c r="C229" s="368"/>
      <c r="D229" s="368"/>
      <c r="E229" s="368"/>
      <c r="F229" s="369"/>
      <c r="G229" s="314"/>
      <c r="H229" s="314"/>
      <c r="I229" s="314"/>
      <c r="J229" s="314"/>
      <c r="K229" s="314"/>
      <c r="L229" s="314"/>
      <c r="M229" s="314"/>
      <c r="N229" s="314"/>
      <c r="O229" s="314"/>
      <c r="P229" s="314"/>
      <c r="Q229" s="314"/>
      <c r="R229" s="314"/>
      <c r="S229" s="286"/>
      <c r="T229" s="370">
        <v>0</v>
      </c>
      <c r="U229" s="314"/>
      <c r="V229" s="364"/>
      <c r="W229" s="367"/>
      <c r="X229" s="5"/>
    </row>
    <row r="230" spans="1:25" ht="15.75" x14ac:dyDescent="0.25">
      <c r="A230" s="358"/>
      <c r="B230" s="286" t="s">
        <v>87</v>
      </c>
      <c r="C230" s="368"/>
      <c r="D230" s="368"/>
      <c r="E230" s="368"/>
      <c r="F230" s="369"/>
      <c r="G230" s="314"/>
      <c r="H230" s="314"/>
      <c r="I230" s="314"/>
      <c r="J230" s="314"/>
      <c r="K230" s="314"/>
      <c r="L230" s="314"/>
      <c r="M230" s="314"/>
      <c r="N230" s="314"/>
      <c r="O230" s="314"/>
      <c r="P230" s="314"/>
      <c r="Q230" s="314"/>
      <c r="R230" s="314"/>
      <c r="S230" s="286"/>
      <c r="T230" s="370">
        <v>0</v>
      </c>
      <c r="U230" s="314"/>
      <c r="V230" s="364"/>
      <c r="W230" s="367"/>
      <c r="X230" s="5"/>
    </row>
    <row r="231" spans="1:25" ht="15.75" x14ac:dyDescent="0.25">
      <c r="A231" s="358"/>
      <c r="B231" s="313" t="s">
        <v>216</v>
      </c>
      <c r="C231" s="368"/>
      <c r="D231" s="368"/>
      <c r="E231" s="368"/>
      <c r="F231" s="369"/>
      <c r="G231" s="314"/>
      <c r="H231" s="314"/>
      <c r="I231" s="314"/>
      <c r="J231" s="314"/>
      <c r="K231" s="314"/>
      <c r="L231" s="314"/>
      <c r="M231" s="314"/>
      <c r="N231" s="314"/>
      <c r="O231" s="314"/>
      <c r="P231" s="314"/>
      <c r="Q231" s="314"/>
      <c r="R231" s="314"/>
      <c r="S231" s="286"/>
      <c r="T231" s="371"/>
      <c r="U231" s="314"/>
      <c r="V231" s="364"/>
      <c r="W231" s="367"/>
      <c r="X231" s="5"/>
    </row>
    <row r="232" spans="1:25" ht="15.75" x14ac:dyDescent="0.25">
      <c r="A232" s="358"/>
      <c r="B232" s="286" t="s">
        <v>282</v>
      </c>
      <c r="C232" s="368"/>
      <c r="D232" s="368"/>
      <c r="E232" s="368"/>
      <c r="F232" s="369"/>
      <c r="G232" s="314"/>
      <c r="H232" s="314"/>
      <c r="I232" s="314"/>
      <c r="J232" s="314"/>
      <c r="K232" s="314"/>
      <c r="L232" s="314"/>
      <c r="M232" s="314"/>
      <c r="N232" s="314"/>
      <c r="O232" s="314"/>
      <c r="P232" s="314"/>
      <c r="Q232" s="314"/>
      <c r="R232" s="314"/>
      <c r="S232" s="296">
        <v>4</v>
      </c>
      <c r="T232" s="360">
        <v>1021</v>
      </c>
      <c r="U232" s="314"/>
      <c r="V232" s="364"/>
      <c r="W232" s="367"/>
      <c r="X232" s="5"/>
    </row>
    <row r="233" spans="1:25" ht="15.75" x14ac:dyDescent="0.25">
      <c r="A233" s="358"/>
      <c r="B233" s="286" t="s">
        <v>217</v>
      </c>
      <c r="C233" s="368"/>
      <c r="D233" s="368"/>
      <c r="E233" s="368"/>
      <c r="F233" s="369"/>
      <c r="G233" s="314"/>
      <c r="H233" s="314"/>
      <c r="I233" s="314"/>
      <c r="J233" s="314"/>
      <c r="K233" s="314"/>
      <c r="L233" s="314"/>
      <c r="M233" s="314"/>
      <c r="N233" s="314"/>
      <c r="O233" s="314"/>
      <c r="P233" s="314"/>
      <c r="Q233" s="314"/>
      <c r="R233" s="314"/>
      <c r="S233" s="286"/>
      <c r="T233" s="370">
        <v>3.37</v>
      </c>
      <c r="U233" s="314"/>
      <c r="V233" s="364"/>
      <c r="W233" s="367"/>
      <c r="X233" s="5"/>
    </row>
    <row r="234" spans="1:25" ht="15.75" x14ac:dyDescent="0.25">
      <c r="A234" s="358"/>
      <c r="B234" s="366"/>
      <c r="C234" s="368"/>
      <c r="D234" s="368"/>
      <c r="E234" s="368"/>
      <c r="F234" s="369"/>
      <c r="G234" s="314"/>
      <c r="H234" s="314"/>
      <c r="I234" s="314"/>
      <c r="J234" s="314"/>
      <c r="K234" s="314"/>
      <c r="L234" s="314"/>
      <c r="M234" s="314"/>
      <c r="N234" s="314"/>
      <c r="O234" s="314"/>
      <c r="P234" s="314"/>
      <c r="Q234" s="314"/>
      <c r="R234" s="314"/>
      <c r="S234" s="286"/>
      <c r="T234" s="371"/>
      <c r="U234" s="314"/>
      <c r="V234" s="364"/>
      <c r="W234" s="367"/>
      <c r="X234" s="5"/>
    </row>
    <row r="235" spans="1:25" ht="15.75" x14ac:dyDescent="0.25">
      <c r="A235" s="358"/>
      <c r="B235" s="366"/>
      <c r="C235" s="368"/>
      <c r="D235" s="368"/>
      <c r="E235" s="368"/>
      <c r="F235" s="369"/>
      <c r="G235" s="314"/>
      <c r="H235" s="314"/>
      <c r="I235" s="314"/>
      <c r="J235" s="314"/>
      <c r="K235" s="314"/>
      <c r="L235" s="314"/>
      <c r="M235" s="314"/>
      <c r="N235" s="314"/>
      <c r="O235" s="314"/>
      <c r="P235" s="314"/>
      <c r="Q235" s="314"/>
      <c r="R235" s="314"/>
      <c r="S235" s="314"/>
      <c r="T235" s="372"/>
      <c r="U235" s="314"/>
      <c r="V235" s="364"/>
      <c r="W235" s="367"/>
      <c r="X235" s="5"/>
    </row>
    <row r="236" spans="1:25" ht="18.75" x14ac:dyDescent="0.3">
      <c r="A236" s="358"/>
      <c r="B236" s="373" t="s">
        <v>168</v>
      </c>
      <c r="C236" s="368"/>
      <c r="D236" s="368"/>
      <c r="E236" s="368"/>
      <c r="F236" s="369"/>
      <c r="G236" s="314"/>
      <c r="H236" s="314"/>
      <c r="I236" s="314"/>
      <c r="J236" s="314"/>
      <c r="K236" s="314"/>
      <c r="L236" s="314"/>
      <c r="M236" s="314"/>
      <c r="N236" s="314"/>
      <c r="O236" s="314"/>
      <c r="P236" s="374" t="s">
        <v>167</v>
      </c>
      <c r="Q236" s="314"/>
      <c r="R236" s="314"/>
      <c r="S236" s="314"/>
      <c r="T236" s="372"/>
      <c r="U236" s="314"/>
      <c r="V236" s="364"/>
      <c r="W236" s="367"/>
      <c r="X236" s="5"/>
    </row>
    <row r="237" spans="1:25" ht="15.75" x14ac:dyDescent="0.25">
      <c r="A237" s="353"/>
      <c r="B237" s="348"/>
      <c r="C237" s="354"/>
      <c r="D237" s="354"/>
      <c r="E237" s="354"/>
      <c r="F237" s="355"/>
      <c r="G237" s="212"/>
      <c r="H237" s="212"/>
      <c r="I237" s="212"/>
      <c r="J237" s="212"/>
      <c r="K237" s="212"/>
      <c r="L237" s="212"/>
      <c r="M237" s="212"/>
      <c r="N237" s="212"/>
      <c r="O237" s="212"/>
      <c r="P237" s="212"/>
      <c r="Q237" s="212"/>
      <c r="R237" s="212"/>
      <c r="S237" s="212"/>
      <c r="T237" s="356"/>
      <c r="U237" s="212"/>
      <c r="V237" s="349"/>
      <c r="W237" s="357"/>
      <c r="X237" s="5"/>
    </row>
    <row r="238" spans="1:25" ht="15.75" x14ac:dyDescent="0.25">
      <c r="A238" s="224"/>
      <c r="B238" s="232" t="s">
        <v>297</v>
      </c>
      <c r="C238" s="233"/>
      <c r="D238" s="233"/>
      <c r="E238" s="233"/>
      <c r="F238" s="243"/>
      <c r="G238" s="233"/>
      <c r="H238" s="233"/>
      <c r="I238" s="233"/>
      <c r="J238" s="233"/>
      <c r="K238" s="233"/>
      <c r="L238" s="233"/>
      <c r="M238" s="233"/>
      <c r="N238" s="233"/>
      <c r="O238" s="233"/>
      <c r="P238" s="233"/>
      <c r="Q238" s="233"/>
      <c r="R238" s="243" t="s">
        <v>102</v>
      </c>
      <c r="S238" s="233" t="s">
        <v>103</v>
      </c>
      <c r="T238" s="243" t="s">
        <v>109</v>
      </c>
      <c r="U238" s="233" t="s">
        <v>103</v>
      </c>
      <c r="V238" s="225"/>
      <c r="W238" s="232"/>
      <c r="X238" s="5"/>
    </row>
    <row r="239" spans="1:25" ht="15.75" x14ac:dyDescent="0.25">
      <c r="A239" s="193"/>
      <c r="B239" s="249" t="s">
        <v>88</v>
      </c>
      <c r="C239" s="265"/>
      <c r="D239" s="265"/>
      <c r="E239" s="265"/>
      <c r="F239" s="250"/>
      <c r="G239" s="265"/>
      <c r="H239" s="265"/>
      <c r="I239" s="265"/>
      <c r="J239" s="265"/>
      <c r="K239" s="265"/>
      <c r="L239" s="265"/>
      <c r="M239" s="265"/>
      <c r="N239" s="265"/>
      <c r="O239" s="265"/>
      <c r="P239" s="265"/>
      <c r="Q239" s="265"/>
      <c r="R239" s="249">
        <f t="shared" ref="R239:R246" si="1">+R251+R263+R275</f>
        <v>5762</v>
      </c>
      <c r="S239" s="252">
        <f t="shared" ref="S239:S246" si="2">R239/$R$248</f>
        <v>0.97860054347826086</v>
      </c>
      <c r="T239" s="253">
        <f t="shared" ref="T239:T246" si="3">+T251+T263+T275</f>
        <v>827284</v>
      </c>
      <c r="U239" s="252">
        <f t="shared" ref="U239:U246" si="4">T239/$T$248</f>
        <v>0.97652540042093039</v>
      </c>
      <c r="V239" s="266"/>
      <c r="W239" s="267"/>
      <c r="X239" s="5"/>
    </row>
    <row r="240" spans="1:25" ht="15.75" x14ac:dyDescent="0.25">
      <c r="A240" s="285"/>
      <c r="B240" s="337" t="s">
        <v>89</v>
      </c>
      <c r="C240" s="378"/>
      <c r="D240" s="378"/>
      <c r="E240" s="378"/>
      <c r="F240" s="286"/>
      <c r="G240" s="379"/>
      <c r="H240" s="378"/>
      <c r="I240" s="378"/>
      <c r="J240" s="378"/>
      <c r="K240" s="378"/>
      <c r="L240" s="378"/>
      <c r="M240" s="378"/>
      <c r="N240" s="378"/>
      <c r="O240" s="378"/>
      <c r="P240" s="378"/>
      <c r="Q240" s="378"/>
      <c r="R240" s="337">
        <f t="shared" si="1"/>
        <v>55</v>
      </c>
      <c r="S240" s="379">
        <f t="shared" si="2"/>
        <v>9.341032608695652E-3</v>
      </c>
      <c r="T240" s="338">
        <f t="shared" si="3"/>
        <v>8419</v>
      </c>
      <c r="U240" s="379">
        <f t="shared" si="4"/>
        <v>9.9377811563426989E-3</v>
      </c>
      <c r="V240" s="361"/>
      <c r="W240" s="380"/>
      <c r="X240" s="5"/>
      <c r="Y240" s="109"/>
    </row>
    <row r="241" spans="1:25" ht="15.75" x14ac:dyDescent="0.25">
      <c r="A241" s="285"/>
      <c r="B241" s="337" t="s">
        <v>90</v>
      </c>
      <c r="C241" s="378"/>
      <c r="D241" s="378"/>
      <c r="E241" s="378"/>
      <c r="F241" s="286"/>
      <c r="G241" s="379"/>
      <c r="H241" s="378"/>
      <c r="I241" s="378"/>
      <c r="J241" s="378"/>
      <c r="K241" s="378"/>
      <c r="L241" s="378"/>
      <c r="M241" s="378"/>
      <c r="N241" s="378"/>
      <c r="O241" s="378"/>
      <c r="P241" s="378"/>
      <c r="Q241" s="378"/>
      <c r="R241" s="337">
        <f t="shared" si="1"/>
        <v>12</v>
      </c>
      <c r="S241" s="379">
        <f t="shared" si="2"/>
        <v>2.0380434782608695E-3</v>
      </c>
      <c r="T241" s="338">
        <f t="shared" si="3"/>
        <v>2189</v>
      </c>
      <c r="U241" s="379">
        <f t="shared" si="4"/>
        <v>2.5838939246031795E-3</v>
      </c>
      <c r="V241" s="361"/>
      <c r="W241" s="380"/>
      <c r="X241" s="5"/>
    </row>
    <row r="242" spans="1:25" ht="15.75" x14ac:dyDescent="0.25">
      <c r="A242" s="285"/>
      <c r="B242" s="337" t="s">
        <v>156</v>
      </c>
      <c r="C242" s="378"/>
      <c r="D242" s="378"/>
      <c r="E242" s="378"/>
      <c r="F242" s="286"/>
      <c r="G242" s="379"/>
      <c r="H242" s="378"/>
      <c r="I242" s="378"/>
      <c r="J242" s="378"/>
      <c r="K242" s="378"/>
      <c r="L242" s="378"/>
      <c r="M242" s="378"/>
      <c r="N242" s="378"/>
      <c r="O242" s="378"/>
      <c r="P242" s="378"/>
      <c r="Q242" s="378"/>
      <c r="R242" s="337">
        <f t="shared" si="1"/>
        <v>5</v>
      </c>
      <c r="S242" s="379">
        <f t="shared" si="2"/>
        <v>8.4918478260869563E-4</v>
      </c>
      <c r="T242" s="338">
        <f t="shared" si="3"/>
        <v>939</v>
      </c>
      <c r="U242" s="379">
        <f t="shared" si="4"/>
        <v>1.1083948813167589E-3</v>
      </c>
      <c r="V242" s="361"/>
      <c r="W242" s="380"/>
      <c r="X242" s="5"/>
      <c r="Y242" s="109"/>
    </row>
    <row r="243" spans="1:25" ht="15.75" x14ac:dyDescent="0.25">
      <c r="A243" s="285"/>
      <c r="B243" s="337" t="s">
        <v>157</v>
      </c>
      <c r="C243" s="378"/>
      <c r="D243" s="378"/>
      <c r="E243" s="378"/>
      <c r="F243" s="286"/>
      <c r="G243" s="379"/>
      <c r="H243" s="378"/>
      <c r="I243" s="378"/>
      <c r="J243" s="378"/>
      <c r="K243" s="378"/>
      <c r="L243" s="378"/>
      <c r="M243" s="378"/>
      <c r="N243" s="378"/>
      <c r="O243" s="378"/>
      <c r="P243" s="378"/>
      <c r="Q243" s="378"/>
      <c r="R243" s="337">
        <f t="shared" si="1"/>
        <v>4</v>
      </c>
      <c r="S243" s="379">
        <f t="shared" si="2"/>
        <v>6.793478260869565E-4</v>
      </c>
      <c r="T243" s="338">
        <f t="shared" si="3"/>
        <v>571</v>
      </c>
      <c r="U243" s="379">
        <f t="shared" si="4"/>
        <v>6.7400796297323675E-4</v>
      </c>
      <c r="V243" s="361"/>
      <c r="W243" s="380"/>
      <c r="X243" s="5"/>
    </row>
    <row r="244" spans="1:25" ht="15.75" x14ac:dyDescent="0.25">
      <c r="A244" s="285"/>
      <c r="B244" s="337" t="s">
        <v>158</v>
      </c>
      <c r="C244" s="378"/>
      <c r="D244" s="378"/>
      <c r="E244" s="378"/>
      <c r="F244" s="286"/>
      <c r="G244" s="379"/>
      <c r="H244" s="378"/>
      <c r="I244" s="378"/>
      <c r="J244" s="378"/>
      <c r="K244" s="378"/>
      <c r="L244" s="378"/>
      <c r="M244" s="378"/>
      <c r="N244" s="378"/>
      <c r="O244" s="378"/>
      <c r="P244" s="378"/>
      <c r="Q244" s="378"/>
      <c r="R244" s="337">
        <f t="shared" si="1"/>
        <v>1</v>
      </c>
      <c r="S244" s="379">
        <f t="shared" si="2"/>
        <v>1.6983695652173913E-4</v>
      </c>
      <c r="T244" s="338">
        <f t="shared" si="3"/>
        <v>135</v>
      </c>
      <c r="U244" s="379">
        <f t="shared" si="4"/>
        <v>1.593538966749334E-4</v>
      </c>
      <c r="V244" s="361"/>
      <c r="W244" s="380"/>
      <c r="X244" s="5"/>
      <c r="Y244" s="109"/>
    </row>
    <row r="245" spans="1:25" ht="15.75" x14ac:dyDescent="0.25">
      <c r="A245" s="285"/>
      <c r="B245" s="337" t="s">
        <v>159</v>
      </c>
      <c r="C245" s="378"/>
      <c r="D245" s="378"/>
      <c r="E245" s="378"/>
      <c r="F245" s="286"/>
      <c r="G245" s="379"/>
      <c r="H245" s="378"/>
      <c r="I245" s="378"/>
      <c r="J245" s="378"/>
      <c r="K245" s="378"/>
      <c r="L245" s="378"/>
      <c r="M245" s="378"/>
      <c r="N245" s="378"/>
      <c r="O245" s="378"/>
      <c r="P245" s="378"/>
      <c r="Q245" s="378"/>
      <c r="R245" s="337">
        <f t="shared" si="1"/>
        <v>21</v>
      </c>
      <c r="S245" s="379">
        <f t="shared" si="2"/>
        <v>3.5665760869565215E-3</v>
      </c>
      <c r="T245" s="338">
        <f t="shared" si="3"/>
        <v>3030</v>
      </c>
      <c r="U245" s="379">
        <f t="shared" si="4"/>
        <v>3.5766096809262829E-3</v>
      </c>
      <c r="V245" s="361"/>
      <c r="W245" s="380"/>
      <c r="X245" s="5"/>
    </row>
    <row r="246" spans="1:25" ht="15.75" x14ac:dyDescent="0.25">
      <c r="A246" s="285"/>
      <c r="B246" s="337" t="s">
        <v>160</v>
      </c>
      <c r="C246" s="378"/>
      <c r="D246" s="378"/>
      <c r="E246" s="378"/>
      <c r="F246" s="286"/>
      <c r="G246" s="379"/>
      <c r="H246" s="378"/>
      <c r="I246" s="378"/>
      <c r="J246" s="378"/>
      <c r="K246" s="378"/>
      <c r="L246" s="378"/>
      <c r="M246" s="378"/>
      <c r="N246" s="378"/>
      <c r="O246" s="378"/>
      <c r="P246" s="378"/>
      <c r="Q246" s="378"/>
      <c r="R246" s="386">
        <f t="shared" si="1"/>
        <v>28</v>
      </c>
      <c r="S246" s="379">
        <f t="shared" si="2"/>
        <v>4.755434782608696E-3</v>
      </c>
      <c r="T246" s="383">
        <f t="shared" si="3"/>
        <v>4604</v>
      </c>
      <c r="U246" s="387">
        <f t="shared" si="4"/>
        <v>5.4345580762325436E-3</v>
      </c>
      <c r="V246" s="361"/>
      <c r="W246" s="380"/>
      <c r="X246" s="5"/>
      <c r="Y246" s="109"/>
    </row>
    <row r="247" spans="1:25" ht="15.75" x14ac:dyDescent="0.25">
      <c r="A247" s="285"/>
      <c r="B247" s="337"/>
      <c r="C247" s="378"/>
      <c r="D247" s="378"/>
      <c r="E247" s="378"/>
      <c r="F247" s="286"/>
      <c r="G247" s="379"/>
      <c r="H247" s="378"/>
      <c r="I247" s="378"/>
      <c r="J247" s="378"/>
      <c r="K247" s="378"/>
      <c r="L247" s="378"/>
      <c r="M247" s="378"/>
      <c r="N247" s="378"/>
      <c r="O247" s="378"/>
      <c r="P247" s="378"/>
      <c r="Q247" s="378"/>
      <c r="R247" s="337"/>
      <c r="S247" s="379"/>
      <c r="T247" s="338"/>
      <c r="U247" s="379"/>
      <c r="V247" s="361"/>
      <c r="W247" s="380"/>
      <c r="X247" s="5"/>
    </row>
    <row r="248" spans="1:25" ht="15.75" x14ac:dyDescent="0.25">
      <c r="A248" s="285"/>
      <c r="B248" s="286"/>
      <c r="C248" s="286"/>
      <c r="D248" s="286"/>
      <c r="E248" s="286"/>
      <c r="F248" s="286"/>
      <c r="G248" s="286"/>
      <c r="H248" s="381"/>
      <c r="I248" s="381"/>
      <c r="J248" s="381"/>
      <c r="K248" s="381"/>
      <c r="L248" s="381"/>
      <c r="M248" s="381"/>
      <c r="N248" s="381"/>
      <c r="O248" s="381"/>
      <c r="P248" s="381"/>
      <c r="Q248" s="381"/>
      <c r="R248" s="337">
        <f>SUM(R239:R247)</f>
        <v>5888</v>
      </c>
      <c r="S248" s="379">
        <f>SUM(S239:S247)</f>
        <v>0.99999999999999989</v>
      </c>
      <c r="T248" s="338">
        <f>SUM(T239:T247)</f>
        <v>847171</v>
      </c>
      <c r="U248" s="379">
        <f>SUM(U239:U247)</f>
        <v>1.0000000000000002</v>
      </c>
      <c r="V248" s="286"/>
      <c r="W248" s="289"/>
      <c r="X248" s="5"/>
    </row>
    <row r="249" spans="1:25" ht="15.75" x14ac:dyDescent="0.25">
      <c r="A249" s="181"/>
      <c r="B249" s="212"/>
      <c r="C249" s="212"/>
      <c r="D249" s="212"/>
      <c r="E249" s="212"/>
      <c r="F249" s="212"/>
      <c r="G249" s="212"/>
      <c r="H249" s="375"/>
      <c r="I249" s="375"/>
      <c r="J249" s="375"/>
      <c r="K249" s="375"/>
      <c r="L249" s="375"/>
      <c r="M249" s="375"/>
      <c r="N249" s="375"/>
      <c r="O249" s="375"/>
      <c r="P249" s="375"/>
      <c r="Q249" s="375"/>
      <c r="R249" s="335"/>
      <c r="S249" s="376"/>
      <c r="T249" s="377"/>
      <c r="U249" s="376"/>
      <c r="V249" s="212"/>
      <c r="W249" s="212"/>
      <c r="X249" s="5"/>
    </row>
    <row r="250" spans="1:25" ht="15.75" x14ac:dyDescent="0.25">
      <c r="A250" s="224"/>
      <c r="B250" s="232" t="s">
        <v>162</v>
      </c>
      <c r="C250" s="233"/>
      <c r="D250" s="233"/>
      <c r="E250" s="233"/>
      <c r="F250" s="243"/>
      <c r="G250" s="233"/>
      <c r="H250" s="233"/>
      <c r="I250" s="233"/>
      <c r="J250" s="233"/>
      <c r="K250" s="233"/>
      <c r="L250" s="233"/>
      <c r="M250" s="233"/>
      <c r="N250" s="233"/>
      <c r="O250" s="233"/>
      <c r="P250" s="233"/>
      <c r="Q250" s="233"/>
      <c r="R250" s="243" t="s">
        <v>102</v>
      </c>
      <c r="S250" s="233" t="s">
        <v>103</v>
      </c>
      <c r="T250" s="243" t="s">
        <v>109</v>
      </c>
      <c r="U250" s="233" t="s">
        <v>103</v>
      </c>
      <c r="V250" s="225"/>
      <c r="W250" s="232"/>
      <c r="X250" s="5"/>
    </row>
    <row r="251" spans="1:25" ht="15.75" x14ac:dyDescent="0.25">
      <c r="A251" s="193"/>
      <c r="B251" s="249" t="s">
        <v>88</v>
      </c>
      <c r="C251" s="265"/>
      <c r="D251" s="265"/>
      <c r="E251" s="265"/>
      <c r="F251" s="250"/>
      <c r="G251" s="265"/>
      <c r="H251" s="265"/>
      <c r="I251" s="265"/>
      <c r="J251" s="265"/>
      <c r="K251" s="265"/>
      <c r="L251" s="265"/>
      <c r="M251" s="265"/>
      <c r="N251" s="265"/>
      <c r="O251" s="265"/>
      <c r="P251" s="265"/>
      <c r="Q251" s="265"/>
      <c r="R251" s="249">
        <v>5701</v>
      </c>
      <c r="S251" s="252">
        <f t="shared" ref="S251:S258" si="5">R251/$R$260</f>
        <v>0.9921684650191438</v>
      </c>
      <c r="T251" s="253">
        <v>816651</v>
      </c>
      <c r="U251" s="252">
        <f t="shared" ref="U251:U258" si="6">T251/$T$260</f>
        <v>0.99067133625526327</v>
      </c>
      <c r="V251" s="266"/>
      <c r="W251" s="267"/>
      <c r="X251" s="5"/>
    </row>
    <row r="252" spans="1:25" ht="15.75" x14ac:dyDescent="0.25">
      <c r="A252" s="285"/>
      <c r="B252" s="337" t="s">
        <v>89</v>
      </c>
      <c r="C252" s="378"/>
      <c r="D252" s="378"/>
      <c r="E252" s="378"/>
      <c r="F252" s="286"/>
      <c r="G252" s="379"/>
      <c r="H252" s="378"/>
      <c r="I252" s="378"/>
      <c r="J252" s="378"/>
      <c r="K252" s="378"/>
      <c r="L252" s="378"/>
      <c r="M252" s="378"/>
      <c r="N252" s="378"/>
      <c r="O252" s="378"/>
      <c r="P252" s="378"/>
      <c r="Q252" s="378"/>
      <c r="R252" s="337">
        <v>39</v>
      </c>
      <c r="S252" s="379">
        <f t="shared" si="5"/>
        <v>6.7873303167420816E-3</v>
      </c>
      <c r="T252" s="338">
        <v>6238</v>
      </c>
      <c r="U252" s="379">
        <f t="shared" si="6"/>
        <v>7.5672567541830386E-3</v>
      </c>
      <c r="V252" s="361"/>
      <c r="W252" s="380"/>
      <c r="X252" s="5"/>
      <c r="Y252" s="109"/>
    </row>
    <row r="253" spans="1:25" ht="15.75" x14ac:dyDescent="0.25">
      <c r="A253" s="285"/>
      <c r="B253" s="337" t="s">
        <v>90</v>
      </c>
      <c r="C253" s="378"/>
      <c r="D253" s="378"/>
      <c r="E253" s="378"/>
      <c r="F253" s="286"/>
      <c r="G253" s="379"/>
      <c r="H253" s="378"/>
      <c r="I253" s="378"/>
      <c r="J253" s="378"/>
      <c r="K253" s="378"/>
      <c r="L253" s="378"/>
      <c r="M253" s="378"/>
      <c r="N253" s="378"/>
      <c r="O253" s="378"/>
      <c r="P253" s="378"/>
      <c r="Q253" s="378"/>
      <c r="R253" s="337">
        <v>5</v>
      </c>
      <c r="S253" s="379">
        <f t="shared" si="5"/>
        <v>8.7017055342847197E-4</v>
      </c>
      <c r="T253" s="338">
        <v>1317</v>
      </c>
      <c r="U253" s="379">
        <f t="shared" si="6"/>
        <v>1.5976398116798751E-3</v>
      </c>
      <c r="V253" s="361"/>
      <c r="W253" s="380"/>
      <c r="X253" s="5"/>
    </row>
    <row r="254" spans="1:25" ht="15.75" x14ac:dyDescent="0.25">
      <c r="A254" s="285"/>
      <c r="B254" s="337" t="s">
        <v>156</v>
      </c>
      <c r="C254" s="378"/>
      <c r="D254" s="378"/>
      <c r="E254" s="378"/>
      <c r="F254" s="286"/>
      <c r="G254" s="379"/>
      <c r="H254" s="378"/>
      <c r="I254" s="378"/>
      <c r="J254" s="378"/>
      <c r="K254" s="378"/>
      <c r="L254" s="378"/>
      <c r="M254" s="378"/>
      <c r="N254" s="378"/>
      <c r="O254" s="378"/>
      <c r="P254" s="378"/>
      <c r="Q254" s="378"/>
      <c r="R254" s="337">
        <v>0</v>
      </c>
      <c r="S254" s="379">
        <f t="shared" si="5"/>
        <v>0</v>
      </c>
      <c r="T254" s="338">
        <v>0</v>
      </c>
      <c r="U254" s="379">
        <f t="shared" si="6"/>
        <v>0</v>
      </c>
      <c r="V254" s="361"/>
      <c r="W254" s="380"/>
      <c r="X254" s="5"/>
      <c r="Y254" s="109"/>
    </row>
    <row r="255" spans="1:25" ht="15.75" x14ac:dyDescent="0.25">
      <c r="A255" s="285"/>
      <c r="B255" s="337" t="s">
        <v>157</v>
      </c>
      <c r="C255" s="378"/>
      <c r="D255" s="378"/>
      <c r="E255" s="378"/>
      <c r="F255" s="286"/>
      <c r="G255" s="379"/>
      <c r="H255" s="378"/>
      <c r="I255" s="378"/>
      <c r="J255" s="378"/>
      <c r="K255" s="378"/>
      <c r="L255" s="378"/>
      <c r="M255" s="378"/>
      <c r="N255" s="378"/>
      <c r="O255" s="378"/>
      <c r="P255" s="378"/>
      <c r="Q255" s="378"/>
      <c r="R255" s="337">
        <v>0</v>
      </c>
      <c r="S255" s="379">
        <f t="shared" si="5"/>
        <v>0</v>
      </c>
      <c r="T255" s="338">
        <v>0</v>
      </c>
      <c r="U255" s="379">
        <f t="shared" si="6"/>
        <v>0</v>
      </c>
      <c r="V255" s="361"/>
      <c r="W255" s="380"/>
      <c r="X255" s="5"/>
    </row>
    <row r="256" spans="1:25" ht="15.75" x14ac:dyDescent="0.25">
      <c r="A256" s="285"/>
      <c r="B256" s="337" t="s">
        <v>158</v>
      </c>
      <c r="C256" s="378"/>
      <c r="D256" s="378"/>
      <c r="E256" s="378"/>
      <c r="F256" s="286"/>
      <c r="G256" s="379"/>
      <c r="H256" s="378"/>
      <c r="I256" s="378"/>
      <c r="J256" s="378"/>
      <c r="K256" s="378"/>
      <c r="L256" s="378"/>
      <c r="M256" s="378"/>
      <c r="N256" s="378"/>
      <c r="O256" s="378"/>
      <c r="P256" s="378"/>
      <c r="Q256" s="378"/>
      <c r="R256" s="337">
        <v>1</v>
      </c>
      <c r="S256" s="379">
        <f t="shared" si="5"/>
        <v>1.7403411068569441E-4</v>
      </c>
      <c r="T256" s="338">
        <v>135</v>
      </c>
      <c r="U256" s="379">
        <f t="shared" si="6"/>
        <v>1.6376717887379131E-4</v>
      </c>
      <c r="V256" s="361"/>
      <c r="W256" s="380"/>
      <c r="X256" s="5"/>
      <c r="Y256" s="109"/>
    </row>
    <row r="257" spans="1:25" ht="15.75" x14ac:dyDescent="0.25">
      <c r="A257" s="285"/>
      <c r="B257" s="337" t="s">
        <v>159</v>
      </c>
      <c r="C257" s="378"/>
      <c r="D257" s="378"/>
      <c r="E257" s="378"/>
      <c r="F257" s="286"/>
      <c r="G257" s="379"/>
      <c r="H257" s="378"/>
      <c r="I257" s="378"/>
      <c r="J257" s="378"/>
      <c r="K257" s="378"/>
      <c r="L257" s="378"/>
      <c r="M257" s="378"/>
      <c r="N257" s="378"/>
      <c r="O257" s="378"/>
      <c r="P257" s="378"/>
      <c r="Q257" s="378"/>
      <c r="R257" s="337">
        <v>0</v>
      </c>
      <c r="S257" s="379">
        <f t="shared" si="5"/>
        <v>0</v>
      </c>
      <c r="T257" s="338">
        <v>0</v>
      </c>
      <c r="U257" s="379">
        <f t="shared" si="6"/>
        <v>0</v>
      </c>
      <c r="V257" s="361"/>
      <c r="W257" s="380"/>
      <c r="X257" s="5"/>
    </row>
    <row r="258" spans="1:25" ht="15.75" x14ac:dyDescent="0.25">
      <c r="A258" s="285"/>
      <c r="B258" s="337" t="s">
        <v>160</v>
      </c>
      <c r="C258" s="378"/>
      <c r="D258" s="378"/>
      <c r="E258" s="378"/>
      <c r="F258" s="286"/>
      <c r="G258" s="379"/>
      <c r="H258" s="378"/>
      <c r="I258" s="378"/>
      <c r="J258" s="378"/>
      <c r="K258" s="378"/>
      <c r="L258" s="378"/>
      <c r="M258" s="378"/>
      <c r="N258" s="378"/>
      <c r="O258" s="378"/>
      <c r="P258" s="378"/>
      <c r="Q258" s="378"/>
      <c r="R258" s="337">
        <v>0</v>
      </c>
      <c r="S258" s="379">
        <f t="shared" si="5"/>
        <v>0</v>
      </c>
      <c r="T258" s="338">
        <v>0</v>
      </c>
      <c r="U258" s="379">
        <f t="shared" si="6"/>
        <v>0</v>
      </c>
      <c r="V258" s="361"/>
      <c r="W258" s="380"/>
      <c r="X258" s="5"/>
      <c r="Y258" s="109"/>
    </row>
    <row r="259" spans="1:25" ht="15.75" x14ac:dyDescent="0.25">
      <c r="A259" s="285"/>
      <c r="B259" s="337"/>
      <c r="C259" s="378"/>
      <c r="D259" s="378"/>
      <c r="E259" s="378"/>
      <c r="F259" s="286"/>
      <c r="G259" s="379"/>
      <c r="H259" s="378"/>
      <c r="I259" s="378"/>
      <c r="J259" s="378"/>
      <c r="K259" s="378"/>
      <c r="L259" s="378"/>
      <c r="M259" s="378"/>
      <c r="N259" s="378"/>
      <c r="O259" s="378"/>
      <c r="P259" s="378"/>
      <c r="Q259" s="378"/>
      <c r="R259" s="337"/>
      <c r="S259" s="379"/>
      <c r="T259" s="338"/>
      <c r="U259" s="379"/>
      <c r="V259" s="361"/>
      <c r="W259" s="380"/>
      <c r="X259" s="5"/>
    </row>
    <row r="260" spans="1:25" ht="15.75" x14ac:dyDescent="0.25">
      <c r="A260" s="285"/>
      <c r="B260" s="286"/>
      <c r="C260" s="286"/>
      <c r="D260" s="286"/>
      <c r="E260" s="286"/>
      <c r="F260" s="286"/>
      <c r="G260" s="286"/>
      <c r="H260" s="381"/>
      <c r="I260" s="381"/>
      <c r="J260" s="381"/>
      <c r="K260" s="381"/>
      <c r="L260" s="381"/>
      <c r="M260" s="381"/>
      <c r="N260" s="381"/>
      <c r="O260" s="381"/>
      <c r="P260" s="381"/>
      <c r="Q260" s="381"/>
      <c r="R260" s="337">
        <f>SUM(R251:R259)</f>
        <v>5746</v>
      </c>
      <c r="S260" s="379">
        <f>SUM(S251:S259)</f>
        <v>1</v>
      </c>
      <c r="T260" s="338">
        <f>SUM(T251:T259)</f>
        <v>824341</v>
      </c>
      <c r="U260" s="379">
        <f>SUM(U251:U259)</f>
        <v>1</v>
      </c>
      <c r="V260" s="286"/>
      <c r="W260" s="289"/>
      <c r="X260" s="5"/>
    </row>
    <row r="261" spans="1:25" ht="15.75" x14ac:dyDescent="0.25">
      <c r="A261" s="181"/>
      <c r="B261" s="212"/>
      <c r="C261" s="212"/>
      <c r="D261" s="212"/>
      <c r="E261" s="212"/>
      <c r="F261" s="212"/>
      <c r="G261" s="212"/>
      <c r="H261" s="375"/>
      <c r="I261" s="375"/>
      <c r="J261" s="375"/>
      <c r="K261" s="375"/>
      <c r="L261" s="375"/>
      <c r="M261" s="375"/>
      <c r="N261" s="375"/>
      <c r="O261" s="375"/>
      <c r="P261" s="375"/>
      <c r="Q261" s="375"/>
      <c r="R261" s="335"/>
      <c r="S261" s="376"/>
      <c r="T261" s="377"/>
      <c r="U261" s="376"/>
      <c r="V261" s="212"/>
      <c r="W261" s="212"/>
      <c r="X261" s="5"/>
    </row>
    <row r="262" spans="1:25" ht="15.75" x14ac:dyDescent="0.25">
      <c r="A262" s="244"/>
      <c r="B262" s="232" t="s">
        <v>236</v>
      </c>
      <c r="C262" s="233"/>
      <c r="D262" s="233"/>
      <c r="E262" s="233"/>
      <c r="F262" s="243"/>
      <c r="G262" s="233"/>
      <c r="H262" s="233"/>
      <c r="I262" s="233"/>
      <c r="J262" s="233"/>
      <c r="K262" s="233"/>
      <c r="L262" s="233"/>
      <c r="M262" s="233"/>
      <c r="N262" s="233"/>
      <c r="O262" s="233"/>
      <c r="P262" s="233"/>
      <c r="Q262" s="233"/>
      <c r="R262" s="243" t="s">
        <v>102</v>
      </c>
      <c r="S262" s="233" t="s">
        <v>103</v>
      </c>
      <c r="T262" s="243" t="s">
        <v>109</v>
      </c>
      <c r="U262" s="233" t="s">
        <v>103</v>
      </c>
      <c r="V262" s="245"/>
      <c r="W262" s="246"/>
      <c r="X262" s="5"/>
    </row>
    <row r="263" spans="1:25" ht="15.75" x14ac:dyDescent="0.25">
      <c r="A263" s="193"/>
      <c r="B263" s="249" t="s">
        <v>88</v>
      </c>
      <c r="C263" s="265"/>
      <c r="D263" s="265"/>
      <c r="E263" s="265"/>
      <c r="F263" s="250"/>
      <c r="G263" s="265"/>
      <c r="H263" s="265"/>
      <c r="I263" s="265"/>
      <c r="J263" s="265"/>
      <c r="K263" s="265"/>
      <c r="L263" s="265"/>
      <c r="M263" s="265"/>
      <c r="N263" s="265"/>
      <c r="O263" s="265"/>
      <c r="P263" s="265"/>
      <c r="Q263" s="265"/>
      <c r="R263" s="249">
        <v>61</v>
      </c>
      <c r="S263" s="252">
        <f t="shared" ref="S263:S270" si="7">R263/$R$272</f>
        <v>0.42957746478873238</v>
      </c>
      <c r="T263" s="253">
        <v>10633</v>
      </c>
      <c r="U263" s="252">
        <f t="shared" ref="U263:U270" si="8">T263/$T$272</f>
        <v>0.46574682435392029</v>
      </c>
      <c r="V263" s="250"/>
      <c r="W263" s="250"/>
      <c r="X263" s="5"/>
    </row>
    <row r="264" spans="1:25" ht="15.75" x14ac:dyDescent="0.25">
      <c r="A264" s="285"/>
      <c r="B264" s="337" t="s">
        <v>89</v>
      </c>
      <c r="C264" s="378"/>
      <c r="D264" s="378"/>
      <c r="E264" s="378"/>
      <c r="F264" s="286"/>
      <c r="G264" s="379"/>
      <c r="H264" s="378"/>
      <c r="I264" s="378"/>
      <c r="J264" s="378"/>
      <c r="K264" s="378"/>
      <c r="L264" s="378"/>
      <c r="M264" s="378"/>
      <c r="N264" s="378"/>
      <c r="O264" s="378"/>
      <c r="P264" s="378"/>
      <c r="Q264" s="378"/>
      <c r="R264" s="337">
        <v>16</v>
      </c>
      <c r="S264" s="379">
        <f t="shared" si="7"/>
        <v>0.11267605633802817</v>
      </c>
      <c r="T264" s="338">
        <v>2181</v>
      </c>
      <c r="U264" s="379">
        <f t="shared" si="8"/>
        <v>9.5532194480946117E-2</v>
      </c>
      <c r="V264" s="286"/>
      <c r="W264" s="289"/>
      <c r="X264" s="5"/>
    </row>
    <row r="265" spans="1:25" ht="15.75" x14ac:dyDescent="0.25">
      <c r="A265" s="285"/>
      <c r="B265" s="337" t="s">
        <v>90</v>
      </c>
      <c r="C265" s="378"/>
      <c r="D265" s="378"/>
      <c r="E265" s="378"/>
      <c r="F265" s="286"/>
      <c r="G265" s="379"/>
      <c r="H265" s="378"/>
      <c r="I265" s="378"/>
      <c r="J265" s="378"/>
      <c r="K265" s="378"/>
      <c r="L265" s="378"/>
      <c r="M265" s="378"/>
      <c r="N265" s="378"/>
      <c r="O265" s="378"/>
      <c r="P265" s="378"/>
      <c r="Q265" s="378"/>
      <c r="R265" s="337">
        <v>7</v>
      </c>
      <c r="S265" s="379">
        <f t="shared" si="7"/>
        <v>4.9295774647887321E-2</v>
      </c>
      <c r="T265" s="338">
        <v>872</v>
      </c>
      <c r="U265" s="379">
        <f t="shared" si="8"/>
        <v>3.8195356986421375E-2</v>
      </c>
      <c r="V265" s="286"/>
      <c r="W265" s="289"/>
      <c r="X265" s="5"/>
    </row>
    <row r="266" spans="1:25" ht="15.75" x14ac:dyDescent="0.25">
      <c r="A266" s="285"/>
      <c r="B266" s="337" t="s">
        <v>156</v>
      </c>
      <c r="C266" s="378"/>
      <c r="D266" s="378"/>
      <c r="E266" s="378"/>
      <c r="F266" s="286"/>
      <c r="G266" s="379"/>
      <c r="H266" s="378"/>
      <c r="I266" s="378"/>
      <c r="J266" s="378"/>
      <c r="K266" s="378"/>
      <c r="L266" s="378"/>
      <c r="M266" s="378"/>
      <c r="N266" s="378"/>
      <c r="O266" s="378"/>
      <c r="P266" s="378"/>
      <c r="Q266" s="378"/>
      <c r="R266" s="337">
        <v>5</v>
      </c>
      <c r="S266" s="379">
        <f t="shared" si="7"/>
        <v>3.5211267605633804E-2</v>
      </c>
      <c r="T266" s="338">
        <v>939</v>
      </c>
      <c r="U266" s="379">
        <f t="shared" si="8"/>
        <v>4.1130091984231273E-2</v>
      </c>
      <c r="V266" s="286"/>
      <c r="W266" s="289"/>
      <c r="X266" s="5"/>
    </row>
    <row r="267" spans="1:25" ht="15.75" x14ac:dyDescent="0.25">
      <c r="A267" s="285"/>
      <c r="B267" s="337" t="s">
        <v>157</v>
      </c>
      <c r="C267" s="378"/>
      <c r="D267" s="378"/>
      <c r="E267" s="378"/>
      <c r="F267" s="286"/>
      <c r="G267" s="379"/>
      <c r="H267" s="378"/>
      <c r="I267" s="378"/>
      <c r="J267" s="378"/>
      <c r="K267" s="378"/>
      <c r="L267" s="378"/>
      <c r="M267" s="378"/>
      <c r="N267" s="378"/>
      <c r="O267" s="378"/>
      <c r="P267" s="378"/>
      <c r="Q267" s="378"/>
      <c r="R267" s="337">
        <v>4</v>
      </c>
      <c r="S267" s="379">
        <f t="shared" si="7"/>
        <v>2.8169014084507043E-2</v>
      </c>
      <c r="T267" s="338">
        <v>571</v>
      </c>
      <c r="U267" s="379">
        <f t="shared" si="8"/>
        <v>2.5010950503723171E-2</v>
      </c>
      <c r="V267" s="286"/>
      <c r="W267" s="289"/>
      <c r="X267" s="5"/>
    </row>
    <row r="268" spans="1:25" ht="15.75" x14ac:dyDescent="0.25">
      <c r="A268" s="285"/>
      <c r="B268" s="337" t="s">
        <v>158</v>
      </c>
      <c r="C268" s="378"/>
      <c r="D268" s="378"/>
      <c r="E268" s="378"/>
      <c r="F268" s="286"/>
      <c r="G268" s="379"/>
      <c r="H268" s="378"/>
      <c r="I268" s="378"/>
      <c r="J268" s="378"/>
      <c r="K268" s="378"/>
      <c r="L268" s="378"/>
      <c r="M268" s="378"/>
      <c r="N268" s="378"/>
      <c r="O268" s="378"/>
      <c r="P268" s="378"/>
      <c r="Q268" s="378"/>
      <c r="R268" s="337">
        <v>0</v>
      </c>
      <c r="S268" s="379">
        <f t="shared" si="7"/>
        <v>0</v>
      </c>
      <c r="T268" s="338">
        <v>0</v>
      </c>
      <c r="U268" s="379">
        <f t="shared" si="8"/>
        <v>0</v>
      </c>
      <c r="V268" s="286"/>
      <c r="W268" s="289"/>
      <c r="X268" s="5"/>
    </row>
    <row r="269" spans="1:25" ht="15.75" x14ac:dyDescent="0.25">
      <c r="A269" s="285"/>
      <c r="B269" s="337" t="s">
        <v>159</v>
      </c>
      <c r="C269" s="378"/>
      <c r="D269" s="378"/>
      <c r="E269" s="378"/>
      <c r="F269" s="286"/>
      <c r="G269" s="379"/>
      <c r="H269" s="378"/>
      <c r="I269" s="378"/>
      <c r="J269" s="378"/>
      <c r="K269" s="378"/>
      <c r="L269" s="378"/>
      <c r="M269" s="378"/>
      <c r="N269" s="378"/>
      <c r="O269" s="378"/>
      <c r="P269" s="378"/>
      <c r="Q269" s="378"/>
      <c r="R269" s="337">
        <v>21</v>
      </c>
      <c r="S269" s="379">
        <f t="shared" si="7"/>
        <v>0.14788732394366197</v>
      </c>
      <c r="T269" s="338">
        <v>3030</v>
      </c>
      <c r="U269" s="379">
        <f t="shared" si="8"/>
        <v>0.13272010512483573</v>
      </c>
      <c r="V269" s="286"/>
      <c r="W269" s="289"/>
      <c r="X269" s="5"/>
    </row>
    <row r="270" spans="1:25" ht="15.75" x14ac:dyDescent="0.25">
      <c r="A270" s="285"/>
      <c r="B270" s="337" t="s">
        <v>160</v>
      </c>
      <c r="C270" s="378"/>
      <c r="D270" s="378"/>
      <c r="E270" s="378"/>
      <c r="F270" s="286"/>
      <c r="G270" s="379"/>
      <c r="H270" s="378"/>
      <c r="I270" s="378"/>
      <c r="J270" s="378"/>
      <c r="K270" s="378"/>
      <c r="L270" s="378"/>
      <c r="M270" s="378"/>
      <c r="N270" s="378"/>
      <c r="O270" s="378"/>
      <c r="P270" s="378"/>
      <c r="Q270" s="378"/>
      <c r="R270" s="337">
        <v>28</v>
      </c>
      <c r="S270" s="379">
        <f t="shared" si="7"/>
        <v>0.19718309859154928</v>
      </c>
      <c r="T270" s="338">
        <v>4604</v>
      </c>
      <c r="U270" s="379">
        <f t="shared" si="8"/>
        <v>0.20166447656592204</v>
      </c>
      <c r="V270" s="286"/>
      <c r="W270" s="289"/>
      <c r="X270" s="5"/>
    </row>
    <row r="271" spans="1:25" ht="15.75" x14ac:dyDescent="0.25">
      <c r="A271" s="285"/>
      <c r="B271" s="337"/>
      <c r="C271" s="378"/>
      <c r="D271" s="378"/>
      <c r="E271" s="378"/>
      <c r="F271" s="286"/>
      <c r="G271" s="379"/>
      <c r="H271" s="378"/>
      <c r="I271" s="378"/>
      <c r="J271" s="378"/>
      <c r="K271" s="378"/>
      <c r="L271" s="378"/>
      <c r="M271" s="378"/>
      <c r="N271" s="378"/>
      <c r="O271" s="378"/>
      <c r="P271" s="378"/>
      <c r="Q271" s="378"/>
      <c r="R271" s="337"/>
      <c r="S271" s="379"/>
      <c r="T271" s="338"/>
      <c r="U271" s="379"/>
      <c r="V271" s="286"/>
      <c r="W271" s="289"/>
      <c r="X271" s="5"/>
    </row>
    <row r="272" spans="1:25" ht="15.75" x14ac:dyDescent="0.25">
      <c r="A272" s="285"/>
      <c r="B272" s="286"/>
      <c r="C272" s="286"/>
      <c r="D272" s="286"/>
      <c r="E272" s="286"/>
      <c r="F272" s="286"/>
      <c r="G272" s="286"/>
      <c r="H272" s="381"/>
      <c r="I272" s="381"/>
      <c r="J272" s="381"/>
      <c r="K272" s="381"/>
      <c r="L272" s="381"/>
      <c r="M272" s="381"/>
      <c r="N272" s="381"/>
      <c r="O272" s="381"/>
      <c r="P272" s="381"/>
      <c r="Q272" s="381"/>
      <c r="R272" s="337">
        <f>SUM(R263:R271)</f>
        <v>142</v>
      </c>
      <c r="S272" s="379">
        <f>SUM(S263:S271)</f>
        <v>0.99999999999999989</v>
      </c>
      <c r="T272" s="338">
        <f>SUM(T263:T271)</f>
        <v>22830</v>
      </c>
      <c r="U272" s="379">
        <f>SUM(U263:U271)</f>
        <v>0.99999999999999989</v>
      </c>
      <c r="V272" s="286"/>
      <c r="W272" s="289"/>
      <c r="X272" s="5"/>
    </row>
    <row r="273" spans="1:24" ht="15.75" x14ac:dyDescent="0.25">
      <c r="A273" s="181"/>
      <c r="B273" s="212"/>
      <c r="C273" s="212"/>
      <c r="D273" s="212"/>
      <c r="E273" s="212"/>
      <c r="F273" s="212"/>
      <c r="G273" s="212"/>
      <c r="H273" s="375"/>
      <c r="I273" s="375"/>
      <c r="J273" s="375"/>
      <c r="K273" s="375"/>
      <c r="L273" s="375"/>
      <c r="M273" s="375"/>
      <c r="N273" s="375"/>
      <c r="O273" s="375"/>
      <c r="P273" s="375"/>
      <c r="Q273" s="375"/>
      <c r="R273" s="335"/>
      <c r="S273" s="376"/>
      <c r="T273" s="377"/>
      <c r="U273" s="376"/>
      <c r="V273" s="212"/>
      <c r="W273" s="212"/>
      <c r="X273" s="5"/>
    </row>
    <row r="274" spans="1:24" ht="15.75" x14ac:dyDescent="0.25">
      <c r="A274" s="244"/>
      <c r="B274" s="232" t="s">
        <v>163</v>
      </c>
      <c r="C274" s="245"/>
      <c r="D274" s="245"/>
      <c r="E274" s="245"/>
      <c r="F274" s="245"/>
      <c r="G274" s="245"/>
      <c r="H274" s="247"/>
      <c r="I274" s="247"/>
      <c r="J274" s="247"/>
      <c r="K274" s="247"/>
      <c r="L274" s="247"/>
      <c r="M274" s="247"/>
      <c r="N274" s="247"/>
      <c r="O274" s="247"/>
      <c r="P274" s="247"/>
      <c r="Q274" s="247"/>
      <c r="R274" s="243" t="s">
        <v>102</v>
      </c>
      <c r="S274" s="233" t="s">
        <v>103</v>
      </c>
      <c r="T274" s="243" t="s">
        <v>109</v>
      </c>
      <c r="U274" s="233" t="s">
        <v>103</v>
      </c>
      <c r="V274" s="245"/>
      <c r="W274" s="246"/>
      <c r="X274" s="5"/>
    </row>
    <row r="275" spans="1:24" ht="15.75" x14ac:dyDescent="0.25">
      <c r="A275" s="248"/>
      <c r="B275" s="249" t="s">
        <v>88</v>
      </c>
      <c r="C275" s="250"/>
      <c r="D275" s="250"/>
      <c r="E275" s="250"/>
      <c r="F275" s="250"/>
      <c r="G275" s="250"/>
      <c r="H275" s="251"/>
      <c r="I275" s="251"/>
      <c r="J275" s="251"/>
      <c r="K275" s="251"/>
      <c r="L275" s="251"/>
      <c r="M275" s="251"/>
      <c r="N275" s="251"/>
      <c r="O275" s="251"/>
      <c r="P275" s="251"/>
      <c r="Q275" s="251"/>
      <c r="R275" s="249">
        <v>0</v>
      </c>
      <c r="S275" s="252">
        <v>0</v>
      </c>
      <c r="T275" s="253">
        <v>0</v>
      </c>
      <c r="U275" s="252">
        <v>0</v>
      </c>
      <c r="V275" s="250"/>
      <c r="W275" s="250"/>
      <c r="X275" s="5"/>
    </row>
    <row r="276" spans="1:24" ht="15.75" x14ac:dyDescent="0.25">
      <c r="A276" s="295"/>
      <c r="B276" s="337" t="s">
        <v>89</v>
      </c>
      <c r="C276" s="286"/>
      <c r="D276" s="286"/>
      <c r="E276" s="286"/>
      <c r="F276" s="286"/>
      <c r="G276" s="286"/>
      <c r="H276" s="381"/>
      <c r="I276" s="381"/>
      <c r="J276" s="381"/>
      <c r="K276" s="381"/>
      <c r="L276" s="381"/>
      <c r="M276" s="381"/>
      <c r="N276" s="381"/>
      <c r="O276" s="381"/>
      <c r="P276" s="381"/>
      <c r="Q276" s="381"/>
      <c r="R276" s="337">
        <v>0</v>
      </c>
      <c r="S276" s="379">
        <v>0</v>
      </c>
      <c r="T276" s="338">
        <v>0</v>
      </c>
      <c r="U276" s="379">
        <v>0</v>
      </c>
      <c r="V276" s="286"/>
      <c r="W276" s="289"/>
      <c r="X276" s="5"/>
    </row>
    <row r="277" spans="1:24" ht="15.75" x14ac:dyDescent="0.25">
      <c r="A277" s="295"/>
      <c r="B277" s="337" t="s">
        <v>90</v>
      </c>
      <c r="C277" s="286"/>
      <c r="D277" s="286"/>
      <c r="E277" s="286"/>
      <c r="F277" s="286"/>
      <c r="G277" s="286"/>
      <c r="H277" s="381"/>
      <c r="I277" s="381"/>
      <c r="J277" s="381"/>
      <c r="K277" s="381"/>
      <c r="L277" s="381"/>
      <c r="M277" s="381"/>
      <c r="N277" s="381"/>
      <c r="O277" s="381"/>
      <c r="P277" s="381"/>
      <c r="Q277" s="381"/>
      <c r="R277" s="337">
        <v>0</v>
      </c>
      <c r="S277" s="379">
        <v>0</v>
      </c>
      <c r="T277" s="338">
        <v>0</v>
      </c>
      <c r="U277" s="379">
        <v>0</v>
      </c>
      <c r="V277" s="286"/>
      <c r="W277" s="289"/>
      <c r="X277" s="5"/>
    </row>
    <row r="278" spans="1:24" ht="15.75" x14ac:dyDescent="0.25">
      <c r="A278" s="295"/>
      <c r="B278" s="337" t="s">
        <v>156</v>
      </c>
      <c r="C278" s="286"/>
      <c r="D278" s="286"/>
      <c r="E278" s="286"/>
      <c r="F278" s="286"/>
      <c r="G278" s="286"/>
      <c r="H278" s="381"/>
      <c r="I278" s="381"/>
      <c r="J278" s="381"/>
      <c r="K278" s="381"/>
      <c r="L278" s="381"/>
      <c r="M278" s="381"/>
      <c r="N278" s="381"/>
      <c r="O278" s="381"/>
      <c r="P278" s="381"/>
      <c r="Q278" s="381"/>
      <c r="R278" s="337">
        <v>0</v>
      </c>
      <c r="S278" s="379">
        <v>0</v>
      </c>
      <c r="T278" s="338">
        <v>0</v>
      </c>
      <c r="U278" s="379">
        <v>0</v>
      </c>
      <c r="V278" s="286"/>
      <c r="W278" s="289"/>
      <c r="X278" s="5"/>
    </row>
    <row r="279" spans="1:24" ht="15.75" x14ac:dyDescent="0.25">
      <c r="A279" s="295"/>
      <c r="B279" s="337" t="s">
        <v>157</v>
      </c>
      <c r="C279" s="286"/>
      <c r="D279" s="286"/>
      <c r="E279" s="286"/>
      <c r="F279" s="286"/>
      <c r="G279" s="286"/>
      <c r="H279" s="381"/>
      <c r="I279" s="381"/>
      <c r="J279" s="381"/>
      <c r="K279" s="381"/>
      <c r="L279" s="381"/>
      <c r="M279" s="381"/>
      <c r="N279" s="381"/>
      <c r="O279" s="381"/>
      <c r="P279" s="381"/>
      <c r="Q279" s="381"/>
      <c r="R279" s="337">
        <v>0</v>
      </c>
      <c r="S279" s="379">
        <v>0</v>
      </c>
      <c r="T279" s="338">
        <v>0</v>
      </c>
      <c r="U279" s="379">
        <v>0</v>
      </c>
      <c r="V279" s="286"/>
      <c r="W279" s="289"/>
      <c r="X279" s="5"/>
    </row>
    <row r="280" spans="1:24" ht="15.75" x14ac:dyDescent="0.25">
      <c r="A280" s="295"/>
      <c r="B280" s="337" t="s">
        <v>158</v>
      </c>
      <c r="C280" s="286"/>
      <c r="D280" s="286"/>
      <c r="E280" s="286"/>
      <c r="F280" s="286"/>
      <c r="G280" s="286"/>
      <c r="H280" s="381"/>
      <c r="I280" s="381"/>
      <c r="J280" s="381"/>
      <c r="K280" s="381"/>
      <c r="L280" s="381"/>
      <c r="M280" s="381"/>
      <c r="N280" s="381"/>
      <c r="O280" s="381"/>
      <c r="P280" s="381"/>
      <c r="Q280" s="381"/>
      <c r="R280" s="337">
        <v>0</v>
      </c>
      <c r="S280" s="379">
        <v>0</v>
      </c>
      <c r="T280" s="338">
        <v>0</v>
      </c>
      <c r="U280" s="379">
        <v>0</v>
      </c>
      <c r="V280" s="286"/>
      <c r="W280" s="289"/>
      <c r="X280" s="5"/>
    </row>
    <row r="281" spans="1:24" ht="15.75" x14ac:dyDescent="0.25">
      <c r="A281" s="295"/>
      <c r="B281" s="337" t="s">
        <v>159</v>
      </c>
      <c r="C281" s="286"/>
      <c r="D281" s="286"/>
      <c r="E281" s="286"/>
      <c r="F281" s="286"/>
      <c r="G281" s="286"/>
      <c r="H281" s="381"/>
      <c r="I281" s="381"/>
      <c r="J281" s="381"/>
      <c r="K281" s="381"/>
      <c r="L281" s="381"/>
      <c r="M281" s="381"/>
      <c r="N281" s="381"/>
      <c r="O281" s="381"/>
      <c r="P281" s="381"/>
      <c r="Q281" s="381"/>
      <c r="R281" s="337">
        <v>0</v>
      </c>
      <c r="S281" s="379">
        <v>0</v>
      </c>
      <c r="T281" s="338">
        <v>0</v>
      </c>
      <c r="U281" s="379">
        <v>0</v>
      </c>
      <c r="V281" s="286"/>
      <c r="W281" s="289"/>
      <c r="X281" s="5"/>
    </row>
    <row r="282" spans="1:24" ht="15.75" x14ac:dyDescent="0.25">
      <c r="A282" s="295"/>
      <c r="B282" s="337" t="s">
        <v>160</v>
      </c>
      <c r="C282" s="286"/>
      <c r="D282" s="286"/>
      <c r="E282" s="286"/>
      <c r="F282" s="286"/>
      <c r="G282" s="286"/>
      <c r="H282" s="381"/>
      <c r="I282" s="381"/>
      <c r="J282" s="381"/>
      <c r="K282" s="381"/>
      <c r="L282" s="381"/>
      <c r="M282" s="381"/>
      <c r="N282" s="381"/>
      <c r="O282" s="381"/>
      <c r="P282" s="381"/>
      <c r="Q282" s="381"/>
      <c r="R282" s="337">
        <v>0</v>
      </c>
      <c r="S282" s="379">
        <v>0</v>
      </c>
      <c r="T282" s="338">
        <v>0</v>
      </c>
      <c r="U282" s="379">
        <v>0</v>
      </c>
      <c r="V282" s="286"/>
      <c r="W282" s="289"/>
      <c r="X282" s="5"/>
    </row>
    <row r="283" spans="1:24" ht="15.75" x14ac:dyDescent="0.25">
      <c r="A283" s="295"/>
      <c r="B283" s="337"/>
      <c r="C283" s="286"/>
      <c r="D283" s="286"/>
      <c r="E283" s="286"/>
      <c r="F283" s="286"/>
      <c r="G283" s="286"/>
      <c r="H283" s="381"/>
      <c r="I283" s="381"/>
      <c r="J283" s="381"/>
      <c r="K283" s="381"/>
      <c r="L283" s="381"/>
      <c r="M283" s="381"/>
      <c r="N283" s="381"/>
      <c r="O283" s="381"/>
      <c r="P283" s="381"/>
      <c r="Q283" s="381"/>
      <c r="R283" s="337"/>
      <c r="S283" s="379"/>
      <c r="T283" s="338"/>
      <c r="U283" s="379"/>
      <c r="V283" s="286"/>
      <c r="W283" s="289"/>
      <c r="X283" s="5"/>
    </row>
    <row r="284" spans="1:24" ht="15.75" x14ac:dyDescent="0.25">
      <c r="A284" s="295"/>
      <c r="B284" s="286" t="s">
        <v>114</v>
      </c>
      <c r="C284" s="286"/>
      <c r="D284" s="286"/>
      <c r="E284" s="286"/>
      <c r="F284" s="286"/>
      <c r="G284" s="286"/>
      <c r="H284" s="381"/>
      <c r="I284" s="381"/>
      <c r="J284" s="381"/>
      <c r="K284" s="381"/>
      <c r="L284" s="381"/>
      <c r="M284" s="381"/>
      <c r="N284" s="381"/>
      <c r="O284" s="381"/>
      <c r="P284" s="381"/>
      <c r="Q284" s="381"/>
      <c r="R284" s="337">
        <f>SUM(R275:R282)</f>
        <v>0</v>
      </c>
      <c r="S284" s="379">
        <f>SUM(S275:S282)</f>
        <v>0</v>
      </c>
      <c r="T284" s="338">
        <f>SUM(T275:T282)</f>
        <v>0</v>
      </c>
      <c r="U284" s="379">
        <f>SUM(U275:U282)</f>
        <v>0</v>
      </c>
      <c r="V284" s="286"/>
      <c r="W284" s="289"/>
      <c r="X284" s="5"/>
    </row>
    <row r="285" spans="1:24" ht="15.75" x14ac:dyDescent="0.25">
      <c r="A285" s="295"/>
      <c r="B285" s="286"/>
      <c r="C285" s="286"/>
      <c r="D285" s="286"/>
      <c r="E285" s="286"/>
      <c r="F285" s="286"/>
      <c r="G285" s="286"/>
      <c r="H285" s="381"/>
      <c r="I285" s="381"/>
      <c r="J285" s="381"/>
      <c r="K285" s="381"/>
      <c r="L285" s="381"/>
      <c r="M285" s="381"/>
      <c r="N285" s="381"/>
      <c r="O285" s="381"/>
      <c r="P285" s="381"/>
      <c r="Q285" s="381"/>
      <c r="R285" s="337"/>
      <c r="S285" s="379"/>
      <c r="T285" s="338"/>
      <c r="U285" s="379"/>
      <c r="V285" s="286"/>
      <c r="W285" s="289"/>
      <c r="X285" s="5"/>
    </row>
    <row r="286" spans="1:24" ht="15.75" x14ac:dyDescent="0.25">
      <c r="A286" s="295"/>
      <c r="B286" s="297" t="s">
        <v>164</v>
      </c>
      <c r="C286" s="286"/>
      <c r="D286" s="286"/>
      <c r="E286" s="286"/>
      <c r="F286" s="286"/>
      <c r="G286" s="286"/>
      <c r="H286" s="381"/>
      <c r="I286" s="381"/>
      <c r="J286" s="381"/>
      <c r="K286" s="381"/>
      <c r="L286" s="381"/>
      <c r="M286" s="381"/>
      <c r="N286" s="381"/>
      <c r="O286" s="381"/>
      <c r="P286" s="381"/>
      <c r="Q286" s="381"/>
      <c r="R286" s="384">
        <f>R284+R272+R260</f>
        <v>5888</v>
      </c>
      <c r="S286" s="379"/>
      <c r="T286" s="385">
        <f>+T284+T272+T260</f>
        <v>847171</v>
      </c>
      <c r="U286" s="379"/>
      <c r="V286" s="286"/>
      <c r="W286" s="289"/>
      <c r="X286" s="5"/>
    </row>
    <row r="287" spans="1:24" ht="15.75" x14ac:dyDescent="0.25">
      <c r="A287" s="254"/>
      <c r="B287" s="346"/>
      <c r="C287" s="346"/>
      <c r="D287" s="346"/>
      <c r="E287" s="346"/>
      <c r="F287" s="346"/>
      <c r="G287" s="346"/>
      <c r="H287" s="382"/>
      <c r="I287" s="382"/>
      <c r="J287" s="382"/>
      <c r="K287" s="382"/>
      <c r="L287" s="382"/>
      <c r="M287" s="382"/>
      <c r="N287" s="382"/>
      <c r="O287" s="382"/>
      <c r="P287" s="382"/>
      <c r="Q287" s="382"/>
      <c r="R287" s="382"/>
      <c r="S287" s="382"/>
      <c r="T287" s="383"/>
      <c r="U287" s="382"/>
      <c r="V287" s="346"/>
      <c r="W287" s="346"/>
      <c r="X287" s="5"/>
    </row>
    <row r="288" spans="1:24" ht="15.75" x14ac:dyDescent="0.25">
      <c r="A288" s="254"/>
      <c r="B288" s="255"/>
      <c r="C288" s="255"/>
      <c r="D288" s="255"/>
      <c r="E288" s="255"/>
      <c r="F288" s="255"/>
      <c r="G288" s="255"/>
      <c r="H288" s="256"/>
      <c r="I288" s="256"/>
      <c r="J288" s="256"/>
      <c r="K288" s="256"/>
      <c r="L288" s="256"/>
      <c r="M288" s="256"/>
      <c r="N288" s="256"/>
      <c r="O288" s="256"/>
      <c r="P288" s="256"/>
      <c r="Q288" s="256"/>
      <c r="R288" s="256"/>
      <c r="S288" s="256"/>
      <c r="T288" s="257"/>
      <c r="U288" s="256"/>
      <c r="V288" s="255"/>
      <c r="W288" s="255"/>
      <c r="X288" s="5"/>
    </row>
    <row r="289" spans="1:24" ht="15.75" x14ac:dyDescent="0.25">
      <c r="A289" s="258"/>
      <c r="B289" s="259" t="s">
        <v>91</v>
      </c>
      <c r="C289" s="255"/>
      <c r="D289" s="255"/>
      <c r="E289" s="255"/>
      <c r="F289" s="260" t="s">
        <v>97</v>
      </c>
      <c r="G289" s="255"/>
      <c r="H289" s="259" t="s">
        <v>99</v>
      </c>
      <c r="I289" s="259"/>
      <c r="J289" s="259"/>
      <c r="K289" s="261"/>
      <c r="L289" s="261"/>
      <c r="M289" s="261"/>
      <c r="N289" s="261"/>
      <c r="O289" s="261"/>
      <c r="P289" s="261"/>
      <c r="Q289" s="261"/>
      <c r="R289" s="261"/>
      <c r="S289" s="261"/>
      <c r="T289" s="261"/>
      <c r="U289" s="261"/>
      <c r="V289" s="261"/>
      <c r="W289" s="261"/>
      <c r="X289" s="5"/>
    </row>
    <row r="290" spans="1:24" ht="15.75" x14ac:dyDescent="0.25">
      <c r="A290" s="258"/>
      <c r="B290" s="261"/>
      <c r="C290" s="255"/>
      <c r="D290" s="255"/>
      <c r="E290" s="255"/>
      <c r="F290" s="255"/>
      <c r="G290" s="255"/>
      <c r="H290" s="255"/>
      <c r="I290" s="255"/>
      <c r="J290" s="255"/>
      <c r="K290" s="261"/>
      <c r="L290" s="261"/>
      <c r="M290" s="261"/>
      <c r="N290" s="261"/>
      <c r="O290" s="261"/>
      <c r="P290" s="261"/>
      <c r="Q290" s="261"/>
      <c r="R290" s="261"/>
      <c r="S290" s="261"/>
      <c r="T290" s="261"/>
      <c r="U290" s="261"/>
      <c r="V290" s="261"/>
      <c r="W290" s="261"/>
      <c r="X290" s="5"/>
    </row>
    <row r="291" spans="1:24" ht="15.75" x14ac:dyDescent="0.25">
      <c r="A291" s="258"/>
      <c r="B291" s="259" t="s">
        <v>92</v>
      </c>
      <c r="C291" s="259"/>
      <c r="D291" s="259"/>
      <c r="E291" s="259"/>
      <c r="F291" s="262" t="s">
        <v>148</v>
      </c>
      <c r="G291" s="259"/>
      <c r="H291" s="259" t="s">
        <v>152</v>
      </c>
      <c r="I291" s="259"/>
      <c r="J291" s="259"/>
      <c r="K291" s="261"/>
      <c r="L291" s="261"/>
      <c r="M291" s="261"/>
      <c r="N291" s="261"/>
      <c r="O291" s="261"/>
      <c r="P291" s="261"/>
      <c r="Q291" s="261"/>
      <c r="R291" s="261"/>
      <c r="S291" s="261"/>
      <c r="T291" s="261"/>
      <c r="U291" s="261"/>
      <c r="V291" s="261"/>
      <c r="W291" s="261"/>
      <c r="X291" s="5"/>
    </row>
    <row r="292" spans="1:24" ht="15.75" x14ac:dyDescent="0.25">
      <c r="A292" s="258"/>
      <c r="B292" s="259" t="s">
        <v>265</v>
      </c>
      <c r="C292" s="259"/>
      <c r="D292" s="259"/>
      <c r="E292" s="259"/>
      <c r="F292" s="262" t="s">
        <v>266</v>
      </c>
      <c r="G292" s="259"/>
      <c r="H292" s="259" t="s">
        <v>267</v>
      </c>
      <c r="I292" s="259"/>
      <c r="J292" s="259"/>
      <c r="K292" s="261"/>
      <c r="L292" s="261"/>
      <c r="M292" s="261"/>
      <c r="N292" s="261"/>
      <c r="O292" s="261"/>
      <c r="P292" s="261"/>
      <c r="Q292" s="261"/>
      <c r="R292" s="261"/>
      <c r="S292" s="261"/>
      <c r="T292" s="261"/>
      <c r="U292" s="261"/>
      <c r="V292" s="261"/>
      <c r="W292" s="261"/>
      <c r="X292" s="5"/>
    </row>
    <row r="293" spans="1:24" ht="15.75" x14ac:dyDescent="0.25">
      <c r="A293" s="258"/>
      <c r="B293" s="259" t="s">
        <v>93</v>
      </c>
      <c r="C293" s="259"/>
      <c r="D293" s="259"/>
      <c r="E293" s="259"/>
      <c r="F293" s="262" t="s">
        <v>147</v>
      </c>
      <c r="G293" s="259"/>
      <c r="H293" s="259" t="s">
        <v>153</v>
      </c>
      <c r="I293" s="259"/>
      <c r="J293" s="259"/>
      <c r="K293" s="261"/>
      <c r="L293" s="261"/>
      <c r="M293" s="261"/>
      <c r="N293" s="261"/>
      <c r="O293" s="261"/>
      <c r="P293" s="261"/>
      <c r="Q293" s="261"/>
      <c r="R293" s="261"/>
      <c r="S293" s="261"/>
      <c r="T293" s="261"/>
      <c r="U293" s="261"/>
      <c r="V293" s="261"/>
      <c r="W293" s="261"/>
      <c r="X293" s="5"/>
    </row>
    <row r="294" spans="1:24" ht="15.75" x14ac:dyDescent="0.25">
      <c r="A294" s="258"/>
      <c r="B294" s="259"/>
      <c r="C294" s="259"/>
      <c r="D294" s="259"/>
      <c r="E294" s="259"/>
      <c r="F294" s="259"/>
      <c r="G294" s="263"/>
      <c r="H294" s="261"/>
      <c r="I294" s="261"/>
      <c r="J294" s="261"/>
      <c r="K294" s="261"/>
      <c r="L294" s="261"/>
      <c r="M294" s="261"/>
      <c r="N294" s="261"/>
      <c r="O294" s="261"/>
      <c r="P294" s="261"/>
      <c r="Q294" s="261"/>
      <c r="R294" s="261"/>
      <c r="S294" s="261"/>
      <c r="T294" s="261"/>
      <c r="U294" s="261"/>
      <c r="V294" s="261"/>
      <c r="W294" s="261"/>
      <c r="X294" s="5"/>
    </row>
    <row r="295" spans="1:24" ht="15.75" x14ac:dyDescent="0.25">
      <c r="A295" s="258"/>
      <c r="B295" s="259"/>
      <c r="C295" s="259"/>
      <c r="D295" s="259"/>
      <c r="E295" s="259"/>
      <c r="F295" s="259"/>
      <c r="G295" s="263"/>
      <c r="H295" s="261"/>
      <c r="I295" s="261"/>
      <c r="J295" s="261"/>
      <c r="K295" s="261"/>
      <c r="L295" s="261"/>
      <c r="M295" s="261"/>
      <c r="N295" s="261"/>
      <c r="O295" s="261"/>
      <c r="P295" s="261"/>
      <c r="Q295" s="261"/>
      <c r="R295" s="261"/>
      <c r="S295" s="261"/>
      <c r="T295" s="261"/>
      <c r="U295" s="261"/>
      <c r="V295" s="261"/>
      <c r="W295" s="261"/>
      <c r="X295" s="5"/>
    </row>
    <row r="296" spans="1:24" ht="19.5" thickBot="1" x14ac:dyDescent="0.35">
      <c r="A296" s="258"/>
      <c r="B296" s="264" t="str">
        <f>B200</f>
        <v>PM15 INVESTOR REPORT QUARTER ENDING FEBRUARY 2011</v>
      </c>
      <c r="C296" s="259"/>
      <c r="D296" s="259"/>
      <c r="E296" s="259"/>
      <c r="F296" s="259"/>
      <c r="G296" s="263"/>
      <c r="H296" s="261"/>
      <c r="I296" s="261"/>
      <c r="J296" s="261"/>
      <c r="K296" s="261"/>
      <c r="L296" s="261"/>
      <c r="M296" s="261"/>
      <c r="N296" s="261"/>
      <c r="O296" s="261"/>
      <c r="P296" s="261"/>
      <c r="Q296" s="261"/>
      <c r="R296" s="261"/>
      <c r="S296" s="261"/>
      <c r="T296" s="261"/>
      <c r="U296" s="261"/>
      <c r="V296" s="261"/>
      <c r="W296" s="261"/>
      <c r="X296" s="5"/>
    </row>
    <row r="297" spans="1:24" x14ac:dyDescent="0.2">
      <c r="A297" s="100"/>
      <c r="B297" s="100"/>
      <c r="C297" s="100"/>
      <c r="D297" s="100"/>
      <c r="E297" s="100"/>
      <c r="F297" s="100"/>
      <c r="G297" s="100"/>
      <c r="H297" s="100"/>
      <c r="I297" s="100"/>
      <c r="J297" s="100"/>
      <c r="K297" s="100"/>
      <c r="L297" s="100"/>
      <c r="M297" s="100"/>
      <c r="N297" s="100"/>
      <c r="O297" s="100"/>
      <c r="P297" s="100"/>
      <c r="Q297" s="100"/>
      <c r="R297" s="100"/>
      <c r="S297" s="100"/>
      <c r="T297" s="100"/>
      <c r="U297" s="100"/>
      <c r="V297" s="100"/>
      <c r="W297" s="100"/>
    </row>
  </sheetData>
  <phoneticPr fontId="0" type="noConversion"/>
  <hyperlinks>
    <hyperlink ref="P236" r:id="rId1" xr:uid="{00000000-0004-0000-0D00-000000000000}"/>
    <hyperlink ref="I9" r:id="rId2" xr:uid="{00000000-0004-0000-0D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4" max="14" man="1"/>
    <brk id="200" max="14" man="1"/>
  </rowBreaks>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sheetPr>
  <dimension ref="A1:IV297"/>
  <sheetViews>
    <sheetView showGridLines="0" showOutlineSymbols="0" zoomScale="70" zoomScaleNormal="70" workbookViewId="0"/>
  </sheetViews>
  <sheetFormatPr defaultColWidth="9.6640625" defaultRowHeight="15" x14ac:dyDescent="0.2"/>
  <cols>
    <col min="1" max="1" width="4" style="1" customWidth="1"/>
    <col min="2" max="2" width="71.21875" style="1" customWidth="1"/>
    <col min="3" max="3" width="2.21875" style="1" customWidth="1"/>
    <col min="4" max="4" width="19.33203125" style="1" customWidth="1"/>
    <col min="5" max="5" width="2.21875" style="1" customWidth="1"/>
    <col min="6" max="6" width="25.109375" style="1" customWidth="1"/>
    <col min="7" max="7" width="2.21875" style="1" customWidth="1"/>
    <col min="8" max="8" width="16.21875" style="1" customWidth="1"/>
    <col min="9" max="9" width="2.88671875" style="1" customWidth="1"/>
    <col min="10" max="10" width="16.21875" style="1" customWidth="1"/>
    <col min="11" max="11" width="2.21875" style="1" customWidth="1"/>
    <col min="12" max="12" width="17.88671875" style="1" customWidth="1"/>
    <col min="13" max="13" width="2.33203125" style="1" customWidth="1"/>
    <col min="14" max="14" width="14.88671875" style="1" customWidth="1"/>
    <col min="15" max="15" width="2.33203125" style="1" customWidth="1"/>
    <col min="16" max="16" width="15.5546875" style="1" customWidth="1"/>
    <col min="17" max="17" width="2.21875" style="1" customWidth="1"/>
    <col min="18" max="18" width="15.5546875" style="1" customWidth="1"/>
    <col min="19" max="20" width="12.6640625" style="1" customWidth="1"/>
    <col min="21" max="21" width="7.77734375" style="1" customWidth="1"/>
    <col min="22" max="22" width="14.6640625" style="1" customWidth="1"/>
    <col min="23" max="23" width="11.77734375" style="1" customWidth="1"/>
    <col min="24" max="16384" width="9.6640625" style="1"/>
  </cols>
  <sheetData>
    <row r="1" spans="1:24" ht="20.25" x14ac:dyDescent="0.3">
      <c r="A1" s="179"/>
      <c r="B1" s="274" t="s">
        <v>237</v>
      </c>
      <c r="C1" s="180"/>
      <c r="D1" s="180"/>
      <c r="E1" s="180"/>
      <c r="F1" s="180"/>
      <c r="G1" s="180"/>
      <c r="H1" s="180"/>
      <c r="I1" s="180"/>
      <c r="J1" s="180"/>
      <c r="K1" s="180"/>
      <c r="L1" s="180"/>
      <c r="M1" s="180"/>
      <c r="N1" s="180"/>
      <c r="O1" s="180"/>
      <c r="P1" s="180"/>
      <c r="Q1" s="180"/>
      <c r="R1" s="180"/>
      <c r="S1" s="180"/>
      <c r="T1" s="180"/>
      <c r="U1" s="180"/>
      <c r="V1" s="180"/>
      <c r="W1" s="180"/>
      <c r="X1" s="5"/>
    </row>
    <row r="2" spans="1:24" ht="15.75" x14ac:dyDescent="0.25">
      <c r="A2" s="181"/>
      <c r="B2" s="182"/>
      <c r="C2" s="183"/>
      <c r="D2" s="183"/>
      <c r="E2" s="183"/>
      <c r="F2" s="183"/>
      <c r="G2" s="183"/>
      <c r="H2" s="183"/>
      <c r="I2" s="183"/>
      <c r="J2" s="183"/>
      <c r="K2" s="183"/>
      <c r="L2" s="183"/>
      <c r="M2" s="183"/>
      <c r="N2" s="183"/>
      <c r="O2" s="183"/>
      <c r="P2" s="183"/>
      <c r="Q2" s="183"/>
      <c r="R2" s="183"/>
      <c r="S2" s="183"/>
      <c r="T2" s="183"/>
      <c r="U2" s="183"/>
      <c r="V2" s="183"/>
      <c r="W2" s="183"/>
      <c r="X2" s="5"/>
    </row>
    <row r="3" spans="1:24" ht="15.75" x14ac:dyDescent="0.25">
      <c r="A3" s="184"/>
      <c r="B3" s="185" t="s">
        <v>238</v>
      </c>
      <c r="C3" s="183"/>
      <c r="D3" s="183"/>
      <c r="E3" s="183"/>
      <c r="F3" s="183"/>
      <c r="G3" s="183"/>
      <c r="H3" s="183"/>
      <c r="I3" s="183"/>
      <c r="J3" s="183"/>
      <c r="K3" s="183"/>
      <c r="L3" s="183"/>
      <c r="M3" s="183"/>
      <c r="N3" s="183"/>
      <c r="O3" s="183"/>
      <c r="P3" s="183"/>
      <c r="Q3" s="183"/>
      <c r="R3" s="183"/>
      <c r="S3" s="183"/>
      <c r="T3" s="183"/>
      <c r="U3" s="183"/>
      <c r="V3" s="183"/>
      <c r="W3" s="183"/>
      <c r="X3" s="5"/>
    </row>
    <row r="4" spans="1:24" ht="15.75" x14ac:dyDescent="0.25">
      <c r="A4" s="181"/>
      <c r="B4" s="182"/>
      <c r="C4" s="183"/>
      <c r="D4" s="183"/>
      <c r="E4" s="183"/>
      <c r="F4" s="183"/>
      <c r="G4" s="183"/>
      <c r="H4" s="183"/>
      <c r="I4" s="183"/>
      <c r="J4" s="183"/>
      <c r="K4" s="183"/>
      <c r="L4" s="183"/>
      <c r="M4" s="183"/>
      <c r="N4" s="183"/>
      <c r="O4" s="183"/>
      <c r="P4" s="183"/>
      <c r="Q4" s="183"/>
      <c r="R4" s="183"/>
      <c r="S4" s="183"/>
      <c r="T4" s="183"/>
      <c r="U4" s="183"/>
      <c r="V4" s="183"/>
      <c r="W4" s="183"/>
      <c r="X4" s="5"/>
    </row>
    <row r="5" spans="1:24" ht="15.75" x14ac:dyDescent="0.25">
      <c r="A5" s="181"/>
      <c r="B5" s="275" t="s">
        <v>137</v>
      </c>
      <c r="C5" s="183"/>
      <c r="D5" s="183"/>
      <c r="E5" s="183"/>
      <c r="F5" s="183"/>
      <c r="G5" s="183"/>
      <c r="H5" s="183"/>
      <c r="I5" s="183"/>
      <c r="J5" s="183"/>
      <c r="K5" s="183"/>
      <c r="L5" s="183"/>
      <c r="M5" s="183"/>
      <c r="N5" s="183"/>
      <c r="O5" s="183"/>
      <c r="P5" s="183"/>
      <c r="Q5" s="183"/>
      <c r="R5" s="183"/>
      <c r="S5" s="183"/>
      <c r="T5" s="183"/>
      <c r="U5" s="183"/>
      <c r="V5" s="183"/>
      <c r="W5" s="183"/>
      <c r="X5" s="5"/>
    </row>
    <row r="6" spans="1:24" ht="15.75" x14ac:dyDescent="0.25">
      <c r="A6" s="181"/>
      <c r="B6" s="275" t="s">
        <v>139</v>
      </c>
      <c r="C6" s="183"/>
      <c r="D6" s="183"/>
      <c r="E6" s="183"/>
      <c r="F6" s="183"/>
      <c r="G6" s="183"/>
      <c r="H6" s="183"/>
      <c r="I6" s="183"/>
      <c r="J6" s="183"/>
      <c r="K6" s="183"/>
      <c r="L6" s="183"/>
      <c r="M6" s="183"/>
      <c r="N6" s="183"/>
      <c r="O6" s="183"/>
      <c r="P6" s="183"/>
      <c r="Q6" s="183"/>
      <c r="R6" s="183"/>
      <c r="S6" s="183"/>
      <c r="T6" s="183"/>
      <c r="U6" s="183"/>
      <c r="V6" s="183"/>
      <c r="W6" s="183"/>
      <c r="X6" s="5"/>
    </row>
    <row r="7" spans="1:24" ht="15.75" x14ac:dyDescent="0.25">
      <c r="A7" s="181"/>
      <c r="B7" s="275" t="s">
        <v>138</v>
      </c>
      <c r="C7" s="183"/>
      <c r="D7" s="183"/>
      <c r="E7" s="183"/>
      <c r="F7" s="183"/>
      <c r="G7" s="183"/>
      <c r="H7" s="183"/>
      <c r="I7" s="183"/>
      <c r="J7" s="183"/>
      <c r="K7" s="183"/>
      <c r="L7" s="183"/>
      <c r="M7" s="183"/>
      <c r="N7" s="183"/>
      <c r="O7" s="183"/>
      <c r="P7" s="183"/>
      <c r="Q7" s="183"/>
      <c r="R7" s="183"/>
      <c r="S7" s="183"/>
      <c r="T7" s="183"/>
      <c r="U7" s="183"/>
      <c r="V7" s="183"/>
      <c r="W7" s="183"/>
      <c r="X7" s="5"/>
    </row>
    <row r="8" spans="1:24" ht="15.75" x14ac:dyDescent="0.25">
      <c r="A8" s="181"/>
      <c r="B8" s="186"/>
      <c r="C8" s="183"/>
      <c r="D8" s="183"/>
      <c r="E8" s="183"/>
      <c r="F8" s="183"/>
      <c r="G8" s="183"/>
      <c r="H8" s="183"/>
      <c r="I8" s="183"/>
      <c r="J8" s="183"/>
      <c r="K8" s="183"/>
      <c r="L8" s="183"/>
      <c r="M8" s="183"/>
      <c r="N8" s="183"/>
      <c r="O8" s="183"/>
      <c r="P8" s="183"/>
      <c r="Q8" s="183"/>
      <c r="R8" s="183"/>
      <c r="S8" s="183"/>
      <c r="T8" s="183"/>
      <c r="U8" s="183"/>
      <c r="V8" s="183"/>
      <c r="W8" s="183"/>
      <c r="X8" s="5"/>
    </row>
    <row r="9" spans="1:24" ht="18.75" x14ac:dyDescent="0.3">
      <c r="A9" s="181"/>
      <c r="B9" s="187" t="s">
        <v>166</v>
      </c>
      <c r="C9" s="183"/>
      <c r="D9" s="183"/>
      <c r="E9" s="183"/>
      <c r="F9" s="183"/>
      <c r="G9" s="183"/>
      <c r="H9" s="183"/>
      <c r="I9" s="188" t="s">
        <v>167</v>
      </c>
      <c r="J9" s="183"/>
      <c r="K9" s="183"/>
      <c r="L9" s="188"/>
      <c r="M9" s="183"/>
      <c r="N9" s="188"/>
      <c r="O9" s="183"/>
      <c r="P9" s="183"/>
      <c r="Q9" s="183"/>
      <c r="R9" s="183"/>
      <c r="S9" s="183"/>
      <c r="T9" s="183"/>
      <c r="U9" s="183"/>
      <c r="V9" s="183"/>
      <c r="W9" s="183"/>
      <c r="X9" s="5"/>
    </row>
    <row r="10" spans="1:24" ht="15.75" x14ac:dyDescent="0.25">
      <c r="A10" s="181"/>
      <c r="B10" s="186"/>
      <c r="C10" s="189"/>
      <c r="D10" s="189"/>
      <c r="E10" s="189"/>
      <c r="F10" s="183"/>
      <c r="G10" s="183"/>
      <c r="H10" s="183"/>
      <c r="I10" s="183"/>
      <c r="J10" s="183"/>
      <c r="K10" s="183"/>
      <c r="L10" s="183"/>
      <c r="M10" s="183"/>
      <c r="N10" s="183"/>
      <c r="O10" s="183"/>
      <c r="P10" s="183"/>
      <c r="Q10" s="183"/>
      <c r="R10" s="183"/>
      <c r="S10" s="183"/>
      <c r="T10" s="183"/>
      <c r="U10" s="183"/>
      <c r="V10" s="183"/>
      <c r="W10" s="183"/>
      <c r="X10" s="5"/>
    </row>
    <row r="11" spans="1:24" ht="15.75" x14ac:dyDescent="0.25">
      <c r="A11" s="181"/>
      <c r="B11" s="388" t="s">
        <v>0</v>
      </c>
      <c r="C11" s="183"/>
      <c r="D11" s="183"/>
      <c r="E11" s="183"/>
      <c r="F11" s="183"/>
      <c r="G11" s="183"/>
      <c r="H11" s="183"/>
      <c r="I11" s="183"/>
      <c r="J11" s="183"/>
      <c r="K11" s="183"/>
      <c r="L11" s="183"/>
      <c r="M11" s="183"/>
      <c r="N11" s="183"/>
      <c r="O11" s="183"/>
      <c r="P11" s="183"/>
      <c r="Q11" s="183"/>
      <c r="R11" s="183"/>
      <c r="S11" s="183"/>
      <c r="T11" s="183"/>
      <c r="U11" s="183"/>
      <c r="V11" s="183"/>
      <c r="W11" s="183"/>
      <c r="X11" s="5"/>
    </row>
    <row r="12" spans="1:24" ht="16.5" thickBot="1" x14ac:dyDescent="0.3">
      <c r="A12" s="181"/>
      <c r="B12" s="189"/>
      <c r="C12" s="183"/>
      <c r="D12" s="183"/>
      <c r="E12" s="183"/>
      <c r="F12" s="183"/>
      <c r="G12" s="183"/>
      <c r="H12" s="183"/>
      <c r="I12" s="183"/>
      <c r="J12" s="183"/>
      <c r="K12" s="183"/>
      <c r="L12" s="183"/>
      <c r="M12" s="183"/>
      <c r="N12" s="183"/>
      <c r="O12" s="183"/>
      <c r="P12" s="183"/>
      <c r="Q12" s="183"/>
      <c r="R12" s="183"/>
      <c r="S12" s="183"/>
      <c r="T12" s="183"/>
      <c r="U12" s="183"/>
      <c r="V12" s="183"/>
      <c r="W12" s="183"/>
      <c r="X12" s="5"/>
    </row>
    <row r="13" spans="1:24" ht="15.75" x14ac:dyDescent="0.25">
      <c r="A13" s="179"/>
      <c r="B13" s="180"/>
      <c r="C13" s="180"/>
      <c r="D13" s="180"/>
      <c r="E13" s="180"/>
      <c r="F13" s="180"/>
      <c r="G13" s="180"/>
      <c r="H13" s="180"/>
      <c r="I13" s="180"/>
      <c r="J13" s="180"/>
      <c r="K13" s="180"/>
      <c r="L13" s="180"/>
      <c r="M13" s="180"/>
      <c r="N13" s="180"/>
      <c r="O13" s="180"/>
      <c r="P13" s="180"/>
      <c r="Q13" s="180"/>
      <c r="R13" s="180"/>
      <c r="S13" s="180"/>
      <c r="T13" s="180"/>
      <c r="U13" s="180"/>
      <c r="V13" s="180"/>
      <c r="W13" s="180"/>
      <c r="X13" s="5"/>
    </row>
    <row r="14" spans="1:24" ht="15.75" x14ac:dyDescent="0.25">
      <c r="A14" s="181"/>
      <c r="B14" s="388" t="s">
        <v>1</v>
      </c>
      <c r="C14" s="255"/>
      <c r="D14" s="255"/>
      <c r="E14" s="255"/>
      <c r="F14" s="255"/>
      <c r="G14" s="255"/>
      <c r="H14" s="255"/>
      <c r="I14" s="255"/>
      <c r="J14" s="255"/>
      <c r="K14" s="255"/>
      <c r="L14" s="255"/>
      <c r="M14" s="255"/>
      <c r="N14" s="255"/>
      <c r="O14" s="255"/>
      <c r="P14" s="255"/>
      <c r="Q14" s="255"/>
      <c r="R14" s="255"/>
      <c r="S14" s="255"/>
      <c r="T14" s="255"/>
      <c r="U14" s="255"/>
      <c r="V14" s="276" t="s">
        <v>239</v>
      </c>
      <c r="W14" s="255"/>
      <c r="X14" s="5"/>
    </row>
    <row r="15" spans="1:24" ht="15.75" x14ac:dyDescent="0.25">
      <c r="A15" s="181"/>
      <c r="B15" s="388" t="s">
        <v>2</v>
      </c>
      <c r="C15" s="255"/>
      <c r="D15" s="255"/>
      <c r="E15" s="255"/>
      <c r="F15" s="255"/>
      <c r="G15" s="255"/>
      <c r="H15" s="389"/>
      <c r="I15" s="389"/>
      <c r="J15" s="389"/>
      <c r="K15" s="389"/>
      <c r="L15" s="389"/>
      <c r="M15" s="389"/>
      <c r="N15" s="389"/>
      <c r="O15" s="389"/>
      <c r="P15" s="389"/>
      <c r="Q15" s="389"/>
      <c r="R15" s="389" t="s">
        <v>104</v>
      </c>
      <c r="S15" s="390">
        <v>0.47189999999999999</v>
      </c>
      <c r="T15" s="391" t="s">
        <v>140</v>
      </c>
      <c r="U15" s="390">
        <v>0.52810000000000001</v>
      </c>
      <c r="V15" s="276"/>
      <c r="W15" s="255"/>
      <c r="X15" s="5"/>
    </row>
    <row r="16" spans="1:24" ht="15.75" x14ac:dyDescent="0.25">
      <c r="A16" s="181"/>
      <c r="B16" s="388" t="s">
        <v>3</v>
      </c>
      <c r="C16" s="255"/>
      <c r="D16" s="255"/>
      <c r="E16" s="255"/>
      <c r="F16" s="255"/>
      <c r="G16" s="255"/>
      <c r="H16" s="389"/>
      <c r="I16" s="389"/>
      <c r="J16" s="389"/>
      <c r="K16" s="389"/>
      <c r="L16" s="389"/>
      <c r="M16" s="389"/>
      <c r="N16" s="389"/>
      <c r="O16" s="389"/>
      <c r="P16" s="389"/>
      <c r="Q16" s="389"/>
      <c r="R16" s="389" t="s">
        <v>104</v>
      </c>
      <c r="S16" s="390">
        <v>0.53659999999999997</v>
      </c>
      <c r="T16" s="391" t="s">
        <v>140</v>
      </c>
      <c r="U16" s="390">
        <v>0.46339999999999998</v>
      </c>
      <c r="V16" s="276"/>
      <c r="W16" s="255"/>
      <c r="X16" s="5"/>
    </row>
    <row r="17" spans="1:24" ht="15.75" x14ac:dyDescent="0.25">
      <c r="A17" s="181"/>
      <c r="B17" s="388" t="s">
        <v>4</v>
      </c>
      <c r="C17" s="255"/>
      <c r="D17" s="255"/>
      <c r="E17" s="255"/>
      <c r="F17" s="255"/>
      <c r="G17" s="255"/>
      <c r="H17" s="255"/>
      <c r="I17" s="255"/>
      <c r="J17" s="255"/>
      <c r="K17" s="255"/>
      <c r="L17" s="255"/>
      <c r="M17" s="255"/>
      <c r="N17" s="255"/>
      <c r="O17" s="255"/>
      <c r="P17" s="255"/>
      <c r="Q17" s="255"/>
      <c r="R17" s="255"/>
      <c r="S17" s="255"/>
      <c r="T17" s="255"/>
      <c r="U17" s="255"/>
      <c r="V17" s="392">
        <v>39282</v>
      </c>
      <c r="W17" s="255"/>
      <c r="X17" s="5"/>
    </row>
    <row r="18" spans="1:24" ht="15.75" x14ac:dyDescent="0.25">
      <c r="A18" s="181"/>
      <c r="B18" s="388" t="s">
        <v>5</v>
      </c>
      <c r="C18" s="255"/>
      <c r="D18" s="255"/>
      <c r="E18" s="255"/>
      <c r="F18" s="255"/>
      <c r="G18" s="255"/>
      <c r="H18" s="255"/>
      <c r="I18" s="255"/>
      <c r="J18" s="255"/>
      <c r="K18" s="255"/>
      <c r="L18" s="255"/>
      <c r="M18" s="255"/>
      <c r="N18" s="255"/>
      <c r="O18" s="255"/>
      <c r="P18" s="255"/>
      <c r="Q18" s="255"/>
      <c r="R18" s="255"/>
      <c r="S18" s="255"/>
      <c r="T18" s="255"/>
      <c r="U18" s="255"/>
      <c r="V18" s="392">
        <v>40714</v>
      </c>
      <c r="W18" s="255"/>
      <c r="X18" s="5"/>
    </row>
    <row r="19" spans="1:24" ht="15.75" x14ac:dyDescent="0.25">
      <c r="A19" s="181"/>
      <c r="B19" s="183"/>
      <c r="C19" s="183"/>
      <c r="D19" s="183"/>
      <c r="E19" s="183"/>
      <c r="F19" s="183"/>
      <c r="G19" s="183"/>
      <c r="H19" s="183"/>
      <c r="I19" s="183"/>
      <c r="J19" s="183"/>
      <c r="K19" s="183"/>
      <c r="L19" s="183"/>
      <c r="M19" s="183"/>
      <c r="N19" s="183"/>
      <c r="O19" s="183"/>
      <c r="P19" s="183"/>
      <c r="Q19" s="183"/>
      <c r="R19" s="183"/>
      <c r="S19" s="183"/>
      <c r="T19" s="183"/>
      <c r="U19" s="183"/>
      <c r="V19" s="190"/>
      <c r="W19" s="183"/>
      <c r="X19" s="5"/>
    </row>
    <row r="20" spans="1:24" ht="15.75" x14ac:dyDescent="0.25">
      <c r="A20" s="181"/>
      <c r="B20" s="280" t="s">
        <v>6</v>
      </c>
      <c r="C20" s="255"/>
      <c r="D20" s="255"/>
      <c r="E20" s="255"/>
      <c r="F20" s="255"/>
      <c r="G20" s="255"/>
      <c r="H20" s="255"/>
      <c r="I20" s="255"/>
      <c r="J20" s="255"/>
      <c r="K20" s="255"/>
      <c r="L20" s="255"/>
      <c r="M20" s="255"/>
      <c r="N20" s="255"/>
      <c r="O20" s="255"/>
      <c r="P20" s="255"/>
      <c r="Q20" s="255"/>
      <c r="R20" s="255"/>
      <c r="S20" s="255"/>
      <c r="T20" s="281" t="s">
        <v>105</v>
      </c>
      <c r="U20" s="255"/>
      <c r="V20" s="261"/>
      <c r="W20" s="183"/>
      <c r="X20" s="5"/>
    </row>
    <row r="21" spans="1:24" ht="15.75" x14ac:dyDescent="0.25">
      <c r="A21" s="181"/>
      <c r="B21" s="183"/>
      <c r="C21" s="183"/>
      <c r="D21" s="183"/>
      <c r="E21" s="183"/>
      <c r="F21" s="183"/>
      <c r="G21" s="183"/>
      <c r="H21" s="183"/>
      <c r="I21" s="183"/>
      <c r="J21" s="183"/>
      <c r="K21" s="183"/>
      <c r="L21" s="183"/>
      <c r="M21" s="183"/>
      <c r="N21" s="183"/>
      <c r="O21" s="183"/>
      <c r="P21" s="183"/>
      <c r="Q21" s="183"/>
      <c r="R21" s="183"/>
      <c r="S21" s="183"/>
      <c r="T21" s="183"/>
      <c r="U21" s="183"/>
      <c r="V21" s="192"/>
      <c r="W21" s="183"/>
      <c r="X21" s="5"/>
    </row>
    <row r="22" spans="1:24" ht="15.75" x14ac:dyDescent="0.25">
      <c r="A22" s="224"/>
      <c r="B22" s="225"/>
      <c r="C22" s="226"/>
      <c r="D22" s="226" t="s">
        <v>177</v>
      </c>
      <c r="E22" s="226"/>
      <c r="F22" s="226" t="s">
        <v>178</v>
      </c>
      <c r="G22" s="226"/>
      <c r="H22" s="226" t="s">
        <v>179</v>
      </c>
      <c r="I22" s="226"/>
      <c r="J22" s="226" t="s">
        <v>219</v>
      </c>
      <c r="K22" s="226"/>
      <c r="L22" s="226" t="s">
        <v>180</v>
      </c>
      <c r="M22" s="226"/>
      <c r="N22" s="226" t="s">
        <v>181</v>
      </c>
      <c r="O22" s="226"/>
      <c r="P22" s="226" t="s">
        <v>182</v>
      </c>
      <c r="Q22" s="226"/>
      <c r="R22" s="226"/>
      <c r="S22" s="228"/>
      <c r="T22" s="228"/>
      <c r="U22" s="229"/>
      <c r="V22" s="229"/>
      <c r="W22" s="225"/>
      <c r="X22" s="5"/>
    </row>
    <row r="23" spans="1:24" ht="15.75" x14ac:dyDescent="0.25">
      <c r="A23" s="193"/>
      <c r="B23" s="250" t="s">
        <v>7</v>
      </c>
      <c r="C23" s="282"/>
      <c r="D23" s="282" t="s">
        <v>212</v>
      </c>
      <c r="E23" s="282"/>
      <c r="F23" s="282" t="s">
        <v>141</v>
      </c>
      <c r="G23" s="282"/>
      <c r="H23" s="282" t="s">
        <v>141</v>
      </c>
      <c r="I23" s="282"/>
      <c r="J23" s="282" t="s">
        <v>141</v>
      </c>
      <c r="K23" s="282"/>
      <c r="L23" s="282" t="s">
        <v>183</v>
      </c>
      <c r="M23" s="282"/>
      <c r="N23" s="282" t="s">
        <v>183</v>
      </c>
      <c r="O23" s="282"/>
      <c r="P23" s="282" t="s">
        <v>142</v>
      </c>
      <c r="Q23" s="282"/>
      <c r="R23" s="282"/>
      <c r="S23" s="282"/>
      <c r="T23" s="282"/>
      <c r="U23" s="273"/>
      <c r="V23" s="273"/>
      <c r="W23" s="250"/>
      <c r="X23" s="5"/>
    </row>
    <row r="24" spans="1:24" ht="15.75" x14ac:dyDescent="0.25">
      <c r="A24" s="285"/>
      <c r="B24" s="286" t="s">
        <v>8</v>
      </c>
      <c r="C24" s="287"/>
      <c r="D24" s="287" t="s">
        <v>213</v>
      </c>
      <c r="E24" s="287"/>
      <c r="F24" s="287" t="s">
        <v>143</v>
      </c>
      <c r="G24" s="287"/>
      <c r="H24" s="287" t="s">
        <v>143</v>
      </c>
      <c r="I24" s="287"/>
      <c r="J24" s="287" t="s">
        <v>143</v>
      </c>
      <c r="K24" s="287"/>
      <c r="L24" s="287" t="s">
        <v>165</v>
      </c>
      <c r="M24" s="287"/>
      <c r="N24" s="287" t="s">
        <v>165</v>
      </c>
      <c r="O24" s="287"/>
      <c r="P24" s="287" t="s">
        <v>144</v>
      </c>
      <c r="Q24" s="287"/>
      <c r="R24" s="287"/>
      <c r="S24" s="287"/>
      <c r="T24" s="287"/>
      <c r="U24" s="288"/>
      <c r="V24" s="288"/>
      <c r="W24" s="289"/>
      <c r="X24" s="5"/>
    </row>
    <row r="25" spans="1:24" ht="15.75" x14ac:dyDescent="0.25">
      <c r="A25" s="290"/>
      <c r="B25" s="286" t="s">
        <v>190</v>
      </c>
      <c r="C25" s="292"/>
      <c r="D25" s="287" t="s">
        <v>214</v>
      </c>
      <c r="E25" s="287"/>
      <c r="F25" s="287" t="s">
        <v>143</v>
      </c>
      <c r="G25" s="287"/>
      <c r="H25" s="287" t="s">
        <v>143</v>
      </c>
      <c r="I25" s="287"/>
      <c r="J25" s="287" t="s">
        <v>143</v>
      </c>
      <c r="K25" s="287"/>
      <c r="L25" s="287" t="s">
        <v>165</v>
      </c>
      <c r="M25" s="287"/>
      <c r="N25" s="287" t="s">
        <v>165</v>
      </c>
      <c r="O25" s="287"/>
      <c r="P25" s="287" t="s">
        <v>144</v>
      </c>
      <c r="Q25" s="287"/>
      <c r="R25" s="287"/>
      <c r="S25" s="292"/>
      <c r="T25" s="287"/>
      <c r="U25" s="288"/>
      <c r="V25" s="288"/>
      <c r="W25" s="289"/>
      <c r="X25" s="5"/>
    </row>
    <row r="26" spans="1:24" ht="15.75" x14ac:dyDescent="0.25">
      <c r="A26" s="393"/>
      <c r="B26" s="297" t="s">
        <v>9</v>
      </c>
      <c r="C26" s="292"/>
      <c r="D26" s="292" t="s">
        <v>141</v>
      </c>
      <c r="E26" s="292"/>
      <c r="F26" s="292" t="s">
        <v>141</v>
      </c>
      <c r="G26" s="292"/>
      <c r="H26" s="292" t="s">
        <v>141</v>
      </c>
      <c r="I26" s="292"/>
      <c r="J26" s="292" t="s">
        <v>141</v>
      </c>
      <c r="K26" s="292"/>
      <c r="L26" s="292" t="s">
        <v>183</v>
      </c>
      <c r="M26" s="292"/>
      <c r="N26" s="292" t="s">
        <v>183</v>
      </c>
      <c r="O26" s="292"/>
      <c r="P26" s="292" t="s">
        <v>142</v>
      </c>
      <c r="Q26" s="292"/>
      <c r="R26" s="292"/>
      <c r="S26" s="292"/>
      <c r="T26" s="287"/>
      <c r="U26" s="288"/>
      <c r="V26" s="288"/>
      <c r="W26" s="289"/>
      <c r="X26" s="5"/>
    </row>
    <row r="27" spans="1:24" ht="15.75" x14ac:dyDescent="0.25">
      <c r="A27" s="295"/>
      <c r="B27" s="297" t="s">
        <v>191</v>
      </c>
      <c r="C27" s="287"/>
      <c r="D27" s="292" t="s">
        <v>143</v>
      </c>
      <c r="E27" s="292"/>
      <c r="F27" s="292" t="s">
        <v>143</v>
      </c>
      <c r="G27" s="292"/>
      <c r="H27" s="292" t="s">
        <v>143</v>
      </c>
      <c r="I27" s="292"/>
      <c r="J27" s="292" t="s">
        <v>143</v>
      </c>
      <c r="K27" s="292"/>
      <c r="L27" s="292" t="s">
        <v>165</v>
      </c>
      <c r="M27" s="292"/>
      <c r="N27" s="292" t="s">
        <v>165</v>
      </c>
      <c r="O27" s="292"/>
      <c r="P27" s="292" t="s">
        <v>144</v>
      </c>
      <c r="Q27" s="292"/>
      <c r="R27" s="292"/>
      <c r="S27" s="287"/>
      <c r="T27" s="296"/>
      <c r="U27" s="288"/>
      <c r="V27" s="288"/>
      <c r="W27" s="289"/>
      <c r="X27" s="5"/>
    </row>
    <row r="28" spans="1:24" ht="15.75" x14ac:dyDescent="0.25">
      <c r="A28" s="295"/>
      <c r="B28" s="297" t="s">
        <v>192</v>
      </c>
      <c r="C28" s="287"/>
      <c r="D28" s="292" t="s">
        <v>143</v>
      </c>
      <c r="E28" s="292"/>
      <c r="F28" s="292" t="s">
        <v>143</v>
      </c>
      <c r="G28" s="292"/>
      <c r="H28" s="292" t="s">
        <v>143</v>
      </c>
      <c r="I28" s="292"/>
      <c r="J28" s="292" t="s">
        <v>143</v>
      </c>
      <c r="K28" s="292"/>
      <c r="L28" s="292" t="s">
        <v>165</v>
      </c>
      <c r="M28" s="292"/>
      <c r="N28" s="292" t="s">
        <v>165</v>
      </c>
      <c r="O28" s="292"/>
      <c r="P28" s="292" t="s">
        <v>144</v>
      </c>
      <c r="Q28" s="292"/>
      <c r="R28" s="292"/>
      <c r="S28" s="287"/>
      <c r="T28" s="296"/>
      <c r="U28" s="288"/>
      <c r="V28" s="288"/>
      <c r="W28" s="289"/>
      <c r="X28" s="5"/>
    </row>
    <row r="29" spans="1:24" ht="15.75" x14ac:dyDescent="0.25">
      <c r="A29" s="295"/>
      <c r="B29" s="286" t="s">
        <v>10</v>
      </c>
      <c r="C29" s="298"/>
      <c r="D29" s="287" t="s">
        <v>242</v>
      </c>
      <c r="E29" s="287"/>
      <c r="F29" s="296" t="s">
        <v>244</v>
      </c>
      <c r="G29" s="287"/>
      <c r="H29" s="287" t="s">
        <v>245</v>
      </c>
      <c r="I29" s="287"/>
      <c r="J29" s="287" t="s">
        <v>247</v>
      </c>
      <c r="K29" s="287"/>
      <c r="L29" s="287" t="s">
        <v>248</v>
      </c>
      <c r="M29" s="287"/>
      <c r="N29" s="287" t="s">
        <v>249</v>
      </c>
      <c r="O29" s="287"/>
      <c r="P29" s="287" t="s">
        <v>250</v>
      </c>
      <c r="Q29" s="287"/>
      <c r="R29" s="287"/>
      <c r="S29" s="299"/>
      <c r="T29" s="299"/>
      <c r="U29" s="300"/>
      <c r="V29" s="299"/>
      <c r="W29" s="301"/>
      <c r="X29" s="5"/>
    </row>
    <row r="30" spans="1:24" ht="15.75" x14ac:dyDescent="0.25">
      <c r="A30" s="295"/>
      <c r="B30" s="286" t="s">
        <v>10</v>
      </c>
      <c r="C30" s="298"/>
      <c r="D30" s="287" t="s">
        <v>243</v>
      </c>
      <c r="E30" s="287"/>
      <c r="F30" s="296" t="s">
        <v>118</v>
      </c>
      <c r="G30" s="287"/>
      <c r="H30" s="287" t="s">
        <v>118</v>
      </c>
      <c r="I30" s="287"/>
      <c r="J30" s="287" t="s">
        <v>246</v>
      </c>
      <c r="K30" s="287"/>
      <c r="L30" s="287" t="s">
        <v>118</v>
      </c>
      <c r="M30" s="287"/>
      <c r="N30" s="287" t="s">
        <v>118</v>
      </c>
      <c r="O30" s="287"/>
      <c r="P30" s="287" t="s">
        <v>118</v>
      </c>
      <c r="Q30" s="287"/>
      <c r="R30" s="287"/>
      <c r="S30" s="299"/>
      <c r="T30" s="299"/>
      <c r="U30" s="300"/>
      <c r="V30" s="299"/>
      <c r="W30" s="301"/>
      <c r="X30" s="5"/>
    </row>
    <row r="31" spans="1:24" ht="15.75" x14ac:dyDescent="0.25">
      <c r="A31" s="393"/>
      <c r="B31" s="286" t="s">
        <v>133</v>
      </c>
      <c r="C31" s="310"/>
      <c r="D31" s="303">
        <v>1000000</v>
      </c>
      <c r="E31" s="298"/>
      <c r="F31" s="299">
        <v>209500</v>
      </c>
      <c r="G31" s="299"/>
      <c r="H31" s="304">
        <v>110000</v>
      </c>
      <c r="I31" s="304"/>
      <c r="J31" s="303">
        <v>150000</v>
      </c>
      <c r="K31" s="299"/>
      <c r="L31" s="299">
        <v>17000</v>
      </c>
      <c r="M31" s="299"/>
      <c r="N31" s="304">
        <v>85500</v>
      </c>
      <c r="O31" s="299"/>
      <c r="P31" s="304">
        <v>110500</v>
      </c>
      <c r="Q31" s="299"/>
      <c r="R31" s="304"/>
      <c r="S31" s="312"/>
      <c r="T31" s="312"/>
      <c r="U31" s="306"/>
      <c r="V31" s="312"/>
      <c r="W31" s="301"/>
      <c r="X31" s="5"/>
    </row>
    <row r="32" spans="1:24" ht="15.75" x14ac:dyDescent="0.25">
      <c r="A32" s="295"/>
      <c r="B32" s="286" t="s">
        <v>132</v>
      </c>
      <c r="C32" s="298"/>
      <c r="D32" s="303">
        <f>D31*D38</f>
        <v>819096</v>
      </c>
      <c r="E32" s="298"/>
      <c r="F32" s="299">
        <f>F31*F38</f>
        <v>171600.77959999998</v>
      </c>
      <c r="G32" s="299"/>
      <c r="H32" s="304">
        <f>H31*H38</f>
        <v>90101.021999999997</v>
      </c>
      <c r="I32" s="304"/>
      <c r="J32" s="303">
        <f>J31*J38</f>
        <v>122864.40000000001</v>
      </c>
      <c r="K32" s="299"/>
      <c r="L32" s="299">
        <f>L31*L38</f>
        <v>17000</v>
      </c>
      <c r="M32" s="299"/>
      <c r="N32" s="304">
        <f>N31*N38</f>
        <v>85500</v>
      </c>
      <c r="O32" s="299"/>
      <c r="P32" s="304">
        <f>P31*P38</f>
        <v>110500</v>
      </c>
      <c r="Q32" s="299"/>
      <c r="R32" s="304"/>
      <c r="S32" s="299"/>
      <c r="T32" s="299"/>
      <c r="U32" s="300"/>
      <c r="V32" s="299"/>
      <c r="W32" s="301"/>
      <c r="X32" s="5"/>
    </row>
    <row r="33" spans="1:27" ht="15.75" x14ac:dyDescent="0.25">
      <c r="A33" s="295"/>
      <c r="B33" s="297" t="s">
        <v>134</v>
      </c>
      <c r="C33" s="298"/>
      <c r="D33" s="394">
        <f>D37*D31</f>
        <v>814373.8</v>
      </c>
      <c r="E33" s="310"/>
      <c r="F33" s="312">
        <f>F37*F31</f>
        <v>170611.47869999998</v>
      </c>
      <c r="G33" s="312"/>
      <c r="H33" s="395">
        <f>H31*H37</f>
        <v>89581.601999999999</v>
      </c>
      <c r="I33" s="395"/>
      <c r="J33" s="394">
        <f>J37*J31</f>
        <v>122156.07</v>
      </c>
      <c r="K33" s="312"/>
      <c r="L33" s="312">
        <f>L31*L37</f>
        <v>17000</v>
      </c>
      <c r="M33" s="312"/>
      <c r="N33" s="395">
        <f>N31*N37</f>
        <v>85500</v>
      </c>
      <c r="O33" s="312"/>
      <c r="P33" s="395">
        <f>P31*P37</f>
        <v>110500</v>
      </c>
      <c r="Q33" s="312"/>
      <c r="R33" s="395"/>
      <c r="S33" s="299"/>
      <c r="T33" s="299"/>
      <c r="U33" s="300"/>
      <c r="V33" s="299"/>
      <c r="W33" s="301"/>
      <c r="X33" s="5"/>
    </row>
    <row r="34" spans="1:27" ht="15.75" x14ac:dyDescent="0.25">
      <c r="A34" s="393"/>
      <c r="B34" s="286" t="s">
        <v>286</v>
      </c>
      <c r="C34" s="310"/>
      <c r="D34" s="299">
        <v>492951</v>
      </c>
      <c r="E34" s="298"/>
      <c r="F34" s="299">
        <v>209500</v>
      </c>
      <c r="G34" s="299"/>
      <c r="H34" s="299">
        <v>74677</v>
      </c>
      <c r="I34" s="299"/>
      <c r="J34" s="299">
        <v>73943</v>
      </c>
      <c r="K34" s="299"/>
      <c r="L34" s="299">
        <v>17000</v>
      </c>
      <c r="M34" s="299"/>
      <c r="N34" s="299">
        <v>58045</v>
      </c>
      <c r="O34" s="299"/>
      <c r="P34" s="299">
        <v>75017</v>
      </c>
      <c r="Q34" s="299"/>
      <c r="R34" s="299"/>
      <c r="S34" s="312"/>
      <c r="T34" s="312"/>
      <c r="U34" s="306"/>
      <c r="V34" s="299">
        <f>SUM(C34:R34)</f>
        <v>1001133</v>
      </c>
      <c r="W34" s="301"/>
      <c r="X34" s="5"/>
    </row>
    <row r="35" spans="1:27" ht="15.75" x14ac:dyDescent="0.25">
      <c r="A35" s="393"/>
      <c r="B35" s="286" t="s">
        <v>287</v>
      </c>
      <c r="C35" s="310"/>
      <c r="D35" s="299">
        <f>D34*D38</f>
        <v>403774.19229600002</v>
      </c>
      <c r="E35" s="298"/>
      <c r="F35" s="299">
        <f>F34*F38</f>
        <v>171600.77959999998</v>
      </c>
      <c r="G35" s="299"/>
      <c r="H35" s="299">
        <f>H34*H38</f>
        <v>61167.945635399999</v>
      </c>
      <c r="I35" s="299"/>
      <c r="J35" s="299">
        <f>J34*J38</f>
        <v>60566.415528000005</v>
      </c>
      <c r="K35" s="299"/>
      <c r="L35" s="299">
        <f>L34*L38</f>
        <v>17000</v>
      </c>
      <c r="M35" s="299"/>
      <c r="N35" s="299">
        <f>N34*N38</f>
        <v>58045</v>
      </c>
      <c r="O35" s="299"/>
      <c r="P35" s="299">
        <f>P34*P38</f>
        <v>75017</v>
      </c>
      <c r="Q35" s="299"/>
      <c r="R35" s="299"/>
      <c r="S35" s="299"/>
      <c r="T35" s="299"/>
      <c r="U35" s="300"/>
      <c r="V35" s="299">
        <f>SUM(C35:R35)</f>
        <v>847171.33305939997</v>
      </c>
      <c r="W35" s="301"/>
      <c r="X35" s="5"/>
    </row>
    <row r="36" spans="1:27" ht="15.75" x14ac:dyDescent="0.25">
      <c r="A36" s="393"/>
      <c r="B36" s="297" t="s">
        <v>288</v>
      </c>
      <c r="C36" s="310"/>
      <c r="D36" s="312">
        <f>D34*D37</f>
        <v>401446.37908380001</v>
      </c>
      <c r="E36" s="310"/>
      <c r="F36" s="312">
        <f>F34*F37</f>
        <v>170611.47869999998</v>
      </c>
      <c r="G36" s="312"/>
      <c r="H36" s="312">
        <f>H34*H37</f>
        <v>60815.320841400004</v>
      </c>
      <c r="I36" s="312"/>
      <c r="J36" s="312">
        <f>J34*J37</f>
        <v>60217.241893400002</v>
      </c>
      <c r="K36" s="312"/>
      <c r="L36" s="312">
        <f>L34*L37</f>
        <v>17000</v>
      </c>
      <c r="M36" s="312"/>
      <c r="N36" s="312">
        <f>N34*N37</f>
        <v>58045</v>
      </c>
      <c r="O36" s="312"/>
      <c r="P36" s="312">
        <f>P34*P37</f>
        <v>75017</v>
      </c>
      <c r="Q36" s="312"/>
      <c r="R36" s="312"/>
      <c r="S36" s="311"/>
      <c r="T36" s="311"/>
      <c r="U36" s="300"/>
      <c r="V36" s="312">
        <f>SUM(C36:R36)</f>
        <v>843152.42051859992</v>
      </c>
      <c r="W36" s="301"/>
      <c r="X36" s="5"/>
    </row>
    <row r="37" spans="1:27" ht="15.75" x14ac:dyDescent="0.25">
      <c r="A37" s="285"/>
      <c r="B37" s="313" t="s">
        <v>130</v>
      </c>
      <c r="C37" s="314"/>
      <c r="D37" s="315">
        <v>0.81437380000000004</v>
      </c>
      <c r="E37" s="315"/>
      <c r="F37" s="315">
        <v>0.81437459999999995</v>
      </c>
      <c r="G37" s="315"/>
      <c r="H37" s="315">
        <v>0.81437820000000005</v>
      </c>
      <c r="I37" s="315"/>
      <c r="J37" s="315">
        <v>0.81437380000000004</v>
      </c>
      <c r="K37" s="315"/>
      <c r="L37" s="315">
        <v>1</v>
      </c>
      <c r="M37" s="315"/>
      <c r="N37" s="315">
        <v>1</v>
      </c>
      <c r="O37" s="315"/>
      <c r="P37" s="315">
        <v>1</v>
      </c>
      <c r="Q37" s="315"/>
      <c r="R37" s="315"/>
      <c r="S37" s="316"/>
      <c r="T37" s="316"/>
      <c r="U37" s="317"/>
      <c r="V37" s="317"/>
      <c r="W37" s="318"/>
      <c r="X37" s="5"/>
    </row>
    <row r="38" spans="1:27" ht="15.75" x14ac:dyDescent="0.25">
      <c r="A38" s="285"/>
      <c r="B38" s="313" t="s">
        <v>131</v>
      </c>
      <c r="C38" s="314"/>
      <c r="D38" s="315">
        <v>0.81909600000000005</v>
      </c>
      <c r="E38" s="315"/>
      <c r="F38" s="315">
        <v>0.81909679999999996</v>
      </c>
      <c r="G38" s="315"/>
      <c r="H38" s="315">
        <v>0.81910019999999994</v>
      </c>
      <c r="I38" s="315"/>
      <c r="J38" s="315">
        <v>0.81909600000000005</v>
      </c>
      <c r="K38" s="315"/>
      <c r="L38" s="315">
        <v>1</v>
      </c>
      <c r="M38" s="315"/>
      <c r="N38" s="315">
        <v>1</v>
      </c>
      <c r="O38" s="315"/>
      <c r="P38" s="315">
        <v>1</v>
      </c>
      <c r="Q38" s="315"/>
      <c r="R38" s="315"/>
      <c r="S38" s="319"/>
      <c r="T38" s="320"/>
      <c r="U38" s="317"/>
      <c r="V38" s="319"/>
      <c r="W38" s="318"/>
      <c r="X38" s="5"/>
    </row>
    <row r="39" spans="1:27" ht="15.75" x14ac:dyDescent="0.25">
      <c r="A39" s="285"/>
      <c r="B39" s="286" t="s">
        <v>11</v>
      </c>
      <c r="C39" s="286"/>
      <c r="D39" s="296" t="s">
        <v>278</v>
      </c>
      <c r="E39" s="286"/>
      <c r="F39" s="296" t="s">
        <v>251</v>
      </c>
      <c r="G39" s="296"/>
      <c r="H39" s="296" t="s">
        <v>252</v>
      </c>
      <c r="I39" s="296"/>
      <c r="J39" s="296" t="s">
        <v>253</v>
      </c>
      <c r="K39" s="296"/>
      <c r="L39" s="296" t="s">
        <v>254</v>
      </c>
      <c r="M39" s="296"/>
      <c r="N39" s="296" t="s">
        <v>254</v>
      </c>
      <c r="O39" s="296"/>
      <c r="P39" s="296" t="s">
        <v>255</v>
      </c>
      <c r="Q39" s="296"/>
      <c r="R39" s="296"/>
      <c r="S39" s="321"/>
      <c r="T39" s="322"/>
      <c r="U39" s="288"/>
      <c r="V39" s="288"/>
      <c r="W39" s="289"/>
      <c r="X39" s="5"/>
    </row>
    <row r="40" spans="1:27" ht="15.75" x14ac:dyDescent="0.25">
      <c r="A40" s="285"/>
      <c r="B40" s="286" t="s">
        <v>12</v>
      </c>
      <c r="C40" s="286"/>
      <c r="D40" s="322">
        <v>2.8800000000000002E-3</v>
      </c>
      <c r="E40" s="286"/>
      <c r="F40" s="322">
        <v>9.3562999999999997E-3</v>
      </c>
      <c r="G40" s="321"/>
      <c r="H40" s="322">
        <v>1.2930000000000001E-2</v>
      </c>
      <c r="I40" s="322"/>
      <c r="J40" s="322">
        <v>4.1949999999999999E-3</v>
      </c>
      <c r="K40" s="321"/>
      <c r="L40" s="322">
        <v>1.07563E-2</v>
      </c>
      <c r="M40" s="321"/>
      <c r="N40" s="322">
        <v>1.443E-2</v>
      </c>
      <c r="O40" s="321"/>
      <c r="P40" s="322">
        <v>1.7229999999999999E-2</v>
      </c>
      <c r="Q40" s="321"/>
      <c r="R40" s="322"/>
      <c r="S40" s="321"/>
      <c r="T40" s="322"/>
      <c r="U40" s="288"/>
      <c r="V40" s="296"/>
      <c r="W40" s="289"/>
      <c r="X40" s="5"/>
      <c r="AA40" s="1" t="s">
        <v>193</v>
      </c>
    </row>
    <row r="41" spans="1:27" ht="15.75" x14ac:dyDescent="0.25">
      <c r="A41" s="285"/>
      <c r="B41" s="286" t="s">
        <v>13</v>
      </c>
      <c r="C41" s="286"/>
      <c r="D41" s="322">
        <v>3.5574999999999999E-3</v>
      </c>
      <c r="E41" s="286"/>
      <c r="F41" s="322">
        <v>8.7937999999999992E-3</v>
      </c>
      <c r="G41" s="321"/>
      <c r="H41" s="322">
        <v>1.146E-2</v>
      </c>
      <c r="I41" s="322"/>
      <c r="J41" s="322">
        <v>4.1155999999999996E-3</v>
      </c>
      <c r="K41" s="321"/>
      <c r="L41" s="322">
        <v>1.0193799999999999E-2</v>
      </c>
      <c r="M41" s="321"/>
      <c r="N41" s="322">
        <v>1.2959999999999999E-2</v>
      </c>
      <c r="O41" s="321"/>
      <c r="P41" s="322">
        <v>1.576E-2</v>
      </c>
      <c r="Q41" s="321"/>
      <c r="R41" s="322"/>
      <c r="S41" s="321"/>
      <c r="T41" s="322"/>
      <c r="U41" s="288"/>
      <c r="V41" s="321" t="s">
        <v>193</v>
      </c>
      <c r="W41" s="289"/>
      <c r="X41" s="5"/>
    </row>
    <row r="42" spans="1:27" ht="15.75" x14ac:dyDescent="0.25">
      <c r="A42" s="285"/>
      <c r="B42" s="286" t="s">
        <v>289</v>
      </c>
      <c r="C42" s="286"/>
      <c r="D42" s="296" t="s">
        <v>279</v>
      </c>
      <c r="E42" s="286"/>
      <c r="F42" s="296" t="s">
        <v>251</v>
      </c>
      <c r="G42" s="296"/>
      <c r="H42" s="296" t="s">
        <v>229</v>
      </c>
      <c r="I42" s="296"/>
      <c r="J42" s="296" t="s">
        <v>229</v>
      </c>
      <c r="K42" s="296"/>
      <c r="L42" s="296" t="s">
        <v>254</v>
      </c>
      <c r="M42" s="296"/>
      <c r="N42" s="296" t="s">
        <v>262</v>
      </c>
      <c r="O42" s="296"/>
      <c r="P42" s="296" t="s">
        <v>263</v>
      </c>
      <c r="Q42" s="296"/>
      <c r="R42" s="296"/>
      <c r="S42" s="321"/>
      <c r="T42" s="322"/>
      <c r="U42" s="288"/>
      <c r="V42" s="288"/>
      <c r="W42" s="289"/>
      <c r="X42" s="5"/>
    </row>
    <row r="43" spans="1:27" ht="15.75" x14ac:dyDescent="0.25">
      <c r="A43" s="285"/>
      <c r="B43" s="286" t="s">
        <v>290</v>
      </c>
      <c r="C43" s="323"/>
      <c r="D43" s="322">
        <v>9.1482500000000001E-3</v>
      </c>
      <c r="E43" s="322"/>
      <c r="F43" s="322">
        <f>+F40</f>
        <v>9.3562999999999997E-3</v>
      </c>
      <c r="G43" s="322"/>
      <c r="H43" s="322">
        <v>9.4313000000000001E-3</v>
      </c>
      <c r="I43" s="322"/>
      <c r="J43" s="322">
        <v>9.4462999999999995E-3</v>
      </c>
      <c r="K43" s="322"/>
      <c r="L43" s="322">
        <f>+L40</f>
        <v>1.07563E-2</v>
      </c>
      <c r="M43" s="322"/>
      <c r="N43" s="322">
        <v>1.1123299999999999E-2</v>
      </c>
      <c r="O43" s="322"/>
      <c r="P43" s="322">
        <v>1.42033E-2</v>
      </c>
      <c r="Q43" s="321"/>
      <c r="R43" s="322"/>
      <c r="S43" s="296"/>
      <c r="T43" s="296"/>
      <c r="U43" s="288"/>
      <c r="V43" s="321">
        <f>SUMPRODUCT(D43:R43,D35:R35)/V35</f>
        <v>9.8473532856567098E-3</v>
      </c>
      <c r="W43" s="289"/>
      <c r="X43" s="5"/>
    </row>
    <row r="44" spans="1:27" ht="15.75" x14ac:dyDescent="0.25">
      <c r="A44" s="285"/>
      <c r="B44" s="286" t="s">
        <v>291</v>
      </c>
      <c r="C44" s="323"/>
      <c r="D44" s="322">
        <v>8.5857499999999996E-3</v>
      </c>
      <c r="E44" s="322"/>
      <c r="F44" s="322">
        <f>+F41</f>
        <v>8.7937999999999992E-3</v>
      </c>
      <c r="G44" s="322"/>
      <c r="H44" s="322">
        <v>8.8687999999999996E-3</v>
      </c>
      <c r="I44" s="322"/>
      <c r="J44" s="322">
        <v>8.8838000000000007E-3</v>
      </c>
      <c r="K44" s="322"/>
      <c r="L44" s="322">
        <f>+L41</f>
        <v>1.0193799999999999E-2</v>
      </c>
      <c r="M44" s="322"/>
      <c r="N44" s="322">
        <v>1.05608E-2</v>
      </c>
      <c r="O44" s="322"/>
      <c r="P44" s="322">
        <v>1.36408E-2</v>
      </c>
      <c r="Q44" s="321"/>
      <c r="R44" s="322"/>
      <c r="S44" s="296"/>
      <c r="T44" s="296"/>
      <c r="U44" s="288"/>
      <c r="V44" s="288"/>
      <c r="W44" s="289"/>
      <c r="X44" s="5"/>
    </row>
    <row r="45" spans="1:27" ht="15.75" x14ac:dyDescent="0.25">
      <c r="A45" s="285"/>
      <c r="B45" s="286" t="s">
        <v>14</v>
      </c>
      <c r="C45" s="286"/>
      <c r="D45" s="323">
        <v>40709</v>
      </c>
      <c r="E45" s="323"/>
      <c r="F45" s="323">
        <v>40709</v>
      </c>
      <c r="G45" s="323"/>
      <c r="H45" s="323">
        <v>40709</v>
      </c>
      <c r="I45" s="323"/>
      <c r="J45" s="323">
        <v>40709</v>
      </c>
      <c r="K45" s="323"/>
      <c r="L45" s="323">
        <v>40709</v>
      </c>
      <c r="M45" s="323"/>
      <c r="N45" s="323">
        <v>40709</v>
      </c>
      <c r="O45" s="323"/>
      <c r="P45" s="323">
        <v>40709</v>
      </c>
      <c r="Q45" s="323"/>
      <c r="R45" s="323"/>
      <c r="S45" s="296"/>
      <c r="T45" s="296"/>
      <c r="U45" s="288"/>
      <c r="V45" s="288"/>
      <c r="W45" s="289"/>
      <c r="X45" s="5"/>
    </row>
    <row r="46" spans="1:27" ht="15.75" x14ac:dyDescent="0.25">
      <c r="A46" s="285"/>
      <c r="B46" s="286" t="s">
        <v>15</v>
      </c>
      <c r="C46" s="286"/>
      <c r="D46" s="323" t="s">
        <v>118</v>
      </c>
      <c r="E46" s="323"/>
      <c r="F46" s="323">
        <v>41075</v>
      </c>
      <c r="G46" s="323"/>
      <c r="H46" s="323">
        <v>41075</v>
      </c>
      <c r="I46" s="323"/>
      <c r="J46" s="323">
        <v>41075</v>
      </c>
      <c r="K46" s="296"/>
      <c r="L46" s="323">
        <v>41075</v>
      </c>
      <c r="M46" s="296"/>
      <c r="N46" s="323">
        <v>41075</v>
      </c>
      <c r="O46" s="296"/>
      <c r="P46" s="323">
        <v>41075</v>
      </c>
      <c r="Q46" s="296"/>
      <c r="R46" s="323"/>
      <c r="S46" s="296"/>
      <c r="T46" s="296"/>
      <c r="U46" s="288"/>
      <c r="V46" s="288"/>
      <c r="W46" s="289"/>
      <c r="X46" s="5"/>
    </row>
    <row r="47" spans="1:27" ht="15.75" x14ac:dyDescent="0.25">
      <c r="A47" s="285"/>
      <c r="B47" s="286" t="s">
        <v>119</v>
      </c>
      <c r="C47" s="286"/>
      <c r="D47" s="296" t="s">
        <v>118</v>
      </c>
      <c r="E47" s="286"/>
      <c r="F47" s="296" t="s">
        <v>256</v>
      </c>
      <c r="G47" s="296"/>
      <c r="H47" s="296" t="s">
        <v>257</v>
      </c>
      <c r="I47" s="296"/>
      <c r="J47" s="296" t="s">
        <v>258</v>
      </c>
      <c r="K47" s="296"/>
      <c r="L47" s="296" t="s">
        <v>259</v>
      </c>
      <c r="M47" s="296"/>
      <c r="N47" s="296" t="s">
        <v>259</v>
      </c>
      <c r="O47" s="296"/>
      <c r="P47" s="296" t="s">
        <v>260</v>
      </c>
      <c r="Q47" s="296"/>
      <c r="R47" s="296"/>
      <c r="S47" s="325"/>
      <c r="T47" s="325"/>
      <c r="U47" s="325"/>
      <c r="V47" s="325"/>
      <c r="W47" s="289"/>
      <c r="X47" s="5"/>
    </row>
    <row r="48" spans="1:27" ht="15.75" x14ac:dyDescent="0.25">
      <c r="A48" s="285"/>
      <c r="B48" s="286" t="s">
        <v>292</v>
      </c>
      <c r="C48" s="286"/>
      <c r="D48" s="296" t="s">
        <v>200</v>
      </c>
      <c r="E48" s="286"/>
      <c r="F48" s="296" t="s">
        <v>256</v>
      </c>
      <c r="G48" s="296"/>
      <c r="H48" s="296" t="s">
        <v>261</v>
      </c>
      <c r="I48" s="296"/>
      <c r="J48" s="296" t="s">
        <v>261</v>
      </c>
      <c r="K48" s="296"/>
      <c r="L48" s="296" t="s">
        <v>259</v>
      </c>
      <c r="M48" s="296"/>
      <c r="N48" s="296" t="s">
        <v>263</v>
      </c>
      <c r="O48" s="296"/>
      <c r="P48" s="296" t="s">
        <v>264</v>
      </c>
      <c r="Q48" s="296"/>
      <c r="R48" s="296"/>
      <c r="S48" s="286"/>
      <c r="T48" s="286"/>
      <c r="U48" s="286"/>
      <c r="V48" s="321"/>
      <c r="W48" s="289"/>
      <c r="X48" s="5"/>
    </row>
    <row r="49" spans="1:25" ht="15.75" x14ac:dyDescent="0.25">
      <c r="A49" s="285"/>
      <c r="B49" s="286"/>
      <c r="C49" s="286"/>
      <c r="D49" s="296"/>
      <c r="E49" s="286"/>
      <c r="F49" s="296"/>
      <c r="G49" s="296"/>
      <c r="H49" s="296"/>
      <c r="I49" s="296"/>
      <c r="J49" s="296"/>
      <c r="K49" s="296"/>
      <c r="L49" s="296"/>
      <c r="M49" s="296"/>
      <c r="N49" s="296"/>
      <c r="O49" s="296"/>
      <c r="P49" s="296"/>
      <c r="Q49" s="296"/>
      <c r="R49" s="296"/>
      <c r="S49" s="286"/>
      <c r="T49" s="286"/>
      <c r="U49" s="286"/>
      <c r="V49" s="321" t="s">
        <v>193</v>
      </c>
      <c r="W49" s="289"/>
      <c r="X49" s="5"/>
    </row>
    <row r="50" spans="1:25" ht="15.75" x14ac:dyDescent="0.25">
      <c r="A50" s="285"/>
      <c r="B50" s="286" t="s">
        <v>169</v>
      </c>
      <c r="C50" s="286"/>
      <c r="D50" s="296"/>
      <c r="E50" s="286"/>
      <c r="F50" s="296"/>
      <c r="G50" s="296"/>
      <c r="H50" s="296"/>
      <c r="I50" s="296"/>
      <c r="J50" s="296"/>
      <c r="K50" s="296"/>
      <c r="L50" s="296"/>
      <c r="M50" s="296"/>
      <c r="N50" s="296"/>
      <c r="O50" s="296"/>
      <c r="P50" s="296"/>
      <c r="Q50" s="296"/>
      <c r="R50" s="296"/>
      <c r="S50" s="286"/>
      <c r="T50" s="286"/>
      <c r="U50" s="286"/>
      <c r="V50" s="321">
        <f>SUM(L34:R34)/SUM(D34:J34)</f>
        <v>0.17632136449250416</v>
      </c>
      <c r="W50" s="289"/>
      <c r="X50" s="5"/>
    </row>
    <row r="51" spans="1:25" ht="15.75" x14ac:dyDescent="0.25">
      <c r="A51" s="285"/>
      <c r="B51" s="286" t="s">
        <v>170</v>
      </c>
      <c r="C51" s="286"/>
      <c r="D51" s="286"/>
      <c r="E51" s="286"/>
      <c r="F51" s="326"/>
      <c r="G51" s="286"/>
      <c r="H51" s="286"/>
      <c r="I51" s="286"/>
      <c r="J51" s="286"/>
      <c r="K51" s="286"/>
      <c r="L51" s="286"/>
      <c r="M51" s="286"/>
      <c r="N51" s="286"/>
      <c r="O51" s="286"/>
      <c r="P51" s="286"/>
      <c r="Q51" s="286"/>
      <c r="R51" s="286"/>
      <c r="S51" s="286"/>
      <c r="T51" s="286"/>
      <c r="U51" s="286"/>
      <c r="V51" s="321">
        <f>SUM(L36:R36)/SUM(D36:J36)</f>
        <v>0.21651143279071322</v>
      </c>
      <c r="W51" s="289"/>
      <c r="X51" s="5"/>
    </row>
    <row r="52" spans="1:25" ht="15.75" x14ac:dyDescent="0.25">
      <c r="A52" s="285"/>
      <c r="B52" s="286" t="s">
        <v>171</v>
      </c>
      <c r="C52" s="286"/>
      <c r="D52" s="286"/>
      <c r="E52" s="286"/>
      <c r="F52" s="286"/>
      <c r="G52" s="286"/>
      <c r="H52" s="286"/>
      <c r="I52" s="286"/>
      <c r="J52" s="286"/>
      <c r="K52" s="286"/>
      <c r="L52" s="286"/>
      <c r="M52" s="286"/>
      <c r="N52" s="286"/>
      <c r="O52" s="286"/>
      <c r="P52" s="286"/>
      <c r="Q52" s="286"/>
      <c r="R52" s="286"/>
      <c r="S52" s="286"/>
      <c r="T52" s="296"/>
      <c r="U52" s="296"/>
      <c r="V52" s="299" t="s">
        <v>268</v>
      </c>
      <c r="W52" s="289"/>
      <c r="X52" s="5"/>
    </row>
    <row r="53" spans="1:25" ht="15.75" x14ac:dyDescent="0.25">
      <c r="A53" s="285"/>
      <c r="B53" s="286"/>
      <c r="C53" s="286"/>
      <c r="D53" s="286"/>
      <c r="E53" s="286"/>
      <c r="F53" s="286"/>
      <c r="G53" s="286"/>
      <c r="H53" s="286"/>
      <c r="I53" s="286"/>
      <c r="J53" s="286"/>
      <c r="K53" s="286"/>
      <c r="L53" s="286"/>
      <c r="M53" s="286"/>
      <c r="N53" s="286"/>
      <c r="O53" s="286"/>
      <c r="P53" s="286"/>
      <c r="Q53" s="286"/>
      <c r="R53" s="286"/>
      <c r="S53" s="286"/>
      <c r="T53" s="286"/>
      <c r="U53" s="286"/>
      <c r="V53" s="327"/>
      <c r="W53" s="289"/>
      <c r="X53" s="5"/>
    </row>
    <row r="54" spans="1:25" ht="15.75" x14ac:dyDescent="0.25">
      <c r="A54" s="285"/>
      <c r="B54" s="286" t="s">
        <v>202</v>
      </c>
      <c r="C54" s="286"/>
      <c r="D54" s="286"/>
      <c r="E54" s="286"/>
      <c r="F54" s="286"/>
      <c r="G54" s="286"/>
      <c r="H54" s="286"/>
      <c r="I54" s="286"/>
      <c r="J54" s="286"/>
      <c r="K54" s="286"/>
      <c r="L54" s="286"/>
      <c r="M54" s="286"/>
      <c r="N54" s="286"/>
      <c r="O54" s="286"/>
      <c r="P54" s="286"/>
      <c r="Q54" s="286"/>
      <c r="R54" s="286"/>
      <c r="S54" s="286"/>
      <c r="T54" s="286"/>
      <c r="U54" s="286"/>
      <c r="V54" s="311" t="s">
        <v>203</v>
      </c>
      <c r="W54" s="289"/>
      <c r="X54" s="5"/>
    </row>
    <row r="55" spans="1:25" ht="15.75" x14ac:dyDescent="0.25">
      <c r="A55" s="285"/>
      <c r="B55" s="286" t="s">
        <v>270</v>
      </c>
      <c r="C55" s="286"/>
      <c r="D55" s="286"/>
      <c r="E55" s="286"/>
      <c r="F55" s="286"/>
      <c r="G55" s="286"/>
      <c r="H55" s="286"/>
      <c r="I55" s="286"/>
      <c r="J55" s="286"/>
      <c r="K55" s="286"/>
      <c r="L55" s="286"/>
      <c r="M55" s="286"/>
      <c r="N55" s="286"/>
      <c r="O55" s="286"/>
      <c r="P55" s="286"/>
      <c r="Q55" s="286"/>
      <c r="R55" s="286"/>
      <c r="S55" s="286"/>
      <c r="T55" s="296"/>
      <c r="U55" s="296"/>
      <c r="V55" s="396" t="s">
        <v>111</v>
      </c>
      <c r="W55" s="289"/>
      <c r="X55" s="5"/>
    </row>
    <row r="56" spans="1:25" ht="15.75" x14ac:dyDescent="0.25">
      <c r="A56" s="285"/>
      <c r="B56" s="297" t="s">
        <v>201</v>
      </c>
      <c r="C56" s="297"/>
      <c r="D56" s="297"/>
      <c r="E56" s="297"/>
      <c r="F56" s="297"/>
      <c r="G56" s="297"/>
      <c r="H56" s="297"/>
      <c r="I56" s="297"/>
      <c r="J56" s="297"/>
      <c r="K56" s="297"/>
      <c r="L56" s="297"/>
      <c r="M56" s="297"/>
      <c r="N56" s="297"/>
      <c r="O56" s="297"/>
      <c r="P56" s="297"/>
      <c r="Q56" s="297"/>
      <c r="R56" s="297"/>
      <c r="S56" s="297"/>
      <c r="T56" s="397"/>
      <c r="U56" s="397"/>
      <c r="V56" s="398">
        <v>40709</v>
      </c>
      <c r="W56" s="289"/>
      <c r="X56" s="5"/>
    </row>
    <row r="57" spans="1:25" ht="15.75" x14ac:dyDescent="0.25">
      <c r="A57" s="285"/>
      <c r="B57" s="286" t="s">
        <v>121</v>
      </c>
      <c r="C57" s="286"/>
      <c r="D57" s="286"/>
      <c r="E57" s="286"/>
      <c r="F57" s="286"/>
      <c r="G57" s="286"/>
      <c r="H57" s="332"/>
      <c r="I57" s="332"/>
      <c r="J57" s="332"/>
      <c r="K57" s="332"/>
      <c r="L57" s="332"/>
      <c r="M57" s="332"/>
      <c r="N57" s="332"/>
      <c r="O57" s="332"/>
      <c r="P57" s="332"/>
      <c r="Q57" s="332"/>
      <c r="R57" s="286">
        <f>+V57-T57+1</f>
        <v>90</v>
      </c>
      <c r="S57" s="332"/>
      <c r="T57" s="333">
        <v>40527</v>
      </c>
      <c r="U57" s="334"/>
      <c r="V57" s="333">
        <v>40616</v>
      </c>
      <c r="W57" s="289"/>
      <c r="X57" s="5"/>
    </row>
    <row r="58" spans="1:25" ht="15.75" x14ac:dyDescent="0.25">
      <c r="A58" s="285"/>
      <c r="B58" s="286" t="s">
        <v>122</v>
      </c>
      <c r="C58" s="286"/>
      <c r="D58" s="286"/>
      <c r="E58" s="286"/>
      <c r="F58" s="286"/>
      <c r="G58" s="286"/>
      <c r="H58" s="286"/>
      <c r="I58" s="286"/>
      <c r="J58" s="286"/>
      <c r="K58" s="286"/>
      <c r="L58" s="286"/>
      <c r="M58" s="286"/>
      <c r="N58" s="286"/>
      <c r="O58" s="286"/>
      <c r="P58" s="286"/>
      <c r="Q58" s="286"/>
      <c r="R58" s="286">
        <f>+V58-T58+1</f>
        <v>92</v>
      </c>
      <c r="S58" s="286"/>
      <c r="T58" s="333">
        <v>40617</v>
      </c>
      <c r="U58" s="334"/>
      <c r="V58" s="333">
        <v>40708</v>
      </c>
      <c r="W58" s="289"/>
      <c r="X58" s="5"/>
    </row>
    <row r="59" spans="1:25" ht="15.75" x14ac:dyDescent="0.25">
      <c r="A59" s="285"/>
      <c r="B59" s="286" t="s">
        <v>223</v>
      </c>
      <c r="C59" s="286"/>
      <c r="D59" s="286"/>
      <c r="E59" s="286"/>
      <c r="F59" s="286"/>
      <c r="G59" s="286"/>
      <c r="H59" s="286"/>
      <c r="I59" s="286"/>
      <c r="J59" s="286"/>
      <c r="K59" s="286"/>
      <c r="L59" s="286"/>
      <c r="M59" s="286"/>
      <c r="N59" s="286"/>
      <c r="O59" s="286"/>
      <c r="P59" s="286"/>
      <c r="Q59" s="286"/>
      <c r="R59" s="286"/>
      <c r="S59" s="286"/>
      <c r="T59" s="333"/>
      <c r="U59" s="334"/>
      <c r="V59" s="333" t="s">
        <v>120</v>
      </c>
      <c r="W59" s="289"/>
      <c r="X59" s="5"/>
    </row>
    <row r="60" spans="1:25" ht="15.75" x14ac:dyDescent="0.25">
      <c r="A60" s="285"/>
      <c r="B60" s="286" t="s">
        <v>271</v>
      </c>
      <c r="C60" s="286"/>
      <c r="D60" s="286"/>
      <c r="E60" s="286"/>
      <c r="F60" s="286"/>
      <c r="G60" s="286"/>
      <c r="H60" s="286"/>
      <c r="I60" s="286"/>
      <c r="J60" s="286"/>
      <c r="K60" s="286"/>
      <c r="L60" s="286"/>
      <c r="M60" s="286"/>
      <c r="N60" s="286"/>
      <c r="O60" s="286"/>
      <c r="P60" s="286"/>
      <c r="Q60" s="286"/>
      <c r="R60" s="286"/>
      <c r="S60" s="286"/>
      <c r="T60" s="333"/>
      <c r="U60" s="334"/>
      <c r="V60" s="333" t="s">
        <v>154</v>
      </c>
      <c r="W60" s="289"/>
      <c r="X60" s="5"/>
      <c r="Y60" s="133"/>
    </row>
    <row r="61" spans="1:25" ht="15.75" x14ac:dyDescent="0.25">
      <c r="A61" s="285"/>
      <c r="B61" s="286" t="s">
        <v>16</v>
      </c>
      <c r="C61" s="286"/>
      <c r="D61" s="286"/>
      <c r="E61" s="286"/>
      <c r="F61" s="286"/>
      <c r="G61" s="286"/>
      <c r="H61" s="286"/>
      <c r="I61" s="286"/>
      <c r="J61" s="286"/>
      <c r="K61" s="286"/>
      <c r="L61" s="286"/>
      <c r="M61" s="286"/>
      <c r="N61" s="286"/>
      <c r="O61" s="286"/>
      <c r="P61" s="286"/>
      <c r="Q61" s="286"/>
      <c r="R61" s="286"/>
      <c r="S61" s="286"/>
      <c r="T61" s="333"/>
      <c r="U61" s="334"/>
      <c r="V61" s="333">
        <v>40695</v>
      </c>
      <c r="W61" s="289"/>
      <c r="X61" s="5"/>
    </row>
    <row r="62" spans="1:25" ht="15.75" x14ac:dyDescent="0.25">
      <c r="A62" s="181"/>
      <c r="B62" s="212"/>
      <c r="C62" s="212"/>
      <c r="D62" s="212"/>
      <c r="E62" s="212"/>
      <c r="F62" s="212"/>
      <c r="G62" s="212"/>
      <c r="H62" s="212"/>
      <c r="I62" s="212"/>
      <c r="J62" s="212"/>
      <c r="K62" s="212"/>
      <c r="L62" s="212"/>
      <c r="M62" s="212"/>
      <c r="N62" s="212"/>
      <c r="O62" s="212"/>
      <c r="P62" s="212"/>
      <c r="Q62" s="212"/>
      <c r="R62" s="212"/>
      <c r="S62" s="212"/>
      <c r="T62" s="283"/>
      <c r="U62" s="284"/>
      <c r="V62" s="283"/>
      <c r="W62" s="212"/>
      <c r="X62" s="5"/>
    </row>
    <row r="63" spans="1:25" ht="15.75" x14ac:dyDescent="0.25">
      <c r="A63" s="181"/>
      <c r="B63" s="183"/>
      <c r="C63" s="183"/>
      <c r="D63" s="183"/>
      <c r="E63" s="183"/>
      <c r="F63" s="183"/>
      <c r="G63" s="183"/>
      <c r="H63" s="183"/>
      <c r="I63" s="183"/>
      <c r="J63" s="183"/>
      <c r="K63" s="183"/>
      <c r="L63" s="183"/>
      <c r="M63" s="183"/>
      <c r="N63" s="183"/>
      <c r="O63" s="183"/>
      <c r="P63" s="183"/>
      <c r="Q63" s="183"/>
      <c r="R63" s="183"/>
      <c r="S63" s="183"/>
      <c r="T63" s="195"/>
      <c r="U63" s="196"/>
      <c r="V63" s="195"/>
      <c r="W63" s="183"/>
      <c r="X63" s="5"/>
    </row>
    <row r="64" spans="1:25" ht="19.5" thickBot="1" x14ac:dyDescent="0.35">
      <c r="A64" s="197"/>
      <c r="B64" s="270" t="s">
        <v>300</v>
      </c>
      <c r="C64" s="198"/>
      <c r="D64" s="198"/>
      <c r="E64" s="198"/>
      <c r="F64" s="198"/>
      <c r="G64" s="198"/>
      <c r="H64" s="198"/>
      <c r="I64" s="198"/>
      <c r="J64" s="198"/>
      <c r="K64" s="198"/>
      <c r="L64" s="198"/>
      <c r="M64" s="198"/>
      <c r="N64" s="198"/>
      <c r="O64" s="198"/>
      <c r="P64" s="198"/>
      <c r="Q64" s="198"/>
      <c r="R64" s="198"/>
      <c r="S64" s="198"/>
      <c r="T64" s="198"/>
      <c r="U64" s="198"/>
      <c r="V64" s="199"/>
      <c r="W64" s="200"/>
      <c r="X64" s="5"/>
    </row>
    <row r="65" spans="1:24" ht="15.75" x14ac:dyDescent="0.25">
      <c r="A65" s="224"/>
      <c r="B65" s="230" t="s">
        <v>17</v>
      </c>
      <c r="C65" s="225"/>
      <c r="D65" s="225"/>
      <c r="E65" s="225"/>
      <c r="F65" s="225"/>
      <c r="G65" s="225"/>
      <c r="H65" s="225"/>
      <c r="I65" s="225"/>
      <c r="J65" s="225"/>
      <c r="K65" s="225"/>
      <c r="L65" s="225"/>
      <c r="M65" s="225"/>
      <c r="N65" s="225"/>
      <c r="O65" s="225"/>
      <c r="P65" s="225"/>
      <c r="Q65" s="225"/>
      <c r="R65" s="225"/>
      <c r="S65" s="225"/>
      <c r="T65" s="225"/>
      <c r="U65" s="225"/>
      <c r="V65" s="231"/>
      <c r="W65" s="225"/>
      <c r="X65" s="5"/>
    </row>
    <row r="66" spans="1:24" ht="15.75" x14ac:dyDescent="0.25">
      <c r="A66" s="181"/>
      <c r="B66" s="189"/>
      <c r="C66" s="183"/>
      <c r="D66" s="183"/>
      <c r="E66" s="183"/>
      <c r="F66" s="183"/>
      <c r="G66" s="183"/>
      <c r="H66" s="183"/>
      <c r="I66" s="183"/>
      <c r="J66" s="183"/>
      <c r="K66" s="183"/>
      <c r="L66" s="183"/>
      <c r="M66" s="183"/>
      <c r="N66" s="183"/>
      <c r="O66" s="183"/>
      <c r="P66" s="183"/>
      <c r="Q66" s="183"/>
      <c r="R66" s="183"/>
      <c r="S66" s="183"/>
      <c r="T66" s="183"/>
      <c r="U66" s="183"/>
      <c r="V66" s="202"/>
      <c r="W66" s="183"/>
      <c r="X66" s="5"/>
    </row>
    <row r="67" spans="1:24" ht="47.25" x14ac:dyDescent="0.25">
      <c r="A67" s="181"/>
      <c r="B67" s="203" t="s">
        <v>18</v>
      </c>
      <c r="C67" s="204"/>
      <c r="D67" s="204"/>
      <c r="E67" s="204"/>
      <c r="F67" s="204"/>
      <c r="G67" s="204"/>
      <c r="H67" s="204"/>
      <c r="I67" s="204"/>
      <c r="J67" s="204"/>
      <c r="K67" s="204"/>
      <c r="L67" s="204" t="s">
        <v>94</v>
      </c>
      <c r="M67" s="204"/>
      <c r="N67" s="204" t="s">
        <v>96</v>
      </c>
      <c r="O67" s="204"/>
      <c r="P67" s="204" t="s">
        <v>98</v>
      </c>
      <c r="Q67" s="204"/>
      <c r="R67" s="204" t="s">
        <v>100</v>
      </c>
      <c r="S67" s="204"/>
      <c r="T67" s="204" t="s">
        <v>106</v>
      </c>
      <c r="U67" s="204"/>
      <c r="V67" s="205" t="s">
        <v>112</v>
      </c>
      <c r="W67" s="206"/>
      <c r="X67" s="5"/>
    </row>
    <row r="68" spans="1:24" ht="15.75" x14ac:dyDescent="0.25">
      <c r="A68" s="285"/>
      <c r="B68" s="286" t="s">
        <v>19</v>
      </c>
      <c r="C68" s="337"/>
      <c r="D68" s="337"/>
      <c r="E68" s="337"/>
      <c r="F68" s="337"/>
      <c r="G68" s="337"/>
      <c r="H68" s="337"/>
      <c r="I68" s="337"/>
      <c r="J68" s="337"/>
      <c r="K68" s="337"/>
      <c r="L68" s="337">
        <v>812446</v>
      </c>
      <c r="M68" s="337"/>
      <c r="N68" s="338">
        <v>847171</v>
      </c>
      <c r="O68" s="337"/>
      <c r="P68" s="337">
        <f>4019+42+112</f>
        <v>4173</v>
      </c>
      <c r="Q68" s="337"/>
      <c r="R68" s="337">
        <f>42+112</f>
        <v>154</v>
      </c>
      <c r="S68" s="337"/>
      <c r="T68" s="337">
        <v>0</v>
      </c>
      <c r="U68" s="337"/>
      <c r="V68" s="338">
        <f>+N68-P68+R68-T68</f>
        <v>843152</v>
      </c>
      <c r="W68" s="289"/>
      <c r="X68" s="5"/>
    </row>
    <row r="69" spans="1:24" ht="15.75" x14ac:dyDescent="0.25">
      <c r="A69" s="285"/>
      <c r="B69" s="286" t="s">
        <v>20</v>
      </c>
      <c r="C69" s="337"/>
      <c r="D69" s="337"/>
      <c r="E69" s="337"/>
      <c r="F69" s="337"/>
      <c r="G69" s="337"/>
      <c r="H69" s="337"/>
      <c r="I69" s="337"/>
      <c r="J69" s="337"/>
      <c r="K69" s="337"/>
      <c r="L69" s="337">
        <v>0</v>
      </c>
      <c r="M69" s="337"/>
      <c r="N69" s="338">
        <v>0</v>
      </c>
      <c r="O69" s="337"/>
      <c r="P69" s="337">
        <v>0</v>
      </c>
      <c r="Q69" s="337"/>
      <c r="R69" s="337">
        <v>0</v>
      </c>
      <c r="S69" s="337"/>
      <c r="T69" s="337">
        <v>0</v>
      </c>
      <c r="U69" s="337"/>
      <c r="V69" s="338">
        <f>+L69-P69</f>
        <v>0</v>
      </c>
      <c r="W69" s="289"/>
      <c r="X69" s="5"/>
    </row>
    <row r="70" spans="1:24" ht="15.75" x14ac:dyDescent="0.25">
      <c r="A70" s="285"/>
      <c r="B70" s="286"/>
      <c r="C70" s="337"/>
      <c r="D70" s="337"/>
      <c r="E70" s="337"/>
      <c r="F70" s="337"/>
      <c r="G70" s="337"/>
      <c r="H70" s="337"/>
      <c r="I70" s="337"/>
      <c r="J70" s="337"/>
      <c r="K70" s="337"/>
      <c r="L70" s="337"/>
      <c r="M70" s="337"/>
      <c r="N70" s="338"/>
      <c r="O70" s="337"/>
      <c r="P70" s="337"/>
      <c r="Q70" s="337"/>
      <c r="R70" s="337"/>
      <c r="S70" s="337"/>
      <c r="T70" s="337"/>
      <c r="U70" s="337"/>
      <c r="V70" s="338"/>
      <c r="W70" s="289"/>
      <c r="X70" s="5"/>
    </row>
    <row r="71" spans="1:24" ht="15.75" x14ac:dyDescent="0.25">
      <c r="A71" s="285"/>
      <c r="B71" s="286" t="s">
        <v>21</v>
      </c>
      <c r="C71" s="337"/>
      <c r="D71" s="337"/>
      <c r="E71" s="337"/>
      <c r="F71" s="337"/>
      <c r="G71" s="337"/>
      <c r="H71" s="337"/>
      <c r="I71" s="337"/>
      <c r="J71" s="337"/>
      <c r="K71" s="337"/>
      <c r="L71" s="337">
        <f>SUM(L68:L70)</f>
        <v>812446</v>
      </c>
      <c r="M71" s="337"/>
      <c r="N71" s="337">
        <f>N68+N69</f>
        <v>847171</v>
      </c>
      <c r="O71" s="337"/>
      <c r="P71" s="337">
        <f>SUM(P68:P70)</f>
        <v>4173</v>
      </c>
      <c r="Q71" s="337"/>
      <c r="R71" s="337">
        <f>SUM(R68:R70)</f>
        <v>154</v>
      </c>
      <c r="S71" s="337"/>
      <c r="T71" s="337">
        <f>SUM(T68:T70)</f>
        <v>0</v>
      </c>
      <c r="U71" s="337"/>
      <c r="V71" s="337">
        <f>SUM(V68:V70)</f>
        <v>843152</v>
      </c>
      <c r="W71" s="289"/>
      <c r="X71" s="5"/>
    </row>
    <row r="72" spans="1:24" ht="15.75" x14ac:dyDescent="0.25">
      <c r="A72" s="181"/>
      <c r="B72" s="212"/>
      <c r="C72" s="335"/>
      <c r="D72" s="335"/>
      <c r="E72" s="335"/>
      <c r="F72" s="335"/>
      <c r="G72" s="335"/>
      <c r="H72" s="335"/>
      <c r="I72" s="335"/>
      <c r="J72" s="335"/>
      <c r="K72" s="335"/>
      <c r="L72" s="335"/>
      <c r="M72" s="335"/>
      <c r="N72" s="335"/>
      <c r="O72" s="335"/>
      <c r="P72" s="335"/>
      <c r="Q72" s="335"/>
      <c r="R72" s="335"/>
      <c r="S72" s="335"/>
      <c r="T72" s="335"/>
      <c r="U72" s="335"/>
      <c r="V72" s="336"/>
      <c r="W72" s="212"/>
      <c r="X72" s="5"/>
    </row>
    <row r="73" spans="1:24" ht="15.75" x14ac:dyDescent="0.25">
      <c r="A73" s="181"/>
      <c r="B73" s="185" t="s">
        <v>22</v>
      </c>
      <c r="C73" s="207"/>
      <c r="D73" s="207"/>
      <c r="E73" s="207"/>
      <c r="F73" s="207"/>
      <c r="G73" s="207"/>
      <c r="H73" s="207"/>
      <c r="I73" s="207"/>
      <c r="J73" s="207"/>
      <c r="K73" s="207"/>
      <c r="L73" s="207"/>
      <c r="M73" s="207"/>
      <c r="N73" s="207"/>
      <c r="O73" s="207"/>
      <c r="P73" s="207"/>
      <c r="Q73" s="207"/>
      <c r="R73" s="207"/>
      <c r="S73" s="207"/>
      <c r="T73" s="207"/>
      <c r="U73" s="207"/>
      <c r="V73" s="208"/>
      <c r="W73" s="183"/>
      <c r="X73" s="5"/>
    </row>
    <row r="74" spans="1:24" ht="15.75" x14ac:dyDescent="0.25">
      <c r="A74" s="181"/>
      <c r="B74" s="183"/>
      <c r="C74" s="207"/>
      <c r="D74" s="207"/>
      <c r="E74" s="207"/>
      <c r="F74" s="207"/>
      <c r="G74" s="207"/>
      <c r="H74" s="207"/>
      <c r="I74" s="207"/>
      <c r="J74" s="207"/>
      <c r="K74" s="207"/>
      <c r="L74" s="207"/>
      <c r="M74" s="207"/>
      <c r="N74" s="207"/>
      <c r="O74" s="207"/>
      <c r="P74" s="207"/>
      <c r="Q74" s="207"/>
      <c r="R74" s="207"/>
      <c r="S74" s="207"/>
      <c r="T74" s="207"/>
      <c r="U74" s="207"/>
      <c r="V74" s="208"/>
      <c r="W74" s="183"/>
      <c r="X74" s="5"/>
    </row>
    <row r="75" spans="1:24" ht="15.75" x14ac:dyDescent="0.25">
      <c r="A75" s="285"/>
      <c r="B75" s="286" t="s">
        <v>19</v>
      </c>
      <c r="C75" s="337"/>
      <c r="D75" s="337"/>
      <c r="E75" s="337"/>
      <c r="F75" s="337"/>
      <c r="G75" s="337"/>
      <c r="H75" s="337"/>
      <c r="I75" s="337"/>
      <c r="J75" s="337"/>
      <c r="K75" s="337"/>
      <c r="L75" s="337"/>
      <c r="M75" s="337"/>
      <c r="N75" s="337"/>
      <c r="O75" s="337"/>
      <c r="P75" s="337"/>
      <c r="Q75" s="337"/>
      <c r="R75" s="337"/>
      <c r="S75" s="337"/>
      <c r="T75" s="337"/>
      <c r="U75" s="337"/>
      <c r="V75" s="337"/>
      <c r="W75" s="289"/>
      <c r="X75" s="5"/>
    </row>
    <row r="76" spans="1:24" ht="15.75" x14ac:dyDescent="0.25">
      <c r="A76" s="285"/>
      <c r="B76" s="286" t="s">
        <v>20</v>
      </c>
      <c r="C76" s="337"/>
      <c r="D76" s="337"/>
      <c r="E76" s="337"/>
      <c r="F76" s="337"/>
      <c r="G76" s="337"/>
      <c r="H76" s="337"/>
      <c r="I76" s="337"/>
      <c r="J76" s="337"/>
      <c r="K76" s="337"/>
      <c r="L76" s="337"/>
      <c r="M76" s="337"/>
      <c r="N76" s="337"/>
      <c r="O76" s="337"/>
      <c r="P76" s="337"/>
      <c r="Q76" s="337"/>
      <c r="R76" s="337"/>
      <c r="S76" s="337"/>
      <c r="T76" s="337"/>
      <c r="U76" s="337"/>
      <c r="V76" s="337"/>
      <c r="W76" s="289"/>
      <c r="X76" s="5"/>
    </row>
    <row r="77" spans="1:24" ht="15.75" x14ac:dyDescent="0.25">
      <c r="A77" s="285"/>
      <c r="B77" s="286"/>
      <c r="C77" s="337"/>
      <c r="D77" s="337"/>
      <c r="E77" s="337"/>
      <c r="F77" s="337"/>
      <c r="G77" s="337"/>
      <c r="H77" s="337"/>
      <c r="I77" s="337"/>
      <c r="J77" s="337"/>
      <c r="K77" s="337"/>
      <c r="L77" s="337"/>
      <c r="M77" s="337"/>
      <c r="N77" s="337"/>
      <c r="O77" s="337"/>
      <c r="P77" s="337"/>
      <c r="Q77" s="337"/>
      <c r="R77" s="337"/>
      <c r="S77" s="337"/>
      <c r="T77" s="337"/>
      <c r="U77" s="337"/>
      <c r="V77" s="337"/>
      <c r="W77" s="289"/>
      <c r="X77" s="5"/>
    </row>
    <row r="78" spans="1:24" ht="15.75" x14ac:dyDescent="0.25">
      <c r="A78" s="285"/>
      <c r="B78" s="286" t="s">
        <v>21</v>
      </c>
      <c r="C78" s="337"/>
      <c r="D78" s="337"/>
      <c r="E78" s="337"/>
      <c r="F78" s="337"/>
      <c r="G78" s="337"/>
      <c r="H78" s="337"/>
      <c r="I78" s="337"/>
      <c r="J78" s="337"/>
      <c r="K78" s="337"/>
      <c r="L78" s="337"/>
      <c r="M78" s="337"/>
      <c r="N78" s="337"/>
      <c r="O78" s="337"/>
      <c r="P78" s="337"/>
      <c r="Q78" s="337"/>
      <c r="R78" s="337"/>
      <c r="S78" s="337"/>
      <c r="T78" s="337"/>
      <c r="U78" s="337"/>
      <c r="V78" s="337"/>
      <c r="W78" s="289"/>
      <c r="X78" s="5"/>
    </row>
    <row r="79" spans="1:24" ht="15.75" x14ac:dyDescent="0.25">
      <c r="A79" s="285"/>
      <c r="B79" s="286"/>
      <c r="C79" s="337"/>
      <c r="D79" s="337"/>
      <c r="E79" s="337"/>
      <c r="F79" s="337"/>
      <c r="G79" s="337"/>
      <c r="H79" s="337"/>
      <c r="I79" s="337"/>
      <c r="J79" s="337"/>
      <c r="K79" s="337"/>
      <c r="L79" s="337"/>
      <c r="M79" s="337"/>
      <c r="N79" s="337"/>
      <c r="O79" s="337"/>
      <c r="P79" s="337"/>
      <c r="Q79" s="337"/>
      <c r="R79" s="337"/>
      <c r="S79" s="337"/>
      <c r="T79" s="337"/>
      <c r="U79" s="337"/>
      <c r="V79" s="337"/>
      <c r="W79" s="289"/>
      <c r="X79" s="5"/>
    </row>
    <row r="80" spans="1:24" ht="15.75" x14ac:dyDescent="0.25">
      <c r="A80" s="285"/>
      <c r="B80" s="286" t="s">
        <v>23</v>
      </c>
      <c r="C80" s="337"/>
      <c r="D80" s="337"/>
      <c r="E80" s="337"/>
      <c r="F80" s="337"/>
      <c r="G80" s="337"/>
      <c r="H80" s="337"/>
      <c r="I80" s="337"/>
      <c r="J80" s="337"/>
      <c r="K80" s="337"/>
      <c r="L80" s="337">
        <v>0</v>
      </c>
      <c r="M80" s="337"/>
      <c r="N80" s="337">
        <v>0</v>
      </c>
      <c r="O80" s="337"/>
      <c r="P80" s="337"/>
      <c r="Q80" s="337"/>
      <c r="R80" s="337"/>
      <c r="S80" s="337"/>
      <c r="T80" s="337"/>
      <c r="U80" s="337"/>
      <c r="V80" s="338">
        <v>0</v>
      </c>
      <c r="W80" s="289"/>
      <c r="X80" s="5"/>
    </row>
    <row r="81" spans="1:24" ht="15.75" x14ac:dyDescent="0.25">
      <c r="A81" s="285"/>
      <c r="B81" s="286" t="s">
        <v>117</v>
      </c>
      <c r="C81" s="337"/>
      <c r="D81" s="337"/>
      <c r="E81" s="337"/>
      <c r="F81" s="337"/>
      <c r="G81" s="337"/>
      <c r="H81" s="337"/>
      <c r="I81" s="337"/>
      <c r="J81" s="337"/>
      <c r="K81" s="337"/>
      <c r="L81" s="337">
        <v>188687</v>
      </c>
      <c r="M81" s="337"/>
      <c r="N81" s="337">
        <v>0</v>
      </c>
      <c r="O81" s="337"/>
      <c r="P81" s="337">
        <v>0</v>
      </c>
      <c r="Q81" s="337"/>
      <c r="R81" s="337"/>
      <c r="S81" s="337"/>
      <c r="T81" s="337"/>
      <c r="U81" s="337"/>
      <c r="V81" s="337">
        <f>SUM(N81:R81)</f>
        <v>0</v>
      </c>
      <c r="W81" s="289"/>
      <c r="X81" s="5"/>
    </row>
    <row r="82" spans="1:24" ht="15.75" x14ac:dyDescent="0.25">
      <c r="A82" s="285"/>
      <c r="B82" s="286"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89"/>
      <c r="X82" s="5"/>
    </row>
    <row r="83" spans="1:24" ht="15.75" x14ac:dyDescent="0.25">
      <c r="A83" s="285"/>
      <c r="B83" s="286" t="s">
        <v>25</v>
      </c>
      <c r="C83" s="337"/>
      <c r="D83" s="337"/>
      <c r="E83" s="337"/>
      <c r="F83" s="337"/>
      <c r="G83" s="337"/>
      <c r="H83" s="337"/>
      <c r="I83" s="337"/>
      <c r="J83" s="337"/>
      <c r="K83" s="337"/>
      <c r="L83" s="337">
        <v>0</v>
      </c>
      <c r="M83" s="337"/>
      <c r="N83" s="337">
        <v>0</v>
      </c>
      <c r="O83" s="337"/>
      <c r="P83" s="337"/>
      <c r="Q83" s="337"/>
      <c r="R83" s="337"/>
      <c r="S83" s="337"/>
      <c r="T83" s="337"/>
      <c r="U83" s="337"/>
      <c r="V83" s="337">
        <v>0</v>
      </c>
      <c r="W83" s="289"/>
      <c r="X83" s="5"/>
    </row>
    <row r="84" spans="1:24" ht="15.75" x14ac:dyDescent="0.25">
      <c r="A84" s="285"/>
      <c r="B84" s="286" t="s">
        <v>26</v>
      </c>
      <c r="C84" s="337"/>
      <c r="D84" s="337"/>
      <c r="E84" s="337"/>
      <c r="F84" s="337"/>
      <c r="G84" s="337"/>
      <c r="H84" s="337"/>
      <c r="I84" s="337"/>
      <c r="J84" s="337"/>
      <c r="K84" s="337"/>
      <c r="L84" s="337">
        <f>SUM(L71:L83)</f>
        <v>1001133</v>
      </c>
      <c r="M84" s="337"/>
      <c r="N84" s="337">
        <f>SUM(N71:N83)</f>
        <v>847171</v>
      </c>
      <c r="O84" s="337"/>
      <c r="P84" s="337"/>
      <c r="Q84" s="337"/>
      <c r="R84" s="337"/>
      <c r="S84" s="337"/>
      <c r="T84" s="337"/>
      <c r="U84" s="337"/>
      <c r="V84" s="337">
        <f>SUM(V71:V83)</f>
        <v>843152</v>
      </c>
      <c r="W84" s="289"/>
      <c r="X84" s="5"/>
    </row>
    <row r="85" spans="1:24" ht="15.75" x14ac:dyDescent="0.25">
      <c r="A85" s="181"/>
      <c r="B85" s="212"/>
      <c r="C85" s="335"/>
      <c r="D85" s="335"/>
      <c r="E85" s="335"/>
      <c r="F85" s="335"/>
      <c r="G85" s="335"/>
      <c r="H85" s="335"/>
      <c r="I85" s="335"/>
      <c r="J85" s="335"/>
      <c r="K85" s="335"/>
      <c r="L85" s="335"/>
      <c r="M85" s="335"/>
      <c r="N85" s="335"/>
      <c r="O85" s="335"/>
      <c r="P85" s="335"/>
      <c r="Q85" s="335"/>
      <c r="R85" s="335"/>
      <c r="S85" s="335"/>
      <c r="T85" s="335"/>
      <c r="U85" s="335"/>
      <c r="V85" s="336"/>
      <c r="W85" s="212"/>
      <c r="X85" s="5"/>
    </row>
    <row r="86" spans="1:24" ht="15.75" x14ac:dyDescent="0.25">
      <c r="A86" s="181"/>
      <c r="B86" s="183"/>
      <c r="C86" s="183"/>
      <c r="D86" s="183"/>
      <c r="E86" s="183"/>
      <c r="F86" s="183"/>
      <c r="G86" s="183"/>
      <c r="H86" s="183"/>
      <c r="I86" s="183"/>
      <c r="J86" s="183"/>
      <c r="K86" s="183"/>
      <c r="L86" s="183"/>
      <c r="M86" s="183"/>
      <c r="N86" s="183"/>
      <c r="O86" s="183"/>
      <c r="P86" s="183"/>
      <c r="Q86" s="183"/>
      <c r="R86" s="183"/>
      <c r="S86" s="183"/>
      <c r="T86" s="183"/>
      <c r="U86" s="183"/>
      <c r="V86" s="183"/>
      <c r="W86" s="183"/>
      <c r="X86" s="5"/>
    </row>
    <row r="87" spans="1:24" ht="15.75" x14ac:dyDescent="0.25">
      <c r="A87" s="224"/>
      <c r="B87" s="399" t="s">
        <v>27</v>
      </c>
      <c r="C87" s="399"/>
      <c r="D87" s="399"/>
      <c r="E87" s="399"/>
      <c r="F87" s="399"/>
      <c r="G87" s="399"/>
      <c r="H87" s="400"/>
      <c r="I87" s="400"/>
      <c r="J87" s="400"/>
      <c r="K87" s="400"/>
      <c r="L87" s="401" t="s">
        <v>95</v>
      </c>
      <c r="M87" s="400"/>
      <c r="N87" s="402">
        <f>+T201</f>
        <v>40694</v>
      </c>
      <c r="O87" s="400"/>
      <c r="P87" s="400"/>
      <c r="Q87" s="400"/>
      <c r="R87" s="400"/>
      <c r="S87" s="400"/>
      <c r="T87" s="400" t="s">
        <v>107</v>
      </c>
      <c r="U87" s="400"/>
      <c r="V87" s="400" t="s">
        <v>113</v>
      </c>
      <c r="W87" s="225"/>
      <c r="X87" s="5"/>
    </row>
    <row r="88" spans="1:24" ht="15.75" x14ac:dyDescent="0.25">
      <c r="A88" s="248"/>
      <c r="B88" s="250" t="s">
        <v>28</v>
      </c>
      <c r="C88" s="194"/>
      <c r="D88" s="194"/>
      <c r="E88" s="194"/>
      <c r="F88" s="194"/>
      <c r="G88" s="194"/>
      <c r="H88" s="194"/>
      <c r="I88" s="194"/>
      <c r="J88" s="194"/>
      <c r="K88" s="194"/>
      <c r="L88" s="194"/>
      <c r="M88" s="194"/>
      <c r="N88" s="194"/>
      <c r="O88" s="194"/>
      <c r="P88" s="194"/>
      <c r="Q88" s="194"/>
      <c r="R88" s="194"/>
      <c r="S88" s="194"/>
      <c r="T88" s="249">
        <v>0</v>
      </c>
      <c r="U88" s="250"/>
      <c r="V88" s="253">
        <v>0</v>
      </c>
      <c r="W88" s="194"/>
      <c r="X88" s="5"/>
    </row>
    <row r="89" spans="1:24" ht="15.75" x14ac:dyDescent="0.25">
      <c r="A89" s="295"/>
      <c r="B89" s="286" t="s">
        <v>29</v>
      </c>
      <c r="C89" s="314"/>
      <c r="D89" s="314"/>
      <c r="E89" s="314"/>
      <c r="F89" s="314"/>
      <c r="G89" s="314"/>
      <c r="H89" s="339"/>
      <c r="I89" s="339"/>
      <c r="J89" s="339"/>
      <c r="K89" s="340"/>
      <c r="L89" s="339"/>
      <c r="M89" s="314"/>
      <c r="N89" s="341"/>
      <c r="O89" s="314"/>
      <c r="P89" s="314"/>
      <c r="Q89" s="314"/>
      <c r="R89" s="314"/>
      <c r="S89" s="314"/>
      <c r="T89" s="337">
        <f>4173-350</f>
        <v>3823</v>
      </c>
      <c r="U89" s="286"/>
      <c r="V89" s="338"/>
      <c r="W89" s="318"/>
      <c r="X89" s="5"/>
    </row>
    <row r="90" spans="1:24" ht="15.75" x14ac:dyDescent="0.25">
      <c r="A90" s="295"/>
      <c r="B90" s="286" t="s">
        <v>215</v>
      </c>
      <c r="C90" s="314"/>
      <c r="D90" s="314"/>
      <c r="E90" s="314"/>
      <c r="F90" s="314"/>
      <c r="G90" s="314"/>
      <c r="H90" s="339"/>
      <c r="I90" s="339"/>
      <c r="J90" s="339"/>
      <c r="K90" s="340"/>
      <c r="L90" s="339"/>
      <c r="M90" s="314"/>
      <c r="N90" s="341"/>
      <c r="O90" s="314"/>
      <c r="P90" s="314"/>
      <c r="Q90" s="314"/>
      <c r="R90" s="314"/>
      <c r="S90" s="314"/>
      <c r="T90" s="337"/>
      <c r="U90" s="286"/>
      <c r="V90" s="338">
        <f>3483+3174-324-397+42</f>
        <v>5978</v>
      </c>
      <c r="W90" s="318"/>
      <c r="X90" s="5"/>
    </row>
    <row r="91" spans="1:24" ht="15.75" x14ac:dyDescent="0.25">
      <c r="A91" s="295"/>
      <c r="B91" s="286" t="s">
        <v>210</v>
      </c>
      <c r="C91" s="314"/>
      <c r="D91" s="314"/>
      <c r="E91" s="314"/>
      <c r="F91" s="314"/>
      <c r="G91" s="314"/>
      <c r="H91" s="339"/>
      <c r="I91" s="339"/>
      <c r="J91" s="339"/>
      <c r="K91" s="340"/>
      <c r="L91" s="339"/>
      <c r="M91" s="314"/>
      <c r="N91" s="341"/>
      <c r="O91" s="314"/>
      <c r="P91" s="314"/>
      <c r="Q91" s="314"/>
      <c r="R91" s="314"/>
      <c r="S91" s="314"/>
      <c r="T91" s="337"/>
      <c r="U91" s="286"/>
      <c r="V91" s="338">
        <f>61+29</f>
        <v>90</v>
      </c>
      <c r="W91" s="318"/>
      <c r="X91" s="5"/>
    </row>
    <row r="92" spans="1:24" ht="15.75" x14ac:dyDescent="0.25">
      <c r="A92" s="295"/>
      <c r="B92" s="286" t="s">
        <v>211</v>
      </c>
      <c r="C92" s="314"/>
      <c r="D92" s="314"/>
      <c r="E92" s="314"/>
      <c r="F92" s="314"/>
      <c r="G92" s="314"/>
      <c r="H92" s="339"/>
      <c r="I92" s="339"/>
      <c r="J92" s="339"/>
      <c r="K92" s="340"/>
      <c r="L92" s="339"/>
      <c r="M92" s="314"/>
      <c r="N92" s="341"/>
      <c r="O92" s="314"/>
      <c r="P92" s="314"/>
      <c r="Q92" s="314"/>
      <c r="R92" s="314"/>
      <c r="S92" s="314"/>
      <c r="T92" s="337"/>
      <c r="U92" s="286"/>
      <c r="V92" s="338">
        <v>51</v>
      </c>
      <c r="W92" s="318"/>
      <c r="X92" s="5"/>
    </row>
    <row r="93" spans="1:24" ht="15.75" x14ac:dyDescent="0.25">
      <c r="A93" s="295"/>
      <c r="B93" s="286" t="s">
        <v>233</v>
      </c>
      <c r="C93" s="314"/>
      <c r="D93" s="314"/>
      <c r="E93" s="314"/>
      <c r="F93" s="314"/>
      <c r="G93" s="314"/>
      <c r="H93" s="339"/>
      <c r="I93" s="339"/>
      <c r="J93" s="339"/>
      <c r="K93" s="340"/>
      <c r="L93" s="339"/>
      <c r="M93" s="314"/>
      <c r="N93" s="341"/>
      <c r="O93" s="314"/>
      <c r="P93" s="314"/>
      <c r="Q93" s="314"/>
      <c r="R93" s="314"/>
      <c r="S93" s="314"/>
      <c r="T93" s="337"/>
      <c r="U93" s="286"/>
      <c r="V93" s="338">
        <v>0</v>
      </c>
      <c r="W93" s="318"/>
      <c r="X93" s="5"/>
    </row>
    <row r="94" spans="1:24" ht="15.75" x14ac:dyDescent="0.25">
      <c r="A94" s="295"/>
      <c r="B94" s="286" t="s">
        <v>235</v>
      </c>
      <c r="C94" s="314"/>
      <c r="D94" s="314"/>
      <c r="E94" s="314"/>
      <c r="F94" s="314"/>
      <c r="G94" s="314"/>
      <c r="H94" s="339"/>
      <c r="I94" s="339"/>
      <c r="J94" s="339"/>
      <c r="K94" s="340"/>
      <c r="L94" s="339"/>
      <c r="M94" s="314"/>
      <c r="N94" s="341"/>
      <c r="O94" s="314"/>
      <c r="P94" s="314"/>
      <c r="Q94" s="314"/>
      <c r="R94" s="314"/>
      <c r="S94" s="314"/>
      <c r="T94" s="337"/>
      <c r="U94" s="286"/>
      <c r="V94" s="338">
        <v>0</v>
      </c>
      <c r="W94" s="318"/>
      <c r="X94" s="5"/>
    </row>
    <row r="95" spans="1:24" ht="15.75" x14ac:dyDescent="0.25">
      <c r="A95" s="295"/>
      <c r="B95" s="286" t="s">
        <v>135</v>
      </c>
      <c r="C95" s="314"/>
      <c r="D95" s="314"/>
      <c r="E95" s="314"/>
      <c r="F95" s="314"/>
      <c r="G95" s="314"/>
      <c r="H95" s="314"/>
      <c r="I95" s="314"/>
      <c r="J95" s="314"/>
      <c r="K95" s="314"/>
      <c r="L95" s="314"/>
      <c r="M95" s="314"/>
      <c r="N95" s="314"/>
      <c r="O95" s="314"/>
      <c r="P95" s="314"/>
      <c r="Q95" s="314"/>
      <c r="R95" s="314"/>
      <c r="S95" s="314"/>
      <c r="T95" s="337"/>
      <c r="U95" s="286"/>
      <c r="V95" s="338">
        <v>0</v>
      </c>
      <c r="W95" s="318"/>
      <c r="X95" s="5"/>
    </row>
    <row r="96" spans="1:24" ht="15.75" x14ac:dyDescent="0.25">
      <c r="A96" s="295"/>
      <c r="B96" s="286" t="s">
        <v>272</v>
      </c>
      <c r="C96" s="314"/>
      <c r="D96" s="314"/>
      <c r="E96" s="314"/>
      <c r="F96" s="314"/>
      <c r="G96" s="314"/>
      <c r="H96" s="314"/>
      <c r="I96" s="314"/>
      <c r="J96" s="314"/>
      <c r="K96" s="314"/>
      <c r="L96" s="314"/>
      <c r="M96" s="314"/>
      <c r="N96" s="314"/>
      <c r="O96" s="314"/>
      <c r="P96" s="314"/>
      <c r="Q96" s="314"/>
      <c r="R96" s="314"/>
      <c r="S96" s="314"/>
      <c r="T96" s="337"/>
      <c r="U96" s="286"/>
      <c r="V96" s="338">
        <v>0</v>
      </c>
      <c r="W96" s="318"/>
      <c r="X96" s="5"/>
    </row>
    <row r="97" spans="1:25" ht="15.75" x14ac:dyDescent="0.25">
      <c r="A97" s="295"/>
      <c r="B97" s="286" t="s">
        <v>30</v>
      </c>
      <c r="C97" s="314"/>
      <c r="D97" s="314"/>
      <c r="E97" s="314"/>
      <c r="F97" s="314"/>
      <c r="G97" s="314"/>
      <c r="H97" s="314"/>
      <c r="I97" s="314"/>
      <c r="J97" s="314"/>
      <c r="K97" s="314"/>
      <c r="L97" s="314"/>
      <c r="M97" s="314"/>
      <c r="N97" s="314"/>
      <c r="O97" s="314"/>
      <c r="P97" s="314"/>
      <c r="Q97" s="314"/>
      <c r="R97" s="314"/>
      <c r="S97" s="314"/>
      <c r="T97" s="337">
        <f>SUM(T88:T96)</f>
        <v>3823</v>
      </c>
      <c r="U97" s="286"/>
      <c r="V97" s="337">
        <f>SUM(V88:V96)</f>
        <v>6119</v>
      </c>
      <c r="W97" s="318"/>
      <c r="X97" s="5"/>
    </row>
    <row r="98" spans="1:25" ht="15.75" x14ac:dyDescent="0.25">
      <c r="A98" s="295"/>
      <c r="B98" s="286" t="s">
        <v>161</v>
      </c>
      <c r="C98" s="314"/>
      <c r="D98" s="314"/>
      <c r="E98" s="314"/>
      <c r="F98" s="314"/>
      <c r="G98" s="314"/>
      <c r="H98" s="314"/>
      <c r="I98" s="314"/>
      <c r="J98" s="314"/>
      <c r="K98" s="314"/>
      <c r="L98" s="314"/>
      <c r="M98" s="314"/>
      <c r="N98" s="314"/>
      <c r="O98" s="314"/>
      <c r="P98" s="314"/>
      <c r="Q98" s="314"/>
      <c r="R98" s="314"/>
      <c r="S98" s="314"/>
      <c r="T98" s="337">
        <f>-V98</f>
        <v>-22</v>
      </c>
      <c r="U98" s="286"/>
      <c r="V98" s="337">
        <v>22</v>
      </c>
      <c r="W98" s="318"/>
      <c r="X98" s="5"/>
    </row>
    <row r="99" spans="1:25" ht="15.75" x14ac:dyDescent="0.25">
      <c r="A99" s="295"/>
      <c r="B99" s="286" t="s">
        <v>31</v>
      </c>
      <c r="C99" s="314"/>
      <c r="D99" s="314"/>
      <c r="E99" s="314"/>
      <c r="F99" s="314"/>
      <c r="G99" s="314"/>
      <c r="H99" s="314"/>
      <c r="I99" s="314"/>
      <c r="J99" s="314"/>
      <c r="K99" s="314"/>
      <c r="L99" s="314"/>
      <c r="M99" s="314"/>
      <c r="N99" s="314"/>
      <c r="O99" s="314"/>
      <c r="P99" s="314"/>
      <c r="Q99" s="314"/>
      <c r="R99" s="314"/>
      <c r="S99" s="314"/>
      <c r="T99" s="337">
        <f>-V99</f>
        <v>0</v>
      </c>
      <c r="U99" s="286"/>
      <c r="V99" s="338">
        <v>0</v>
      </c>
      <c r="W99" s="318"/>
      <c r="X99" s="5"/>
    </row>
    <row r="100" spans="1:25" ht="15.75" x14ac:dyDescent="0.25">
      <c r="A100" s="295"/>
      <c r="B100" s="286" t="s">
        <v>274</v>
      </c>
      <c r="C100" s="314"/>
      <c r="D100" s="314"/>
      <c r="E100" s="314"/>
      <c r="F100" s="314"/>
      <c r="G100" s="314"/>
      <c r="H100" s="314"/>
      <c r="I100" s="314"/>
      <c r="J100" s="314"/>
      <c r="K100" s="314"/>
      <c r="L100" s="314"/>
      <c r="M100" s="314"/>
      <c r="N100" s="314"/>
      <c r="O100" s="314"/>
      <c r="P100" s="314"/>
      <c r="Q100" s="314"/>
      <c r="R100" s="314"/>
      <c r="S100" s="314"/>
      <c r="T100" s="337"/>
      <c r="U100" s="286"/>
      <c r="V100" s="338">
        <v>-117</v>
      </c>
      <c r="W100" s="318"/>
      <c r="X100" s="5"/>
    </row>
    <row r="101" spans="1:25" ht="15.75" x14ac:dyDescent="0.25">
      <c r="A101" s="295"/>
      <c r="B101" s="286" t="s">
        <v>32</v>
      </c>
      <c r="C101" s="314"/>
      <c r="D101" s="314"/>
      <c r="E101" s="314"/>
      <c r="F101" s="314"/>
      <c r="G101" s="314"/>
      <c r="H101" s="314"/>
      <c r="I101" s="314"/>
      <c r="J101" s="314"/>
      <c r="K101" s="314"/>
      <c r="L101" s="314"/>
      <c r="M101" s="314"/>
      <c r="N101" s="314"/>
      <c r="O101" s="314"/>
      <c r="P101" s="314"/>
      <c r="Q101" s="314"/>
      <c r="R101" s="314"/>
      <c r="S101" s="314"/>
      <c r="T101" s="337">
        <f>T97+T99+T98</f>
        <v>3801</v>
      </c>
      <c r="U101" s="286"/>
      <c r="V101" s="337">
        <f>V97+V99+V98+V100</f>
        <v>6024</v>
      </c>
      <c r="W101" s="318"/>
      <c r="X101" s="5"/>
    </row>
    <row r="102" spans="1:25" ht="15.75" x14ac:dyDescent="0.25">
      <c r="A102" s="285"/>
      <c r="B102" s="342" t="s">
        <v>33</v>
      </c>
      <c r="C102" s="314"/>
      <c r="D102" s="314"/>
      <c r="E102" s="314"/>
      <c r="F102" s="314"/>
      <c r="G102" s="314"/>
      <c r="H102" s="314"/>
      <c r="I102" s="314"/>
      <c r="J102" s="314"/>
      <c r="K102" s="314"/>
      <c r="L102" s="314"/>
      <c r="M102" s="314"/>
      <c r="N102" s="314"/>
      <c r="O102" s="314"/>
      <c r="P102" s="314"/>
      <c r="Q102" s="314"/>
      <c r="R102" s="314"/>
      <c r="S102" s="314"/>
      <c r="T102" s="337"/>
      <c r="U102" s="286"/>
      <c r="V102" s="338"/>
      <c r="W102" s="318"/>
      <c r="X102" s="5"/>
    </row>
    <row r="103" spans="1:25" ht="15.75" x14ac:dyDescent="0.25">
      <c r="A103" s="295">
        <v>1</v>
      </c>
      <c r="B103" s="286" t="s">
        <v>34</v>
      </c>
      <c r="C103" s="286"/>
      <c r="D103" s="286"/>
      <c r="E103" s="314"/>
      <c r="F103" s="314"/>
      <c r="G103" s="314"/>
      <c r="H103" s="314"/>
      <c r="I103" s="314"/>
      <c r="J103" s="314"/>
      <c r="K103" s="314"/>
      <c r="L103" s="314"/>
      <c r="M103" s="314"/>
      <c r="N103" s="314"/>
      <c r="O103" s="314"/>
      <c r="P103" s="314"/>
      <c r="Q103" s="314"/>
      <c r="R103" s="314"/>
      <c r="S103" s="314"/>
      <c r="T103" s="286"/>
      <c r="U103" s="286"/>
      <c r="V103" s="338">
        <v>0</v>
      </c>
      <c r="W103" s="318"/>
      <c r="X103" s="5"/>
    </row>
    <row r="104" spans="1:25" ht="15.75" x14ac:dyDescent="0.25">
      <c r="A104" s="295">
        <f>+A103+1</f>
        <v>2</v>
      </c>
      <c r="B104" s="286" t="s">
        <v>221</v>
      </c>
      <c r="C104" s="286"/>
      <c r="D104" s="286"/>
      <c r="E104" s="314"/>
      <c r="F104" s="314"/>
      <c r="G104" s="314"/>
      <c r="H104" s="314"/>
      <c r="I104" s="314"/>
      <c r="J104" s="314"/>
      <c r="K104" s="314"/>
      <c r="L104" s="314"/>
      <c r="M104" s="314"/>
      <c r="N104" s="314"/>
      <c r="O104" s="314"/>
      <c r="P104" s="314"/>
      <c r="Q104" s="314"/>
      <c r="R104" s="314"/>
      <c r="S104" s="314"/>
      <c r="T104" s="286"/>
      <c r="U104" s="286"/>
      <c r="V104" s="338">
        <v>-2</v>
      </c>
      <c r="W104" s="318"/>
      <c r="X104" s="5"/>
    </row>
    <row r="105" spans="1:25" ht="15.75" x14ac:dyDescent="0.25">
      <c r="A105" s="295">
        <f>+A104+1</f>
        <v>3</v>
      </c>
      <c r="B105" s="286" t="s">
        <v>204</v>
      </c>
      <c r="C105" s="286"/>
      <c r="D105" s="286"/>
      <c r="E105" s="314"/>
      <c r="F105" s="314"/>
      <c r="G105" s="314"/>
      <c r="H105" s="314"/>
      <c r="I105" s="314"/>
      <c r="J105" s="314"/>
      <c r="K105" s="314"/>
      <c r="L105" s="314"/>
      <c r="M105" s="314"/>
      <c r="N105" s="314"/>
      <c r="O105" s="314"/>
      <c r="P105" s="314"/>
      <c r="Q105" s="314"/>
      <c r="R105" s="314"/>
      <c r="S105" s="314"/>
      <c r="T105" s="286"/>
      <c r="U105" s="286"/>
      <c r="V105" s="338">
        <f>-322-251-10</f>
        <v>-583</v>
      </c>
      <c r="W105" s="318"/>
      <c r="X105" s="5"/>
    </row>
    <row r="106" spans="1:25" ht="15.75" x14ac:dyDescent="0.25">
      <c r="A106" s="295" t="s">
        <v>127</v>
      </c>
      <c r="B106" s="286" t="s">
        <v>116</v>
      </c>
      <c r="C106" s="286"/>
      <c r="D106" s="286"/>
      <c r="E106" s="314"/>
      <c r="F106" s="314"/>
      <c r="G106" s="314"/>
      <c r="H106" s="314"/>
      <c r="I106" s="314"/>
      <c r="J106" s="314"/>
      <c r="K106" s="314"/>
      <c r="L106" s="314"/>
      <c r="M106" s="314"/>
      <c r="N106" s="314"/>
      <c r="O106" s="314"/>
      <c r="P106" s="314"/>
      <c r="Q106" s="314"/>
      <c r="R106" s="314"/>
      <c r="S106" s="314"/>
      <c r="T106" s="286"/>
      <c r="U106" s="286"/>
      <c r="V106" s="338">
        <v>-201</v>
      </c>
      <c r="W106" s="318"/>
      <c r="X106" s="5"/>
    </row>
    <row r="107" spans="1:25" ht="15.75" x14ac:dyDescent="0.25">
      <c r="A107" s="295" t="s">
        <v>128</v>
      </c>
      <c r="B107" s="286" t="s">
        <v>220</v>
      </c>
      <c r="C107" s="286"/>
      <c r="D107" s="286"/>
      <c r="E107" s="314"/>
      <c r="F107" s="314"/>
      <c r="G107" s="314"/>
      <c r="H107" s="314"/>
      <c r="I107" s="314"/>
      <c r="J107" s="314"/>
      <c r="K107" s="314"/>
      <c r="L107" s="314"/>
      <c r="M107" s="314"/>
      <c r="N107" s="314"/>
      <c r="O107" s="314"/>
      <c r="P107" s="314"/>
      <c r="Q107" s="314"/>
      <c r="R107" s="314"/>
      <c r="S107" s="314"/>
      <c r="T107" s="286"/>
      <c r="U107" s="286"/>
      <c r="V107" s="338">
        <f>405-1625</f>
        <v>-1220</v>
      </c>
      <c r="W107" s="318"/>
      <c r="X107" s="5"/>
      <c r="Y107" s="109"/>
    </row>
    <row r="108" spans="1:25" ht="15.75" x14ac:dyDescent="0.25">
      <c r="A108" s="295" t="s">
        <v>150</v>
      </c>
      <c r="B108" s="286" t="s">
        <v>184</v>
      </c>
      <c r="C108" s="286"/>
      <c r="D108" s="286"/>
      <c r="E108" s="314"/>
      <c r="F108" s="314"/>
      <c r="G108" s="314"/>
      <c r="H108" s="314"/>
      <c r="I108" s="314"/>
      <c r="J108" s="314"/>
      <c r="K108" s="314"/>
      <c r="L108" s="314"/>
      <c r="M108" s="314"/>
      <c r="N108" s="314"/>
      <c r="O108" s="314"/>
      <c r="P108" s="314"/>
      <c r="Q108" s="314"/>
      <c r="R108" s="314"/>
      <c r="S108" s="314"/>
      <c r="T108" s="286"/>
      <c r="U108" s="286"/>
      <c r="V108" s="338">
        <v>-405</v>
      </c>
      <c r="W108" s="318"/>
      <c r="X108" s="5"/>
      <c r="Y108" s="109"/>
    </row>
    <row r="109" spans="1:25" ht="15.75" x14ac:dyDescent="0.25">
      <c r="A109" s="295" t="s">
        <v>205</v>
      </c>
      <c r="B109" s="286" t="s">
        <v>185</v>
      </c>
      <c r="C109" s="286"/>
      <c r="D109" s="286"/>
      <c r="E109" s="314"/>
      <c r="F109" s="314"/>
      <c r="G109" s="314"/>
      <c r="H109" s="314"/>
      <c r="I109" s="314"/>
      <c r="J109" s="314"/>
      <c r="K109" s="314"/>
      <c r="L109" s="314"/>
      <c r="M109" s="314"/>
      <c r="N109" s="314"/>
      <c r="O109" s="314"/>
      <c r="P109" s="314"/>
      <c r="Q109" s="314"/>
      <c r="R109" s="314"/>
      <c r="S109" s="314"/>
      <c r="T109" s="286"/>
      <c r="U109" s="286"/>
      <c r="V109" s="338">
        <v>-162</v>
      </c>
      <c r="W109" s="318"/>
      <c r="X109" s="5"/>
      <c r="Y109" s="109"/>
    </row>
    <row r="110" spans="1:25" ht="15.75" x14ac:dyDescent="0.25">
      <c r="A110" s="295" t="s">
        <v>206</v>
      </c>
      <c r="B110" s="286" t="s">
        <v>186</v>
      </c>
      <c r="C110" s="286"/>
      <c r="D110" s="286"/>
      <c r="E110" s="314"/>
      <c r="F110" s="314"/>
      <c r="G110" s="314"/>
      <c r="H110" s="314"/>
      <c r="I110" s="314"/>
      <c r="J110" s="314"/>
      <c r="K110" s="314"/>
      <c r="L110" s="314"/>
      <c r="M110" s="314"/>
      <c r="N110" s="314"/>
      <c r="O110" s="314"/>
      <c r="P110" s="314"/>
      <c r="Q110" s="314"/>
      <c r="R110" s="314"/>
      <c r="S110" s="314"/>
      <c r="T110" s="286"/>
      <c r="U110" s="286"/>
      <c r="V110" s="338">
        <f>162-209</f>
        <v>-47</v>
      </c>
      <c r="W110" s="318"/>
      <c r="X110" s="5"/>
      <c r="Y110" s="109"/>
    </row>
    <row r="111" spans="1:25" ht="15.75" x14ac:dyDescent="0.25">
      <c r="A111" s="295">
        <v>6</v>
      </c>
      <c r="B111" s="286" t="s">
        <v>196</v>
      </c>
      <c r="C111" s="286"/>
      <c r="D111" s="286"/>
      <c r="E111" s="314"/>
      <c r="F111" s="314"/>
      <c r="G111" s="314"/>
      <c r="H111" s="314"/>
      <c r="I111" s="314"/>
      <c r="J111" s="314"/>
      <c r="K111" s="314"/>
      <c r="L111" s="314"/>
      <c r="M111" s="314"/>
      <c r="N111" s="314"/>
      <c r="O111" s="314"/>
      <c r="P111" s="314"/>
      <c r="Q111" s="314"/>
      <c r="R111" s="314"/>
      <c r="S111" s="314"/>
      <c r="T111" s="286"/>
      <c r="U111" s="286"/>
      <c r="V111" s="338">
        <v>-269</v>
      </c>
      <c r="W111" s="318"/>
      <c r="X111" s="5"/>
      <c r="Y111" s="109"/>
    </row>
    <row r="112" spans="1:25" ht="15.75" x14ac:dyDescent="0.25">
      <c r="A112" s="295">
        <v>7</v>
      </c>
      <c r="B112" s="286" t="s">
        <v>35</v>
      </c>
      <c r="C112" s="286"/>
      <c r="D112" s="286"/>
      <c r="E112" s="314"/>
      <c r="F112" s="314"/>
      <c r="G112" s="314"/>
      <c r="H112" s="314"/>
      <c r="I112" s="314"/>
      <c r="J112" s="314"/>
      <c r="K112" s="314"/>
      <c r="L112" s="314"/>
      <c r="M112" s="314"/>
      <c r="N112" s="314"/>
      <c r="O112" s="314"/>
      <c r="P112" s="314"/>
      <c r="Q112" s="314"/>
      <c r="R112" s="314"/>
      <c r="S112" s="314"/>
      <c r="T112" s="286"/>
      <c r="U112" s="286"/>
      <c r="V112" s="338">
        <v>-9</v>
      </c>
      <c r="W112" s="318"/>
      <c r="X112" s="5"/>
    </row>
    <row r="113" spans="1:24" ht="15.75" x14ac:dyDescent="0.25">
      <c r="A113" s="295">
        <f t="shared" ref="A113:A118" si="0">+A112+1</f>
        <v>8</v>
      </c>
      <c r="B113" s="286" t="s">
        <v>45</v>
      </c>
      <c r="C113" s="286"/>
      <c r="D113" s="286"/>
      <c r="E113" s="314"/>
      <c r="F113" s="314"/>
      <c r="G113" s="314"/>
      <c r="H113" s="314"/>
      <c r="I113" s="314"/>
      <c r="J113" s="314"/>
      <c r="K113" s="314"/>
      <c r="L113" s="314"/>
      <c r="M113" s="314"/>
      <c r="N113" s="314"/>
      <c r="O113" s="314"/>
      <c r="P113" s="314"/>
      <c r="Q113" s="314"/>
      <c r="R113" s="314"/>
      <c r="S113" s="314"/>
      <c r="T113" s="337">
        <f>-V113</f>
        <v>350</v>
      </c>
      <c r="U113" s="286"/>
      <c r="V113" s="338">
        <v>-350</v>
      </c>
      <c r="W113" s="318"/>
      <c r="X113" s="5"/>
    </row>
    <row r="114" spans="1:24" ht="15.75" x14ac:dyDescent="0.25">
      <c r="A114" s="295">
        <f t="shared" si="0"/>
        <v>9</v>
      </c>
      <c r="B114" s="286" t="s">
        <v>125</v>
      </c>
      <c r="C114" s="286"/>
      <c r="D114" s="286"/>
      <c r="E114" s="314"/>
      <c r="F114" s="314"/>
      <c r="G114" s="314"/>
      <c r="H114" s="314"/>
      <c r="I114" s="314"/>
      <c r="J114" s="314"/>
      <c r="K114" s="314"/>
      <c r="L114" s="314"/>
      <c r="M114" s="314"/>
      <c r="N114" s="314"/>
      <c r="O114" s="314"/>
      <c r="P114" s="314"/>
      <c r="Q114" s="314"/>
      <c r="R114" s="314"/>
      <c r="S114" s="314"/>
      <c r="T114" s="286"/>
      <c r="U114" s="286"/>
      <c r="V114" s="338">
        <v>0</v>
      </c>
      <c r="W114" s="318"/>
      <c r="X114" s="5"/>
    </row>
    <row r="115" spans="1:24" ht="15.75" x14ac:dyDescent="0.25">
      <c r="A115" s="295">
        <f t="shared" si="0"/>
        <v>10</v>
      </c>
      <c r="B115" s="286" t="s">
        <v>225</v>
      </c>
      <c r="C115" s="286"/>
      <c r="D115" s="286"/>
      <c r="E115" s="314"/>
      <c r="F115" s="314"/>
      <c r="G115" s="314"/>
      <c r="H115" s="314"/>
      <c r="I115" s="314"/>
      <c r="J115" s="314"/>
      <c r="K115" s="314"/>
      <c r="L115" s="314"/>
      <c r="M115" s="314"/>
      <c r="N115" s="314"/>
      <c r="O115" s="314"/>
      <c r="P115" s="314"/>
      <c r="Q115" s="314"/>
      <c r="R115" s="314"/>
      <c r="S115" s="314"/>
      <c r="T115" s="286"/>
      <c r="U115" s="286"/>
      <c r="V115" s="338">
        <v>0</v>
      </c>
      <c r="W115" s="318"/>
      <c r="X115" s="5"/>
    </row>
    <row r="116" spans="1:24" ht="15.75" x14ac:dyDescent="0.25">
      <c r="A116" s="295">
        <f t="shared" si="0"/>
        <v>11</v>
      </c>
      <c r="B116" s="286" t="s">
        <v>36</v>
      </c>
      <c r="C116" s="286"/>
      <c r="D116" s="286"/>
      <c r="E116" s="314"/>
      <c r="F116" s="314"/>
      <c r="G116" s="314"/>
      <c r="H116" s="314"/>
      <c r="I116" s="314"/>
      <c r="J116" s="314"/>
      <c r="K116" s="314"/>
      <c r="L116" s="314"/>
      <c r="M116" s="314"/>
      <c r="N116" s="314"/>
      <c r="O116" s="314"/>
      <c r="P116" s="314"/>
      <c r="Q116" s="314"/>
      <c r="R116" s="314"/>
      <c r="S116" s="314"/>
      <c r="T116" s="286"/>
      <c r="U116" s="286"/>
      <c r="V116" s="338">
        <v>0</v>
      </c>
      <c r="W116" s="318"/>
      <c r="X116" s="5"/>
    </row>
    <row r="117" spans="1:24" ht="15.75" x14ac:dyDescent="0.25">
      <c r="A117" s="295">
        <f t="shared" si="0"/>
        <v>12</v>
      </c>
      <c r="B117" s="286" t="s">
        <v>149</v>
      </c>
      <c r="C117" s="286"/>
      <c r="D117" s="286"/>
      <c r="E117" s="314"/>
      <c r="F117" s="314"/>
      <c r="G117" s="314"/>
      <c r="H117" s="314"/>
      <c r="I117" s="314"/>
      <c r="J117" s="314"/>
      <c r="K117" s="314"/>
      <c r="L117" s="314"/>
      <c r="M117" s="314"/>
      <c r="N117" s="314"/>
      <c r="O117" s="314"/>
      <c r="P117" s="314"/>
      <c r="Q117" s="314"/>
      <c r="R117" s="314"/>
      <c r="S117" s="314"/>
      <c r="T117" s="286"/>
      <c r="U117" s="286"/>
      <c r="V117" s="338">
        <v>-322</v>
      </c>
      <c r="W117" s="318"/>
      <c r="X117" s="5"/>
    </row>
    <row r="118" spans="1:24" ht="15.75" x14ac:dyDescent="0.25">
      <c r="A118" s="295">
        <f t="shared" si="0"/>
        <v>13</v>
      </c>
      <c r="B118" s="286" t="s">
        <v>126</v>
      </c>
      <c r="C118" s="286"/>
      <c r="D118" s="286"/>
      <c r="E118" s="314"/>
      <c r="F118" s="314"/>
      <c r="G118" s="314"/>
      <c r="H118" s="314"/>
      <c r="I118" s="314"/>
      <c r="J118" s="314"/>
      <c r="K118" s="314"/>
      <c r="L118" s="314"/>
      <c r="M118" s="314"/>
      <c r="N118" s="314"/>
      <c r="O118" s="314"/>
      <c r="P118" s="314"/>
      <c r="Q118" s="314"/>
      <c r="R118" s="314"/>
      <c r="S118" s="314"/>
      <c r="T118" s="286"/>
      <c r="U118" s="286"/>
      <c r="V118" s="338">
        <f>-V101-SUM(V103:V117)</f>
        <v>-2454</v>
      </c>
      <c r="W118" s="318"/>
      <c r="X118" s="5"/>
    </row>
    <row r="119" spans="1:24" ht="15.75" x14ac:dyDescent="0.25">
      <c r="A119" s="285"/>
      <c r="B119" s="342" t="s">
        <v>37</v>
      </c>
      <c r="C119" s="314"/>
      <c r="D119" s="314"/>
      <c r="E119" s="314"/>
      <c r="F119" s="314"/>
      <c r="G119" s="314"/>
      <c r="H119" s="314"/>
      <c r="I119" s="314"/>
      <c r="J119" s="314"/>
      <c r="K119" s="314"/>
      <c r="L119" s="314"/>
      <c r="M119" s="314"/>
      <c r="N119" s="314"/>
      <c r="O119" s="314"/>
      <c r="P119" s="314"/>
      <c r="Q119" s="314"/>
      <c r="R119" s="314"/>
      <c r="S119" s="314"/>
      <c r="T119" s="286"/>
      <c r="U119" s="286"/>
      <c r="V119" s="343"/>
      <c r="W119" s="318"/>
      <c r="X119" s="5"/>
    </row>
    <row r="120" spans="1:24" ht="15.75" x14ac:dyDescent="0.25">
      <c r="A120" s="285"/>
      <c r="B120" s="286" t="s">
        <v>173</v>
      </c>
      <c r="C120" s="314"/>
      <c r="D120" s="314"/>
      <c r="E120" s="314"/>
      <c r="F120" s="314"/>
      <c r="G120" s="314"/>
      <c r="H120" s="314"/>
      <c r="I120" s="314"/>
      <c r="J120" s="314"/>
      <c r="K120" s="314"/>
      <c r="L120" s="314"/>
      <c r="M120" s="314"/>
      <c r="N120" s="314"/>
      <c r="O120" s="314"/>
      <c r="P120" s="314"/>
      <c r="Q120" s="314"/>
      <c r="R120" s="314"/>
      <c r="S120" s="314"/>
      <c r="T120" s="337">
        <f>-T185</f>
        <v>0</v>
      </c>
      <c r="U120" s="337"/>
      <c r="V120" s="338"/>
      <c r="W120" s="318"/>
      <c r="X120" s="5"/>
    </row>
    <row r="121" spans="1:24" ht="15.75" x14ac:dyDescent="0.25">
      <c r="A121" s="285"/>
      <c r="B121" s="286" t="s">
        <v>174</v>
      </c>
      <c r="C121" s="314"/>
      <c r="D121" s="314"/>
      <c r="E121" s="314"/>
      <c r="F121" s="314"/>
      <c r="G121" s="314"/>
      <c r="H121" s="314"/>
      <c r="I121" s="314"/>
      <c r="J121" s="314"/>
      <c r="K121" s="314"/>
      <c r="L121" s="314"/>
      <c r="M121" s="314"/>
      <c r="N121" s="314"/>
      <c r="O121" s="314"/>
      <c r="P121" s="314"/>
      <c r="Q121" s="314"/>
      <c r="R121" s="314"/>
      <c r="S121" s="314"/>
      <c r="T121" s="337">
        <v>-90</v>
      </c>
      <c r="U121" s="337"/>
      <c r="V121" s="338"/>
      <c r="W121" s="318"/>
      <c r="X121" s="5"/>
    </row>
    <row r="122" spans="1:24" ht="15.75" x14ac:dyDescent="0.25">
      <c r="A122" s="285"/>
      <c r="B122" s="286" t="s">
        <v>38</v>
      </c>
      <c r="C122" s="314"/>
      <c r="D122" s="314"/>
      <c r="E122" s="314"/>
      <c r="F122" s="314"/>
      <c r="G122" s="314"/>
      <c r="H122" s="314"/>
      <c r="I122" s="314"/>
      <c r="J122" s="314"/>
      <c r="K122" s="314"/>
      <c r="L122" s="314"/>
      <c r="M122" s="314"/>
      <c r="N122" s="314"/>
      <c r="O122" s="314"/>
      <c r="P122" s="314"/>
      <c r="Q122" s="314"/>
      <c r="R122" s="314"/>
      <c r="S122" s="314"/>
      <c r="T122" s="337">
        <f>-S185</f>
        <v>-42</v>
      </c>
      <c r="U122" s="337"/>
      <c r="V122" s="338"/>
      <c r="W122" s="318"/>
      <c r="X122" s="5"/>
    </row>
    <row r="123" spans="1:24" ht="15.75" x14ac:dyDescent="0.25">
      <c r="A123" s="285"/>
      <c r="B123" s="286" t="s">
        <v>197</v>
      </c>
      <c r="C123" s="314"/>
      <c r="D123" s="314"/>
      <c r="E123" s="314"/>
      <c r="F123" s="314"/>
      <c r="G123" s="314"/>
      <c r="H123" s="314"/>
      <c r="I123" s="314"/>
      <c r="J123" s="314"/>
      <c r="K123" s="314"/>
      <c r="L123" s="314"/>
      <c r="M123" s="314"/>
      <c r="N123" s="314"/>
      <c r="O123" s="314"/>
      <c r="P123" s="314"/>
      <c r="Q123" s="314"/>
      <c r="R123" s="314"/>
      <c r="S123" s="314"/>
      <c r="T123" s="337">
        <v>-2328</v>
      </c>
      <c r="U123" s="337"/>
      <c r="V123" s="338"/>
      <c r="W123" s="318"/>
      <c r="X123" s="5"/>
    </row>
    <row r="124" spans="1:24" ht="15.75" x14ac:dyDescent="0.25">
      <c r="A124" s="285"/>
      <c r="B124" s="286" t="s">
        <v>195</v>
      </c>
      <c r="C124" s="314"/>
      <c r="D124" s="314"/>
      <c r="E124" s="314"/>
      <c r="F124" s="314"/>
      <c r="G124" s="314"/>
      <c r="H124" s="314"/>
      <c r="I124" s="314"/>
      <c r="J124" s="314"/>
      <c r="K124" s="314"/>
      <c r="L124" s="314"/>
      <c r="M124" s="314"/>
      <c r="N124" s="314"/>
      <c r="O124" s="314"/>
      <c r="P124" s="314"/>
      <c r="Q124" s="314"/>
      <c r="R124" s="314"/>
      <c r="S124" s="314"/>
      <c r="T124" s="337">
        <v>-989</v>
      </c>
      <c r="U124" s="337"/>
      <c r="V124" s="338"/>
      <c r="W124" s="318"/>
      <c r="X124" s="5"/>
    </row>
    <row r="125" spans="1:24" ht="15.75" x14ac:dyDescent="0.25">
      <c r="A125" s="285"/>
      <c r="B125" s="286" t="s">
        <v>194</v>
      </c>
      <c r="C125" s="314"/>
      <c r="D125" s="314"/>
      <c r="E125" s="314"/>
      <c r="F125" s="314"/>
      <c r="G125" s="314"/>
      <c r="H125" s="314"/>
      <c r="I125" s="314"/>
      <c r="J125" s="314"/>
      <c r="K125" s="314"/>
      <c r="L125" s="314"/>
      <c r="M125" s="314"/>
      <c r="N125" s="314"/>
      <c r="O125" s="314"/>
      <c r="P125" s="314"/>
      <c r="Q125" s="314"/>
      <c r="R125" s="314"/>
      <c r="S125" s="314"/>
      <c r="T125" s="337">
        <v>-353</v>
      </c>
      <c r="U125" s="337"/>
      <c r="V125" s="338"/>
      <c r="W125" s="318"/>
      <c r="X125" s="5"/>
    </row>
    <row r="126" spans="1:24" ht="15.75" x14ac:dyDescent="0.25">
      <c r="A126" s="285"/>
      <c r="B126" s="286" t="s">
        <v>222</v>
      </c>
      <c r="C126" s="314"/>
      <c r="D126" s="314"/>
      <c r="E126" s="314"/>
      <c r="F126" s="314"/>
      <c r="G126" s="314"/>
      <c r="H126" s="314"/>
      <c r="I126" s="314"/>
      <c r="J126" s="314"/>
      <c r="K126" s="314"/>
      <c r="L126" s="314"/>
      <c r="M126" s="314"/>
      <c r="N126" s="314"/>
      <c r="O126" s="314"/>
      <c r="P126" s="314"/>
      <c r="Q126" s="314"/>
      <c r="R126" s="314"/>
      <c r="S126" s="314"/>
      <c r="T126" s="337">
        <v>-349</v>
      </c>
      <c r="U126" s="337"/>
      <c r="V126" s="338"/>
      <c r="W126" s="318"/>
      <c r="X126" s="5"/>
    </row>
    <row r="127" spans="1:24" ht="15.75" x14ac:dyDescent="0.25">
      <c r="A127" s="285"/>
      <c r="B127" s="286" t="s">
        <v>189</v>
      </c>
      <c r="C127" s="314"/>
      <c r="D127" s="314"/>
      <c r="E127" s="314"/>
      <c r="F127" s="314"/>
      <c r="G127" s="314"/>
      <c r="H127" s="314"/>
      <c r="I127" s="314"/>
      <c r="J127" s="314"/>
      <c r="K127" s="314"/>
      <c r="L127" s="314"/>
      <c r="M127" s="314"/>
      <c r="N127" s="314"/>
      <c r="O127" s="314"/>
      <c r="P127" s="314"/>
      <c r="Q127" s="314"/>
      <c r="R127" s="314"/>
      <c r="S127" s="314"/>
      <c r="T127" s="337">
        <v>0</v>
      </c>
      <c r="U127" s="337"/>
      <c r="V127" s="338"/>
      <c r="W127" s="318"/>
      <c r="X127" s="5"/>
    </row>
    <row r="128" spans="1:24" ht="15.75" x14ac:dyDescent="0.25">
      <c r="A128" s="285"/>
      <c r="B128" s="286" t="s">
        <v>188</v>
      </c>
      <c r="C128" s="314"/>
      <c r="D128" s="314"/>
      <c r="E128" s="314"/>
      <c r="F128" s="314"/>
      <c r="G128" s="314"/>
      <c r="H128" s="314"/>
      <c r="I128" s="314"/>
      <c r="J128" s="314"/>
      <c r="K128" s="314"/>
      <c r="L128" s="314"/>
      <c r="M128" s="314"/>
      <c r="N128" s="314"/>
      <c r="O128" s="314"/>
      <c r="P128" s="314"/>
      <c r="Q128" s="314"/>
      <c r="R128" s="314"/>
      <c r="S128" s="314"/>
      <c r="T128" s="337">
        <v>0</v>
      </c>
      <c r="U128" s="337"/>
      <c r="V128" s="338"/>
      <c r="W128" s="318"/>
      <c r="X128" s="5"/>
    </row>
    <row r="129" spans="1:24" ht="15.75" x14ac:dyDescent="0.25">
      <c r="A129" s="285"/>
      <c r="B129" s="286" t="s">
        <v>187</v>
      </c>
      <c r="C129" s="314"/>
      <c r="D129" s="314"/>
      <c r="E129" s="314"/>
      <c r="F129" s="314"/>
      <c r="G129" s="314"/>
      <c r="H129" s="314"/>
      <c r="I129" s="314"/>
      <c r="J129" s="314"/>
      <c r="K129" s="314"/>
      <c r="L129" s="314"/>
      <c r="M129" s="314"/>
      <c r="N129" s="314"/>
      <c r="O129" s="314"/>
      <c r="P129" s="314"/>
      <c r="Q129" s="314"/>
      <c r="R129" s="314"/>
      <c r="S129" s="314"/>
      <c r="T129" s="337">
        <v>0</v>
      </c>
      <c r="U129" s="337"/>
      <c r="V129" s="338"/>
      <c r="W129" s="318"/>
      <c r="X129" s="5"/>
    </row>
    <row r="130" spans="1:24" ht="15.75" x14ac:dyDescent="0.25">
      <c r="A130" s="285"/>
      <c r="B130" s="286" t="s">
        <v>39</v>
      </c>
      <c r="C130" s="314"/>
      <c r="D130" s="314"/>
      <c r="E130" s="314"/>
      <c r="F130" s="314"/>
      <c r="G130" s="314"/>
      <c r="H130" s="314"/>
      <c r="I130" s="314"/>
      <c r="J130" s="314"/>
      <c r="K130" s="314"/>
      <c r="L130" s="314"/>
      <c r="M130" s="314"/>
      <c r="N130" s="314"/>
      <c r="O130" s="314"/>
      <c r="P130" s="314"/>
      <c r="Q130" s="314"/>
      <c r="R130" s="314"/>
      <c r="S130" s="314"/>
      <c r="T130" s="337">
        <f>SUM(T120:T129)</f>
        <v>-4151</v>
      </c>
      <c r="U130" s="337"/>
      <c r="V130" s="337">
        <f>SUM(V102:V128)</f>
        <v>-6024</v>
      </c>
      <c r="W130" s="318"/>
      <c r="X130" s="5"/>
    </row>
    <row r="131" spans="1:24" ht="15.75" x14ac:dyDescent="0.25">
      <c r="A131" s="285"/>
      <c r="B131" s="286" t="s">
        <v>40</v>
      </c>
      <c r="C131" s="314"/>
      <c r="D131" s="314"/>
      <c r="E131" s="314"/>
      <c r="F131" s="314"/>
      <c r="G131" s="314"/>
      <c r="H131" s="314"/>
      <c r="I131" s="314"/>
      <c r="J131" s="314"/>
      <c r="K131" s="314"/>
      <c r="L131" s="314"/>
      <c r="M131" s="314"/>
      <c r="N131" s="314"/>
      <c r="O131" s="314"/>
      <c r="P131" s="314"/>
      <c r="Q131" s="314"/>
      <c r="R131" s="314"/>
      <c r="S131" s="314"/>
      <c r="T131" s="337">
        <f>T101+T130+T113</f>
        <v>0</v>
      </c>
      <c r="U131" s="337"/>
      <c r="V131" s="337">
        <f>V101+V130</f>
        <v>0</v>
      </c>
      <c r="W131" s="318"/>
      <c r="X131" s="5"/>
    </row>
    <row r="132" spans="1:24" ht="15.75" x14ac:dyDescent="0.25">
      <c r="A132" s="181"/>
      <c r="B132" s="212"/>
      <c r="C132" s="212"/>
      <c r="D132" s="212"/>
      <c r="E132" s="212"/>
      <c r="F132" s="212"/>
      <c r="G132" s="212"/>
      <c r="H132" s="212"/>
      <c r="I132" s="212"/>
      <c r="J132" s="212"/>
      <c r="K132" s="212"/>
      <c r="L132" s="212"/>
      <c r="M132" s="212"/>
      <c r="N132" s="212"/>
      <c r="O132" s="212"/>
      <c r="P132" s="212"/>
      <c r="Q132" s="212"/>
      <c r="R132" s="212"/>
      <c r="S132" s="212"/>
      <c r="T132" s="335"/>
      <c r="U132" s="335"/>
      <c r="V132" s="335"/>
      <c r="W132" s="212"/>
      <c r="X132" s="5"/>
    </row>
    <row r="133" spans="1:24" ht="15.75" x14ac:dyDescent="0.25">
      <c r="A133" s="181"/>
      <c r="B133" s="183"/>
      <c r="C133" s="183"/>
      <c r="D133" s="183"/>
      <c r="E133" s="183"/>
      <c r="F133" s="183"/>
      <c r="G133" s="183"/>
      <c r="H133" s="183"/>
      <c r="I133" s="183"/>
      <c r="J133" s="183"/>
      <c r="K133" s="183"/>
      <c r="L133" s="183"/>
      <c r="M133" s="183"/>
      <c r="N133" s="183"/>
      <c r="O133" s="183"/>
      <c r="P133" s="183"/>
      <c r="Q133" s="183"/>
      <c r="R133" s="183"/>
      <c r="S133" s="183"/>
      <c r="T133" s="183"/>
      <c r="U133" s="183"/>
      <c r="V133" s="202"/>
      <c r="W133" s="183"/>
      <c r="X133" s="5"/>
    </row>
    <row r="134" spans="1:24" ht="19.5" thickBot="1" x14ac:dyDescent="0.35">
      <c r="A134" s="197"/>
      <c r="B134" s="270" t="str">
        <f>B64</f>
        <v>PM15 INVESTOR REPORT QUARTER ENDING MAY 2011</v>
      </c>
      <c r="C134" s="198"/>
      <c r="D134" s="198"/>
      <c r="E134" s="198"/>
      <c r="F134" s="198"/>
      <c r="G134" s="198"/>
      <c r="H134" s="198"/>
      <c r="I134" s="198"/>
      <c r="J134" s="198"/>
      <c r="K134" s="198"/>
      <c r="L134" s="198"/>
      <c r="M134" s="198"/>
      <c r="N134" s="198"/>
      <c r="O134" s="198"/>
      <c r="P134" s="198"/>
      <c r="Q134" s="198"/>
      <c r="R134" s="198"/>
      <c r="S134" s="198"/>
      <c r="T134" s="198"/>
      <c r="U134" s="198"/>
      <c r="V134" s="209"/>
      <c r="W134" s="200"/>
      <c r="X134" s="5"/>
    </row>
    <row r="135" spans="1:24" ht="15.75" x14ac:dyDescent="0.25">
      <c r="A135" s="236"/>
      <c r="B135" s="403" t="s">
        <v>41</v>
      </c>
      <c r="C135" s="238"/>
      <c r="D135" s="238"/>
      <c r="E135" s="238"/>
      <c r="F135" s="238"/>
      <c r="G135" s="238"/>
      <c r="H135" s="238"/>
      <c r="I135" s="238"/>
      <c r="J135" s="238"/>
      <c r="K135" s="238"/>
      <c r="L135" s="238"/>
      <c r="M135" s="238"/>
      <c r="N135" s="238"/>
      <c r="O135" s="238"/>
      <c r="P135" s="238"/>
      <c r="Q135" s="238"/>
      <c r="R135" s="238"/>
      <c r="S135" s="238"/>
      <c r="T135" s="238"/>
      <c r="U135" s="238"/>
      <c r="V135" s="239"/>
      <c r="W135" s="238"/>
      <c r="X135" s="5"/>
    </row>
    <row r="136" spans="1:24" ht="15.75" x14ac:dyDescent="0.25">
      <c r="A136" s="181"/>
      <c r="B136" s="191"/>
      <c r="C136" s="183"/>
      <c r="D136" s="183"/>
      <c r="E136" s="183"/>
      <c r="F136" s="183"/>
      <c r="G136" s="183"/>
      <c r="H136" s="183"/>
      <c r="I136" s="183"/>
      <c r="J136" s="183"/>
      <c r="K136" s="183"/>
      <c r="L136" s="183"/>
      <c r="M136" s="183"/>
      <c r="N136" s="183"/>
      <c r="O136" s="183"/>
      <c r="P136" s="183"/>
      <c r="Q136" s="183"/>
      <c r="R136" s="183"/>
      <c r="S136" s="183"/>
      <c r="T136" s="183"/>
      <c r="U136" s="183"/>
      <c r="V136" s="202"/>
      <c r="W136" s="183"/>
      <c r="X136" s="5"/>
    </row>
    <row r="137" spans="1:24" ht="15.75" x14ac:dyDescent="0.25">
      <c r="A137" s="181"/>
      <c r="B137" s="210" t="s">
        <v>42</v>
      </c>
      <c r="C137" s="183"/>
      <c r="D137" s="183"/>
      <c r="E137" s="183"/>
      <c r="F137" s="183"/>
      <c r="G137" s="183"/>
      <c r="H137" s="183"/>
      <c r="I137" s="183"/>
      <c r="J137" s="183"/>
      <c r="K137" s="183"/>
      <c r="L137" s="183"/>
      <c r="M137" s="183"/>
      <c r="N137" s="183"/>
      <c r="O137" s="183"/>
      <c r="P137" s="183"/>
      <c r="Q137" s="183"/>
      <c r="R137" s="183"/>
      <c r="S137" s="183"/>
      <c r="T137" s="183"/>
      <c r="U137" s="183"/>
      <c r="V137" s="202"/>
      <c r="W137" s="183"/>
      <c r="X137" s="5"/>
    </row>
    <row r="138" spans="1:24" ht="15.75" x14ac:dyDescent="0.25">
      <c r="A138" s="285"/>
      <c r="B138" s="286" t="s">
        <v>43</v>
      </c>
      <c r="C138" s="286"/>
      <c r="D138" s="286"/>
      <c r="E138" s="286"/>
      <c r="F138" s="286"/>
      <c r="G138" s="286"/>
      <c r="H138" s="286"/>
      <c r="I138" s="286"/>
      <c r="J138" s="286"/>
      <c r="K138" s="286"/>
      <c r="L138" s="286"/>
      <c r="M138" s="286"/>
      <c r="N138" s="286"/>
      <c r="O138" s="286"/>
      <c r="P138" s="286"/>
      <c r="Q138" s="286"/>
      <c r="R138" s="286"/>
      <c r="S138" s="286"/>
      <c r="T138" s="286"/>
      <c r="U138" s="286"/>
      <c r="V138" s="338">
        <f>+V34*0.019</f>
        <v>19021.526999999998</v>
      </c>
      <c r="W138" s="289"/>
      <c r="X138" s="5"/>
    </row>
    <row r="139" spans="1:24" ht="15.75" x14ac:dyDescent="0.25">
      <c r="A139" s="285"/>
      <c r="B139" s="286" t="s">
        <v>44</v>
      </c>
      <c r="C139" s="286"/>
      <c r="D139" s="286"/>
      <c r="E139" s="286"/>
      <c r="F139" s="286"/>
      <c r="G139" s="286"/>
      <c r="H139" s="286"/>
      <c r="I139" s="286"/>
      <c r="J139" s="286"/>
      <c r="K139" s="286"/>
      <c r="L139" s="286"/>
      <c r="M139" s="286"/>
      <c r="N139" s="286"/>
      <c r="O139" s="286"/>
      <c r="P139" s="286"/>
      <c r="Q139" s="286"/>
      <c r="R139" s="286"/>
      <c r="S139" s="286"/>
      <c r="T139" s="286"/>
      <c r="U139" s="286"/>
      <c r="V139" s="338">
        <v>19022</v>
      </c>
      <c r="W139" s="289"/>
      <c r="X139" s="5"/>
    </row>
    <row r="140" spans="1:24" ht="15.75" x14ac:dyDescent="0.25">
      <c r="A140" s="285"/>
      <c r="B140" s="286" t="s">
        <v>136</v>
      </c>
      <c r="C140" s="286"/>
      <c r="D140" s="286"/>
      <c r="E140" s="286"/>
      <c r="F140" s="286"/>
      <c r="G140" s="286"/>
      <c r="H140" s="286"/>
      <c r="I140" s="286"/>
      <c r="J140" s="286"/>
      <c r="K140" s="286"/>
      <c r="L140" s="286"/>
      <c r="M140" s="286"/>
      <c r="N140" s="286"/>
      <c r="O140" s="286"/>
      <c r="P140" s="286"/>
      <c r="Q140" s="286"/>
      <c r="R140" s="286"/>
      <c r="S140" s="286"/>
      <c r="T140" s="286"/>
      <c r="U140" s="286"/>
      <c r="V140" s="338"/>
      <c r="W140" s="289"/>
      <c r="X140" s="5"/>
    </row>
    <row r="141" spans="1:24" ht="15.75" x14ac:dyDescent="0.25">
      <c r="A141" s="285"/>
      <c r="B141" s="286" t="s">
        <v>123</v>
      </c>
      <c r="C141" s="286"/>
      <c r="D141" s="286"/>
      <c r="E141" s="286"/>
      <c r="F141" s="286"/>
      <c r="G141" s="286"/>
      <c r="H141" s="286"/>
      <c r="I141" s="286"/>
      <c r="J141" s="286"/>
      <c r="K141" s="286"/>
      <c r="L141" s="286"/>
      <c r="M141" s="286"/>
      <c r="N141" s="286"/>
      <c r="O141" s="286"/>
      <c r="P141" s="286"/>
      <c r="Q141" s="286"/>
      <c r="R141" s="286"/>
      <c r="S141" s="286"/>
      <c r="T141" s="286"/>
      <c r="U141" s="286"/>
      <c r="V141" s="338">
        <v>0</v>
      </c>
      <c r="W141" s="289"/>
      <c r="X141" s="5"/>
    </row>
    <row r="142" spans="1:24" ht="15.75" x14ac:dyDescent="0.25">
      <c r="A142" s="285"/>
      <c r="B142" s="286" t="s">
        <v>124</v>
      </c>
      <c r="C142" s="286"/>
      <c r="D142" s="286"/>
      <c r="E142" s="286"/>
      <c r="F142" s="286"/>
      <c r="G142" s="286"/>
      <c r="H142" s="286"/>
      <c r="I142" s="286"/>
      <c r="J142" s="286"/>
      <c r="K142" s="286"/>
      <c r="L142" s="286"/>
      <c r="M142" s="286"/>
      <c r="N142" s="286"/>
      <c r="O142" s="286"/>
      <c r="P142" s="286"/>
      <c r="Q142" s="286"/>
      <c r="R142" s="286"/>
      <c r="S142" s="286"/>
      <c r="T142" s="286"/>
      <c r="U142" s="286"/>
      <c r="V142" s="338">
        <v>0</v>
      </c>
      <c r="W142" s="289"/>
      <c r="X142" s="5"/>
    </row>
    <row r="143" spans="1:24" ht="15.75" x14ac:dyDescent="0.25">
      <c r="A143" s="285"/>
      <c r="B143" s="286" t="s">
        <v>175</v>
      </c>
      <c r="C143" s="286"/>
      <c r="D143" s="286"/>
      <c r="E143" s="286"/>
      <c r="F143" s="286"/>
      <c r="G143" s="286"/>
      <c r="H143" s="286"/>
      <c r="I143" s="286"/>
      <c r="J143" s="286"/>
      <c r="K143" s="286"/>
      <c r="L143" s="286"/>
      <c r="M143" s="286"/>
      <c r="N143" s="286"/>
      <c r="O143" s="286"/>
      <c r="P143" s="286"/>
      <c r="Q143" s="286"/>
      <c r="R143" s="286"/>
      <c r="S143" s="286"/>
      <c r="T143" s="286"/>
      <c r="U143" s="286"/>
      <c r="V143" s="338">
        <v>0</v>
      </c>
      <c r="W143" s="289"/>
      <c r="X143" s="5"/>
    </row>
    <row r="144" spans="1:24" ht="15.75" x14ac:dyDescent="0.25">
      <c r="A144" s="285"/>
      <c r="B144" s="286" t="s">
        <v>45</v>
      </c>
      <c r="C144" s="286"/>
      <c r="D144" s="286"/>
      <c r="E144" s="286"/>
      <c r="F144" s="286"/>
      <c r="G144" s="286"/>
      <c r="H144" s="286"/>
      <c r="I144" s="286"/>
      <c r="J144" s="286"/>
      <c r="K144" s="286"/>
      <c r="L144" s="286"/>
      <c r="M144" s="286"/>
      <c r="N144" s="286"/>
      <c r="O144" s="286"/>
      <c r="P144" s="286"/>
      <c r="Q144" s="286"/>
      <c r="R144" s="286"/>
      <c r="S144" s="286"/>
      <c r="T144" s="286"/>
      <c r="U144" s="286"/>
      <c r="V144" s="338">
        <v>0</v>
      </c>
      <c r="W144" s="289"/>
      <c r="X144" s="5"/>
    </row>
    <row r="145" spans="1:25" ht="15.75" x14ac:dyDescent="0.25">
      <c r="A145" s="285"/>
      <c r="B145" s="286" t="s">
        <v>129</v>
      </c>
      <c r="C145" s="286"/>
      <c r="D145" s="286"/>
      <c r="E145" s="286"/>
      <c r="F145" s="286"/>
      <c r="G145" s="286"/>
      <c r="H145" s="286"/>
      <c r="I145" s="286"/>
      <c r="J145" s="286"/>
      <c r="K145" s="286"/>
      <c r="L145" s="286"/>
      <c r="M145" s="286"/>
      <c r="N145" s="286"/>
      <c r="O145" s="286"/>
      <c r="P145" s="286"/>
      <c r="Q145" s="286"/>
      <c r="R145" s="286"/>
      <c r="S145" s="286"/>
      <c r="T145" s="286"/>
      <c r="U145" s="286"/>
      <c r="V145" s="338">
        <v>0</v>
      </c>
      <c r="W145" s="289"/>
      <c r="X145" s="5"/>
    </row>
    <row r="146" spans="1:25" ht="15.75" x14ac:dyDescent="0.25">
      <c r="A146" s="285"/>
      <c r="B146" s="286" t="s">
        <v>241</v>
      </c>
      <c r="C146" s="286"/>
      <c r="D146" s="286"/>
      <c r="E146" s="286"/>
      <c r="F146" s="286"/>
      <c r="G146" s="286"/>
      <c r="H146" s="286"/>
      <c r="I146" s="286"/>
      <c r="J146" s="286"/>
      <c r="K146" s="286"/>
      <c r="L146" s="286"/>
      <c r="M146" s="286"/>
      <c r="N146" s="286"/>
      <c r="O146" s="286"/>
      <c r="P146" s="286"/>
      <c r="Q146" s="286"/>
      <c r="R146" s="286"/>
      <c r="S146" s="286"/>
      <c r="T146" s="286"/>
      <c r="U146" s="286"/>
      <c r="V146" s="338">
        <v>0</v>
      </c>
      <c r="W146" s="289"/>
      <c r="X146" s="5"/>
      <c r="Y146" s="109"/>
    </row>
    <row r="147" spans="1:25" ht="15.75" x14ac:dyDescent="0.25">
      <c r="A147" s="285"/>
      <c r="B147" s="286" t="s">
        <v>46</v>
      </c>
      <c r="C147" s="286"/>
      <c r="D147" s="286"/>
      <c r="E147" s="286"/>
      <c r="F147" s="286"/>
      <c r="G147" s="286"/>
      <c r="H147" s="286"/>
      <c r="I147" s="286"/>
      <c r="J147" s="286"/>
      <c r="K147" s="286"/>
      <c r="L147" s="286"/>
      <c r="M147" s="286"/>
      <c r="N147" s="286"/>
      <c r="O147" s="286"/>
      <c r="P147" s="286"/>
      <c r="Q147" s="286"/>
      <c r="R147" s="286"/>
      <c r="S147" s="286"/>
      <c r="T147" s="286"/>
      <c r="U147" s="286"/>
      <c r="V147" s="338">
        <f>SUM(V139:V146)</f>
        <v>19022</v>
      </c>
      <c r="W147" s="289"/>
      <c r="X147" s="5"/>
    </row>
    <row r="148" spans="1:25" ht="15.75" x14ac:dyDescent="0.25">
      <c r="A148" s="285"/>
      <c r="B148" s="314"/>
      <c r="C148" s="314"/>
      <c r="D148" s="314"/>
      <c r="E148" s="314"/>
      <c r="F148" s="314"/>
      <c r="G148" s="314"/>
      <c r="H148" s="314"/>
      <c r="I148" s="314"/>
      <c r="J148" s="314"/>
      <c r="K148" s="314"/>
      <c r="L148" s="314"/>
      <c r="M148" s="314"/>
      <c r="N148" s="314"/>
      <c r="O148" s="314"/>
      <c r="P148" s="314"/>
      <c r="Q148" s="314"/>
      <c r="R148" s="314"/>
      <c r="S148" s="314"/>
      <c r="T148" s="314"/>
      <c r="U148" s="314"/>
      <c r="V148" s="345"/>
      <c r="W148" s="318"/>
      <c r="X148" s="5"/>
    </row>
    <row r="149" spans="1:25" ht="15.75" x14ac:dyDescent="0.25">
      <c r="A149" s="285"/>
      <c r="B149" s="342" t="s">
        <v>269</v>
      </c>
      <c r="C149" s="314"/>
      <c r="D149" s="314"/>
      <c r="E149" s="314"/>
      <c r="F149" s="314"/>
      <c r="G149" s="314"/>
      <c r="H149" s="314"/>
      <c r="I149" s="314"/>
      <c r="J149" s="314"/>
      <c r="K149" s="314"/>
      <c r="L149" s="314"/>
      <c r="M149" s="314"/>
      <c r="N149" s="314"/>
      <c r="O149" s="314"/>
      <c r="P149" s="314"/>
      <c r="Q149" s="314"/>
      <c r="R149" s="314"/>
      <c r="S149" s="314"/>
      <c r="T149" s="314"/>
      <c r="U149" s="314"/>
      <c r="V149" s="345"/>
      <c r="W149" s="318"/>
      <c r="X149" s="5"/>
    </row>
    <row r="150" spans="1:25" ht="15.75" x14ac:dyDescent="0.25">
      <c r="A150" s="285"/>
      <c r="B150" s="286" t="s">
        <v>155</v>
      </c>
      <c r="C150" s="286"/>
      <c r="D150" s="286"/>
      <c r="E150" s="286"/>
      <c r="F150" s="286"/>
      <c r="G150" s="286"/>
      <c r="H150" s="286"/>
      <c r="I150" s="286"/>
      <c r="J150" s="286"/>
      <c r="K150" s="286"/>
      <c r="L150" s="286"/>
      <c r="M150" s="286"/>
      <c r="N150" s="286"/>
      <c r="O150" s="286"/>
      <c r="P150" s="286"/>
      <c r="Q150" s="286"/>
      <c r="R150" s="286"/>
      <c r="S150" s="286"/>
      <c r="T150" s="286"/>
      <c r="U150" s="286"/>
      <c r="V150" s="338">
        <v>0</v>
      </c>
      <c r="W150" s="289"/>
      <c r="X150" s="5"/>
    </row>
    <row r="151" spans="1:25" ht="15.75" x14ac:dyDescent="0.25">
      <c r="A151" s="285"/>
      <c r="B151" s="286" t="s">
        <v>172</v>
      </c>
      <c r="C151" s="286"/>
      <c r="D151" s="286"/>
      <c r="E151" s="286"/>
      <c r="F151" s="286"/>
      <c r="G151" s="286"/>
      <c r="H151" s="286"/>
      <c r="I151" s="286"/>
      <c r="J151" s="286"/>
      <c r="K151" s="286"/>
      <c r="L151" s="286"/>
      <c r="M151" s="286"/>
      <c r="N151" s="286"/>
      <c r="O151" s="286"/>
      <c r="P151" s="286"/>
      <c r="Q151" s="286"/>
      <c r="R151" s="286"/>
      <c r="S151" s="286"/>
      <c r="T151" s="286"/>
      <c r="U151" s="286"/>
      <c r="V151" s="338">
        <v>0</v>
      </c>
      <c r="W151" s="289"/>
      <c r="X151" s="5"/>
    </row>
    <row r="152" spans="1:25" ht="15.75" x14ac:dyDescent="0.25">
      <c r="A152" s="285"/>
      <c r="B152" s="286" t="s">
        <v>226</v>
      </c>
      <c r="C152" s="286"/>
      <c r="D152" s="286"/>
      <c r="E152" s="286"/>
      <c r="F152" s="286"/>
      <c r="G152" s="286"/>
      <c r="H152" s="286"/>
      <c r="I152" s="286"/>
      <c r="J152" s="286"/>
      <c r="K152" s="286"/>
      <c r="L152" s="286"/>
      <c r="M152" s="286"/>
      <c r="N152" s="286"/>
      <c r="O152" s="286"/>
      <c r="P152" s="286"/>
      <c r="Q152" s="286"/>
      <c r="R152" s="286"/>
      <c r="S152" s="286"/>
      <c r="T152" s="286"/>
      <c r="U152" s="286"/>
      <c r="V152" s="338">
        <v>0</v>
      </c>
      <c r="W152" s="289"/>
      <c r="X152" s="5"/>
    </row>
    <row r="153" spans="1:25" ht="15.75" x14ac:dyDescent="0.25">
      <c r="A153" s="285"/>
      <c r="B153" s="314"/>
      <c r="C153" s="314"/>
      <c r="D153" s="314"/>
      <c r="E153" s="314"/>
      <c r="F153" s="314"/>
      <c r="G153" s="314"/>
      <c r="H153" s="314"/>
      <c r="I153" s="314"/>
      <c r="J153" s="314"/>
      <c r="K153" s="314"/>
      <c r="L153" s="314"/>
      <c r="M153" s="314"/>
      <c r="N153" s="314"/>
      <c r="O153" s="314"/>
      <c r="P153" s="314"/>
      <c r="Q153" s="314"/>
      <c r="R153" s="314"/>
      <c r="S153" s="314"/>
      <c r="T153" s="314"/>
      <c r="U153" s="314"/>
      <c r="V153" s="345"/>
      <c r="W153" s="318"/>
      <c r="X153" s="5"/>
    </row>
    <row r="154" spans="1:25" ht="15.75" x14ac:dyDescent="0.25">
      <c r="A154" s="181"/>
      <c r="B154" s="212"/>
      <c r="C154" s="212"/>
      <c r="D154" s="212"/>
      <c r="E154" s="212"/>
      <c r="F154" s="212"/>
      <c r="G154" s="212"/>
      <c r="H154" s="212"/>
      <c r="I154" s="212"/>
      <c r="J154" s="212"/>
      <c r="K154" s="212"/>
      <c r="L154" s="212"/>
      <c r="M154" s="212"/>
      <c r="N154" s="212"/>
      <c r="O154" s="212"/>
      <c r="P154" s="212"/>
      <c r="Q154" s="212"/>
      <c r="R154" s="212"/>
      <c r="S154" s="212"/>
      <c r="T154" s="212"/>
      <c r="U154" s="212"/>
      <c r="V154" s="344"/>
      <c r="W154" s="212"/>
      <c r="X154" s="5"/>
    </row>
    <row r="155" spans="1:25" ht="15.75" x14ac:dyDescent="0.25">
      <c r="A155" s="181"/>
      <c r="B155" s="210" t="s">
        <v>24</v>
      </c>
      <c r="C155" s="183"/>
      <c r="D155" s="183"/>
      <c r="E155" s="183"/>
      <c r="F155" s="183"/>
      <c r="G155" s="183"/>
      <c r="H155" s="183"/>
      <c r="I155" s="183"/>
      <c r="J155" s="183"/>
      <c r="K155" s="183"/>
      <c r="L155" s="183"/>
      <c r="M155" s="183"/>
      <c r="N155" s="183"/>
      <c r="O155" s="183"/>
      <c r="P155" s="183"/>
      <c r="Q155" s="183"/>
      <c r="R155" s="183"/>
      <c r="S155" s="183"/>
      <c r="T155" s="183"/>
      <c r="U155" s="183"/>
      <c r="V155" s="202"/>
      <c r="W155" s="183"/>
      <c r="X155" s="5"/>
    </row>
    <row r="156" spans="1:25" ht="15.75" x14ac:dyDescent="0.25">
      <c r="A156" s="285"/>
      <c r="B156" s="286" t="s">
        <v>47</v>
      </c>
      <c r="C156" s="286"/>
      <c r="D156" s="286"/>
      <c r="E156" s="286"/>
      <c r="F156" s="286"/>
      <c r="G156" s="286"/>
      <c r="H156" s="286"/>
      <c r="I156" s="286"/>
      <c r="J156" s="286"/>
      <c r="K156" s="286"/>
      <c r="L156" s="286"/>
      <c r="M156" s="286"/>
      <c r="N156" s="286"/>
      <c r="O156" s="286"/>
      <c r="P156" s="286"/>
      <c r="Q156" s="286"/>
      <c r="R156" s="286"/>
      <c r="S156" s="286"/>
      <c r="T156" s="286"/>
      <c r="U156" s="286"/>
      <c r="V156" s="343" t="s">
        <v>118</v>
      </c>
      <c r="W156" s="318"/>
      <c r="X156" s="5"/>
    </row>
    <row r="157" spans="1:25" ht="15.75" x14ac:dyDescent="0.25">
      <c r="A157" s="285"/>
      <c r="B157" s="286" t="s">
        <v>48</v>
      </c>
      <c r="C157" s="288"/>
      <c r="D157" s="288"/>
      <c r="E157" s="288"/>
      <c r="F157" s="288"/>
      <c r="G157" s="288"/>
      <c r="H157" s="288"/>
      <c r="I157" s="288"/>
      <c r="J157" s="288"/>
      <c r="K157" s="288"/>
      <c r="L157" s="288"/>
      <c r="M157" s="288"/>
      <c r="N157" s="288"/>
      <c r="O157" s="288"/>
      <c r="P157" s="288"/>
      <c r="Q157" s="288"/>
      <c r="R157" s="288"/>
      <c r="S157" s="288"/>
      <c r="T157" s="288"/>
      <c r="U157" s="288"/>
      <c r="V157" s="343" t="s">
        <v>118</v>
      </c>
      <c r="W157" s="318"/>
      <c r="X157" s="5"/>
    </row>
    <row r="158" spans="1:25" ht="15.75" x14ac:dyDescent="0.25">
      <c r="A158" s="285"/>
      <c r="B158" s="286" t="s">
        <v>49</v>
      </c>
      <c r="C158" s="286"/>
      <c r="D158" s="286"/>
      <c r="E158" s="286"/>
      <c r="F158" s="286"/>
      <c r="G158" s="286"/>
      <c r="H158" s="286"/>
      <c r="I158" s="286"/>
      <c r="J158" s="286"/>
      <c r="K158" s="286"/>
      <c r="L158" s="286"/>
      <c r="M158" s="286"/>
      <c r="N158" s="286"/>
      <c r="O158" s="286"/>
      <c r="P158" s="286"/>
      <c r="Q158" s="286"/>
      <c r="R158" s="286"/>
      <c r="S158" s="286"/>
      <c r="T158" s="286"/>
      <c r="U158" s="286"/>
      <c r="V158" s="343" t="s">
        <v>118</v>
      </c>
      <c r="W158" s="318"/>
      <c r="X158" s="5"/>
    </row>
    <row r="159" spans="1:25" ht="15.75" x14ac:dyDescent="0.25">
      <c r="A159" s="285"/>
      <c r="B159" s="286" t="s">
        <v>50</v>
      </c>
      <c r="C159" s="286"/>
      <c r="D159" s="286"/>
      <c r="E159" s="286"/>
      <c r="F159" s="286"/>
      <c r="G159" s="286"/>
      <c r="H159" s="286"/>
      <c r="I159" s="286"/>
      <c r="J159" s="286"/>
      <c r="K159" s="286"/>
      <c r="L159" s="286"/>
      <c r="M159" s="286"/>
      <c r="N159" s="286"/>
      <c r="O159" s="286"/>
      <c r="P159" s="286"/>
      <c r="Q159" s="286"/>
      <c r="R159" s="286"/>
      <c r="S159" s="286"/>
      <c r="T159" s="286"/>
      <c r="U159" s="286"/>
      <c r="V159" s="343" t="s">
        <v>118</v>
      </c>
      <c r="W159" s="318"/>
      <c r="X159" s="5"/>
    </row>
    <row r="160" spans="1:25" ht="15.75" x14ac:dyDescent="0.25">
      <c r="A160" s="181"/>
      <c r="B160" s="212"/>
      <c r="C160" s="212"/>
      <c r="D160" s="212"/>
      <c r="E160" s="212"/>
      <c r="F160" s="212"/>
      <c r="G160" s="212"/>
      <c r="H160" s="212"/>
      <c r="I160" s="212"/>
      <c r="J160" s="212"/>
      <c r="K160" s="212"/>
      <c r="L160" s="212"/>
      <c r="M160" s="212"/>
      <c r="N160" s="212"/>
      <c r="O160" s="212"/>
      <c r="P160" s="212"/>
      <c r="Q160" s="212"/>
      <c r="R160" s="212"/>
      <c r="S160" s="212"/>
      <c r="T160" s="212"/>
      <c r="U160" s="212"/>
      <c r="V160" s="344"/>
      <c r="W160" s="212"/>
      <c r="X160" s="5"/>
    </row>
    <row r="161" spans="1:256" ht="15.75" x14ac:dyDescent="0.25">
      <c r="A161" s="181"/>
      <c r="B161" s="210" t="s">
        <v>51</v>
      </c>
      <c r="C161" s="183"/>
      <c r="D161" s="183"/>
      <c r="E161" s="183"/>
      <c r="F161" s="183"/>
      <c r="G161" s="183"/>
      <c r="H161" s="183"/>
      <c r="I161" s="183"/>
      <c r="J161" s="183"/>
      <c r="K161" s="183"/>
      <c r="L161" s="183"/>
      <c r="M161" s="183"/>
      <c r="N161" s="183"/>
      <c r="O161" s="183"/>
      <c r="P161" s="183"/>
      <c r="Q161" s="183"/>
      <c r="R161" s="183"/>
      <c r="S161" s="183"/>
      <c r="T161" s="183"/>
      <c r="U161" s="183"/>
      <c r="V161" s="211"/>
      <c r="W161" s="183"/>
      <c r="X161" s="5"/>
    </row>
    <row r="162" spans="1:256" ht="15.75" x14ac:dyDescent="0.25">
      <c r="A162" s="285"/>
      <c r="B162" s="286" t="s">
        <v>52</v>
      </c>
      <c r="C162" s="286"/>
      <c r="D162" s="286"/>
      <c r="E162" s="286"/>
      <c r="F162" s="286"/>
      <c r="G162" s="286"/>
      <c r="H162" s="286"/>
      <c r="I162" s="286"/>
      <c r="J162" s="286"/>
      <c r="K162" s="286"/>
      <c r="L162" s="286"/>
      <c r="M162" s="286"/>
      <c r="N162" s="286"/>
      <c r="O162" s="286"/>
      <c r="P162" s="286"/>
      <c r="Q162" s="286"/>
      <c r="R162" s="286"/>
      <c r="S162" s="286"/>
      <c r="T162" s="286"/>
      <c r="U162" s="286"/>
      <c r="V162" s="338">
        <v>0</v>
      </c>
      <c r="W162" s="289"/>
      <c r="X162" s="5"/>
    </row>
    <row r="163" spans="1:256" ht="15.75" x14ac:dyDescent="0.25">
      <c r="A163" s="285"/>
      <c r="B163" s="286" t="s">
        <v>53</v>
      </c>
      <c r="C163" s="286"/>
      <c r="D163" s="286"/>
      <c r="E163" s="286"/>
      <c r="F163" s="286"/>
      <c r="G163" s="286"/>
      <c r="H163" s="286"/>
      <c r="I163" s="286"/>
      <c r="J163" s="286"/>
      <c r="K163" s="286"/>
      <c r="L163" s="286"/>
      <c r="M163" s="286"/>
      <c r="N163" s="286"/>
      <c r="O163" s="286"/>
      <c r="P163" s="286"/>
      <c r="Q163" s="286"/>
      <c r="R163" s="286"/>
      <c r="S163" s="286"/>
      <c r="T163" s="286"/>
      <c r="U163" s="286"/>
      <c r="V163" s="338">
        <v>350</v>
      </c>
      <c r="W163" s="289"/>
      <c r="X163" s="5"/>
    </row>
    <row r="164" spans="1:256" ht="15.75" x14ac:dyDescent="0.25">
      <c r="A164" s="285"/>
      <c r="B164" s="286" t="s">
        <v>54</v>
      </c>
      <c r="C164" s="286"/>
      <c r="D164" s="286"/>
      <c r="E164" s="286"/>
      <c r="F164" s="286"/>
      <c r="G164" s="286"/>
      <c r="H164" s="286"/>
      <c r="I164" s="286"/>
      <c r="J164" s="286"/>
      <c r="K164" s="286"/>
      <c r="L164" s="286"/>
      <c r="M164" s="286"/>
      <c r="N164" s="286"/>
      <c r="O164" s="286"/>
      <c r="P164" s="286"/>
      <c r="Q164" s="286"/>
      <c r="R164" s="286"/>
      <c r="S164" s="286"/>
      <c r="T164" s="286"/>
      <c r="U164" s="286"/>
      <c r="V164" s="338">
        <f>V163+V162</f>
        <v>350</v>
      </c>
      <c r="W164" s="289"/>
      <c r="X164" s="5"/>
    </row>
    <row r="165" spans="1:256" ht="15.75" x14ac:dyDescent="0.25">
      <c r="A165" s="285"/>
      <c r="B165" s="286" t="s">
        <v>303</v>
      </c>
      <c r="C165" s="286"/>
      <c r="D165" s="286"/>
      <c r="E165" s="286"/>
      <c r="F165" s="286"/>
      <c r="G165" s="286"/>
      <c r="H165" s="286"/>
      <c r="I165" s="286"/>
      <c r="J165" s="286"/>
      <c r="K165" s="286"/>
      <c r="L165" s="286"/>
      <c r="M165" s="286"/>
      <c r="N165" s="286"/>
      <c r="O165" s="286"/>
      <c r="P165" s="286"/>
      <c r="Q165" s="286"/>
      <c r="R165" s="286"/>
      <c r="S165" s="286"/>
      <c r="T165" s="286"/>
      <c r="U165" s="286"/>
      <c r="V165" s="338">
        <f>V113</f>
        <v>-350</v>
      </c>
      <c r="W165" s="289"/>
      <c r="X165" s="5"/>
    </row>
    <row r="166" spans="1:256" ht="15.75" x14ac:dyDescent="0.25">
      <c r="A166" s="285"/>
      <c r="B166" s="286" t="s">
        <v>55</v>
      </c>
      <c r="C166" s="286"/>
      <c r="D166" s="286"/>
      <c r="E166" s="286"/>
      <c r="F166" s="286"/>
      <c r="G166" s="286"/>
      <c r="H166" s="286"/>
      <c r="I166" s="286"/>
      <c r="J166" s="286"/>
      <c r="K166" s="286"/>
      <c r="L166" s="286"/>
      <c r="M166" s="286"/>
      <c r="N166" s="286"/>
      <c r="O166" s="286"/>
      <c r="P166" s="286"/>
      <c r="Q166" s="286"/>
      <c r="R166" s="286"/>
      <c r="S166" s="286"/>
      <c r="T166" s="286"/>
      <c r="U166" s="286"/>
      <c r="V166" s="338">
        <f>V164+V165</f>
        <v>0</v>
      </c>
      <c r="W166" s="289"/>
      <c r="X166" s="5"/>
    </row>
    <row r="167" spans="1:256" ht="15.75" x14ac:dyDescent="0.25">
      <c r="A167" s="285"/>
      <c r="B167" s="286" t="s">
        <v>274</v>
      </c>
      <c r="C167" s="286"/>
      <c r="D167" s="286"/>
      <c r="E167" s="286"/>
      <c r="F167" s="286"/>
      <c r="G167" s="286"/>
      <c r="H167" s="286"/>
      <c r="I167" s="286"/>
      <c r="J167" s="286"/>
      <c r="K167" s="286"/>
      <c r="L167" s="286"/>
      <c r="M167" s="286"/>
      <c r="N167" s="286"/>
      <c r="O167" s="286"/>
      <c r="P167" s="286"/>
      <c r="Q167" s="286"/>
      <c r="R167" s="286"/>
      <c r="S167" s="286"/>
      <c r="T167" s="286"/>
      <c r="U167" s="286"/>
      <c r="V167" s="338">
        <f>-V100</f>
        <v>117</v>
      </c>
      <c r="W167" s="289"/>
      <c r="X167" s="5"/>
    </row>
    <row r="168" spans="1:256" ht="16.5" thickBot="1" x14ac:dyDescent="0.3">
      <c r="A168" s="181"/>
      <c r="B168" s="212"/>
      <c r="C168" s="212"/>
      <c r="D168" s="212"/>
      <c r="E168" s="212"/>
      <c r="F168" s="212"/>
      <c r="G168" s="212"/>
      <c r="H168" s="212"/>
      <c r="I168" s="212"/>
      <c r="J168" s="212"/>
      <c r="K168" s="212"/>
      <c r="L168" s="212"/>
      <c r="M168" s="212"/>
      <c r="N168" s="212"/>
      <c r="O168" s="212"/>
      <c r="P168" s="212"/>
      <c r="Q168" s="212"/>
      <c r="R168" s="212"/>
      <c r="S168" s="212"/>
      <c r="T168" s="212"/>
      <c r="U168" s="212"/>
      <c r="V168" s="344"/>
      <c r="W168" s="212"/>
      <c r="X168" s="5"/>
    </row>
    <row r="169" spans="1:256" ht="15.75" x14ac:dyDescent="0.25">
      <c r="A169" s="179"/>
      <c r="B169" s="180"/>
      <c r="C169" s="180"/>
      <c r="D169" s="180"/>
      <c r="E169" s="180"/>
      <c r="F169" s="180"/>
      <c r="G169" s="180"/>
      <c r="H169" s="180"/>
      <c r="I169" s="180"/>
      <c r="J169" s="180"/>
      <c r="K169" s="180"/>
      <c r="L169" s="180"/>
      <c r="M169" s="180"/>
      <c r="N169" s="180"/>
      <c r="O169" s="180"/>
      <c r="P169" s="180"/>
      <c r="Q169" s="180"/>
      <c r="R169" s="180"/>
      <c r="S169" s="180"/>
      <c r="T169" s="180"/>
      <c r="U169" s="180"/>
      <c r="V169" s="201"/>
      <c r="W169" s="180"/>
      <c r="X169" s="5"/>
    </row>
    <row r="170" spans="1:256" s="158" customFormat="1" ht="15.75" x14ac:dyDescent="0.25">
      <c r="A170" s="181"/>
      <c r="B170" s="210" t="s">
        <v>230</v>
      </c>
      <c r="C170" s="212"/>
      <c r="D170" s="212"/>
      <c r="E170" s="212"/>
      <c r="F170" s="212"/>
      <c r="G170" s="212"/>
      <c r="H170" s="212"/>
      <c r="I170" s="212"/>
      <c r="J170" s="212"/>
      <c r="K170" s="212"/>
      <c r="L170" s="212"/>
      <c r="M170" s="212"/>
      <c r="N170" s="212"/>
      <c r="O170" s="212"/>
      <c r="P170" s="212"/>
      <c r="Q170" s="212"/>
      <c r="R170" s="212"/>
      <c r="S170" s="212"/>
      <c r="T170" s="212"/>
      <c r="U170" s="212"/>
      <c r="V170" s="213"/>
      <c r="W170" s="212"/>
      <c r="X170" s="5"/>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s="160" customFormat="1" ht="15.75" x14ac:dyDescent="0.25">
      <c r="A171" s="285"/>
      <c r="B171" s="286" t="s">
        <v>231</v>
      </c>
      <c r="C171" s="286"/>
      <c r="D171" s="286"/>
      <c r="E171" s="286"/>
      <c r="F171" s="286"/>
      <c r="G171" s="286"/>
      <c r="H171" s="286"/>
      <c r="I171" s="286"/>
      <c r="J171" s="286"/>
      <c r="K171" s="286"/>
      <c r="L171" s="286"/>
      <c r="M171" s="286"/>
      <c r="N171" s="286"/>
      <c r="O171" s="286"/>
      <c r="P171" s="286"/>
      <c r="Q171" s="286"/>
      <c r="R171" s="286"/>
      <c r="S171" s="286"/>
      <c r="T171" s="286"/>
      <c r="U171" s="286"/>
      <c r="V171" s="338">
        <f>+'Aug 08'!V173</f>
        <v>0</v>
      </c>
      <c r="W171" s="289"/>
      <c r="X171" s="5"/>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s="160" customFormat="1" ht="15.75" x14ac:dyDescent="0.25">
      <c r="A172" s="285"/>
      <c r="B172" s="286" t="s">
        <v>234</v>
      </c>
      <c r="C172" s="286"/>
      <c r="D172" s="286"/>
      <c r="E172" s="286"/>
      <c r="F172" s="286"/>
      <c r="G172" s="286"/>
      <c r="H172" s="286"/>
      <c r="I172" s="286"/>
      <c r="J172" s="286"/>
      <c r="K172" s="286"/>
      <c r="L172" s="286"/>
      <c r="M172" s="286"/>
      <c r="N172" s="286"/>
      <c r="O172" s="286"/>
      <c r="P172" s="286"/>
      <c r="Q172" s="286"/>
      <c r="R172" s="286"/>
      <c r="S172" s="286"/>
      <c r="T172" s="286"/>
      <c r="U172" s="286"/>
      <c r="V172" s="338">
        <f>+V94</f>
        <v>0</v>
      </c>
      <c r="W172" s="289"/>
      <c r="X172" s="5"/>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s="160" customFormat="1" ht="15.75" x14ac:dyDescent="0.25">
      <c r="A173" s="285"/>
      <c r="B173" s="286" t="s">
        <v>232</v>
      </c>
      <c r="C173" s="286"/>
      <c r="D173" s="286"/>
      <c r="E173" s="286"/>
      <c r="F173" s="286"/>
      <c r="G173" s="286"/>
      <c r="H173" s="286"/>
      <c r="I173" s="286"/>
      <c r="J173" s="286"/>
      <c r="K173" s="286"/>
      <c r="L173" s="286"/>
      <c r="M173" s="286"/>
      <c r="N173" s="286"/>
      <c r="O173" s="286"/>
      <c r="P173" s="286"/>
      <c r="Q173" s="286"/>
      <c r="R173" s="286"/>
      <c r="S173" s="286"/>
      <c r="T173" s="286"/>
      <c r="U173" s="286"/>
      <c r="V173" s="338">
        <f>+V171-V172</f>
        <v>0</v>
      </c>
      <c r="W173" s="289"/>
      <c r="X173" s="5"/>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s="163" customFormat="1" ht="16.5" thickBot="1" x14ac:dyDescent="0.3">
      <c r="A174" s="197"/>
      <c r="B174" s="212"/>
      <c r="C174" s="212"/>
      <c r="D174" s="212"/>
      <c r="E174" s="212"/>
      <c r="F174" s="212"/>
      <c r="G174" s="212"/>
      <c r="H174" s="212"/>
      <c r="I174" s="212"/>
      <c r="J174" s="212"/>
      <c r="K174" s="212"/>
      <c r="L174" s="212"/>
      <c r="M174" s="212"/>
      <c r="N174" s="212"/>
      <c r="O174" s="212"/>
      <c r="P174" s="212"/>
      <c r="Q174" s="212"/>
      <c r="R174" s="212"/>
      <c r="S174" s="212"/>
      <c r="T174" s="212"/>
      <c r="U174" s="212"/>
      <c r="V174" s="344"/>
      <c r="W174" s="212"/>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4" customFormat="1" ht="15.75" x14ac:dyDescent="0.25">
      <c r="A175" s="179"/>
      <c r="B175" s="180"/>
      <c r="C175" s="180"/>
      <c r="D175" s="180"/>
      <c r="E175" s="180"/>
      <c r="F175" s="180"/>
      <c r="G175" s="180"/>
      <c r="H175" s="180"/>
      <c r="I175" s="180"/>
      <c r="J175" s="180"/>
      <c r="K175" s="180"/>
      <c r="L175" s="180"/>
      <c r="M175" s="180"/>
      <c r="N175" s="180"/>
      <c r="O175" s="180"/>
      <c r="P175" s="180"/>
      <c r="Q175" s="180"/>
      <c r="R175" s="180"/>
      <c r="S175" s="180"/>
      <c r="T175" s="180"/>
      <c r="U175" s="180"/>
      <c r="V175" s="201"/>
      <c r="W175" s="180"/>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ht="15.75" x14ac:dyDescent="0.25">
      <c r="A176" s="181"/>
      <c r="B176" s="210" t="s">
        <v>56</v>
      </c>
      <c r="C176" s="183"/>
      <c r="D176" s="183"/>
      <c r="E176" s="183"/>
      <c r="F176" s="183"/>
      <c r="G176" s="183"/>
      <c r="H176" s="183"/>
      <c r="I176" s="183"/>
      <c r="J176" s="183"/>
      <c r="K176" s="183"/>
      <c r="L176" s="183"/>
      <c r="M176" s="183"/>
      <c r="N176" s="183"/>
      <c r="O176" s="183"/>
      <c r="P176" s="183"/>
      <c r="Q176" s="183"/>
      <c r="R176" s="183"/>
      <c r="S176" s="183"/>
      <c r="T176" s="183"/>
      <c r="U176" s="183"/>
      <c r="V176" s="202"/>
      <c r="W176" s="183"/>
      <c r="X176" s="5"/>
    </row>
    <row r="177" spans="1:24" ht="15.75" x14ac:dyDescent="0.25">
      <c r="A177" s="181"/>
      <c r="B177" s="191"/>
      <c r="C177" s="183"/>
      <c r="D177" s="183"/>
      <c r="E177" s="183"/>
      <c r="F177" s="183"/>
      <c r="G177" s="183"/>
      <c r="H177" s="183"/>
      <c r="I177" s="183"/>
      <c r="J177" s="183"/>
      <c r="K177" s="183"/>
      <c r="L177" s="183"/>
      <c r="M177" s="183"/>
      <c r="N177" s="183"/>
      <c r="O177" s="183"/>
      <c r="P177" s="183"/>
      <c r="Q177" s="183"/>
      <c r="R177" s="183"/>
      <c r="S177" s="183"/>
      <c r="T177" s="183"/>
      <c r="U177" s="183"/>
      <c r="V177" s="202"/>
      <c r="W177" s="183"/>
      <c r="X177" s="5"/>
    </row>
    <row r="178" spans="1:24" ht="15.75" x14ac:dyDescent="0.25">
      <c r="A178" s="285"/>
      <c r="B178" s="286" t="s">
        <v>57</v>
      </c>
      <c r="C178" s="286"/>
      <c r="D178" s="286"/>
      <c r="E178" s="286"/>
      <c r="F178" s="286"/>
      <c r="G178" s="286"/>
      <c r="H178" s="286"/>
      <c r="I178" s="286"/>
      <c r="J178" s="286"/>
      <c r="K178" s="286"/>
      <c r="L178" s="286"/>
      <c r="M178" s="286"/>
      <c r="N178" s="286"/>
      <c r="O178" s="286"/>
      <c r="P178" s="286"/>
      <c r="Q178" s="286"/>
      <c r="R178" s="286"/>
      <c r="S178" s="286"/>
      <c r="T178" s="286"/>
      <c r="U178" s="286"/>
      <c r="V178" s="338">
        <f>V71</f>
        <v>843152</v>
      </c>
      <c r="W178" s="289"/>
      <c r="X178" s="5"/>
    </row>
    <row r="179" spans="1:24" ht="15.75" x14ac:dyDescent="0.25">
      <c r="A179" s="285"/>
      <c r="B179" s="286" t="s">
        <v>58</v>
      </c>
      <c r="C179" s="286"/>
      <c r="D179" s="286"/>
      <c r="E179" s="286"/>
      <c r="F179" s="286"/>
      <c r="G179" s="286"/>
      <c r="H179" s="286"/>
      <c r="I179" s="286"/>
      <c r="J179" s="286"/>
      <c r="K179" s="286"/>
      <c r="L179" s="286"/>
      <c r="M179" s="286"/>
      <c r="N179" s="286"/>
      <c r="O179" s="286"/>
      <c r="P179" s="286"/>
      <c r="Q179" s="286"/>
      <c r="R179" s="286"/>
      <c r="S179" s="286"/>
      <c r="T179" s="286"/>
      <c r="U179" s="286"/>
      <c r="V179" s="338">
        <f>V84</f>
        <v>843152</v>
      </c>
      <c r="W179" s="289"/>
      <c r="X179" s="5"/>
    </row>
    <row r="180" spans="1:24" ht="16.5" thickBot="1" x14ac:dyDescent="0.3">
      <c r="A180" s="181"/>
      <c r="B180" s="212"/>
      <c r="C180" s="212"/>
      <c r="D180" s="212"/>
      <c r="E180" s="212"/>
      <c r="F180" s="212"/>
      <c r="G180" s="212"/>
      <c r="H180" s="212"/>
      <c r="I180" s="212"/>
      <c r="J180" s="212"/>
      <c r="K180" s="212"/>
      <c r="L180" s="212"/>
      <c r="M180" s="212"/>
      <c r="N180" s="212"/>
      <c r="O180" s="212"/>
      <c r="P180" s="212"/>
      <c r="Q180" s="212"/>
      <c r="R180" s="212"/>
      <c r="S180" s="212"/>
      <c r="T180" s="212"/>
      <c r="U180" s="212"/>
      <c r="V180" s="344"/>
      <c r="W180" s="212"/>
      <c r="X180" s="5"/>
    </row>
    <row r="181" spans="1:24" ht="15.75" x14ac:dyDescent="0.25">
      <c r="A181" s="179"/>
      <c r="B181" s="180"/>
      <c r="C181" s="180"/>
      <c r="D181" s="180"/>
      <c r="E181" s="180"/>
      <c r="F181" s="180"/>
      <c r="G181" s="180"/>
      <c r="H181" s="180"/>
      <c r="I181" s="180"/>
      <c r="J181" s="180"/>
      <c r="K181" s="180"/>
      <c r="L181" s="180"/>
      <c r="M181" s="180"/>
      <c r="N181" s="180"/>
      <c r="O181" s="180"/>
      <c r="P181" s="180"/>
      <c r="Q181" s="180"/>
      <c r="R181" s="180"/>
      <c r="S181" s="180"/>
      <c r="T181" s="180"/>
      <c r="U181" s="180"/>
      <c r="V181" s="201"/>
      <c r="W181" s="180"/>
      <c r="X181" s="5"/>
    </row>
    <row r="182" spans="1:24" ht="15.75" x14ac:dyDescent="0.25">
      <c r="A182" s="181"/>
      <c r="B182" s="210" t="s">
        <v>59</v>
      </c>
      <c r="C182" s="206"/>
      <c r="D182" s="206"/>
      <c r="E182" s="206"/>
      <c r="F182" s="206"/>
      <c r="G182" s="206"/>
      <c r="H182" s="214"/>
      <c r="I182" s="214"/>
      <c r="J182" s="214"/>
      <c r="K182" s="214"/>
      <c r="L182" s="214"/>
      <c r="M182" s="214"/>
      <c r="N182" s="214"/>
      <c r="O182" s="214"/>
      <c r="P182" s="214"/>
      <c r="Q182" s="214"/>
      <c r="R182" s="214"/>
      <c r="S182" s="214" t="s">
        <v>101</v>
      </c>
      <c r="T182" s="214" t="s">
        <v>176</v>
      </c>
      <c r="U182" s="185"/>
      <c r="V182" s="215" t="s">
        <v>114</v>
      </c>
      <c r="W182" s="216"/>
      <c r="X182" s="5"/>
    </row>
    <row r="183" spans="1:24" ht="15.75" x14ac:dyDescent="0.25">
      <c r="A183" s="285"/>
      <c r="B183" s="286" t="s">
        <v>60</v>
      </c>
      <c r="C183" s="286"/>
      <c r="D183" s="286"/>
      <c r="E183" s="286"/>
      <c r="F183" s="286"/>
      <c r="G183" s="286"/>
      <c r="H183" s="286"/>
      <c r="I183" s="286"/>
      <c r="J183" s="286"/>
      <c r="K183" s="286"/>
      <c r="L183" s="286"/>
      <c r="M183" s="286"/>
      <c r="N183" s="286"/>
      <c r="O183" s="286"/>
      <c r="P183" s="286"/>
      <c r="Q183" s="286"/>
      <c r="R183" s="286"/>
      <c r="S183" s="338">
        <f>+V34*0.16</f>
        <v>160181.28</v>
      </c>
      <c r="T183" s="325"/>
      <c r="U183" s="286"/>
      <c r="V183" s="338"/>
      <c r="W183" s="289"/>
      <c r="X183" s="5"/>
    </row>
    <row r="184" spans="1:24" ht="15.75" x14ac:dyDescent="0.25">
      <c r="A184" s="285"/>
      <c r="B184" s="286" t="s">
        <v>61</v>
      </c>
      <c r="C184" s="286"/>
      <c r="D184" s="286"/>
      <c r="E184" s="286"/>
      <c r="F184" s="286"/>
      <c r="G184" s="286"/>
      <c r="H184" s="286"/>
      <c r="I184" s="286"/>
      <c r="J184" s="286"/>
      <c r="K184" s="286"/>
      <c r="L184" s="286"/>
      <c r="M184" s="286"/>
      <c r="N184" s="286"/>
      <c r="O184" s="286"/>
      <c r="P184" s="286"/>
      <c r="Q184" s="286"/>
      <c r="R184" s="286"/>
      <c r="S184" s="338">
        <f>+'Feb 11'!S186</f>
        <v>10649</v>
      </c>
      <c r="T184" s="338">
        <f>+'Feb 11'!T186</f>
        <v>6090</v>
      </c>
      <c r="U184" s="286"/>
      <c r="V184" s="338">
        <f>S184+T184</f>
        <v>16739</v>
      </c>
      <c r="W184" s="289"/>
      <c r="X184" s="5"/>
    </row>
    <row r="185" spans="1:24" ht="15.75" x14ac:dyDescent="0.25">
      <c r="A185" s="285"/>
      <c r="B185" s="286" t="s">
        <v>62</v>
      </c>
      <c r="C185" s="286"/>
      <c r="D185" s="286"/>
      <c r="E185" s="286"/>
      <c r="F185" s="286"/>
      <c r="G185" s="286"/>
      <c r="H185" s="286"/>
      <c r="I185" s="286"/>
      <c r="J185" s="286"/>
      <c r="K185" s="286"/>
      <c r="L185" s="286"/>
      <c r="M185" s="286"/>
      <c r="N185" s="286"/>
      <c r="O185" s="286"/>
      <c r="P185" s="286"/>
      <c r="Q185" s="286"/>
      <c r="R185" s="286"/>
      <c r="S185" s="337">
        <v>42</v>
      </c>
      <c r="T185" s="337">
        <v>0</v>
      </c>
      <c r="U185" s="286"/>
      <c r="V185" s="338">
        <f>S185+T185</f>
        <v>42</v>
      </c>
      <c r="W185" s="289"/>
      <c r="X185" s="5"/>
    </row>
    <row r="186" spans="1:24" ht="15.75" x14ac:dyDescent="0.25">
      <c r="A186" s="285"/>
      <c r="B186" s="286" t="s">
        <v>63</v>
      </c>
      <c r="C186" s="286"/>
      <c r="D186" s="286"/>
      <c r="E186" s="286"/>
      <c r="F186" s="286"/>
      <c r="G186" s="286"/>
      <c r="H186" s="286"/>
      <c r="I186" s="286"/>
      <c r="J186" s="286"/>
      <c r="K186" s="286"/>
      <c r="L186" s="286"/>
      <c r="M186" s="286"/>
      <c r="N186" s="286"/>
      <c r="O186" s="286"/>
      <c r="P186" s="286"/>
      <c r="Q186" s="286"/>
      <c r="R186" s="286"/>
      <c r="S186" s="338">
        <f>S184+S185</f>
        <v>10691</v>
      </c>
      <c r="T186" s="338">
        <f>T185+T184</f>
        <v>6090</v>
      </c>
      <c r="U186" s="286"/>
      <c r="V186" s="338">
        <f>S186+T186</f>
        <v>16781</v>
      </c>
      <c r="W186" s="289"/>
      <c r="X186" s="5"/>
    </row>
    <row r="187" spans="1:24" ht="15.75" x14ac:dyDescent="0.25">
      <c r="A187" s="285"/>
      <c r="B187" s="286" t="s">
        <v>64</v>
      </c>
      <c r="C187" s="286"/>
      <c r="D187" s="286"/>
      <c r="E187" s="286"/>
      <c r="F187" s="286"/>
      <c r="G187" s="286"/>
      <c r="H187" s="286"/>
      <c r="I187" s="286"/>
      <c r="J187" s="286"/>
      <c r="K187" s="286"/>
      <c r="L187" s="286"/>
      <c r="M187" s="286"/>
      <c r="N187" s="286"/>
      <c r="O187" s="286"/>
      <c r="P187" s="286"/>
      <c r="Q187" s="286"/>
      <c r="R187" s="286"/>
      <c r="S187" s="338">
        <f>S183-S186-T186</f>
        <v>143400.28</v>
      </c>
      <c r="T187" s="325"/>
      <c r="U187" s="286"/>
      <c r="V187" s="338"/>
      <c r="W187" s="289"/>
      <c r="X187" s="5"/>
    </row>
    <row r="188" spans="1:24" ht="16.5" thickBot="1" x14ac:dyDescent="0.3">
      <c r="A188" s="181"/>
      <c r="B188" s="212"/>
      <c r="C188" s="212"/>
      <c r="D188" s="212"/>
      <c r="E188" s="212"/>
      <c r="F188" s="212"/>
      <c r="G188" s="212"/>
      <c r="H188" s="212"/>
      <c r="I188" s="212"/>
      <c r="J188" s="212"/>
      <c r="K188" s="212"/>
      <c r="L188" s="212"/>
      <c r="M188" s="212"/>
      <c r="N188" s="212"/>
      <c r="O188" s="212"/>
      <c r="P188" s="212"/>
      <c r="Q188" s="212"/>
      <c r="R188" s="212"/>
      <c r="S188" s="212"/>
      <c r="T188" s="212"/>
      <c r="U188" s="212"/>
      <c r="V188" s="344"/>
      <c r="W188" s="212"/>
      <c r="X188" s="5"/>
    </row>
    <row r="189" spans="1:24" ht="15.75" x14ac:dyDescent="0.25">
      <c r="A189" s="179"/>
      <c r="B189" s="180"/>
      <c r="C189" s="180"/>
      <c r="D189" s="180"/>
      <c r="E189" s="180"/>
      <c r="F189" s="180"/>
      <c r="G189" s="180"/>
      <c r="H189" s="180"/>
      <c r="I189" s="180"/>
      <c r="J189" s="180"/>
      <c r="K189" s="180"/>
      <c r="L189" s="180"/>
      <c r="M189" s="180"/>
      <c r="N189" s="180"/>
      <c r="O189" s="180"/>
      <c r="P189" s="180"/>
      <c r="Q189" s="180"/>
      <c r="R189" s="180"/>
      <c r="S189" s="180"/>
      <c r="T189" s="180"/>
      <c r="U189" s="180"/>
      <c r="V189" s="201"/>
      <c r="W189" s="180"/>
      <c r="X189" s="5"/>
    </row>
    <row r="190" spans="1:24" ht="15.75" x14ac:dyDescent="0.25">
      <c r="A190" s="181"/>
      <c r="B190" s="210" t="s">
        <v>65</v>
      </c>
      <c r="C190" s="183"/>
      <c r="D190" s="183"/>
      <c r="E190" s="183"/>
      <c r="F190" s="183"/>
      <c r="G190" s="183"/>
      <c r="H190" s="183"/>
      <c r="I190" s="183"/>
      <c r="J190" s="183"/>
      <c r="K190" s="183"/>
      <c r="L190" s="183"/>
      <c r="M190" s="183"/>
      <c r="N190" s="183"/>
      <c r="O190" s="183"/>
      <c r="P190" s="183"/>
      <c r="Q190" s="183"/>
      <c r="R190" s="183"/>
      <c r="S190" s="183"/>
      <c r="T190" s="183"/>
      <c r="U190" s="183"/>
      <c r="V190" s="217"/>
      <c r="W190" s="183"/>
      <c r="X190" s="5"/>
    </row>
    <row r="191" spans="1:24" ht="15.75" x14ac:dyDescent="0.25">
      <c r="A191" s="285"/>
      <c r="B191" s="286" t="s">
        <v>66</v>
      </c>
      <c r="C191" s="286"/>
      <c r="D191" s="286"/>
      <c r="E191" s="286"/>
      <c r="F191" s="286"/>
      <c r="G191" s="286"/>
      <c r="H191" s="286"/>
      <c r="I191" s="286"/>
      <c r="J191" s="286"/>
      <c r="K191" s="286"/>
      <c r="L191" s="286"/>
      <c r="M191" s="286"/>
      <c r="N191" s="286"/>
      <c r="O191" s="286"/>
      <c r="P191" s="286"/>
      <c r="Q191" s="286"/>
      <c r="R191" s="286"/>
      <c r="S191" s="286"/>
      <c r="T191" s="286"/>
      <c r="U191" s="286"/>
      <c r="V191" s="343">
        <f>(V101+V103+V104+V105+V106)/-(V107+V108)</f>
        <v>3.2233846153846155</v>
      </c>
      <c r="W191" s="289" t="s">
        <v>115</v>
      </c>
      <c r="X191" s="5"/>
    </row>
    <row r="192" spans="1:24" ht="15.75" x14ac:dyDescent="0.25">
      <c r="A192" s="285"/>
      <c r="B192" s="286" t="s">
        <v>67</v>
      </c>
      <c r="C192" s="286"/>
      <c r="D192" s="286"/>
      <c r="E192" s="286"/>
      <c r="F192" s="286"/>
      <c r="G192" s="286"/>
      <c r="H192" s="286"/>
      <c r="I192" s="286"/>
      <c r="J192" s="286"/>
      <c r="K192" s="286"/>
      <c r="L192" s="286"/>
      <c r="M192" s="286"/>
      <c r="N192" s="286"/>
      <c r="O192" s="286"/>
      <c r="P192" s="286"/>
      <c r="Q192" s="286"/>
      <c r="R192" s="286"/>
      <c r="S192" s="286"/>
      <c r="T192" s="286"/>
      <c r="U192" s="286"/>
      <c r="V192" s="347">
        <v>1.65</v>
      </c>
      <c r="W192" s="289" t="s">
        <v>115</v>
      </c>
      <c r="X192" s="5"/>
    </row>
    <row r="193" spans="1:24" ht="15.75" x14ac:dyDescent="0.25">
      <c r="A193" s="285"/>
      <c r="B193" s="286" t="s">
        <v>68</v>
      </c>
      <c r="C193" s="286"/>
      <c r="D193" s="286"/>
      <c r="E193" s="286"/>
      <c r="F193" s="286"/>
      <c r="G193" s="286"/>
      <c r="H193" s="286"/>
      <c r="I193" s="286"/>
      <c r="J193" s="286"/>
      <c r="K193" s="286"/>
      <c r="L193" s="286"/>
      <c r="M193" s="286"/>
      <c r="N193" s="286"/>
      <c r="O193" s="286"/>
      <c r="P193" s="286"/>
      <c r="Q193" s="286"/>
      <c r="R193" s="286"/>
      <c r="S193" s="286"/>
      <c r="T193" s="286"/>
      <c r="U193" s="286"/>
      <c r="V193" s="343">
        <f>(V101+V103+V104+V105+V106+V107+V108)/-(V109+V110)</f>
        <v>17.28708133971292</v>
      </c>
      <c r="W193" s="289" t="s">
        <v>115</v>
      </c>
      <c r="X193" s="5"/>
    </row>
    <row r="194" spans="1:24" ht="15.75" x14ac:dyDescent="0.25">
      <c r="A194" s="285"/>
      <c r="B194" s="286" t="s">
        <v>69</v>
      </c>
      <c r="C194" s="286"/>
      <c r="D194" s="286"/>
      <c r="E194" s="286"/>
      <c r="F194" s="286"/>
      <c r="G194" s="286"/>
      <c r="H194" s="286"/>
      <c r="I194" s="286"/>
      <c r="J194" s="286"/>
      <c r="K194" s="286"/>
      <c r="L194" s="286"/>
      <c r="M194" s="286"/>
      <c r="N194" s="286"/>
      <c r="O194" s="286"/>
      <c r="P194" s="286"/>
      <c r="Q194" s="286"/>
      <c r="R194" s="286"/>
      <c r="S194" s="286"/>
      <c r="T194" s="286"/>
      <c r="U194" s="286"/>
      <c r="V194" s="347">
        <v>6.53</v>
      </c>
      <c r="W194" s="289" t="s">
        <v>115</v>
      </c>
      <c r="X194" s="5"/>
    </row>
    <row r="195" spans="1:24" ht="15.75" x14ac:dyDescent="0.25">
      <c r="A195" s="285"/>
      <c r="B195" s="286" t="s">
        <v>198</v>
      </c>
      <c r="C195" s="286"/>
      <c r="D195" s="286"/>
      <c r="E195" s="286"/>
      <c r="F195" s="286"/>
      <c r="G195" s="286"/>
      <c r="H195" s="286"/>
      <c r="I195" s="286"/>
      <c r="J195" s="286"/>
      <c r="K195" s="286"/>
      <c r="L195" s="286"/>
      <c r="M195" s="286"/>
      <c r="N195" s="286"/>
      <c r="O195" s="286"/>
      <c r="P195" s="286"/>
      <c r="Q195" s="286"/>
      <c r="R195" s="286"/>
      <c r="S195" s="286"/>
      <c r="T195" s="286"/>
      <c r="U195" s="286"/>
      <c r="V195" s="343">
        <f>(V101+V103+V104+V105+V106+V107+V108+V109+V110)/-(V111)</f>
        <v>12.654275092936803</v>
      </c>
      <c r="W195" s="289" t="s">
        <v>115</v>
      </c>
      <c r="X195" s="5"/>
    </row>
    <row r="196" spans="1:24" ht="15.75" x14ac:dyDescent="0.25">
      <c r="A196" s="285"/>
      <c r="B196" s="286" t="s">
        <v>199</v>
      </c>
      <c r="C196" s="286"/>
      <c r="D196" s="286"/>
      <c r="E196" s="286"/>
      <c r="F196" s="286"/>
      <c r="G196" s="286"/>
      <c r="H196" s="286"/>
      <c r="I196" s="286"/>
      <c r="J196" s="286"/>
      <c r="K196" s="286"/>
      <c r="L196" s="286"/>
      <c r="M196" s="286"/>
      <c r="N196" s="286"/>
      <c r="O196" s="286"/>
      <c r="P196" s="286"/>
      <c r="Q196" s="286"/>
      <c r="R196" s="286"/>
      <c r="S196" s="286"/>
      <c r="T196" s="286"/>
      <c r="U196" s="286"/>
      <c r="V196" s="347">
        <v>5.03</v>
      </c>
      <c r="W196" s="289" t="s">
        <v>115</v>
      </c>
      <c r="X196" s="5"/>
    </row>
    <row r="197" spans="1:24" ht="15.75" x14ac:dyDescent="0.25">
      <c r="A197" s="285"/>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9"/>
      <c r="X197" s="5"/>
    </row>
    <row r="198" spans="1:24" ht="15.75" x14ac:dyDescent="0.25">
      <c r="A198" s="181"/>
      <c r="B198" s="346"/>
      <c r="C198" s="346"/>
      <c r="D198" s="346"/>
      <c r="E198" s="346"/>
      <c r="F198" s="346"/>
      <c r="G198" s="346"/>
      <c r="H198" s="346"/>
      <c r="I198" s="346"/>
      <c r="J198" s="346"/>
      <c r="K198" s="346"/>
      <c r="L198" s="346"/>
      <c r="M198" s="346"/>
      <c r="N198" s="346"/>
      <c r="O198" s="346"/>
      <c r="P198" s="346"/>
      <c r="Q198" s="346"/>
      <c r="R198" s="346"/>
      <c r="S198" s="346"/>
      <c r="T198" s="346"/>
      <c r="U198" s="346"/>
      <c r="V198" s="346"/>
      <c r="W198" s="346"/>
      <c r="X198" s="5"/>
    </row>
    <row r="199" spans="1:24" ht="15.75" x14ac:dyDescent="0.25">
      <c r="A199" s="181"/>
      <c r="B199" s="255"/>
      <c r="C199" s="255"/>
      <c r="D199" s="255"/>
      <c r="E199" s="255"/>
      <c r="F199" s="255"/>
      <c r="G199" s="255"/>
      <c r="H199" s="255"/>
      <c r="I199" s="255"/>
      <c r="J199" s="255"/>
      <c r="K199" s="255"/>
      <c r="L199" s="255"/>
      <c r="M199" s="255"/>
      <c r="N199" s="255"/>
      <c r="O199" s="255"/>
      <c r="P199" s="255"/>
      <c r="Q199" s="255"/>
      <c r="R199" s="255"/>
      <c r="S199" s="255"/>
      <c r="T199" s="255"/>
      <c r="U199" s="255"/>
      <c r="V199" s="255"/>
      <c r="W199" s="255"/>
      <c r="X199" s="5"/>
    </row>
    <row r="200" spans="1:24" ht="19.5" thickBot="1" x14ac:dyDescent="0.35">
      <c r="A200" s="197"/>
      <c r="B200" s="270" t="str">
        <f>B134</f>
        <v>PM15 INVESTOR REPORT QUARTER ENDING MAY 2011</v>
      </c>
      <c r="C200" s="271"/>
      <c r="D200" s="271"/>
      <c r="E200" s="271"/>
      <c r="F200" s="271"/>
      <c r="G200" s="271"/>
      <c r="H200" s="271"/>
      <c r="I200" s="271"/>
      <c r="J200" s="271"/>
      <c r="K200" s="271"/>
      <c r="L200" s="271"/>
      <c r="M200" s="271"/>
      <c r="N200" s="271"/>
      <c r="O200" s="271"/>
      <c r="P200" s="271"/>
      <c r="Q200" s="271"/>
      <c r="R200" s="271"/>
      <c r="S200" s="271"/>
      <c r="T200" s="271"/>
      <c r="U200" s="271"/>
      <c r="V200" s="271"/>
      <c r="W200" s="272"/>
      <c r="X200" s="5"/>
    </row>
    <row r="201" spans="1:24" ht="15.75" x14ac:dyDescent="0.25">
      <c r="A201" s="236"/>
      <c r="B201" s="403" t="s">
        <v>70</v>
      </c>
      <c r="C201" s="404"/>
      <c r="D201" s="404"/>
      <c r="E201" s="404"/>
      <c r="F201" s="404"/>
      <c r="G201" s="405"/>
      <c r="H201" s="405"/>
      <c r="I201" s="405"/>
      <c r="J201" s="405"/>
      <c r="K201" s="405"/>
      <c r="L201" s="405"/>
      <c r="M201" s="405"/>
      <c r="N201" s="405"/>
      <c r="O201" s="405"/>
      <c r="P201" s="405"/>
      <c r="Q201" s="405"/>
      <c r="R201" s="405"/>
      <c r="S201" s="405"/>
      <c r="T201" s="405">
        <v>40694</v>
      </c>
      <c r="U201" s="238"/>
      <c r="V201" s="238"/>
      <c r="W201" s="238"/>
      <c r="X201" s="5"/>
    </row>
    <row r="202" spans="1:24" ht="15.75" x14ac:dyDescent="0.25">
      <c r="A202" s="218"/>
      <c r="B202" s="219"/>
      <c r="C202" s="220"/>
      <c r="D202" s="220"/>
      <c r="E202" s="220"/>
      <c r="F202" s="220"/>
      <c r="G202" s="221"/>
      <c r="H202" s="221"/>
      <c r="I202" s="221"/>
      <c r="J202" s="221"/>
      <c r="K202" s="221"/>
      <c r="L202" s="221"/>
      <c r="M202" s="221"/>
      <c r="N202" s="221"/>
      <c r="O202" s="221"/>
      <c r="P202" s="221"/>
      <c r="Q202" s="221"/>
      <c r="R202" s="221"/>
      <c r="S202" s="221"/>
      <c r="T202" s="221"/>
      <c r="U202" s="183"/>
      <c r="V202" s="183"/>
      <c r="W202" s="183"/>
      <c r="X202" s="5"/>
    </row>
    <row r="203" spans="1:24" ht="15.75" x14ac:dyDescent="0.25">
      <c r="A203" s="350"/>
      <c r="B203" s="286" t="s">
        <v>71</v>
      </c>
      <c r="C203" s="406"/>
      <c r="D203" s="406"/>
      <c r="E203" s="406"/>
      <c r="F203" s="406"/>
      <c r="G203" s="397"/>
      <c r="H203" s="397"/>
      <c r="I203" s="397"/>
      <c r="J203" s="397"/>
      <c r="K203" s="397"/>
      <c r="L203" s="397"/>
      <c r="M203" s="397"/>
      <c r="N203" s="397"/>
      <c r="O203" s="397"/>
      <c r="P203" s="397"/>
      <c r="Q203" s="397"/>
      <c r="R203" s="397"/>
      <c r="S203" s="397"/>
      <c r="T203" s="321">
        <v>5.3830000000000003E-2</v>
      </c>
      <c r="U203" s="286"/>
      <c r="V203" s="286"/>
      <c r="W203" s="289"/>
      <c r="X203" s="5"/>
    </row>
    <row r="204" spans="1:24" ht="15.75" x14ac:dyDescent="0.25">
      <c r="A204" s="350"/>
      <c r="B204" s="286" t="s">
        <v>151</v>
      </c>
      <c r="C204" s="406"/>
      <c r="D204" s="406"/>
      <c r="E204" s="406"/>
      <c r="F204" s="406"/>
      <c r="G204" s="397"/>
      <c r="H204" s="397"/>
      <c r="I204" s="397"/>
      <c r="J204" s="397"/>
      <c r="K204" s="397"/>
      <c r="L204" s="397"/>
      <c r="M204" s="397"/>
      <c r="N204" s="397"/>
      <c r="O204" s="397"/>
      <c r="P204" s="397"/>
      <c r="Q204" s="397"/>
      <c r="R204" s="397"/>
      <c r="S204" s="397"/>
      <c r="T204" s="321">
        <v>6.25E-2</v>
      </c>
      <c r="U204" s="286"/>
      <c r="V204" s="286"/>
      <c r="W204" s="289"/>
      <c r="X204" s="5"/>
    </row>
    <row r="205" spans="1:24" ht="15.75" x14ac:dyDescent="0.25">
      <c r="A205" s="350"/>
      <c r="B205" s="286" t="s">
        <v>72</v>
      </c>
      <c r="C205" s="406"/>
      <c r="D205" s="406"/>
      <c r="E205" s="406"/>
      <c r="F205" s="406"/>
      <c r="G205" s="397"/>
      <c r="H205" s="397"/>
      <c r="I205" s="397"/>
      <c r="J205" s="397"/>
      <c r="K205" s="397"/>
      <c r="L205" s="397"/>
      <c r="M205" s="397"/>
      <c r="N205" s="397"/>
      <c r="O205" s="397"/>
      <c r="P205" s="397"/>
      <c r="Q205" s="397"/>
      <c r="R205" s="397"/>
      <c r="S205" s="397"/>
      <c r="T205" s="321">
        <f>T203-T204</f>
        <v>-8.6699999999999972E-3</v>
      </c>
      <c r="U205" s="286"/>
      <c r="V205" s="286"/>
      <c r="W205" s="289"/>
      <c r="X205" s="5"/>
    </row>
    <row r="206" spans="1:24" ht="15.75" x14ac:dyDescent="0.25">
      <c r="A206" s="350"/>
      <c r="B206" s="286" t="s">
        <v>73</v>
      </c>
      <c r="C206" s="406"/>
      <c r="D206" s="406"/>
      <c r="E206" s="406"/>
      <c r="F206" s="406"/>
      <c r="G206" s="397"/>
      <c r="H206" s="397"/>
      <c r="I206" s="397"/>
      <c r="J206" s="397"/>
      <c r="K206" s="397"/>
      <c r="L206" s="397"/>
      <c r="M206" s="397"/>
      <c r="N206" s="397"/>
      <c r="O206" s="397"/>
      <c r="P206" s="397"/>
      <c r="Q206" s="397"/>
      <c r="R206" s="397"/>
      <c r="S206" s="397"/>
      <c r="T206" s="321">
        <v>2.7949999999999999E-2</v>
      </c>
      <c r="U206" s="286"/>
      <c r="V206" s="286"/>
      <c r="W206" s="289"/>
      <c r="X206" s="5"/>
    </row>
    <row r="207" spans="1:24" ht="15.75" x14ac:dyDescent="0.25">
      <c r="A207" s="350"/>
      <c r="B207" s="286" t="s">
        <v>218</v>
      </c>
      <c r="C207" s="406"/>
      <c r="D207" s="406"/>
      <c r="E207" s="406"/>
      <c r="F207" s="406"/>
      <c r="G207" s="397"/>
      <c r="H207" s="397"/>
      <c r="I207" s="397"/>
      <c r="J207" s="397"/>
      <c r="K207" s="397"/>
      <c r="L207" s="397"/>
      <c r="M207" s="397"/>
      <c r="N207" s="397"/>
      <c r="O207" s="397"/>
      <c r="P207" s="397"/>
      <c r="Q207" s="397"/>
      <c r="R207" s="397"/>
      <c r="S207" s="397"/>
      <c r="T207" s="321">
        <f>V43</f>
        <v>9.8473532856567098E-3</v>
      </c>
      <c r="U207" s="286"/>
      <c r="V207" s="286"/>
      <c r="W207" s="289"/>
      <c r="X207" s="5"/>
    </row>
    <row r="208" spans="1:24" ht="15.75" x14ac:dyDescent="0.25">
      <c r="A208" s="350"/>
      <c r="B208" s="286" t="s">
        <v>74</v>
      </c>
      <c r="C208" s="406"/>
      <c r="D208" s="406"/>
      <c r="E208" s="406"/>
      <c r="F208" s="406"/>
      <c r="G208" s="397"/>
      <c r="H208" s="397"/>
      <c r="I208" s="397"/>
      <c r="J208" s="397"/>
      <c r="K208" s="397"/>
      <c r="L208" s="397"/>
      <c r="M208" s="397"/>
      <c r="N208" s="397"/>
      <c r="O208" s="397"/>
      <c r="P208" s="397"/>
      <c r="Q208" s="397"/>
      <c r="R208" s="397"/>
      <c r="S208" s="397"/>
      <c r="T208" s="321">
        <f>T206-T207</f>
        <v>1.8102646714343289E-2</v>
      </c>
      <c r="U208" s="286"/>
      <c r="V208" s="286"/>
      <c r="W208" s="289"/>
      <c r="X208" s="5"/>
    </row>
    <row r="209" spans="1:24" ht="15.75" x14ac:dyDescent="0.25">
      <c r="A209" s="350"/>
      <c r="B209" s="286" t="s">
        <v>227</v>
      </c>
      <c r="C209" s="406"/>
      <c r="D209" s="406"/>
      <c r="E209" s="406"/>
      <c r="F209" s="406"/>
      <c r="G209" s="397"/>
      <c r="H209" s="397"/>
      <c r="I209" s="397"/>
      <c r="J209" s="397"/>
      <c r="K209" s="397"/>
      <c r="L209" s="397"/>
      <c r="M209" s="397"/>
      <c r="N209" s="397"/>
      <c r="O209" s="397"/>
      <c r="P209" s="397"/>
      <c r="Q209" s="397"/>
      <c r="R209" s="397"/>
      <c r="S209" s="397"/>
      <c r="T209" s="321">
        <f>V101/N71</f>
        <v>7.1107249894059171E-3</v>
      </c>
      <c r="U209" s="286"/>
      <c r="V209" s="286"/>
      <c r="W209" s="289"/>
      <c r="X209" s="5"/>
    </row>
    <row r="210" spans="1:24" ht="15.75" x14ac:dyDescent="0.25">
      <c r="A210" s="350"/>
      <c r="B210" s="286" t="s">
        <v>207</v>
      </c>
      <c r="C210" s="406"/>
      <c r="D210" s="406"/>
      <c r="E210" s="406"/>
      <c r="F210" s="406"/>
      <c r="G210" s="397"/>
      <c r="H210" s="397"/>
      <c r="I210" s="397"/>
      <c r="J210" s="397"/>
      <c r="K210" s="397"/>
      <c r="L210" s="397"/>
      <c r="M210" s="397"/>
      <c r="N210" s="397"/>
      <c r="O210" s="397"/>
      <c r="P210" s="397"/>
      <c r="Q210" s="397"/>
      <c r="R210" s="397"/>
      <c r="S210" s="397"/>
      <c r="T210" s="352">
        <v>51105</v>
      </c>
      <c r="U210" s="286"/>
      <c r="V210" s="286"/>
      <c r="W210" s="289"/>
      <c r="X210" s="5"/>
    </row>
    <row r="211" spans="1:24" ht="15.75" x14ac:dyDescent="0.25">
      <c r="A211" s="350"/>
      <c r="B211" s="286" t="s">
        <v>208</v>
      </c>
      <c r="C211" s="406"/>
      <c r="D211" s="406"/>
      <c r="E211" s="406"/>
      <c r="F211" s="406"/>
      <c r="G211" s="397"/>
      <c r="H211" s="397"/>
      <c r="I211" s="397"/>
      <c r="J211" s="397"/>
      <c r="K211" s="397"/>
      <c r="L211" s="397"/>
      <c r="M211" s="397"/>
      <c r="N211" s="397"/>
      <c r="O211" s="397"/>
      <c r="P211" s="397"/>
      <c r="Q211" s="397"/>
      <c r="R211" s="397"/>
      <c r="S211" s="397"/>
      <c r="T211" s="352">
        <v>51105</v>
      </c>
      <c r="U211" s="286"/>
      <c r="V211" s="286"/>
      <c r="W211" s="289"/>
      <c r="X211" s="5"/>
    </row>
    <row r="212" spans="1:24" ht="15.75" x14ac:dyDescent="0.25">
      <c r="A212" s="350"/>
      <c r="B212" s="286" t="s">
        <v>209</v>
      </c>
      <c r="C212" s="406"/>
      <c r="D212" s="406"/>
      <c r="E212" s="406"/>
      <c r="F212" s="406"/>
      <c r="G212" s="397"/>
      <c r="H212" s="397"/>
      <c r="I212" s="397"/>
      <c r="J212" s="397"/>
      <c r="K212" s="397"/>
      <c r="L212" s="397"/>
      <c r="M212" s="397"/>
      <c r="N212" s="397"/>
      <c r="O212" s="397"/>
      <c r="P212" s="397"/>
      <c r="Q212" s="397"/>
      <c r="R212" s="397"/>
      <c r="S212" s="397"/>
      <c r="T212" s="352">
        <v>51105</v>
      </c>
      <c r="U212" s="286"/>
      <c r="V212" s="286"/>
      <c r="W212" s="289"/>
      <c r="X212" s="5"/>
    </row>
    <row r="213" spans="1:24" ht="15.75" x14ac:dyDescent="0.25">
      <c r="A213" s="350"/>
      <c r="B213" s="286" t="s">
        <v>75</v>
      </c>
      <c r="C213" s="406"/>
      <c r="D213" s="406"/>
      <c r="E213" s="406"/>
      <c r="F213" s="406"/>
      <c r="G213" s="397"/>
      <c r="H213" s="397"/>
      <c r="I213" s="397"/>
      <c r="J213" s="397"/>
      <c r="K213" s="397"/>
      <c r="L213" s="397"/>
      <c r="M213" s="397"/>
      <c r="N213" s="397"/>
      <c r="O213" s="397"/>
      <c r="P213" s="397"/>
      <c r="Q213" s="397"/>
      <c r="R213" s="397"/>
      <c r="S213" s="397"/>
      <c r="T213" s="327">
        <v>21.06</v>
      </c>
      <c r="U213" s="286" t="s">
        <v>110</v>
      </c>
      <c r="V213" s="286"/>
      <c r="W213" s="289"/>
      <c r="X213" s="5"/>
    </row>
    <row r="214" spans="1:24" ht="15.75" x14ac:dyDescent="0.25">
      <c r="A214" s="350"/>
      <c r="B214" s="286" t="s">
        <v>76</v>
      </c>
      <c r="C214" s="406"/>
      <c r="D214" s="406"/>
      <c r="E214" s="406"/>
      <c r="F214" s="406"/>
      <c r="G214" s="397"/>
      <c r="H214" s="397"/>
      <c r="I214" s="397"/>
      <c r="J214" s="397"/>
      <c r="K214" s="397"/>
      <c r="L214" s="397"/>
      <c r="M214" s="397"/>
      <c r="N214" s="397"/>
      <c r="O214" s="397"/>
      <c r="P214" s="397"/>
      <c r="Q214" s="397"/>
      <c r="R214" s="397"/>
      <c r="S214" s="397"/>
      <c r="T214" s="327">
        <v>17.329999999999998</v>
      </c>
      <c r="U214" s="286" t="s">
        <v>110</v>
      </c>
      <c r="V214" s="286"/>
      <c r="W214" s="289"/>
      <c r="X214" s="5"/>
    </row>
    <row r="215" spans="1:24" ht="15.75" x14ac:dyDescent="0.25">
      <c r="A215" s="350"/>
      <c r="B215" s="286" t="s">
        <v>77</v>
      </c>
      <c r="C215" s="406"/>
      <c r="D215" s="406"/>
      <c r="E215" s="406"/>
      <c r="F215" s="406"/>
      <c r="G215" s="397"/>
      <c r="H215" s="397"/>
      <c r="I215" s="397"/>
      <c r="J215" s="397"/>
      <c r="K215" s="397"/>
      <c r="L215" s="397"/>
      <c r="M215" s="397"/>
      <c r="N215" s="397"/>
      <c r="O215" s="397"/>
      <c r="P215" s="397"/>
      <c r="Q215" s="397"/>
      <c r="R215" s="397"/>
      <c r="S215" s="397"/>
      <c r="T215" s="321">
        <f>+P68/N68</f>
        <v>4.9258060061073859E-3</v>
      </c>
      <c r="U215" s="286"/>
      <c r="V215" s="286"/>
      <c r="W215" s="289"/>
      <c r="X215" s="5"/>
    </row>
    <row r="216" spans="1:24" ht="15.75" x14ac:dyDescent="0.25">
      <c r="A216" s="350"/>
      <c r="B216" s="286" t="s">
        <v>78</v>
      </c>
      <c r="C216" s="406"/>
      <c r="D216" s="406"/>
      <c r="E216" s="406"/>
      <c r="F216" s="406"/>
      <c r="G216" s="397"/>
      <c r="H216" s="397"/>
      <c r="I216" s="397"/>
      <c r="J216" s="397"/>
      <c r="K216" s="397"/>
      <c r="L216" s="397"/>
      <c r="M216" s="397"/>
      <c r="N216" s="397"/>
      <c r="O216" s="397"/>
      <c r="P216" s="397"/>
      <c r="Q216" s="397"/>
      <c r="R216" s="397"/>
      <c r="S216" s="397"/>
      <c r="T216" s="321">
        <v>4.65E-2</v>
      </c>
      <c r="U216" s="286"/>
      <c r="V216" s="286"/>
      <c r="W216" s="289"/>
      <c r="X216" s="5"/>
    </row>
    <row r="217" spans="1:24" ht="15.75" x14ac:dyDescent="0.25">
      <c r="A217" s="218"/>
      <c r="B217" s="348"/>
      <c r="C217" s="348"/>
      <c r="D217" s="348"/>
      <c r="E217" s="348"/>
      <c r="F217" s="348"/>
      <c r="G217" s="212"/>
      <c r="H217" s="212"/>
      <c r="I217" s="212"/>
      <c r="J217" s="212"/>
      <c r="K217" s="212"/>
      <c r="L217" s="212"/>
      <c r="M217" s="212"/>
      <c r="N217" s="212"/>
      <c r="O217" s="212"/>
      <c r="P217" s="212"/>
      <c r="Q217" s="212"/>
      <c r="R217" s="212"/>
      <c r="S217" s="212"/>
      <c r="T217" s="344"/>
      <c r="U217" s="212"/>
      <c r="V217" s="349"/>
      <c r="W217" s="212"/>
      <c r="X217" s="5"/>
    </row>
    <row r="218" spans="1:24" ht="15.75" x14ac:dyDescent="0.25">
      <c r="A218" s="242"/>
      <c r="B218" s="399" t="s">
        <v>79</v>
      </c>
      <c r="C218" s="400"/>
      <c r="D218" s="400"/>
      <c r="E218" s="400"/>
      <c r="F218" s="407"/>
      <c r="G218" s="400"/>
      <c r="H218" s="400"/>
      <c r="I218" s="400"/>
      <c r="J218" s="400"/>
      <c r="K218" s="400"/>
      <c r="L218" s="400"/>
      <c r="M218" s="400"/>
      <c r="N218" s="400"/>
      <c r="O218" s="400"/>
      <c r="P218" s="400"/>
      <c r="Q218" s="400"/>
      <c r="R218" s="400"/>
      <c r="S218" s="400" t="s">
        <v>102</v>
      </c>
      <c r="T218" s="407" t="s">
        <v>108</v>
      </c>
      <c r="U218" s="225"/>
      <c r="V218" s="225"/>
      <c r="W218" s="225"/>
      <c r="X218" s="5"/>
    </row>
    <row r="219" spans="1:24" ht="15.75" x14ac:dyDescent="0.25">
      <c r="A219" s="222"/>
      <c r="B219" s="250" t="s">
        <v>80</v>
      </c>
      <c r="C219" s="249"/>
      <c r="D219" s="249"/>
      <c r="E219" s="249"/>
      <c r="F219" s="250"/>
      <c r="G219" s="250"/>
      <c r="H219" s="268"/>
      <c r="I219" s="268"/>
      <c r="J219" s="268"/>
      <c r="K219" s="268"/>
      <c r="L219" s="268"/>
      <c r="M219" s="268"/>
      <c r="N219" s="268"/>
      <c r="O219" s="268"/>
      <c r="P219" s="268"/>
      <c r="Q219" s="268"/>
      <c r="R219" s="268"/>
      <c r="S219" s="268">
        <v>2</v>
      </c>
      <c r="T219" s="269">
        <v>258</v>
      </c>
      <c r="U219" s="250"/>
      <c r="V219" s="266"/>
      <c r="W219" s="223"/>
      <c r="X219" s="5"/>
    </row>
    <row r="220" spans="1:24" ht="15.75" x14ac:dyDescent="0.25">
      <c r="A220" s="358"/>
      <c r="B220" s="286" t="s">
        <v>145</v>
      </c>
      <c r="C220" s="337"/>
      <c r="D220" s="337"/>
      <c r="E220" s="337"/>
      <c r="F220" s="286"/>
      <c r="G220" s="286"/>
      <c r="H220" s="296"/>
      <c r="I220" s="296"/>
      <c r="J220" s="296"/>
      <c r="K220" s="296"/>
      <c r="L220" s="296"/>
      <c r="M220" s="296"/>
      <c r="N220" s="296"/>
      <c r="O220" s="296"/>
      <c r="P220" s="296"/>
      <c r="Q220" s="296"/>
      <c r="R220" s="296"/>
      <c r="S220" s="359">
        <f>+R272</f>
        <v>140</v>
      </c>
      <c r="T220" s="360">
        <f>+T272</f>
        <v>22674</v>
      </c>
      <c r="U220" s="286"/>
      <c r="V220" s="361"/>
      <c r="W220" s="362"/>
      <c r="X220" s="5"/>
    </row>
    <row r="221" spans="1:24" ht="15.75" x14ac:dyDescent="0.25">
      <c r="A221" s="358"/>
      <c r="B221" s="286" t="s">
        <v>81</v>
      </c>
      <c r="C221" s="337"/>
      <c r="D221" s="337"/>
      <c r="E221" s="337"/>
      <c r="F221" s="286"/>
      <c r="G221" s="286"/>
      <c r="H221" s="296"/>
      <c r="I221" s="296"/>
      <c r="J221" s="296"/>
      <c r="K221" s="296"/>
      <c r="L221" s="296"/>
      <c r="M221" s="296"/>
      <c r="N221" s="296"/>
      <c r="O221" s="296"/>
      <c r="P221" s="296"/>
      <c r="Q221" s="296"/>
      <c r="R221" s="296"/>
      <c r="S221" s="359">
        <v>0</v>
      </c>
      <c r="T221" s="360">
        <v>0</v>
      </c>
      <c r="U221" s="286"/>
      <c r="V221" s="361"/>
      <c r="W221" s="362"/>
      <c r="X221" s="5"/>
    </row>
    <row r="222" spans="1:24" ht="15.75" x14ac:dyDescent="0.25">
      <c r="A222" s="358"/>
      <c r="B222" s="313" t="s">
        <v>82</v>
      </c>
      <c r="C222" s="363"/>
      <c r="D222" s="363"/>
      <c r="E222" s="363"/>
      <c r="F222" s="314"/>
      <c r="G222" s="314"/>
      <c r="H222" s="314"/>
      <c r="I222" s="314"/>
      <c r="J222" s="314"/>
      <c r="K222" s="314"/>
      <c r="L222" s="314"/>
      <c r="M222" s="314"/>
      <c r="N222" s="314"/>
      <c r="O222" s="314"/>
      <c r="P222" s="314"/>
      <c r="Q222" s="314"/>
      <c r="R222" s="314"/>
      <c r="S222" s="286"/>
      <c r="T222" s="360">
        <v>0</v>
      </c>
      <c r="U222" s="314"/>
      <c r="V222" s="364"/>
      <c r="W222" s="362"/>
      <c r="X222" s="5"/>
    </row>
    <row r="223" spans="1:24" ht="15.75" x14ac:dyDescent="0.25">
      <c r="A223" s="358"/>
      <c r="B223" s="313" t="s">
        <v>228</v>
      </c>
      <c r="C223" s="363"/>
      <c r="D223" s="363"/>
      <c r="E223" s="363"/>
      <c r="F223" s="314"/>
      <c r="G223" s="314"/>
      <c r="H223" s="314"/>
      <c r="I223" s="314"/>
      <c r="J223" s="314"/>
      <c r="K223" s="314"/>
      <c r="L223" s="314"/>
      <c r="M223" s="314"/>
      <c r="N223" s="314"/>
      <c r="O223" s="314"/>
      <c r="P223" s="314"/>
      <c r="Q223" s="314"/>
      <c r="R223" s="314"/>
      <c r="S223" s="286"/>
      <c r="T223" s="360">
        <f>+N81</f>
        <v>0</v>
      </c>
      <c r="U223" s="314"/>
      <c r="V223" s="364"/>
      <c r="W223" s="362"/>
      <c r="X223" s="5"/>
    </row>
    <row r="224" spans="1:24" ht="15.75" x14ac:dyDescent="0.25">
      <c r="A224" s="365"/>
      <c r="B224" s="313" t="s">
        <v>83</v>
      </c>
      <c r="C224" s="366"/>
      <c r="D224" s="366"/>
      <c r="E224" s="366"/>
      <c r="F224" s="366"/>
      <c r="G224" s="314"/>
      <c r="H224" s="314"/>
      <c r="I224" s="314"/>
      <c r="J224" s="314"/>
      <c r="K224" s="314"/>
      <c r="L224" s="314"/>
      <c r="M224" s="314"/>
      <c r="N224" s="314"/>
      <c r="O224" s="314"/>
      <c r="P224" s="314"/>
      <c r="Q224" s="314"/>
      <c r="R224" s="314"/>
      <c r="S224" s="286"/>
      <c r="T224" s="360"/>
      <c r="U224" s="314"/>
      <c r="V224" s="364"/>
      <c r="W224" s="367"/>
      <c r="X224" s="5"/>
    </row>
    <row r="225" spans="1:25" ht="15.75" x14ac:dyDescent="0.25">
      <c r="A225" s="365"/>
      <c r="B225" s="286" t="s">
        <v>84</v>
      </c>
      <c r="C225" s="366"/>
      <c r="D225" s="366"/>
      <c r="E225" s="366"/>
      <c r="F225" s="366"/>
      <c r="G225" s="314"/>
      <c r="H225" s="314"/>
      <c r="I225" s="314"/>
      <c r="J225" s="314"/>
      <c r="K225" s="314"/>
      <c r="L225" s="314"/>
      <c r="M225" s="314"/>
      <c r="N225" s="314"/>
      <c r="O225" s="314"/>
      <c r="P225" s="314"/>
      <c r="Q225" s="314"/>
      <c r="R225" s="314"/>
      <c r="S225" s="296"/>
      <c r="T225" s="360">
        <f>V163</f>
        <v>350</v>
      </c>
      <c r="U225" s="314"/>
      <c r="V225" s="364"/>
      <c r="W225" s="367"/>
      <c r="X225" s="5"/>
    </row>
    <row r="226" spans="1:25" ht="15.75" x14ac:dyDescent="0.25">
      <c r="A226" s="358"/>
      <c r="B226" s="286" t="s">
        <v>85</v>
      </c>
      <c r="C226" s="363"/>
      <c r="D226" s="363"/>
      <c r="E226" s="363"/>
      <c r="F226" s="363"/>
      <c r="G226" s="314"/>
      <c r="H226" s="314"/>
      <c r="I226" s="314"/>
      <c r="J226" s="314"/>
      <c r="K226" s="314"/>
      <c r="L226" s="314"/>
      <c r="M226" s="314"/>
      <c r="N226" s="314"/>
      <c r="O226" s="314"/>
      <c r="P226" s="314"/>
      <c r="Q226" s="314"/>
      <c r="R226" s="314"/>
      <c r="S226" s="296"/>
      <c r="T226" s="360">
        <f>'Feb 11'!T226+T225</f>
        <v>2961</v>
      </c>
      <c r="U226" s="314"/>
      <c r="V226" s="364"/>
      <c r="W226" s="367"/>
      <c r="X226" s="5"/>
    </row>
    <row r="227" spans="1:25" ht="15.75" x14ac:dyDescent="0.25">
      <c r="A227" s="365"/>
      <c r="B227" s="313" t="s">
        <v>285</v>
      </c>
      <c r="C227" s="366"/>
      <c r="D227" s="366"/>
      <c r="E227" s="366"/>
      <c r="F227" s="366"/>
      <c r="G227" s="314"/>
      <c r="H227" s="314"/>
      <c r="I227" s="314"/>
      <c r="J227" s="314"/>
      <c r="K227" s="314"/>
      <c r="L227" s="314"/>
      <c r="M227" s="314"/>
      <c r="N227" s="314"/>
      <c r="O227" s="314"/>
      <c r="P227" s="314"/>
      <c r="Q227" s="314"/>
      <c r="R227" s="314"/>
      <c r="S227" s="296"/>
      <c r="T227" s="360"/>
      <c r="U227" s="314"/>
      <c r="V227" s="364"/>
      <c r="W227" s="367"/>
      <c r="X227" s="5"/>
    </row>
    <row r="228" spans="1:25" ht="15.75" x14ac:dyDescent="0.25">
      <c r="A228" s="365"/>
      <c r="B228" s="286" t="s">
        <v>282</v>
      </c>
      <c r="C228" s="366"/>
      <c r="D228" s="366"/>
      <c r="E228" s="366"/>
      <c r="F228" s="366"/>
      <c r="G228" s="314"/>
      <c r="H228" s="314"/>
      <c r="I228" s="314"/>
      <c r="J228" s="314"/>
      <c r="K228" s="314"/>
      <c r="L228" s="314"/>
      <c r="M228" s="314"/>
      <c r="N228" s="314"/>
      <c r="O228" s="314"/>
      <c r="P228" s="314"/>
      <c r="Q228" s="314"/>
      <c r="R228" s="314"/>
      <c r="S228" s="296">
        <v>0</v>
      </c>
      <c r="T228" s="360">
        <v>0</v>
      </c>
      <c r="U228" s="314"/>
      <c r="V228" s="364"/>
      <c r="W228" s="367"/>
      <c r="X228" s="5"/>
    </row>
    <row r="229" spans="1:25" ht="15.75" x14ac:dyDescent="0.25">
      <c r="A229" s="358"/>
      <c r="B229" s="286" t="s">
        <v>86</v>
      </c>
      <c r="C229" s="368"/>
      <c r="D229" s="368"/>
      <c r="E229" s="368"/>
      <c r="F229" s="369"/>
      <c r="G229" s="314"/>
      <c r="H229" s="314"/>
      <c r="I229" s="314"/>
      <c r="J229" s="314"/>
      <c r="K229" s="314"/>
      <c r="L229" s="314"/>
      <c r="M229" s="314"/>
      <c r="N229" s="314"/>
      <c r="O229" s="314"/>
      <c r="P229" s="314"/>
      <c r="Q229" s="314"/>
      <c r="R229" s="314"/>
      <c r="S229" s="286"/>
      <c r="T229" s="370">
        <v>0</v>
      </c>
      <c r="U229" s="314"/>
      <c r="V229" s="364"/>
      <c r="W229" s="367"/>
      <c r="X229" s="5"/>
    </row>
    <row r="230" spans="1:25" ht="15.75" x14ac:dyDescent="0.25">
      <c r="A230" s="358"/>
      <c r="B230" s="286" t="s">
        <v>87</v>
      </c>
      <c r="C230" s="368"/>
      <c r="D230" s="368"/>
      <c r="E230" s="368"/>
      <c r="F230" s="369"/>
      <c r="G230" s="314"/>
      <c r="H230" s="314"/>
      <c r="I230" s="314"/>
      <c r="J230" s="314"/>
      <c r="K230" s="314"/>
      <c r="L230" s="314"/>
      <c r="M230" s="314"/>
      <c r="N230" s="314"/>
      <c r="O230" s="314"/>
      <c r="P230" s="314"/>
      <c r="Q230" s="314"/>
      <c r="R230" s="314"/>
      <c r="S230" s="286"/>
      <c r="T230" s="370">
        <v>0</v>
      </c>
      <c r="U230" s="314"/>
      <c r="V230" s="364"/>
      <c r="W230" s="367"/>
      <c r="X230" s="5"/>
    </row>
    <row r="231" spans="1:25" ht="15.75" x14ac:dyDescent="0.25">
      <c r="A231" s="358"/>
      <c r="B231" s="313" t="s">
        <v>216</v>
      </c>
      <c r="C231" s="368"/>
      <c r="D231" s="368"/>
      <c r="E231" s="368"/>
      <c r="F231" s="369"/>
      <c r="G231" s="314"/>
      <c r="H231" s="314"/>
      <c r="I231" s="314"/>
      <c r="J231" s="314"/>
      <c r="K231" s="314"/>
      <c r="L231" s="314"/>
      <c r="M231" s="314"/>
      <c r="N231" s="314"/>
      <c r="O231" s="314"/>
      <c r="P231" s="314"/>
      <c r="Q231" s="314"/>
      <c r="R231" s="314"/>
      <c r="S231" s="286"/>
      <c r="T231" s="371"/>
      <c r="U231" s="314"/>
      <c r="V231" s="364"/>
      <c r="W231" s="367"/>
      <c r="X231" s="5"/>
    </row>
    <row r="232" spans="1:25" ht="15.75" x14ac:dyDescent="0.25">
      <c r="A232" s="358"/>
      <c r="B232" s="286" t="s">
        <v>282</v>
      </c>
      <c r="C232" s="368"/>
      <c r="D232" s="368"/>
      <c r="E232" s="368"/>
      <c r="F232" s="369"/>
      <c r="G232" s="314"/>
      <c r="H232" s="314"/>
      <c r="I232" s="314"/>
      <c r="J232" s="314"/>
      <c r="K232" s="314"/>
      <c r="L232" s="314"/>
      <c r="M232" s="314"/>
      <c r="N232" s="314"/>
      <c r="O232" s="314"/>
      <c r="P232" s="314"/>
      <c r="Q232" s="314"/>
      <c r="R232" s="314"/>
      <c r="S232" s="296">
        <v>6</v>
      </c>
      <c r="T232" s="360">
        <v>714</v>
      </c>
      <c r="U232" s="314"/>
      <c r="V232" s="364"/>
      <c r="W232" s="367"/>
      <c r="X232" s="5"/>
    </row>
    <row r="233" spans="1:25" ht="15.75" x14ac:dyDescent="0.25">
      <c r="A233" s="358"/>
      <c r="B233" s="286" t="s">
        <v>217</v>
      </c>
      <c r="C233" s="368"/>
      <c r="D233" s="368"/>
      <c r="E233" s="368"/>
      <c r="F233" s="369"/>
      <c r="G233" s="314"/>
      <c r="H233" s="314"/>
      <c r="I233" s="314"/>
      <c r="J233" s="314"/>
      <c r="K233" s="314"/>
      <c r="L233" s="314"/>
      <c r="M233" s="314"/>
      <c r="N233" s="314"/>
      <c r="O233" s="314"/>
      <c r="P233" s="314"/>
      <c r="Q233" s="314"/>
      <c r="R233" s="314"/>
      <c r="S233" s="286"/>
      <c r="T233" s="370">
        <v>10.61</v>
      </c>
      <c r="U233" s="314"/>
      <c r="V233" s="364"/>
      <c r="W233" s="367"/>
      <c r="X233" s="5"/>
    </row>
    <row r="234" spans="1:25" ht="15.75" x14ac:dyDescent="0.25">
      <c r="A234" s="358"/>
      <c r="B234" s="366"/>
      <c r="C234" s="368"/>
      <c r="D234" s="368"/>
      <c r="E234" s="368"/>
      <c r="F234" s="369"/>
      <c r="G234" s="314"/>
      <c r="H234" s="314"/>
      <c r="I234" s="314"/>
      <c r="J234" s="314"/>
      <c r="K234" s="314"/>
      <c r="L234" s="314"/>
      <c r="M234" s="314"/>
      <c r="N234" s="314"/>
      <c r="O234" s="314"/>
      <c r="P234" s="314"/>
      <c r="Q234" s="314"/>
      <c r="R234" s="314"/>
      <c r="S234" s="286"/>
      <c r="T234" s="371"/>
      <c r="U234" s="314"/>
      <c r="V234" s="364"/>
      <c r="W234" s="367"/>
      <c r="X234" s="5"/>
    </row>
    <row r="235" spans="1:25" ht="15.75" x14ac:dyDescent="0.25">
      <c r="A235" s="358"/>
      <c r="B235" s="366"/>
      <c r="C235" s="368"/>
      <c r="D235" s="368"/>
      <c r="E235" s="368"/>
      <c r="F235" s="369"/>
      <c r="G235" s="314"/>
      <c r="H235" s="314"/>
      <c r="I235" s="314"/>
      <c r="J235" s="314"/>
      <c r="K235" s="314"/>
      <c r="L235" s="314"/>
      <c r="M235" s="314"/>
      <c r="N235" s="314"/>
      <c r="O235" s="314"/>
      <c r="P235" s="314"/>
      <c r="Q235" s="314"/>
      <c r="R235" s="314"/>
      <c r="S235" s="314"/>
      <c r="T235" s="372"/>
      <c r="U235" s="314"/>
      <c r="V235" s="364"/>
      <c r="W235" s="367"/>
      <c r="X235" s="5"/>
    </row>
    <row r="236" spans="1:25" ht="18.75" x14ac:dyDescent="0.3">
      <c r="A236" s="358"/>
      <c r="B236" s="373" t="s">
        <v>168</v>
      </c>
      <c r="C236" s="368"/>
      <c r="D236" s="368"/>
      <c r="E236" s="368"/>
      <c r="F236" s="369"/>
      <c r="G236" s="314"/>
      <c r="H236" s="314"/>
      <c r="I236" s="314"/>
      <c r="J236" s="314"/>
      <c r="K236" s="314"/>
      <c r="L236" s="314"/>
      <c r="M236" s="314"/>
      <c r="N236" s="314"/>
      <c r="O236" s="314"/>
      <c r="P236" s="374" t="s">
        <v>167</v>
      </c>
      <c r="Q236" s="314"/>
      <c r="R236" s="314"/>
      <c r="S236" s="314"/>
      <c r="T236" s="372"/>
      <c r="U236" s="314"/>
      <c r="V236" s="364"/>
      <c r="W236" s="367"/>
      <c r="X236" s="5"/>
    </row>
    <row r="237" spans="1:25" ht="15.75" x14ac:dyDescent="0.25">
      <c r="A237" s="353"/>
      <c r="B237" s="348"/>
      <c r="C237" s="354"/>
      <c r="D237" s="354"/>
      <c r="E237" s="354"/>
      <c r="F237" s="355"/>
      <c r="G237" s="212"/>
      <c r="H237" s="212"/>
      <c r="I237" s="212"/>
      <c r="J237" s="212"/>
      <c r="K237" s="212"/>
      <c r="L237" s="212"/>
      <c r="M237" s="212"/>
      <c r="N237" s="212"/>
      <c r="O237" s="212"/>
      <c r="P237" s="212"/>
      <c r="Q237" s="212"/>
      <c r="R237" s="212"/>
      <c r="S237" s="212"/>
      <c r="T237" s="356"/>
      <c r="U237" s="212"/>
      <c r="V237" s="349"/>
      <c r="W237" s="357"/>
      <c r="X237" s="5"/>
    </row>
    <row r="238" spans="1:25" ht="15.75" x14ac:dyDescent="0.25">
      <c r="A238" s="224"/>
      <c r="B238" s="399" t="s">
        <v>297</v>
      </c>
      <c r="C238" s="400"/>
      <c r="D238" s="400"/>
      <c r="E238" s="400"/>
      <c r="F238" s="407"/>
      <c r="G238" s="400"/>
      <c r="H238" s="400"/>
      <c r="I238" s="400"/>
      <c r="J238" s="400"/>
      <c r="K238" s="400"/>
      <c r="L238" s="400"/>
      <c r="M238" s="400"/>
      <c r="N238" s="400"/>
      <c r="O238" s="400"/>
      <c r="P238" s="400"/>
      <c r="Q238" s="400"/>
      <c r="R238" s="407" t="s">
        <v>102</v>
      </c>
      <c r="S238" s="400" t="s">
        <v>103</v>
      </c>
      <c r="T238" s="407" t="s">
        <v>109</v>
      </c>
      <c r="U238" s="400" t="s">
        <v>103</v>
      </c>
      <c r="V238" s="225"/>
      <c r="W238" s="399"/>
      <c r="X238" s="5"/>
    </row>
    <row r="239" spans="1:25" ht="15.75" x14ac:dyDescent="0.25">
      <c r="A239" s="193"/>
      <c r="B239" s="249" t="s">
        <v>88</v>
      </c>
      <c r="C239" s="265"/>
      <c r="D239" s="265"/>
      <c r="E239" s="265"/>
      <c r="F239" s="250"/>
      <c r="G239" s="265"/>
      <c r="H239" s="265"/>
      <c r="I239" s="265"/>
      <c r="J239" s="265"/>
      <c r="K239" s="265"/>
      <c r="L239" s="265"/>
      <c r="M239" s="265"/>
      <c r="N239" s="265"/>
      <c r="O239" s="265"/>
      <c r="P239" s="265"/>
      <c r="Q239" s="265"/>
      <c r="R239" s="249">
        <f t="shared" ref="R239:R246" si="1">+R251+R263+R275</f>
        <v>5758</v>
      </c>
      <c r="S239" s="252">
        <f t="shared" ref="S239:S246" si="2">R239/$R$248</f>
        <v>0.98158881691101263</v>
      </c>
      <c r="T239" s="253">
        <f t="shared" ref="T239:T246" si="3">+T251+T263+T275</f>
        <v>826065</v>
      </c>
      <c r="U239" s="252">
        <f t="shared" ref="U239:U246" si="4">T239/$T$248</f>
        <v>0.97973437766855798</v>
      </c>
      <c r="V239" s="266"/>
      <c r="W239" s="408"/>
      <c r="X239" s="5"/>
    </row>
    <row r="240" spans="1:25" ht="15.75" x14ac:dyDescent="0.25">
      <c r="A240" s="285"/>
      <c r="B240" s="337" t="s">
        <v>89</v>
      </c>
      <c r="C240" s="378"/>
      <c r="D240" s="378"/>
      <c r="E240" s="378"/>
      <c r="F240" s="286"/>
      <c r="G240" s="379"/>
      <c r="H240" s="378"/>
      <c r="I240" s="378"/>
      <c r="J240" s="378"/>
      <c r="K240" s="378"/>
      <c r="L240" s="378"/>
      <c r="M240" s="378"/>
      <c r="N240" s="378"/>
      <c r="O240" s="378"/>
      <c r="P240" s="378"/>
      <c r="Q240" s="378"/>
      <c r="R240" s="337">
        <f t="shared" si="1"/>
        <v>40</v>
      </c>
      <c r="S240" s="379">
        <f t="shared" si="2"/>
        <v>6.8189566996249571E-3</v>
      </c>
      <c r="T240" s="338">
        <f t="shared" si="3"/>
        <v>6713</v>
      </c>
      <c r="U240" s="379">
        <f t="shared" si="4"/>
        <v>7.961790993794713E-3</v>
      </c>
      <c r="V240" s="361"/>
      <c r="W240" s="409"/>
      <c r="X240" s="5"/>
      <c r="Y240" s="109"/>
    </row>
    <row r="241" spans="1:25" ht="15.75" x14ac:dyDescent="0.25">
      <c r="A241" s="285"/>
      <c r="B241" s="337" t="s">
        <v>90</v>
      </c>
      <c r="C241" s="378"/>
      <c r="D241" s="378"/>
      <c r="E241" s="378"/>
      <c r="F241" s="286"/>
      <c r="G241" s="379"/>
      <c r="H241" s="378"/>
      <c r="I241" s="378"/>
      <c r="J241" s="378"/>
      <c r="K241" s="378"/>
      <c r="L241" s="378"/>
      <c r="M241" s="378"/>
      <c r="N241" s="378"/>
      <c r="O241" s="378"/>
      <c r="P241" s="378"/>
      <c r="Q241" s="378"/>
      <c r="R241" s="337">
        <f t="shared" si="1"/>
        <v>17</v>
      </c>
      <c r="S241" s="379">
        <f t="shared" si="2"/>
        <v>2.8980565973406071E-3</v>
      </c>
      <c r="T241" s="338">
        <f t="shared" si="3"/>
        <v>2707</v>
      </c>
      <c r="U241" s="379">
        <f t="shared" si="4"/>
        <v>3.210571759303186E-3</v>
      </c>
      <c r="V241" s="361"/>
      <c r="W241" s="409"/>
      <c r="X241" s="5"/>
    </row>
    <row r="242" spans="1:25" ht="15.75" x14ac:dyDescent="0.25">
      <c r="A242" s="285"/>
      <c r="B242" s="337" t="s">
        <v>156</v>
      </c>
      <c r="C242" s="378"/>
      <c r="D242" s="378"/>
      <c r="E242" s="378"/>
      <c r="F242" s="286"/>
      <c r="G242" s="379"/>
      <c r="H242" s="378"/>
      <c r="I242" s="378"/>
      <c r="J242" s="378"/>
      <c r="K242" s="378"/>
      <c r="L242" s="378"/>
      <c r="M242" s="378"/>
      <c r="N242" s="378"/>
      <c r="O242" s="378"/>
      <c r="P242" s="378"/>
      <c r="Q242" s="378"/>
      <c r="R242" s="337">
        <f t="shared" si="1"/>
        <v>5</v>
      </c>
      <c r="S242" s="379">
        <f t="shared" si="2"/>
        <v>8.5236958745311963E-4</v>
      </c>
      <c r="T242" s="338">
        <f t="shared" si="3"/>
        <v>586</v>
      </c>
      <c r="U242" s="379">
        <f t="shared" si="4"/>
        <v>6.9501110120120686E-4</v>
      </c>
      <c r="V242" s="361"/>
      <c r="W242" s="409"/>
      <c r="X242" s="5"/>
      <c r="Y242" s="109"/>
    </row>
    <row r="243" spans="1:25" ht="15.75" x14ac:dyDescent="0.25">
      <c r="A243" s="285"/>
      <c r="B243" s="337" t="s">
        <v>157</v>
      </c>
      <c r="C243" s="378"/>
      <c r="D243" s="378"/>
      <c r="E243" s="378"/>
      <c r="F243" s="286"/>
      <c r="G243" s="379"/>
      <c r="H243" s="378"/>
      <c r="I243" s="378"/>
      <c r="J243" s="378"/>
      <c r="K243" s="378"/>
      <c r="L243" s="378"/>
      <c r="M243" s="378"/>
      <c r="N243" s="378"/>
      <c r="O243" s="378"/>
      <c r="P243" s="378"/>
      <c r="Q243" s="378"/>
      <c r="R243" s="337">
        <f t="shared" si="1"/>
        <v>1</v>
      </c>
      <c r="S243" s="379">
        <f t="shared" si="2"/>
        <v>1.7047391749062393E-4</v>
      </c>
      <c r="T243" s="338">
        <f t="shared" si="3"/>
        <v>129</v>
      </c>
      <c r="U243" s="379">
        <f t="shared" si="4"/>
        <v>1.5299732432586294E-4</v>
      </c>
      <c r="V243" s="361"/>
      <c r="W243" s="409"/>
      <c r="X243" s="5"/>
    </row>
    <row r="244" spans="1:25" ht="15.75" x14ac:dyDescent="0.25">
      <c r="A244" s="285"/>
      <c r="B244" s="337" t="s">
        <v>158</v>
      </c>
      <c r="C244" s="378"/>
      <c r="D244" s="378"/>
      <c r="E244" s="378"/>
      <c r="F244" s="286"/>
      <c r="G244" s="379"/>
      <c r="H244" s="378"/>
      <c r="I244" s="378"/>
      <c r="J244" s="378"/>
      <c r="K244" s="378"/>
      <c r="L244" s="378"/>
      <c r="M244" s="378"/>
      <c r="N244" s="378"/>
      <c r="O244" s="378"/>
      <c r="P244" s="378"/>
      <c r="Q244" s="378"/>
      <c r="R244" s="337">
        <f t="shared" si="1"/>
        <v>3</v>
      </c>
      <c r="S244" s="379">
        <f t="shared" si="2"/>
        <v>5.1142175247187178E-4</v>
      </c>
      <c r="T244" s="338">
        <f t="shared" si="3"/>
        <v>498</v>
      </c>
      <c r="U244" s="379">
        <f t="shared" si="4"/>
        <v>5.9064083344402909E-4</v>
      </c>
      <c r="V244" s="361"/>
      <c r="W244" s="409"/>
      <c r="X244" s="5"/>
      <c r="Y244" s="109"/>
    </row>
    <row r="245" spans="1:25" ht="15.75" x14ac:dyDescent="0.25">
      <c r="A245" s="285"/>
      <c r="B245" s="337" t="s">
        <v>159</v>
      </c>
      <c r="C245" s="378"/>
      <c r="D245" s="378"/>
      <c r="E245" s="378"/>
      <c r="F245" s="286"/>
      <c r="G245" s="379"/>
      <c r="H245" s="378"/>
      <c r="I245" s="378"/>
      <c r="J245" s="378"/>
      <c r="K245" s="378"/>
      <c r="L245" s="378"/>
      <c r="M245" s="378"/>
      <c r="N245" s="378"/>
      <c r="O245" s="378"/>
      <c r="P245" s="378"/>
      <c r="Q245" s="378"/>
      <c r="R245" s="337">
        <f t="shared" si="1"/>
        <v>18</v>
      </c>
      <c r="S245" s="379">
        <f t="shared" si="2"/>
        <v>3.0685305148312309E-3</v>
      </c>
      <c r="T245" s="338">
        <f t="shared" si="3"/>
        <v>2740</v>
      </c>
      <c r="U245" s="379">
        <f t="shared" si="4"/>
        <v>3.2497106097121278E-3</v>
      </c>
      <c r="V245" s="361"/>
      <c r="W245" s="409"/>
      <c r="X245" s="5"/>
    </row>
    <row r="246" spans="1:25" ht="15.75" x14ac:dyDescent="0.25">
      <c r="A246" s="285"/>
      <c r="B246" s="337" t="s">
        <v>160</v>
      </c>
      <c r="C246" s="378"/>
      <c r="D246" s="378"/>
      <c r="E246" s="378"/>
      <c r="F246" s="286"/>
      <c r="G246" s="379"/>
      <c r="H246" s="378"/>
      <c r="I246" s="378"/>
      <c r="J246" s="378"/>
      <c r="K246" s="378"/>
      <c r="L246" s="378"/>
      <c r="M246" s="378"/>
      <c r="N246" s="378"/>
      <c r="O246" s="378"/>
      <c r="P246" s="378"/>
      <c r="Q246" s="378"/>
      <c r="R246" s="386">
        <f t="shared" si="1"/>
        <v>24</v>
      </c>
      <c r="S246" s="379">
        <f t="shared" si="2"/>
        <v>4.0913740197749742E-3</v>
      </c>
      <c r="T246" s="383">
        <f t="shared" si="3"/>
        <v>3714</v>
      </c>
      <c r="U246" s="387">
        <f t="shared" si="4"/>
        <v>4.4048997096608911E-3</v>
      </c>
      <c r="V246" s="361"/>
      <c r="W246" s="409"/>
      <c r="X246" s="5"/>
      <c r="Y246" s="109"/>
    </row>
    <row r="247" spans="1:25" ht="15.75" x14ac:dyDescent="0.25">
      <c r="A247" s="285"/>
      <c r="B247" s="337"/>
      <c r="C247" s="378"/>
      <c r="D247" s="378"/>
      <c r="E247" s="378"/>
      <c r="F247" s="286"/>
      <c r="G247" s="379"/>
      <c r="H247" s="378"/>
      <c r="I247" s="378"/>
      <c r="J247" s="378"/>
      <c r="K247" s="378"/>
      <c r="L247" s="378"/>
      <c r="M247" s="378"/>
      <c r="N247" s="378"/>
      <c r="O247" s="378"/>
      <c r="P247" s="378"/>
      <c r="Q247" s="378"/>
      <c r="R247" s="337"/>
      <c r="S247" s="379"/>
      <c r="T247" s="338"/>
      <c r="U247" s="379"/>
      <c r="V247" s="361"/>
      <c r="W247" s="409"/>
      <c r="X247" s="5"/>
    </row>
    <row r="248" spans="1:25" ht="15.75" x14ac:dyDescent="0.25">
      <c r="A248" s="285"/>
      <c r="B248" s="286"/>
      <c r="C248" s="286"/>
      <c r="D248" s="286"/>
      <c r="E248" s="286"/>
      <c r="F248" s="286"/>
      <c r="G248" s="286"/>
      <c r="H248" s="381"/>
      <c r="I248" s="381"/>
      <c r="J248" s="381"/>
      <c r="K248" s="381"/>
      <c r="L248" s="381"/>
      <c r="M248" s="381"/>
      <c r="N248" s="381"/>
      <c r="O248" s="381"/>
      <c r="P248" s="381"/>
      <c r="Q248" s="381"/>
      <c r="R248" s="337">
        <f>SUM(R239:R247)</f>
        <v>5866</v>
      </c>
      <c r="S248" s="379">
        <f>SUM(S239:S247)</f>
        <v>1</v>
      </c>
      <c r="T248" s="338">
        <f>SUM(T239:T247)</f>
        <v>843152</v>
      </c>
      <c r="U248" s="379">
        <f>SUM(U239:U247)</f>
        <v>0.99999999999999989</v>
      </c>
      <c r="V248" s="286"/>
      <c r="W248" s="289"/>
      <c r="X248" s="5"/>
    </row>
    <row r="249" spans="1:25" ht="15.75" x14ac:dyDescent="0.25">
      <c r="A249" s="181"/>
      <c r="B249" s="212"/>
      <c r="C249" s="212"/>
      <c r="D249" s="212"/>
      <c r="E249" s="212"/>
      <c r="F249" s="212"/>
      <c r="G249" s="212"/>
      <c r="H249" s="375"/>
      <c r="I249" s="375"/>
      <c r="J249" s="375"/>
      <c r="K249" s="375"/>
      <c r="L249" s="375"/>
      <c r="M249" s="375"/>
      <c r="N249" s="375"/>
      <c r="O249" s="375"/>
      <c r="P249" s="375"/>
      <c r="Q249" s="375"/>
      <c r="R249" s="335"/>
      <c r="S249" s="376"/>
      <c r="T249" s="377"/>
      <c r="U249" s="376"/>
      <c r="V249" s="212"/>
      <c r="W249" s="212"/>
      <c r="X249" s="5"/>
    </row>
    <row r="250" spans="1:25" ht="15.75" x14ac:dyDescent="0.25">
      <c r="A250" s="224"/>
      <c r="B250" s="399" t="s">
        <v>162</v>
      </c>
      <c r="C250" s="400"/>
      <c r="D250" s="400"/>
      <c r="E250" s="400"/>
      <c r="F250" s="407"/>
      <c r="G250" s="400"/>
      <c r="H250" s="400"/>
      <c r="I250" s="400"/>
      <c r="J250" s="400"/>
      <c r="K250" s="400"/>
      <c r="L250" s="400"/>
      <c r="M250" s="400"/>
      <c r="N250" s="400"/>
      <c r="O250" s="400"/>
      <c r="P250" s="400"/>
      <c r="Q250" s="400"/>
      <c r="R250" s="407" t="s">
        <v>102</v>
      </c>
      <c r="S250" s="400" t="s">
        <v>103</v>
      </c>
      <c r="T250" s="407" t="s">
        <v>109</v>
      </c>
      <c r="U250" s="400" t="s">
        <v>103</v>
      </c>
      <c r="V250" s="225"/>
      <c r="W250" s="399"/>
      <c r="X250" s="5"/>
    </row>
    <row r="251" spans="1:25" ht="15.75" x14ac:dyDescent="0.25">
      <c r="A251" s="193"/>
      <c r="B251" s="249" t="s">
        <v>88</v>
      </c>
      <c r="C251" s="265"/>
      <c r="D251" s="265"/>
      <c r="E251" s="265"/>
      <c r="F251" s="250"/>
      <c r="G251" s="265"/>
      <c r="H251" s="265"/>
      <c r="I251" s="265"/>
      <c r="J251" s="265"/>
      <c r="K251" s="265"/>
      <c r="L251" s="265"/>
      <c r="M251" s="265"/>
      <c r="N251" s="265"/>
      <c r="O251" s="265"/>
      <c r="P251" s="265"/>
      <c r="Q251" s="265"/>
      <c r="R251" s="249">
        <v>5678</v>
      </c>
      <c r="S251" s="252">
        <f t="shared" ref="S251:S258" si="5">R251/$R$260</f>
        <v>0.99161718477121896</v>
      </c>
      <c r="T251" s="253">
        <v>812689</v>
      </c>
      <c r="U251" s="252">
        <f t="shared" ref="U251:U258" si="6">T251/$T$260</f>
        <v>0.99050675338034655</v>
      </c>
      <c r="V251" s="266"/>
      <c r="W251" s="408"/>
      <c r="X251" s="5"/>
    </row>
    <row r="252" spans="1:25" ht="15.75" x14ac:dyDescent="0.25">
      <c r="A252" s="285"/>
      <c r="B252" s="337" t="s">
        <v>89</v>
      </c>
      <c r="C252" s="378"/>
      <c r="D252" s="378"/>
      <c r="E252" s="378"/>
      <c r="F252" s="286"/>
      <c r="G252" s="379"/>
      <c r="H252" s="378"/>
      <c r="I252" s="378"/>
      <c r="J252" s="378"/>
      <c r="K252" s="378"/>
      <c r="L252" s="378"/>
      <c r="M252" s="378"/>
      <c r="N252" s="378"/>
      <c r="O252" s="378"/>
      <c r="P252" s="378"/>
      <c r="Q252" s="378"/>
      <c r="R252" s="337">
        <v>35</v>
      </c>
      <c r="S252" s="379">
        <f t="shared" si="5"/>
        <v>6.1124694376528121E-3</v>
      </c>
      <c r="T252" s="338">
        <v>5713</v>
      </c>
      <c r="U252" s="379">
        <f t="shared" si="6"/>
        <v>6.963014242916934E-3</v>
      </c>
      <c r="V252" s="361"/>
      <c r="W252" s="409"/>
      <c r="X252" s="5"/>
      <c r="Y252" s="109"/>
    </row>
    <row r="253" spans="1:25" ht="15.75" x14ac:dyDescent="0.25">
      <c r="A253" s="285"/>
      <c r="B253" s="337" t="s">
        <v>90</v>
      </c>
      <c r="C253" s="378"/>
      <c r="D253" s="378"/>
      <c r="E253" s="378"/>
      <c r="F253" s="286"/>
      <c r="G253" s="379"/>
      <c r="H253" s="378"/>
      <c r="I253" s="378"/>
      <c r="J253" s="378"/>
      <c r="K253" s="378"/>
      <c r="L253" s="378"/>
      <c r="M253" s="378"/>
      <c r="N253" s="378"/>
      <c r="O253" s="378"/>
      <c r="P253" s="378"/>
      <c r="Q253" s="378"/>
      <c r="R253" s="337">
        <v>12</v>
      </c>
      <c r="S253" s="379">
        <f t="shared" si="5"/>
        <v>2.0957038071952499E-3</v>
      </c>
      <c r="T253" s="338">
        <v>1941</v>
      </c>
      <c r="U253" s="379">
        <f t="shared" si="6"/>
        <v>2.365694144145242E-3</v>
      </c>
      <c r="V253" s="361"/>
      <c r="W253" s="409"/>
      <c r="X253" s="5"/>
    </row>
    <row r="254" spans="1:25" ht="15.75" x14ac:dyDescent="0.25">
      <c r="A254" s="285"/>
      <c r="B254" s="337" t="s">
        <v>156</v>
      </c>
      <c r="C254" s="378"/>
      <c r="D254" s="378"/>
      <c r="E254" s="378"/>
      <c r="F254" s="286"/>
      <c r="G254" s="379"/>
      <c r="H254" s="378"/>
      <c r="I254" s="378"/>
      <c r="J254" s="378"/>
      <c r="K254" s="378"/>
      <c r="L254" s="378"/>
      <c r="M254" s="378"/>
      <c r="N254" s="378"/>
      <c r="O254" s="378"/>
      <c r="P254" s="378"/>
      <c r="Q254" s="378"/>
      <c r="R254" s="337">
        <v>1</v>
      </c>
      <c r="S254" s="379">
        <f t="shared" si="5"/>
        <v>1.7464198393293747E-4</v>
      </c>
      <c r="T254" s="338">
        <v>135</v>
      </c>
      <c r="U254" s="379">
        <f t="shared" si="6"/>
        <v>1.645382325912456E-4</v>
      </c>
      <c r="V254" s="361"/>
      <c r="W254" s="409"/>
      <c r="X254" s="5"/>
      <c r="Y254" s="109"/>
    </row>
    <row r="255" spans="1:25" ht="15.75" x14ac:dyDescent="0.25">
      <c r="A255" s="285"/>
      <c r="B255" s="337" t="s">
        <v>157</v>
      </c>
      <c r="C255" s="378"/>
      <c r="D255" s="378"/>
      <c r="E255" s="378"/>
      <c r="F255" s="286"/>
      <c r="G255" s="379"/>
      <c r="H255" s="378"/>
      <c r="I255" s="378"/>
      <c r="J255" s="378"/>
      <c r="K255" s="378"/>
      <c r="L255" s="378"/>
      <c r="M255" s="378"/>
      <c r="N255" s="378"/>
      <c r="O255" s="378"/>
      <c r="P255" s="378"/>
      <c r="Q255" s="378"/>
      <c r="R255" s="337">
        <v>0</v>
      </c>
      <c r="S255" s="379">
        <f t="shared" si="5"/>
        <v>0</v>
      </c>
      <c r="T255" s="338">
        <v>0</v>
      </c>
      <c r="U255" s="379">
        <f t="shared" si="6"/>
        <v>0</v>
      </c>
      <c r="V255" s="361"/>
      <c r="W255" s="409"/>
      <c r="X255" s="5"/>
    </row>
    <row r="256" spans="1:25" ht="15.75" x14ac:dyDescent="0.25">
      <c r="A256" s="285"/>
      <c r="B256" s="337" t="s">
        <v>158</v>
      </c>
      <c r="C256" s="378"/>
      <c r="D256" s="378"/>
      <c r="E256" s="378"/>
      <c r="F256" s="286"/>
      <c r="G256" s="379"/>
      <c r="H256" s="378"/>
      <c r="I256" s="378"/>
      <c r="J256" s="378"/>
      <c r="K256" s="378"/>
      <c r="L256" s="378"/>
      <c r="M256" s="378"/>
      <c r="N256" s="378"/>
      <c r="O256" s="378"/>
      <c r="P256" s="378"/>
      <c r="Q256" s="378"/>
      <c r="R256" s="337">
        <v>0</v>
      </c>
      <c r="S256" s="379">
        <f t="shared" si="5"/>
        <v>0</v>
      </c>
      <c r="T256" s="338">
        <v>0</v>
      </c>
      <c r="U256" s="379">
        <f t="shared" si="6"/>
        <v>0</v>
      </c>
      <c r="V256" s="361"/>
      <c r="W256" s="409"/>
      <c r="X256" s="5"/>
      <c r="Y256" s="109"/>
    </row>
    <row r="257" spans="1:25" ht="15.75" x14ac:dyDescent="0.25">
      <c r="A257" s="285"/>
      <c r="B257" s="337" t="s">
        <v>159</v>
      </c>
      <c r="C257" s="378"/>
      <c r="D257" s="378"/>
      <c r="E257" s="378"/>
      <c r="F257" s="286"/>
      <c r="G257" s="379"/>
      <c r="H257" s="378"/>
      <c r="I257" s="378"/>
      <c r="J257" s="378"/>
      <c r="K257" s="378"/>
      <c r="L257" s="378"/>
      <c r="M257" s="378"/>
      <c r="N257" s="378"/>
      <c r="O257" s="378"/>
      <c r="P257" s="378"/>
      <c r="Q257" s="378"/>
      <c r="R257" s="337">
        <v>0</v>
      </c>
      <c r="S257" s="379">
        <f t="shared" si="5"/>
        <v>0</v>
      </c>
      <c r="T257" s="338">
        <v>0</v>
      </c>
      <c r="U257" s="379">
        <f t="shared" si="6"/>
        <v>0</v>
      </c>
      <c r="V257" s="361"/>
      <c r="W257" s="409"/>
      <c r="X257" s="5"/>
    </row>
    <row r="258" spans="1:25" ht="15.75" x14ac:dyDescent="0.25">
      <c r="A258" s="285"/>
      <c r="B258" s="337" t="s">
        <v>160</v>
      </c>
      <c r="C258" s="378"/>
      <c r="D258" s="378"/>
      <c r="E258" s="378"/>
      <c r="F258" s="286"/>
      <c r="G258" s="379"/>
      <c r="H258" s="378"/>
      <c r="I258" s="378"/>
      <c r="J258" s="378"/>
      <c r="K258" s="378"/>
      <c r="L258" s="378"/>
      <c r="M258" s="378"/>
      <c r="N258" s="378"/>
      <c r="O258" s="378"/>
      <c r="P258" s="378"/>
      <c r="Q258" s="378"/>
      <c r="R258" s="337">
        <v>0</v>
      </c>
      <c r="S258" s="379">
        <f t="shared" si="5"/>
        <v>0</v>
      </c>
      <c r="T258" s="338">
        <v>0</v>
      </c>
      <c r="U258" s="379">
        <f t="shared" si="6"/>
        <v>0</v>
      </c>
      <c r="V258" s="361"/>
      <c r="W258" s="409"/>
      <c r="X258" s="5"/>
      <c r="Y258" s="109"/>
    </row>
    <row r="259" spans="1:25" ht="15.75" x14ac:dyDescent="0.25">
      <c r="A259" s="285"/>
      <c r="B259" s="337"/>
      <c r="C259" s="378"/>
      <c r="D259" s="378"/>
      <c r="E259" s="378"/>
      <c r="F259" s="286"/>
      <c r="G259" s="379"/>
      <c r="H259" s="378"/>
      <c r="I259" s="378"/>
      <c r="J259" s="378"/>
      <c r="K259" s="378"/>
      <c r="L259" s="378"/>
      <c r="M259" s="378"/>
      <c r="N259" s="378"/>
      <c r="O259" s="378"/>
      <c r="P259" s="378"/>
      <c r="Q259" s="378"/>
      <c r="R259" s="337"/>
      <c r="S259" s="379"/>
      <c r="T259" s="338"/>
      <c r="U259" s="379"/>
      <c r="V259" s="361"/>
      <c r="W259" s="409"/>
      <c r="X259" s="5"/>
    </row>
    <row r="260" spans="1:25" ht="15.75" x14ac:dyDescent="0.25">
      <c r="A260" s="285"/>
      <c r="B260" s="286"/>
      <c r="C260" s="286"/>
      <c r="D260" s="286"/>
      <c r="E260" s="286"/>
      <c r="F260" s="286"/>
      <c r="G260" s="286"/>
      <c r="H260" s="381"/>
      <c r="I260" s="381"/>
      <c r="J260" s="381"/>
      <c r="K260" s="381"/>
      <c r="L260" s="381"/>
      <c r="M260" s="381"/>
      <c r="N260" s="381"/>
      <c r="O260" s="381"/>
      <c r="P260" s="381"/>
      <c r="Q260" s="381"/>
      <c r="R260" s="337">
        <f>SUM(R251:R259)</f>
        <v>5726</v>
      </c>
      <c r="S260" s="379">
        <f>SUM(S251:S259)</f>
        <v>1</v>
      </c>
      <c r="T260" s="338">
        <f>SUM(T251:T259)</f>
        <v>820478</v>
      </c>
      <c r="U260" s="379">
        <f>SUM(U251:U259)</f>
        <v>0.99999999999999989</v>
      </c>
      <c r="V260" s="286"/>
      <c r="W260" s="289"/>
      <c r="X260" s="5"/>
    </row>
    <row r="261" spans="1:25" ht="15.75" x14ac:dyDescent="0.25">
      <c r="A261" s="181"/>
      <c r="B261" s="212"/>
      <c r="C261" s="212"/>
      <c r="D261" s="212"/>
      <c r="E261" s="212"/>
      <c r="F261" s="212"/>
      <c r="G261" s="212"/>
      <c r="H261" s="375"/>
      <c r="I261" s="375"/>
      <c r="J261" s="375"/>
      <c r="K261" s="375"/>
      <c r="L261" s="375"/>
      <c r="M261" s="375"/>
      <c r="N261" s="375"/>
      <c r="O261" s="375"/>
      <c r="P261" s="375"/>
      <c r="Q261" s="375"/>
      <c r="R261" s="335"/>
      <c r="S261" s="376"/>
      <c r="T261" s="377"/>
      <c r="U261" s="376"/>
      <c r="V261" s="212"/>
      <c r="W261" s="212"/>
      <c r="X261" s="5"/>
    </row>
    <row r="262" spans="1:25" ht="15.75" x14ac:dyDescent="0.25">
      <c r="A262" s="244"/>
      <c r="B262" s="399" t="s">
        <v>236</v>
      </c>
      <c r="C262" s="400"/>
      <c r="D262" s="400"/>
      <c r="E262" s="400"/>
      <c r="F262" s="407"/>
      <c r="G262" s="400"/>
      <c r="H262" s="400"/>
      <c r="I262" s="400"/>
      <c r="J262" s="400"/>
      <c r="K262" s="400"/>
      <c r="L262" s="400"/>
      <c r="M262" s="400"/>
      <c r="N262" s="400"/>
      <c r="O262" s="400"/>
      <c r="P262" s="400"/>
      <c r="Q262" s="400"/>
      <c r="R262" s="407" t="s">
        <v>102</v>
      </c>
      <c r="S262" s="400" t="s">
        <v>103</v>
      </c>
      <c r="T262" s="407" t="s">
        <v>109</v>
      </c>
      <c r="U262" s="400" t="s">
        <v>103</v>
      </c>
      <c r="V262" s="245"/>
      <c r="W262" s="246"/>
      <c r="X262" s="5"/>
    </row>
    <row r="263" spans="1:25" ht="15.75" x14ac:dyDescent="0.25">
      <c r="A263" s="193"/>
      <c r="B263" s="249" t="s">
        <v>88</v>
      </c>
      <c r="C263" s="265"/>
      <c r="D263" s="265"/>
      <c r="E263" s="265"/>
      <c r="F263" s="250"/>
      <c r="G263" s="265"/>
      <c r="H263" s="265"/>
      <c r="I263" s="265"/>
      <c r="J263" s="265"/>
      <c r="K263" s="265"/>
      <c r="L263" s="265"/>
      <c r="M263" s="265"/>
      <c r="N263" s="265"/>
      <c r="O263" s="265"/>
      <c r="P263" s="265"/>
      <c r="Q263" s="265"/>
      <c r="R263" s="249">
        <v>80</v>
      </c>
      <c r="S263" s="252">
        <f t="shared" ref="S263:S270" si="7">R263/$R$272</f>
        <v>0.5714285714285714</v>
      </c>
      <c r="T263" s="253">
        <v>13376</v>
      </c>
      <c r="U263" s="252">
        <f t="shared" ref="U263:U270" si="8">T263/$T$272</f>
        <v>0.58992678839199086</v>
      </c>
      <c r="V263" s="250"/>
      <c r="W263" s="250"/>
      <c r="X263" s="5"/>
    </row>
    <row r="264" spans="1:25" ht="15.75" x14ac:dyDescent="0.25">
      <c r="A264" s="285"/>
      <c r="B264" s="337" t="s">
        <v>89</v>
      </c>
      <c r="C264" s="378"/>
      <c r="D264" s="378"/>
      <c r="E264" s="378"/>
      <c r="F264" s="286"/>
      <c r="G264" s="379"/>
      <c r="H264" s="378"/>
      <c r="I264" s="378"/>
      <c r="J264" s="378"/>
      <c r="K264" s="378"/>
      <c r="L264" s="378"/>
      <c r="M264" s="378"/>
      <c r="N264" s="378"/>
      <c r="O264" s="378"/>
      <c r="P264" s="378"/>
      <c r="Q264" s="378"/>
      <c r="R264" s="337">
        <v>5</v>
      </c>
      <c r="S264" s="379">
        <f t="shared" si="7"/>
        <v>3.5714285714285712E-2</v>
      </c>
      <c r="T264" s="338">
        <v>1000</v>
      </c>
      <c r="U264" s="379">
        <f t="shared" si="8"/>
        <v>4.4103378318779217E-2</v>
      </c>
      <c r="V264" s="286"/>
      <c r="W264" s="289"/>
      <c r="X264" s="5"/>
    </row>
    <row r="265" spans="1:25" ht="15.75" x14ac:dyDescent="0.25">
      <c r="A265" s="285"/>
      <c r="B265" s="337" t="s">
        <v>90</v>
      </c>
      <c r="C265" s="378"/>
      <c r="D265" s="378"/>
      <c r="E265" s="378"/>
      <c r="F265" s="286"/>
      <c r="G265" s="379"/>
      <c r="H265" s="378"/>
      <c r="I265" s="378"/>
      <c r="J265" s="378"/>
      <c r="K265" s="378"/>
      <c r="L265" s="378"/>
      <c r="M265" s="378"/>
      <c r="N265" s="378"/>
      <c r="O265" s="378"/>
      <c r="P265" s="378"/>
      <c r="Q265" s="378"/>
      <c r="R265" s="337">
        <v>5</v>
      </c>
      <c r="S265" s="379">
        <f t="shared" si="7"/>
        <v>3.5714285714285712E-2</v>
      </c>
      <c r="T265" s="338">
        <v>766</v>
      </c>
      <c r="U265" s="379">
        <f t="shared" si="8"/>
        <v>3.3783187792184879E-2</v>
      </c>
      <c r="V265" s="286"/>
      <c r="W265" s="289"/>
      <c r="X265" s="5"/>
    </row>
    <row r="266" spans="1:25" ht="15.75" x14ac:dyDescent="0.25">
      <c r="A266" s="285"/>
      <c r="B266" s="337" t="s">
        <v>156</v>
      </c>
      <c r="C266" s="378"/>
      <c r="D266" s="378"/>
      <c r="E266" s="378"/>
      <c r="F266" s="286"/>
      <c r="G266" s="379"/>
      <c r="H266" s="378"/>
      <c r="I266" s="378"/>
      <c r="J266" s="378"/>
      <c r="K266" s="378"/>
      <c r="L266" s="378"/>
      <c r="M266" s="378"/>
      <c r="N266" s="378"/>
      <c r="O266" s="378"/>
      <c r="P266" s="378"/>
      <c r="Q266" s="378"/>
      <c r="R266" s="337">
        <v>4</v>
      </c>
      <c r="S266" s="379">
        <f t="shared" si="7"/>
        <v>2.8571428571428571E-2</v>
      </c>
      <c r="T266" s="338">
        <v>451</v>
      </c>
      <c r="U266" s="379">
        <f t="shared" si="8"/>
        <v>1.9890623621769427E-2</v>
      </c>
      <c r="V266" s="286"/>
      <c r="W266" s="289"/>
      <c r="X266" s="5"/>
    </row>
    <row r="267" spans="1:25" ht="15.75" x14ac:dyDescent="0.25">
      <c r="A267" s="285"/>
      <c r="B267" s="337" t="s">
        <v>157</v>
      </c>
      <c r="C267" s="378"/>
      <c r="D267" s="378"/>
      <c r="E267" s="378"/>
      <c r="F267" s="286"/>
      <c r="G267" s="379"/>
      <c r="H267" s="378"/>
      <c r="I267" s="378"/>
      <c r="J267" s="378"/>
      <c r="K267" s="378"/>
      <c r="L267" s="378"/>
      <c r="M267" s="378"/>
      <c r="N267" s="378"/>
      <c r="O267" s="378"/>
      <c r="P267" s="378"/>
      <c r="Q267" s="378"/>
      <c r="R267" s="337">
        <v>1</v>
      </c>
      <c r="S267" s="379">
        <f t="shared" si="7"/>
        <v>7.1428571428571426E-3</v>
      </c>
      <c r="T267" s="338">
        <v>129</v>
      </c>
      <c r="U267" s="379">
        <f t="shared" si="8"/>
        <v>5.6893358031225192E-3</v>
      </c>
      <c r="V267" s="286"/>
      <c r="W267" s="289"/>
      <c r="X267" s="5"/>
    </row>
    <row r="268" spans="1:25" ht="15.75" x14ac:dyDescent="0.25">
      <c r="A268" s="285"/>
      <c r="B268" s="337" t="s">
        <v>158</v>
      </c>
      <c r="C268" s="378"/>
      <c r="D268" s="378"/>
      <c r="E268" s="378"/>
      <c r="F268" s="286"/>
      <c r="G268" s="379"/>
      <c r="H268" s="378"/>
      <c r="I268" s="378"/>
      <c r="J268" s="378"/>
      <c r="K268" s="378"/>
      <c r="L268" s="378"/>
      <c r="M268" s="378"/>
      <c r="N268" s="378"/>
      <c r="O268" s="378"/>
      <c r="P268" s="378"/>
      <c r="Q268" s="378"/>
      <c r="R268" s="337">
        <v>3</v>
      </c>
      <c r="S268" s="379">
        <f t="shared" si="7"/>
        <v>2.1428571428571429E-2</v>
      </c>
      <c r="T268" s="338">
        <v>498</v>
      </c>
      <c r="U268" s="379">
        <f t="shared" si="8"/>
        <v>2.196348240275205E-2</v>
      </c>
      <c r="V268" s="286"/>
      <c r="W268" s="289"/>
      <c r="X268" s="5"/>
    </row>
    <row r="269" spans="1:25" ht="15.75" x14ac:dyDescent="0.25">
      <c r="A269" s="285"/>
      <c r="B269" s="337" t="s">
        <v>159</v>
      </c>
      <c r="C269" s="378"/>
      <c r="D269" s="378"/>
      <c r="E269" s="378"/>
      <c r="F269" s="286"/>
      <c r="G269" s="379"/>
      <c r="H269" s="378"/>
      <c r="I269" s="378"/>
      <c r="J269" s="378"/>
      <c r="K269" s="378"/>
      <c r="L269" s="378"/>
      <c r="M269" s="378"/>
      <c r="N269" s="378"/>
      <c r="O269" s="378"/>
      <c r="P269" s="378"/>
      <c r="Q269" s="378"/>
      <c r="R269" s="337">
        <v>18</v>
      </c>
      <c r="S269" s="379">
        <f t="shared" si="7"/>
        <v>0.12857142857142856</v>
      </c>
      <c r="T269" s="338">
        <v>2740</v>
      </c>
      <c r="U269" s="379">
        <f t="shared" si="8"/>
        <v>0.12084325659345506</v>
      </c>
      <c r="V269" s="286"/>
      <c r="W269" s="289"/>
      <c r="X269" s="5"/>
    </row>
    <row r="270" spans="1:25" ht="15.75" x14ac:dyDescent="0.25">
      <c r="A270" s="285"/>
      <c r="B270" s="337" t="s">
        <v>160</v>
      </c>
      <c r="C270" s="378"/>
      <c r="D270" s="378"/>
      <c r="E270" s="378"/>
      <c r="F270" s="286"/>
      <c r="G270" s="379"/>
      <c r="H270" s="378"/>
      <c r="I270" s="378"/>
      <c r="J270" s="378"/>
      <c r="K270" s="378"/>
      <c r="L270" s="378"/>
      <c r="M270" s="378"/>
      <c r="N270" s="378"/>
      <c r="O270" s="378"/>
      <c r="P270" s="378"/>
      <c r="Q270" s="378"/>
      <c r="R270" s="337">
        <v>24</v>
      </c>
      <c r="S270" s="379">
        <f t="shared" si="7"/>
        <v>0.17142857142857143</v>
      </c>
      <c r="T270" s="338">
        <v>3714</v>
      </c>
      <c r="U270" s="379">
        <f t="shared" si="8"/>
        <v>0.16379994707594603</v>
      </c>
      <c r="V270" s="286"/>
      <c r="W270" s="289"/>
      <c r="X270" s="5"/>
    </row>
    <row r="271" spans="1:25" ht="15.75" x14ac:dyDescent="0.25">
      <c r="A271" s="285"/>
      <c r="B271" s="337"/>
      <c r="C271" s="378"/>
      <c r="D271" s="378"/>
      <c r="E271" s="378"/>
      <c r="F271" s="286"/>
      <c r="G271" s="379"/>
      <c r="H271" s="378"/>
      <c r="I271" s="378"/>
      <c r="J271" s="378"/>
      <c r="K271" s="378"/>
      <c r="L271" s="378"/>
      <c r="M271" s="378"/>
      <c r="N271" s="378"/>
      <c r="O271" s="378"/>
      <c r="P271" s="378"/>
      <c r="Q271" s="378"/>
      <c r="R271" s="337"/>
      <c r="S271" s="379"/>
      <c r="T271" s="338"/>
      <c r="U271" s="379"/>
      <c r="V271" s="286"/>
      <c r="W271" s="289"/>
      <c r="X271" s="5"/>
    </row>
    <row r="272" spans="1:25" ht="15.75" x14ac:dyDescent="0.25">
      <c r="A272" s="285"/>
      <c r="B272" s="286"/>
      <c r="C272" s="286"/>
      <c r="D272" s="286"/>
      <c r="E272" s="286"/>
      <c r="F272" s="286"/>
      <c r="G272" s="286"/>
      <c r="H272" s="381"/>
      <c r="I272" s="381"/>
      <c r="J272" s="381"/>
      <c r="K272" s="381"/>
      <c r="L272" s="381"/>
      <c r="M272" s="381"/>
      <c r="N272" s="381"/>
      <c r="O272" s="381"/>
      <c r="P272" s="381"/>
      <c r="Q272" s="381"/>
      <c r="R272" s="337">
        <f>SUM(R263:R271)</f>
        <v>140</v>
      </c>
      <c r="S272" s="379">
        <f>SUM(S263:S271)</f>
        <v>1</v>
      </c>
      <c r="T272" s="338">
        <f>SUM(T263:T271)</f>
        <v>22674</v>
      </c>
      <c r="U272" s="379">
        <f>SUM(U263:U271)</f>
        <v>1</v>
      </c>
      <c r="V272" s="286"/>
      <c r="W272" s="289"/>
      <c r="X272" s="5"/>
    </row>
    <row r="273" spans="1:24" ht="15.75" x14ac:dyDescent="0.25">
      <c r="A273" s="181"/>
      <c r="B273" s="212"/>
      <c r="C273" s="212"/>
      <c r="D273" s="212"/>
      <c r="E273" s="212"/>
      <c r="F273" s="212"/>
      <c r="G273" s="212"/>
      <c r="H273" s="375"/>
      <c r="I273" s="375"/>
      <c r="J273" s="375"/>
      <c r="K273" s="375"/>
      <c r="L273" s="375"/>
      <c r="M273" s="375"/>
      <c r="N273" s="375"/>
      <c r="O273" s="375"/>
      <c r="P273" s="375"/>
      <c r="Q273" s="375"/>
      <c r="R273" s="335"/>
      <c r="S273" s="376"/>
      <c r="T273" s="377"/>
      <c r="U273" s="376"/>
      <c r="V273" s="212"/>
      <c r="W273" s="212"/>
      <c r="X273" s="5"/>
    </row>
    <row r="274" spans="1:24" ht="15.75" x14ac:dyDescent="0.25">
      <c r="A274" s="244"/>
      <c r="B274" s="399" t="s">
        <v>163</v>
      </c>
      <c r="C274" s="245"/>
      <c r="D274" s="245"/>
      <c r="E274" s="245"/>
      <c r="F274" s="245"/>
      <c r="G274" s="245"/>
      <c r="H274" s="247"/>
      <c r="I274" s="247"/>
      <c r="J274" s="247"/>
      <c r="K274" s="247"/>
      <c r="L274" s="247"/>
      <c r="M274" s="247"/>
      <c r="N274" s="247"/>
      <c r="O274" s="247"/>
      <c r="P274" s="247"/>
      <c r="Q274" s="247"/>
      <c r="R274" s="407" t="s">
        <v>102</v>
      </c>
      <c r="S274" s="400" t="s">
        <v>103</v>
      </c>
      <c r="T274" s="407" t="s">
        <v>109</v>
      </c>
      <c r="U274" s="400" t="s">
        <v>103</v>
      </c>
      <c r="V274" s="245"/>
      <c r="W274" s="246"/>
      <c r="X274" s="5"/>
    </row>
    <row r="275" spans="1:24" ht="15.75" x14ac:dyDescent="0.25">
      <c r="A275" s="248"/>
      <c r="B275" s="249" t="s">
        <v>88</v>
      </c>
      <c r="C275" s="250"/>
      <c r="D275" s="250"/>
      <c r="E275" s="250"/>
      <c r="F275" s="250"/>
      <c r="G275" s="250"/>
      <c r="H275" s="251"/>
      <c r="I275" s="251"/>
      <c r="J275" s="251"/>
      <c r="K275" s="251"/>
      <c r="L275" s="251"/>
      <c r="M275" s="251"/>
      <c r="N275" s="251"/>
      <c r="O275" s="251"/>
      <c r="P275" s="251"/>
      <c r="Q275" s="251"/>
      <c r="R275" s="249">
        <v>0</v>
      </c>
      <c r="S275" s="252">
        <v>0</v>
      </c>
      <c r="T275" s="253">
        <v>0</v>
      </c>
      <c r="U275" s="252">
        <v>0</v>
      </c>
      <c r="V275" s="250"/>
      <c r="W275" s="250"/>
      <c r="X275" s="5"/>
    </row>
    <row r="276" spans="1:24" ht="15.75" x14ac:dyDescent="0.25">
      <c r="A276" s="295"/>
      <c r="B276" s="337" t="s">
        <v>89</v>
      </c>
      <c r="C276" s="286"/>
      <c r="D276" s="286"/>
      <c r="E276" s="286"/>
      <c r="F276" s="286"/>
      <c r="G276" s="286"/>
      <c r="H276" s="381"/>
      <c r="I276" s="381"/>
      <c r="J276" s="381"/>
      <c r="K276" s="381"/>
      <c r="L276" s="381"/>
      <c r="M276" s="381"/>
      <c r="N276" s="381"/>
      <c r="O276" s="381"/>
      <c r="P276" s="381"/>
      <c r="Q276" s="381"/>
      <c r="R276" s="337">
        <v>0</v>
      </c>
      <c r="S276" s="379">
        <v>0</v>
      </c>
      <c r="T276" s="338">
        <v>0</v>
      </c>
      <c r="U276" s="379">
        <v>0</v>
      </c>
      <c r="V276" s="286"/>
      <c r="W276" s="289"/>
      <c r="X276" s="5"/>
    </row>
    <row r="277" spans="1:24" ht="15.75" x14ac:dyDescent="0.25">
      <c r="A277" s="295"/>
      <c r="B277" s="337" t="s">
        <v>90</v>
      </c>
      <c r="C277" s="286"/>
      <c r="D277" s="286"/>
      <c r="E277" s="286"/>
      <c r="F277" s="286"/>
      <c r="G277" s="286"/>
      <c r="H277" s="381"/>
      <c r="I277" s="381"/>
      <c r="J277" s="381"/>
      <c r="K277" s="381"/>
      <c r="L277" s="381"/>
      <c r="M277" s="381"/>
      <c r="N277" s="381"/>
      <c r="O277" s="381"/>
      <c r="P277" s="381"/>
      <c r="Q277" s="381"/>
      <c r="R277" s="337">
        <v>0</v>
      </c>
      <c r="S277" s="379">
        <v>0</v>
      </c>
      <c r="T277" s="338">
        <v>0</v>
      </c>
      <c r="U277" s="379">
        <v>0</v>
      </c>
      <c r="V277" s="286"/>
      <c r="W277" s="289"/>
      <c r="X277" s="5"/>
    </row>
    <row r="278" spans="1:24" ht="15.75" x14ac:dyDescent="0.25">
      <c r="A278" s="295"/>
      <c r="B278" s="337" t="s">
        <v>156</v>
      </c>
      <c r="C278" s="286"/>
      <c r="D278" s="286"/>
      <c r="E278" s="286"/>
      <c r="F278" s="286"/>
      <c r="G278" s="286"/>
      <c r="H278" s="381"/>
      <c r="I278" s="381"/>
      <c r="J278" s="381"/>
      <c r="K278" s="381"/>
      <c r="L278" s="381"/>
      <c r="M278" s="381"/>
      <c r="N278" s="381"/>
      <c r="O278" s="381"/>
      <c r="P278" s="381"/>
      <c r="Q278" s="381"/>
      <c r="R278" s="337">
        <v>0</v>
      </c>
      <c r="S278" s="379">
        <v>0</v>
      </c>
      <c r="T278" s="338">
        <v>0</v>
      </c>
      <c r="U278" s="379">
        <v>0</v>
      </c>
      <c r="V278" s="286"/>
      <c r="W278" s="289"/>
      <c r="X278" s="5"/>
    </row>
    <row r="279" spans="1:24" ht="15.75" x14ac:dyDescent="0.25">
      <c r="A279" s="295"/>
      <c r="B279" s="337" t="s">
        <v>157</v>
      </c>
      <c r="C279" s="286"/>
      <c r="D279" s="286"/>
      <c r="E279" s="286"/>
      <c r="F279" s="286"/>
      <c r="G279" s="286"/>
      <c r="H279" s="381"/>
      <c r="I279" s="381"/>
      <c r="J279" s="381"/>
      <c r="K279" s="381"/>
      <c r="L279" s="381"/>
      <c r="M279" s="381"/>
      <c r="N279" s="381"/>
      <c r="O279" s="381"/>
      <c r="P279" s="381"/>
      <c r="Q279" s="381"/>
      <c r="R279" s="337">
        <v>0</v>
      </c>
      <c r="S279" s="379">
        <v>0</v>
      </c>
      <c r="T279" s="338">
        <v>0</v>
      </c>
      <c r="U279" s="379">
        <v>0</v>
      </c>
      <c r="V279" s="286"/>
      <c r="W279" s="289"/>
      <c r="X279" s="5"/>
    </row>
    <row r="280" spans="1:24" ht="15.75" x14ac:dyDescent="0.25">
      <c r="A280" s="295"/>
      <c r="B280" s="337" t="s">
        <v>158</v>
      </c>
      <c r="C280" s="286"/>
      <c r="D280" s="286"/>
      <c r="E280" s="286"/>
      <c r="F280" s="286"/>
      <c r="G280" s="286"/>
      <c r="H280" s="381"/>
      <c r="I280" s="381"/>
      <c r="J280" s="381"/>
      <c r="K280" s="381"/>
      <c r="L280" s="381"/>
      <c r="M280" s="381"/>
      <c r="N280" s="381"/>
      <c r="O280" s="381"/>
      <c r="P280" s="381"/>
      <c r="Q280" s="381"/>
      <c r="R280" s="337">
        <v>0</v>
      </c>
      <c r="S280" s="379">
        <v>0</v>
      </c>
      <c r="T280" s="338">
        <v>0</v>
      </c>
      <c r="U280" s="379">
        <v>0</v>
      </c>
      <c r="V280" s="286"/>
      <c r="W280" s="289"/>
      <c r="X280" s="5"/>
    </row>
    <row r="281" spans="1:24" ht="15.75" x14ac:dyDescent="0.25">
      <c r="A281" s="295"/>
      <c r="B281" s="337" t="s">
        <v>159</v>
      </c>
      <c r="C281" s="286"/>
      <c r="D281" s="286"/>
      <c r="E281" s="286"/>
      <c r="F281" s="286"/>
      <c r="G281" s="286"/>
      <c r="H281" s="381"/>
      <c r="I281" s="381"/>
      <c r="J281" s="381"/>
      <c r="K281" s="381"/>
      <c r="L281" s="381"/>
      <c r="M281" s="381"/>
      <c r="N281" s="381"/>
      <c r="O281" s="381"/>
      <c r="P281" s="381"/>
      <c r="Q281" s="381"/>
      <c r="R281" s="337">
        <v>0</v>
      </c>
      <c r="S281" s="379">
        <v>0</v>
      </c>
      <c r="T281" s="338">
        <v>0</v>
      </c>
      <c r="U281" s="379">
        <v>0</v>
      </c>
      <c r="V281" s="286"/>
      <c r="W281" s="289"/>
      <c r="X281" s="5"/>
    </row>
    <row r="282" spans="1:24" ht="15.75" x14ac:dyDescent="0.25">
      <c r="A282" s="295"/>
      <c r="B282" s="337" t="s">
        <v>160</v>
      </c>
      <c r="C282" s="286"/>
      <c r="D282" s="286"/>
      <c r="E282" s="286"/>
      <c r="F282" s="286"/>
      <c r="G282" s="286"/>
      <c r="H282" s="381"/>
      <c r="I282" s="381"/>
      <c r="J282" s="381"/>
      <c r="K282" s="381"/>
      <c r="L282" s="381"/>
      <c r="M282" s="381"/>
      <c r="N282" s="381"/>
      <c r="O282" s="381"/>
      <c r="P282" s="381"/>
      <c r="Q282" s="381"/>
      <c r="R282" s="337">
        <v>0</v>
      </c>
      <c r="S282" s="379">
        <v>0</v>
      </c>
      <c r="T282" s="338">
        <v>0</v>
      </c>
      <c r="U282" s="379">
        <v>0</v>
      </c>
      <c r="V282" s="286"/>
      <c r="W282" s="289"/>
      <c r="X282" s="5"/>
    </row>
    <row r="283" spans="1:24" ht="15.75" x14ac:dyDescent="0.25">
      <c r="A283" s="295"/>
      <c r="B283" s="337"/>
      <c r="C283" s="286"/>
      <c r="D283" s="286"/>
      <c r="E283" s="286"/>
      <c r="F283" s="286"/>
      <c r="G283" s="286"/>
      <c r="H283" s="381"/>
      <c r="I283" s="381"/>
      <c r="J283" s="381"/>
      <c r="K283" s="381"/>
      <c r="L283" s="381"/>
      <c r="M283" s="381"/>
      <c r="N283" s="381"/>
      <c r="O283" s="381"/>
      <c r="P283" s="381"/>
      <c r="Q283" s="381"/>
      <c r="R283" s="337"/>
      <c r="S283" s="379"/>
      <c r="T283" s="338"/>
      <c r="U283" s="379"/>
      <c r="V283" s="286"/>
      <c r="W283" s="289"/>
      <c r="X283" s="5"/>
    </row>
    <row r="284" spans="1:24" ht="15.75" x14ac:dyDescent="0.25">
      <c r="A284" s="295"/>
      <c r="B284" s="286" t="s">
        <v>114</v>
      </c>
      <c r="C284" s="286"/>
      <c r="D284" s="286"/>
      <c r="E284" s="286"/>
      <c r="F284" s="286"/>
      <c r="G284" s="286"/>
      <c r="H284" s="381"/>
      <c r="I284" s="381"/>
      <c r="J284" s="381"/>
      <c r="K284" s="381"/>
      <c r="L284" s="381"/>
      <c r="M284" s="381"/>
      <c r="N284" s="381"/>
      <c r="O284" s="381"/>
      <c r="P284" s="381"/>
      <c r="Q284" s="381"/>
      <c r="R284" s="337">
        <f>SUM(R275:R282)</f>
        <v>0</v>
      </c>
      <c r="S284" s="379">
        <f>SUM(S275:S282)</f>
        <v>0</v>
      </c>
      <c r="T284" s="338">
        <f>SUM(T275:T282)</f>
        <v>0</v>
      </c>
      <c r="U284" s="379">
        <f>SUM(U275:U282)</f>
        <v>0</v>
      </c>
      <c r="V284" s="286"/>
      <c r="W284" s="289"/>
      <c r="X284" s="5"/>
    </row>
    <row r="285" spans="1:24" ht="15.75" x14ac:dyDescent="0.25">
      <c r="A285" s="295"/>
      <c r="B285" s="286"/>
      <c r="C285" s="286"/>
      <c r="D285" s="286"/>
      <c r="E285" s="286"/>
      <c r="F285" s="286"/>
      <c r="G285" s="286"/>
      <c r="H285" s="381"/>
      <c r="I285" s="381"/>
      <c r="J285" s="381"/>
      <c r="K285" s="381"/>
      <c r="L285" s="381"/>
      <c r="M285" s="381"/>
      <c r="N285" s="381"/>
      <c r="O285" s="381"/>
      <c r="P285" s="381"/>
      <c r="Q285" s="381"/>
      <c r="R285" s="337"/>
      <c r="S285" s="379"/>
      <c r="T285" s="338"/>
      <c r="U285" s="379"/>
      <c r="V285" s="286"/>
      <c r="W285" s="289"/>
      <c r="X285" s="5"/>
    </row>
    <row r="286" spans="1:24" ht="15.75" x14ac:dyDescent="0.25">
      <c r="A286" s="295"/>
      <c r="B286" s="297" t="s">
        <v>164</v>
      </c>
      <c r="C286" s="286"/>
      <c r="D286" s="286"/>
      <c r="E286" s="286"/>
      <c r="F286" s="286"/>
      <c r="G286" s="286"/>
      <c r="H286" s="381"/>
      <c r="I286" s="381"/>
      <c r="J286" s="381"/>
      <c r="K286" s="381"/>
      <c r="L286" s="381"/>
      <c r="M286" s="381"/>
      <c r="N286" s="381"/>
      <c r="O286" s="381"/>
      <c r="P286" s="381"/>
      <c r="Q286" s="381"/>
      <c r="R286" s="384">
        <f>R284+R272+R260</f>
        <v>5866</v>
      </c>
      <c r="S286" s="379"/>
      <c r="T286" s="410">
        <f>+T284+T272+T260</f>
        <v>843152</v>
      </c>
      <c r="U286" s="379"/>
      <c r="V286" s="286"/>
      <c r="W286" s="289"/>
      <c r="X286" s="5"/>
    </row>
    <row r="287" spans="1:24" ht="15.75" x14ac:dyDescent="0.25">
      <c r="A287" s="254"/>
      <c r="B287" s="346"/>
      <c r="C287" s="346"/>
      <c r="D287" s="346"/>
      <c r="E287" s="346"/>
      <c r="F287" s="346"/>
      <c r="G287" s="346"/>
      <c r="H287" s="382"/>
      <c r="I287" s="382"/>
      <c r="J287" s="382"/>
      <c r="K287" s="382"/>
      <c r="L287" s="382"/>
      <c r="M287" s="382"/>
      <c r="N287" s="382"/>
      <c r="O287" s="382"/>
      <c r="P287" s="382"/>
      <c r="Q287" s="382"/>
      <c r="R287" s="382"/>
      <c r="S287" s="382"/>
      <c r="T287" s="383"/>
      <c r="U287" s="382"/>
      <c r="V287" s="346"/>
      <c r="W287" s="346"/>
      <c r="X287" s="5"/>
    </row>
    <row r="288" spans="1:24" ht="15.75" x14ac:dyDescent="0.25">
      <c r="A288" s="254"/>
      <c r="B288" s="255"/>
      <c r="C288" s="255"/>
      <c r="D288" s="255"/>
      <c r="E288" s="255"/>
      <c r="F288" s="255"/>
      <c r="G288" s="255"/>
      <c r="H288" s="256"/>
      <c r="I288" s="256"/>
      <c r="J288" s="256"/>
      <c r="K288" s="256"/>
      <c r="L288" s="256"/>
      <c r="M288" s="256"/>
      <c r="N288" s="256"/>
      <c r="O288" s="256"/>
      <c r="P288" s="256"/>
      <c r="Q288" s="256"/>
      <c r="R288" s="256"/>
      <c r="S288" s="256"/>
      <c r="T288" s="257"/>
      <c r="U288" s="256"/>
      <c r="V288" s="255"/>
      <c r="W288" s="255"/>
      <c r="X288" s="5"/>
    </row>
    <row r="289" spans="1:24" ht="15.75" x14ac:dyDescent="0.25">
      <c r="A289" s="258"/>
      <c r="B289" s="388" t="s">
        <v>91</v>
      </c>
      <c r="C289" s="255"/>
      <c r="D289" s="255"/>
      <c r="E289" s="255"/>
      <c r="F289" s="391" t="s">
        <v>97</v>
      </c>
      <c r="G289" s="255"/>
      <c r="H289" s="388" t="s">
        <v>99</v>
      </c>
      <c r="I289" s="388"/>
      <c r="J289" s="388"/>
      <c r="K289" s="261"/>
      <c r="L289" s="261"/>
      <c r="M289" s="261"/>
      <c r="N289" s="261"/>
      <c r="O289" s="261"/>
      <c r="P289" s="261"/>
      <c r="Q289" s="261"/>
      <c r="R289" s="261"/>
      <c r="S289" s="261"/>
      <c r="T289" s="261"/>
      <c r="U289" s="261"/>
      <c r="V289" s="261"/>
      <c r="W289" s="261"/>
      <c r="X289" s="5"/>
    </row>
    <row r="290" spans="1:24" ht="15.75" x14ac:dyDescent="0.25">
      <c r="A290" s="258"/>
      <c r="B290" s="261"/>
      <c r="C290" s="255"/>
      <c r="D290" s="255"/>
      <c r="E290" s="255"/>
      <c r="F290" s="255"/>
      <c r="G290" s="255"/>
      <c r="H290" s="255"/>
      <c r="I290" s="255"/>
      <c r="J290" s="255"/>
      <c r="K290" s="261"/>
      <c r="L290" s="261"/>
      <c r="M290" s="261"/>
      <c r="N290" s="261"/>
      <c r="O290" s="261"/>
      <c r="P290" s="261"/>
      <c r="Q290" s="261"/>
      <c r="R290" s="261"/>
      <c r="S290" s="261"/>
      <c r="T290" s="261"/>
      <c r="U290" s="261"/>
      <c r="V290" s="261"/>
      <c r="W290" s="261"/>
      <c r="X290" s="5"/>
    </row>
    <row r="291" spans="1:24" ht="15.75" x14ac:dyDescent="0.25">
      <c r="A291" s="258"/>
      <c r="B291" s="388" t="s">
        <v>92</v>
      </c>
      <c r="C291" s="388"/>
      <c r="D291" s="388"/>
      <c r="E291" s="388"/>
      <c r="F291" s="411" t="s">
        <v>148</v>
      </c>
      <c r="G291" s="388"/>
      <c r="H291" s="388" t="s">
        <v>152</v>
      </c>
      <c r="I291" s="388"/>
      <c r="J291" s="388"/>
      <c r="K291" s="261"/>
      <c r="L291" s="261"/>
      <c r="M291" s="261"/>
      <c r="N291" s="261"/>
      <c r="O291" s="261"/>
      <c r="P291" s="261"/>
      <c r="Q291" s="261"/>
      <c r="R291" s="261"/>
      <c r="S291" s="261"/>
      <c r="T291" s="261"/>
      <c r="U291" s="261"/>
      <c r="V291" s="261"/>
      <c r="W291" s="261"/>
      <c r="X291" s="5"/>
    </row>
    <row r="292" spans="1:24" ht="15.75" x14ac:dyDescent="0.25">
      <c r="A292" s="258"/>
      <c r="B292" s="388" t="s">
        <v>265</v>
      </c>
      <c r="C292" s="388"/>
      <c r="D292" s="388"/>
      <c r="E292" s="388"/>
      <c r="F292" s="411" t="s">
        <v>266</v>
      </c>
      <c r="G292" s="388"/>
      <c r="H292" s="388" t="s">
        <v>267</v>
      </c>
      <c r="I292" s="388"/>
      <c r="J292" s="388"/>
      <c r="K292" s="261"/>
      <c r="L292" s="261"/>
      <c r="M292" s="261"/>
      <c r="N292" s="261"/>
      <c r="O292" s="261"/>
      <c r="P292" s="261"/>
      <c r="Q292" s="261"/>
      <c r="R292" s="261"/>
      <c r="S292" s="261"/>
      <c r="T292" s="261"/>
      <c r="U292" s="261"/>
      <c r="V292" s="261"/>
      <c r="W292" s="261"/>
      <c r="X292" s="5"/>
    </row>
    <row r="293" spans="1:24" ht="15.75" x14ac:dyDescent="0.25">
      <c r="A293" s="258"/>
      <c r="B293" s="388" t="s">
        <v>93</v>
      </c>
      <c r="C293" s="388"/>
      <c r="D293" s="388"/>
      <c r="E293" s="388"/>
      <c r="F293" s="411" t="s">
        <v>147</v>
      </c>
      <c r="G293" s="388"/>
      <c r="H293" s="388" t="s">
        <v>153</v>
      </c>
      <c r="I293" s="388"/>
      <c r="J293" s="388"/>
      <c r="K293" s="261"/>
      <c r="L293" s="261"/>
      <c r="M293" s="261"/>
      <c r="N293" s="261"/>
      <c r="O293" s="261"/>
      <c r="P293" s="261"/>
      <c r="Q293" s="261"/>
      <c r="R293" s="261"/>
      <c r="S293" s="261"/>
      <c r="T293" s="261"/>
      <c r="U293" s="261"/>
      <c r="V293" s="261"/>
      <c r="W293" s="261"/>
      <c r="X293" s="5"/>
    </row>
    <row r="294" spans="1:24" ht="15.75" x14ac:dyDescent="0.25">
      <c r="A294" s="258"/>
      <c r="B294" s="388"/>
      <c r="C294" s="388"/>
      <c r="D294" s="388"/>
      <c r="E294" s="388"/>
      <c r="F294" s="388"/>
      <c r="G294" s="263"/>
      <c r="H294" s="261"/>
      <c r="I294" s="261"/>
      <c r="J294" s="261"/>
      <c r="K294" s="261"/>
      <c r="L294" s="261"/>
      <c r="M294" s="261"/>
      <c r="N294" s="261"/>
      <c r="O294" s="261"/>
      <c r="P294" s="261"/>
      <c r="Q294" s="261"/>
      <c r="R294" s="261"/>
      <c r="S294" s="261"/>
      <c r="T294" s="261"/>
      <c r="U294" s="261"/>
      <c r="V294" s="261"/>
      <c r="W294" s="261"/>
      <c r="X294" s="5"/>
    </row>
    <row r="295" spans="1:24" ht="15.75" x14ac:dyDescent="0.25">
      <c r="A295" s="258"/>
      <c r="B295" s="388"/>
      <c r="C295" s="388"/>
      <c r="D295" s="388"/>
      <c r="E295" s="388"/>
      <c r="F295" s="388"/>
      <c r="G295" s="263"/>
      <c r="H295" s="261"/>
      <c r="I295" s="261"/>
      <c r="J295" s="261"/>
      <c r="K295" s="261"/>
      <c r="L295" s="261"/>
      <c r="M295" s="261"/>
      <c r="N295" s="261"/>
      <c r="O295" s="261"/>
      <c r="P295" s="261"/>
      <c r="Q295" s="261"/>
      <c r="R295" s="261"/>
      <c r="S295" s="261"/>
      <c r="T295" s="261"/>
      <c r="U295" s="261"/>
      <c r="V295" s="261"/>
      <c r="W295" s="261"/>
      <c r="X295" s="5"/>
    </row>
    <row r="296" spans="1:24" ht="19.5" thickBot="1" x14ac:dyDescent="0.35">
      <c r="A296" s="258"/>
      <c r="B296" s="264" t="str">
        <f>B200</f>
        <v>PM15 INVESTOR REPORT QUARTER ENDING MAY 2011</v>
      </c>
      <c r="C296" s="388"/>
      <c r="D296" s="388"/>
      <c r="E296" s="388"/>
      <c r="F296" s="388"/>
      <c r="G296" s="263"/>
      <c r="H296" s="261"/>
      <c r="I296" s="261"/>
      <c r="J296" s="261"/>
      <c r="K296" s="261"/>
      <c r="L296" s="261"/>
      <c r="M296" s="261"/>
      <c r="N296" s="261"/>
      <c r="O296" s="261"/>
      <c r="P296" s="261"/>
      <c r="Q296" s="261"/>
      <c r="R296" s="261"/>
      <c r="S296" s="261"/>
      <c r="T296" s="261"/>
      <c r="U296" s="261"/>
      <c r="V296" s="261"/>
      <c r="W296" s="261"/>
      <c r="X296" s="5"/>
    </row>
    <row r="297" spans="1:24" x14ac:dyDescent="0.2">
      <c r="A297" s="100"/>
      <c r="B297" s="100"/>
      <c r="C297" s="100"/>
      <c r="D297" s="100"/>
      <c r="E297" s="100"/>
      <c r="F297" s="100"/>
      <c r="G297" s="100"/>
      <c r="H297" s="100"/>
      <c r="I297" s="100"/>
      <c r="J297" s="100"/>
      <c r="K297" s="100"/>
      <c r="L297" s="100"/>
      <c r="M297" s="100"/>
      <c r="N297" s="100"/>
      <c r="O297" s="100"/>
      <c r="P297" s="100"/>
      <c r="Q297" s="100"/>
      <c r="R297" s="100"/>
      <c r="S297" s="100"/>
      <c r="T297" s="100"/>
      <c r="U297" s="100"/>
      <c r="V297" s="100"/>
      <c r="W297" s="100"/>
    </row>
  </sheetData>
  <phoneticPr fontId="0" type="noConversion"/>
  <hyperlinks>
    <hyperlink ref="P236" r:id="rId1" xr:uid="{00000000-0004-0000-0E00-000000000000}"/>
    <hyperlink ref="I9" r:id="rId2" xr:uid="{00000000-0004-0000-0E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4" max="14" man="1"/>
    <brk id="200" max="14" man="1"/>
  </rowBreaks>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sheetPr>
  <dimension ref="A1:IV297"/>
  <sheetViews>
    <sheetView showGridLines="0" showOutlineSymbols="0" zoomScale="70" zoomScaleNormal="70" workbookViewId="0"/>
  </sheetViews>
  <sheetFormatPr defaultColWidth="9.6640625" defaultRowHeight="15" x14ac:dyDescent="0.2"/>
  <cols>
    <col min="1" max="1" width="4" style="1" customWidth="1"/>
    <col min="2" max="2" width="71.21875" style="1" customWidth="1"/>
    <col min="3" max="3" width="2.21875" style="1" customWidth="1"/>
    <col min="4" max="4" width="19.33203125" style="1" customWidth="1"/>
    <col min="5" max="5" width="2.21875" style="1" customWidth="1"/>
    <col min="6" max="6" width="25.109375" style="1" customWidth="1"/>
    <col min="7" max="7" width="2.21875" style="1" customWidth="1"/>
    <col min="8" max="8" width="16.21875" style="1" customWidth="1"/>
    <col min="9" max="9" width="2.88671875" style="1" customWidth="1"/>
    <col min="10" max="10" width="16.21875" style="1" customWidth="1"/>
    <col min="11" max="11" width="2.21875" style="1" customWidth="1"/>
    <col min="12" max="12" width="17.88671875" style="1" customWidth="1"/>
    <col min="13" max="13" width="2.33203125" style="1" customWidth="1"/>
    <col min="14" max="14" width="14.88671875" style="1" customWidth="1"/>
    <col min="15" max="15" width="2.33203125" style="1" customWidth="1"/>
    <col min="16" max="16" width="15.5546875" style="1" customWidth="1"/>
    <col min="17" max="17" width="2.21875" style="1" customWidth="1"/>
    <col min="18" max="18" width="15.5546875" style="1" customWidth="1"/>
    <col min="19" max="20" width="12.6640625" style="1" customWidth="1"/>
    <col min="21" max="21" width="7.77734375" style="1" customWidth="1"/>
    <col min="22" max="22" width="14.6640625" style="1" customWidth="1"/>
    <col min="23" max="23" width="11.77734375" style="1" customWidth="1"/>
    <col min="24" max="16384" width="9.6640625" style="1"/>
  </cols>
  <sheetData>
    <row r="1" spans="1:24" ht="20.25" x14ac:dyDescent="0.3">
      <c r="A1" s="179"/>
      <c r="B1" s="274" t="s">
        <v>237</v>
      </c>
      <c r="C1" s="180"/>
      <c r="D1" s="180"/>
      <c r="E1" s="180"/>
      <c r="F1" s="180"/>
      <c r="G1" s="180"/>
      <c r="H1" s="180"/>
      <c r="I1" s="180"/>
      <c r="J1" s="180"/>
      <c r="K1" s="180"/>
      <c r="L1" s="180"/>
      <c r="M1" s="180"/>
      <c r="N1" s="180"/>
      <c r="O1" s="180"/>
      <c r="P1" s="180"/>
      <c r="Q1" s="180"/>
      <c r="R1" s="180"/>
      <c r="S1" s="180"/>
      <c r="T1" s="180"/>
      <c r="U1" s="180"/>
      <c r="V1" s="180"/>
      <c r="W1" s="180"/>
      <c r="X1" s="5"/>
    </row>
    <row r="2" spans="1:24" ht="15.75" x14ac:dyDescent="0.25">
      <c r="A2" s="181"/>
      <c r="B2" s="182"/>
      <c r="C2" s="183"/>
      <c r="D2" s="183"/>
      <c r="E2" s="183"/>
      <c r="F2" s="183"/>
      <c r="G2" s="183"/>
      <c r="H2" s="183"/>
      <c r="I2" s="183"/>
      <c r="J2" s="183"/>
      <c r="K2" s="183"/>
      <c r="L2" s="183"/>
      <c r="M2" s="183"/>
      <c r="N2" s="183"/>
      <c r="O2" s="183"/>
      <c r="P2" s="183"/>
      <c r="Q2" s="183"/>
      <c r="R2" s="183"/>
      <c r="S2" s="183"/>
      <c r="T2" s="183"/>
      <c r="U2" s="183"/>
      <c r="V2" s="183"/>
      <c r="W2" s="183"/>
      <c r="X2" s="5"/>
    </row>
    <row r="3" spans="1:24" ht="15.75" x14ac:dyDescent="0.25">
      <c r="A3" s="184"/>
      <c r="B3" s="185" t="s">
        <v>238</v>
      </c>
      <c r="C3" s="183"/>
      <c r="D3" s="183"/>
      <c r="E3" s="183"/>
      <c r="F3" s="183"/>
      <c r="G3" s="183"/>
      <c r="H3" s="183"/>
      <c r="I3" s="183"/>
      <c r="J3" s="183"/>
      <c r="K3" s="183"/>
      <c r="L3" s="183"/>
      <c r="M3" s="183"/>
      <c r="N3" s="183"/>
      <c r="O3" s="183"/>
      <c r="P3" s="183"/>
      <c r="Q3" s="183"/>
      <c r="R3" s="183"/>
      <c r="S3" s="183"/>
      <c r="T3" s="183"/>
      <c r="U3" s="183"/>
      <c r="V3" s="183"/>
      <c r="W3" s="183"/>
      <c r="X3" s="5"/>
    </row>
    <row r="4" spans="1:24" ht="15.75" x14ac:dyDescent="0.25">
      <c r="A4" s="181"/>
      <c r="B4" s="182"/>
      <c r="C4" s="183"/>
      <c r="D4" s="183"/>
      <c r="E4" s="183"/>
      <c r="F4" s="183"/>
      <c r="G4" s="183"/>
      <c r="H4" s="183"/>
      <c r="I4" s="183"/>
      <c r="J4" s="183"/>
      <c r="K4" s="183"/>
      <c r="L4" s="183"/>
      <c r="M4" s="183"/>
      <c r="N4" s="183"/>
      <c r="O4" s="183"/>
      <c r="P4" s="183"/>
      <c r="Q4" s="183"/>
      <c r="R4" s="183"/>
      <c r="S4" s="183"/>
      <c r="T4" s="183"/>
      <c r="U4" s="183"/>
      <c r="V4" s="183"/>
      <c r="W4" s="183"/>
      <c r="X4" s="5"/>
    </row>
    <row r="5" spans="1:24" ht="15.75" x14ac:dyDescent="0.25">
      <c r="A5" s="181"/>
      <c r="B5" s="275" t="s">
        <v>137</v>
      </c>
      <c r="C5" s="183"/>
      <c r="D5" s="183"/>
      <c r="E5" s="183"/>
      <c r="F5" s="183"/>
      <c r="G5" s="183"/>
      <c r="H5" s="183"/>
      <c r="I5" s="183"/>
      <c r="J5" s="183"/>
      <c r="K5" s="183"/>
      <c r="L5" s="183"/>
      <c r="M5" s="183"/>
      <c r="N5" s="183"/>
      <c r="O5" s="183"/>
      <c r="P5" s="183"/>
      <c r="Q5" s="183"/>
      <c r="R5" s="183"/>
      <c r="S5" s="183"/>
      <c r="T5" s="183"/>
      <c r="U5" s="183"/>
      <c r="V5" s="183"/>
      <c r="W5" s="183"/>
      <c r="X5" s="5"/>
    </row>
    <row r="6" spans="1:24" ht="15.75" x14ac:dyDescent="0.25">
      <c r="A6" s="181"/>
      <c r="B6" s="275" t="s">
        <v>139</v>
      </c>
      <c r="C6" s="183"/>
      <c r="D6" s="183"/>
      <c r="E6" s="183"/>
      <c r="F6" s="183"/>
      <c r="G6" s="183"/>
      <c r="H6" s="183"/>
      <c r="I6" s="183"/>
      <c r="J6" s="183"/>
      <c r="K6" s="183"/>
      <c r="L6" s="183"/>
      <c r="M6" s="183"/>
      <c r="N6" s="183"/>
      <c r="O6" s="183"/>
      <c r="P6" s="183"/>
      <c r="Q6" s="183"/>
      <c r="R6" s="183"/>
      <c r="S6" s="183"/>
      <c r="T6" s="183"/>
      <c r="U6" s="183"/>
      <c r="V6" s="183"/>
      <c r="W6" s="183"/>
      <c r="X6" s="5"/>
    </row>
    <row r="7" spans="1:24" ht="15.75" x14ac:dyDescent="0.25">
      <c r="A7" s="181"/>
      <c r="B7" s="275" t="s">
        <v>138</v>
      </c>
      <c r="C7" s="183"/>
      <c r="D7" s="183"/>
      <c r="E7" s="183"/>
      <c r="F7" s="183"/>
      <c r="G7" s="183"/>
      <c r="H7" s="183"/>
      <c r="I7" s="183"/>
      <c r="J7" s="183"/>
      <c r="K7" s="183"/>
      <c r="L7" s="183"/>
      <c r="M7" s="183"/>
      <c r="N7" s="183"/>
      <c r="O7" s="183"/>
      <c r="P7" s="183"/>
      <c r="Q7" s="183"/>
      <c r="R7" s="183"/>
      <c r="S7" s="183"/>
      <c r="T7" s="183"/>
      <c r="U7" s="183"/>
      <c r="V7" s="183"/>
      <c r="W7" s="183"/>
      <c r="X7" s="5"/>
    </row>
    <row r="8" spans="1:24" ht="15.75" x14ac:dyDescent="0.25">
      <c r="A8" s="181"/>
      <c r="B8" s="186"/>
      <c r="C8" s="183"/>
      <c r="D8" s="183"/>
      <c r="E8" s="183"/>
      <c r="F8" s="183"/>
      <c r="G8" s="183"/>
      <c r="H8" s="183"/>
      <c r="I8" s="183"/>
      <c r="J8" s="183"/>
      <c r="K8" s="183"/>
      <c r="L8" s="183"/>
      <c r="M8" s="183"/>
      <c r="N8" s="183"/>
      <c r="O8" s="183"/>
      <c r="P8" s="183"/>
      <c r="Q8" s="183"/>
      <c r="R8" s="183"/>
      <c r="S8" s="183"/>
      <c r="T8" s="183"/>
      <c r="U8" s="183"/>
      <c r="V8" s="183"/>
      <c r="W8" s="183"/>
      <c r="X8" s="5"/>
    </row>
    <row r="9" spans="1:24" ht="18.75" x14ac:dyDescent="0.3">
      <c r="A9" s="181"/>
      <c r="B9" s="187" t="s">
        <v>166</v>
      </c>
      <c r="C9" s="183"/>
      <c r="D9" s="183"/>
      <c r="E9" s="183"/>
      <c r="F9" s="183"/>
      <c r="G9" s="183"/>
      <c r="H9" s="183"/>
      <c r="I9" s="188" t="s">
        <v>167</v>
      </c>
      <c r="J9" s="183"/>
      <c r="K9" s="183"/>
      <c r="L9" s="188"/>
      <c r="M9" s="183"/>
      <c r="N9" s="188"/>
      <c r="O9" s="183"/>
      <c r="P9" s="183"/>
      <c r="Q9" s="183"/>
      <c r="R9" s="183"/>
      <c r="S9" s="183"/>
      <c r="T9" s="183"/>
      <c r="U9" s="183"/>
      <c r="V9" s="183"/>
      <c r="W9" s="183"/>
      <c r="X9" s="5"/>
    </row>
    <row r="10" spans="1:24" ht="15.75" x14ac:dyDescent="0.25">
      <c r="A10" s="181"/>
      <c r="B10" s="186"/>
      <c r="C10" s="189"/>
      <c r="D10" s="189"/>
      <c r="E10" s="189"/>
      <c r="F10" s="183"/>
      <c r="G10" s="183"/>
      <c r="H10" s="183"/>
      <c r="I10" s="183"/>
      <c r="J10" s="183"/>
      <c r="K10" s="183"/>
      <c r="L10" s="183"/>
      <c r="M10" s="183"/>
      <c r="N10" s="183"/>
      <c r="O10" s="183"/>
      <c r="P10" s="183"/>
      <c r="Q10" s="183"/>
      <c r="R10" s="183"/>
      <c r="S10" s="183"/>
      <c r="T10" s="183"/>
      <c r="U10" s="183"/>
      <c r="V10" s="183"/>
      <c r="W10" s="183"/>
      <c r="X10" s="5"/>
    </row>
    <row r="11" spans="1:24" ht="15.75" x14ac:dyDescent="0.25">
      <c r="A11" s="181"/>
      <c r="B11" s="388" t="s">
        <v>0</v>
      </c>
      <c r="C11" s="183"/>
      <c r="D11" s="183"/>
      <c r="E11" s="183"/>
      <c r="F11" s="183"/>
      <c r="G11" s="183"/>
      <c r="H11" s="183"/>
      <c r="I11" s="183"/>
      <c r="J11" s="183"/>
      <c r="K11" s="183"/>
      <c r="L11" s="183"/>
      <c r="M11" s="183"/>
      <c r="N11" s="183"/>
      <c r="O11" s="183"/>
      <c r="P11" s="183"/>
      <c r="Q11" s="183"/>
      <c r="R11" s="183"/>
      <c r="S11" s="183"/>
      <c r="T11" s="183"/>
      <c r="U11" s="183"/>
      <c r="V11" s="183"/>
      <c r="W11" s="183"/>
      <c r="X11" s="5"/>
    </row>
    <row r="12" spans="1:24" ht="16.5" thickBot="1" x14ac:dyDescent="0.3">
      <c r="A12" s="181"/>
      <c r="B12" s="189"/>
      <c r="C12" s="183"/>
      <c r="D12" s="183"/>
      <c r="E12" s="183"/>
      <c r="F12" s="183"/>
      <c r="G12" s="183"/>
      <c r="H12" s="183"/>
      <c r="I12" s="183"/>
      <c r="J12" s="183"/>
      <c r="K12" s="183"/>
      <c r="L12" s="183"/>
      <c r="M12" s="183"/>
      <c r="N12" s="183"/>
      <c r="O12" s="183"/>
      <c r="P12" s="183"/>
      <c r="Q12" s="183"/>
      <c r="R12" s="183"/>
      <c r="S12" s="183"/>
      <c r="T12" s="183"/>
      <c r="U12" s="183"/>
      <c r="V12" s="183"/>
      <c r="W12" s="183"/>
      <c r="X12" s="5"/>
    </row>
    <row r="13" spans="1:24" ht="15.75" x14ac:dyDescent="0.25">
      <c r="A13" s="179"/>
      <c r="B13" s="180"/>
      <c r="C13" s="180"/>
      <c r="D13" s="180"/>
      <c r="E13" s="180"/>
      <c r="F13" s="180"/>
      <c r="G13" s="180"/>
      <c r="H13" s="180"/>
      <c r="I13" s="180"/>
      <c r="J13" s="180"/>
      <c r="K13" s="180"/>
      <c r="L13" s="180"/>
      <c r="M13" s="180"/>
      <c r="N13" s="180"/>
      <c r="O13" s="180"/>
      <c r="P13" s="180"/>
      <c r="Q13" s="180"/>
      <c r="R13" s="180"/>
      <c r="S13" s="180"/>
      <c r="T13" s="180"/>
      <c r="U13" s="180"/>
      <c r="V13" s="180"/>
      <c r="W13" s="180"/>
      <c r="X13" s="5"/>
    </row>
    <row r="14" spans="1:24" ht="15.75" x14ac:dyDescent="0.25">
      <c r="A14" s="181"/>
      <c r="B14" s="388" t="s">
        <v>1</v>
      </c>
      <c r="C14" s="255"/>
      <c r="D14" s="255"/>
      <c r="E14" s="255"/>
      <c r="F14" s="255"/>
      <c r="G14" s="255"/>
      <c r="H14" s="255"/>
      <c r="I14" s="255"/>
      <c r="J14" s="255"/>
      <c r="K14" s="255"/>
      <c r="L14" s="255"/>
      <c r="M14" s="255"/>
      <c r="N14" s="255"/>
      <c r="O14" s="255"/>
      <c r="P14" s="255"/>
      <c r="Q14" s="255"/>
      <c r="R14" s="255"/>
      <c r="S14" s="255"/>
      <c r="T14" s="255"/>
      <c r="U14" s="255"/>
      <c r="V14" s="276" t="s">
        <v>239</v>
      </c>
      <c r="W14" s="255"/>
      <c r="X14" s="5"/>
    </row>
    <row r="15" spans="1:24" ht="15.75" x14ac:dyDescent="0.25">
      <c r="A15" s="181"/>
      <c r="B15" s="388" t="s">
        <v>2</v>
      </c>
      <c r="C15" s="255"/>
      <c r="D15" s="255"/>
      <c r="E15" s="255"/>
      <c r="F15" s="255"/>
      <c r="G15" s="255"/>
      <c r="H15" s="389"/>
      <c r="I15" s="389"/>
      <c r="J15" s="389"/>
      <c r="K15" s="389"/>
      <c r="L15" s="389"/>
      <c r="M15" s="389"/>
      <c r="N15" s="389"/>
      <c r="O15" s="389"/>
      <c r="P15" s="389"/>
      <c r="Q15" s="389"/>
      <c r="R15" s="389" t="s">
        <v>104</v>
      </c>
      <c r="S15" s="390">
        <v>0.47189999999999999</v>
      </c>
      <c r="T15" s="391" t="s">
        <v>140</v>
      </c>
      <c r="U15" s="390">
        <v>0.52810000000000001</v>
      </c>
      <c r="V15" s="276"/>
      <c r="W15" s="255"/>
      <c r="X15" s="5"/>
    </row>
    <row r="16" spans="1:24" ht="15.75" x14ac:dyDescent="0.25">
      <c r="A16" s="181"/>
      <c r="B16" s="388" t="s">
        <v>3</v>
      </c>
      <c r="C16" s="255"/>
      <c r="D16" s="255"/>
      <c r="E16" s="255"/>
      <c r="F16" s="255"/>
      <c r="G16" s="255"/>
      <c r="H16" s="389"/>
      <c r="I16" s="389"/>
      <c r="J16" s="389"/>
      <c r="K16" s="389"/>
      <c r="L16" s="389"/>
      <c r="M16" s="389"/>
      <c r="N16" s="389"/>
      <c r="O16" s="389"/>
      <c r="P16" s="389"/>
      <c r="Q16" s="389"/>
      <c r="R16" s="389" t="s">
        <v>104</v>
      </c>
      <c r="S16" s="390">
        <v>0.5373</v>
      </c>
      <c r="T16" s="391" t="s">
        <v>140</v>
      </c>
      <c r="U16" s="390">
        <v>0.4627</v>
      </c>
      <c r="V16" s="276"/>
      <c r="W16" s="255"/>
      <c r="X16" s="5"/>
    </row>
    <row r="17" spans="1:24" ht="15.75" x14ac:dyDescent="0.25">
      <c r="A17" s="181"/>
      <c r="B17" s="388" t="s">
        <v>4</v>
      </c>
      <c r="C17" s="255"/>
      <c r="D17" s="255"/>
      <c r="E17" s="255"/>
      <c r="F17" s="255"/>
      <c r="G17" s="255"/>
      <c r="H17" s="255"/>
      <c r="I17" s="255"/>
      <c r="J17" s="255"/>
      <c r="K17" s="255"/>
      <c r="L17" s="255"/>
      <c r="M17" s="255"/>
      <c r="N17" s="255"/>
      <c r="O17" s="255"/>
      <c r="P17" s="255"/>
      <c r="Q17" s="255"/>
      <c r="R17" s="255"/>
      <c r="S17" s="255"/>
      <c r="T17" s="255"/>
      <c r="U17" s="255"/>
      <c r="V17" s="392">
        <v>39282</v>
      </c>
      <c r="W17" s="255"/>
      <c r="X17" s="5"/>
    </row>
    <row r="18" spans="1:24" ht="15.75" x14ac:dyDescent="0.25">
      <c r="A18" s="181"/>
      <c r="B18" s="388" t="s">
        <v>5</v>
      </c>
      <c r="C18" s="255"/>
      <c r="D18" s="255"/>
      <c r="E18" s="255"/>
      <c r="F18" s="255"/>
      <c r="G18" s="255"/>
      <c r="H18" s="255"/>
      <c r="I18" s="255"/>
      <c r="J18" s="255"/>
      <c r="K18" s="255"/>
      <c r="L18" s="255"/>
      <c r="M18" s="255"/>
      <c r="N18" s="255"/>
      <c r="O18" s="255"/>
      <c r="P18" s="255"/>
      <c r="Q18" s="255"/>
      <c r="R18" s="255"/>
      <c r="S18" s="255"/>
      <c r="T18" s="255"/>
      <c r="U18" s="255"/>
      <c r="V18" s="392">
        <v>40807</v>
      </c>
      <c r="W18" s="255"/>
      <c r="X18" s="5"/>
    </row>
    <row r="19" spans="1:24" ht="15.75" x14ac:dyDescent="0.25">
      <c r="A19" s="181"/>
      <c r="B19" s="183"/>
      <c r="C19" s="183"/>
      <c r="D19" s="183"/>
      <c r="E19" s="183"/>
      <c r="F19" s="183"/>
      <c r="G19" s="183"/>
      <c r="H19" s="183"/>
      <c r="I19" s="183"/>
      <c r="J19" s="183"/>
      <c r="K19" s="183"/>
      <c r="L19" s="183"/>
      <c r="M19" s="183"/>
      <c r="N19" s="183"/>
      <c r="O19" s="183"/>
      <c r="P19" s="183"/>
      <c r="Q19" s="183"/>
      <c r="R19" s="183"/>
      <c r="S19" s="183"/>
      <c r="T19" s="183"/>
      <c r="U19" s="183"/>
      <c r="V19" s="190"/>
      <c r="W19" s="183"/>
      <c r="X19" s="5"/>
    </row>
    <row r="20" spans="1:24" ht="15.75" x14ac:dyDescent="0.25">
      <c r="A20" s="181"/>
      <c r="B20" s="280" t="s">
        <v>6</v>
      </c>
      <c r="C20" s="255"/>
      <c r="D20" s="255"/>
      <c r="E20" s="255"/>
      <c r="F20" s="255"/>
      <c r="G20" s="255"/>
      <c r="H20" s="255"/>
      <c r="I20" s="255"/>
      <c r="J20" s="255"/>
      <c r="K20" s="255"/>
      <c r="L20" s="255"/>
      <c r="M20" s="255"/>
      <c r="N20" s="255"/>
      <c r="O20" s="255"/>
      <c r="P20" s="255"/>
      <c r="Q20" s="255"/>
      <c r="R20" s="255"/>
      <c r="S20" s="255"/>
      <c r="T20" s="281" t="s">
        <v>105</v>
      </c>
      <c r="U20" s="255"/>
      <c r="V20" s="261"/>
      <c r="W20" s="183"/>
      <c r="X20" s="5"/>
    </row>
    <row r="21" spans="1:24" ht="15.75" x14ac:dyDescent="0.25">
      <c r="A21" s="181"/>
      <c r="B21" s="183"/>
      <c r="C21" s="183"/>
      <c r="D21" s="183"/>
      <c r="E21" s="183"/>
      <c r="F21" s="183"/>
      <c r="G21" s="183"/>
      <c r="H21" s="183"/>
      <c r="I21" s="183"/>
      <c r="J21" s="183"/>
      <c r="K21" s="183"/>
      <c r="L21" s="183"/>
      <c r="M21" s="183"/>
      <c r="N21" s="183"/>
      <c r="O21" s="183"/>
      <c r="P21" s="183"/>
      <c r="Q21" s="183"/>
      <c r="R21" s="183"/>
      <c r="S21" s="183"/>
      <c r="T21" s="183"/>
      <c r="U21" s="183"/>
      <c r="V21" s="192"/>
      <c r="W21" s="183"/>
      <c r="X21" s="5"/>
    </row>
    <row r="22" spans="1:24" ht="15.75" x14ac:dyDescent="0.25">
      <c r="A22" s="224"/>
      <c r="B22" s="225"/>
      <c r="C22" s="226"/>
      <c r="D22" s="226" t="s">
        <v>177</v>
      </c>
      <c r="E22" s="226"/>
      <c r="F22" s="226" t="s">
        <v>178</v>
      </c>
      <c r="G22" s="226"/>
      <c r="H22" s="226" t="s">
        <v>179</v>
      </c>
      <c r="I22" s="226"/>
      <c r="J22" s="226" t="s">
        <v>219</v>
      </c>
      <c r="K22" s="226"/>
      <c r="L22" s="226" t="s">
        <v>180</v>
      </c>
      <c r="M22" s="226"/>
      <c r="N22" s="226" t="s">
        <v>181</v>
      </c>
      <c r="O22" s="226"/>
      <c r="P22" s="226" t="s">
        <v>182</v>
      </c>
      <c r="Q22" s="226"/>
      <c r="R22" s="226"/>
      <c r="S22" s="228"/>
      <c r="T22" s="228"/>
      <c r="U22" s="229"/>
      <c r="V22" s="229"/>
      <c r="W22" s="225"/>
      <c r="X22" s="5"/>
    </row>
    <row r="23" spans="1:24" ht="15.75" x14ac:dyDescent="0.25">
      <c r="A23" s="193"/>
      <c r="B23" s="250" t="s">
        <v>7</v>
      </c>
      <c r="C23" s="282"/>
      <c r="D23" s="282" t="s">
        <v>212</v>
      </c>
      <c r="E23" s="282"/>
      <c r="F23" s="282" t="s">
        <v>141</v>
      </c>
      <c r="G23" s="282"/>
      <c r="H23" s="282" t="s">
        <v>141</v>
      </c>
      <c r="I23" s="282"/>
      <c r="J23" s="282" t="s">
        <v>141</v>
      </c>
      <c r="K23" s="282"/>
      <c r="L23" s="282" t="s">
        <v>183</v>
      </c>
      <c r="M23" s="282"/>
      <c r="N23" s="282" t="s">
        <v>183</v>
      </c>
      <c r="O23" s="282"/>
      <c r="P23" s="282" t="s">
        <v>142</v>
      </c>
      <c r="Q23" s="282"/>
      <c r="R23" s="282"/>
      <c r="S23" s="282"/>
      <c r="T23" s="282"/>
      <c r="U23" s="273"/>
      <c r="V23" s="273"/>
      <c r="W23" s="250"/>
      <c r="X23" s="5"/>
    </row>
    <row r="24" spans="1:24" ht="15.75" x14ac:dyDescent="0.25">
      <c r="A24" s="285"/>
      <c r="B24" s="286" t="s">
        <v>8</v>
      </c>
      <c r="C24" s="287"/>
      <c r="D24" s="287" t="s">
        <v>213</v>
      </c>
      <c r="E24" s="287"/>
      <c r="F24" s="287" t="s">
        <v>143</v>
      </c>
      <c r="G24" s="287"/>
      <c r="H24" s="287" t="s">
        <v>143</v>
      </c>
      <c r="I24" s="287"/>
      <c r="J24" s="287" t="s">
        <v>143</v>
      </c>
      <c r="K24" s="287"/>
      <c r="L24" s="287" t="s">
        <v>165</v>
      </c>
      <c r="M24" s="287"/>
      <c r="N24" s="287" t="s">
        <v>165</v>
      </c>
      <c r="O24" s="287"/>
      <c r="P24" s="287" t="s">
        <v>144</v>
      </c>
      <c r="Q24" s="287"/>
      <c r="R24" s="287"/>
      <c r="S24" s="287"/>
      <c r="T24" s="287"/>
      <c r="U24" s="288"/>
      <c r="V24" s="288"/>
      <c r="W24" s="289"/>
      <c r="X24" s="5"/>
    </row>
    <row r="25" spans="1:24" ht="15.75" x14ac:dyDescent="0.25">
      <c r="A25" s="290"/>
      <c r="B25" s="286" t="s">
        <v>190</v>
      </c>
      <c r="C25" s="292"/>
      <c r="D25" s="287" t="s">
        <v>214</v>
      </c>
      <c r="E25" s="287"/>
      <c r="F25" s="287" t="s">
        <v>143</v>
      </c>
      <c r="G25" s="287"/>
      <c r="H25" s="287" t="s">
        <v>143</v>
      </c>
      <c r="I25" s="287"/>
      <c r="J25" s="287" t="s">
        <v>143</v>
      </c>
      <c r="K25" s="287"/>
      <c r="L25" s="287" t="s">
        <v>165</v>
      </c>
      <c r="M25" s="287"/>
      <c r="N25" s="287" t="s">
        <v>165</v>
      </c>
      <c r="O25" s="287"/>
      <c r="P25" s="287" t="s">
        <v>144</v>
      </c>
      <c r="Q25" s="287"/>
      <c r="R25" s="287"/>
      <c r="S25" s="292"/>
      <c r="T25" s="287"/>
      <c r="U25" s="288"/>
      <c r="V25" s="288"/>
      <c r="W25" s="289"/>
      <c r="X25" s="5"/>
    </row>
    <row r="26" spans="1:24" ht="15.75" x14ac:dyDescent="0.25">
      <c r="A26" s="393"/>
      <c r="B26" s="297" t="s">
        <v>9</v>
      </c>
      <c r="C26" s="292"/>
      <c r="D26" s="292" t="s">
        <v>141</v>
      </c>
      <c r="E26" s="292"/>
      <c r="F26" s="292" t="s">
        <v>141</v>
      </c>
      <c r="G26" s="292"/>
      <c r="H26" s="292" t="s">
        <v>141</v>
      </c>
      <c r="I26" s="292"/>
      <c r="J26" s="292" t="s">
        <v>141</v>
      </c>
      <c r="K26" s="292"/>
      <c r="L26" s="292" t="s">
        <v>183</v>
      </c>
      <c r="M26" s="292"/>
      <c r="N26" s="292" t="s">
        <v>183</v>
      </c>
      <c r="O26" s="292"/>
      <c r="P26" s="292" t="s">
        <v>142</v>
      </c>
      <c r="Q26" s="292"/>
      <c r="R26" s="292"/>
      <c r="S26" s="292"/>
      <c r="T26" s="287"/>
      <c r="U26" s="288"/>
      <c r="V26" s="288"/>
      <c r="W26" s="289"/>
      <c r="X26" s="5"/>
    </row>
    <row r="27" spans="1:24" ht="15.75" x14ac:dyDescent="0.25">
      <c r="A27" s="295"/>
      <c r="B27" s="297" t="s">
        <v>191</v>
      </c>
      <c r="C27" s="287"/>
      <c r="D27" s="292" t="s">
        <v>143</v>
      </c>
      <c r="E27" s="292"/>
      <c r="F27" s="292" t="s">
        <v>143</v>
      </c>
      <c r="G27" s="292"/>
      <c r="H27" s="292" t="s">
        <v>143</v>
      </c>
      <c r="I27" s="292"/>
      <c r="J27" s="292" t="s">
        <v>143</v>
      </c>
      <c r="K27" s="292"/>
      <c r="L27" s="292" t="s">
        <v>165</v>
      </c>
      <c r="M27" s="292"/>
      <c r="N27" s="292" t="s">
        <v>165</v>
      </c>
      <c r="O27" s="292"/>
      <c r="P27" s="292" t="s">
        <v>144</v>
      </c>
      <c r="Q27" s="292"/>
      <c r="R27" s="292"/>
      <c r="S27" s="287"/>
      <c r="T27" s="296"/>
      <c r="U27" s="288"/>
      <c r="V27" s="288"/>
      <c r="W27" s="289"/>
      <c r="X27" s="5"/>
    </row>
    <row r="28" spans="1:24" ht="15.75" x14ac:dyDescent="0.25">
      <c r="A28" s="295"/>
      <c r="B28" s="297" t="s">
        <v>192</v>
      </c>
      <c r="C28" s="287"/>
      <c r="D28" s="292" t="s">
        <v>143</v>
      </c>
      <c r="E28" s="292"/>
      <c r="F28" s="292" t="s">
        <v>143</v>
      </c>
      <c r="G28" s="292"/>
      <c r="H28" s="292" t="s">
        <v>143</v>
      </c>
      <c r="I28" s="292"/>
      <c r="J28" s="292" t="s">
        <v>143</v>
      </c>
      <c r="K28" s="292"/>
      <c r="L28" s="292" t="s">
        <v>165</v>
      </c>
      <c r="M28" s="292"/>
      <c r="N28" s="292" t="s">
        <v>165</v>
      </c>
      <c r="O28" s="292"/>
      <c r="P28" s="292" t="s">
        <v>144</v>
      </c>
      <c r="Q28" s="292"/>
      <c r="R28" s="292"/>
      <c r="S28" s="287"/>
      <c r="T28" s="296"/>
      <c r="U28" s="288"/>
      <c r="V28" s="288"/>
      <c r="W28" s="289"/>
      <c r="X28" s="5"/>
    </row>
    <row r="29" spans="1:24" ht="15.75" x14ac:dyDescent="0.25">
      <c r="A29" s="295"/>
      <c r="B29" s="286" t="s">
        <v>10</v>
      </c>
      <c r="C29" s="298"/>
      <c r="D29" s="287" t="s">
        <v>242</v>
      </c>
      <c r="E29" s="287"/>
      <c r="F29" s="296" t="s">
        <v>244</v>
      </c>
      <c r="G29" s="287"/>
      <c r="H29" s="287" t="s">
        <v>245</v>
      </c>
      <c r="I29" s="287"/>
      <c r="J29" s="287" t="s">
        <v>247</v>
      </c>
      <c r="K29" s="287"/>
      <c r="L29" s="287" t="s">
        <v>248</v>
      </c>
      <c r="M29" s="287"/>
      <c r="N29" s="287" t="s">
        <v>249</v>
      </c>
      <c r="O29" s="287"/>
      <c r="P29" s="287" t="s">
        <v>250</v>
      </c>
      <c r="Q29" s="287"/>
      <c r="R29" s="287"/>
      <c r="S29" s="299"/>
      <c r="T29" s="299"/>
      <c r="U29" s="300"/>
      <c r="V29" s="299"/>
      <c r="W29" s="301"/>
      <c r="X29" s="5"/>
    </row>
    <row r="30" spans="1:24" ht="15.75" x14ac:dyDescent="0.25">
      <c r="A30" s="295"/>
      <c r="B30" s="286" t="s">
        <v>10</v>
      </c>
      <c r="C30" s="298"/>
      <c r="D30" s="287" t="s">
        <v>243</v>
      </c>
      <c r="E30" s="287"/>
      <c r="F30" s="296" t="s">
        <v>118</v>
      </c>
      <c r="G30" s="287"/>
      <c r="H30" s="287" t="s">
        <v>118</v>
      </c>
      <c r="I30" s="287"/>
      <c r="J30" s="287" t="s">
        <v>246</v>
      </c>
      <c r="K30" s="287"/>
      <c r="L30" s="287" t="s">
        <v>118</v>
      </c>
      <c r="M30" s="287"/>
      <c r="N30" s="287" t="s">
        <v>118</v>
      </c>
      <c r="O30" s="287"/>
      <c r="P30" s="287" t="s">
        <v>118</v>
      </c>
      <c r="Q30" s="287"/>
      <c r="R30" s="287"/>
      <c r="S30" s="299"/>
      <c r="T30" s="299"/>
      <c r="U30" s="300"/>
      <c r="V30" s="299"/>
      <c r="W30" s="301"/>
      <c r="X30" s="5"/>
    </row>
    <row r="31" spans="1:24" ht="15.75" x14ac:dyDescent="0.25">
      <c r="A31" s="393"/>
      <c r="B31" s="286" t="s">
        <v>133</v>
      </c>
      <c r="C31" s="310"/>
      <c r="D31" s="303">
        <v>1000000</v>
      </c>
      <c r="E31" s="298"/>
      <c r="F31" s="299">
        <v>209500</v>
      </c>
      <c r="G31" s="299"/>
      <c r="H31" s="304">
        <v>110000</v>
      </c>
      <c r="I31" s="304"/>
      <c r="J31" s="303">
        <v>150000</v>
      </c>
      <c r="K31" s="299"/>
      <c r="L31" s="299">
        <v>17000</v>
      </c>
      <c r="M31" s="299"/>
      <c r="N31" s="304">
        <v>85500</v>
      </c>
      <c r="O31" s="299"/>
      <c r="P31" s="304">
        <v>110500</v>
      </c>
      <c r="Q31" s="299"/>
      <c r="R31" s="304"/>
      <c r="S31" s="312"/>
      <c r="T31" s="312"/>
      <c r="U31" s="306"/>
      <c r="V31" s="312"/>
      <c r="W31" s="301"/>
      <c r="X31" s="5"/>
    </row>
    <row r="32" spans="1:24" ht="15.75" x14ac:dyDescent="0.25">
      <c r="A32" s="295"/>
      <c r="B32" s="286" t="s">
        <v>132</v>
      </c>
      <c r="C32" s="298"/>
      <c r="D32" s="303">
        <f>D31*D38</f>
        <v>814373.8</v>
      </c>
      <c r="E32" s="298"/>
      <c r="F32" s="299">
        <f>F31*F38</f>
        <v>170611.47869999998</v>
      </c>
      <c r="G32" s="299"/>
      <c r="H32" s="304">
        <f>H31*H38</f>
        <v>89581.601999999999</v>
      </c>
      <c r="I32" s="304"/>
      <c r="J32" s="303">
        <f>J31*J38</f>
        <v>122156.07</v>
      </c>
      <c r="K32" s="299"/>
      <c r="L32" s="299">
        <f>L31*L38</f>
        <v>17000</v>
      </c>
      <c r="M32" s="299"/>
      <c r="N32" s="304">
        <f>N31*N38</f>
        <v>85500</v>
      </c>
      <c r="O32" s="299"/>
      <c r="P32" s="304">
        <f>P31*P38</f>
        <v>110500</v>
      </c>
      <c r="Q32" s="299"/>
      <c r="R32" s="304"/>
      <c r="S32" s="299"/>
      <c r="T32" s="299"/>
      <c r="U32" s="300"/>
      <c r="V32" s="299"/>
      <c r="W32" s="301"/>
      <c r="X32" s="5"/>
    </row>
    <row r="33" spans="1:27" ht="15.75" x14ac:dyDescent="0.25">
      <c r="A33" s="295"/>
      <c r="B33" s="297" t="s">
        <v>134</v>
      </c>
      <c r="C33" s="298"/>
      <c r="D33" s="394">
        <f>D37*D31</f>
        <v>808925</v>
      </c>
      <c r="E33" s="310"/>
      <c r="F33" s="312">
        <f>F37*F31</f>
        <v>169469.95509999999</v>
      </c>
      <c r="G33" s="312"/>
      <c r="H33" s="395">
        <f>H31*H37</f>
        <v>88982.256000000008</v>
      </c>
      <c r="I33" s="395"/>
      <c r="J33" s="394">
        <f>J37*J31</f>
        <v>121338.75</v>
      </c>
      <c r="K33" s="312"/>
      <c r="L33" s="312">
        <f>L31*L37</f>
        <v>17000</v>
      </c>
      <c r="M33" s="312"/>
      <c r="N33" s="395">
        <f>N31*N37</f>
        <v>85500</v>
      </c>
      <c r="O33" s="312"/>
      <c r="P33" s="395">
        <f>P31*P37</f>
        <v>110500</v>
      </c>
      <c r="Q33" s="312"/>
      <c r="R33" s="395"/>
      <c r="S33" s="299"/>
      <c r="T33" s="299"/>
      <c r="U33" s="300"/>
      <c r="V33" s="299"/>
      <c r="W33" s="301"/>
      <c r="X33" s="5"/>
    </row>
    <row r="34" spans="1:27" ht="15.75" x14ac:dyDescent="0.25">
      <c r="A34" s="393"/>
      <c r="B34" s="286" t="s">
        <v>286</v>
      </c>
      <c r="C34" s="310"/>
      <c r="D34" s="299">
        <v>492951</v>
      </c>
      <c r="E34" s="298"/>
      <c r="F34" s="299">
        <v>209500</v>
      </c>
      <c r="G34" s="299"/>
      <c r="H34" s="299">
        <v>74677</v>
      </c>
      <c r="I34" s="299"/>
      <c r="J34" s="299">
        <v>73943</v>
      </c>
      <c r="K34" s="299"/>
      <c r="L34" s="299">
        <v>17000</v>
      </c>
      <c r="M34" s="299"/>
      <c r="N34" s="299">
        <v>58045</v>
      </c>
      <c r="O34" s="299"/>
      <c r="P34" s="299">
        <v>75017</v>
      </c>
      <c r="Q34" s="299"/>
      <c r="R34" s="299"/>
      <c r="S34" s="312"/>
      <c r="T34" s="312"/>
      <c r="U34" s="306"/>
      <c r="V34" s="299">
        <f>SUM(C34:R34)</f>
        <v>1001133</v>
      </c>
      <c r="W34" s="301"/>
      <c r="X34" s="5"/>
    </row>
    <row r="35" spans="1:27" ht="15.75" x14ac:dyDescent="0.25">
      <c r="A35" s="393"/>
      <c r="B35" s="286" t="s">
        <v>287</v>
      </c>
      <c r="C35" s="310"/>
      <c r="D35" s="299">
        <f>D34*D38</f>
        <v>401446.37908380001</v>
      </c>
      <c r="E35" s="298"/>
      <c r="F35" s="299">
        <f>F34*F38</f>
        <v>170611.47869999998</v>
      </c>
      <c r="G35" s="299"/>
      <c r="H35" s="299">
        <f>H34*H38</f>
        <v>60815.320841400004</v>
      </c>
      <c r="I35" s="299"/>
      <c r="J35" s="299">
        <f>J34*J38</f>
        <v>60217.241893400002</v>
      </c>
      <c r="K35" s="299"/>
      <c r="L35" s="299">
        <f>L34*L38</f>
        <v>17000</v>
      </c>
      <c r="M35" s="299"/>
      <c r="N35" s="299">
        <f>N34*N38</f>
        <v>58045</v>
      </c>
      <c r="O35" s="299"/>
      <c r="P35" s="299">
        <f>P34*P38</f>
        <v>75017</v>
      </c>
      <c r="Q35" s="299"/>
      <c r="R35" s="299"/>
      <c r="S35" s="299"/>
      <c r="T35" s="299"/>
      <c r="U35" s="300"/>
      <c r="V35" s="299">
        <f>SUM(C35:R35)</f>
        <v>843152.42051859992</v>
      </c>
      <c r="W35" s="301"/>
      <c r="X35" s="5"/>
    </row>
    <row r="36" spans="1:27" ht="15.75" x14ac:dyDescent="0.25">
      <c r="A36" s="393"/>
      <c r="B36" s="297" t="s">
        <v>288</v>
      </c>
      <c r="C36" s="310"/>
      <c r="D36" s="312">
        <f>D34*D37</f>
        <v>398760.38767500001</v>
      </c>
      <c r="E36" s="310"/>
      <c r="F36" s="312">
        <f>F34*F37</f>
        <v>169469.95509999999</v>
      </c>
      <c r="G36" s="312"/>
      <c r="H36" s="312">
        <f>H34*H37</f>
        <v>60408.435739200002</v>
      </c>
      <c r="I36" s="312"/>
      <c r="J36" s="312">
        <f>J34*J37</f>
        <v>59814.341274999999</v>
      </c>
      <c r="K36" s="312"/>
      <c r="L36" s="312">
        <f>L34*L37</f>
        <v>17000</v>
      </c>
      <c r="M36" s="312"/>
      <c r="N36" s="312">
        <f>N34*N37</f>
        <v>58045</v>
      </c>
      <c r="O36" s="312"/>
      <c r="P36" s="312">
        <f>P34*P37</f>
        <v>75017</v>
      </c>
      <c r="Q36" s="312"/>
      <c r="R36" s="312"/>
      <c r="S36" s="311"/>
      <c r="T36" s="311"/>
      <c r="U36" s="300"/>
      <c r="V36" s="312">
        <f>SUM(C36:R36)</f>
        <v>838515.11978920002</v>
      </c>
      <c r="W36" s="301"/>
      <c r="X36" s="5"/>
    </row>
    <row r="37" spans="1:27" ht="15.75" x14ac:dyDescent="0.25">
      <c r="A37" s="285"/>
      <c r="B37" s="313" t="s">
        <v>130</v>
      </c>
      <c r="C37" s="314"/>
      <c r="D37" s="315">
        <v>0.80892500000000001</v>
      </c>
      <c r="E37" s="315"/>
      <c r="F37" s="315">
        <v>0.80892580000000003</v>
      </c>
      <c r="G37" s="315"/>
      <c r="H37" s="315">
        <v>0.80892960000000003</v>
      </c>
      <c r="I37" s="315"/>
      <c r="J37" s="315">
        <v>0.80892500000000001</v>
      </c>
      <c r="K37" s="315"/>
      <c r="L37" s="315">
        <v>1</v>
      </c>
      <c r="M37" s="315"/>
      <c r="N37" s="315">
        <v>1</v>
      </c>
      <c r="O37" s="315"/>
      <c r="P37" s="315">
        <v>1</v>
      </c>
      <c r="Q37" s="315"/>
      <c r="R37" s="315"/>
      <c r="S37" s="316"/>
      <c r="T37" s="316"/>
      <c r="U37" s="317"/>
      <c r="V37" s="317"/>
      <c r="W37" s="318"/>
      <c r="X37" s="5"/>
    </row>
    <row r="38" spans="1:27" ht="15.75" x14ac:dyDescent="0.25">
      <c r="A38" s="285"/>
      <c r="B38" s="313" t="s">
        <v>131</v>
      </c>
      <c r="C38" s="314"/>
      <c r="D38" s="315">
        <v>0.81437380000000004</v>
      </c>
      <c r="E38" s="315"/>
      <c r="F38" s="315">
        <v>0.81437459999999995</v>
      </c>
      <c r="G38" s="315"/>
      <c r="H38" s="315">
        <v>0.81437820000000005</v>
      </c>
      <c r="I38" s="315"/>
      <c r="J38" s="315">
        <v>0.81437380000000004</v>
      </c>
      <c r="K38" s="315"/>
      <c r="L38" s="315">
        <v>1</v>
      </c>
      <c r="M38" s="315"/>
      <c r="N38" s="315">
        <v>1</v>
      </c>
      <c r="O38" s="315"/>
      <c r="P38" s="315">
        <v>1</v>
      </c>
      <c r="Q38" s="315"/>
      <c r="R38" s="315"/>
      <c r="S38" s="319"/>
      <c r="T38" s="320"/>
      <c r="U38" s="317"/>
      <c r="V38" s="319"/>
      <c r="W38" s="318"/>
      <c r="X38" s="5"/>
    </row>
    <row r="39" spans="1:27" ht="15.75" x14ac:dyDescent="0.25">
      <c r="A39" s="285"/>
      <c r="B39" s="286" t="s">
        <v>11</v>
      </c>
      <c r="C39" s="286"/>
      <c r="D39" s="296" t="s">
        <v>278</v>
      </c>
      <c r="E39" s="286"/>
      <c r="F39" s="296" t="s">
        <v>251</v>
      </c>
      <c r="G39" s="296"/>
      <c r="H39" s="296" t="s">
        <v>252</v>
      </c>
      <c r="I39" s="296"/>
      <c r="J39" s="296" t="s">
        <v>253</v>
      </c>
      <c r="K39" s="296"/>
      <c r="L39" s="296" t="s">
        <v>254</v>
      </c>
      <c r="M39" s="296"/>
      <c r="N39" s="296" t="s">
        <v>254</v>
      </c>
      <c r="O39" s="296"/>
      <c r="P39" s="296" t="s">
        <v>255</v>
      </c>
      <c r="Q39" s="296"/>
      <c r="R39" s="296"/>
      <c r="S39" s="321"/>
      <c r="T39" s="322"/>
      <c r="U39" s="288"/>
      <c r="V39" s="288"/>
      <c r="W39" s="289"/>
      <c r="X39" s="5"/>
    </row>
    <row r="40" spans="1:27" ht="15.75" x14ac:dyDescent="0.25">
      <c r="A40" s="285"/>
      <c r="B40" s="286" t="s">
        <v>12</v>
      </c>
      <c r="C40" s="286"/>
      <c r="D40" s="322">
        <v>2.9721999999999999E-3</v>
      </c>
      <c r="E40" s="286"/>
      <c r="F40" s="322">
        <v>9.5437999999999999E-3</v>
      </c>
      <c r="G40" s="321"/>
      <c r="H40" s="322">
        <v>1.5910000000000001E-2</v>
      </c>
      <c r="I40" s="322"/>
      <c r="J40" s="322">
        <v>3.5699999999999998E-3</v>
      </c>
      <c r="K40" s="321"/>
      <c r="L40" s="322">
        <v>1.09438E-2</v>
      </c>
      <c r="M40" s="321"/>
      <c r="N40" s="322">
        <v>1.7409999999999998E-2</v>
      </c>
      <c r="O40" s="321"/>
      <c r="P40" s="322">
        <v>2.0209999999999999E-2</v>
      </c>
      <c r="Q40" s="321"/>
      <c r="R40" s="322"/>
      <c r="S40" s="321"/>
      <c r="T40" s="322"/>
      <c r="U40" s="288"/>
      <c r="V40" s="296"/>
      <c r="W40" s="289"/>
      <c r="X40" s="5"/>
      <c r="AA40" s="1" t="s">
        <v>193</v>
      </c>
    </row>
    <row r="41" spans="1:27" ht="15.75" x14ac:dyDescent="0.25">
      <c r="A41" s="285"/>
      <c r="B41" s="286" t="s">
        <v>13</v>
      </c>
      <c r="C41" s="286"/>
      <c r="D41" s="322">
        <v>2.8800000000000002E-3</v>
      </c>
      <c r="E41" s="286"/>
      <c r="F41" s="322">
        <v>9.3562999999999997E-3</v>
      </c>
      <c r="G41" s="321"/>
      <c r="H41" s="322">
        <v>1.2930000000000001E-2</v>
      </c>
      <c r="I41" s="322"/>
      <c r="J41" s="322">
        <v>4.1949999999999999E-3</v>
      </c>
      <c r="K41" s="321"/>
      <c r="L41" s="322">
        <v>1.07563E-2</v>
      </c>
      <c r="M41" s="321"/>
      <c r="N41" s="322">
        <v>1.443E-2</v>
      </c>
      <c r="O41" s="321"/>
      <c r="P41" s="322">
        <v>1.7229999999999999E-2</v>
      </c>
      <c r="Q41" s="321"/>
      <c r="R41" s="322"/>
      <c r="S41" s="321"/>
      <c r="T41" s="322"/>
      <c r="U41" s="288"/>
      <c r="V41" s="321" t="s">
        <v>193</v>
      </c>
      <c r="W41" s="289"/>
      <c r="X41" s="5"/>
    </row>
    <row r="42" spans="1:27" ht="15.75" x14ac:dyDescent="0.25">
      <c r="A42" s="285"/>
      <c r="B42" s="286" t="s">
        <v>289</v>
      </c>
      <c r="C42" s="286"/>
      <c r="D42" s="296" t="s">
        <v>279</v>
      </c>
      <c r="E42" s="286"/>
      <c r="F42" s="296" t="s">
        <v>251</v>
      </c>
      <c r="G42" s="296"/>
      <c r="H42" s="296" t="s">
        <v>229</v>
      </c>
      <c r="I42" s="296"/>
      <c r="J42" s="296" t="s">
        <v>229</v>
      </c>
      <c r="K42" s="296"/>
      <c r="L42" s="296" t="s">
        <v>254</v>
      </c>
      <c r="M42" s="296"/>
      <c r="N42" s="296" t="s">
        <v>262</v>
      </c>
      <c r="O42" s="296"/>
      <c r="P42" s="296" t="s">
        <v>263</v>
      </c>
      <c r="Q42" s="296"/>
      <c r="R42" s="296"/>
      <c r="S42" s="321"/>
      <c r="T42" s="322"/>
      <c r="U42" s="288"/>
      <c r="V42" s="288"/>
      <c r="W42" s="289"/>
      <c r="X42" s="5"/>
    </row>
    <row r="43" spans="1:27" ht="15.75" x14ac:dyDescent="0.25">
      <c r="A43" s="285"/>
      <c r="B43" s="286" t="s">
        <v>290</v>
      </c>
      <c r="C43" s="323"/>
      <c r="D43" s="322">
        <v>9.3357500000000003E-3</v>
      </c>
      <c r="E43" s="322"/>
      <c r="F43" s="322">
        <f>+F40</f>
        <v>9.5437999999999999E-3</v>
      </c>
      <c r="G43" s="322"/>
      <c r="H43" s="322">
        <v>9.6188000000000003E-3</v>
      </c>
      <c r="I43" s="322"/>
      <c r="J43" s="322">
        <v>9.6337999999999997E-3</v>
      </c>
      <c r="K43" s="322"/>
      <c r="L43" s="322">
        <f>+L40</f>
        <v>1.09438E-2</v>
      </c>
      <c r="M43" s="322"/>
      <c r="N43" s="322">
        <v>1.1310799999999999E-2</v>
      </c>
      <c r="O43" s="322"/>
      <c r="P43" s="322">
        <v>1.43908E-2</v>
      </c>
      <c r="Q43" s="321"/>
      <c r="R43" s="322"/>
      <c r="S43" s="296"/>
      <c r="T43" s="296"/>
      <c r="U43" s="288"/>
      <c r="V43" s="321">
        <f>SUMPRODUCT(D43:R43,D35:R35)/V35</f>
        <v>1.0037699662185625E-2</v>
      </c>
      <c r="W43" s="289"/>
      <c r="X43" s="5"/>
    </row>
    <row r="44" spans="1:27" ht="15.75" x14ac:dyDescent="0.25">
      <c r="A44" s="285"/>
      <c r="B44" s="286" t="s">
        <v>291</v>
      </c>
      <c r="C44" s="323"/>
      <c r="D44" s="322">
        <v>9.1482500000000001E-3</v>
      </c>
      <c r="E44" s="322"/>
      <c r="F44" s="322">
        <f>+F41</f>
        <v>9.3562999999999997E-3</v>
      </c>
      <c r="G44" s="322"/>
      <c r="H44" s="322">
        <v>9.4313000000000001E-3</v>
      </c>
      <c r="I44" s="322"/>
      <c r="J44" s="322">
        <v>9.4462999999999995E-3</v>
      </c>
      <c r="K44" s="322"/>
      <c r="L44" s="322">
        <f>+L41</f>
        <v>1.07563E-2</v>
      </c>
      <c r="M44" s="322"/>
      <c r="N44" s="322">
        <v>1.1123299999999999E-2</v>
      </c>
      <c r="O44" s="322"/>
      <c r="P44" s="322">
        <v>1.42033E-2</v>
      </c>
      <c r="Q44" s="321"/>
      <c r="R44" s="322"/>
      <c r="S44" s="296"/>
      <c r="T44" s="296"/>
      <c r="U44" s="288"/>
      <c r="V44" s="288"/>
      <c r="W44" s="289"/>
      <c r="X44" s="5"/>
    </row>
    <row r="45" spans="1:27" ht="15.75" x14ac:dyDescent="0.25">
      <c r="A45" s="285"/>
      <c r="B45" s="286" t="s">
        <v>14</v>
      </c>
      <c r="C45" s="286"/>
      <c r="D45" s="323">
        <v>40709</v>
      </c>
      <c r="E45" s="323"/>
      <c r="F45" s="323">
        <v>40709</v>
      </c>
      <c r="G45" s="323"/>
      <c r="H45" s="323">
        <v>40709</v>
      </c>
      <c r="I45" s="323"/>
      <c r="J45" s="323">
        <v>40709</v>
      </c>
      <c r="K45" s="323"/>
      <c r="L45" s="323">
        <v>40709</v>
      </c>
      <c r="M45" s="323"/>
      <c r="N45" s="323">
        <v>40709</v>
      </c>
      <c r="O45" s="323"/>
      <c r="P45" s="323">
        <v>40709</v>
      </c>
      <c r="Q45" s="323"/>
      <c r="R45" s="323"/>
      <c r="S45" s="296"/>
      <c r="T45" s="296"/>
      <c r="U45" s="288"/>
      <c r="V45" s="288"/>
      <c r="W45" s="289"/>
      <c r="X45" s="5"/>
    </row>
    <row r="46" spans="1:27" ht="15.75" x14ac:dyDescent="0.25">
      <c r="A46" s="285"/>
      <c r="B46" s="286" t="s">
        <v>15</v>
      </c>
      <c r="C46" s="286"/>
      <c r="D46" s="323" t="s">
        <v>118</v>
      </c>
      <c r="E46" s="323"/>
      <c r="F46" s="323">
        <v>41075</v>
      </c>
      <c r="G46" s="323"/>
      <c r="H46" s="323">
        <v>41075</v>
      </c>
      <c r="I46" s="323"/>
      <c r="J46" s="323">
        <v>41075</v>
      </c>
      <c r="K46" s="296"/>
      <c r="L46" s="323">
        <v>41075</v>
      </c>
      <c r="M46" s="296"/>
      <c r="N46" s="323">
        <v>41075</v>
      </c>
      <c r="O46" s="296"/>
      <c r="P46" s="323">
        <v>41075</v>
      </c>
      <c r="Q46" s="296"/>
      <c r="R46" s="323"/>
      <c r="S46" s="296"/>
      <c r="T46" s="296"/>
      <c r="U46" s="288"/>
      <c r="V46" s="288"/>
      <c r="W46" s="289"/>
      <c r="X46" s="5"/>
    </row>
    <row r="47" spans="1:27" ht="15.75" x14ac:dyDescent="0.25">
      <c r="A47" s="285"/>
      <c r="B47" s="286" t="s">
        <v>119</v>
      </c>
      <c r="C47" s="286"/>
      <c r="D47" s="296" t="s">
        <v>118</v>
      </c>
      <c r="E47" s="286"/>
      <c r="F47" s="296" t="s">
        <v>256</v>
      </c>
      <c r="G47" s="296"/>
      <c r="H47" s="296" t="s">
        <v>257</v>
      </c>
      <c r="I47" s="296"/>
      <c r="J47" s="296" t="s">
        <v>258</v>
      </c>
      <c r="K47" s="296"/>
      <c r="L47" s="296" t="s">
        <v>259</v>
      </c>
      <c r="M47" s="296"/>
      <c r="N47" s="296" t="s">
        <v>259</v>
      </c>
      <c r="O47" s="296"/>
      <c r="P47" s="296" t="s">
        <v>260</v>
      </c>
      <c r="Q47" s="296"/>
      <c r="R47" s="296"/>
      <c r="S47" s="325"/>
      <c r="T47" s="325"/>
      <c r="U47" s="325"/>
      <c r="V47" s="325"/>
      <c r="W47" s="289"/>
      <c r="X47" s="5"/>
    </row>
    <row r="48" spans="1:27" ht="15.75" x14ac:dyDescent="0.25">
      <c r="A48" s="285"/>
      <c r="B48" s="286" t="s">
        <v>292</v>
      </c>
      <c r="C48" s="286"/>
      <c r="D48" s="296" t="s">
        <v>200</v>
      </c>
      <c r="E48" s="286"/>
      <c r="F48" s="296" t="s">
        <v>256</v>
      </c>
      <c r="G48" s="296"/>
      <c r="H48" s="296" t="s">
        <v>261</v>
      </c>
      <c r="I48" s="296"/>
      <c r="J48" s="296" t="s">
        <v>261</v>
      </c>
      <c r="K48" s="296"/>
      <c r="L48" s="296" t="s">
        <v>259</v>
      </c>
      <c r="M48" s="296"/>
      <c r="N48" s="296" t="s">
        <v>263</v>
      </c>
      <c r="O48" s="296"/>
      <c r="P48" s="296" t="s">
        <v>264</v>
      </c>
      <c r="Q48" s="296"/>
      <c r="R48" s="296"/>
      <c r="S48" s="286"/>
      <c r="T48" s="286"/>
      <c r="U48" s="286"/>
      <c r="V48" s="321"/>
      <c r="W48" s="289"/>
      <c r="X48" s="5"/>
    </row>
    <row r="49" spans="1:25" ht="15.75" x14ac:dyDescent="0.25">
      <c r="A49" s="285"/>
      <c r="B49" s="286"/>
      <c r="C49" s="286"/>
      <c r="D49" s="296"/>
      <c r="E49" s="286"/>
      <c r="F49" s="296"/>
      <c r="G49" s="296"/>
      <c r="H49" s="296"/>
      <c r="I49" s="296"/>
      <c r="J49" s="296"/>
      <c r="K49" s="296"/>
      <c r="L49" s="296"/>
      <c r="M49" s="296"/>
      <c r="N49" s="296"/>
      <c r="O49" s="296"/>
      <c r="P49" s="296"/>
      <c r="Q49" s="296"/>
      <c r="R49" s="296"/>
      <c r="S49" s="286"/>
      <c r="T49" s="286"/>
      <c r="U49" s="286"/>
      <c r="V49" s="321" t="s">
        <v>193</v>
      </c>
      <c r="W49" s="289"/>
      <c r="X49" s="5"/>
    </row>
    <row r="50" spans="1:25" ht="15.75" x14ac:dyDescent="0.25">
      <c r="A50" s="285"/>
      <c r="B50" s="286" t="s">
        <v>169</v>
      </c>
      <c r="C50" s="286"/>
      <c r="D50" s="296"/>
      <c r="E50" s="286"/>
      <c r="F50" s="296"/>
      <c r="G50" s="296"/>
      <c r="H50" s="296"/>
      <c r="I50" s="296"/>
      <c r="J50" s="296"/>
      <c r="K50" s="296"/>
      <c r="L50" s="296"/>
      <c r="M50" s="296"/>
      <c r="N50" s="296"/>
      <c r="O50" s="296"/>
      <c r="P50" s="296"/>
      <c r="Q50" s="296"/>
      <c r="R50" s="296"/>
      <c r="S50" s="286"/>
      <c r="T50" s="286"/>
      <c r="U50" s="286"/>
      <c r="V50" s="321">
        <f>SUM(L34:R34)/SUM(D34:J34)</f>
        <v>0.17632136449250416</v>
      </c>
      <c r="W50" s="289"/>
      <c r="X50" s="5"/>
    </row>
    <row r="51" spans="1:25" ht="15.75" x14ac:dyDescent="0.25">
      <c r="A51" s="285"/>
      <c r="B51" s="286" t="s">
        <v>170</v>
      </c>
      <c r="C51" s="286"/>
      <c r="D51" s="286"/>
      <c r="E51" s="286"/>
      <c r="F51" s="326"/>
      <c r="G51" s="286"/>
      <c r="H51" s="286"/>
      <c r="I51" s="286"/>
      <c r="J51" s="286"/>
      <c r="K51" s="286"/>
      <c r="L51" s="286"/>
      <c r="M51" s="286"/>
      <c r="N51" s="286"/>
      <c r="O51" s="286"/>
      <c r="P51" s="286"/>
      <c r="Q51" s="286"/>
      <c r="R51" s="286"/>
      <c r="S51" s="286"/>
      <c r="T51" s="286"/>
      <c r="U51" s="286"/>
      <c r="V51" s="321">
        <f>SUM(L36:R36)/SUM(D36:J36)</f>
        <v>0.21796981622502928</v>
      </c>
      <c r="W51" s="289"/>
      <c r="X51" s="5"/>
    </row>
    <row r="52" spans="1:25" ht="15.75" x14ac:dyDescent="0.25">
      <c r="A52" s="285"/>
      <c r="B52" s="286" t="s">
        <v>171</v>
      </c>
      <c r="C52" s="286"/>
      <c r="D52" s="286"/>
      <c r="E52" s="286"/>
      <c r="F52" s="286"/>
      <c r="G52" s="286"/>
      <c r="H52" s="286"/>
      <c r="I52" s="286"/>
      <c r="J52" s="286"/>
      <c r="K52" s="286"/>
      <c r="L52" s="286"/>
      <c r="M52" s="286"/>
      <c r="N52" s="286"/>
      <c r="O52" s="286"/>
      <c r="P52" s="286"/>
      <c r="Q52" s="286"/>
      <c r="R52" s="286"/>
      <c r="S52" s="286"/>
      <c r="T52" s="296"/>
      <c r="U52" s="296"/>
      <c r="V52" s="299" t="s">
        <v>268</v>
      </c>
      <c r="W52" s="289"/>
      <c r="X52" s="5"/>
    </row>
    <row r="53" spans="1:25" ht="15.75" x14ac:dyDescent="0.25">
      <c r="A53" s="285"/>
      <c r="B53" s="286"/>
      <c r="C53" s="286"/>
      <c r="D53" s="286"/>
      <c r="E53" s="286"/>
      <c r="F53" s="286"/>
      <c r="G53" s="286"/>
      <c r="H53" s="286"/>
      <c r="I53" s="286"/>
      <c r="J53" s="286"/>
      <c r="K53" s="286"/>
      <c r="L53" s="286"/>
      <c r="M53" s="286"/>
      <c r="N53" s="286"/>
      <c r="O53" s="286"/>
      <c r="P53" s="286"/>
      <c r="Q53" s="286"/>
      <c r="R53" s="286"/>
      <c r="S53" s="286"/>
      <c r="T53" s="286"/>
      <c r="U53" s="286"/>
      <c r="V53" s="327"/>
      <c r="W53" s="289"/>
      <c r="X53" s="5"/>
    </row>
    <row r="54" spans="1:25" ht="15.75" x14ac:dyDescent="0.25">
      <c r="A54" s="285"/>
      <c r="B54" s="286" t="s">
        <v>202</v>
      </c>
      <c r="C54" s="286"/>
      <c r="D54" s="286"/>
      <c r="E54" s="286"/>
      <c r="F54" s="286"/>
      <c r="G54" s="286"/>
      <c r="H54" s="286"/>
      <c r="I54" s="286"/>
      <c r="J54" s="286"/>
      <c r="K54" s="286"/>
      <c r="L54" s="286"/>
      <c r="M54" s="286"/>
      <c r="N54" s="286"/>
      <c r="O54" s="286"/>
      <c r="P54" s="286"/>
      <c r="Q54" s="286"/>
      <c r="R54" s="286"/>
      <c r="S54" s="286"/>
      <c r="T54" s="286"/>
      <c r="U54" s="286"/>
      <c r="V54" s="311" t="s">
        <v>203</v>
      </c>
      <c r="W54" s="289"/>
      <c r="X54" s="5"/>
    </row>
    <row r="55" spans="1:25" ht="15.75" x14ac:dyDescent="0.25">
      <c r="A55" s="285"/>
      <c r="B55" s="286" t="s">
        <v>270</v>
      </c>
      <c r="C55" s="286"/>
      <c r="D55" s="286"/>
      <c r="E55" s="286"/>
      <c r="F55" s="286"/>
      <c r="G55" s="286"/>
      <c r="H55" s="286"/>
      <c r="I55" s="286"/>
      <c r="J55" s="286"/>
      <c r="K55" s="286"/>
      <c r="L55" s="286"/>
      <c r="M55" s="286"/>
      <c r="N55" s="286"/>
      <c r="O55" s="286"/>
      <c r="P55" s="286"/>
      <c r="Q55" s="286"/>
      <c r="R55" s="286"/>
      <c r="S55" s="286"/>
      <c r="T55" s="296"/>
      <c r="U55" s="296"/>
      <c r="V55" s="396" t="s">
        <v>111</v>
      </c>
      <c r="W55" s="289"/>
      <c r="X55" s="5"/>
    </row>
    <row r="56" spans="1:25" ht="15.75" x14ac:dyDescent="0.25">
      <c r="A56" s="285"/>
      <c r="B56" s="297" t="s">
        <v>201</v>
      </c>
      <c r="C56" s="297"/>
      <c r="D56" s="297"/>
      <c r="E56" s="297"/>
      <c r="F56" s="297"/>
      <c r="G56" s="297"/>
      <c r="H56" s="297"/>
      <c r="I56" s="297"/>
      <c r="J56" s="297"/>
      <c r="K56" s="297"/>
      <c r="L56" s="297"/>
      <c r="M56" s="297"/>
      <c r="N56" s="297"/>
      <c r="O56" s="297"/>
      <c r="P56" s="297"/>
      <c r="Q56" s="297"/>
      <c r="R56" s="297"/>
      <c r="S56" s="297"/>
      <c r="T56" s="397"/>
      <c r="U56" s="397"/>
      <c r="V56" s="398">
        <v>40801</v>
      </c>
      <c r="W56" s="289"/>
      <c r="X56" s="5"/>
    </row>
    <row r="57" spans="1:25" ht="15.75" x14ac:dyDescent="0.25">
      <c r="A57" s="285"/>
      <c r="B57" s="286" t="s">
        <v>121</v>
      </c>
      <c r="C57" s="286"/>
      <c r="D57" s="286"/>
      <c r="E57" s="286"/>
      <c r="F57" s="286"/>
      <c r="G57" s="286"/>
      <c r="H57" s="332"/>
      <c r="I57" s="332"/>
      <c r="J57" s="332"/>
      <c r="K57" s="332"/>
      <c r="L57" s="332"/>
      <c r="M57" s="332"/>
      <c r="N57" s="332"/>
      <c r="O57" s="332"/>
      <c r="P57" s="332"/>
      <c r="Q57" s="332"/>
      <c r="R57" s="286">
        <f>+V57-T57+1</f>
        <v>92</v>
      </c>
      <c r="S57" s="332"/>
      <c r="T57" s="333">
        <v>40617</v>
      </c>
      <c r="U57" s="334"/>
      <c r="V57" s="333">
        <v>40708</v>
      </c>
      <c r="W57" s="289"/>
      <c r="X57" s="5"/>
    </row>
    <row r="58" spans="1:25" ht="15.75" x14ac:dyDescent="0.25">
      <c r="A58" s="285"/>
      <c r="B58" s="286" t="s">
        <v>122</v>
      </c>
      <c r="C58" s="286"/>
      <c r="D58" s="286"/>
      <c r="E58" s="286"/>
      <c r="F58" s="286"/>
      <c r="G58" s="286"/>
      <c r="H58" s="286"/>
      <c r="I58" s="286"/>
      <c r="J58" s="286"/>
      <c r="K58" s="286"/>
      <c r="L58" s="286"/>
      <c r="M58" s="286"/>
      <c r="N58" s="286"/>
      <c r="O58" s="286"/>
      <c r="P58" s="286"/>
      <c r="Q58" s="286"/>
      <c r="R58" s="286">
        <f>+V58-T58+1</f>
        <v>92</v>
      </c>
      <c r="S58" s="286"/>
      <c r="T58" s="333">
        <v>40709</v>
      </c>
      <c r="U58" s="334"/>
      <c r="V58" s="333">
        <v>40800</v>
      </c>
      <c r="W58" s="289"/>
      <c r="X58" s="5"/>
    </row>
    <row r="59" spans="1:25" ht="15.75" x14ac:dyDescent="0.25">
      <c r="A59" s="285"/>
      <c r="B59" s="286" t="s">
        <v>223</v>
      </c>
      <c r="C59" s="286"/>
      <c r="D59" s="286"/>
      <c r="E59" s="286"/>
      <c r="F59" s="286"/>
      <c r="G59" s="286"/>
      <c r="H59" s="286"/>
      <c r="I59" s="286"/>
      <c r="J59" s="286"/>
      <c r="K59" s="286"/>
      <c r="L59" s="286"/>
      <c r="M59" s="286"/>
      <c r="N59" s="286"/>
      <c r="O59" s="286"/>
      <c r="P59" s="286"/>
      <c r="Q59" s="286"/>
      <c r="R59" s="286"/>
      <c r="S59" s="286"/>
      <c r="T59" s="333"/>
      <c r="U59" s="334"/>
      <c r="V59" s="333" t="s">
        <v>120</v>
      </c>
      <c r="W59" s="289"/>
      <c r="X59" s="5"/>
    </row>
    <row r="60" spans="1:25" ht="15.75" x14ac:dyDescent="0.25">
      <c r="A60" s="285"/>
      <c r="B60" s="286" t="s">
        <v>271</v>
      </c>
      <c r="C60" s="286"/>
      <c r="D60" s="286"/>
      <c r="E60" s="286"/>
      <c r="F60" s="286"/>
      <c r="G60" s="286"/>
      <c r="H60" s="286"/>
      <c r="I60" s="286"/>
      <c r="J60" s="286"/>
      <c r="K60" s="286"/>
      <c r="L60" s="286"/>
      <c r="M60" s="286"/>
      <c r="N60" s="286"/>
      <c r="O60" s="286"/>
      <c r="P60" s="286"/>
      <c r="Q60" s="286"/>
      <c r="R60" s="286"/>
      <c r="S60" s="286"/>
      <c r="T60" s="333"/>
      <c r="U60" s="334"/>
      <c r="V60" s="333" t="s">
        <v>154</v>
      </c>
      <c r="W60" s="289"/>
      <c r="X60" s="5"/>
      <c r="Y60" s="133"/>
    </row>
    <row r="61" spans="1:25" ht="15.75" x14ac:dyDescent="0.25">
      <c r="A61" s="285"/>
      <c r="B61" s="286" t="s">
        <v>16</v>
      </c>
      <c r="C61" s="286"/>
      <c r="D61" s="286"/>
      <c r="E61" s="286"/>
      <c r="F61" s="286"/>
      <c r="G61" s="286"/>
      <c r="H61" s="286"/>
      <c r="I61" s="286"/>
      <c r="J61" s="286"/>
      <c r="K61" s="286"/>
      <c r="L61" s="286"/>
      <c r="M61" s="286"/>
      <c r="N61" s="286"/>
      <c r="O61" s="286"/>
      <c r="P61" s="286"/>
      <c r="Q61" s="286"/>
      <c r="R61" s="286"/>
      <c r="S61" s="286"/>
      <c r="T61" s="333"/>
      <c r="U61" s="334"/>
      <c r="V61" s="333">
        <v>40787</v>
      </c>
      <c r="W61" s="289"/>
      <c r="X61" s="5"/>
    </row>
    <row r="62" spans="1:25" ht="15.75" x14ac:dyDescent="0.25">
      <c r="A62" s="181"/>
      <c r="B62" s="212"/>
      <c r="C62" s="212"/>
      <c r="D62" s="212"/>
      <c r="E62" s="212"/>
      <c r="F62" s="212"/>
      <c r="G62" s="212"/>
      <c r="H62" s="212"/>
      <c r="I62" s="212"/>
      <c r="J62" s="212"/>
      <c r="K62" s="212"/>
      <c r="L62" s="212"/>
      <c r="M62" s="212"/>
      <c r="N62" s="212"/>
      <c r="O62" s="212"/>
      <c r="P62" s="212"/>
      <c r="Q62" s="212"/>
      <c r="R62" s="212"/>
      <c r="S62" s="212"/>
      <c r="T62" s="283"/>
      <c r="U62" s="284"/>
      <c r="V62" s="283"/>
      <c r="W62" s="212"/>
      <c r="X62" s="5"/>
    </row>
    <row r="63" spans="1:25" ht="15.75" x14ac:dyDescent="0.25">
      <c r="A63" s="181"/>
      <c r="B63" s="183"/>
      <c r="C63" s="183"/>
      <c r="D63" s="183"/>
      <c r="E63" s="183"/>
      <c r="F63" s="183"/>
      <c r="G63" s="183"/>
      <c r="H63" s="183"/>
      <c r="I63" s="183"/>
      <c r="J63" s="183"/>
      <c r="K63" s="183"/>
      <c r="L63" s="183"/>
      <c r="M63" s="183"/>
      <c r="N63" s="183"/>
      <c r="O63" s="183"/>
      <c r="P63" s="183"/>
      <c r="Q63" s="183"/>
      <c r="R63" s="183"/>
      <c r="S63" s="183"/>
      <c r="T63" s="195"/>
      <c r="U63" s="196"/>
      <c r="V63" s="195"/>
      <c r="W63" s="183"/>
      <c r="X63" s="5"/>
    </row>
    <row r="64" spans="1:25" ht="19.5" thickBot="1" x14ac:dyDescent="0.35">
      <c r="A64" s="197"/>
      <c r="B64" s="270" t="s">
        <v>301</v>
      </c>
      <c r="C64" s="198"/>
      <c r="D64" s="198"/>
      <c r="E64" s="198"/>
      <c r="F64" s="198"/>
      <c r="G64" s="198"/>
      <c r="H64" s="198"/>
      <c r="I64" s="198"/>
      <c r="J64" s="198"/>
      <c r="K64" s="198"/>
      <c r="L64" s="198"/>
      <c r="M64" s="198"/>
      <c r="N64" s="198"/>
      <c r="O64" s="198"/>
      <c r="P64" s="198"/>
      <c r="Q64" s="198"/>
      <c r="R64" s="198"/>
      <c r="S64" s="198"/>
      <c r="T64" s="198"/>
      <c r="U64" s="198"/>
      <c r="V64" s="199"/>
      <c r="W64" s="200"/>
      <c r="X64" s="5"/>
    </row>
    <row r="65" spans="1:24" ht="15.75" x14ac:dyDescent="0.25">
      <c r="A65" s="224"/>
      <c r="B65" s="230" t="s">
        <v>17</v>
      </c>
      <c r="C65" s="225"/>
      <c r="D65" s="225"/>
      <c r="E65" s="225"/>
      <c r="F65" s="225"/>
      <c r="G65" s="225"/>
      <c r="H65" s="225"/>
      <c r="I65" s="225"/>
      <c r="J65" s="225"/>
      <c r="K65" s="225"/>
      <c r="L65" s="225"/>
      <c r="M65" s="225"/>
      <c r="N65" s="225"/>
      <c r="O65" s="225"/>
      <c r="P65" s="225"/>
      <c r="Q65" s="225"/>
      <c r="R65" s="225"/>
      <c r="S65" s="225"/>
      <c r="T65" s="225"/>
      <c r="U65" s="225"/>
      <c r="V65" s="231"/>
      <c r="W65" s="225"/>
      <c r="X65" s="5"/>
    </row>
    <row r="66" spans="1:24" ht="15.75" x14ac:dyDescent="0.25">
      <c r="A66" s="181"/>
      <c r="B66" s="189"/>
      <c r="C66" s="183"/>
      <c r="D66" s="183"/>
      <c r="E66" s="183"/>
      <c r="F66" s="183"/>
      <c r="G66" s="183"/>
      <c r="H66" s="183"/>
      <c r="I66" s="183"/>
      <c r="J66" s="183"/>
      <c r="K66" s="183"/>
      <c r="L66" s="183"/>
      <c r="M66" s="183"/>
      <c r="N66" s="183"/>
      <c r="O66" s="183"/>
      <c r="P66" s="183"/>
      <c r="Q66" s="183"/>
      <c r="R66" s="183"/>
      <c r="S66" s="183"/>
      <c r="T66" s="183"/>
      <c r="U66" s="183"/>
      <c r="V66" s="202"/>
      <c r="W66" s="183"/>
      <c r="X66" s="5"/>
    </row>
    <row r="67" spans="1:24" ht="47.25" x14ac:dyDescent="0.25">
      <c r="A67" s="181"/>
      <c r="B67" s="203" t="s">
        <v>18</v>
      </c>
      <c r="C67" s="204"/>
      <c r="D67" s="204"/>
      <c r="E67" s="204"/>
      <c r="F67" s="204"/>
      <c r="G67" s="204"/>
      <c r="H67" s="204"/>
      <c r="I67" s="204"/>
      <c r="J67" s="204"/>
      <c r="K67" s="204"/>
      <c r="L67" s="204" t="s">
        <v>94</v>
      </c>
      <c r="M67" s="204"/>
      <c r="N67" s="204" t="s">
        <v>96</v>
      </c>
      <c r="O67" s="204"/>
      <c r="P67" s="204" t="s">
        <v>98</v>
      </c>
      <c r="Q67" s="204"/>
      <c r="R67" s="204" t="s">
        <v>100</v>
      </c>
      <c r="S67" s="204"/>
      <c r="T67" s="204" t="s">
        <v>106</v>
      </c>
      <c r="U67" s="204"/>
      <c r="V67" s="205" t="s">
        <v>112</v>
      </c>
      <c r="W67" s="206"/>
      <c r="X67" s="5"/>
    </row>
    <row r="68" spans="1:24" ht="15.75" x14ac:dyDescent="0.25">
      <c r="A68" s="285"/>
      <c r="B68" s="286" t="s">
        <v>19</v>
      </c>
      <c r="C68" s="337"/>
      <c r="D68" s="337"/>
      <c r="E68" s="337"/>
      <c r="F68" s="337"/>
      <c r="G68" s="337"/>
      <c r="H68" s="337"/>
      <c r="I68" s="337"/>
      <c r="J68" s="337"/>
      <c r="K68" s="337"/>
      <c r="L68" s="337">
        <v>812446</v>
      </c>
      <c r="M68" s="337"/>
      <c r="N68" s="338">
        <v>843152</v>
      </c>
      <c r="O68" s="337"/>
      <c r="P68" s="337">
        <f>4637+26+9</f>
        <v>4672</v>
      </c>
      <c r="Q68" s="337"/>
      <c r="R68" s="337">
        <f>26+9</f>
        <v>35</v>
      </c>
      <c r="S68" s="337"/>
      <c r="T68" s="337">
        <v>0</v>
      </c>
      <c r="U68" s="337"/>
      <c r="V68" s="338">
        <f>+N68-P68+R68-T68</f>
        <v>838515</v>
      </c>
      <c r="W68" s="289"/>
      <c r="X68" s="5"/>
    </row>
    <row r="69" spans="1:24" ht="15.75" x14ac:dyDescent="0.25">
      <c r="A69" s="285"/>
      <c r="B69" s="286" t="s">
        <v>20</v>
      </c>
      <c r="C69" s="337"/>
      <c r="D69" s="337"/>
      <c r="E69" s="337"/>
      <c r="F69" s="337"/>
      <c r="G69" s="337"/>
      <c r="H69" s="337"/>
      <c r="I69" s="337"/>
      <c r="J69" s="337"/>
      <c r="K69" s="337"/>
      <c r="L69" s="337">
        <v>0</v>
      </c>
      <c r="M69" s="337"/>
      <c r="N69" s="338">
        <v>0</v>
      </c>
      <c r="O69" s="337"/>
      <c r="P69" s="337">
        <v>0</v>
      </c>
      <c r="Q69" s="337"/>
      <c r="R69" s="337">
        <v>0</v>
      </c>
      <c r="S69" s="337"/>
      <c r="T69" s="337">
        <v>0</v>
      </c>
      <c r="U69" s="337"/>
      <c r="V69" s="338">
        <f>+L69-P69</f>
        <v>0</v>
      </c>
      <c r="W69" s="289"/>
      <c r="X69" s="5"/>
    </row>
    <row r="70" spans="1:24" ht="15.75" x14ac:dyDescent="0.25">
      <c r="A70" s="285"/>
      <c r="B70" s="286"/>
      <c r="C70" s="337"/>
      <c r="D70" s="337"/>
      <c r="E70" s="337"/>
      <c r="F70" s="337"/>
      <c r="G70" s="337"/>
      <c r="H70" s="337"/>
      <c r="I70" s="337"/>
      <c r="J70" s="337"/>
      <c r="K70" s="337"/>
      <c r="L70" s="337"/>
      <c r="M70" s="337"/>
      <c r="N70" s="338"/>
      <c r="O70" s="337"/>
      <c r="P70" s="337"/>
      <c r="Q70" s="337"/>
      <c r="R70" s="337"/>
      <c r="S70" s="337"/>
      <c r="T70" s="337"/>
      <c r="U70" s="337"/>
      <c r="V70" s="338"/>
      <c r="W70" s="289"/>
      <c r="X70" s="5"/>
    </row>
    <row r="71" spans="1:24" ht="15.75" x14ac:dyDescent="0.25">
      <c r="A71" s="285"/>
      <c r="B71" s="286" t="s">
        <v>21</v>
      </c>
      <c r="C71" s="337"/>
      <c r="D71" s="337"/>
      <c r="E71" s="337"/>
      <c r="F71" s="337"/>
      <c r="G71" s="337"/>
      <c r="H71" s="337"/>
      <c r="I71" s="337"/>
      <c r="J71" s="337"/>
      <c r="K71" s="337"/>
      <c r="L71" s="337">
        <f>SUM(L68:L70)</f>
        <v>812446</v>
      </c>
      <c r="M71" s="337"/>
      <c r="N71" s="337">
        <f>N68+N69</f>
        <v>843152</v>
      </c>
      <c r="O71" s="337"/>
      <c r="P71" s="337">
        <f>SUM(P68:P70)</f>
        <v>4672</v>
      </c>
      <c r="Q71" s="337"/>
      <c r="R71" s="337">
        <f>SUM(R68:R70)</f>
        <v>35</v>
      </c>
      <c r="S71" s="337"/>
      <c r="T71" s="337">
        <f>SUM(T68:T70)</f>
        <v>0</v>
      </c>
      <c r="U71" s="337"/>
      <c r="V71" s="337">
        <f>SUM(V68:V70)</f>
        <v>838515</v>
      </c>
      <c r="W71" s="289"/>
      <c r="X71" s="5"/>
    </row>
    <row r="72" spans="1:24" ht="15.75" x14ac:dyDescent="0.25">
      <c r="A72" s="181"/>
      <c r="B72" s="212"/>
      <c r="C72" s="335"/>
      <c r="D72" s="335"/>
      <c r="E72" s="335"/>
      <c r="F72" s="335"/>
      <c r="G72" s="335"/>
      <c r="H72" s="335"/>
      <c r="I72" s="335"/>
      <c r="J72" s="335"/>
      <c r="K72" s="335"/>
      <c r="L72" s="335"/>
      <c r="M72" s="335"/>
      <c r="N72" s="335"/>
      <c r="O72" s="335"/>
      <c r="P72" s="335"/>
      <c r="Q72" s="335"/>
      <c r="R72" s="335"/>
      <c r="S72" s="335"/>
      <c r="T72" s="335"/>
      <c r="U72" s="335"/>
      <c r="V72" s="336"/>
      <c r="W72" s="212"/>
      <c r="X72" s="5"/>
    </row>
    <row r="73" spans="1:24" ht="15.75" x14ac:dyDescent="0.25">
      <c r="A73" s="181"/>
      <c r="B73" s="185" t="s">
        <v>22</v>
      </c>
      <c r="C73" s="207"/>
      <c r="D73" s="207"/>
      <c r="E73" s="207"/>
      <c r="F73" s="207"/>
      <c r="G73" s="207"/>
      <c r="H73" s="207"/>
      <c r="I73" s="207"/>
      <c r="J73" s="207"/>
      <c r="K73" s="207"/>
      <c r="L73" s="207"/>
      <c r="M73" s="207"/>
      <c r="N73" s="207"/>
      <c r="O73" s="207"/>
      <c r="P73" s="207"/>
      <c r="Q73" s="207"/>
      <c r="R73" s="207"/>
      <c r="S73" s="207"/>
      <c r="T73" s="207"/>
      <c r="U73" s="207"/>
      <c r="V73" s="208"/>
      <c r="W73" s="183"/>
      <c r="X73" s="5"/>
    </row>
    <row r="74" spans="1:24" ht="15.75" x14ac:dyDescent="0.25">
      <c r="A74" s="181"/>
      <c r="B74" s="183"/>
      <c r="C74" s="207"/>
      <c r="D74" s="207"/>
      <c r="E74" s="207"/>
      <c r="F74" s="207"/>
      <c r="G74" s="207"/>
      <c r="H74" s="207"/>
      <c r="I74" s="207"/>
      <c r="J74" s="207"/>
      <c r="K74" s="207"/>
      <c r="L74" s="207"/>
      <c r="M74" s="207"/>
      <c r="N74" s="207"/>
      <c r="O74" s="207"/>
      <c r="P74" s="207"/>
      <c r="Q74" s="207"/>
      <c r="R74" s="207"/>
      <c r="S74" s="207"/>
      <c r="T74" s="207"/>
      <c r="U74" s="207"/>
      <c r="V74" s="208"/>
      <c r="W74" s="183"/>
      <c r="X74" s="5"/>
    </row>
    <row r="75" spans="1:24" ht="15.75" x14ac:dyDescent="0.25">
      <c r="A75" s="285"/>
      <c r="B75" s="286" t="s">
        <v>19</v>
      </c>
      <c r="C75" s="337"/>
      <c r="D75" s="337"/>
      <c r="E75" s="337"/>
      <c r="F75" s="337"/>
      <c r="G75" s="337"/>
      <c r="H75" s="337"/>
      <c r="I75" s="337"/>
      <c r="J75" s="337"/>
      <c r="K75" s="337"/>
      <c r="L75" s="337"/>
      <c r="M75" s="337"/>
      <c r="N75" s="337"/>
      <c r="O75" s="337"/>
      <c r="P75" s="337"/>
      <c r="Q75" s="337"/>
      <c r="R75" s="337"/>
      <c r="S75" s="337"/>
      <c r="T75" s="337"/>
      <c r="U75" s="337"/>
      <c r="V75" s="337"/>
      <c r="W75" s="289"/>
      <c r="X75" s="5"/>
    </row>
    <row r="76" spans="1:24" ht="15.75" x14ac:dyDescent="0.25">
      <c r="A76" s="285"/>
      <c r="B76" s="286" t="s">
        <v>20</v>
      </c>
      <c r="C76" s="337"/>
      <c r="D76" s="337"/>
      <c r="E76" s="337"/>
      <c r="F76" s="337"/>
      <c r="G76" s="337"/>
      <c r="H76" s="337"/>
      <c r="I76" s="337"/>
      <c r="J76" s="337"/>
      <c r="K76" s="337"/>
      <c r="L76" s="337"/>
      <c r="M76" s="337"/>
      <c r="N76" s="337"/>
      <c r="O76" s="337"/>
      <c r="P76" s="337"/>
      <c r="Q76" s="337"/>
      <c r="R76" s="337"/>
      <c r="S76" s="337"/>
      <c r="T76" s="337"/>
      <c r="U76" s="337"/>
      <c r="V76" s="337"/>
      <c r="W76" s="289"/>
      <c r="X76" s="5"/>
    </row>
    <row r="77" spans="1:24" ht="15.75" x14ac:dyDescent="0.25">
      <c r="A77" s="285"/>
      <c r="B77" s="286"/>
      <c r="C77" s="337"/>
      <c r="D77" s="337"/>
      <c r="E77" s="337"/>
      <c r="F77" s="337"/>
      <c r="G77" s="337"/>
      <c r="H77" s="337"/>
      <c r="I77" s="337"/>
      <c r="J77" s="337"/>
      <c r="K77" s="337"/>
      <c r="L77" s="337"/>
      <c r="M77" s="337"/>
      <c r="N77" s="337"/>
      <c r="O77" s="337"/>
      <c r="P77" s="337"/>
      <c r="Q77" s="337"/>
      <c r="R77" s="337"/>
      <c r="S77" s="337"/>
      <c r="T77" s="337"/>
      <c r="U77" s="337"/>
      <c r="V77" s="337"/>
      <c r="W77" s="289"/>
      <c r="X77" s="5"/>
    </row>
    <row r="78" spans="1:24" ht="15.75" x14ac:dyDescent="0.25">
      <c r="A78" s="285"/>
      <c r="B78" s="286" t="s">
        <v>21</v>
      </c>
      <c r="C78" s="337"/>
      <c r="D78" s="337"/>
      <c r="E78" s="337"/>
      <c r="F78" s="337"/>
      <c r="G78" s="337"/>
      <c r="H78" s="337"/>
      <c r="I78" s="337"/>
      <c r="J78" s="337"/>
      <c r="K78" s="337"/>
      <c r="L78" s="337"/>
      <c r="M78" s="337"/>
      <c r="N78" s="337"/>
      <c r="O78" s="337"/>
      <c r="P78" s="337"/>
      <c r="Q78" s="337"/>
      <c r="R78" s="337"/>
      <c r="S78" s="337"/>
      <c r="T78" s="337"/>
      <c r="U78" s="337"/>
      <c r="V78" s="337"/>
      <c r="W78" s="289"/>
      <c r="X78" s="5"/>
    </row>
    <row r="79" spans="1:24" ht="15.75" x14ac:dyDescent="0.25">
      <c r="A79" s="285"/>
      <c r="B79" s="286"/>
      <c r="C79" s="337"/>
      <c r="D79" s="337"/>
      <c r="E79" s="337"/>
      <c r="F79" s="337"/>
      <c r="G79" s="337"/>
      <c r="H79" s="337"/>
      <c r="I79" s="337"/>
      <c r="J79" s="337"/>
      <c r="K79" s="337"/>
      <c r="L79" s="337"/>
      <c r="M79" s="337"/>
      <c r="N79" s="337"/>
      <c r="O79" s="337"/>
      <c r="P79" s="337"/>
      <c r="Q79" s="337"/>
      <c r="R79" s="337"/>
      <c r="S79" s="337"/>
      <c r="T79" s="337"/>
      <c r="U79" s="337"/>
      <c r="V79" s="337"/>
      <c r="W79" s="289"/>
      <c r="X79" s="5"/>
    </row>
    <row r="80" spans="1:24" ht="15.75" x14ac:dyDescent="0.25">
      <c r="A80" s="285"/>
      <c r="B80" s="286" t="s">
        <v>23</v>
      </c>
      <c r="C80" s="337"/>
      <c r="D80" s="337"/>
      <c r="E80" s="337"/>
      <c r="F80" s="337"/>
      <c r="G80" s="337"/>
      <c r="H80" s="337"/>
      <c r="I80" s="337"/>
      <c r="J80" s="337"/>
      <c r="K80" s="337"/>
      <c r="L80" s="337">
        <v>0</v>
      </c>
      <c r="M80" s="337"/>
      <c r="N80" s="337">
        <v>0</v>
      </c>
      <c r="O80" s="337"/>
      <c r="P80" s="337"/>
      <c r="Q80" s="337"/>
      <c r="R80" s="337"/>
      <c r="S80" s="337"/>
      <c r="T80" s="337"/>
      <c r="U80" s="337"/>
      <c r="V80" s="338">
        <v>0</v>
      </c>
      <c r="W80" s="289"/>
      <c r="X80" s="5"/>
    </row>
    <row r="81" spans="1:24" ht="15.75" x14ac:dyDescent="0.25">
      <c r="A81" s="285"/>
      <c r="B81" s="286" t="s">
        <v>117</v>
      </c>
      <c r="C81" s="337"/>
      <c r="D81" s="337"/>
      <c r="E81" s="337"/>
      <c r="F81" s="337"/>
      <c r="G81" s="337"/>
      <c r="H81" s="337"/>
      <c r="I81" s="337"/>
      <c r="J81" s="337"/>
      <c r="K81" s="337"/>
      <c r="L81" s="337">
        <v>188687</v>
      </c>
      <c r="M81" s="337"/>
      <c r="N81" s="337">
        <v>0</v>
      </c>
      <c r="O81" s="337"/>
      <c r="P81" s="337">
        <v>0</v>
      </c>
      <c r="Q81" s="337"/>
      <c r="R81" s="337"/>
      <c r="S81" s="337"/>
      <c r="T81" s="337"/>
      <c r="U81" s="337"/>
      <c r="V81" s="337">
        <f>SUM(N81:R81)</f>
        <v>0</v>
      </c>
      <c r="W81" s="289"/>
      <c r="X81" s="5"/>
    </row>
    <row r="82" spans="1:24" ht="15.75" x14ac:dyDescent="0.25">
      <c r="A82" s="285"/>
      <c r="B82" s="286"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89"/>
      <c r="X82" s="5"/>
    </row>
    <row r="83" spans="1:24" ht="15.75" x14ac:dyDescent="0.25">
      <c r="A83" s="285"/>
      <c r="B83" s="286" t="s">
        <v>25</v>
      </c>
      <c r="C83" s="337"/>
      <c r="D83" s="337"/>
      <c r="E83" s="337"/>
      <c r="F83" s="337"/>
      <c r="G83" s="337"/>
      <c r="H83" s="337"/>
      <c r="I83" s="337"/>
      <c r="J83" s="337"/>
      <c r="K83" s="337"/>
      <c r="L83" s="337">
        <v>0</v>
      </c>
      <c r="M83" s="337"/>
      <c r="N83" s="337">
        <v>0</v>
      </c>
      <c r="O83" s="337"/>
      <c r="P83" s="337"/>
      <c r="Q83" s="337"/>
      <c r="R83" s="337"/>
      <c r="S83" s="337"/>
      <c r="T83" s="337"/>
      <c r="U83" s="337"/>
      <c r="V83" s="337">
        <v>0</v>
      </c>
      <c r="W83" s="289"/>
      <c r="X83" s="5"/>
    </row>
    <row r="84" spans="1:24" ht="15.75" x14ac:dyDescent="0.25">
      <c r="A84" s="285"/>
      <c r="B84" s="286" t="s">
        <v>26</v>
      </c>
      <c r="C84" s="337"/>
      <c r="D84" s="337"/>
      <c r="E84" s="337"/>
      <c r="F84" s="337"/>
      <c r="G84" s="337"/>
      <c r="H84" s="337"/>
      <c r="I84" s="337"/>
      <c r="J84" s="337"/>
      <c r="K84" s="337"/>
      <c r="L84" s="337">
        <f>SUM(L71:L83)</f>
        <v>1001133</v>
      </c>
      <c r="M84" s="337"/>
      <c r="N84" s="337">
        <f>SUM(N71:N83)</f>
        <v>843152</v>
      </c>
      <c r="O84" s="337"/>
      <c r="P84" s="337"/>
      <c r="Q84" s="337"/>
      <c r="R84" s="337"/>
      <c r="S84" s="337"/>
      <c r="T84" s="337"/>
      <c r="U84" s="337"/>
      <c r="V84" s="337">
        <f>SUM(V71:V83)</f>
        <v>838515</v>
      </c>
      <c r="W84" s="289"/>
      <c r="X84" s="5"/>
    </row>
    <row r="85" spans="1:24" ht="15.75" x14ac:dyDescent="0.25">
      <c r="A85" s="181"/>
      <c r="B85" s="212"/>
      <c r="C85" s="335"/>
      <c r="D85" s="335"/>
      <c r="E85" s="335"/>
      <c r="F85" s="335"/>
      <c r="G85" s="335"/>
      <c r="H85" s="335"/>
      <c r="I85" s="335"/>
      <c r="J85" s="335"/>
      <c r="K85" s="335"/>
      <c r="L85" s="335"/>
      <c r="M85" s="335"/>
      <c r="N85" s="335"/>
      <c r="O85" s="335"/>
      <c r="P85" s="335"/>
      <c r="Q85" s="335"/>
      <c r="R85" s="335"/>
      <c r="S85" s="335"/>
      <c r="T85" s="335"/>
      <c r="U85" s="335"/>
      <c r="V85" s="336"/>
      <c r="W85" s="212"/>
      <c r="X85" s="5"/>
    </row>
    <row r="86" spans="1:24" ht="15.75" x14ac:dyDescent="0.25">
      <c r="A86" s="181"/>
      <c r="B86" s="183"/>
      <c r="C86" s="183"/>
      <c r="D86" s="183"/>
      <c r="E86" s="183"/>
      <c r="F86" s="183"/>
      <c r="G86" s="183"/>
      <c r="H86" s="183"/>
      <c r="I86" s="183"/>
      <c r="J86" s="183"/>
      <c r="K86" s="183"/>
      <c r="L86" s="183"/>
      <c r="M86" s="183"/>
      <c r="N86" s="183"/>
      <c r="O86" s="183"/>
      <c r="P86" s="183"/>
      <c r="Q86" s="183"/>
      <c r="R86" s="183"/>
      <c r="S86" s="183"/>
      <c r="T86" s="183"/>
      <c r="U86" s="183"/>
      <c r="V86" s="183"/>
      <c r="W86" s="183"/>
      <c r="X86" s="5"/>
    </row>
    <row r="87" spans="1:24" ht="15.75" x14ac:dyDescent="0.25">
      <c r="A87" s="224"/>
      <c r="B87" s="399" t="s">
        <v>27</v>
      </c>
      <c r="C87" s="399"/>
      <c r="D87" s="399"/>
      <c r="E87" s="399"/>
      <c r="F87" s="399"/>
      <c r="G87" s="399"/>
      <c r="H87" s="400"/>
      <c r="I87" s="400"/>
      <c r="J87" s="400"/>
      <c r="K87" s="400"/>
      <c r="L87" s="401" t="s">
        <v>95</v>
      </c>
      <c r="M87" s="400"/>
      <c r="N87" s="402">
        <f>+T201</f>
        <v>40786</v>
      </c>
      <c r="O87" s="400"/>
      <c r="P87" s="400"/>
      <c r="Q87" s="400"/>
      <c r="R87" s="400"/>
      <c r="S87" s="400"/>
      <c r="T87" s="400" t="s">
        <v>107</v>
      </c>
      <c r="U87" s="400"/>
      <c r="V87" s="400" t="s">
        <v>113</v>
      </c>
      <c r="W87" s="225"/>
      <c r="X87" s="5"/>
    </row>
    <row r="88" spans="1:24" ht="15.75" x14ac:dyDescent="0.25">
      <c r="A88" s="248"/>
      <c r="B88" s="250" t="s">
        <v>28</v>
      </c>
      <c r="C88" s="194"/>
      <c r="D88" s="194"/>
      <c r="E88" s="194"/>
      <c r="F88" s="194"/>
      <c r="G88" s="194"/>
      <c r="H88" s="194"/>
      <c r="I88" s="194"/>
      <c r="J88" s="194"/>
      <c r="K88" s="194"/>
      <c r="L88" s="194"/>
      <c r="M88" s="194"/>
      <c r="N88" s="194"/>
      <c r="O88" s="194"/>
      <c r="P88" s="194"/>
      <c r="Q88" s="194"/>
      <c r="R88" s="194"/>
      <c r="S88" s="194"/>
      <c r="T88" s="249">
        <v>0</v>
      </c>
      <c r="U88" s="250"/>
      <c r="V88" s="253">
        <v>0</v>
      </c>
      <c r="W88" s="194"/>
      <c r="X88" s="5"/>
    </row>
    <row r="89" spans="1:24" ht="15.75" x14ac:dyDescent="0.25">
      <c r="A89" s="295"/>
      <c r="B89" s="286" t="s">
        <v>29</v>
      </c>
      <c r="C89" s="314"/>
      <c r="D89" s="314"/>
      <c r="E89" s="314"/>
      <c r="F89" s="314"/>
      <c r="G89" s="314"/>
      <c r="H89" s="339"/>
      <c r="I89" s="339"/>
      <c r="J89" s="339"/>
      <c r="K89" s="340"/>
      <c r="L89" s="339"/>
      <c r="M89" s="314"/>
      <c r="N89" s="341"/>
      <c r="O89" s="314"/>
      <c r="P89" s="314"/>
      <c r="Q89" s="314"/>
      <c r="R89" s="314"/>
      <c r="S89" s="314"/>
      <c r="T89" s="337">
        <f>4672-176</f>
        <v>4496</v>
      </c>
      <c r="U89" s="286"/>
      <c r="V89" s="338"/>
      <c r="W89" s="318"/>
      <c r="X89" s="5"/>
    </row>
    <row r="90" spans="1:24" ht="15.75" x14ac:dyDescent="0.25">
      <c r="A90" s="295"/>
      <c r="B90" s="286" t="s">
        <v>215</v>
      </c>
      <c r="C90" s="314"/>
      <c r="D90" s="314"/>
      <c r="E90" s="314"/>
      <c r="F90" s="314"/>
      <c r="G90" s="314"/>
      <c r="H90" s="339"/>
      <c r="I90" s="339"/>
      <c r="J90" s="339"/>
      <c r="K90" s="340"/>
      <c r="L90" s="339"/>
      <c r="M90" s="314"/>
      <c r="N90" s="341"/>
      <c r="O90" s="314"/>
      <c r="P90" s="314"/>
      <c r="Q90" s="314"/>
      <c r="R90" s="314"/>
      <c r="S90" s="314"/>
      <c r="T90" s="337"/>
      <c r="U90" s="286"/>
      <c r="V90" s="338">
        <f>3543+2989+5-384-294</f>
        <v>5859</v>
      </c>
      <c r="W90" s="318"/>
      <c r="X90" s="5"/>
    </row>
    <row r="91" spans="1:24" ht="15.75" x14ac:dyDescent="0.25">
      <c r="A91" s="295"/>
      <c r="B91" s="286" t="s">
        <v>210</v>
      </c>
      <c r="C91" s="314"/>
      <c r="D91" s="314"/>
      <c r="E91" s="314"/>
      <c r="F91" s="314"/>
      <c r="G91" s="314"/>
      <c r="H91" s="339"/>
      <c r="I91" s="339"/>
      <c r="J91" s="339"/>
      <c r="K91" s="340"/>
      <c r="L91" s="339"/>
      <c r="M91" s="314"/>
      <c r="N91" s="341"/>
      <c r="O91" s="314"/>
      <c r="P91" s="314"/>
      <c r="Q91" s="314"/>
      <c r="R91" s="314"/>
      <c r="S91" s="314"/>
      <c r="T91" s="337"/>
      <c r="U91" s="286"/>
      <c r="V91" s="338">
        <f>12+56</f>
        <v>68</v>
      </c>
      <c r="W91" s="318"/>
      <c r="X91" s="5"/>
    </row>
    <row r="92" spans="1:24" ht="15.75" x14ac:dyDescent="0.25">
      <c r="A92" s="295"/>
      <c r="B92" s="286" t="s">
        <v>211</v>
      </c>
      <c r="C92" s="314"/>
      <c r="D92" s="314"/>
      <c r="E92" s="314"/>
      <c r="F92" s="314"/>
      <c r="G92" s="314"/>
      <c r="H92" s="339"/>
      <c r="I92" s="339"/>
      <c r="J92" s="339"/>
      <c r="K92" s="340"/>
      <c r="L92" s="339"/>
      <c r="M92" s="314"/>
      <c r="N92" s="341"/>
      <c r="O92" s="314"/>
      <c r="P92" s="314"/>
      <c r="Q92" s="314"/>
      <c r="R92" s="314"/>
      <c r="S92" s="314"/>
      <c r="T92" s="337"/>
      <c r="U92" s="286"/>
      <c r="V92" s="338">
        <v>14</v>
      </c>
      <c r="W92" s="318"/>
      <c r="X92" s="5"/>
    </row>
    <row r="93" spans="1:24" ht="15.75" x14ac:dyDescent="0.25">
      <c r="A93" s="295"/>
      <c r="B93" s="286" t="s">
        <v>233</v>
      </c>
      <c r="C93" s="314"/>
      <c r="D93" s="314"/>
      <c r="E93" s="314"/>
      <c r="F93" s="314"/>
      <c r="G93" s="314"/>
      <c r="H93" s="339"/>
      <c r="I93" s="339"/>
      <c r="J93" s="339"/>
      <c r="K93" s="340"/>
      <c r="L93" s="339"/>
      <c r="M93" s="314"/>
      <c r="N93" s="341"/>
      <c r="O93" s="314"/>
      <c r="P93" s="314"/>
      <c r="Q93" s="314"/>
      <c r="R93" s="314"/>
      <c r="S93" s="314"/>
      <c r="T93" s="337"/>
      <c r="U93" s="286"/>
      <c r="V93" s="338">
        <v>0</v>
      </c>
      <c r="W93" s="318"/>
      <c r="X93" s="5"/>
    </row>
    <row r="94" spans="1:24" ht="15.75" x14ac:dyDescent="0.25">
      <c r="A94" s="295"/>
      <c r="B94" s="286" t="s">
        <v>235</v>
      </c>
      <c r="C94" s="314"/>
      <c r="D94" s="314"/>
      <c r="E94" s="314"/>
      <c r="F94" s="314"/>
      <c r="G94" s="314"/>
      <c r="H94" s="339"/>
      <c r="I94" s="339"/>
      <c r="J94" s="339"/>
      <c r="K94" s="340"/>
      <c r="L94" s="339"/>
      <c r="M94" s="314"/>
      <c r="N94" s="341"/>
      <c r="O94" s="314"/>
      <c r="P94" s="314"/>
      <c r="Q94" s="314"/>
      <c r="R94" s="314"/>
      <c r="S94" s="314"/>
      <c r="T94" s="337"/>
      <c r="U94" s="286"/>
      <c r="V94" s="338">
        <v>0</v>
      </c>
      <c r="W94" s="318"/>
      <c r="X94" s="5"/>
    </row>
    <row r="95" spans="1:24" ht="15.75" x14ac:dyDescent="0.25">
      <c r="A95" s="295"/>
      <c r="B95" s="286" t="s">
        <v>135</v>
      </c>
      <c r="C95" s="314"/>
      <c r="D95" s="314"/>
      <c r="E95" s="314"/>
      <c r="F95" s="314"/>
      <c r="G95" s="314"/>
      <c r="H95" s="314"/>
      <c r="I95" s="314"/>
      <c r="J95" s="314"/>
      <c r="K95" s="314"/>
      <c r="L95" s="314"/>
      <c r="M95" s="314"/>
      <c r="N95" s="314"/>
      <c r="O95" s="314"/>
      <c r="P95" s="314"/>
      <c r="Q95" s="314"/>
      <c r="R95" s="314"/>
      <c r="S95" s="314"/>
      <c r="T95" s="337"/>
      <c r="U95" s="286"/>
      <c r="V95" s="338">
        <v>0</v>
      </c>
      <c r="W95" s="318"/>
      <c r="X95" s="5"/>
    </row>
    <row r="96" spans="1:24" ht="15.75" x14ac:dyDescent="0.25">
      <c r="A96" s="295"/>
      <c r="B96" s="286" t="s">
        <v>272</v>
      </c>
      <c r="C96" s="314"/>
      <c r="D96" s="314"/>
      <c r="E96" s="314"/>
      <c r="F96" s="314"/>
      <c r="G96" s="314"/>
      <c r="H96" s="314"/>
      <c r="I96" s="314"/>
      <c r="J96" s="314"/>
      <c r="K96" s="314"/>
      <c r="L96" s="314"/>
      <c r="M96" s="314"/>
      <c r="N96" s="314"/>
      <c r="O96" s="314"/>
      <c r="P96" s="314"/>
      <c r="Q96" s="314"/>
      <c r="R96" s="314"/>
      <c r="S96" s="314"/>
      <c r="T96" s="337"/>
      <c r="U96" s="286"/>
      <c r="V96" s="338">
        <v>0</v>
      </c>
      <c r="W96" s="318"/>
      <c r="X96" s="5"/>
    </row>
    <row r="97" spans="1:25" ht="15.75" x14ac:dyDescent="0.25">
      <c r="A97" s="295"/>
      <c r="B97" s="286" t="s">
        <v>30</v>
      </c>
      <c r="C97" s="314"/>
      <c r="D97" s="314"/>
      <c r="E97" s="314"/>
      <c r="F97" s="314"/>
      <c r="G97" s="314"/>
      <c r="H97" s="314"/>
      <c r="I97" s="314"/>
      <c r="J97" s="314"/>
      <c r="K97" s="314"/>
      <c r="L97" s="314"/>
      <c r="M97" s="314"/>
      <c r="N97" s="314"/>
      <c r="O97" s="314"/>
      <c r="P97" s="314"/>
      <c r="Q97" s="314"/>
      <c r="R97" s="314"/>
      <c r="S97" s="314"/>
      <c r="T97" s="337">
        <f>SUM(T88:T96)</f>
        <v>4496</v>
      </c>
      <c r="U97" s="286"/>
      <c r="V97" s="337">
        <f>SUM(V88:V96)</f>
        <v>5941</v>
      </c>
      <c r="W97" s="318"/>
      <c r="X97" s="5"/>
    </row>
    <row r="98" spans="1:25" ht="15.75" x14ac:dyDescent="0.25">
      <c r="A98" s="295"/>
      <c r="B98" s="286" t="s">
        <v>161</v>
      </c>
      <c r="C98" s="314"/>
      <c r="D98" s="314"/>
      <c r="E98" s="314"/>
      <c r="F98" s="314"/>
      <c r="G98" s="314"/>
      <c r="H98" s="314"/>
      <c r="I98" s="314"/>
      <c r="J98" s="314"/>
      <c r="K98" s="314"/>
      <c r="L98" s="314"/>
      <c r="M98" s="314"/>
      <c r="N98" s="314"/>
      <c r="O98" s="314"/>
      <c r="P98" s="314"/>
      <c r="Q98" s="314"/>
      <c r="R98" s="314"/>
      <c r="S98" s="314"/>
      <c r="T98" s="337">
        <f>-V98</f>
        <v>-9</v>
      </c>
      <c r="U98" s="286"/>
      <c r="V98" s="337">
        <v>9</v>
      </c>
      <c r="W98" s="318"/>
      <c r="X98" s="5"/>
    </row>
    <row r="99" spans="1:25" ht="15.75" x14ac:dyDescent="0.25">
      <c r="A99" s="295"/>
      <c r="B99" s="286" t="s">
        <v>31</v>
      </c>
      <c r="C99" s="314"/>
      <c r="D99" s="314"/>
      <c r="E99" s="314"/>
      <c r="F99" s="314"/>
      <c r="G99" s="314"/>
      <c r="H99" s="314"/>
      <c r="I99" s="314"/>
      <c r="J99" s="314"/>
      <c r="K99" s="314"/>
      <c r="L99" s="314"/>
      <c r="M99" s="314"/>
      <c r="N99" s="314"/>
      <c r="O99" s="314"/>
      <c r="P99" s="314"/>
      <c r="Q99" s="314"/>
      <c r="R99" s="314"/>
      <c r="S99" s="314"/>
      <c r="T99" s="337">
        <f>-V99</f>
        <v>0</v>
      </c>
      <c r="U99" s="286"/>
      <c r="V99" s="338">
        <v>0</v>
      </c>
      <c r="W99" s="318"/>
      <c r="X99" s="5"/>
    </row>
    <row r="100" spans="1:25" ht="15.75" x14ac:dyDescent="0.25">
      <c r="A100" s="295"/>
      <c r="B100" s="286" t="s">
        <v>274</v>
      </c>
      <c r="C100" s="314"/>
      <c r="D100" s="314"/>
      <c r="E100" s="314"/>
      <c r="F100" s="314"/>
      <c r="G100" s="314"/>
      <c r="H100" s="314"/>
      <c r="I100" s="314"/>
      <c r="J100" s="314"/>
      <c r="K100" s="314"/>
      <c r="L100" s="314"/>
      <c r="M100" s="314"/>
      <c r="N100" s="314"/>
      <c r="O100" s="314"/>
      <c r="P100" s="314"/>
      <c r="Q100" s="314"/>
      <c r="R100" s="314"/>
      <c r="S100" s="314"/>
      <c r="T100" s="337"/>
      <c r="U100" s="286"/>
      <c r="V100" s="338">
        <v>-7</v>
      </c>
      <c r="W100" s="318"/>
      <c r="X100" s="5"/>
    </row>
    <row r="101" spans="1:25" ht="15.75" x14ac:dyDescent="0.25">
      <c r="A101" s="295"/>
      <c r="B101" s="286" t="s">
        <v>32</v>
      </c>
      <c r="C101" s="314"/>
      <c r="D101" s="314"/>
      <c r="E101" s="314"/>
      <c r="F101" s="314"/>
      <c r="G101" s="314"/>
      <c r="H101" s="314"/>
      <c r="I101" s="314"/>
      <c r="J101" s="314"/>
      <c r="K101" s="314"/>
      <c r="L101" s="314"/>
      <c r="M101" s="314"/>
      <c r="N101" s="314"/>
      <c r="O101" s="314"/>
      <c r="P101" s="314"/>
      <c r="Q101" s="314"/>
      <c r="R101" s="314"/>
      <c r="S101" s="314"/>
      <c r="T101" s="337">
        <f>T97+T99+T98</f>
        <v>4487</v>
      </c>
      <c r="U101" s="286"/>
      <c r="V101" s="337">
        <f>V97+V99+V98+V100</f>
        <v>5943</v>
      </c>
      <c r="W101" s="318"/>
      <c r="X101" s="5"/>
    </row>
    <row r="102" spans="1:25" ht="15.75" x14ac:dyDescent="0.25">
      <c r="A102" s="285"/>
      <c r="B102" s="342" t="s">
        <v>33</v>
      </c>
      <c r="C102" s="314"/>
      <c r="D102" s="314"/>
      <c r="E102" s="314"/>
      <c r="F102" s="314"/>
      <c r="G102" s="314"/>
      <c r="H102" s="314"/>
      <c r="I102" s="314"/>
      <c r="J102" s="314"/>
      <c r="K102" s="314"/>
      <c r="L102" s="314"/>
      <c r="M102" s="314"/>
      <c r="N102" s="314"/>
      <c r="O102" s="314"/>
      <c r="P102" s="314"/>
      <c r="Q102" s="314"/>
      <c r="R102" s="314"/>
      <c r="S102" s="314"/>
      <c r="T102" s="337"/>
      <c r="U102" s="286"/>
      <c r="V102" s="338"/>
      <c r="W102" s="318"/>
      <c r="X102" s="5"/>
    </row>
    <row r="103" spans="1:25" ht="15.75" x14ac:dyDescent="0.25">
      <c r="A103" s="295">
        <v>1</v>
      </c>
      <c r="B103" s="286" t="s">
        <v>34</v>
      </c>
      <c r="C103" s="286"/>
      <c r="D103" s="286"/>
      <c r="E103" s="314"/>
      <c r="F103" s="314"/>
      <c r="G103" s="314"/>
      <c r="H103" s="314"/>
      <c r="I103" s="314"/>
      <c r="J103" s="314"/>
      <c r="K103" s="314"/>
      <c r="L103" s="314"/>
      <c r="M103" s="314"/>
      <c r="N103" s="314"/>
      <c r="O103" s="314"/>
      <c r="P103" s="314"/>
      <c r="Q103" s="314"/>
      <c r="R103" s="314"/>
      <c r="S103" s="314"/>
      <c r="T103" s="286"/>
      <c r="U103" s="286"/>
      <c r="V103" s="338">
        <v>0</v>
      </c>
      <c r="W103" s="318"/>
      <c r="X103" s="5"/>
    </row>
    <row r="104" spans="1:25" ht="15.75" x14ac:dyDescent="0.25">
      <c r="A104" s="295">
        <f>+A103+1</f>
        <v>2</v>
      </c>
      <c r="B104" s="286" t="s">
        <v>221</v>
      </c>
      <c r="C104" s="286"/>
      <c r="D104" s="286"/>
      <c r="E104" s="314"/>
      <c r="F104" s="314"/>
      <c r="G104" s="314"/>
      <c r="H104" s="314"/>
      <c r="I104" s="314"/>
      <c r="J104" s="314"/>
      <c r="K104" s="314"/>
      <c r="L104" s="314"/>
      <c r="M104" s="314"/>
      <c r="N104" s="314"/>
      <c r="O104" s="314"/>
      <c r="P104" s="314"/>
      <c r="Q104" s="314"/>
      <c r="R104" s="314"/>
      <c r="S104" s="314"/>
      <c r="T104" s="286"/>
      <c r="U104" s="286"/>
      <c r="V104" s="338">
        <v>-2</v>
      </c>
      <c r="W104" s="318"/>
      <c r="X104" s="5"/>
    </row>
    <row r="105" spans="1:25" ht="15.75" x14ac:dyDescent="0.25">
      <c r="A105" s="295">
        <f>+A104+1</f>
        <v>3</v>
      </c>
      <c r="B105" s="286" t="s">
        <v>204</v>
      </c>
      <c r="C105" s="286"/>
      <c r="D105" s="286"/>
      <c r="E105" s="314"/>
      <c r="F105" s="314"/>
      <c r="G105" s="314"/>
      <c r="H105" s="314"/>
      <c r="I105" s="314"/>
      <c r="J105" s="314"/>
      <c r="K105" s="314"/>
      <c r="L105" s="314"/>
      <c r="M105" s="314"/>
      <c r="N105" s="314"/>
      <c r="O105" s="314"/>
      <c r="P105" s="314"/>
      <c r="Q105" s="314"/>
      <c r="R105" s="314"/>
      <c r="S105" s="314"/>
      <c r="T105" s="286"/>
      <c r="U105" s="286"/>
      <c r="V105" s="338">
        <f>-321-210-10</f>
        <v>-541</v>
      </c>
      <c r="W105" s="318"/>
      <c r="X105" s="5"/>
    </row>
    <row r="106" spans="1:25" ht="15.75" x14ac:dyDescent="0.25">
      <c r="A106" s="295" t="s">
        <v>127</v>
      </c>
      <c r="B106" s="286" t="s">
        <v>116</v>
      </c>
      <c r="C106" s="286"/>
      <c r="D106" s="286"/>
      <c r="E106" s="314"/>
      <c r="F106" s="314"/>
      <c r="G106" s="314"/>
      <c r="H106" s="314"/>
      <c r="I106" s="314"/>
      <c r="J106" s="314"/>
      <c r="K106" s="314"/>
      <c r="L106" s="314"/>
      <c r="M106" s="314"/>
      <c r="N106" s="314"/>
      <c r="O106" s="314"/>
      <c r="P106" s="314"/>
      <c r="Q106" s="314"/>
      <c r="R106" s="314"/>
      <c r="S106" s="314"/>
      <c r="T106" s="286"/>
      <c r="U106" s="286"/>
      <c r="V106" s="338">
        <v>-73</v>
      </c>
      <c r="W106" s="318"/>
      <c r="X106" s="5"/>
    </row>
    <row r="107" spans="1:25" ht="15.75" x14ac:dyDescent="0.25">
      <c r="A107" s="295" t="s">
        <v>128</v>
      </c>
      <c r="B107" s="286" t="s">
        <v>220</v>
      </c>
      <c r="C107" s="286"/>
      <c r="D107" s="286"/>
      <c r="E107" s="314"/>
      <c r="F107" s="314"/>
      <c r="G107" s="314"/>
      <c r="H107" s="314"/>
      <c r="I107" s="314"/>
      <c r="J107" s="314"/>
      <c r="K107" s="314"/>
      <c r="L107" s="314"/>
      <c r="M107" s="314"/>
      <c r="N107" s="314"/>
      <c r="O107" s="314"/>
      <c r="P107" s="314"/>
      <c r="Q107" s="314"/>
      <c r="R107" s="314"/>
      <c r="S107" s="314"/>
      <c r="T107" s="286"/>
      <c r="U107" s="286"/>
      <c r="V107" s="338">
        <f>-1649+410</f>
        <v>-1239</v>
      </c>
      <c r="W107" s="318"/>
      <c r="X107" s="5"/>
      <c r="Y107" s="109"/>
    </row>
    <row r="108" spans="1:25" ht="15.75" x14ac:dyDescent="0.25">
      <c r="A108" s="295" t="s">
        <v>150</v>
      </c>
      <c r="B108" s="286" t="s">
        <v>184</v>
      </c>
      <c r="C108" s="286"/>
      <c r="D108" s="286"/>
      <c r="E108" s="314"/>
      <c r="F108" s="314"/>
      <c r="G108" s="314"/>
      <c r="H108" s="314"/>
      <c r="I108" s="314"/>
      <c r="J108" s="314"/>
      <c r="K108" s="314"/>
      <c r="L108" s="314"/>
      <c r="M108" s="314"/>
      <c r="N108" s="314"/>
      <c r="O108" s="314"/>
      <c r="P108" s="314"/>
      <c r="Q108" s="314"/>
      <c r="R108" s="314"/>
      <c r="S108" s="314"/>
      <c r="T108" s="286"/>
      <c r="U108" s="286"/>
      <c r="V108" s="338">
        <v>-410</v>
      </c>
      <c r="W108" s="318"/>
      <c r="X108" s="5"/>
      <c r="Y108" s="109"/>
    </row>
    <row r="109" spans="1:25" ht="15.75" x14ac:dyDescent="0.25">
      <c r="A109" s="295" t="s">
        <v>205</v>
      </c>
      <c r="B109" s="286" t="s">
        <v>185</v>
      </c>
      <c r="C109" s="286"/>
      <c r="D109" s="286"/>
      <c r="E109" s="314"/>
      <c r="F109" s="314"/>
      <c r="G109" s="314"/>
      <c r="H109" s="314"/>
      <c r="I109" s="314"/>
      <c r="J109" s="314"/>
      <c r="K109" s="314"/>
      <c r="L109" s="314"/>
      <c r="M109" s="314"/>
      <c r="N109" s="314"/>
      <c r="O109" s="314"/>
      <c r="P109" s="314"/>
      <c r="Q109" s="314"/>
      <c r="R109" s="314"/>
      <c r="S109" s="314"/>
      <c r="T109" s="286"/>
      <c r="U109" s="286"/>
      <c r="V109" s="338">
        <v>-165</v>
      </c>
      <c r="W109" s="318"/>
      <c r="X109" s="5"/>
      <c r="Y109" s="109"/>
    </row>
    <row r="110" spans="1:25" ht="15.75" x14ac:dyDescent="0.25">
      <c r="A110" s="295" t="s">
        <v>206</v>
      </c>
      <c r="B110" s="286" t="s">
        <v>186</v>
      </c>
      <c r="C110" s="286"/>
      <c r="D110" s="286"/>
      <c r="E110" s="314"/>
      <c r="F110" s="314"/>
      <c r="G110" s="314"/>
      <c r="H110" s="314"/>
      <c r="I110" s="314"/>
      <c r="J110" s="314"/>
      <c r="K110" s="314"/>
      <c r="L110" s="314"/>
      <c r="M110" s="314"/>
      <c r="N110" s="314"/>
      <c r="O110" s="314"/>
      <c r="P110" s="314"/>
      <c r="Q110" s="314"/>
      <c r="R110" s="314"/>
      <c r="S110" s="314"/>
      <c r="T110" s="286"/>
      <c r="U110" s="286"/>
      <c r="V110" s="338">
        <v>-47</v>
      </c>
      <c r="W110" s="318"/>
      <c r="X110" s="5"/>
      <c r="Y110" s="109"/>
    </row>
    <row r="111" spans="1:25" ht="15.75" x14ac:dyDescent="0.25">
      <c r="A111" s="295">
        <v>6</v>
      </c>
      <c r="B111" s="286" t="s">
        <v>196</v>
      </c>
      <c r="C111" s="286"/>
      <c r="D111" s="286"/>
      <c r="E111" s="314"/>
      <c r="F111" s="314"/>
      <c r="G111" s="314"/>
      <c r="H111" s="314"/>
      <c r="I111" s="314"/>
      <c r="J111" s="314"/>
      <c r="K111" s="314"/>
      <c r="L111" s="314"/>
      <c r="M111" s="314"/>
      <c r="N111" s="314"/>
      <c r="O111" s="314"/>
      <c r="P111" s="314"/>
      <c r="Q111" s="314"/>
      <c r="R111" s="314"/>
      <c r="S111" s="314"/>
      <c r="T111" s="286"/>
      <c r="U111" s="286"/>
      <c r="V111" s="338">
        <v>-272</v>
      </c>
      <c r="W111" s="318"/>
      <c r="X111" s="5"/>
      <c r="Y111" s="109"/>
    </row>
    <row r="112" spans="1:25" ht="15.75" x14ac:dyDescent="0.25">
      <c r="A112" s="295">
        <v>7</v>
      </c>
      <c r="B112" s="286" t="s">
        <v>35</v>
      </c>
      <c r="C112" s="286"/>
      <c r="D112" s="286"/>
      <c r="E112" s="314"/>
      <c r="F112" s="314"/>
      <c r="G112" s="314"/>
      <c r="H112" s="314"/>
      <c r="I112" s="314"/>
      <c r="J112" s="314"/>
      <c r="K112" s="314"/>
      <c r="L112" s="314"/>
      <c r="M112" s="314"/>
      <c r="N112" s="314"/>
      <c r="O112" s="314"/>
      <c r="P112" s="314"/>
      <c r="Q112" s="314"/>
      <c r="R112" s="314"/>
      <c r="S112" s="314"/>
      <c r="T112" s="286"/>
      <c r="U112" s="286"/>
      <c r="V112" s="338">
        <v>-9</v>
      </c>
      <c r="W112" s="318"/>
      <c r="X112" s="5"/>
    </row>
    <row r="113" spans="1:24" ht="15.75" x14ac:dyDescent="0.25">
      <c r="A113" s="295">
        <f t="shared" ref="A113:A118" si="0">+A112+1</f>
        <v>8</v>
      </c>
      <c r="B113" s="286" t="s">
        <v>45</v>
      </c>
      <c r="C113" s="286"/>
      <c r="D113" s="286"/>
      <c r="E113" s="314"/>
      <c r="F113" s="314"/>
      <c r="G113" s="314"/>
      <c r="H113" s="314"/>
      <c r="I113" s="314"/>
      <c r="J113" s="314"/>
      <c r="K113" s="314"/>
      <c r="L113" s="314"/>
      <c r="M113" s="314"/>
      <c r="N113" s="314"/>
      <c r="O113" s="314"/>
      <c r="P113" s="314"/>
      <c r="Q113" s="314"/>
      <c r="R113" s="314"/>
      <c r="S113" s="314"/>
      <c r="T113" s="337">
        <f>-V113</f>
        <v>176</v>
      </c>
      <c r="U113" s="286"/>
      <c r="V113" s="338">
        <v>-176</v>
      </c>
      <c r="W113" s="318"/>
      <c r="X113" s="5"/>
    </row>
    <row r="114" spans="1:24" ht="15.75" x14ac:dyDescent="0.25">
      <c r="A114" s="295">
        <f t="shared" si="0"/>
        <v>9</v>
      </c>
      <c r="B114" s="286" t="s">
        <v>125</v>
      </c>
      <c r="C114" s="286"/>
      <c r="D114" s="286"/>
      <c r="E114" s="314"/>
      <c r="F114" s="314"/>
      <c r="G114" s="314"/>
      <c r="H114" s="314"/>
      <c r="I114" s="314"/>
      <c r="J114" s="314"/>
      <c r="K114" s="314"/>
      <c r="L114" s="314"/>
      <c r="M114" s="314"/>
      <c r="N114" s="314"/>
      <c r="O114" s="314"/>
      <c r="P114" s="314"/>
      <c r="Q114" s="314"/>
      <c r="R114" s="314"/>
      <c r="S114" s="314"/>
      <c r="T114" s="286"/>
      <c r="U114" s="286"/>
      <c r="V114" s="338">
        <v>0</v>
      </c>
      <c r="W114" s="318"/>
      <c r="X114" s="5"/>
    </row>
    <row r="115" spans="1:24" ht="15.75" x14ac:dyDescent="0.25">
      <c r="A115" s="295">
        <f t="shared" si="0"/>
        <v>10</v>
      </c>
      <c r="B115" s="286" t="s">
        <v>225</v>
      </c>
      <c r="C115" s="286"/>
      <c r="D115" s="286"/>
      <c r="E115" s="314"/>
      <c r="F115" s="314"/>
      <c r="G115" s="314"/>
      <c r="H115" s="314"/>
      <c r="I115" s="314"/>
      <c r="J115" s="314"/>
      <c r="K115" s="314"/>
      <c r="L115" s="314"/>
      <c r="M115" s="314"/>
      <c r="N115" s="314"/>
      <c r="O115" s="314"/>
      <c r="P115" s="314"/>
      <c r="Q115" s="314"/>
      <c r="R115" s="314"/>
      <c r="S115" s="314"/>
      <c r="T115" s="286"/>
      <c r="U115" s="286"/>
      <c r="V115" s="338">
        <v>0</v>
      </c>
      <c r="W115" s="318"/>
      <c r="X115" s="5"/>
    </row>
    <row r="116" spans="1:24" ht="15.75" x14ac:dyDescent="0.25">
      <c r="A116" s="295">
        <f t="shared" si="0"/>
        <v>11</v>
      </c>
      <c r="B116" s="286" t="s">
        <v>36</v>
      </c>
      <c r="C116" s="286"/>
      <c r="D116" s="286"/>
      <c r="E116" s="314"/>
      <c r="F116" s="314"/>
      <c r="G116" s="314"/>
      <c r="H116" s="314"/>
      <c r="I116" s="314"/>
      <c r="J116" s="314"/>
      <c r="K116" s="314"/>
      <c r="L116" s="314"/>
      <c r="M116" s="314"/>
      <c r="N116" s="314"/>
      <c r="O116" s="314"/>
      <c r="P116" s="314"/>
      <c r="Q116" s="314"/>
      <c r="R116" s="314"/>
      <c r="S116" s="314"/>
      <c r="T116" s="286"/>
      <c r="U116" s="286"/>
      <c r="V116" s="338">
        <v>0</v>
      </c>
      <c r="W116" s="318"/>
      <c r="X116" s="5"/>
    </row>
    <row r="117" spans="1:24" ht="15.75" x14ac:dyDescent="0.25">
      <c r="A117" s="295">
        <f t="shared" si="0"/>
        <v>12</v>
      </c>
      <c r="B117" s="286" t="s">
        <v>149</v>
      </c>
      <c r="C117" s="286"/>
      <c r="D117" s="286"/>
      <c r="E117" s="314"/>
      <c r="F117" s="314"/>
      <c r="G117" s="314"/>
      <c r="H117" s="314"/>
      <c r="I117" s="314"/>
      <c r="J117" s="314"/>
      <c r="K117" s="314"/>
      <c r="L117" s="314"/>
      <c r="M117" s="314"/>
      <c r="N117" s="314"/>
      <c r="O117" s="314"/>
      <c r="P117" s="314"/>
      <c r="Q117" s="314"/>
      <c r="R117" s="314"/>
      <c r="S117" s="314"/>
      <c r="T117" s="286"/>
      <c r="U117" s="286"/>
      <c r="V117" s="338">
        <v>-321</v>
      </c>
      <c r="W117" s="318"/>
      <c r="X117" s="5"/>
    </row>
    <row r="118" spans="1:24" ht="15.75" x14ac:dyDescent="0.25">
      <c r="A118" s="295">
        <f t="shared" si="0"/>
        <v>13</v>
      </c>
      <c r="B118" s="286" t="s">
        <v>126</v>
      </c>
      <c r="C118" s="286"/>
      <c r="D118" s="286"/>
      <c r="E118" s="314"/>
      <c r="F118" s="314"/>
      <c r="G118" s="314"/>
      <c r="H118" s="314"/>
      <c r="I118" s="314"/>
      <c r="J118" s="314"/>
      <c r="K118" s="314"/>
      <c r="L118" s="314"/>
      <c r="M118" s="314"/>
      <c r="N118" s="314"/>
      <c r="O118" s="314"/>
      <c r="P118" s="314"/>
      <c r="Q118" s="314"/>
      <c r="R118" s="314"/>
      <c r="S118" s="314"/>
      <c r="T118" s="286"/>
      <c r="U118" s="286"/>
      <c r="V118" s="338">
        <f>-V101-SUM(V103:V117)</f>
        <v>-2688</v>
      </c>
      <c r="W118" s="318"/>
      <c r="X118" s="5"/>
    </row>
    <row r="119" spans="1:24" ht="15.75" x14ac:dyDescent="0.25">
      <c r="A119" s="285"/>
      <c r="B119" s="342" t="s">
        <v>37</v>
      </c>
      <c r="C119" s="314"/>
      <c r="D119" s="314"/>
      <c r="E119" s="314"/>
      <c r="F119" s="314"/>
      <c r="G119" s="314"/>
      <c r="H119" s="314"/>
      <c r="I119" s="314"/>
      <c r="J119" s="314"/>
      <c r="K119" s="314"/>
      <c r="L119" s="314"/>
      <c r="M119" s="314"/>
      <c r="N119" s="314"/>
      <c r="O119" s="314"/>
      <c r="P119" s="314"/>
      <c r="Q119" s="314"/>
      <c r="R119" s="314"/>
      <c r="S119" s="314"/>
      <c r="T119" s="286"/>
      <c r="U119" s="286"/>
      <c r="V119" s="343"/>
      <c r="W119" s="318"/>
      <c r="X119" s="5"/>
    </row>
    <row r="120" spans="1:24" ht="15.75" x14ac:dyDescent="0.25">
      <c r="A120" s="285"/>
      <c r="B120" s="286" t="s">
        <v>173</v>
      </c>
      <c r="C120" s="314"/>
      <c r="D120" s="314"/>
      <c r="E120" s="314"/>
      <c r="F120" s="314"/>
      <c r="G120" s="314"/>
      <c r="H120" s="314"/>
      <c r="I120" s="314"/>
      <c r="J120" s="314"/>
      <c r="K120" s="314"/>
      <c r="L120" s="314"/>
      <c r="M120" s="314"/>
      <c r="N120" s="314"/>
      <c r="O120" s="314"/>
      <c r="P120" s="314"/>
      <c r="Q120" s="314"/>
      <c r="R120" s="314"/>
      <c r="S120" s="314"/>
      <c r="T120" s="337">
        <f>-T185</f>
        <v>0</v>
      </c>
      <c r="U120" s="337"/>
      <c r="V120" s="338"/>
      <c r="W120" s="318"/>
      <c r="X120" s="5"/>
    </row>
    <row r="121" spans="1:24" ht="15.75" x14ac:dyDescent="0.25">
      <c r="A121" s="285"/>
      <c r="B121" s="286" t="s">
        <v>174</v>
      </c>
      <c r="C121" s="314"/>
      <c r="D121" s="314"/>
      <c r="E121" s="314"/>
      <c r="F121" s="314"/>
      <c r="G121" s="314"/>
      <c r="H121" s="314"/>
      <c r="I121" s="314"/>
      <c r="J121" s="314"/>
      <c r="K121" s="314"/>
      <c r="L121" s="314"/>
      <c r="M121" s="314"/>
      <c r="N121" s="314"/>
      <c r="O121" s="314"/>
      <c r="P121" s="314"/>
      <c r="Q121" s="314"/>
      <c r="R121" s="314"/>
      <c r="S121" s="314"/>
      <c r="T121" s="337">
        <v>0</v>
      </c>
      <c r="U121" s="337"/>
      <c r="V121" s="338"/>
      <c r="W121" s="318"/>
      <c r="X121" s="5"/>
    </row>
    <row r="122" spans="1:24" ht="15.75" x14ac:dyDescent="0.25">
      <c r="A122" s="285"/>
      <c r="B122" s="286" t="s">
        <v>38</v>
      </c>
      <c r="C122" s="314"/>
      <c r="D122" s="314"/>
      <c r="E122" s="314"/>
      <c r="F122" s="314"/>
      <c r="G122" s="314"/>
      <c r="H122" s="314"/>
      <c r="I122" s="314"/>
      <c r="J122" s="314"/>
      <c r="K122" s="314"/>
      <c r="L122" s="314"/>
      <c r="M122" s="314"/>
      <c r="N122" s="314"/>
      <c r="O122" s="314"/>
      <c r="P122" s="314"/>
      <c r="Q122" s="314"/>
      <c r="R122" s="314"/>
      <c r="S122" s="314"/>
      <c r="T122" s="337">
        <f>-S185</f>
        <v>-26</v>
      </c>
      <c r="U122" s="337"/>
      <c r="V122" s="338"/>
      <c r="W122" s="318"/>
      <c r="X122" s="5"/>
    </row>
    <row r="123" spans="1:24" ht="15.75" x14ac:dyDescent="0.25">
      <c r="A123" s="285"/>
      <c r="B123" s="286" t="s">
        <v>197</v>
      </c>
      <c r="C123" s="314"/>
      <c r="D123" s="314"/>
      <c r="E123" s="314"/>
      <c r="F123" s="314"/>
      <c r="G123" s="314"/>
      <c r="H123" s="314"/>
      <c r="I123" s="314"/>
      <c r="J123" s="314"/>
      <c r="K123" s="314"/>
      <c r="L123" s="314"/>
      <c r="M123" s="314"/>
      <c r="N123" s="314"/>
      <c r="O123" s="314"/>
      <c r="P123" s="314"/>
      <c r="Q123" s="314"/>
      <c r="R123" s="314"/>
      <c r="S123" s="314"/>
      <c r="T123" s="337">
        <v>-2686</v>
      </c>
      <c r="U123" s="337"/>
      <c r="V123" s="338"/>
      <c r="W123" s="318"/>
      <c r="X123" s="5"/>
    </row>
    <row r="124" spans="1:24" ht="15.75" x14ac:dyDescent="0.25">
      <c r="A124" s="285"/>
      <c r="B124" s="286" t="s">
        <v>195</v>
      </c>
      <c r="C124" s="314"/>
      <c r="D124" s="314"/>
      <c r="E124" s="314"/>
      <c r="F124" s="314"/>
      <c r="G124" s="314"/>
      <c r="H124" s="314"/>
      <c r="I124" s="314"/>
      <c r="J124" s="314"/>
      <c r="K124" s="314"/>
      <c r="L124" s="314"/>
      <c r="M124" s="314"/>
      <c r="N124" s="314"/>
      <c r="O124" s="314"/>
      <c r="P124" s="314"/>
      <c r="Q124" s="314"/>
      <c r="R124" s="314"/>
      <c r="S124" s="314"/>
      <c r="T124" s="337">
        <v>-1141</v>
      </c>
      <c r="U124" s="337"/>
      <c r="V124" s="338"/>
      <c r="W124" s="318"/>
      <c r="X124" s="5"/>
    </row>
    <row r="125" spans="1:24" ht="15.75" x14ac:dyDescent="0.25">
      <c r="A125" s="285"/>
      <c r="B125" s="286" t="s">
        <v>194</v>
      </c>
      <c r="C125" s="314"/>
      <c r="D125" s="314"/>
      <c r="E125" s="314"/>
      <c r="F125" s="314"/>
      <c r="G125" s="314"/>
      <c r="H125" s="314"/>
      <c r="I125" s="314"/>
      <c r="J125" s="314"/>
      <c r="K125" s="314"/>
      <c r="L125" s="314"/>
      <c r="M125" s="314"/>
      <c r="N125" s="314"/>
      <c r="O125" s="314"/>
      <c r="P125" s="314"/>
      <c r="Q125" s="314"/>
      <c r="R125" s="314"/>
      <c r="S125" s="314"/>
      <c r="T125" s="337">
        <v>-407</v>
      </c>
      <c r="U125" s="337"/>
      <c r="V125" s="338"/>
      <c r="W125" s="318"/>
      <c r="X125" s="5"/>
    </row>
    <row r="126" spans="1:24" ht="15.75" x14ac:dyDescent="0.25">
      <c r="A126" s="285"/>
      <c r="B126" s="286" t="s">
        <v>222</v>
      </c>
      <c r="C126" s="314"/>
      <c r="D126" s="314"/>
      <c r="E126" s="314"/>
      <c r="F126" s="314"/>
      <c r="G126" s="314"/>
      <c r="H126" s="314"/>
      <c r="I126" s="314"/>
      <c r="J126" s="314"/>
      <c r="K126" s="314"/>
      <c r="L126" s="314"/>
      <c r="M126" s="314"/>
      <c r="N126" s="314"/>
      <c r="O126" s="314"/>
      <c r="P126" s="314"/>
      <c r="Q126" s="314"/>
      <c r="R126" s="314"/>
      <c r="S126" s="314"/>
      <c r="T126" s="337">
        <v>-403</v>
      </c>
      <c r="U126" s="337"/>
      <c r="V126" s="338"/>
      <c r="W126" s="318"/>
      <c r="X126" s="5"/>
    </row>
    <row r="127" spans="1:24" ht="15.75" x14ac:dyDescent="0.25">
      <c r="A127" s="285"/>
      <c r="B127" s="286" t="s">
        <v>189</v>
      </c>
      <c r="C127" s="314"/>
      <c r="D127" s="314"/>
      <c r="E127" s="314"/>
      <c r="F127" s="314"/>
      <c r="G127" s="314"/>
      <c r="H127" s="314"/>
      <c r="I127" s="314"/>
      <c r="J127" s="314"/>
      <c r="K127" s="314"/>
      <c r="L127" s="314"/>
      <c r="M127" s="314"/>
      <c r="N127" s="314"/>
      <c r="O127" s="314"/>
      <c r="P127" s="314"/>
      <c r="Q127" s="314"/>
      <c r="R127" s="314"/>
      <c r="S127" s="314"/>
      <c r="T127" s="337">
        <v>0</v>
      </c>
      <c r="U127" s="337"/>
      <c r="V127" s="338"/>
      <c r="W127" s="318"/>
      <c r="X127" s="5"/>
    </row>
    <row r="128" spans="1:24" ht="15.75" x14ac:dyDescent="0.25">
      <c r="A128" s="285"/>
      <c r="B128" s="286" t="s">
        <v>188</v>
      </c>
      <c r="C128" s="314"/>
      <c r="D128" s="314"/>
      <c r="E128" s="314"/>
      <c r="F128" s="314"/>
      <c r="G128" s="314"/>
      <c r="H128" s="314"/>
      <c r="I128" s="314"/>
      <c r="J128" s="314"/>
      <c r="K128" s="314"/>
      <c r="L128" s="314"/>
      <c r="M128" s="314"/>
      <c r="N128" s="314"/>
      <c r="O128" s="314"/>
      <c r="P128" s="314"/>
      <c r="Q128" s="314"/>
      <c r="R128" s="314"/>
      <c r="S128" s="314"/>
      <c r="T128" s="337">
        <v>0</v>
      </c>
      <c r="U128" s="337"/>
      <c r="V128" s="338"/>
      <c r="W128" s="318"/>
      <c r="X128" s="5"/>
    </row>
    <row r="129" spans="1:24" ht="15.75" x14ac:dyDescent="0.25">
      <c r="A129" s="285"/>
      <c r="B129" s="286" t="s">
        <v>187</v>
      </c>
      <c r="C129" s="314"/>
      <c r="D129" s="314"/>
      <c r="E129" s="314"/>
      <c r="F129" s="314"/>
      <c r="G129" s="314"/>
      <c r="H129" s="314"/>
      <c r="I129" s="314"/>
      <c r="J129" s="314"/>
      <c r="K129" s="314"/>
      <c r="L129" s="314"/>
      <c r="M129" s="314"/>
      <c r="N129" s="314"/>
      <c r="O129" s="314"/>
      <c r="P129" s="314"/>
      <c r="Q129" s="314"/>
      <c r="R129" s="314"/>
      <c r="S129" s="314"/>
      <c r="T129" s="337">
        <v>0</v>
      </c>
      <c r="U129" s="337"/>
      <c r="V129" s="338"/>
      <c r="W129" s="318"/>
      <c r="X129" s="5"/>
    </row>
    <row r="130" spans="1:24" ht="15.75" x14ac:dyDescent="0.25">
      <c r="A130" s="285"/>
      <c r="B130" s="286" t="s">
        <v>39</v>
      </c>
      <c r="C130" s="314"/>
      <c r="D130" s="314"/>
      <c r="E130" s="314"/>
      <c r="F130" s="314"/>
      <c r="G130" s="314"/>
      <c r="H130" s="314"/>
      <c r="I130" s="314"/>
      <c r="J130" s="314"/>
      <c r="K130" s="314"/>
      <c r="L130" s="314"/>
      <c r="M130" s="314"/>
      <c r="N130" s="314"/>
      <c r="O130" s="314"/>
      <c r="P130" s="314"/>
      <c r="Q130" s="314"/>
      <c r="R130" s="314"/>
      <c r="S130" s="314"/>
      <c r="T130" s="337">
        <f>SUM(T120:T129)</f>
        <v>-4663</v>
      </c>
      <c r="U130" s="337"/>
      <c r="V130" s="337">
        <f>SUM(V102:V128)</f>
        <v>-5943</v>
      </c>
      <c r="W130" s="318"/>
      <c r="X130" s="5"/>
    </row>
    <row r="131" spans="1:24" ht="15.75" x14ac:dyDescent="0.25">
      <c r="A131" s="285"/>
      <c r="B131" s="286" t="s">
        <v>40</v>
      </c>
      <c r="C131" s="314"/>
      <c r="D131" s="314"/>
      <c r="E131" s="314"/>
      <c r="F131" s="314"/>
      <c r="G131" s="314"/>
      <c r="H131" s="314"/>
      <c r="I131" s="314"/>
      <c r="J131" s="314"/>
      <c r="K131" s="314"/>
      <c r="L131" s="314"/>
      <c r="M131" s="314"/>
      <c r="N131" s="314"/>
      <c r="O131" s="314"/>
      <c r="P131" s="314"/>
      <c r="Q131" s="314"/>
      <c r="R131" s="314"/>
      <c r="S131" s="314"/>
      <c r="T131" s="337">
        <f>T101+T130+T113</f>
        <v>0</v>
      </c>
      <c r="U131" s="337"/>
      <c r="V131" s="337">
        <f>V101+V130</f>
        <v>0</v>
      </c>
      <c r="W131" s="318"/>
      <c r="X131" s="5"/>
    </row>
    <row r="132" spans="1:24" ht="15.75" x14ac:dyDescent="0.25">
      <c r="A132" s="181"/>
      <c r="B132" s="212"/>
      <c r="C132" s="212"/>
      <c r="D132" s="212"/>
      <c r="E132" s="212"/>
      <c r="F132" s="212"/>
      <c r="G132" s="212"/>
      <c r="H132" s="212"/>
      <c r="I132" s="212"/>
      <c r="J132" s="212"/>
      <c r="K132" s="212"/>
      <c r="L132" s="212"/>
      <c r="M132" s="212"/>
      <c r="N132" s="212"/>
      <c r="O132" s="212"/>
      <c r="P132" s="212"/>
      <c r="Q132" s="212"/>
      <c r="R132" s="212"/>
      <c r="S132" s="212"/>
      <c r="T132" s="335"/>
      <c r="U132" s="335"/>
      <c r="V132" s="335"/>
      <c r="W132" s="212"/>
      <c r="X132" s="5"/>
    </row>
    <row r="133" spans="1:24" ht="15.75" x14ac:dyDescent="0.25">
      <c r="A133" s="181"/>
      <c r="B133" s="183"/>
      <c r="C133" s="183"/>
      <c r="D133" s="183"/>
      <c r="E133" s="183"/>
      <c r="F133" s="183"/>
      <c r="G133" s="183"/>
      <c r="H133" s="183"/>
      <c r="I133" s="183"/>
      <c r="J133" s="183"/>
      <c r="K133" s="183"/>
      <c r="L133" s="183"/>
      <c r="M133" s="183"/>
      <c r="N133" s="183"/>
      <c r="O133" s="183"/>
      <c r="P133" s="183"/>
      <c r="Q133" s="183"/>
      <c r="R133" s="183"/>
      <c r="S133" s="183"/>
      <c r="T133" s="183"/>
      <c r="U133" s="183"/>
      <c r="V133" s="202"/>
      <c r="W133" s="183"/>
      <c r="X133" s="5"/>
    </row>
    <row r="134" spans="1:24" ht="19.5" thickBot="1" x14ac:dyDescent="0.35">
      <c r="A134" s="197"/>
      <c r="B134" s="270" t="str">
        <f>B64</f>
        <v>PM15 INVESTOR REPORT QUARTER ENDING AUGUST 2011</v>
      </c>
      <c r="C134" s="198"/>
      <c r="D134" s="198"/>
      <c r="E134" s="198"/>
      <c r="F134" s="198"/>
      <c r="G134" s="198"/>
      <c r="H134" s="198"/>
      <c r="I134" s="198"/>
      <c r="J134" s="198"/>
      <c r="K134" s="198"/>
      <c r="L134" s="198"/>
      <c r="M134" s="198"/>
      <c r="N134" s="198"/>
      <c r="O134" s="198"/>
      <c r="P134" s="198"/>
      <c r="Q134" s="198"/>
      <c r="R134" s="198"/>
      <c r="S134" s="198"/>
      <c r="T134" s="198"/>
      <c r="U134" s="198"/>
      <c r="V134" s="209"/>
      <c r="W134" s="200"/>
      <c r="X134" s="5"/>
    </row>
    <row r="135" spans="1:24" ht="15.75" x14ac:dyDescent="0.25">
      <c r="A135" s="236"/>
      <c r="B135" s="403" t="s">
        <v>41</v>
      </c>
      <c r="C135" s="238"/>
      <c r="D135" s="238"/>
      <c r="E135" s="238"/>
      <c r="F135" s="238"/>
      <c r="G135" s="238"/>
      <c r="H135" s="238"/>
      <c r="I135" s="238"/>
      <c r="J135" s="238"/>
      <c r="K135" s="238"/>
      <c r="L135" s="238"/>
      <c r="M135" s="238"/>
      <c r="N135" s="238"/>
      <c r="O135" s="238"/>
      <c r="P135" s="238"/>
      <c r="Q135" s="238"/>
      <c r="R135" s="238"/>
      <c r="S135" s="238"/>
      <c r="T135" s="238"/>
      <c r="U135" s="238"/>
      <c r="V135" s="239"/>
      <c r="W135" s="238"/>
      <c r="X135" s="5"/>
    </row>
    <row r="136" spans="1:24" ht="15.75" x14ac:dyDescent="0.25">
      <c r="A136" s="181"/>
      <c r="B136" s="191"/>
      <c r="C136" s="183"/>
      <c r="D136" s="183"/>
      <c r="E136" s="183"/>
      <c r="F136" s="183"/>
      <c r="G136" s="183"/>
      <c r="H136" s="183"/>
      <c r="I136" s="183"/>
      <c r="J136" s="183"/>
      <c r="K136" s="183"/>
      <c r="L136" s="183"/>
      <c r="M136" s="183"/>
      <c r="N136" s="183"/>
      <c r="O136" s="183"/>
      <c r="P136" s="183"/>
      <c r="Q136" s="183"/>
      <c r="R136" s="183"/>
      <c r="S136" s="183"/>
      <c r="T136" s="183"/>
      <c r="U136" s="183"/>
      <c r="V136" s="202"/>
      <c r="W136" s="183"/>
      <c r="X136" s="5"/>
    </row>
    <row r="137" spans="1:24" ht="15.75" x14ac:dyDescent="0.25">
      <c r="A137" s="181"/>
      <c r="B137" s="210" t="s">
        <v>42</v>
      </c>
      <c r="C137" s="183"/>
      <c r="D137" s="183"/>
      <c r="E137" s="183"/>
      <c r="F137" s="183"/>
      <c r="G137" s="183"/>
      <c r="H137" s="183"/>
      <c r="I137" s="183"/>
      <c r="J137" s="183"/>
      <c r="K137" s="183"/>
      <c r="L137" s="183"/>
      <c r="M137" s="183"/>
      <c r="N137" s="183"/>
      <c r="O137" s="183"/>
      <c r="P137" s="183"/>
      <c r="Q137" s="183"/>
      <c r="R137" s="183"/>
      <c r="S137" s="183"/>
      <c r="T137" s="183"/>
      <c r="U137" s="183"/>
      <c r="V137" s="202"/>
      <c r="W137" s="183"/>
      <c r="X137" s="5"/>
    </row>
    <row r="138" spans="1:24" ht="15.75" x14ac:dyDescent="0.25">
      <c r="A138" s="285"/>
      <c r="B138" s="286" t="s">
        <v>43</v>
      </c>
      <c r="C138" s="286"/>
      <c r="D138" s="286"/>
      <c r="E138" s="286"/>
      <c r="F138" s="286"/>
      <c r="G138" s="286"/>
      <c r="H138" s="286"/>
      <c r="I138" s="286"/>
      <c r="J138" s="286"/>
      <c r="K138" s="286"/>
      <c r="L138" s="286"/>
      <c r="M138" s="286"/>
      <c r="N138" s="286"/>
      <c r="O138" s="286"/>
      <c r="P138" s="286"/>
      <c r="Q138" s="286"/>
      <c r="R138" s="286"/>
      <c r="S138" s="286"/>
      <c r="T138" s="286"/>
      <c r="U138" s="286"/>
      <c r="V138" s="338">
        <f>+V34*0.019</f>
        <v>19021.526999999998</v>
      </c>
      <c r="W138" s="289"/>
      <c r="X138" s="5"/>
    </row>
    <row r="139" spans="1:24" ht="15.75" x14ac:dyDescent="0.25">
      <c r="A139" s="285"/>
      <c r="B139" s="286" t="s">
        <v>44</v>
      </c>
      <c r="C139" s="286"/>
      <c r="D139" s="286"/>
      <c r="E139" s="286"/>
      <c r="F139" s="286"/>
      <c r="G139" s="286"/>
      <c r="H139" s="286"/>
      <c r="I139" s="286"/>
      <c r="J139" s="286"/>
      <c r="K139" s="286"/>
      <c r="L139" s="286"/>
      <c r="M139" s="286"/>
      <c r="N139" s="286"/>
      <c r="O139" s="286"/>
      <c r="P139" s="286"/>
      <c r="Q139" s="286"/>
      <c r="R139" s="286"/>
      <c r="S139" s="286"/>
      <c r="T139" s="286"/>
      <c r="U139" s="286"/>
      <c r="V139" s="338">
        <v>19022</v>
      </c>
      <c r="W139" s="289"/>
      <c r="X139" s="5"/>
    </row>
    <row r="140" spans="1:24" ht="15.75" x14ac:dyDescent="0.25">
      <c r="A140" s="285"/>
      <c r="B140" s="286" t="s">
        <v>136</v>
      </c>
      <c r="C140" s="286"/>
      <c r="D140" s="286"/>
      <c r="E140" s="286"/>
      <c r="F140" s="286"/>
      <c r="G140" s="286"/>
      <c r="H140" s="286"/>
      <c r="I140" s="286"/>
      <c r="J140" s="286"/>
      <c r="K140" s="286"/>
      <c r="L140" s="286"/>
      <c r="M140" s="286"/>
      <c r="N140" s="286"/>
      <c r="O140" s="286"/>
      <c r="P140" s="286"/>
      <c r="Q140" s="286"/>
      <c r="R140" s="286"/>
      <c r="S140" s="286"/>
      <c r="T140" s="286"/>
      <c r="U140" s="286"/>
      <c r="V140" s="338"/>
      <c r="W140" s="289"/>
      <c r="X140" s="5"/>
    </row>
    <row r="141" spans="1:24" ht="15.75" x14ac:dyDescent="0.25">
      <c r="A141" s="285"/>
      <c r="B141" s="286" t="s">
        <v>123</v>
      </c>
      <c r="C141" s="286"/>
      <c r="D141" s="286"/>
      <c r="E141" s="286"/>
      <c r="F141" s="286"/>
      <c r="G141" s="286"/>
      <c r="H141" s="286"/>
      <c r="I141" s="286"/>
      <c r="J141" s="286"/>
      <c r="K141" s="286"/>
      <c r="L141" s="286"/>
      <c r="M141" s="286"/>
      <c r="N141" s="286"/>
      <c r="O141" s="286"/>
      <c r="P141" s="286"/>
      <c r="Q141" s="286"/>
      <c r="R141" s="286"/>
      <c r="S141" s="286"/>
      <c r="T141" s="286"/>
      <c r="U141" s="286"/>
      <c r="V141" s="338">
        <v>0</v>
      </c>
      <c r="W141" s="289"/>
      <c r="X141" s="5"/>
    </row>
    <row r="142" spans="1:24" ht="15.75" x14ac:dyDescent="0.25">
      <c r="A142" s="285"/>
      <c r="B142" s="286" t="s">
        <v>124</v>
      </c>
      <c r="C142" s="286"/>
      <c r="D142" s="286"/>
      <c r="E142" s="286"/>
      <c r="F142" s="286"/>
      <c r="G142" s="286"/>
      <c r="H142" s="286"/>
      <c r="I142" s="286"/>
      <c r="J142" s="286"/>
      <c r="K142" s="286"/>
      <c r="L142" s="286"/>
      <c r="M142" s="286"/>
      <c r="N142" s="286"/>
      <c r="O142" s="286"/>
      <c r="P142" s="286"/>
      <c r="Q142" s="286"/>
      <c r="R142" s="286"/>
      <c r="S142" s="286"/>
      <c r="T142" s="286"/>
      <c r="U142" s="286"/>
      <c r="V142" s="338">
        <v>0</v>
      </c>
      <c r="W142" s="289"/>
      <c r="X142" s="5"/>
    </row>
    <row r="143" spans="1:24" ht="15.75" x14ac:dyDescent="0.25">
      <c r="A143" s="285"/>
      <c r="B143" s="286" t="s">
        <v>175</v>
      </c>
      <c r="C143" s="286"/>
      <c r="D143" s="286"/>
      <c r="E143" s="286"/>
      <c r="F143" s="286"/>
      <c r="G143" s="286"/>
      <c r="H143" s="286"/>
      <c r="I143" s="286"/>
      <c r="J143" s="286"/>
      <c r="K143" s="286"/>
      <c r="L143" s="286"/>
      <c r="M143" s="286"/>
      <c r="N143" s="286"/>
      <c r="O143" s="286"/>
      <c r="P143" s="286"/>
      <c r="Q143" s="286"/>
      <c r="R143" s="286"/>
      <c r="S143" s="286"/>
      <c r="T143" s="286"/>
      <c r="U143" s="286"/>
      <c r="V143" s="338">
        <v>0</v>
      </c>
      <c r="W143" s="289"/>
      <c r="X143" s="5"/>
    </row>
    <row r="144" spans="1:24" ht="15.75" x14ac:dyDescent="0.25">
      <c r="A144" s="285"/>
      <c r="B144" s="286" t="s">
        <v>45</v>
      </c>
      <c r="C144" s="286"/>
      <c r="D144" s="286"/>
      <c r="E144" s="286"/>
      <c r="F144" s="286"/>
      <c r="G144" s="286"/>
      <c r="H144" s="286"/>
      <c r="I144" s="286"/>
      <c r="J144" s="286"/>
      <c r="K144" s="286"/>
      <c r="L144" s="286"/>
      <c r="M144" s="286"/>
      <c r="N144" s="286"/>
      <c r="O144" s="286"/>
      <c r="P144" s="286"/>
      <c r="Q144" s="286"/>
      <c r="R144" s="286"/>
      <c r="S144" s="286"/>
      <c r="T144" s="286"/>
      <c r="U144" s="286"/>
      <c r="V144" s="338">
        <v>0</v>
      </c>
      <c r="W144" s="289"/>
      <c r="X144" s="5"/>
    </row>
    <row r="145" spans="1:25" ht="15.75" x14ac:dyDescent="0.25">
      <c r="A145" s="285"/>
      <c r="B145" s="286" t="s">
        <v>129</v>
      </c>
      <c r="C145" s="286"/>
      <c r="D145" s="286"/>
      <c r="E145" s="286"/>
      <c r="F145" s="286"/>
      <c r="G145" s="286"/>
      <c r="H145" s="286"/>
      <c r="I145" s="286"/>
      <c r="J145" s="286"/>
      <c r="K145" s="286"/>
      <c r="L145" s="286"/>
      <c r="M145" s="286"/>
      <c r="N145" s="286"/>
      <c r="O145" s="286"/>
      <c r="P145" s="286"/>
      <c r="Q145" s="286"/>
      <c r="R145" s="286"/>
      <c r="S145" s="286"/>
      <c r="T145" s="286"/>
      <c r="U145" s="286"/>
      <c r="V145" s="338">
        <v>0</v>
      </c>
      <c r="W145" s="289"/>
      <c r="X145" s="5"/>
    </row>
    <row r="146" spans="1:25" ht="15.75" x14ac:dyDescent="0.25">
      <c r="A146" s="285"/>
      <c r="B146" s="286" t="s">
        <v>241</v>
      </c>
      <c r="C146" s="286"/>
      <c r="D146" s="286"/>
      <c r="E146" s="286"/>
      <c r="F146" s="286"/>
      <c r="G146" s="286"/>
      <c r="H146" s="286"/>
      <c r="I146" s="286"/>
      <c r="J146" s="286"/>
      <c r="K146" s="286"/>
      <c r="L146" s="286"/>
      <c r="M146" s="286"/>
      <c r="N146" s="286"/>
      <c r="O146" s="286"/>
      <c r="P146" s="286"/>
      <c r="Q146" s="286"/>
      <c r="R146" s="286"/>
      <c r="S146" s="286"/>
      <c r="T146" s="286"/>
      <c r="U146" s="286"/>
      <c r="V146" s="338">
        <v>0</v>
      </c>
      <c r="W146" s="289"/>
      <c r="X146" s="5"/>
      <c r="Y146" s="109"/>
    </row>
    <row r="147" spans="1:25" ht="15.75" x14ac:dyDescent="0.25">
      <c r="A147" s="285"/>
      <c r="B147" s="286" t="s">
        <v>46</v>
      </c>
      <c r="C147" s="286"/>
      <c r="D147" s="286"/>
      <c r="E147" s="286"/>
      <c r="F147" s="286"/>
      <c r="G147" s="286"/>
      <c r="H147" s="286"/>
      <c r="I147" s="286"/>
      <c r="J147" s="286"/>
      <c r="K147" s="286"/>
      <c r="L147" s="286"/>
      <c r="M147" s="286"/>
      <c r="N147" s="286"/>
      <c r="O147" s="286"/>
      <c r="P147" s="286"/>
      <c r="Q147" s="286"/>
      <c r="R147" s="286"/>
      <c r="S147" s="286"/>
      <c r="T147" s="286"/>
      <c r="U147" s="286"/>
      <c r="V147" s="338">
        <f>SUM(V139:V146)</f>
        <v>19022</v>
      </c>
      <c r="W147" s="289"/>
      <c r="X147" s="5"/>
    </row>
    <row r="148" spans="1:25" ht="15.75" x14ac:dyDescent="0.25">
      <c r="A148" s="285"/>
      <c r="B148" s="314"/>
      <c r="C148" s="314"/>
      <c r="D148" s="314"/>
      <c r="E148" s="314"/>
      <c r="F148" s="314"/>
      <c r="G148" s="314"/>
      <c r="H148" s="314"/>
      <c r="I148" s="314"/>
      <c r="J148" s="314"/>
      <c r="K148" s="314"/>
      <c r="L148" s="314"/>
      <c r="M148" s="314"/>
      <c r="N148" s="314"/>
      <c r="O148" s="314"/>
      <c r="P148" s="314"/>
      <c r="Q148" s="314"/>
      <c r="R148" s="314"/>
      <c r="S148" s="314"/>
      <c r="T148" s="314"/>
      <c r="U148" s="314"/>
      <c r="V148" s="345"/>
      <c r="W148" s="318"/>
      <c r="X148" s="5"/>
    </row>
    <row r="149" spans="1:25" ht="15.75" x14ac:dyDescent="0.25">
      <c r="A149" s="285"/>
      <c r="B149" s="342" t="s">
        <v>269</v>
      </c>
      <c r="C149" s="314"/>
      <c r="D149" s="314"/>
      <c r="E149" s="314"/>
      <c r="F149" s="314"/>
      <c r="G149" s="314"/>
      <c r="H149" s="314"/>
      <c r="I149" s="314"/>
      <c r="J149" s="314"/>
      <c r="K149" s="314"/>
      <c r="L149" s="314"/>
      <c r="M149" s="314"/>
      <c r="N149" s="314"/>
      <c r="O149" s="314"/>
      <c r="P149" s="314"/>
      <c r="Q149" s="314"/>
      <c r="R149" s="314"/>
      <c r="S149" s="314"/>
      <c r="T149" s="314"/>
      <c r="U149" s="314"/>
      <c r="V149" s="345"/>
      <c r="W149" s="318"/>
      <c r="X149" s="5"/>
    </row>
    <row r="150" spans="1:25" ht="15.75" x14ac:dyDescent="0.25">
      <c r="A150" s="285"/>
      <c r="B150" s="286" t="s">
        <v>155</v>
      </c>
      <c r="C150" s="286"/>
      <c r="D150" s="286"/>
      <c r="E150" s="286"/>
      <c r="F150" s="286"/>
      <c r="G150" s="286"/>
      <c r="H150" s="286"/>
      <c r="I150" s="286"/>
      <c r="J150" s="286"/>
      <c r="K150" s="286"/>
      <c r="L150" s="286"/>
      <c r="M150" s="286"/>
      <c r="N150" s="286"/>
      <c r="O150" s="286"/>
      <c r="P150" s="286"/>
      <c r="Q150" s="286"/>
      <c r="R150" s="286"/>
      <c r="S150" s="286"/>
      <c r="T150" s="286"/>
      <c r="U150" s="286"/>
      <c r="V150" s="338">
        <v>0</v>
      </c>
      <c r="W150" s="289"/>
      <c r="X150" s="5"/>
    </row>
    <row r="151" spans="1:25" ht="15.75" x14ac:dyDescent="0.25">
      <c r="A151" s="285"/>
      <c r="B151" s="286" t="s">
        <v>172</v>
      </c>
      <c r="C151" s="286"/>
      <c r="D151" s="286"/>
      <c r="E151" s="286"/>
      <c r="F151" s="286"/>
      <c r="G151" s="286"/>
      <c r="H151" s="286"/>
      <c r="I151" s="286"/>
      <c r="J151" s="286"/>
      <c r="K151" s="286"/>
      <c r="L151" s="286"/>
      <c r="M151" s="286"/>
      <c r="N151" s="286"/>
      <c r="O151" s="286"/>
      <c r="P151" s="286"/>
      <c r="Q151" s="286"/>
      <c r="R151" s="286"/>
      <c r="S151" s="286"/>
      <c r="T151" s="286"/>
      <c r="U151" s="286"/>
      <c r="V151" s="338">
        <v>0</v>
      </c>
      <c r="W151" s="289"/>
      <c r="X151" s="5"/>
    </row>
    <row r="152" spans="1:25" ht="15.75" x14ac:dyDescent="0.25">
      <c r="A152" s="285"/>
      <c r="B152" s="286" t="s">
        <v>226</v>
      </c>
      <c r="C152" s="286"/>
      <c r="D152" s="286"/>
      <c r="E152" s="286"/>
      <c r="F152" s="286"/>
      <c r="G152" s="286"/>
      <c r="H152" s="286"/>
      <c r="I152" s="286"/>
      <c r="J152" s="286"/>
      <c r="K152" s="286"/>
      <c r="L152" s="286"/>
      <c r="M152" s="286"/>
      <c r="N152" s="286"/>
      <c r="O152" s="286"/>
      <c r="P152" s="286"/>
      <c r="Q152" s="286"/>
      <c r="R152" s="286"/>
      <c r="S152" s="286"/>
      <c r="T152" s="286"/>
      <c r="U152" s="286"/>
      <c r="V152" s="338">
        <v>0</v>
      </c>
      <c r="W152" s="289"/>
      <c r="X152" s="5"/>
    </row>
    <row r="153" spans="1:25" ht="15.75" x14ac:dyDescent="0.25">
      <c r="A153" s="285"/>
      <c r="B153" s="314"/>
      <c r="C153" s="314"/>
      <c r="D153" s="314"/>
      <c r="E153" s="314"/>
      <c r="F153" s="314"/>
      <c r="G153" s="314"/>
      <c r="H153" s="314"/>
      <c r="I153" s="314"/>
      <c r="J153" s="314"/>
      <c r="K153" s="314"/>
      <c r="L153" s="314"/>
      <c r="M153" s="314"/>
      <c r="N153" s="314"/>
      <c r="O153" s="314"/>
      <c r="P153" s="314"/>
      <c r="Q153" s="314"/>
      <c r="R153" s="314"/>
      <c r="S153" s="314"/>
      <c r="T153" s="314"/>
      <c r="U153" s="314"/>
      <c r="V153" s="345"/>
      <c r="W153" s="318"/>
      <c r="X153" s="5"/>
    </row>
    <row r="154" spans="1:25" ht="15.75" x14ac:dyDescent="0.25">
      <c r="A154" s="181"/>
      <c r="B154" s="212"/>
      <c r="C154" s="212"/>
      <c r="D154" s="212"/>
      <c r="E154" s="212"/>
      <c r="F154" s="212"/>
      <c r="G154" s="212"/>
      <c r="H154" s="212"/>
      <c r="I154" s="212"/>
      <c r="J154" s="212"/>
      <c r="K154" s="212"/>
      <c r="L154" s="212"/>
      <c r="M154" s="212"/>
      <c r="N154" s="212"/>
      <c r="O154" s="212"/>
      <c r="P154" s="212"/>
      <c r="Q154" s="212"/>
      <c r="R154" s="212"/>
      <c r="S154" s="212"/>
      <c r="T154" s="212"/>
      <c r="U154" s="212"/>
      <c r="V154" s="344"/>
      <c r="W154" s="212"/>
      <c r="X154" s="5"/>
    </row>
    <row r="155" spans="1:25" ht="15.75" x14ac:dyDescent="0.25">
      <c r="A155" s="181"/>
      <c r="B155" s="210" t="s">
        <v>24</v>
      </c>
      <c r="C155" s="183"/>
      <c r="D155" s="183"/>
      <c r="E155" s="183"/>
      <c r="F155" s="183"/>
      <c r="G155" s="183"/>
      <c r="H155" s="183"/>
      <c r="I155" s="183"/>
      <c r="J155" s="183"/>
      <c r="K155" s="183"/>
      <c r="L155" s="183"/>
      <c r="M155" s="183"/>
      <c r="N155" s="183"/>
      <c r="O155" s="183"/>
      <c r="P155" s="183"/>
      <c r="Q155" s="183"/>
      <c r="R155" s="183"/>
      <c r="S155" s="183"/>
      <c r="T155" s="183"/>
      <c r="U155" s="183"/>
      <c r="V155" s="202"/>
      <c r="W155" s="183"/>
      <c r="X155" s="5"/>
    </row>
    <row r="156" spans="1:25" ht="15.75" x14ac:dyDescent="0.25">
      <c r="A156" s="285"/>
      <c r="B156" s="286" t="s">
        <v>47</v>
      </c>
      <c r="C156" s="286"/>
      <c r="D156" s="286"/>
      <c r="E156" s="286"/>
      <c r="F156" s="286"/>
      <c r="G156" s="286"/>
      <c r="H156" s="286"/>
      <c r="I156" s="286"/>
      <c r="J156" s="286"/>
      <c r="K156" s="286"/>
      <c r="L156" s="286"/>
      <c r="M156" s="286"/>
      <c r="N156" s="286"/>
      <c r="O156" s="286"/>
      <c r="P156" s="286"/>
      <c r="Q156" s="286"/>
      <c r="R156" s="286"/>
      <c r="S156" s="286"/>
      <c r="T156" s="286"/>
      <c r="U156" s="286"/>
      <c r="V156" s="343" t="s">
        <v>118</v>
      </c>
      <c r="W156" s="318"/>
      <c r="X156" s="5"/>
    </row>
    <row r="157" spans="1:25" ht="15.75" x14ac:dyDescent="0.25">
      <c r="A157" s="285"/>
      <c r="B157" s="286" t="s">
        <v>48</v>
      </c>
      <c r="C157" s="288"/>
      <c r="D157" s="288"/>
      <c r="E157" s="288"/>
      <c r="F157" s="288"/>
      <c r="G157" s="288"/>
      <c r="H157" s="288"/>
      <c r="I157" s="288"/>
      <c r="J157" s="288"/>
      <c r="K157" s="288"/>
      <c r="L157" s="288"/>
      <c r="M157" s="288"/>
      <c r="N157" s="288"/>
      <c r="O157" s="288"/>
      <c r="P157" s="288"/>
      <c r="Q157" s="288"/>
      <c r="R157" s="288"/>
      <c r="S157" s="288"/>
      <c r="T157" s="288"/>
      <c r="U157" s="288"/>
      <c r="V157" s="343" t="s">
        <v>118</v>
      </c>
      <c r="W157" s="318"/>
      <c r="X157" s="5"/>
    </row>
    <row r="158" spans="1:25" ht="15.75" x14ac:dyDescent="0.25">
      <c r="A158" s="285"/>
      <c r="B158" s="286" t="s">
        <v>49</v>
      </c>
      <c r="C158" s="286"/>
      <c r="D158" s="286"/>
      <c r="E158" s="286"/>
      <c r="F158" s="286"/>
      <c r="G158" s="286"/>
      <c r="H158" s="286"/>
      <c r="I158" s="286"/>
      <c r="J158" s="286"/>
      <c r="K158" s="286"/>
      <c r="L158" s="286"/>
      <c r="M158" s="286"/>
      <c r="N158" s="286"/>
      <c r="O158" s="286"/>
      <c r="P158" s="286"/>
      <c r="Q158" s="286"/>
      <c r="R158" s="286"/>
      <c r="S158" s="286"/>
      <c r="T158" s="286"/>
      <c r="U158" s="286"/>
      <c r="V158" s="343" t="s">
        <v>118</v>
      </c>
      <c r="W158" s="318"/>
      <c r="X158" s="5"/>
    </row>
    <row r="159" spans="1:25" ht="15.75" x14ac:dyDescent="0.25">
      <c r="A159" s="285"/>
      <c r="B159" s="286" t="s">
        <v>50</v>
      </c>
      <c r="C159" s="286"/>
      <c r="D159" s="286"/>
      <c r="E159" s="286"/>
      <c r="F159" s="286"/>
      <c r="G159" s="286"/>
      <c r="H159" s="286"/>
      <c r="I159" s="286"/>
      <c r="J159" s="286"/>
      <c r="K159" s="286"/>
      <c r="L159" s="286"/>
      <c r="M159" s="286"/>
      <c r="N159" s="286"/>
      <c r="O159" s="286"/>
      <c r="P159" s="286"/>
      <c r="Q159" s="286"/>
      <c r="R159" s="286"/>
      <c r="S159" s="286"/>
      <c r="T159" s="286"/>
      <c r="U159" s="286"/>
      <c r="V159" s="343" t="s">
        <v>118</v>
      </c>
      <c r="W159" s="318"/>
      <c r="X159" s="5"/>
    </row>
    <row r="160" spans="1:25" ht="15.75" x14ac:dyDescent="0.25">
      <c r="A160" s="181"/>
      <c r="B160" s="212"/>
      <c r="C160" s="212"/>
      <c r="D160" s="212"/>
      <c r="E160" s="212"/>
      <c r="F160" s="212"/>
      <c r="G160" s="212"/>
      <c r="H160" s="212"/>
      <c r="I160" s="212"/>
      <c r="J160" s="212"/>
      <c r="K160" s="212"/>
      <c r="L160" s="212"/>
      <c r="M160" s="212"/>
      <c r="N160" s="212"/>
      <c r="O160" s="212"/>
      <c r="P160" s="212"/>
      <c r="Q160" s="212"/>
      <c r="R160" s="212"/>
      <c r="S160" s="212"/>
      <c r="T160" s="212"/>
      <c r="U160" s="212"/>
      <c r="V160" s="344"/>
      <c r="W160" s="212"/>
      <c r="X160" s="5"/>
    </row>
    <row r="161" spans="1:256" ht="15.75" x14ac:dyDescent="0.25">
      <c r="A161" s="181"/>
      <c r="B161" s="210" t="s">
        <v>51</v>
      </c>
      <c r="C161" s="183"/>
      <c r="D161" s="183"/>
      <c r="E161" s="183"/>
      <c r="F161" s="183"/>
      <c r="G161" s="183"/>
      <c r="H161" s="183"/>
      <c r="I161" s="183"/>
      <c r="J161" s="183"/>
      <c r="K161" s="183"/>
      <c r="L161" s="183"/>
      <c r="M161" s="183"/>
      <c r="N161" s="183"/>
      <c r="O161" s="183"/>
      <c r="P161" s="183"/>
      <c r="Q161" s="183"/>
      <c r="R161" s="183"/>
      <c r="S161" s="183"/>
      <c r="T161" s="183"/>
      <c r="U161" s="183"/>
      <c r="V161" s="211"/>
      <c r="W161" s="183"/>
      <c r="X161" s="5"/>
    </row>
    <row r="162" spans="1:256" ht="15.75" x14ac:dyDescent="0.25">
      <c r="A162" s="285"/>
      <c r="B162" s="286" t="s">
        <v>52</v>
      </c>
      <c r="C162" s="286"/>
      <c r="D162" s="286"/>
      <c r="E162" s="286"/>
      <c r="F162" s="286"/>
      <c r="G162" s="286"/>
      <c r="H162" s="286"/>
      <c r="I162" s="286"/>
      <c r="J162" s="286"/>
      <c r="K162" s="286"/>
      <c r="L162" s="286"/>
      <c r="M162" s="286"/>
      <c r="N162" s="286"/>
      <c r="O162" s="286"/>
      <c r="P162" s="286"/>
      <c r="Q162" s="286"/>
      <c r="R162" s="286"/>
      <c r="S162" s="286"/>
      <c r="T162" s="286"/>
      <c r="U162" s="286"/>
      <c r="V162" s="338">
        <v>0</v>
      </c>
      <c r="W162" s="289"/>
      <c r="X162" s="5"/>
    </row>
    <row r="163" spans="1:256" ht="15.75" x14ac:dyDescent="0.25">
      <c r="A163" s="285"/>
      <c r="B163" s="286" t="s">
        <v>53</v>
      </c>
      <c r="C163" s="286"/>
      <c r="D163" s="286"/>
      <c r="E163" s="286"/>
      <c r="F163" s="286"/>
      <c r="G163" s="286"/>
      <c r="H163" s="286"/>
      <c r="I163" s="286"/>
      <c r="J163" s="286"/>
      <c r="K163" s="286"/>
      <c r="L163" s="286"/>
      <c r="M163" s="286"/>
      <c r="N163" s="286"/>
      <c r="O163" s="286"/>
      <c r="P163" s="286"/>
      <c r="Q163" s="286"/>
      <c r="R163" s="286"/>
      <c r="S163" s="286"/>
      <c r="T163" s="286"/>
      <c r="U163" s="286"/>
      <c r="V163" s="338">
        <v>176</v>
      </c>
      <c r="W163" s="289"/>
      <c r="X163" s="5"/>
    </row>
    <row r="164" spans="1:256" ht="15.75" x14ac:dyDescent="0.25">
      <c r="A164" s="285"/>
      <c r="B164" s="286" t="s">
        <v>54</v>
      </c>
      <c r="C164" s="286"/>
      <c r="D164" s="286"/>
      <c r="E164" s="286"/>
      <c r="F164" s="286"/>
      <c r="G164" s="286"/>
      <c r="H164" s="286"/>
      <c r="I164" s="286"/>
      <c r="J164" s="286"/>
      <c r="K164" s="286"/>
      <c r="L164" s="286"/>
      <c r="M164" s="286"/>
      <c r="N164" s="286"/>
      <c r="O164" s="286"/>
      <c r="P164" s="286"/>
      <c r="Q164" s="286"/>
      <c r="R164" s="286"/>
      <c r="S164" s="286"/>
      <c r="T164" s="286"/>
      <c r="U164" s="286"/>
      <c r="V164" s="338">
        <f>V163+V162</f>
        <v>176</v>
      </c>
      <c r="W164" s="289"/>
      <c r="X164" s="5"/>
    </row>
    <row r="165" spans="1:256" ht="15.75" x14ac:dyDescent="0.25">
      <c r="A165" s="285"/>
      <c r="B165" s="286" t="s">
        <v>303</v>
      </c>
      <c r="C165" s="286"/>
      <c r="D165" s="286"/>
      <c r="E165" s="286"/>
      <c r="F165" s="286"/>
      <c r="G165" s="286"/>
      <c r="H165" s="286"/>
      <c r="I165" s="286"/>
      <c r="J165" s="286"/>
      <c r="K165" s="286"/>
      <c r="L165" s="286"/>
      <c r="M165" s="286"/>
      <c r="N165" s="286"/>
      <c r="O165" s="286"/>
      <c r="P165" s="286"/>
      <c r="Q165" s="286"/>
      <c r="R165" s="286"/>
      <c r="S165" s="286"/>
      <c r="T165" s="286"/>
      <c r="U165" s="286"/>
      <c r="V165" s="338">
        <f>V113</f>
        <v>-176</v>
      </c>
      <c r="W165" s="289"/>
      <c r="X165" s="5"/>
    </row>
    <row r="166" spans="1:256" ht="15.75" x14ac:dyDescent="0.25">
      <c r="A166" s="285"/>
      <c r="B166" s="286" t="s">
        <v>55</v>
      </c>
      <c r="C166" s="286"/>
      <c r="D166" s="286"/>
      <c r="E166" s="286"/>
      <c r="F166" s="286"/>
      <c r="G166" s="286"/>
      <c r="H166" s="286"/>
      <c r="I166" s="286"/>
      <c r="J166" s="286"/>
      <c r="K166" s="286"/>
      <c r="L166" s="286"/>
      <c r="M166" s="286"/>
      <c r="N166" s="286"/>
      <c r="O166" s="286"/>
      <c r="P166" s="286"/>
      <c r="Q166" s="286"/>
      <c r="R166" s="286"/>
      <c r="S166" s="286"/>
      <c r="T166" s="286"/>
      <c r="U166" s="286"/>
      <c r="V166" s="338">
        <f>V164+V165</f>
        <v>0</v>
      </c>
      <c r="W166" s="289"/>
      <c r="X166" s="5"/>
    </row>
    <row r="167" spans="1:256" ht="15.75" x14ac:dyDescent="0.25">
      <c r="A167" s="285"/>
      <c r="B167" s="286" t="s">
        <v>274</v>
      </c>
      <c r="C167" s="286"/>
      <c r="D167" s="286"/>
      <c r="E167" s="286"/>
      <c r="F167" s="286"/>
      <c r="G167" s="286"/>
      <c r="H167" s="286"/>
      <c r="I167" s="286"/>
      <c r="J167" s="286"/>
      <c r="K167" s="286"/>
      <c r="L167" s="286"/>
      <c r="M167" s="286"/>
      <c r="N167" s="286"/>
      <c r="O167" s="286"/>
      <c r="P167" s="286"/>
      <c r="Q167" s="286"/>
      <c r="R167" s="286"/>
      <c r="S167" s="286"/>
      <c r="T167" s="286"/>
      <c r="U167" s="286"/>
      <c r="V167" s="338">
        <f>-V100</f>
        <v>7</v>
      </c>
      <c r="W167" s="289"/>
      <c r="X167" s="5"/>
    </row>
    <row r="168" spans="1:256" ht="16.5" thickBot="1" x14ac:dyDescent="0.3">
      <c r="A168" s="181"/>
      <c r="B168" s="212"/>
      <c r="C168" s="212"/>
      <c r="D168" s="212"/>
      <c r="E168" s="212"/>
      <c r="F168" s="212"/>
      <c r="G168" s="212"/>
      <c r="H168" s="212"/>
      <c r="I168" s="212"/>
      <c r="J168" s="212"/>
      <c r="K168" s="212"/>
      <c r="L168" s="212"/>
      <c r="M168" s="212"/>
      <c r="N168" s="212"/>
      <c r="O168" s="212"/>
      <c r="P168" s="212"/>
      <c r="Q168" s="212"/>
      <c r="R168" s="212"/>
      <c r="S168" s="212"/>
      <c r="T168" s="212"/>
      <c r="U168" s="212"/>
      <c r="V168" s="344"/>
      <c r="W168" s="212"/>
      <c r="X168" s="5"/>
    </row>
    <row r="169" spans="1:256" ht="15.75" x14ac:dyDescent="0.25">
      <c r="A169" s="179"/>
      <c r="B169" s="180"/>
      <c r="C169" s="180"/>
      <c r="D169" s="180"/>
      <c r="E169" s="180"/>
      <c r="F169" s="180"/>
      <c r="G169" s="180"/>
      <c r="H169" s="180"/>
      <c r="I169" s="180"/>
      <c r="J169" s="180"/>
      <c r="K169" s="180"/>
      <c r="L169" s="180"/>
      <c r="M169" s="180"/>
      <c r="N169" s="180"/>
      <c r="O169" s="180"/>
      <c r="P169" s="180"/>
      <c r="Q169" s="180"/>
      <c r="R169" s="180"/>
      <c r="S169" s="180"/>
      <c r="T169" s="180"/>
      <c r="U169" s="180"/>
      <c r="V169" s="201"/>
      <c r="W169" s="180"/>
      <c r="X169" s="5"/>
    </row>
    <row r="170" spans="1:256" s="158" customFormat="1" ht="15.75" x14ac:dyDescent="0.25">
      <c r="A170" s="181"/>
      <c r="B170" s="210" t="s">
        <v>230</v>
      </c>
      <c r="C170" s="212"/>
      <c r="D170" s="212"/>
      <c r="E170" s="212"/>
      <c r="F170" s="212"/>
      <c r="G170" s="212"/>
      <c r="H170" s="212"/>
      <c r="I170" s="212"/>
      <c r="J170" s="212"/>
      <c r="K170" s="212"/>
      <c r="L170" s="212"/>
      <c r="M170" s="212"/>
      <c r="N170" s="212"/>
      <c r="O170" s="212"/>
      <c r="P170" s="212"/>
      <c r="Q170" s="212"/>
      <c r="R170" s="212"/>
      <c r="S170" s="212"/>
      <c r="T170" s="212"/>
      <c r="U170" s="212"/>
      <c r="V170" s="213"/>
      <c r="W170" s="212"/>
      <c r="X170" s="5"/>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s="160" customFormat="1" ht="15.75" x14ac:dyDescent="0.25">
      <c r="A171" s="285"/>
      <c r="B171" s="286" t="s">
        <v>231</v>
      </c>
      <c r="C171" s="286"/>
      <c r="D171" s="286"/>
      <c r="E171" s="286"/>
      <c r="F171" s="286"/>
      <c r="G171" s="286"/>
      <c r="H171" s="286"/>
      <c r="I171" s="286"/>
      <c r="J171" s="286"/>
      <c r="K171" s="286"/>
      <c r="L171" s="286"/>
      <c r="M171" s="286"/>
      <c r="N171" s="286"/>
      <c r="O171" s="286"/>
      <c r="P171" s="286"/>
      <c r="Q171" s="286"/>
      <c r="R171" s="286"/>
      <c r="S171" s="286"/>
      <c r="T171" s="286"/>
      <c r="U171" s="286"/>
      <c r="V171" s="338">
        <f>+'Aug 08'!V173</f>
        <v>0</v>
      </c>
      <c r="W171" s="289"/>
      <c r="X171" s="5"/>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s="160" customFormat="1" ht="15.75" x14ac:dyDescent="0.25">
      <c r="A172" s="285"/>
      <c r="B172" s="286" t="s">
        <v>234</v>
      </c>
      <c r="C172" s="286"/>
      <c r="D172" s="286"/>
      <c r="E172" s="286"/>
      <c r="F172" s="286"/>
      <c r="G172" s="286"/>
      <c r="H172" s="286"/>
      <c r="I172" s="286"/>
      <c r="J172" s="286"/>
      <c r="K172" s="286"/>
      <c r="L172" s="286"/>
      <c r="M172" s="286"/>
      <c r="N172" s="286"/>
      <c r="O172" s="286"/>
      <c r="P172" s="286"/>
      <c r="Q172" s="286"/>
      <c r="R172" s="286"/>
      <c r="S172" s="286"/>
      <c r="T172" s="286"/>
      <c r="U172" s="286"/>
      <c r="V172" s="338">
        <f>+V94</f>
        <v>0</v>
      </c>
      <c r="W172" s="289"/>
      <c r="X172" s="5"/>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s="160" customFormat="1" ht="15.75" x14ac:dyDescent="0.25">
      <c r="A173" s="285"/>
      <c r="B173" s="286" t="s">
        <v>232</v>
      </c>
      <c r="C173" s="286"/>
      <c r="D173" s="286"/>
      <c r="E173" s="286"/>
      <c r="F173" s="286"/>
      <c r="G173" s="286"/>
      <c r="H173" s="286"/>
      <c r="I173" s="286"/>
      <c r="J173" s="286"/>
      <c r="K173" s="286"/>
      <c r="L173" s="286"/>
      <c r="M173" s="286"/>
      <c r="N173" s="286"/>
      <c r="O173" s="286"/>
      <c r="P173" s="286"/>
      <c r="Q173" s="286"/>
      <c r="R173" s="286"/>
      <c r="S173" s="286"/>
      <c r="T173" s="286"/>
      <c r="U173" s="286"/>
      <c r="V173" s="338">
        <f>+V171-V172</f>
        <v>0</v>
      </c>
      <c r="W173" s="289"/>
      <c r="X173" s="5"/>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s="163" customFormat="1" ht="16.5" thickBot="1" x14ac:dyDescent="0.3">
      <c r="A174" s="197"/>
      <c r="B174" s="212"/>
      <c r="C174" s="212"/>
      <c r="D174" s="212"/>
      <c r="E174" s="212"/>
      <c r="F174" s="212"/>
      <c r="G174" s="212"/>
      <c r="H174" s="212"/>
      <c r="I174" s="212"/>
      <c r="J174" s="212"/>
      <c r="K174" s="212"/>
      <c r="L174" s="212"/>
      <c r="M174" s="212"/>
      <c r="N174" s="212"/>
      <c r="O174" s="212"/>
      <c r="P174" s="212"/>
      <c r="Q174" s="212"/>
      <c r="R174" s="212"/>
      <c r="S174" s="212"/>
      <c r="T174" s="212"/>
      <c r="U174" s="212"/>
      <c r="V174" s="344"/>
      <c r="W174" s="212"/>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4" customFormat="1" ht="15.75" x14ac:dyDescent="0.25">
      <c r="A175" s="179"/>
      <c r="B175" s="180"/>
      <c r="C175" s="180"/>
      <c r="D175" s="180"/>
      <c r="E175" s="180"/>
      <c r="F175" s="180"/>
      <c r="G175" s="180"/>
      <c r="H175" s="180"/>
      <c r="I175" s="180"/>
      <c r="J175" s="180"/>
      <c r="K175" s="180"/>
      <c r="L175" s="180"/>
      <c r="M175" s="180"/>
      <c r="N175" s="180"/>
      <c r="O175" s="180"/>
      <c r="P175" s="180"/>
      <c r="Q175" s="180"/>
      <c r="R175" s="180"/>
      <c r="S175" s="180"/>
      <c r="T175" s="180"/>
      <c r="U175" s="180"/>
      <c r="V175" s="201"/>
      <c r="W175" s="180"/>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ht="15.75" x14ac:dyDescent="0.25">
      <c r="A176" s="181"/>
      <c r="B176" s="210" t="s">
        <v>56</v>
      </c>
      <c r="C176" s="183"/>
      <c r="D176" s="183"/>
      <c r="E176" s="183"/>
      <c r="F176" s="183"/>
      <c r="G176" s="183"/>
      <c r="H176" s="183"/>
      <c r="I176" s="183"/>
      <c r="J176" s="183"/>
      <c r="K176" s="183"/>
      <c r="L176" s="183"/>
      <c r="M176" s="183"/>
      <c r="N176" s="183"/>
      <c r="O176" s="183"/>
      <c r="P176" s="183"/>
      <c r="Q176" s="183"/>
      <c r="R176" s="183"/>
      <c r="S176" s="183"/>
      <c r="T176" s="183"/>
      <c r="U176" s="183"/>
      <c r="V176" s="202"/>
      <c r="W176" s="183"/>
      <c r="X176" s="5"/>
    </row>
    <row r="177" spans="1:24" ht="15.75" x14ac:dyDescent="0.25">
      <c r="A177" s="181"/>
      <c r="B177" s="191"/>
      <c r="C177" s="183"/>
      <c r="D177" s="183"/>
      <c r="E177" s="183"/>
      <c r="F177" s="183"/>
      <c r="G177" s="183"/>
      <c r="H177" s="183"/>
      <c r="I177" s="183"/>
      <c r="J177" s="183"/>
      <c r="K177" s="183"/>
      <c r="L177" s="183"/>
      <c r="M177" s="183"/>
      <c r="N177" s="183"/>
      <c r="O177" s="183"/>
      <c r="P177" s="183"/>
      <c r="Q177" s="183"/>
      <c r="R177" s="183"/>
      <c r="S177" s="183"/>
      <c r="T177" s="183"/>
      <c r="U177" s="183"/>
      <c r="V177" s="202"/>
      <c r="W177" s="183"/>
      <c r="X177" s="5"/>
    </row>
    <row r="178" spans="1:24" ht="15.75" x14ac:dyDescent="0.25">
      <c r="A178" s="285"/>
      <c r="B178" s="286" t="s">
        <v>57</v>
      </c>
      <c r="C178" s="286"/>
      <c r="D178" s="286"/>
      <c r="E178" s="286"/>
      <c r="F178" s="286"/>
      <c r="G178" s="286"/>
      <c r="H178" s="286"/>
      <c r="I178" s="286"/>
      <c r="J178" s="286"/>
      <c r="K178" s="286"/>
      <c r="L178" s="286"/>
      <c r="M178" s="286"/>
      <c r="N178" s="286"/>
      <c r="O178" s="286"/>
      <c r="P178" s="286"/>
      <c r="Q178" s="286"/>
      <c r="R178" s="286"/>
      <c r="S178" s="286"/>
      <c r="T178" s="286"/>
      <c r="U178" s="286"/>
      <c r="V178" s="338">
        <f>V71</f>
        <v>838515</v>
      </c>
      <c r="W178" s="289"/>
      <c r="X178" s="5"/>
    </row>
    <row r="179" spans="1:24" ht="15.75" x14ac:dyDescent="0.25">
      <c r="A179" s="285"/>
      <c r="B179" s="286" t="s">
        <v>58</v>
      </c>
      <c r="C179" s="286"/>
      <c r="D179" s="286"/>
      <c r="E179" s="286"/>
      <c r="F179" s="286"/>
      <c r="G179" s="286"/>
      <c r="H179" s="286"/>
      <c r="I179" s="286"/>
      <c r="J179" s="286"/>
      <c r="K179" s="286"/>
      <c r="L179" s="286"/>
      <c r="M179" s="286"/>
      <c r="N179" s="286"/>
      <c r="O179" s="286"/>
      <c r="P179" s="286"/>
      <c r="Q179" s="286"/>
      <c r="R179" s="286"/>
      <c r="S179" s="286"/>
      <c r="T179" s="286"/>
      <c r="U179" s="286"/>
      <c r="V179" s="338">
        <f>V84</f>
        <v>838515</v>
      </c>
      <c r="W179" s="289"/>
      <c r="X179" s="5"/>
    </row>
    <row r="180" spans="1:24" ht="16.5" thickBot="1" x14ac:dyDescent="0.3">
      <c r="A180" s="181"/>
      <c r="B180" s="212"/>
      <c r="C180" s="212"/>
      <c r="D180" s="212"/>
      <c r="E180" s="212"/>
      <c r="F180" s="212"/>
      <c r="G180" s="212"/>
      <c r="H180" s="212"/>
      <c r="I180" s="212"/>
      <c r="J180" s="212"/>
      <c r="K180" s="212"/>
      <c r="L180" s="212"/>
      <c r="M180" s="212"/>
      <c r="N180" s="212"/>
      <c r="O180" s="212"/>
      <c r="P180" s="212"/>
      <c r="Q180" s="212"/>
      <c r="R180" s="212"/>
      <c r="S180" s="212"/>
      <c r="T180" s="212"/>
      <c r="U180" s="212"/>
      <c r="V180" s="344"/>
      <c r="W180" s="212"/>
      <c r="X180" s="5"/>
    </row>
    <row r="181" spans="1:24" ht="15.75" x14ac:dyDescent="0.25">
      <c r="A181" s="179"/>
      <c r="B181" s="180"/>
      <c r="C181" s="180"/>
      <c r="D181" s="180"/>
      <c r="E181" s="180"/>
      <c r="F181" s="180"/>
      <c r="G181" s="180"/>
      <c r="H181" s="180"/>
      <c r="I181" s="180"/>
      <c r="J181" s="180"/>
      <c r="K181" s="180"/>
      <c r="L181" s="180"/>
      <c r="M181" s="180"/>
      <c r="N181" s="180"/>
      <c r="O181" s="180"/>
      <c r="P181" s="180"/>
      <c r="Q181" s="180"/>
      <c r="R181" s="180"/>
      <c r="S181" s="180"/>
      <c r="T181" s="180"/>
      <c r="U181" s="180"/>
      <c r="V181" s="201"/>
      <c r="W181" s="180"/>
      <c r="X181" s="5"/>
    </row>
    <row r="182" spans="1:24" ht="15.75" x14ac:dyDescent="0.25">
      <c r="A182" s="181"/>
      <c r="B182" s="210" t="s">
        <v>59</v>
      </c>
      <c r="C182" s="206"/>
      <c r="D182" s="206"/>
      <c r="E182" s="206"/>
      <c r="F182" s="206"/>
      <c r="G182" s="206"/>
      <c r="H182" s="214"/>
      <c r="I182" s="214"/>
      <c r="J182" s="214"/>
      <c r="K182" s="214"/>
      <c r="L182" s="214"/>
      <c r="M182" s="214"/>
      <c r="N182" s="214"/>
      <c r="O182" s="214"/>
      <c r="P182" s="214"/>
      <c r="Q182" s="214"/>
      <c r="R182" s="214"/>
      <c r="S182" s="214" t="s">
        <v>101</v>
      </c>
      <c r="T182" s="214" t="s">
        <v>176</v>
      </c>
      <c r="U182" s="185"/>
      <c r="V182" s="215" t="s">
        <v>114</v>
      </c>
      <c r="W182" s="216"/>
      <c r="X182" s="5"/>
    </row>
    <row r="183" spans="1:24" ht="15.75" x14ac:dyDescent="0.25">
      <c r="A183" s="285"/>
      <c r="B183" s="286" t="s">
        <v>60</v>
      </c>
      <c r="C183" s="286"/>
      <c r="D183" s="286"/>
      <c r="E183" s="286"/>
      <c r="F183" s="286"/>
      <c r="G183" s="286"/>
      <c r="H183" s="286"/>
      <c r="I183" s="286"/>
      <c r="J183" s="286"/>
      <c r="K183" s="286"/>
      <c r="L183" s="286"/>
      <c r="M183" s="286"/>
      <c r="N183" s="286"/>
      <c r="O183" s="286"/>
      <c r="P183" s="286"/>
      <c r="Q183" s="286"/>
      <c r="R183" s="286"/>
      <c r="S183" s="338">
        <f>+V34*0.16</f>
        <v>160181.28</v>
      </c>
      <c r="T183" s="325"/>
      <c r="U183" s="286"/>
      <c r="V183" s="338"/>
      <c r="W183" s="289"/>
      <c r="X183" s="5"/>
    </row>
    <row r="184" spans="1:24" ht="15.75" x14ac:dyDescent="0.25">
      <c r="A184" s="285"/>
      <c r="B184" s="286" t="s">
        <v>61</v>
      </c>
      <c r="C184" s="286"/>
      <c r="D184" s="286"/>
      <c r="E184" s="286"/>
      <c r="F184" s="286"/>
      <c r="G184" s="286"/>
      <c r="H184" s="286"/>
      <c r="I184" s="286"/>
      <c r="J184" s="286"/>
      <c r="K184" s="286"/>
      <c r="L184" s="286"/>
      <c r="M184" s="286"/>
      <c r="N184" s="286"/>
      <c r="O184" s="286"/>
      <c r="P184" s="286"/>
      <c r="Q184" s="286"/>
      <c r="R184" s="286"/>
      <c r="S184" s="338">
        <f>+'May 11'!S186</f>
        <v>10691</v>
      </c>
      <c r="T184" s="338">
        <f>+'May 11'!T186</f>
        <v>6090</v>
      </c>
      <c r="U184" s="286"/>
      <c r="V184" s="338">
        <f>S184+T184</f>
        <v>16781</v>
      </c>
      <c r="W184" s="289"/>
      <c r="X184" s="5"/>
    </row>
    <row r="185" spans="1:24" ht="15.75" x14ac:dyDescent="0.25">
      <c r="A185" s="285"/>
      <c r="B185" s="286" t="s">
        <v>62</v>
      </c>
      <c r="C185" s="286"/>
      <c r="D185" s="286"/>
      <c r="E185" s="286"/>
      <c r="F185" s="286"/>
      <c r="G185" s="286"/>
      <c r="H185" s="286"/>
      <c r="I185" s="286"/>
      <c r="J185" s="286"/>
      <c r="K185" s="286"/>
      <c r="L185" s="286"/>
      <c r="M185" s="286"/>
      <c r="N185" s="286"/>
      <c r="O185" s="286"/>
      <c r="P185" s="286"/>
      <c r="Q185" s="286"/>
      <c r="R185" s="286"/>
      <c r="S185" s="337">
        <v>26</v>
      </c>
      <c r="T185" s="337">
        <v>0</v>
      </c>
      <c r="U185" s="286"/>
      <c r="V185" s="338">
        <f>S185+T185</f>
        <v>26</v>
      </c>
      <c r="W185" s="289"/>
      <c r="X185" s="5"/>
    </row>
    <row r="186" spans="1:24" ht="15.75" x14ac:dyDescent="0.25">
      <c r="A186" s="285"/>
      <c r="B186" s="286" t="s">
        <v>63</v>
      </c>
      <c r="C186" s="286"/>
      <c r="D186" s="286"/>
      <c r="E186" s="286"/>
      <c r="F186" s="286"/>
      <c r="G186" s="286"/>
      <c r="H186" s="286"/>
      <c r="I186" s="286"/>
      <c r="J186" s="286"/>
      <c r="K186" s="286"/>
      <c r="L186" s="286"/>
      <c r="M186" s="286"/>
      <c r="N186" s="286"/>
      <c r="O186" s="286"/>
      <c r="P186" s="286"/>
      <c r="Q186" s="286"/>
      <c r="R186" s="286"/>
      <c r="S186" s="338">
        <f>S184+S185</f>
        <v>10717</v>
      </c>
      <c r="T186" s="338">
        <f>T185+T184</f>
        <v>6090</v>
      </c>
      <c r="U186" s="286"/>
      <c r="V186" s="338">
        <f>S186+T186</f>
        <v>16807</v>
      </c>
      <c r="W186" s="289"/>
      <c r="X186" s="5"/>
    </row>
    <row r="187" spans="1:24" ht="15.75" x14ac:dyDescent="0.25">
      <c r="A187" s="285"/>
      <c r="B187" s="286" t="s">
        <v>64</v>
      </c>
      <c r="C187" s="286"/>
      <c r="D187" s="286"/>
      <c r="E187" s="286"/>
      <c r="F187" s="286"/>
      <c r="G187" s="286"/>
      <c r="H187" s="286"/>
      <c r="I187" s="286"/>
      <c r="J187" s="286"/>
      <c r="K187" s="286"/>
      <c r="L187" s="286"/>
      <c r="M187" s="286"/>
      <c r="N187" s="286"/>
      <c r="O187" s="286"/>
      <c r="P187" s="286"/>
      <c r="Q187" s="286"/>
      <c r="R187" s="286"/>
      <c r="S187" s="338">
        <f>S183-S186-T186</f>
        <v>143374.28</v>
      </c>
      <c r="T187" s="325"/>
      <c r="U187" s="286"/>
      <c r="V187" s="338"/>
      <c r="W187" s="289"/>
      <c r="X187" s="5"/>
    </row>
    <row r="188" spans="1:24" ht="16.5" thickBot="1" x14ac:dyDescent="0.3">
      <c r="A188" s="181"/>
      <c r="B188" s="212"/>
      <c r="C188" s="212"/>
      <c r="D188" s="212"/>
      <c r="E188" s="212"/>
      <c r="F188" s="212"/>
      <c r="G188" s="212"/>
      <c r="H188" s="212"/>
      <c r="I188" s="212"/>
      <c r="J188" s="212"/>
      <c r="K188" s="212"/>
      <c r="L188" s="212"/>
      <c r="M188" s="212"/>
      <c r="N188" s="212"/>
      <c r="O188" s="212"/>
      <c r="P188" s="212"/>
      <c r="Q188" s="212"/>
      <c r="R188" s="212"/>
      <c r="S188" s="212"/>
      <c r="T188" s="212"/>
      <c r="U188" s="212"/>
      <c r="V188" s="344"/>
      <c r="W188" s="212"/>
      <c r="X188" s="5"/>
    </row>
    <row r="189" spans="1:24" ht="15.75" x14ac:dyDescent="0.25">
      <c r="A189" s="179"/>
      <c r="B189" s="180"/>
      <c r="C189" s="180"/>
      <c r="D189" s="180"/>
      <c r="E189" s="180"/>
      <c r="F189" s="180"/>
      <c r="G189" s="180"/>
      <c r="H189" s="180"/>
      <c r="I189" s="180"/>
      <c r="J189" s="180"/>
      <c r="K189" s="180"/>
      <c r="L189" s="180"/>
      <c r="M189" s="180"/>
      <c r="N189" s="180"/>
      <c r="O189" s="180"/>
      <c r="P189" s="180"/>
      <c r="Q189" s="180"/>
      <c r="R189" s="180"/>
      <c r="S189" s="180"/>
      <c r="T189" s="180"/>
      <c r="U189" s="180"/>
      <c r="V189" s="201"/>
      <c r="W189" s="180"/>
      <c r="X189" s="5"/>
    </row>
    <row r="190" spans="1:24" ht="15.75" x14ac:dyDescent="0.25">
      <c r="A190" s="181"/>
      <c r="B190" s="210" t="s">
        <v>65</v>
      </c>
      <c r="C190" s="183"/>
      <c r="D190" s="183"/>
      <c r="E190" s="183"/>
      <c r="F190" s="183"/>
      <c r="G190" s="183"/>
      <c r="H190" s="183"/>
      <c r="I190" s="183"/>
      <c r="J190" s="183"/>
      <c r="K190" s="183"/>
      <c r="L190" s="183"/>
      <c r="M190" s="183"/>
      <c r="N190" s="183"/>
      <c r="O190" s="183"/>
      <c r="P190" s="183"/>
      <c r="Q190" s="183"/>
      <c r="R190" s="183"/>
      <c r="S190" s="183"/>
      <c r="T190" s="183"/>
      <c r="U190" s="183"/>
      <c r="V190" s="217"/>
      <c r="W190" s="183"/>
      <c r="X190" s="5"/>
    </row>
    <row r="191" spans="1:24" ht="15.75" x14ac:dyDescent="0.25">
      <c r="A191" s="285"/>
      <c r="B191" s="286" t="s">
        <v>66</v>
      </c>
      <c r="C191" s="286"/>
      <c r="D191" s="286"/>
      <c r="E191" s="286"/>
      <c r="F191" s="286"/>
      <c r="G191" s="286"/>
      <c r="H191" s="286"/>
      <c r="I191" s="286"/>
      <c r="J191" s="286"/>
      <c r="K191" s="286"/>
      <c r="L191" s="286"/>
      <c r="M191" s="286"/>
      <c r="N191" s="286"/>
      <c r="O191" s="286"/>
      <c r="P191" s="286"/>
      <c r="Q191" s="286"/>
      <c r="R191" s="286"/>
      <c r="S191" s="286"/>
      <c r="T191" s="286"/>
      <c r="U191" s="286"/>
      <c r="V191" s="343">
        <f>(V101+V103+V104+V105+V106)/-(V107+V108)</f>
        <v>3.230442692540934</v>
      </c>
      <c r="W191" s="289" t="s">
        <v>115</v>
      </c>
      <c r="X191" s="5"/>
    </row>
    <row r="192" spans="1:24" ht="15.75" x14ac:dyDescent="0.25">
      <c r="A192" s="285"/>
      <c r="B192" s="286" t="s">
        <v>67</v>
      </c>
      <c r="C192" s="286"/>
      <c r="D192" s="286"/>
      <c r="E192" s="286"/>
      <c r="F192" s="286"/>
      <c r="G192" s="286"/>
      <c r="H192" s="286"/>
      <c r="I192" s="286"/>
      <c r="J192" s="286"/>
      <c r="K192" s="286"/>
      <c r="L192" s="286"/>
      <c r="M192" s="286"/>
      <c r="N192" s="286"/>
      <c r="O192" s="286"/>
      <c r="P192" s="286"/>
      <c r="Q192" s="286"/>
      <c r="R192" s="286"/>
      <c r="S192" s="286"/>
      <c r="T192" s="286"/>
      <c r="U192" s="286"/>
      <c r="V192" s="347">
        <v>1.68</v>
      </c>
      <c r="W192" s="289" t="s">
        <v>115</v>
      </c>
      <c r="X192" s="5"/>
    </row>
    <row r="193" spans="1:24" ht="15.75" x14ac:dyDescent="0.25">
      <c r="A193" s="285"/>
      <c r="B193" s="286" t="s">
        <v>68</v>
      </c>
      <c r="C193" s="286"/>
      <c r="D193" s="286"/>
      <c r="E193" s="286"/>
      <c r="F193" s="286"/>
      <c r="G193" s="286"/>
      <c r="H193" s="286"/>
      <c r="I193" s="286"/>
      <c r="J193" s="286"/>
      <c r="K193" s="286"/>
      <c r="L193" s="286"/>
      <c r="M193" s="286"/>
      <c r="N193" s="286"/>
      <c r="O193" s="286"/>
      <c r="P193" s="286"/>
      <c r="Q193" s="286"/>
      <c r="R193" s="286"/>
      <c r="S193" s="286"/>
      <c r="T193" s="286"/>
      <c r="U193" s="286"/>
      <c r="V193" s="343">
        <f>(V101+V103+V104+V105+V106+V107+V108)/-(V109+V110)</f>
        <v>17.349056603773583</v>
      </c>
      <c r="W193" s="289" t="s">
        <v>115</v>
      </c>
      <c r="X193" s="5"/>
    </row>
    <row r="194" spans="1:24" ht="15.75" x14ac:dyDescent="0.25">
      <c r="A194" s="285"/>
      <c r="B194" s="286" t="s">
        <v>69</v>
      </c>
      <c r="C194" s="286"/>
      <c r="D194" s="286"/>
      <c r="E194" s="286"/>
      <c r="F194" s="286"/>
      <c r="G194" s="286"/>
      <c r="H194" s="286"/>
      <c r="I194" s="286"/>
      <c r="J194" s="286"/>
      <c r="K194" s="286"/>
      <c r="L194" s="286"/>
      <c r="M194" s="286"/>
      <c r="N194" s="286"/>
      <c r="O194" s="286"/>
      <c r="P194" s="286"/>
      <c r="Q194" s="286"/>
      <c r="R194" s="286"/>
      <c r="S194" s="286"/>
      <c r="T194" s="286"/>
      <c r="U194" s="286"/>
      <c r="V194" s="347">
        <v>6.77</v>
      </c>
      <c r="W194" s="289" t="s">
        <v>115</v>
      </c>
      <c r="X194" s="5"/>
    </row>
    <row r="195" spans="1:24" ht="15.75" x14ac:dyDescent="0.25">
      <c r="A195" s="285"/>
      <c r="B195" s="286" t="s">
        <v>198</v>
      </c>
      <c r="C195" s="286"/>
      <c r="D195" s="286"/>
      <c r="E195" s="286"/>
      <c r="F195" s="286"/>
      <c r="G195" s="286"/>
      <c r="H195" s="286"/>
      <c r="I195" s="286"/>
      <c r="J195" s="286"/>
      <c r="K195" s="286"/>
      <c r="L195" s="286"/>
      <c r="M195" s="286"/>
      <c r="N195" s="286"/>
      <c r="O195" s="286"/>
      <c r="P195" s="286"/>
      <c r="Q195" s="286"/>
      <c r="R195" s="286"/>
      <c r="S195" s="286"/>
      <c r="T195" s="286"/>
      <c r="U195" s="286"/>
      <c r="V195" s="343">
        <f>(V101+V103+V104+V105+V106+V107+V108+V109+V110)/-(V111)</f>
        <v>12.742647058823529</v>
      </c>
      <c r="W195" s="289" t="s">
        <v>115</v>
      </c>
      <c r="X195" s="5"/>
    </row>
    <row r="196" spans="1:24" ht="15.75" x14ac:dyDescent="0.25">
      <c r="A196" s="285"/>
      <c r="B196" s="286" t="s">
        <v>199</v>
      </c>
      <c r="C196" s="286"/>
      <c r="D196" s="286"/>
      <c r="E196" s="286"/>
      <c r="F196" s="286"/>
      <c r="G196" s="286"/>
      <c r="H196" s="286"/>
      <c r="I196" s="286"/>
      <c r="J196" s="286"/>
      <c r="K196" s="286"/>
      <c r="L196" s="286"/>
      <c r="M196" s="286"/>
      <c r="N196" s="286"/>
      <c r="O196" s="286"/>
      <c r="P196" s="286"/>
      <c r="Q196" s="286"/>
      <c r="R196" s="286"/>
      <c r="S196" s="286"/>
      <c r="T196" s="286"/>
      <c r="U196" s="286"/>
      <c r="V196" s="347">
        <v>5.23</v>
      </c>
      <c r="W196" s="289" t="s">
        <v>115</v>
      </c>
      <c r="X196" s="5"/>
    </row>
    <row r="197" spans="1:24" ht="15.75" x14ac:dyDescent="0.25">
      <c r="A197" s="285"/>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9"/>
      <c r="X197" s="5"/>
    </row>
    <row r="198" spans="1:24" ht="15.75" x14ac:dyDescent="0.25">
      <c r="A198" s="181"/>
      <c r="B198" s="346"/>
      <c r="C198" s="346"/>
      <c r="D198" s="346"/>
      <c r="E198" s="346"/>
      <c r="F198" s="346"/>
      <c r="G198" s="346"/>
      <c r="H198" s="346"/>
      <c r="I198" s="346"/>
      <c r="J198" s="346"/>
      <c r="K198" s="346"/>
      <c r="L198" s="346"/>
      <c r="M198" s="346"/>
      <c r="N198" s="346"/>
      <c r="O198" s="346"/>
      <c r="P198" s="346"/>
      <c r="Q198" s="346"/>
      <c r="R198" s="346"/>
      <c r="S198" s="346"/>
      <c r="T198" s="346"/>
      <c r="U198" s="346"/>
      <c r="V198" s="346"/>
      <c r="W198" s="346"/>
      <c r="X198" s="5"/>
    </row>
    <row r="199" spans="1:24" ht="15.75" x14ac:dyDescent="0.25">
      <c r="A199" s="181"/>
      <c r="B199" s="255"/>
      <c r="C199" s="255"/>
      <c r="D199" s="255"/>
      <c r="E199" s="255"/>
      <c r="F199" s="255"/>
      <c r="G199" s="255"/>
      <c r="H199" s="255"/>
      <c r="I199" s="255"/>
      <c r="J199" s="255"/>
      <c r="K199" s="255"/>
      <c r="L199" s="255"/>
      <c r="M199" s="255"/>
      <c r="N199" s="255"/>
      <c r="O199" s="255"/>
      <c r="P199" s="255"/>
      <c r="Q199" s="255"/>
      <c r="R199" s="255"/>
      <c r="S199" s="255"/>
      <c r="T199" s="255"/>
      <c r="U199" s="255"/>
      <c r="V199" s="255"/>
      <c r="W199" s="255"/>
      <c r="X199" s="5"/>
    </row>
    <row r="200" spans="1:24" ht="19.5" thickBot="1" x14ac:dyDescent="0.35">
      <c r="A200" s="197"/>
      <c r="B200" s="270" t="str">
        <f>B134</f>
        <v>PM15 INVESTOR REPORT QUARTER ENDING AUGUST 2011</v>
      </c>
      <c r="C200" s="271"/>
      <c r="D200" s="271"/>
      <c r="E200" s="271"/>
      <c r="F200" s="271"/>
      <c r="G200" s="271"/>
      <c r="H200" s="271"/>
      <c r="I200" s="271"/>
      <c r="J200" s="271"/>
      <c r="K200" s="271"/>
      <c r="L200" s="271"/>
      <c r="M200" s="271"/>
      <c r="N200" s="271"/>
      <c r="O200" s="271"/>
      <c r="P200" s="271"/>
      <c r="Q200" s="271"/>
      <c r="R200" s="271"/>
      <c r="S200" s="271"/>
      <c r="T200" s="271"/>
      <c r="U200" s="271"/>
      <c r="V200" s="271"/>
      <c r="W200" s="272"/>
      <c r="X200" s="5"/>
    </row>
    <row r="201" spans="1:24" ht="15.75" x14ac:dyDescent="0.25">
      <c r="A201" s="236"/>
      <c r="B201" s="403" t="s">
        <v>70</v>
      </c>
      <c r="C201" s="404"/>
      <c r="D201" s="404"/>
      <c r="E201" s="404"/>
      <c r="F201" s="404"/>
      <c r="G201" s="405"/>
      <c r="H201" s="405"/>
      <c r="I201" s="405"/>
      <c r="J201" s="405"/>
      <c r="K201" s="405"/>
      <c r="L201" s="405"/>
      <c r="M201" s="405"/>
      <c r="N201" s="405"/>
      <c r="O201" s="405"/>
      <c r="P201" s="405"/>
      <c r="Q201" s="405"/>
      <c r="R201" s="405"/>
      <c r="S201" s="405"/>
      <c r="T201" s="405">
        <v>40786</v>
      </c>
      <c r="U201" s="238"/>
      <c r="V201" s="238"/>
      <c r="W201" s="238"/>
      <c r="X201" s="5"/>
    </row>
    <row r="202" spans="1:24" ht="15.75" x14ac:dyDescent="0.25">
      <c r="A202" s="218"/>
      <c r="B202" s="219"/>
      <c r="C202" s="220"/>
      <c r="D202" s="220"/>
      <c r="E202" s="220"/>
      <c r="F202" s="220"/>
      <c r="G202" s="221"/>
      <c r="H202" s="221"/>
      <c r="I202" s="221"/>
      <c r="J202" s="221"/>
      <c r="K202" s="221"/>
      <c r="L202" s="221"/>
      <c r="M202" s="221"/>
      <c r="N202" s="221"/>
      <c r="O202" s="221"/>
      <c r="P202" s="221"/>
      <c r="Q202" s="221"/>
      <c r="R202" s="221"/>
      <c r="S202" s="221"/>
      <c r="T202" s="221"/>
      <c r="U202" s="183"/>
      <c r="V202" s="183"/>
      <c r="W202" s="183"/>
      <c r="X202" s="5"/>
    </row>
    <row r="203" spans="1:24" ht="15.75" x14ac:dyDescent="0.25">
      <c r="A203" s="350"/>
      <c r="B203" s="286" t="s">
        <v>71</v>
      </c>
      <c r="C203" s="406"/>
      <c r="D203" s="406"/>
      <c r="E203" s="406"/>
      <c r="F203" s="406"/>
      <c r="G203" s="397"/>
      <c r="H203" s="397"/>
      <c r="I203" s="397"/>
      <c r="J203" s="397"/>
      <c r="K203" s="397"/>
      <c r="L203" s="397"/>
      <c r="M203" s="397"/>
      <c r="N203" s="397"/>
      <c r="O203" s="397"/>
      <c r="P203" s="397"/>
      <c r="Q203" s="397"/>
      <c r="R203" s="397"/>
      <c r="S203" s="397"/>
      <c r="T203" s="321">
        <v>5.3830000000000003E-2</v>
      </c>
      <c r="U203" s="286"/>
      <c r="V203" s="286"/>
      <c r="W203" s="289"/>
      <c r="X203" s="5"/>
    </row>
    <row r="204" spans="1:24" ht="15.75" x14ac:dyDescent="0.25">
      <c r="A204" s="350"/>
      <c r="B204" s="286" t="s">
        <v>151</v>
      </c>
      <c r="C204" s="406"/>
      <c r="D204" s="406"/>
      <c r="E204" s="406"/>
      <c r="F204" s="406"/>
      <c r="G204" s="397"/>
      <c r="H204" s="397"/>
      <c r="I204" s="397"/>
      <c r="J204" s="397"/>
      <c r="K204" s="397"/>
      <c r="L204" s="397"/>
      <c r="M204" s="397"/>
      <c r="N204" s="397"/>
      <c r="O204" s="397"/>
      <c r="P204" s="397"/>
      <c r="Q204" s="397"/>
      <c r="R204" s="397"/>
      <c r="S204" s="397"/>
      <c r="T204" s="321">
        <v>6.25E-2</v>
      </c>
      <c r="U204" s="286"/>
      <c r="V204" s="286"/>
      <c r="W204" s="289"/>
      <c r="X204" s="5"/>
    </row>
    <row r="205" spans="1:24" ht="15.75" x14ac:dyDescent="0.25">
      <c r="A205" s="350"/>
      <c r="B205" s="286" t="s">
        <v>72</v>
      </c>
      <c r="C205" s="406"/>
      <c r="D205" s="406"/>
      <c r="E205" s="406"/>
      <c r="F205" s="406"/>
      <c r="G205" s="397"/>
      <c r="H205" s="397"/>
      <c r="I205" s="397"/>
      <c r="J205" s="397"/>
      <c r="K205" s="397"/>
      <c r="L205" s="397"/>
      <c r="M205" s="397"/>
      <c r="N205" s="397"/>
      <c r="O205" s="397"/>
      <c r="P205" s="397"/>
      <c r="Q205" s="397"/>
      <c r="R205" s="397"/>
      <c r="S205" s="397"/>
      <c r="T205" s="321">
        <f>T203-T204</f>
        <v>-8.6699999999999972E-3</v>
      </c>
      <c r="U205" s="286"/>
      <c r="V205" s="286"/>
      <c r="W205" s="289"/>
      <c r="X205" s="5"/>
    </row>
    <row r="206" spans="1:24" ht="15.75" x14ac:dyDescent="0.25">
      <c r="A206" s="350"/>
      <c r="B206" s="286" t="s">
        <v>73</v>
      </c>
      <c r="C206" s="406"/>
      <c r="D206" s="406"/>
      <c r="E206" s="406"/>
      <c r="F206" s="406"/>
      <c r="G206" s="397"/>
      <c r="H206" s="397"/>
      <c r="I206" s="397"/>
      <c r="J206" s="397"/>
      <c r="K206" s="397"/>
      <c r="L206" s="397"/>
      <c r="M206" s="397"/>
      <c r="N206" s="397"/>
      <c r="O206" s="397"/>
      <c r="P206" s="397"/>
      <c r="Q206" s="397"/>
      <c r="R206" s="397"/>
      <c r="S206" s="397"/>
      <c r="T206" s="321">
        <v>2.758E-2</v>
      </c>
      <c r="U206" s="286"/>
      <c r="V206" s="286"/>
      <c r="W206" s="289"/>
      <c r="X206" s="5"/>
    </row>
    <row r="207" spans="1:24" ht="15.75" x14ac:dyDescent="0.25">
      <c r="A207" s="350"/>
      <c r="B207" s="286" t="s">
        <v>218</v>
      </c>
      <c r="C207" s="406"/>
      <c r="D207" s="406"/>
      <c r="E207" s="406"/>
      <c r="F207" s="406"/>
      <c r="G207" s="397"/>
      <c r="H207" s="397"/>
      <c r="I207" s="397"/>
      <c r="J207" s="397"/>
      <c r="K207" s="397"/>
      <c r="L207" s="397"/>
      <c r="M207" s="397"/>
      <c r="N207" s="397"/>
      <c r="O207" s="397"/>
      <c r="P207" s="397"/>
      <c r="Q207" s="397"/>
      <c r="R207" s="397"/>
      <c r="S207" s="397"/>
      <c r="T207" s="321">
        <f>V43</f>
        <v>1.0037699662185625E-2</v>
      </c>
      <c r="U207" s="286"/>
      <c r="V207" s="286"/>
      <c r="W207" s="289"/>
      <c r="X207" s="5"/>
    </row>
    <row r="208" spans="1:24" ht="15.75" x14ac:dyDescent="0.25">
      <c r="A208" s="350"/>
      <c r="B208" s="286" t="s">
        <v>74</v>
      </c>
      <c r="C208" s="406"/>
      <c r="D208" s="406"/>
      <c r="E208" s="406"/>
      <c r="F208" s="406"/>
      <c r="G208" s="397"/>
      <c r="H208" s="397"/>
      <c r="I208" s="397"/>
      <c r="J208" s="397"/>
      <c r="K208" s="397"/>
      <c r="L208" s="397"/>
      <c r="M208" s="397"/>
      <c r="N208" s="397"/>
      <c r="O208" s="397"/>
      <c r="P208" s="397"/>
      <c r="Q208" s="397"/>
      <c r="R208" s="397"/>
      <c r="S208" s="397"/>
      <c r="T208" s="321">
        <f>T206-T207</f>
        <v>1.7542300337814377E-2</v>
      </c>
      <c r="U208" s="286"/>
      <c r="V208" s="286"/>
      <c r="W208" s="289"/>
      <c r="X208" s="5"/>
    </row>
    <row r="209" spans="1:24" ht="15.75" x14ac:dyDescent="0.25">
      <c r="A209" s="350"/>
      <c r="B209" s="286" t="s">
        <v>227</v>
      </c>
      <c r="C209" s="406"/>
      <c r="D209" s="406"/>
      <c r="E209" s="406"/>
      <c r="F209" s="406"/>
      <c r="G209" s="397"/>
      <c r="H209" s="397"/>
      <c r="I209" s="397"/>
      <c r="J209" s="397"/>
      <c r="K209" s="397"/>
      <c r="L209" s="397"/>
      <c r="M209" s="397"/>
      <c r="N209" s="397"/>
      <c r="O209" s="397"/>
      <c r="P209" s="397"/>
      <c r="Q209" s="397"/>
      <c r="R209" s="397"/>
      <c r="S209" s="397"/>
      <c r="T209" s="321">
        <f>V101/N71</f>
        <v>7.0485511509194073E-3</v>
      </c>
      <c r="U209" s="286"/>
      <c r="V209" s="286"/>
      <c r="W209" s="289"/>
      <c r="X209" s="5"/>
    </row>
    <row r="210" spans="1:24" ht="15.75" x14ac:dyDescent="0.25">
      <c r="A210" s="350"/>
      <c r="B210" s="286" t="s">
        <v>207</v>
      </c>
      <c r="C210" s="406"/>
      <c r="D210" s="406"/>
      <c r="E210" s="406"/>
      <c r="F210" s="406"/>
      <c r="G210" s="397"/>
      <c r="H210" s="397"/>
      <c r="I210" s="397"/>
      <c r="J210" s="397"/>
      <c r="K210" s="397"/>
      <c r="L210" s="397"/>
      <c r="M210" s="397"/>
      <c r="N210" s="397"/>
      <c r="O210" s="397"/>
      <c r="P210" s="397"/>
      <c r="Q210" s="397"/>
      <c r="R210" s="397"/>
      <c r="S210" s="397"/>
      <c r="T210" s="352">
        <v>51105</v>
      </c>
      <c r="U210" s="286"/>
      <c r="V210" s="286"/>
      <c r="W210" s="289"/>
      <c r="X210" s="5"/>
    </row>
    <row r="211" spans="1:24" ht="15.75" x14ac:dyDescent="0.25">
      <c r="A211" s="350"/>
      <c r="B211" s="286" t="s">
        <v>208</v>
      </c>
      <c r="C211" s="406"/>
      <c r="D211" s="406"/>
      <c r="E211" s="406"/>
      <c r="F211" s="406"/>
      <c r="G211" s="397"/>
      <c r="H211" s="397"/>
      <c r="I211" s="397"/>
      <c r="J211" s="397"/>
      <c r="K211" s="397"/>
      <c r="L211" s="397"/>
      <c r="M211" s="397"/>
      <c r="N211" s="397"/>
      <c r="O211" s="397"/>
      <c r="P211" s="397"/>
      <c r="Q211" s="397"/>
      <c r="R211" s="397"/>
      <c r="S211" s="397"/>
      <c r="T211" s="352">
        <v>51105</v>
      </c>
      <c r="U211" s="286"/>
      <c r="V211" s="286"/>
      <c r="W211" s="289"/>
      <c r="X211" s="5"/>
    </row>
    <row r="212" spans="1:24" ht="15.75" x14ac:dyDescent="0.25">
      <c r="A212" s="350"/>
      <c r="B212" s="286" t="s">
        <v>209</v>
      </c>
      <c r="C212" s="406"/>
      <c r="D212" s="406"/>
      <c r="E212" s="406"/>
      <c r="F212" s="406"/>
      <c r="G212" s="397"/>
      <c r="H212" s="397"/>
      <c r="I212" s="397"/>
      <c r="J212" s="397"/>
      <c r="K212" s="397"/>
      <c r="L212" s="397"/>
      <c r="M212" s="397"/>
      <c r="N212" s="397"/>
      <c r="O212" s="397"/>
      <c r="P212" s="397"/>
      <c r="Q212" s="397"/>
      <c r="R212" s="397"/>
      <c r="S212" s="397"/>
      <c r="T212" s="352">
        <v>51105</v>
      </c>
      <c r="U212" s="286"/>
      <c r="V212" s="286"/>
      <c r="W212" s="289"/>
      <c r="X212" s="5"/>
    </row>
    <row r="213" spans="1:24" ht="15.75" x14ac:dyDescent="0.25">
      <c r="A213" s="350"/>
      <c r="B213" s="286" t="s">
        <v>75</v>
      </c>
      <c r="C213" s="406"/>
      <c r="D213" s="406"/>
      <c r="E213" s="406"/>
      <c r="F213" s="406"/>
      <c r="G213" s="397"/>
      <c r="H213" s="397"/>
      <c r="I213" s="397"/>
      <c r="J213" s="397"/>
      <c r="K213" s="397"/>
      <c r="L213" s="397"/>
      <c r="M213" s="397"/>
      <c r="N213" s="397"/>
      <c r="O213" s="397"/>
      <c r="P213" s="397"/>
      <c r="Q213" s="397"/>
      <c r="R213" s="397"/>
      <c r="S213" s="397"/>
      <c r="T213" s="327">
        <v>21.06</v>
      </c>
      <c r="U213" s="286" t="s">
        <v>110</v>
      </c>
      <c r="V213" s="286"/>
      <c r="W213" s="289"/>
      <c r="X213" s="5"/>
    </row>
    <row r="214" spans="1:24" ht="15.75" x14ac:dyDescent="0.25">
      <c r="A214" s="350"/>
      <c r="B214" s="286" t="s">
        <v>76</v>
      </c>
      <c r="C214" s="406"/>
      <c r="D214" s="406"/>
      <c r="E214" s="406"/>
      <c r="F214" s="406"/>
      <c r="G214" s="397"/>
      <c r="H214" s="397"/>
      <c r="I214" s="397"/>
      <c r="J214" s="397"/>
      <c r="K214" s="397"/>
      <c r="L214" s="397"/>
      <c r="M214" s="397"/>
      <c r="N214" s="397"/>
      <c r="O214" s="397"/>
      <c r="P214" s="397"/>
      <c r="Q214" s="397"/>
      <c r="R214" s="397"/>
      <c r="S214" s="397"/>
      <c r="T214" s="327">
        <v>17.09</v>
      </c>
      <c r="U214" s="286" t="s">
        <v>110</v>
      </c>
      <c r="V214" s="286"/>
      <c r="W214" s="289"/>
      <c r="X214" s="5"/>
    </row>
    <row r="215" spans="1:24" ht="15.75" x14ac:dyDescent="0.25">
      <c r="A215" s="350"/>
      <c r="B215" s="286" t="s">
        <v>77</v>
      </c>
      <c r="C215" s="406"/>
      <c r="D215" s="406"/>
      <c r="E215" s="406"/>
      <c r="F215" s="406"/>
      <c r="G215" s="397"/>
      <c r="H215" s="397"/>
      <c r="I215" s="397"/>
      <c r="J215" s="397"/>
      <c r="K215" s="397"/>
      <c r="L215" s="397"/>
      <c r="M215" s="397"/>
      <c r="N215" s="397"/>
      <c r="O215" s="397"/>
      <c r="P215" s="397"/>
      <c r="Q215" s="397"/>
      <c r="R215" s="397"/>
      <c r="S215" s="397"/>
      <c r="T215" s="321">
        <f>+P68/N68</f>
        <v>5.5411123972901686E-3</v>
      </c>
      <c r="U215" s="286"/>
      <c r="V215" s="286"/>
      <c r="W215" s="289"/>
      <c r="X215" s="5"/>
    </row>
    <row r="216" spans="1:24" ht="15.75" x14ac:dyDescent="0.25">
      <c r="A216" s="350"/>
      <c r="B216" s="286" t="s">
        <v>78</v>
      </c>
      <c r="C216" s="406"/>
      <c r="D216" s="406"/>
      <c r="E216" s="406"/>
      <c r="F216" s="406"/>
      <c r="G216" s="397"/>
      <c r="H216" s="397"/>
      <c r="I216" s="397"/>
      <c r="J216" s="397"/>
      <c r="K216" s="397"/>
      <c r="L216" s="397"/>
      <c r="M216" s="397"/>
      <c r="N216" s="397"/>
      <c r="O216" s="397"/>
      <c r="P216" s="397"/>
      <c r="Q216" s="397"/>
      <c r="R216" s="397"/>
      <c r="S216" s="397"/>
      <c r="T216" s="321">
        <v>4.5100000000000001E-2</v>
      </c>
      <c r="U216" s="286"/>
      <c r="V216" s="286"/>
      <c r="W216" s="289"/>
      <c r="X216" s="5"/>
    </row>
    <row r="217" spans="1:24" ht="15.75" x14ac:dyDescent="0.25">
      <c r="A217" s="218"/>
      <c r="B217" s="348"/>
      <c r="C217" s="348"/>
      <c r="D217" s="348"/>
      <c r="E217" s="348"/>
      <c r="F217" s="348"/>
      <c r="G217" s="212"/>
      <c r="H217" s="212"/>
      <c r="I217" s="212"/>
      <c r="J217" s="212"/>
      <c r="K217" s="212"/>
      <c r="L217" s="212"/>
      <c r="M217" s="212"/>
      <c r="N217" s="212"/>
      <c r="O217" s="212"/>
      <c r="P217" s="212"/>
      <c r="Q217" s="212"/>
      <c r="R217" s="212"/>
      <c r="S217" s="212"/>
      <c r="T217" s="344"/>
      <c r="U217" s="212"/>
      <c r="V217" s="349"/>
      <c r="W217" s="212"/>
      <c r="X217" s="5"/>
    </row>
    <row r="218" spans="1:24" ht="15.75" x14ac:dyDescent="0.25">
      <c r="A218" s="242"/>
      <c r="B218" s="399" t="s">
        <v>79</v>
      </c>
      <c r="C218" s="400"/>
      <c r="D218" s="400"/>
      <c r="E218" s="400"/>
      <c r="F218" s="407"/>
      <c r="G218" s="400"/>
      <c r="H218" s="400"/>
      <c r="I218" s="400"/>
      <c r="J218" s="400"/>
      <c r="K218" s="400"/>
      <c r="L218" s="400"/>
      <c r="M218" s="400"/>
      <c r="N218" s="400"/>
      <c r="O218" s="400"/>
      <c r="P218" s="400"/>
      <c r="Q218" s="400"/>
      <c r="R218" s="400"/>
      <c r="S218" s="400" t="s">
        <v>102</v>
      </c>
      <c r="T218" s="407" t="s">
        <v>108</v>
      </c>
      <c r="U218" s="225"/>
      <c r="V218" s="225"/>
      <c r="W218" s="225"/>
      <c r="X218" s="5"/>
    </row>
    <row r="219" spans="1:24" ht="15.75" x14ac:dyDescent="0.25">
      <c r="A219" s="222"/>
      <c r="B219" s="250" t="s">
        <v>80</v>
      </c>
      <c r="C219" s="249"/>
      <c r="D219" s="249"/>
      <c r="E219" s="249"/>
      <c r="F219" s="250"/>
      <c r="G219" s="250"/>
      <c r="H219" s="268"/>
      <c r="I219" s="268"/>
      <c r="J219" s="268"/>
      <c r="K219" s="268"/>
      <c r="L219" s="268"/>
      <c r="M219" s="268"/>
      <c r="N219" s="268"/>
      <c r="O219" s="268"/>
      <c r="P219" s="268"/>
      <c r="Q219" s="268"/>
      <c r="R219" s="268"/>
      <c r="S219" s="268">
        <v>3</v>
      </c>
      <c r="T219" s="269">
        <v>313</v>
      </c>
      <c r="U219" s="250"/>
      <c r="V219" s="266"/>
      <c r="W219" s="223"/>
      <c r="X219" s="5"/>
    </row>
    <row r="220" spans="1:24" ht="15.75" x14ac:dyDescent="0.25">
      <c r="A220" s="358"/>
      <c r="B220" s="286" t="s">
        <v>145</v>
      </c>
      <c r="C220" s="337"/>
      <c r="D220" s="337"/>
      <c r="E220" s="337"/>
      <c r="F220" s="286"/>
      <c r="G220" s="286"/>
      <c r="H220" s="296"/>
      <c r="I220" s="296"/>
      <c r="J220" s="296"/>
      <c r="K220" s="296"/>
      <c r="L220" s="296"/>
      <c r="M220" s="296"/>
      <c r="N220" s="296"/>
      <c r="O220" s="296"/>
      <c r="P220" s="296"/>
      <c r="Q220" s="296"/>
      <c r="R220" s="296"/>
      <c r="S220" s="359">
        <f>+R272</f>
        <v>143</v>
      </c>
      <c r="T220" s="360">
        <f>+T272</f>
        <v>23378</v>
      </c>
      <c r="U220" s="286"/>
      <c r="V220" s="361"/>
      <c r="W220" s="362"/>
      <c r="X220" s="5"/>
    </row>
    <row r="221" spans="1:24" ht="15.75" x14ac:dyDescent="0.25">
      <c r="A221" s="358"/>
      <c r="B221" s="286" t="s">
        <v>81</v>
      </c>
      <c r="C221" s="337"/>
      <c r="D221" s="337"/>
      <c r="E221" s="337"/>
      <c r="F221" s="286"/>
      <c r="G221" s="286"/>
      <c r="H221" s="296"/>
      <c r="I221" s="296"/>
      <c r="J221" s="296"/>
      <c r="K221" s="296"/>
      <c r="L221" s="296"/>
      <c r="M221" s="296"/>
      <c r="N221" s="296"/>
      <c r="O221" s="296"/>
      <c r="P221" s="296"/>
      <c r="Q221" s="296"/>
      <c r="R221" s="296"/>
      <c r="S221" s="359">
        <v>0</v>
      </c>
      <c r="T221" s="360">
        <v>0</v>
      </c>
      <c r="U221" s="286"/>
      <c r="V221" s="361"/>
      <c r="W221" s="362"/>
      <c r="X221" s="5"/>
    </row>
    <row r="222" spans="1:24" ht="15.75" x14ac:dyDescent="0.25">
      <c r="A222" s="358"/>
      <c r="B222" s="313" t="s">
        <v>82</v>
      </c>
      <c r="C222" s="363"/>
      <c r="D222" s="363"/>
      <c r="E222" s="363"/>
      <c r="F222" s="314"/>
      <c r="G222" s="314"/>
      <c r="H222" s="314"/>
      <c r="I222" s="314"/>
      <c r="J222" s="314"/>
      <c r="K222" s="314"/>
      <c r="L222" s="314"/>
      <c r="M222" s="314"/>
      <c r="N222" s="314"/>
      <c r="O222" s="314"/>
      <c r="P222" s="314"/>
      <c r="Q222" s="314"/>
      <c r="R222" s="314"/>
      <c r="S222" s="286"/>
      <c r="T222" s="360">
        <v>0</v>
      </c>
      <c r="U222" s="314"/>
      <c r="V222" s="364"/>
      <c r="W222" s="362"/>
      <c r="X222" s="5"/>
    </row>
    <row r="223" spans="1:24" ht="15.75" x14ac:dyDescent="0.25">
      <c r="A223" s="358"/>
      <c r="B223" s="313" t="s">
        <v>228</v>
      </c>
      <c r="C223" s="363"/>
      <c r="D223" s="363"/>
      <c r="E223" s="363"/>
      <c r="F223" s="314"/>
      <c r="G223" s="314"/>
      <c r="H223" s="314"/>
      <c r="I223" s="314"/>
      <c r="J223" s="314"/>
      <c r="K223" s="314"/>
      <c r="L223" s="314"/>
      <c r="M223" s="314"/>
      <c r="N223" s="314"/>
      <c r="O223" s="314"/>
      <c r="P223" s="314"/>
      <c r="Q223" s="314"/>
      <c r="R223" s="314"/>
      <c r="S223" s="286"/>
      <c r="T223" s="360">
        <f>+N81</f>
        <v>0</v>
      </c>
      <c r="U223" s="314"/>
      <c r="V223" s="364"/>
      <c r="W223" s="362"/>
      <c r="X223" s="5"/>
    </row>
    <row r="224" spans="1:24" ht="15.75" x14ac:dyDescent="0.25">
      <c r="A224" s="365"/>
      <c r="B224" s="313" t="s">
        <v>83</v>
      </c>
      <c r="C224" s="366"/>
      <c r="D224" s="366"/>
      <c r="E224" s="366"/>
      <c r="F224" s="366"/>
      <c r="G224" s="314"/>
      <c r="H224" s="314"/>
      <c r="I224" s="314"/>
      <c r="J224" s="314"/>
      <c r="K224" s="314"/>
      <c r="L224" s="314"/>
      <c r="M224" s="314"/>
      <c r="N224" s="314"/>
      <c r="O224" s="314"/>
      <c r="P224" s="314"/>
      <c r="Q224" s="314"/>
      <c r="R224" s="314"/>
      <c r="S224" s="286"/>
      <c r="T224" s="360"/>
      <c r="U224" s="314"/>
      <c r="V224" s="364"/>
      <c r="W224" s="367"/>
      <c r="X224" s="5"/>
    </row>
    <row r="225" spans="1:25" ht="15.75" x14ac:dyDescent="0.25">
      <c r="A225" s="365"/>
      <c r="B225" s="286" t="s">
        <v>84</v>
      </c>
      <c r="C225" s="366"/>
      <c r="D225" s="366"/>
      <c r="E225" s="366"/>
      <c r="F225" s="366"/>
      <c r="G225" s="314"/>
      <c r="H225" s="314"/>
      <c r="I225" s="314"/>
      <c r="J225" s="314"/>
      <c r="K225" s="314"/>
      <c r="L225" s="314"/>
      <c r="M225" s="314"/>
      <c r="N225" s="314"/>
      <c r="O225" s="314"/>
      <c r="P225" s="314"/>
      <c r="Q225" s="314"/>
      <c r="R225" s="314"/>
      <c r="S225" s="296"/>
      <c r="T225" s="360">
        <f>V163</f>
        <v>176</v>
      </c>
      <c r="U225" s="314"/>
      <c r="V225" s="364"/>
      <c r="W225" s="367"/>
      <c r="X225" s="5"/>
    </row>
    <row r="226" spans="1:25" ht="15.75" x14ac:dyDescent="0.25">
      <c r="A226" s="358"/>
      <c r="B226" s="286" t="s">
        <v>85</v>
      </c>
      <c r="C226" s="363"/>
      <c r="D226" s="363"/>
      <c r="E226" s="363"/>
      <c r="F226" s="363"/>
      <c r="G226" s="314"/>
      <c r="H226" s="314"/>
      <c r="I226" s="314"/>
      <c r="J226" s="314"/>
      <c r="K226" s="314"/>
      <c r="L226" s="314"/>
      <c r="M226" s="314"/>
      <c r="N226" s="314"/>
      <c r="O226" s="314"/>
      <c r="P226" s="314"/>
      <c r="Q226" s="314"/>
      <c r="R226" s="314"/>
      <c r="S226" s="296"/>
      <c r="T226" s="360">
        <f>'May 11'!T226+T225</f>
        <v>3137</v>
      </c>
      <c r="U226" s="314"/>
      <c r="V226" s="364"/>
      <c r="W226" s="367"/>
      <c r="X226" s="5"/>
    </row>
    <row r="227" spans="1:25" ht="15.75" x14ac:dyDescent="0.25">
      <c r="A227" s="365"/>
      <c r="B227" s="313" t="s">
        <v>285</v>
      </c>
      <c r="C227" s="366"/>
      <c r="D227" s="366"/>
      <c r="E227" s="366"/>
      <c r="F227" s="366"/>
      <c r="G227" s="314"/>
      <c r="H227" s="314"/>
      <c r="I227" s="314"/>
      <c r="J227" s="314"/>
      <c r="K227" s="314"/>
      <c r="L227" s="314"/>
      <c r="M227" s="314"/>
      <c r="N227" s="314"/>
      <c r="O227" s="314"/>
      <c r="P227" s="314"/>
      <c r="Q227" s="314"/>
      <c r="R227" s="314"/>
      <c r="S227" s="296"/>
      <c r="T227" s="360"/>
      <c r="U227" s="314"/>
      <c r="V227" s="364"/>
      <c r="W227" s="367"/>
      <c r="X227" s="5"/>
    </row>
    <row r="228" spans="1:25" ht="15.75" x14ac:dyDescent="0.25">
      <c r="A228" s="365"/>
      <c r="B228" s="286" t="s">
        <v>282</v>
      </c>
      <c r="C228" s="366"/>
      <c r="D228" s="366"/>
      <c r="E228" s="366"/>
      <c r="F228" s="366"/>
      <c r="G228" s="314"/>
      <c r="H228" s="314"/>
      <c r="I228" s="314"/>
      <c r="J228" s="314"/>
      <c r="K228" s="314"/>
      <c r="L228" s="314"/>
      <c r="M228" s="314"/>
      <c r="N228" s="314"/>
      <c r="O228" s="314"/>
      <c r="P228" s="314"/>
      <c r="Q228" s="314"/>
      <c r="R228" s="314"/>
      <c r="S228" s="296">
        <v>0</v>
      </c>
      <c r="T228" s="360">
        <v>0</v>
      </c>
      <c r="U228" s="314"/>
      <c r="V228" s="364"/>
      <c r="W228" s="367"/>
      <c r="X228" s="5"/>
    </row>
    <row r="229" spans="1:25" ht="15.75" x14ac:dyDescent="0.25">
      <c r="A229" s="358"/>
      <c r="B229" s="286" t="s">
        <v>86</v>
      </c>
      <c r="C229" s="368"/>
      <c r="D229" s="368"/>
      <c r="E229" s="368"/>
      <c r="F229" s="369"/>
      <c r="G229" s="314"/>
      <c r="H229" s="314"/>
      <c r="I229" s="314"/>
      <c r="J229" s="314"/>
      <c r="K229" s="314"/>
      <c r="L229" s="314"/>
      <c r="M229" s="314"/>
      <c r="N229" s="314"/>
      <c r="O229" s="314"/>
      <c r="P229" s="314"/>
      <c r="Q229" s="314"/>
      <c r="R229" s="314"/>
      <c r="S229" s="286"/>
      <c r="T229" s="370">
        <v>0</v>
      </c>
      <c r="U229" s="314"/>
      <c r="V229" s="364"/>
      <c r="W229" s="367"/>
      <c r="X229" s="5"/>
    </row>
    <row r="230" spans="1:25" ht="15.75" x14ac:dyDescent="0.25">
      <c r="A230" s="358"/>
      <c r="B230" s="286" t="s">
        <v>87</v>
      </c>
      <c r="C230" s="368"/>
      <c r="D230" s="368"/>
      <c r="E230" s="368"/>
      <c r="F230" s="369"/>
      <c r="G230" s="314"/>
      <c r="H230" s="314"/>
      <c r="I230" s="314"/>
      <c r="J230" s="314"/>
      <c r="K230" s="314"/>
      <c r="L230" s="314"/>
      <c r="M230" s="314"/>
      <c r="N230" s="314"/>
      <c r="O230" s="314"/>
      <c r="P230" s="314"/>
      <c r="Q230" s="314"/>
      <c r="R230" s="314"/>
      <c r="S230" s="286"/>
      <c r="T230" s="370">
        <v>0</v>
      </c>
      <c r="U230" s="314"/>
      <c r="V230" s="364"/>
      <c r="W230" s="367"/>
      <c r="X230" s="5"/>
    </row>
    <row r="231" spans="1:25" ht="15.75" x14ac:dyDescent="0.25">
      <c r="A231" s="358"/>
      <c r="B231" s="313" t="s">
        <v>216</v>
      </c>
      <c r="C231" s="368"/>
      <c r="D231" s="368"/>
      <c r="E231" s="368"/>
      <c r="F231" s="369"/>
      <c r="G231" s="314"/>
      <c r="H231" s="314"/>
      <c r="I231" s="314"/>
      <c r="J231" s="314"/>
      <c r="K231" s="314"/>
      <c r="L231" s="314"/>
      <c r="M231" s="314"/>
      <c r="N231" s="314"/>
      <c r="O231" s="314"/>
      <c r="P231" s="314"/>
      <c r="Q231" s="314"/>
      <c r="R231" s="314"/>
      <c r="S231" s="286"/>
      <c r="T231" s="371"/>
      <c r="U231" s="314"/>
      <c r="V231" s="364"/>
      <c r="W231" s="367"/>
      <c r="X231" s="5"/>
    </row>
    <row r="232" spans="1:25" ht="15.75" x14ac:dyDescent="0.25">
      <c r="A232" s="358"/>
      <c r="B232" s="286" t="s">
        <v>282</v>
      </c>
      <c r="C232" s="368"/>
      <c r="D232" s="368"/>
      <c r="E232" s="368"/>
      <c r="F232" s="369"/>
      <c r="G232" s="314"/>
      <c r="H232" s="314"/>
      <c r="I232" s="314"/>
      <c r="J232" s="314"/>
      <c r="K232" s="314"/>
      <c r="L232" s="314"/>
      <c r="M232" s="314"/>
      <c r="N232" s="314"/>
      <c r="O232" s="314"/>
      <c r="P232" s="314"/>
      <c r="Q232" s="314"/>
      <c r="R232" s="314"/>
      <c r="S232" s="296">
        <v>5</v>
      </c>
      <c r="T232" s="360">
        <v>483</v>
      </c>
      <c r="U232" s="314"/>
      <c r="V232" s="364"/>
      <c r="W232" s="367"/>
      <c r="X232" s="5"/>
    </row>
    <row r="233" spans="1:25" ht="15.75" x14ac:dyDescent="0.25">
      <c r="A233" s="358"/>
      <c r="B233" s="286" t="s">
        <v>217</v>
      </c>
      <c r="C233" s="368"/>
      <c r="D233" s="368"/>
      <c r="E233" s="368"/>
      <c r="F233" s="369"/>
      <c r="G233" s="314"/>
      <c r="H233" s="314"/>
      <c r="I233" s="314"/>
      <c r="J233" s="314"/>
      <c r="K233" s="314"/>
      <c r="L233" s="314"/>
      <c r="M233" s="314"/>
      <c r="N233" s="314"/>
      <c r="O233" s="314"/>
      <c r="P233" s="314"/>
      <c r="Q233" s="314"/>
      <c r="R233" s="314"/>
      <c r="S233" s="286"/>
      <c r="T233" s="370">
        <v>8.9700000000000006</v>
      </c>
      <c r="U233" s="314"/>
      <c r="V233" s="364"/>
      <c r="W233" s="367"/>
      <c r="X233" s="5"/>
    </row>
    <row r="234" spans="1:25" ht="15.75" x14ac:dyDescent="0.25">
      <c r="A234" s="358"/>
      <c r="B234" s="366"/>
      <c r="C234" s="368"/>
      <c r="D234" s="368"/>
      <c r="E234" s="368"/>
      <c r="F234" s="369"/>
      <c r="G234" s="314"/>
      <c r="H234" s="314"/>
      <c r="I234" s="314"/>
      <c r="J234" s="314"/>
      <c r="K234" s="314"/>
      <c r="L234" s="314"/>
      <c r="M234" s="314"/>
      <c r="N234" s="314"/>
      <c r="O234" s="314"/>
      <c r="P234" s="314"/>
      <c r="Q234" s="314"/>
      <c r="R234" s="314"/>
      <c r="S234" s="286"/>
      <c r="T234" s="371"/>
      <c r="U234" s="314"/>
      <c r="V234" s="364"/>
      <c r="W234" s="367"/>
      <c r="X234" s="5"/>
    </row>
    <row r="235" spans="1:25" ht="15.75" x14ac:dyDescent="0.25">
      <c r="A235" s="358"/>
      <c r="B235" s="366"/>
      <c r="C235" s="368"/>
      <c r="D235" s="368"/>
      <c r="E235" s="368"/>
      <c r="F235" s="369"/>
      <c r="G235" s="314"/>
      <c r="H235" s="314"/>
      <c r="I235" s="314"/>
      <c r="J235" s="314"/>
      <c r="K235" s="314"/>
      <c r="L235" s="314"/>
      <c r="M235" s="314"/>
      <c r="N235" s="314"/>
      <c r="O235" s="314"/>
      <c r="P235" s="314"/>
      <c r="Q235" s="314"/>
      <c r="R235" s="314"/>
      <c r="S235" s="314"/>
      <c r="T235" s="372"/>
      <c r="U235" s="314"/>
      <c r="V235" s="364"/>
      <c r="W235" s="367"/>
      <c r="X235" s="5"/>
    </row>
    <row r="236" spans="1:25" ht="18.75" x14ac:dyDescent="0.3">
      <c r="A236" s="358"/>
      <c r="B236" s="373" t="s">
        <v>168</v>
      </c>
      <c r="C236" s="368"/>
      <c r="D236" s="368"/>
      <c r="E236" s="368"/>
      <c r="F236" s="369"/>
      <c r="G236" s="314"/>
      <c r="H236" s="314"/>
      <c r="I236" s="314"/>
      <c r="J236" s="314"/>
      <c r="K236" s="314"/>
      <c r="L236" s="314"/>
      <c r="M236" s="314"/>
      <c r="N236" s="314"/>
      <c r="O236" s="314"/>
      <c r="P236" s="374" t="s">
        <v>167</v>
      </c>
      <c r="Q236" s="314"/>
      <c r="R236" s="314"/>
      <c r="S236" s="314"/>
      <c r="T236" s="372"/>
      <c r="U236" s="314"/>
      <c r="V236" s="364"/>
      <c r="W236" s="367"/>
      <c r="X236" s="5"/>
    </row>
    <row r="237" spans="1:25" ht="15.75" x14ac:dyDescent="0.25">
      <c r="A237" s="353"/>
      <c r="B237" s="348"/>
      <c r="C237" s="354"/>
      <c r="D237" s="354"/>
      <c r="E237" s="354"/>
      <c r="F237" s="355"/>
      <c r="G237" s="212"/>
      <c r="H237" s="212"/>
      <c r="I237" s="212"/>
      <c r="J237" s="212"/>
      <c r="K237" s="212"/>
      <c r="L237" s="212"/>
      <c r="M237" s="212"/>
      <c r="N237" s="212"/>
      <c r="O237" s="212"/>
      <c r="P237" s="212"/>
      <c r="Q237" s="212"/>
      <c r="R237" s="212"/>
      <c r="S237" s="212"/>
      <c r="T237" s="356"/>
      <c r="U237" s="212"/>
      <c r="V237" s="349"/>
      <c r="W237" s="357"/>
      <c r="X237" s="5"/>
    </row>
    <row r="238" spans="1:25" ht="15.75" x14ac:dyDescent="0.25">
      <c r="A238" s="224"/>
      <c r="B238" s="399" t="s">
        <v>297</v>
      </c>
      <c r="C238" s="400"/>
      <c r="D238" s="400"/>
      <c r="E238" s="400"/>
      <c r="F238" s="407"/>
      <c r="G238" s="400"/>
      <c r="H238" s="400"/>
      <c r="I238" s="400"/>
      <c r="J238" s="400"/>
      <c r="K238" s="400"/>
      <c r="L238" s="400"/>
      <c r="M238" s="400"/>
      <c r="N238" s="400"/>
      <c r="O238" s="400"/>
      <c r="P238" s="400"/>
      <c r="Q238" s="400"/>
      <c r="R238" s="407" t="s">
        <v>102</v>
      </c>
      <c r="S238" s="400" t="s">
        <v>103</v>
      </c>
      <c r="T238" s="407" t="s">
        <v>109</v>
      </c>
      <c r="U238" s="400" t="s">
        <v>103</v>
      </c>
      <c r="V238" s="225"/>
      <c r="W238" s="399"/>
      <c r="X238" s="5"/>
    </row>
    <row r="239" spans="1:25" ht="15.75" x14ac:dyDescent="0.25">
      <c r="A239" s="193"/>
      <c r="B239" s="249" t="s">
        <v>88</v>
      </c>
      <c r="C239" s="265"/>
      <c r="D239" s="265"/>
      <c r="E239" s="265"/>
      <c r="F239" s="250"/>
      <c r="G239" s="265"/>
      <c r="H239" s="265"/>
      <c r="I239" s="265"/>
      <c r="J239" s="265"/>
      <c r="K239" s="265"/>
      <c r="L239" s="265"/>
      <c r="M239" s="265"/>
      <c r="N239" s="265"/>
      <c r="O239" s="265"/>
      <c r="P239" s="265"/>
      <c r="Q239" s="265"/>
      <c r="R239" s="249">
        <f t="shared" ref="R239:R246" si="1">+R251+R263+R275</f>
        <v>5735</v>
      </c>
      <c r="S239" s="252">
        <f t="shared" ref="S239:S246" si="2">R239/$R$248</f>
        <v>0.98101265822784811</v>
      </c>
      <c r="T239" s="253">
        <f t="shared" ref="T239:T246" si="3">+T251+T263+T275</f>
        <v>820458</v>
      </c>
      <c r="U239" s="252">
        <f t="shared" ref="U239:U246" si="4">T239/$T$248</f>
        <v>0.97846550151160083</v>
      </c>
      <c r="V239" s="266"/>
      <c r="W239" s="408"/>
      <c r="X239" s="5"/>
    </row>
    <row r="240" spans="1:25" ht="15.75" x14ac:dyDescent="0.25">
      <c r="A240" s="285"/>
      <c r="B240" s="337" t="s">
        <v>89</v>
      </c>
      <c r="C240" s="378"/>
      <c r="D240" s="378"/>
      <c r="E240" s="378"/>
      <c r="F240" s="286"/>
      <c r="G240" s="379"/>
      <c r="H240" s="378"/>
      <c r="I240" s="378"/>
      <c r="J240" s="378"/>
      <c r="K240" s="378"/>
      <c r="L240" s="378"/>
      <c r="M240" s="378"/>
      <c r="N240" s="378"/>
      <c r="O240" s="378"/>
      <c r="P240" s="378"/>
      <c r="Q240" s="378"/>
      <c r="R240" s="337">
        <f t="shared" si="1"/>
        <v>48</v>
      </c>
      <c r="S240" s="379">
        <f t="shared" si="2"/>
        <v>8.2107423879575776E-3</v>
      </c>
      <c r="T240" s="338">
        <f t="shared" si="3"/>
        <v>7983</v>
      </c>
      <c r="U240" s="379">
        <f t="shared" si="4"/>
        <v>9.5204021394966094E-3</v>
      </c>
      <c r="V240" s="361"/>
      <c r="W240" s="409"/>
      <c r="X240" s="5"/>
      <c r="Y240" s="109"/>
    </row>
    <row r="241" spans="1:25" ht="15.75" x14ac:dyDescent="0.25">
      <c r="A241" s="285"/>
      <c r="B241" s="337" t="s">
        <v>90</v>
      </c>
      <c r="C241" s="378"/>
      <c r="D241" s="378"/>
      <c r="E241" s="378"/>
      <c r="F241" s="286"/>
      <c r="G241" s="379"/>
      <c r="H241" s="378"/>
      <c r="I241" s="378"/>
      <c r="J241" s="378"/>
      <c r="K241" s="378"/>
      <c r="L241" s="378"/>
      <c r="M241" s="378"/>
      <c r="N241" s="378"/>
      <c r="O241" s="378"/>
      <c r="P241" s="378"/>
      <c r="Q241" s="378"/>
      <c r="R241" s="337">
        <f t="shared" si="1"/>
        <v>12</v>
      </c>
      <c r="S241" s="379">
        <f t="shared" si="2"/>
        <v>2.0526855969893944E-3</v>
      </c>
      <c r="T241" s="338">
        <f t="shared" si="3"/>
        <v>2154</v>
      </c>
      <c r="U241" s="379">
        <f t="shared" si="4"/>
        <v>2.5688270335056619E-3</v>
      </c>
      <c r="V241" s="361"/>
      <c r="W241" s="409"/>
      <c r="X241" s="5"/>
    </row>
    <row r="242" spans="1:25" ht="15.75" x14ac:dyDescent="0.25">
      <c r="A242" s="285"/>
      <c r="B242" s="337" t="s">
        <v>156</v>
      </c>
      <c r="C242" s="378"/>
      <c r="D242" s="378"/>
      <c r="E242" s="378"/>
      <c r="F242" s="286"/>
      <c r="G242" s="379"/>
      <c r="H242" s="378"/>
      <c r="I242" s="378"/>
      <c r="J242" s="378"/>
      <c r="K242" s="378"/>
      <c r="L242" s="378"/>
      <c r="M242" s="378"/>
      <c r="N242" s="378"/>
      <c r="O242" s="378"/>
      <c r="P242" s="378"/>
      <c r="Q242" s="378"/>
      <c r="R242" s="337">
        <f t="shared" si="1"/>
        <v>4</v>
      </c>
      <c r="S242" s="379">
        <f t="shared" si="2"/>
        <v>6.8422853232979813E-4</v>
      </c>
      <c r="T242" s="338">
        <f t="shared" si="3"/>
        <v>458</v>
      </c>
      <c r="U242" s="379">
        <f t="shared" si="4"/>
        <v>5.4620370536007112E-4</v>
      </c>
      <c r="V242" s="361"/>
      <c r="W242" s="409"/>
      <c r="X242" s="5"/>
      <c r="Y242" s="109"/>
    </row>
    <row r="243" spans="1:25" ht="15.75" x14ac:dyDescent="0.25">
      <c r="A243" s="285"/>
      <c r="B243" s="337" t="s">
        <v>157</v>
      </c>
      <c r="C243" s="378"/>
      <c r="D243" s="378"/>
      <c r="E243" s="378"/>
      <c r="F243" s="286"/>
      <c r="G243" s="379"/>
      <c r="H243" s="378"/>
      <c r="I243" s="378"/>
      <c r="J243" s="378"/>
      <c r="K243" s="378"/>
      <c r="L243" s="378"/>
      <c r="M243" s="378"/>
      <c r="N243" s="378"/>
      <c r="O243" s="378"/>
      <c r="P243" s="378"/>
      <c r="Q243" s="378"/>
      <c r="R243" s="337">
        <f t="shared" si="1"/>
        <v>4</v>
      </c>
      <c r="S243" s="379">
        <f t="shared" si="2"/>
        <v>6.8422853232979813E-4</v>
      </c>
      <c r="T243" s="338">
        <f t="shared" si="3"/>
        <v>554</v>
      </c>
      <c r="U243" s="379">
        <f t="shared" si="4"/>
        <v>6.6069181827397249E-4</v>
      </c>
      <c r="V243" s="361"/>
      <c r="W243" s="409"/>
      <c r="X243" s="5"/>
    </row>
    <row r="244" spans="1:25" ht="15.75" x14ac:dyDescent="0.25">
      <c r="A244" s="285"/>
      <c r="B244" s="337" t="s">
        <v>158</v>
      </c>
      <c r="C244" s="378"/>
      <c r="D244" s="378"/>
      <c r="E244" s="378"/>
      <c r="F244" s="286"/>
      <c r="G244" s="379"/>
      <c r="H244" s="378"/>
      <c r="I244" s="378"/>
      <c r="J244" s="378"/>
      <c r="K244" s="378"/>
      <c r="L244" s="378"/>
      <c r="M244" s="378"/>
      <c r="N244" s="378"/>
      <c r="O244" s="378"/>
      <c r="P244" s="378"/>
      <c r="Q244" s="378"/>
      <c r="R244" s="337">
        <f t="shared" si="1"/>
        <v>3</v>
      </c>
      <c r="S244" s="379">
        <f t="shared" si="2"/>
        <v>5.131713992473486E-4</v>
      </c>
      <c r="T244" s="338">
        <f t="shared" si="3"/>
        <v>580</v>
      </c>
      <c r="U244" s="379">
        <f t="shared" si="4"/>
        <v>6.9169901552148735E-4</v>
      </c>
      <c r="V244" s="361"/>
      <c r="W244" s="409"/>
      <c r="X244" s="5"/>
      <c r="Y244" s="109"/>
    </row>
    <row r="245" spans="1:25" ht="15.75" x14ac:dyDescent="0.25">
      <c r="A245" s="285"/>
      <c r="B245" s="337" t="s">
        <v>159</v>
      </c>
      <c r="C245" s="378"/>
      <c r="D245" s="378"/>
      <c r="E245" s="378"/>
      <c r="F245" s="286"/>
      <c r="G245" s="379"/>
      <c r="H245" s="378"/>
      <c r="I245" s="378"/>
      <c r="J245" s="378"/>
      <c r="K245" s="378"/>
      <c r="L245" s="378"/>
      <c r="M245" s="378"/>
      <c r="N245" s="378"/>
      <c r="O245" s="378"/>
      <c r="P245" s="378"/>
      <c r="Q245" s="378"/>
      <c r="R245" s="337">
        <f t="shared" si="1"/>
        <v>16</v>
      </c>
      <c r="S245" s="379">
        <f t="shared" si="2"/>
        <v>2.7369141293191925E-3</v>
      </c>
      <c r="T245" s="338">
        <f t="shared" si="3"/>
        <v>2612</v>
      </c>
      <c r="U245" s="379">
        <f t="shared" si="4"/>
        <v>3.1150307388657329E-3</v>
      </c>
      <c r="V245" s="361"/>
      <c r="W245" s="409"/>
      <c r="X245" s="5"/>
    </row>
    <row r="246" spans="1:25" ht="15.75" x14ac:dyDescent="0.25">
      <c r="A246" s="285"/>
      <c r="B246" s="337" t="s">
        <v>160</v>
      </c>
      <c r="C246" s="378"/>
      <c r="D246" s="378"/>
      <c r="E246" s="378"/>
      <c r="F246" s="286"/>
      <c r="G246" s="379"/>
      <c r="H246" s="378"/>
      <c r="I246" s="378"/>
      <c r="J246" s="378"/>
      <c r="K246" s="378"/>
      <c r="L246" s="378"/>
      <c r="M246" s="378"/>
      <c r="N246" s="378"/>
      <c r="O246" s="378"/>
      <c r="P246" s="378"/>
      <c r="Q246" s="378"/>
      <c r="R246" s="386">
        <f t="shared" si="1"/>
        <v>24</v>
      </c>
      <c r="S246" s="379">
        <f t="shared" si="2"/>
        <v>4.1053711939787888E-3</v>
      </c>
      <c r="T246" s="383">
        <f t="shared" si="3"/>
        <v>3716</v>
      </c>
      <c r="U246" s="387">
        <f t="shared" si="4"/>
        <v>4.4316440373755985E-3</v>
      </c>
      <c r="V246" s="361"/>
      <c r="W246" s="409"/>
      <c r="X246" s="5"/>
      <c r="Y246" s="109"/>
    </row>
    <row r="247" spans="1:25" ht="15.75" x14ac:dyDescent="0.25">
      <c r="A247" s="285"/>
      <c r="B247" s="337"/>
      <c r="C247" s="378"/>
      <c r="D247" s="378"/>
      <c r="E247" s="378"/>
      <c r="F247" s="286"/>
      <c r="G247" s="379"/>
      <c r="H247" s="378"/>
      <c r="I247" s="378"/>
      <c r="J247" s="378"/>
      <c r="K247" s="378"/>
      <c r="L247" s="378"/>
      <c r="M247" s="378"/>
      <c r="N247" s="378"/>
      <c r="O247" s="378"/>
      <c r="P247" s="378"/>
      <c r="Q247" s="378"/>
      <c r="R247" s="337"/>
      <c r="S247" s="379"/>
      <c r="T247" s="338"/>
      <c r="U247" s="379"/>
      <c r="V247" s="361"/>
      <c r="W247" s="409"/>
      <c r="X247" s="5"/>
    </row>
    <row r="248" spans="1:25" ht="15.75" x14ac:dyDescent="0.25">
      <c r="A248" s="285"/>
      <c r="B248" s="286"/>
      <c r="C248" s="286"/>
      <c r="D248" s="286"/>
      <c r="E248" s="286"/>
      <c r="F248" s="286"/>
      <c r="G248" s="286"/>
      <c r="H248" s="381"/>
      <c r="I248" s="381"/>
      <c r="J248" s="381"/>
      <c r="K248" s="381"/>
      <c r="L248" s="381"/>
      <c r="M248" s="381"/>
      <c r="N248" s="381"/>
      <c r="O248" s="381"/>
      <c r="P248" s="381"/>
      <c r="Q248" s="381"/>
      <c r="R248" s="337">
        <f>SUM(R239:R247)</f>
        <v>5846</v>
      </c>
      <c r="S248" s="379">
        <f>SUM(S239:S247)</f>
        <v>0.99999999999999989</v>
      </c>
      <c r="T248" s="338">
        <f>SUM(T239:T247)</f>
        <v>838515</v>
      </c>
      <c r="U248" s="379">
        <f>SUM(U239:U247)</f>
        <v>1</v>
      </c>
      <c r="V248" s="286"/>
      <c r="W248" s="289"/>
      <c r="X248" s="5"/>
    </row>
    <row r="249" spans="1:25" ht="15.75" x14ac:dyDescent="0.25">
      <c r="A249" s="181"/>
      <c r="B249" s="212"/>
      <c r="C249" s="212"/>
      <c r="D249" s="212"/>
      <c r="E249" s="212"/>
      <c r="F249" s="212"/>
      <c r="G249" s="212"/>
      <c r="H249" s="375"/>
      <c r="I249" s="375"/>
      <c r="J249" s="375"/>
      <c r="K249" s="375"/>
      <c r="L249" s="375"/>
      <c r="M249" s="375"/>
      <c r="N249" s="375"/>
      <c r="O249" s="375"/>
      <c r="P249" s="375"/>
      <c r="Q249" s="375"/>
      <c r="R249" s="335"/>
      <c r="S249" s="376"/>
      <c r="T249" s="377"/>
      <c r="U249" s="376"/>
      <c r="V249" s="212"/>
      <c r="W249" s="212"/>
      <c r="X249" s="5"/>
    </row>
    <row r="250" spans="1:25" ht="15.75" x14ac:dyDescent="0.25">
      <c r="A250" s="224"/>
      <c r="B250" s="399" t="s">
        <v>162</v>
      </c>
      <c r="C250" s="400"/>
      <c r="D250" s="400"/>
      <c r="E250" s="400"/>
      <c r="F250" s="407"/>
      <c r="G250" s="400"/>
      <c r="H250" s="400"/>
      <c r="I250" s="400"/>
      <c r="J250" s="400"/>
      <c r="K250" s="400"/>
      <c r="L250" s="400"/>
      <c r="M250" s="400"/>
      <c r="N250" s="400"/>
      <c r="O250" s="400"/>
      <c r="P250" s="400"/>
      <c r="Q250" s="400"/>
      <c r="R250" s="407" t="s">
        <v>102</v>
      </c>
      <c r="S250" s="400" t="s">
        <v>103</v>
      </c>
      <c r="T250" s="407" t="s">
        <v>109</v>
      </c>
      <c r="U250" s="400" t="s">
        <v>103</v>
      </c>
      <c r="V250" s="225"/>
      <c r="W250" s="399"/>
      <c r="X250" s="5"/>
    </row>
    <row r="251" spans="1:25" ht="15.75" x14ac:dyDescent="0.25">
      <c r="A251" s="193"/>
      <c r="B251" s="249" t="s">
        <v>88</v>
      </c>
      <c r="C251" s="265"/>
      <c r="D251" s="265"/>
      <c r="E251" s="265"/>
      <c r="F251" s="250"/>
      <c r="G251" s="265"/>
      <c r="H251" s="265"/>
      <c r="I251" s="265"/>
      <c r="J251" s="265"/>
      <c r="K251" s="265"/>
      <c r="L251" s="265"/>
      <c r="M251" s="265"/>
      <c r="N251" s="265"/>
      <c r="O251" s="265"/>
      <c r="P251" s="265"/>
      <c r="Q251" s="265"/>
      <c r="R251" s="249">
        <v>5670</v>
      </c>
      <c r="S251" s="252">
        <f t="shared" ref="S251:S258" si="5">R251/$R$260</f>
        <v>0.99421357180431347</v>
      </c>
      <c r="T251" s="253">
        <v>809238</v>
      </c>
      <c r="U251" s="252">
        <f t="shared" ref="U251:U258" si="6">T251/$T$260</f>
        <v>0.99276317968635952</v>
      </c>
      <c r="V251" s="266"/>
      <c r="W251" s="408"/>
      <c r="X251" s="5"/>
    </row>
    <row r="252" spans="1:25" ht="15.75" x14ac:dyDescent="0.25">
      <c r="A252" s="285"/>
      <c r="B252" s="337" t="s">
        <v>89</v>
      </c>
      <c r="C252" s="378"/>
      <c r="D252" s="378"/>
      <c r="E252" s="378"/>
      <c r="F252" s="286"/>
      <c r="G252" s="379"/>
      <c r="H252" s="378"/>
      <c r="I252" s="378"/>
      <c r="J252" s="378"/>
      <c r="K252" s="378"/>
      <c r="L252" s="378"/>
      <c r="M252" s="378"/>
      <c r="N252" s="378"/>
      <c r="O252" s="378"/>
      <c r="P252" s="378"/>
      <c r="Q252" s="378"/>
      <c r="R252" s="337">
        <v>28</v>
      </c>
      <c r="S252" s="379">
        <f t="shared" si="5"/>
        <v>4.909696650885499E-3</v>
      </c>
      <c r="T252" s="338">
        <v>4594</v>
      </c>
      <c r="U252" s="379">
        <f t="shared" si="6"/>
        <v>5.635862437847871E-3</v>
      </c>
      <c r="V252" s="361"/>
      <c r="W252" s="409"/>
      <c r="X252" s="5"/>
      <c r="Y252" s="109"/>
    </row>
    <row r="253" spans="1:25" ht="15.75" x14ac:dyDescent="0.25">
      <c r="A253" s="285"/>
      <c r="B253" s="337" t="s">
        <v>90</v>
      </c>
      <c r="C253" s="378"/>
      <c r="D253" s="378"/>
      <c r="E253" s="378"/>
      <c r="F253" s="286"/>
      <c r="G253" s="379"/>
      <c r="H253" s="378"/>
      <c r="I253" s="378"/>
      <c r="J253" s="378"/>
      <c r="K253" s="378"/>
      <c r="L253" s="378"/>
      <c r="M253" s="378"/>
      <c r="N253" s="378"/>
      <c r="O253" s="378"/>
      <c r="P253" s="378"/>
      <c r="Q253" s="378"/>
      <c r="R253" s="337">
        <v>5</v>
      </c>
      <c r="S253" s="379">
        <f t="shared" si="5"/>
        <v>8.7673154480098195E-4</v>
      </c>
      <c r="T253" s="338">
        <v>1305</v>
      </c>
      <c r="U253" s="379">
        <f t="shared" si="6"/>
        <v>1.6009578757926581E-3</v>
      </c>
      <c r="V253" s="361"/>
      <c r="W253" s="409"/>
      <c r="X253" s="5"/>
    </row>
    <row r="254" spans="1:25" ht="15.75" x14ac:dyDescent="0.25">
      <c r="A254" s="285"/>
      <c r="B254" s="337" t="s">
        <v>156</v>
      </c>
      <c r="C254" s="378"/>
      <c r="D254" s="378"/>
      <c r="E254" s="378"/>
      <c r="F254" s="286"/>
      <c r="G254" s="379"/>
      <c r="H254" s="378"/>
      <c r="I254" s="378"/>
      <c r="J254" s="378"/>
      <c r="K254" s="378"/>
      <c r="L254" s="378"/>
      <c r="M254" s="378"/>
      <c r="N254" s="378"/>
      <c r="O254" s="378"/>
      <c r="P254" s="378"/>
      <c r="Q254" s="378"/>
      <c r="R254" s="337">
        <v>0</v>
      </c>
      <c r="S254" s="379">
        <f t="shared" si="5"/>
        <v>0</v>
      </c>
      <c r="T254" s="338">
        <v>0</v>
      </c>
      <c r="U254" s="379">
        <f t="shared" si="6"/>
        <v>0</v>
      </c>
      <c r="V254" s="361"/>
      <c r="W254" s="409"/>
      <c r="X254" s="5"/>
      <c r="Y254" s="109"/>
    </row>
    <row r="255" spans="1:25" ht="15.75" x14ac:dyDescent="0.25">
      <c r="A255" s="285"/>
      <c r="B255" s="337" t="s">
        <v>157</v>
      </c>
      <c r="C255" s="378"/>
      <c r="D255" s="378"/>
      <c r="E255" s="378"/>
      <c r="F255" s="286"/>
      <c r="G255" s="379"/>
      <c r="H255" s="378"/>
      <c r="I255" s="378"/>
      <c r="J255" s="378"/>
      <c r="K255" s="378"/>
      <c r="L255" s="378"/>
      <c r="M255" s="378"/>
      <c r="N255" s="378"/>
      <c r="O255" s="378"/>
      <c r="P255" s="378"/>
      <c r="Q255" s="378"/>
      <c r="R255" s="337">
        <v>0</v>
      </c>
      <c r="S255" s="379">
        <f t="shared" si="5"/>
        <v>0</v>
      </c>
      <c r="T255" s="338">
        <v>0</v>
      </c>
      <c r="U255" s="379">
        <f t="shared" si="6"/>
        <v>0</v>
      </c>
      <c r="V255" s="361"/>
      <c r="W255" s="409"/>
      <c r="X255" s="5"/>
    </row>
    <row r="256" spans="1:25" ht="15.75" x14ac:dyDescent="0.25">
      <c r="A256" s="285"/>
      <c r="B256" s="337" t="s">
        <v>158</v>
      </c>
      <c r="C256" s="378"/>
      <c r="D256" s="378"/>
      <c r="E256" s="378"/>
      <c r="F256" s="286"/>
      <c r="G256" s="379"/>
      <c r="H256" s="378"/>
      <c r="I256" s="378"/>
      <c r="J256" s="378"/>
      <c r="K256" s="378"/>
      <c r="L256" s="378"/>
      <c r="M256" s="378"/>
      <c r="N256" s="378"/>
      <c r="O256" s="378"/>
      <c r="P256" s="378"/>
      <c r="Q256" s="378"/>
      <c r="R256" s="337">
        <v>0</v>
      </c>
      <c r="S256" s="379">
        <f t="shared" si="5"/>
        <v>0</v>
      </c>
      <c r="T256" s="338">
        <v>0</v>
      </c>
      <c r="U256" s="379">
        <f t="shared" si="6"/>
        <v>0</v>
      </c>
      <c r="V256" s="361"/>
      <c r="W256" s="409"/>
      <c r="X256" s="5"/>
      <c r="Y256" s="109"/>
    </row>
    <row r="257" spans="1:25" ht="15.75" x14ac:dyDescent="0.25">
      <c r="A257" s="285"/>
      <c r="B257" s="337" t="s">
        <v>159</v>
      </c>
      <c r="C257" s="378"/>
      <c r="D257" s="378"/>
      <c r="E257" s="378"/>
      <c r="F257" s="286"/>
      <c r="G257" s="379"/>
      <c r="H257" s="378"/>
      <c r="I257" s="378"/>
      <c r="J257" s="378"/>
      <c r="K257" s="378"/>
      <c r="L257" s="378"/>
      <c r="M257" s="378"/>
      <c r="N257" s="378"/>
      <c r="O257" s="378"/>
      <c r="P257" s="378"/>
      <c r="Q257" s="378"/>
      <c r="R257" s="337">
        <v>0</v>
      </c>
      <c r="S257" s="379">
        <f t="shared" si="5"/>
        <v>0</v>
      </c>
      <c r="T257" s="338">
        <v>0</v>
      </c>
      <c r="U257" s="379">
        <f t="shared" si="6"/>
        <v>0</v>
      </c>
      <c r="V257" s="361"/>
      <c r="W257" s="409"/>
      <c r="X257" s="5"/>
    </row>
    <row r="258" spans="1:25" ht="15.75" x14ac:dyDescent="0.25">
      <c r="A258" s="285"/>
      <c r="B258" s="337" t="s">
        <v>160</v>
      </c>
      <c r="C258" s="378"/>
      <c r="D258" s="378"/>
      <c r="E258" s="378"/>
      <c r="F258" s="286"/>
      <c r="G258" s="379"/>
      <c r="H258" s="378"/>
      <c r="I258" s="378"/>
      <c r="J258" s="378"/>
      <c r="K258" s="378"/>
      <c r="L258" s="378"/>
      <c r="M258" s="378"/>
      <c r="N258" s="378"/>
      <c r="O258" s="378"/>
      <c r="P258" s="378"/>
      <c r="Q258" s="378"/>
      <c r="R258" s="337">
        <v>0</v>
      </c>
      <c r="S258" s="379">
        <f t="shared" si="5"/>
        <v>0</v>
      </c>
      <c r="T258" s="338">
        <v>0</v>
      </c>
      <c r="U258" s="379">
        <f t="shared" si="6"/>
        <v>0</v>
      </c>
      <c r="V258" s="361"/>
      <c r="W258" s="409"/>
      <c r="X258" s="5"/>
      <c r="Y258" s="109"/>
    </row>
    <row r="259" spans="1:25" ht="15.75" x14ac:dyDescent="0.25">
      <c r="A259" s="285"/>
      <c r="B259" s="337"/>
      <c r="C259" s="378"/>
      <c r="D259" s="378"/>
      <c r="E259" s="378"/>
      <c r="F259" s="286"/>
      <c r="G259" s="379"/>
      <c r="H259" s="378"/>
      <c r="I259" s="378"/>
      <c r="J259" s="378"/>
      <c r="K259" s="378"/>
      <c r="L259" s="378"/>
      <c r="M259" s="378"/>
      <c r="N259" s="378"/>
      <c r="O259" s="378"/>
      <c r="P259" s="378"/>
      <c r="Q259" s="378"/>
      <c r="R259" s="337"/>
      <c r="S259" s="379"/>
      <c r="T259" s="338"/>
      <c r="U259" s="379"/>
      <c r="V259" s="361"/>
      <c r="W259" s="409"/>
      <c r="X259" s="5"/>
    </row>
    <row r="260" spans="1:25" ht="15.75" x14ac:dyDescent="0.25">
      <c r="A260" s="285"/>
      <c r="B260" s="286"/>
      <c r="C260" s="286"/>
      <c r="D260" s="286"/>
      <c r="E260" s="286"/>
      <c r="F260" s="286"/>
      <c r="G260" s="286"/>
      <c r="H260" s="381"/>
      <c r="I260" s="381"/>
      <c r="J260" s="381"/>
      <c r="K260" s="381"/>
      <c r="L260" s="381"/>
      <c r="M260" s="381"/>
      <c r="N260" s="381"/>
      <c r="O260" s="381"/>
      <c r="P260" s="381"/>
      <c r="Q260" s="381"/>
      <c r="R260" s="337">
        <f>SUM(R251:R259)</f>
        <v>5703</v>
      </c>
      <c r="S260" s="379">
        <f>SUM(S251:S259)</f>
        <v>0.99999999999999989</v>
      </c>
      <c r="T260" s="338">
        <f>SUM(T251:T259)</f>
        <v>815137</v>
      </c>
      <c r="U260" s="379">
        <f>SUM(U251:U259)</f>
        <v>1</v>
      </c>
      <c r="V260" s="286"/>
      <c r="W260" s="289"/>
      <c r="X260" s="5"/>
    </row>
    <row r="261" spans="1:25" ht="15.75" x14ac:dyDescent="0.25">
      <c r="A261" s="181"/>
      <c r="B261" s="212"/>
      <c r="C261" s="212"/>
      <c r="D261" s="212"/>
      <c r="E261" s="212"/>
      <c r="F261" s="212"/>
      <c r="G261" s="212"/>
      <c r="H261" s="375"/>
      <c r="I261" s="375"/>
      <c r="J261" s="375"/>
      <c r="K261" s="375"/>
      <c r="L261" s="375"/>
      <c r="M261" s="375"/>
      <c r="N261" s="375"/>
      <c r="O261" s="375"/>
      <c r="P261" s="375"/>
      <c r="Q261" s="375"/>
      <c r="R261" s="335"/>
      <c r="S261" s="376"/>
      <c r="T261" s="377"/>
      <c r="U261" s="376"/>
      <c r="V261" s="212"/>
      <c r="W261" s="212"/>
      <c r="X261" s="5"/>
    </row>
    <row r="262" spans="1:25" ht="15.75" x14ac:dyDescent="0.25">
      <c r="A262" s="244"/>
      <c r="B262" s="399" t="s">
        <v>236</v>
      </c>
      <c r="C262" s="400"/>
      <c r="D262" s="400"/>
      <c r="E262" s="400"/>
      <c r="F262" s="407"/>
      <c r="G262" s="400"/>
      <c r="H262" s="400"/>
      <c r="I262" s="400"/>
      <c r="J262" s="400"/>
      <c r="K262" s="400"/>
      <c r="L262" s="400"/>
      <c r="M262" s="400"/>
      <c r="N262" s="400"/>
      <c r="O262" s="400"/>
      <c r="P262" s="400"/>
      <c r="Q262" s="400"/>
      <c r="R262" s="407" t="s">
        <v>102</v>
      </c>
      <c r="S262" s="400" t="s">
        <v>103</v>
      </c>
      <c r="T262" s="407" t="s">
        <v>109</v>
      </c>
      <c r="U262" s="400" t="s">
        <v>103</v>
      </c>
      <c r="V262" s="245"/>
      <c r="W262" s="246"/>
      <c r="X262" s="5"/>
    </row>
    <row r="263" spans="1:25" ht="15.75" x14ac:dyDescent="0.25">
      <c r="A263" s="193"/>
      <c r="B263" s="249" t="s">
        <v>88</v>
      </c>
      <c r="C263" s="265"/>
      <c r="D263" s="265"/>
      <c r="E263" s="265"/>
      <c r="F263" s="250"/>
      <c r="G263" s="265"/>
      <c r="H263" s="265"/>
      <c r="I263" s="265"/>
      <c r="J263" s="265"/>
      <c r="K263" s="265"/>
      <c r="L263" s="265"/>
      <c r="M263" s="265"/>
      <c r="N263" s="265"/>
      <c r="O263" s="265"/>
      <c r="P263" s="265"/>
      <c r="Q263" s="265"/>
      <c r="R263" s="249">
        <v>65</v>
      </c>
      <c r="S263" s="252">
        <f t="shared" ref="S263:S270" si="7">R263/$R$272</f>
        <v>0.45454545454545453</v>
      </c>
      <c r="T263" s="253">
        <v>11220</v>
      </c>
      <c r="U263" s="252">
        <f t="shared" ref="U263:U270" si="8">T263/$T$272</f>
        <v>0.47993840362734197</v>
      </c>
      <c r="V263" s="250"/>
      <c r="W263" s="250"/>
      <c r="X263" s="5"/>
    </row>
    <row r="264" spans="1:25" ht="15.75" x14ac:dyDescent="0.25">
      <c r="A264" s="285"/>
      <c r="B264" s="337" t="s">
        <v>89</v>
      </c>
      <c r="C264" s="378"/>
      <c r="D264" s="378"/>
      <c r="E264" s="378"/>
      <c r="F264" s="286"/>
      <c r="G264" s="379"/>
      <c r="H264" s="378"/>
      <c r="I264" s="378"/>
      <c r="J264" s="378"/>
      <c r="K264" s="378"/>
      <c r="L264" s="378"/>
      <c r="M264" s="378"/>
      <c r="N264" s="378"/>
      <c r="O264" s="378"/>
      <c r="P264" s="378"/>
      <c r="Q264" s="378"/>
      <c r="R264" s="337">
        <v>20</v>
      </c>
      <c r="S264" s="379">
        <f t="shared" si="7"/>
        <v>0.13986013986013987</v>
      </c>
      <c r="T264" s="338">
        <v>3389</v>
      </c>
      <c r="U264" s="379">
        <f t="shared" si="8"/>
        <v>0.14496535204037986</v>
      </c>
      <c r="V264" s="286"/>
      <c r="W264" s="289"/>
      <c r="X264" s="5"/>
    </row>
    <row r="265" spans="1:25" ht="15.75" x14ac:dyDescent="0.25">
      <c r="A265" s="285"/>
      <c r="B265" s="337" t="s">
        <v>90</v>
      </c>
      <c r="C265" s="378"/>
      <c r="D265" s="378"/>
      <c r="E265" s="378"/>
      <c r="F265" s="286"/>
      <c r="G265" s="379"/>
      <c r="H265" s="378"/>
      <c r="I265" s="378"/>
      <c r="J265" s="378"/>
      <c r="K265" s="378"/>
      <c r="L265" s="378"/>
      <c r="M265" s="378"/>
      <c r="N265" s="378"/>
      <c r="O265" s="378"/>
      <c r="P265" s="378"/>
      <c r="Q265" s="378"/>
      <c r="R265" s="337">
        <v>7</v>
      </c>
      <c r="S265" s="379">
        <f t="shared" si="7"/>
        <v>4.8951048951048952E-2</v>
      </c>
      <c r="T265" s="338">
        <v>849</v>
      </c>
      <c r="U265" s="379">
        <f t="shared" si="8"/>
        <v>3.6316194712978013E-2</v>
      </c>
      <c r="V265" s="286"/>
      <c r="W265" s="289"/>
      <c r="X265" s="5"/>
    </row>
    <row r="266" spans="1:25" ht="15.75" x14ac:dyDescent="0.25">
      <c r="A266" s="285"/>
      <c r="B266" s="337" t="s">
        <v>156</v>
      </c>
      <c r="C266" s="378"/>
      <c r="D266" s="378"/>
      <c r="E266" s="378"/>
      <c r="F266" s="286"/>
      <c r="G266" s="379"/>
      <c r="H266" s="378"/>
      <c r="I266" s="378"/>
      <c r="J266" s="378"/>
      <c r="K266" s="378"/>
      <c r="L266" s="378"/>
      <c r="M266" s="378"/>
      <c r="N266" s="378"/>
      <c r="O266" s="378"/>
      <c r="P266" s="378"/>
      <c r="Q266" s="378"/>
      <c r="R266" s="337">
        <v>4</v>
      </c>
      <c r="S266" s="379">
        <f t="shared" si="7"/>
        <v>2.7972027972027972E-2</v>
      </c>
      <c r="T266" s="338">
        <v>458</v>
      </c>
      <c r="U266" s="379">
        <f t="shared" si="8"/>
        <v>1.9591068525964581E-2</v>
      </c>
      <c r="V266" s="286"/>
      <c r="W266" s="289"/>
      <c r="X266" s="5"/>
    </row>
    <row r="267" spans="1:25" ht="15.75" x14ac:dyDescent="0.25">
      <c r="A267" s="285"/>
      <c r="B267" s="337" t="s">
        <v>157</v>
      </c>
      <c r="C267" s="378"/>
      <c r="D267" s="378"/>
      <c r="E267" s="378"/>
      <c r="F267" s="286"/>
      <c r="G267" s="379"/>
      <c r="H267" s="378"/>
      <c r="I267" s="378"/>
      <c r="J267" s="378"/>
      <c r="K267" s="378"/>
      <c r="L267" s="378"/>
      <c r="M267" s="378"/>
      <c r="N267" s="378"/>
      <c r="O267" s="378"/>
      <c r="P267" s="378"/>
      <c r="Q267" s="378"/>
      <c r="R267" s="337">
        <v>4</v>
      </c>
      <c r="S267" s="379">
        <f t="shared" si="7"/>
        <v>2.7972027972027972E-2</v>
      </c>
      <c r="T267" s="338">
        <v>554</v>
      </c>
      <c r="U267" s="379">
        <f t="shared" si="8"/>
        <v>2.3697493369834888E-2</v>
      </c>
      <c r="V267" s="286"/>
      <c r="W267" s="289"/>
      <c r="X267" s="5"/>
    </row>
    <row r="268" spans="1:25" ht="15.75" x14ac:dyDescent="0.25">
      <c r="A268" s="285"/>
      <c r="B268" s="337" t="s">
        <v>158</v>
      </c>
      <c r="C268" s="378"/>
      <c r="D268" s="378"/>
      <c r="E268" s="378"/>
      <c r="F268" s="286"/>
      <c r="G268" s="379"/>
      <c r="H268" s="378"/>
      <c r="I268" s="378"/>
      <c r="J268" s="378"/>
      <c r="K268" s="378"/>
      <c r="L268" s="378"/>
      <c r="M268" s="378"/>
      <c r="N268" s="378"/>
      <c r="O268" s="378"/>
      <c r="P268" s="378"/>
      <c r="Q268" s="378"/>
      <c r="R268" s="337">
        <v>3</v>
      </c>
      <c r="S268" s="379">
        <f t="shared" si="7"/>
        <v>2.097902097902098E-2</v>
      </c>
      <c r="T268" s="338">
        <v>580</v>
      </c>
      <c r="U268" s="379">
        <f t="shared" si="8"/>
        <v>2.4809650098383096E-2</v>
      </c>
      <c r="V268" s="286"/>
      <c r="W268" s="289"/>
      <c r="X268" s="5"/>
    </row>
    <row r="269" spans="1:25" ht="15.75" x14ac:dyDescent="0.25">
      <c r="A269" s="285"/>
      <c r="B269" s="337" t="s">
        <v>159</v>
      </c>
      <c r="C269" s="378"/>
      <c r="D269" s="378"/>
      <c r="E269" s="378"/>
      <c r="F269" s="286"/>
      <c r="G269" s="379"/>
      <c r="H269" s="378"/>
      <c r="I269" s="378"/>
      <c r="J269" s="378"/>
      <c r="K269" s="378"/>
      <c r="L269" s="378"/>
      <c r="M269" s="378"/>
      <c r="N269" s="378"/>
      <c r="O269" s="378"/>
      <c r="P269" s="378"/>
      <c r="Q269" s="378"/>
      <c r="R269" s="337">
        <v>16</v>
      </c>
      <c r="S269" s="379">
        <f t="shared" si="7"/>
        <v>0.11188811188811189</v>
      </c>
      <c r="T269" s="338">
        <v>2612</v>
      </c>
      <c r="U269" s="379">
        <f t="shared" si="8"/>
        <v>0.11172897596030457</v>
      </c>
      <c r="V269" s="286"/>
      <c r="W269" s="289"/>
      <c r="X269" s="5"/>
    </row>
    <row r="270" spans="1:25" ht="15.75" x14ac:dyDescent="0.25">
      <c r="A270" s="285"/>
      <c r="B270" s="337" t="s">
        <v>160</v>
      </c>
      <c r="C270" s="378"/>
      <c r="D270" s="378"/>
      <c r="E270" s="378"/>
      <c r="F270" s="286"/>
      <c r="G270" s="379"/>
      <c r="H270" s="378"/>
      <c r="I270" s="378"/>
      <c r="J270" s="378"/>
      <c r="K270" s="378"/>
      <c r="L270" s="378"/>
      <c r="M270" s="378"/>
      <c r="N270" s="378"/>
      <c r="O270" s="378"/>
      <c r="P270" s="378"/>
      <c r="Q270" s="378"/>
      <c r="R270" s="337">
        <v>24</v>
      </c>
      <c r="S270" s="379">
        <f t="shared" si="7"/>
        <v>0.16783216783216784</v>
      </c>
      <c r="T270" s="338">
        <v>3716</v>
      </c>
      <c r="U270" s="379">
        <f t="shared" si="8"/>
        <v>0.15895286166481307</v>
      </c>
      <c r="V270" s="286"/>
      <c r="W270" s="289"/>
      <c r="X270" s="5"/>
    </row>
    <row r="271" spans="1:25" ht="15.75" x14ac:dyDescent="0.25">
      <c r="A271" s="285"/>
      <c r="B271" s="337"/>
      <c r="C271" s="378"/>
      <c r="D271" s="378"/>
      <c r="E271" s="378"/>
      <c r="F271" s="286"/>
      <c r="G271" s="379"/>
      <c r="H271" s="378"/>
      <c r="I271" s="378"/>
      <c r="J271" s="378"/>
      <c r="K271" s="378"/>
      <c r="L271" s="378"/>
      <c r="M271" s="378"/>
      <c r="N271" s="378"/>
      <c r="O271" s="378"/>
      <c r="P271" s="378"/>
      <c r="Q271" s="378"/>
      <c r="R271" s="337"/>
      <c r="S271" s="379"/>
      <c r="T271" s="338"/>
      <c r="U271" s="379"/>
      <c r="V271" s="286"/>
      <c r="W271" s="289"/>
      <c r="X271" s="5"/>
    </row>
    <row r="272" spans="1:25" ht="15.75" x14ac:dyDescent="0.25">
      <c r="A272" s="285"/>
      <c r="B272" s="286"/>
      <c r="C272" s="286"/>
      <c r="D272" s="286"/>
      <c r="E272" s="286"/>
      <c r="F272" s="286"/>
      <c r="G272" s="286"/>
      <c r="H272" s="381"/>
      <c r="I272" s="381"/>
      <c r="J272" s="381"/>
      <c r="K272" s="381"/>
      <c r="L272" s="381"/>
      <c r="M272" s="381"/>
      <c r="N272" s="381"/>
      <c r="O272" s="381"/>
      <c r="P272" s="381"/>
      <c r="Q272" s="381"/>
      <c r="R272" s="337">
        <f>SUM(R263:R271)</f>
        <v>143</v>
      </c>
      <c r="S272" s="379">
        <f>SUM(S263:S271)</f>
        <v>1</v>
      </c>
      <c r="T272" s="338">
        <f>SUM(T263:T271)</f>
        <v>23378</v>
      </c>
      <c r="U272" s="379">
        <f>SUM(U263:U271)</f>
        <v>1</v>
      </c>
      <c r="V272" s="286"/>
      <c r="W272" s="289"/>
      <c r="X272" s="5"/>
    </row>
    <row r="273" spans="1:24" ht="15.75" x14ac:dyDescent="0.25">
      <c r="A273" s="181"/>
      <c r="B273" s="212"/>
      <c r="C273" s="212"/>
      <c r="D273" s="212"/>
      <c r="E273" s="212"/>
      <c r="F273" s="212"/>
      <c r="G273" s="212"/>
      <c r="H273" s="375"/>
      <c r="I273" s="375"/>
      <c r="J273" s="375"/>
      <c r="K273" s="375"/>
      <c r="L273" s="375"/>
      <c r="M273" s="375"/>
      <c r="N273" s="375"/>
      <c r="O273" s="375"/>
      <c r="P273" s="375"/>
      <c r="Q273" s="375"/>
      <c r="R273" s="335"/>
      <c r="S273" s="376"/>
      <c r="T273" s="377"/>
      <c r="U273" s="376"/>
      <c r="V273" s="212"/>
      <c r="W273" s="212"/>
      <c r="X273" s="5"/>
    </row>
    <row r="274" spans="1:24" ht="15.75" x14ac:dyDescent="0.25">
      <c r="A274" s="244"/>
      <c r="B274" s="399" t="s">
        <v>163</v>
      </c>
      <c r="C274" s="245"/>
      <c r="D274" s="245"/>
      <c r="E274" s="245"/>
      <c r="F274" s="245"/>
      <c r="G274" s="245"/>
      <c r="H274" s="247"/>
      <c r="I274" s="247"/>
      <c r="J274" s="247"/>
      <c r="K274" s="247"/>
      <c r="L274" s="247"/>
      <c r="M274" s="247"/>
      <c r="N274" s="247"/>
      <c r="O274" s="247"/>
      <c r="P274" s="247"/>
      <c r="Q274" s="247"/>
      <c r="R274" s="407" t="s">
        <v>102</v>
      </c>
      <c r="S274" s="400" t="s">
        <v>103</v>
      </c>
      <c r="T274" s="407" t="s">
        <v>109</v>
      </c>
      <c r="U274" s="400" t="s">
        <v>103</v>
      </c>
      <c r="V274" s="245"/>
      <c r="W274" s="246"/>
      <c r="X274" s="5"/>
    </row>
    <row r="275" spans="1:24" ht="15.75" x14ac:dyDescent="0.25">
      <c r="A275" s="248"/>
      <c r="B275" s="249" t="s">
        <v>88</v>
      </c>
      <c r="C275" s="250"/>
      <c r="D275" s="250"/>
      <c r="E275" s="250"/>
      <c r="F275" s="250"/>
      <c r="G275" s="250"/>
      <c r="H275" s="251"/>
      <c r="I275" s="251"/>
      <c r="J275" s="251"/>
      <c r="K275" s="251"/>
      <c r="L275" s="251"/>
      <c r="M275" s="251"/>
      <c r="N275" s="251"/>
      <c r="O275" s="251"/>
      <c r="P275" s="251"/>
      <c r="Q275" s="251"/>
      <c r="R275" s="249">
        <v>0</v>
      </c>
      <c r="S275" s="252">
        <v>0</v>
      </c>
      <c r="T275" s="253">
        <v>0</v>
      </c>
      <c r="U275" s="252">
        <v>0</v>
      </c>
      <c r="V275" s="250"/>
      <c r="W275" s="250"/>
      <c r="X275" s="5"/>
    </row>
    <row r="276" spans="1:24" ht="15.75" x14ac:dyDescent="0.25">
      <c r="A276" s="295"/>
      <c r="B276" s="337" t="s">
        <v>89</v>
      </c>
      <c r="C276" s="286"/>
      <c r="D276" s="286"/>
      <c r="E276" s="286"/>
      <c r="F276" s="286"/>
      <c r="G276" s="286"/>
      <c r="H276" s="381"/>
      <c r="I276" s="381"/>
      <c r="J276" s="381"/>
      <c r="K276" s="381"/>
      <c r="L276" s="381"/>
      <c r="M276" s="381"/>
      <c r="N276" s="381"/>
      <c r="O276" s="381"/>
      <c r="P276" s="381"/>
      <c r="Q276" s="381"/>
      <c r="R276" s="337">
        <v>0</v>
      </c>
      <c r="S276" s="379">
        <v>0</v>
      </c>
      <c r="T276" s="338">
        <v>0</v>
      </c>
      <c r="U276" s="379">
        <v>0</v>
      </c>
      <c r="V276" s="286"/>
      <c r="W276" s="289"/>
      <c r="X276" s="5"/>
    </row>
    <row r="277" spans="1:24" ht="15.75" x14ac:dyDescent="0.25">
      <c r="A277" s="295"/>
      <c r="B277" s="337" t="s">
        <v>90</v>
      </c>
      <c r="C277" s="286"/>
      <c r="D277" s="286"/>
      <c r="E277" s="286"/>
      <c r="F277" s="286"/>
      <c r="G277" s="286"/>
      <c r="H277" s="381"/>
      <c r="I277" s="381"/>
      <c r="J277" s="381"/>
      <c r="K277" s="381"/>
      <c r="L277" s="381"/>
      <c r="M277" s="381"/>
      <c r="N277" s="381"/>
      <c r="O277" s="381"/>
      <c r="P277" s="381"/>
      <c r="Q277" s="381"/>
      <c r="R277" s="337">
        <v>0</v>
      </c>
      <c r="S277" s="379">
        <v>0</v>
      </c>
      <c r="T277" s="338">
        <v>0</v>
      </c>
      <c r="U277" s="379">
        <v>0</v>
      </c>
      <c r="V277" s="286"/>
      <c r="W277" s="289"/>
      <c r="X277" s="5"/>
    </row>
    <row r="278" spans="1:24" ht="15.75" x14ac:dyDescent="0.25">
      <c r="A278" s="295"/>
      <c r="B278" s="337" t="s">
        <v>156</v>
      </c>
      <c r="C278" s="286"/>
      <c r="D278" s="286"/>
      <c r="E278" s="286"/>
      <c r="F278" s="286"/>
      <c r="G278" s="286"/>
      <c r="H278" s="381"/>
      <c r="I278" s="381"/>
      <c r="J278" s="381"/>
      <c r="K278" s="381"/>
      <c r="L278" s="381"/>
      <c r="M278" s="381"/>
      <c r="N278" s="381"/>
      <c r="O278" s="381"/>
      <c r="P278" s="381"/>
      <c r="Q278" s="381"/>
      <c r="R278" s="337">
        <v>0</v>
      </c>
      <c r="S278" s="379">
        <v>0</v>
      </c>
      <c r="T278" s="338">
        <v>0</v>
      </c>
      <c r="U278" s="379">
        <v>0</v>
      </c>
      <c r="V278" s="286"/>
      <c r="W278" s="289"/>
      <c r="X278" s="5"/>
    </row>
    <row r="279" spans="1:24" ht="15.75" x14ac:dyDescent="0.25">
      <c r="A279" s="295"/>
      <c r="B279" s="337" t="s">
        <v>157</v>
      </c>
      <c r="C279" s="286"/>
      <c r="D279" s="286"/>
      <c r="E279" s="286"/>
      <c r="F279" s="286"/>
      <c r="G279" s="286"/>
      <c r="H279" s="381"/>
      <c r="I279" s="381"/>
      <c r="J279" s="381"/>
      <c r="K279" s="381"/>
      <c r="L279" s="381"/>
      <c r="M279" s="381"/>
      <c r="N279" s="381"/>
      <c r="O279" s="381"/>
      <c r="P279" s="381"/>
      <c r="Q279" s="381"/>
      <c r="R279" s="337">
        <v>0</v>
      </c>
      <c r="S279" s="379">
        <v>0</v>
      </c>
      <c r="T279" s="338">
        <v>0</v>
      </c>
      <c r="U279" s="379">
        <v>0</v>
      </c>
      <c r="V279" s="286"/>
      <c r="W279" s="289"/>
      <c r="X279" s="5"/>
    </row>
    <row r="280" spans="1:24" ht="15.75" x14ac:dyDescent="0.25">
      <c r="A280" s="295"/>
      <c r="B280" s="337" t="s">
        <v>158</v>
      </c>
      <c r="C280" s="286"/>
      <c r="D280" s="286"/>
      <c r="E280" s="286"/>
      <c r="F280" s="286"/>
      <c r="G280" s="286"/>
      <c r="H280" s="381"/>
      <c r="I280" s="381"/>
      <c r="J280" s="381"/>
      <c r="K280" s="381"/>
      <c r="L280" s="381"/>
      <c r="M280" s="381"/>
      <c r="N280" s="381"/>
      <c r="O280" s="381"/>
      <c r="P280" s="381"/>
      <c r="Q280" s="381"/>
      <c r="R280" s="337">
        <v>0</v>
      </c>
      <c r="S280" s="379">
        <v>0</v>
      </c>
      <c r="T280" s="338">
        <v>0</v>
      </c>
      <c r="U280" s="379">
        <v>0</v>
      </c>
      <c r="V280" s="286"/>
      <c r="W280" s="289"/>
      <c r="X280" s="5"/>
    </row>
    <row r="281" spans="1:24" ht="15.75" x14ac:dyDescent="0.25">
      <c r="A281" s="295"/>
      <c r="B281" s="337" t="s">
        <v>159</v>
      </c>
      <c r="C281" s="286"/>
      <c r="D281" s="286"/>
      <c r="E281" s="286"/>
      <c r="F281" s="286"/>
      <c r="G281" s="286"/>
      <c r="H281" s="381"/>
      <c r="I281" s="381"/>
      <c r="J281" s="381"/>
      <c r="K281" s="381"/>
      <c r="L281" s="381"/>
      <c r="M281" s="381"/>
      <c r="N281" s="381"/>
      <c r="O281" s="381"/>
      <c r="P281" s="381"/>
      <c r="Q281" s="381"/>
      <c r="R281" s="337">
        <v>0</v>
      </c>
      <c r="S281" s="379">
        <v>0</v>
      </c>
      <c r="T281" s="338">
        <v>0</v>
      </c>
      <c r="U281" s="379">
        <v>0</v>
      </c>
      <c r="V281" s="286"/>
      <c r="W281" s="289"/>
      <c r="X281" s="5"/>
    </row>
    <row r="282" spans="1:24" ht="15.75" x14ac:dyDescent="0.25">
      <c r="A282" s="295"/>
      <c r="B282" s="337" t="s">
        <v>160</v>
      </c>
      <c r="C282" s="286"/>
      <c r="D282" s="286"/>
      <c r="E282" s="286"/>
      <c r="F282" s="286"/>
      <c r="G282" s="286"/>
      <c r="H282" s="381"/>
      <c r="I282" s="381"/>
      <c r="J282" s="381"/>
      <c r="K282" s="381"/>
      <c r="L282" s="381"/>
      <c r="M282" s="381"/>
      <c r="N282" s="381"/>
      <c r="O282" s="381"/>
      <c r="P282" s="381"/>
      <c r="Q282" s="381"/>
      <c r="R282" s="337">
        <v>0</v>
      </c>
      <c r="S282" s="379">
        <v>0</v>
      </c>
      <c r="T282" s="338">
        <v>0</v>
      </c>
      <c r="U282" s="379">
        <v>0</v>
      </c>
      <c r="V282" s="286"/>
      <c r="W282" s="289"/>
      <c r="X282" s="5"/>
    </row>
    <row r="283" spans="1:24" ht="15.75" x14ac:dyDescent="0.25">
      <c r="A283" s="295"/>
      <c r="B283" s="337"/>
      <c r="C283" s="286"/>
      <c r="D283" s="286"/>
      <c r="E283" s="286"/>
      <c r="F283" s="286"/>
      <c r="G283" s="286"/>
      <c r="H283" s="381"/>
      <c r="I283" s="381"/>
      <c r="J283" s="381"/>
      <c r="K283" s="381"/>
      <c r="L283" s="381"/>
      <c r="M283" s="381"/>
      <c r="N283" s="381"/>
      <c r="O283" s="381"/>
      <c r="P283" s="381"/>
      <c r="Q283" s="381"/>
      <c r="R283" s="337"/>
      <c r="S283" s="379"/>
      <c r="T283" s="338"/>
      <c r="U283" s="379"/>
      <c r="V283" s="286"/>
      <c r="W283" s="289"/>
      <c r="X283" s="5"/>
    </row>
    <row r="284" spans="1:24" ht="15.75" x14ac:dyDescent="0.25">
      <c r="A284" s="295"/>
      <c r="B284" s="286" t="s">
        <v>114</v>
      </c>
      <c r="C284" s="286"/>
      <c r="D284" s="286"/>
      <c r="E284" s="286"/>
      <c r="F284" s="286"/>
      <c r="G284" s="286"/>
      <c r="H284" s="381"/>
      <c r="I284" s="381"/>
      <c r="J284" s="381"/>
      <c r="K284" s="381"/>
      <c r="L284" s="381"/>
      <c r="M284" s="381"/>
      <c r="N284" s="381"/>
      <c r="O284" s="381"/>
      <c r="P284" s="381"/>
      <c r="Q284" s="381"/>
      <c r="R284" s="337">
        <f>SUM(R275:R282)</f>
        <v>0</v>
      </c>
      <c r="S284" s="379">
        <f>SUM(S275:S282)</f>
        <v>0</v>
      </c>
      <c r="T284" s="338">
        <f>SUM(T275:T282)</f>
        <v>0</v>
      </c>
      <c r="U284" s="379">
        <f>SUM(U275:U282)</f>
        <v>0</v>
      </c>
      <c r="V284" s="286"/>
      <c r="W284" s="289"/>
      <c r="X284" s="5"/>
    </row>
    <row r="285" spans="1:24" ht="15.75" x14ac:dyDescent="0.25">
      <c r="A285" s="295"/>
      <c r="B285" s="286"/>
      <c r="C285" s="286"/>
      <c r="D285" s="286"/>
      <c r="E285" s="286"/>
      <c r="F285" s="286"/>
      <c r="G285" s="286"/>
      <c r="H285" s="381"/>
      <c r="I285" s="381"/>
      <c r="J285" s="381"/>
      <c r="K285" s="381"/>
      <c r="L285" s="381"/>
      <c r="M285" s="381"/>
      <c r="N285" s="381"/>
      <c r="O285" s="381"/>
      <c r="P285" s="381"/>
      <c r="Q285" s="381"/>
      <c r="R285" s="337"/>
      <c r="S285" s="379"/>
      <c r="T285" s="338"/>
      <c r="U285" s="379"/>
      <c r="V285" s="286"/>
      <c r="W285" s="289"/>
      <c r="X285" s="5"/>
    </row>
    <row r="286" spans="1:24" ht="15.75" x14ac:dyDescent="0.25">
      <c r="A286" s="295"/>
      <c r="B286" s="297" t="s">
        <v>164</v>
      </c>
      <c r="C286" s="286"/>
      <c r="D286" s="286"/>
      <c r="E286" s="286"/>
      <c r="F286" s="286"/>
      <c r="G286" s="286"/>
      <c r="H286" s="381"/>
      <c r="I286" s="381"/>
      <c r="J286" s="381"/>
      <c r="K286" s="381"/>
      <c r="L286" s="381"/>
      <c r="M286" s="381"/>
      <c r="N286" s="381"/>
      <c r="O286" s="381"/>
      <c r="P286" s="381"/>
      <c r="Q286" s="381"/>
      <c r="R286" s="384">
        <f>R284+R272+R260</f>
        <v>5846</v>
      </c>
      <c r="S286" s="379"/>
      <c r="T286" s="410">
        <f>+T284+T272+T260</f>
        <v>838515</v>
      </c>
      <c r="U286" s="379"/>
      <c r="V286" s="286"/>
      <c r="W286" s="289"/>
      <c r="X286" s="5"/>
    </row>
    <row r="287" spans="1:24" ht="15.75" x14ac:dyDescent="0.25">
      <c r="A287" s="254"/>
      <c r="B287" s="346"/>
      <c r="C287" s="346"/>
      <c r="D287" s="346"/>
      <c r="E287" s="346"/>
      <c r="F287" s="346"/>
      <c r="G287" s="346"/>
      <c r="H287" s="382"/>
      <c r="I287" s="382"/>
      <c r="J287" s="382"/>
      <c r="K287" s="382"/>
      <c r="L287" s="382"/>
      <c r="M287" s="382"/>
      <c r="N287" s="382"/>
      <c r="O287" s="382"/>
      <c r="P287" s="382"/>
      <c r="Q287" s="382"/>
      <c r="R287" s="382"/>
      <c r="S287" s="382"/>
      <c r="T287" s="383"/>
      <c r="U287" s="382"/>
      <c r="V287" s="346"/>
      <c r="W287" s="346"/>
      <c r="X287" s="5"/>
    </row>
    <row r="288" spans="1:24" ht="15.75" x14ac:dyDescent="0.25">
      <c r="A288" s="254"/>
      <c r="B288" s="255"/>
      <c r="C288" s="255"/>
      <c r="D288" s="255"/>
      <c r="E288" s="255"/>
      <c r="F288" s="255"/>
      <c r="G288" s="255"/>
      <c r="H288" s="256"/>
      <c r="I288" s="256"/>
      <c r="J288" s="256"/>
      <c r="K288" s="256"/>
      <c r="L288" s="256"/>
      <c r="M288" s="256"/>
      <c r="N288" s="256"/>
      <c r="O288" s="256"/>
      <c r="P288" s="256"/>
      <c r="Q288" s="256"/>
      <c r="R288" s="256"/>
      <c r="S288" s="256"/>
      <c r="T288" s="257"/>
      <c r="U288" s="256"/>
      <c r="V288" s="255"/>
      <c r="W288" s="255"/>
      <c r="X288" s="5"/>
    </row>
    <row r="289" spans="1:24" ht="15.75" x14ac:dyDescent="0.25">
      <c r="A289" s="258"/>
      <c r="B289" s="388" t="s">
        <v>91</v>
      </c>
      <c r="C289" s="255"/>
      <c r="D289" s="255"/>
      <c r="E289" s="255"/>
      <c r="F289" s="391" t="s">
        <v>97</v>
      </c>
      <c r="G289" s="255"/>
      <c r="H289" s="388" t="s">
        <v>99</v>
      </c>
      <c r="I289" s="388"/>
      <c r="J289" s="388"/>
      <c r="K289" s="261"/>
      <c r="L289" s="261"/>
      <c r="M289" s="261"/>
      <c r="N289" s="261"/>
      <c r="O289" s="261"/>
      <c r="P289" s="261"/>
      <c r="Q289" s="261"/>
      <c r="R289" s="261"/>
      <c r="S289" s="261"/>
      <c r="T289" s="261"/>
      <c r="U289" s="261"/>
      <c r="V289" s="261"/>
      <c r="W289" s="261"/>
      <c r="X289" s="5"/>
    </row>
    <row r="290" spans="1:24" ht="15.75" x14ac:dyDescent="0.25">
      <c r="A290" s="258"/>
      <c r="B290" s="261"/>
      <c r="C290" s="255"/>
      <c r="D290" s="255"/>
      <c r="E290" s="255"/>
      <c r="F290" s="255"/>
      <c r="G290" s="255"/>
      <c r="H290" s="255"/>
      <c r="I290" s="255"/>
      <c r="J290" s="255"/>
      <c r="K290" s="261"/>
      <c r="L290" s="261"/>
      <c r="M290" s="261"/>
      <c r="N290" s="261"/>
      <c r="O290" s="261"/>
      <c r="P290" s="261"/>
      <c r="Q290" s="261"/>
      <c r="R290" s="261"/>
      <c r="S290" s="261"/>
      <c r="T290" s="261"/>
      <c r="U290" s="261"/>
      <c r="V290" s="261"/>
      <c r="W290" s="261"/>
      <c r="X290" s="5"/>
    </row>
    <row r="291" spans="1:24" ht="15.75" x14ac:dyDescent="0.25">
      <c r="A291" s="258"/>
      <c r="B291" s="388" t="s">
        <v>92</v>
      </c>
      <c r="C291" s="388"/>
      <c r="D291" s="388"/>
      <c r="E291" s="388"/>
      <c r="F291" s="411" t="s">
        <v>148</v>
      </c>
      <c r="G291" s="388"/>
      <c r="H291" s="388" t="s">
        <v>152</v>
      </c>
      <c r="I291" s="388"/>
      <c r="J291" s="388"/>
      <c r="K291" s="261"/>
      <c r="L291" s="261"/>
      <c r="M291" s="261"/>
      <c r="N291" s="261"/>
      <c r="O291" s="261"/>
      <c r="P291" s="261"/>
      <c r="Q291" s="261"/>
      <c r="R291" s="261"/>
      <c r="S291" s="261"/>
      <c r="T291" s="261"/>
      <c r="U291" s="261"/>
      <c r="V291" s="261"/>
      <c r="W291" s="261"/>
      <c r="X291" s="5"/>
    </row>
    <row r="292" spans="1:24" ht="15.75" x14ac:dyDescent="0.25">
      <c r="A292" s="258"/>
      <c r="B292" s="388" t="s">
        <v>265</v>
      </c>
      <c r="C292" s="388"/>
      <c r="D292" s="388"/>
      <c r="E292" s="388"/>
      <c r="F292" s="411" t="s">
        <v>266</v>
      </c>
      <c r="G292" s="388"/>
      <c r="H292" s="388" t="s">
        <v>267</v>
      </c>
      <c r="I292" s="388"/>
      <c r="J292" s="388"/>
      <c r="K292" s="261"/>
      <c r="L292" s="261"/>
      <c r="M292" s="261"/>
      <c r="N292" s="261"/>
      <c r="O292" s="261"/>
      <c r="P292" s="261"/>
      <c r="Q292" s="261"/>
      <c r="R292" s="261"/>
      <c r="S292" s="261"/>
      <c r="T292" s="261"/>
      <c r="U292" s="261"/>
      <c r="V292" s="261"/>
      <c r="W292" s="261"/>
      <c r="X292" s="5"/>
    </row>
    <row r="293" spans="1:24" ht="15.75" x14ac:dyDescent="0.25">
      <c r="A293" s="258"/>
      <c r="B293" s="388" t="s">
        <v>93</v>
      </c>
      <c r="C293" s="388"/>
      <c r="D293" s="388"/>
      <c r="E293" s="388"/>
      <c r="F293" s="411" t="s">
        <v>147</v>
      </c>
      <c r="G293" s="388"/>
      <c r="H293" s="388" t="s">
        <v>153</v>
      </c>
      <c r="I293" s="388"/>
      <c r="J293" s="388"/>
      <c r="K293" s="261"/>
      <c r="L293" s="261"/>
      <c r="M293" s="261"/>
      <c r="N293" s="261"/>
      <c r="O293" s="261"/>
      <c r="P293" s="261"/>
      <c r="Q293" s="261"/>
      <c r="R293" s="261"/>
      <c r="S293" s="261"/>
      <c r="T293" s="261"/>
      <c r="U293" s="261"/>
      <c r="V293" s="261"/>
      <c r="W293" s="261"/>
      <c r="X293" s="5"/>
    </row>
    <row r="294" spans="1:24" ht="15.75" x14ac:dyDescent="0.25">
      <c r="A294" s="258"/>
      <c r="B294" s="388"/>
      <c r="C294" s="388"/>
      <c r="D294" s="388"/>
      <c r="E294" s="388"/>
      <c r="F294" s="388"/>
      <c r="G294" s="263"/>
      <c r="H294" s="261"/>
      <c r="I294" s="261"/>
      <c r="J294" s="261"/>
      <c r="K294" s="261"/>
      <c r="L294" s="261"/>
      <c r="M294" s="261"/>
      <c r="N294" s="261"/>
      <c r="O294" s="261"/>
      <c r="P294" s="261"/>
      <c r="Q294" s="261"/>
      <c r="R294" s="261"/>
      <c r="S294" s="261"/>
      <c r="T294" s="261"/>
      <c r="U294" s="261"/>
      <c r="V294" s="261"/>
      <c r="W294" s="261"/>
      <c r="X294" s="5"/>
    </row>
    <row r="295" spans="1:24" ht="15.75" x14ac:dyDescent="0.25">
      <c r="A295" s="258"/>
      <c r="B295" s="388"/>
      <c r="C295" s="388"/>
      <c r="D295" s="388"/>
      <c r="E295" s="388"/>
      <c r="F295" s="388"/>
      <c r="G295" s="263"/>
      <c r="H295" s="261"/>
      <c r="I295" s="261"/>
      <c r="J295" s="261"/>
      <c r="K295" s="261"/>
      <c r="L295" s="261"/>
      <c r="M295" s="261"/>
      <c r="N295" s="261"/>
      <c r="O295" s="261"/>
      <c r="P295" s="261"/>
      <c r="Q295" s="261"/>
      <c r="R295" s="261"/>
      <c r="S295" s="261"/>
      <c r="T295" s="261"/>
      <c r="U295" s="261"/>
      <c r="V295" s="261"/>
      <c r="W295" s="261"/>
      <c r="X295" s="5"/>
    </row>
    <row r="296" spans="1:24" ht="19.5" thickBot="1" x14ac:dyDescent="0.35">
      <c r="A296" s="258"/>
      <c r="B296" s="264" t="str">
        <f>B200</f>
        <v>PM15 INVESTOR REPORT QUARTER ENDING AUGUST 2011</v>
      </c>
      <c r="C296" s="388"/>
      <c r="D296" s="388"/>
      <c r="E296" s="388"/>
      <c r="F296" s="388"/>
      <c r="G296" s="263"/>
      <c r="H296" s="261"/>
      <c r="I296" s="261"/>
      <c r="J296" s="261"/>
      <c r="K296" s="261"/>
      <c r="L296" s="261"/>
      <c r="M296" s="261"/>
      <c r="N296" s="261"/>
      <c r="O296" s="261"/>
      <c r="P296" s="261"/>
      <c r="Q296" s="261"/>
      <c r="R296" s="261"/>
      <c r="S296" s="261"/>
      <c r="T296" s="261"/>
      <c r="U296" s="261"/>
      <c r="V296" s="261"/>
      <c r="W296" s="261"/>
      <c r="X296" s="5"/>
    </row>
    <row r="297" spans="1:24" x14ac:dyDescent="0.2">
      <c r="A297" s="100"/>
      <c r="B297" s="100"/>
      <c r="C297" s="100"/>
      <c r="D297" s="100"/>
      <c r="E297" s="100"/>
      <c r="F297" s="100"/>
      <c r="G297" s="100"/>
      <c r="H297" s="100"/>
      <c r="I297" s="100"/>
      <c r="J297" s="100"/>
      <c r="K297" s="100"/>
      <c r="L297" s="100"/>
      <c r="M297" s="100"/>
      <c r="N297" s="100"/>
      <c r="O297" s="100"/>
      <c r="P297" s="100"/>
      <c r="Q297" s="100"/>
      <c r="R297" s="100"/>
      <c r="S297" s="100"/>
      <c r="T297" s="100"/>
      <c r="U297" s="100"/>
      <c r="V297" s="100"/>
      <c r="W297" s="100"/>
    </row>
  </sheetData>
  <phoneticPr fontId="0" type="noConversion"/>
  <hyperlinks>
    <hyperlink ref="P236" r:id="rId1" xr:uid="{00000000-0004-0000-0F00-000000000000}"/>
    <hyperlink ref="I9" r:id="rId2" xr:uid="{00000000-0004-0000-0F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4" max="14" man="1"/>
    <brk id="200" max="14" man="1"/>
  </rowBreaks>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IV297"/>
  <sheetViews>
    <sheetView showGridLines="0" showOutlineSymbols="0" zoomScale="70" zoomScaleNormal="70" workbookViewId="0"/>
  </sheetViews>
  <sheetFormatPr defaultColWidth="9.6640625" defaultRowHeight="15" x14ac:dyDescent="0.2"/>
  <cols>
    <col min="1" max="1" width="4" style="1" customWidth="1"/>
    <col min="2" max="2" width="71.21875" style="1" customWidth="1"/>
    <col min="3" max="3" width="2.21875" style="1" customWidth="1"/>
    <col min="4" max="4" width="19.33203125" style="1" customWidth="1"/>
    <col min="5" max="5" width="2.21875" style="1" customWidth="1"/>
    <col min="6" max="6" width="25.109375" style="1" customWidth="1"/>
    <col min="7" max="7" width="2.21875" style="1" customWidth="1"/>
    <col min="8" max="8" width="16.21875" style="1" customWidth="1"/>
    <col min="9" max="9" width="2.88671875" style="1" customWidth="1"/>
    <col min="10" max="10" width="16.21875" style="1" customWidth="1"/>
    <col min="11" max="11" width="2.21875" style="1" customWidth="1"/>
    <col min="12" max="12" width="17.88671875" style="1" customWidth="1"/>
    <col min="13" max="13" width="2.33203125" style="1" customWidth="1"/>
    <col min="14" max="14" width="14.88671875" style="1" customWidth="1"/>
    <col min="15" max="15" width="2.33203125" style="1" customWidth="1"/>
    <col min="16" max="16" width="15.5546875" style="1" customWidth="1"/>
    <col min="17" max="17" width="2.21875" style="1" customWidth="1"/>
    <col min="18" max="18" width="15.5546875" style="1" customWidth="1"/>
    <col min="19" max="20" width="12.6640625" style="1" customWidth="1"/>
    <col min="21" max="21" width="7.77734375" style="1" customWidth="1"/>
    <col min="22" max="22" width="14.6640625" style="1" customWidth="1"/>
    <col min="23" max="23" width="11.77734375" style="1" customWidth="1"/>
    <col min="24" max="16384" width="9.6640625" style="1"/>
  </cols>
  <sheetData>
    <row r="1" spans="1:24" ht="20.25" x14ac:dyDescent="0.3">
      <c r="A1" s="179"/>
      <c r="B1" s="274" t="s">
        <v>237</v>
      </c>
      <c r="C1" s="180"/>
      <c r="D1" s="180"/>
      <c r="E1" s="180"/>
      <c r="F1" s="180"/>
      <c r="G1" s="180"/>
      <c r="H1" s="180"/>
      <c r="I1" s="180"/>
      <c r="J1" s="180"/>
      <c r="K1" s="180"/>
      <c r="L1" s="180"/>
      <c r="M1" s="180"/>
      <c r="N1" s="180"/>
      <c r="O1" s="180"/>
      <c r="P1" s="180"/>
      <c r="Q1" s="180"/>
      <c r="R1" s="180"/>
      <c r="S1" s="180"/>
      <c r="T1" s="180"/>
      <c r="U1" s="180"/>
      <c r="V1" s="180"/>
      <c r="W1" s="180"/>
      <c r="X1" s="5"/>
    </row>
    <row r="2" spans="1:24" ht="15.75" x14ac:dyDescent="0.25">
      <c r="A2" s="181"/>
      <c r="B2" s="182"/>
      <c r="C2" s="183"/>
      <c r="D2" s="183"/>
      <c r="E2" s="183"/>
      <c r="F2" s="183"/>
      <c r="G2" s="183"/>
      <c r="H2" s="183"/>
      <c r="I2" s="183"/>
      <c r="J2" s="183"/>
      <c r="K2" s="183"/>
      <c r="L2" s="183"/>
      <c r="M2" s="183"/>
      <c r="N2" s="183"/>
      <c r="O2" s="183"/>
      <c r="P2" s="183"/>
      <c r="Q2" s="183"/>
      <c r="R2" s="183"/>
      <c r="S2" s="183"/>
      <c r="T2" s="183"/>
      <c r="U2" s="183"/>
      <c r="V2" s="183"/>
      <c r="W2" s="183"/>
      <c r="X2" s="5"/>
    </row>
    <row r="3" spans="1:24" ht="15.75" x14ac:dyDescent="0.25">
      <c r="A3" s="184"/>
      <c r="B3" s="185" t="s">
        <v>238</v>
      </c>
      <c r="C3" s="183"/>
      <c r="D3" s="183"/>
      <c r="E3" s="183"/>
      <c r="F3" s="183"/>
      <c r="G3" s="183"/>
      <c r="H3" s="183"/>
      <c r="I3" s="183"/>
      <c r="J3" s="183"/>
      <c r="K3" s="183"/>
      <c r="L3" s="183"/>
      <c r="M3" s="183"/>
      <c r="N3" s="183"/>
      <c r="O3" s="183"/>
      <c r="P3" s="183"/>
      <c r="Q3" s="183"/>
      <c r="R3" s="183"/>
      <c r="S3" s="183"/>
      <c r="T3" s="183"/>
      <c r="U3" s="183"/>
      <c r="V3" s="183"/>
      <c r="W3" s="183"/>
      <c r="X3" s="5"/>
    </row>
    <row r="4" spans="1:24" ht="15.75" x14ac:dyDescent="0.25">
      <c r="A4" s="181"/>
      <c r="B4" s="182"/>
      <c r="C4" s="183"/>
      <c r="D4" s="183"/>
      <c r="E4" s="183"/>
      <c r="F4" s="183"/>
      <c r="G4" s="183"/>
      <c r="H4" s="183"/>
      <c r="I4" s="183"/>
      <c r="J4" s="183"/>
      <c r="K4" s="183"/>
      <c r="L4" s="183"/>
      <c r="M4" s="183"/>
      <c r="N4" s="183"/>
      <c r="O4" s="183"/>
      <c r="P4" s="183"/>
      <c r="Q4" s="183"/>
      <c r="R4" s="183"/>
      <c r="S4" s="183"/>
      <c r="T4" s="183"/>
      <c r="U4" s="183"/>
      <c r="V4" s="183"/>
      <c r="W4" s="183"/>
      <c r="X4" s="5"/>
    </row>
    <row r="5" spans="1:24" ht="15.75" x14ac:dyDescent="0.25">
      <c r="A5" s="181"/>
      <c r="B5" s="275" t="s">
        <v>137</v>
      </c>
      <c r="C5" s="183"/>
      <c r="D5" s="183"/>
      <c r="E5" s="183"/>
      <c r="F5" s="183"/>
      <c r="G5" s="183"/>
      <c r="H5" s="183"/>
      <c r="I5" s="183"/>
      <c r="J5" s="183"/>
      <c r="K5" s="183"/>
      <c r="L5" s="183"/>
      <c r="M5" s="183"/>
      <c r="N5" s="183"/>
      <c r="O5" s="183"/>
      <c r="P5" s="183"/>
      <c r="Q5" s="183"/>
      <c r="R5" s="183"/>
      <c r="S5" s="183"/>
      <c r="T5" s="183"/>
      <c r="U5" s="183"/>
      <c r="V5" s="183"/>
      <c r="W5" s="183"/>
      <c r="X5" s="5"/>
    </row>
    <row r="6" spans="1:24" ht="15.75" x14ac:dyDescent="0.25">
      <c r="A6" s="181"/>
      <c r="B6" s="275" t="s">
        <v>139</v>
      </c>
      <c r="C6" s="183"/>
      <c r="D6" s="183"/>
      <c r="E6" s="183"/>
      <c r="F6" s="183"/>
      <c r="G6" s="183"/>
      <c r="H6" s="183"/>
      <c r="I6" s="183"/>
      <c r="J6" s="183"/>
      <c r="K6" s="183"/>
      <c r="L6" s="183"/>
      <c r="M6" s="183"/>
      <c r="N6" s="183"/>
      <c r="O6" s="183"/>
      <c r="P6" s="183"/>
      <c r="Q6" s="183"/>
      <c r="R6" s="183"/>
      <c r="S6" s="183"/>
      <c r="T6" s="183"/>
      <c r="U6" s="183"/>
      <c r="V6" s="183"/>
      <c r="W6" s="183"/>
      <c r="X6" s="5"/>
    </row>
    <row r="7" spans="1:24" ht="15.75" x14ac:dyDescent="0.25">
      <c r="A7" s="181"/>
      <c r="B7" s="275" t="s">
        <v>138</v>
      </c>
      <c r="C7" s="183"/>
      <c r="D7" s="183"/>
      <c r="E7" s="183"/>
      <c r="F7" s="183"/>
      <c r="G7" s="183"/>
      <c r="H7" s="183"/>
      <c r="I7" s="183"/>
      <c r="J7" s="183"/>
      <c r="K7" s="183"/>
      <c r="L7" s="183"/>
      <c r="M7" s="183"/>
      <c r="N7" s="183"/>
      <c r="O7" s="183"/>
      <c r="P7" s="183"/>
      <c r="Q7" s="183"/>
      <c r="R7" s="183"/>
      <c r="S7" s="183"/>
      <c r="T7" s="183"/>
      <c r="U7" s="183"/>
      <c r="V7" s="183"/>
      <c r="W7" s="183"/>
      <c r="X7" s="5"/>
    </row>
    <row r="8" spans="1:24" ht="15.75" x14ac:dyDescent="0.25">
      <c r="A8" s="181"/>
      <c r="B8" s="186"/>
      <c r="C8" s="183"/>
      <c r="D8" s="183"/>
      <c r="E8" s="183"/>
      <c r="F8" s="183"/>
      <c r="G8" s="183"/>
      <c r="H8" s="183"/>
      <c r="I8" s="183"/>
      <c r="J8" s="183"/>
      <c r="K8" s="183"/>
      <c r="L8" s="183"/>
      <c r="M8" s="183"/>
      <c r="N8" s="183"/>
      <c r="O8" s="183"/>
      <c r="P8" s="183"/>
      <c r="Q8" s="183"/>
      <c r="R8" s="183"/>
      <c r="S8" s="183"/>
      <c r="T8" s="183"/>
      <c r="U8" s="183"/>
      <c r="V8" s="183"/>
      <c r="W8" s="183"/>
      <c r="X8" s="5"/>
    </row>
    <row r="9" spans="1:24" ht="18.75" x14ac:dyDescent="0.3">
      <c r="A9" s="181"/>
      <c r="B9" s="187" t="s">
        <v>166</v>
      </c>
      <c r="C9" s="183"/>
      <c r="D9" s="183"/>
      <c r="E9" s="183"/>
      <c r="F9" s="183"/>
      <c r="G9" s="183"/>
      <c r="H9" s="183"/>
      <c r="I9" s="188" t="s">
        <v>167</v>
      </c>
      <c r="J9" s="183"/>
      <c r="K9" s="183"/>
      <c r="L9" s="188"/>
      <c r="M9" s="183"/>
      <c r="N9" s="188"/>
      <c r="O9" s="183"/>
      <c r="P9" s="183"/>
      <c r="Q9" s="183"/>
      <c r="R9" s="183"/>
      <c r="S9" s="183"/>
      <c r="T9" s="183"/>
      <c r="U9" s="183"/>
      <c r="V9" s="183"/>
      <c r="W9" s="183"/>
      <c r="X9" s="5"/>
    </row>
    <row r="10" spans="1:24" ht="15.75" x14ac:dyDescent="0.25">
      <c r="A10" s="181"/>
      <c r="B10" s="186"/>
      <c r="C10" s="189"/>
      <c r="D10" s="189"/>
      <c r="E10" s="189"/>
      <c r="F10" s="183"/>
      <c r="G10" s="183"/>
      <c r="H10" s="183"/>
      <c r="I10" s="183"/>
      <c r="J10" s="183"/>
      <c r="K10" s="183"/>
      <c r="L10" s="183"/>
      <c r="M10" s="183"/>
      <c r="N10" s="183"/>
      <c r="O10" s="183"/>
      <c r="P10" s="183"/>
      <c r="Q10" s="183"/>
      <c r="R10" s="183"/>
      <c r="S10" s="183"/>
      <c r="T10" s="183"/>
      <c r="U10" s="183"/>
      <c r="V10" s="183"/>
      <c r="W10" s="183"/>
      <c r="X10" s="5"/>
    </row>
    <row r="11" spans="1:24" ht="15.75" x14ac:dyDescent="0.25">
      <c r="A11" s="181"/>
      <c r="B11" s="388" t="s">
        <v>0</v>
      </c>
      <c r="C11" s="183"/>
      <c r="D11" s="183"/>
      <c r="E11" s="183"/>
      <c r="F11" s="183"/>
      <c r="G11" s="183"/>
      <c r="H11" s="183"/>
      <c r="I11" s="183"/>
      <c r="J11" s="183"/>
      <c r="K11" s="183"/>
      <c r="L11" s="183"/>
      <c r="M11" s="183"/>
      <c r="N11" s="183"/>
      <c r="O11" s="183"/>
      <c r="P11" s="183"/>
      <c r="Q11" s="183"/>
      <c r="R11" s="183"/>
      <c r="S11" s="183"/>
      <c r="T11" s="183"/>
      <c r="U11" s="183"/>
      <c r="V11" s="183"/>
      <c r="W11" s="183"/>
      <c r="X11" s="5"/>
    </row>
    <row r="12" spans="1:24" ht="16.5" thickBot="1" x14ac:dyDescent="0.3">
      <c r="A12" s="181"/>
      <c r="B12" s="189"/>
      <c r="C12" s="183"/>
      <c r="D12" s="183"/>
      <c r="E12" s="183"/>
      <c r="F12" s="183"/>
      <c r="G12" s="183"/>
      <c r="H12" s="183"/>
      <c r="I12" s="183"/>
      <c r="J12" s="183"/>
      <c r="K12" s="183"/>
      <c r="L12" s="183"/>
      <c r="M12" s="183"/>
      <c r="N12" s="183"/>
      <c r="O12" s="183"/>
      <c r="P12" s="183"/>
      <c r="Q12" s="183"/>
      <c r="R12" s="183"/>
      <c r="S12" s="183"/>
      <c r="T12" s="183"/>
      <c r="U12" s="183"/>
      <c r="V12" s="183"/>
      <c r="W12" s="183"/>
      <c r="X12" s="5"/>
    </row>
    <row r="13" spans="1:24" ht="15.75" x14ac:dyDescent="0.25">
      <c r="A13" s="179"/>
      <c r="B13" s="180"/>
      <c r="C13" s="180"/>
      <c r="D13" s="180"/>
      <c r="E13" s="180"/>
      <c r="F13" s="180"/>
      <c r="G13" s="180"/>
      <c r="H13" s="180"/>
      <c r="I13" s="180"/>
      <c r="J13" s="180"/>
      <c r="K13" s="180"/>
      <c r="L13" s="180"/>
      <c r="M13" s="180"/>
      <c r="N13" s="180"/>
      <c r="O13" s="180"/>
      <c r="P13" s="180"/>
      <c r="Q13" s="180"/>
      <c r="R13" s="180"/>
      <c r="S13" s="180"/>
      <c r="T13" s="180"/>
      <c r="U13" s="180"/>
      <c r="V13" s="180"/>
      <c r="W13" s="180"/>
      <c r="X13" s="5"/>
    </row>
    <row r="14" spans="1:24" ht="15.75" x14ac:dyDescent="0.25">
      <c r="A14" s="181"/>
      <c r="B14" s="388" t="s">
        <v>1</v>
      </c>
      <c r="C14" s="255"/>
      <c r="D14" s="255"/>
      <c r="E14" s="255"/>
      <c r="F14" s="255"/>
      <c r="G14" s="255"/>
      <c r="H14" s="255"/>
      <c r="I14" s="255"/>
      <c r="J14" s="255"/>
      <c r="K14" s="255"/>
      <c r="L14" s="255"/>
      <c r="M14" s="255"/>
      <c r="N14" s="255"/>
      <c r="O14" s="255"/>
      <c r="P14" s="255"/>
      <c r="Q14" s="255"/>
      <c r="R14" s="255"/>
      <c r="S14" s="255"/>
      <c r="T14" s="255"/>
      <c r="U14" s="255"/>
      <c r="V14" s="276" t="s">
        <v>239</v>
      </c>
      <c r="W14" s="255"/>
      <c r="X14" s="5"/>
    </row>
    <row r="15" spans="1:24" ht="15.75" x14ac:dyDescent="0.25">
      <c r="A15" s="181"/>
      <c r="B15" s="388" t="s">
        <v>2</v>
      </c>
      <c r="C15" s="255"/>
      <c r="D15" s="255"/>
      <c r="E15" s="255"/>
      <c r="F15" s="255"/>
      <c r="G15" s="255"/>
      <c r="H15" s="389"/>
      <c r="I15" s="389"/>
      <c r="J15" s="389"/>
      <c r="K15" s="389"/>
      <c r="L15" s="389"/>
      <c r="M15" s="389"/>
      <c r="N15" s="389"/>
      <c r="O15" s="389"/>
      <c r="P15" s="389"/>
      <c r="Q15" s="389"/>
      <c r="R15" s="389" t="s">
        <v>104</v>
      </c>
      <c r="S15" s="390">
        <v>0.47189999999999999</v>
      </c>
      <c r="T15" s="391" t="s">
        <v>140</v>
      </c>
      <c r="U15" s="390">
        <v>0.52810000000000001</v>
      </c>
      <c r="V15" s="276"/>
      <c r="W15" s="255"/>
      <c r="X15" s="5"/>
    </row>
    <row r="16" spans="1:24" ht="15.75" x14ac:dyDescent="0.25">
      <c r="A16" s="181"/>
      <c r="B16" s="388" t="s">
        <v>3</v>
      </c>
      <c r="C16" s="255"/>
      <c r="D16" s="255"/>
      <c r="E16" s="255"/>
      <c r="F16" s="255"/>
      <c r="G16" s="255"/>
      <c r="H16" s="389"/>
      <c r="I16" s="389"/>
      <c r="J16" s="389"/>
      <c r="K16" s="389"/>
      <c r="L16" s="389"/>
      <c r="M16" s="389"/>
      <c r="N16" s="389"/>
      <c r="O16" s="389"/>
      <c r="P16" s="389"/>
      <c r="Q16" s="389"/>
      <c r="R16" s="389" t="s">
        <v>104</v>
      </c>
      <c r="S16" s="390">
        <v>0.53849999999999998</v>
      </c>
      <c r="T16" s="391" t="s">
        <v>140</v>
      </c>
      <c r="U16" s="390">
        <v>0.46150000000000002</v>
      </c>
      <c r="V16" s="276"/>
      <c r="W16" s="255"/>
      <c r="X16" s="5"/>
    </row>
    <row r="17" spans="1:24" ht="15.75" x14ac:dyDescent="0.25">
      <c r="A17" s="181"/>
      <c r="B17" s="388" t="s">
        <v>4</v>
      </c>
      <c r="C17" s="255"/>
      <c r="D17" s="255"/>
      <c r="E17" s="255"/>
      <c r="F17" s="255"/>
      <c r="G17" s="255"/>
      <c r="H17" s="255"/>
      <c r="I17" s="255"/>
      <c r="J17" s="255"/>
      <c r="K17" s="255"/>
      <c r="L17" s="255"/>
      <c r="M17" s="255"/>
      <c r="N17" s="255"/>
      <c r="O17" s="255"/>
      <c r="P17" s="255"/>
      <c r="Q17" s="255"/>
      <c r="R17" s="255"/>
      <c r="S17" s="255"/>
      <c r="T17" s="255"/>
      <c r="U17" s="255"/>
      <c r="V17" s="392">
        <v>39282</v>
      </c>
      <c r="W17" s="255"/>
      <c r="X17" s="5"/>
    </row>
    <row r="18" spans="1:24" ht="15.75" x14ac:dyDescent="0.25">
      <c r="A18" s="181"/>
      <c r="B18" s="388" t="s">
        <v>5</v>
      </c>
      <c r="C18" s="255"/>
      <c r="D18" s="255"/>
      <c r="E18" s="255"/>
      <c r="F18" s="255"/>
      <c r="G18" s="255"/>
      <c r="H18" s="255"/>
      <c r="I18" s="255"/>
      <c r="J18" s="255"/>
      <c r="K18" s="255"/>
      <c r="L18" s="255"/>
      <c r="M18" s="255"/>
      <c r="N18" s="255"/>
      <c r="O18" s="255"/>
      <c r="P18" s="255"/>
      <c r="Q18" s="255"/>
      <c r="R18" s="255"/>
      <c r="S18" s="255"/>
      <c r="T18" s="255"/>
      <c r="U18" s="255"/>
      <c r="V18" s="392">
        <v>40896</v>
      </c>
      <c r="W18" s="255"/>
      <c r="X18" s="5"/>
    </row>
    <row r="19" spans="1:24" ht="15.75" x14ac:dyDescent="0.25">
      <c r="A19" s="181"/>
      <c r="B19" s="183"/>
      <c r="C19" s="183"/>
      <c r="D19" s="183"/>
      <c r="E19" s="183"/>
      <c r="F19" s="183"/>
      <c r="G19" s="183"/>
      <c r="H19" s="183"/>
      <c r="I19" s="183"/>
      <c r="J19" s="183"/>
      <c r="K19" s="183"/>
      <c r="L19" s="183"/>
      <c r="M19" s="183"/>
      <c r="N19" s="183"/>
      <c r="O19" s="183"/>
      <c r="P19" s="183"/>
      <c r="Q19" s="183"/>
      <c r="R19" s="183"/>
      <c r="S19" s="183"/>
      <c r="T19" s="183"/>
      <c r="U19" s="183"/>
      <c r="V19" s="190"/>
      <c r="W19" s="183"/>
      <c r="X19" s="5"/>
    </row>
    <row r="20" spans="1:24" ht="15.75" x14ac:dyDescent="0.25">
      <c r="A20" s="181"/>
      <c r="B20" s="280" t="s">
        <v>6</v>
      </c>
      <c r="C20" s="255"/>
      <c r="D20" s="255"/>
      <c r="E20" s="255"/>
      <c r="F20" s="255"/>
      <c r="G20" s="255"/>
      <c r="H20" s="255"/>
      <c r="I20" s="255"/>
      <c r="J20" s="255"/>
      <c r="K20" s="255"/>
      <c r="L20" s="255"/>
      <c r="M20" s="255"/>
      <c r="N20" s="255"/>
      <c r="O20" s="255"/>
      <c r="P20" s="255"/>
      <c r="Q20" s="255"/>
      <c r="R20" s="255"/>
      <c r="S20" s="255"/>
      <c r="T20" s="281" t="s">
        <v>105</v>
      </c>
      <c r="U20" s="255"/>
      <c r="V20" s="261"/>
      <c r="W20" s="183"/>
      <c r="X20" s="5"/>
    </row>
    <row r="21" spans="1:24" ht="15.75" x14ac:dyDescent="0.25">
      <c r="A21" s="181"/>
      <c r="B21" s="183"/>
      <c r="C21" s="183"/>
      <c r="D21" s="183"/>
      <c r="E21" s="183"/>
      <c r="F21" s="183"/>
      <c r="G21" s="183"/>
      <c r="H21" s="183"/>
      <c r="I21" s="183"/>
      <c r="J21" s="183"/>
      <c r="K21" s="183"/>
      <c r="L21" s="183"/>
      <c r="M21" s="183"/>
      <c r="N21" s="183"/>
      <c r="O21" s="183"/>
      <c r="P21" s="183"/>
      <c r="Q21" s="183"/>
      <c r="R21" s="183"/>
      <c r="S21" s="183"/>
      <c r="T21" s="183"/>
      <c r="U21" s="183"/>
      <c r="V21" s="192"/>
      <c r="W21" s="183"/>
      <c r="X21" s="5"/>
    </row>
    <row r="22" spans="1:24" ht="15.75" x14ac:dyDescent="0.25">
      <c r="A22" s="224"/>
      <c r="B22" s="225"/>
      <c r="C22" s="226"/>
      <c r="D22" s="226" t="s">
        <v>177</v>
      </c>
      <c r="E22" s="226"/>
      <c r="F22" s="226" t="s">
        <v>178</v>
      </c>
      <c r="G22" s="226"/>
      <c r="H22" s="226" t="s">
        <v>179</v>
      </c>
      <c r="I22" s="226"/>
      <c r="J22" s="226" t="s">
        <v>219</v>
      </c>
      <c r="K22" s="226"/>
      <c r="L22" s="226" t="s">
        <v>180</v>
      </c>
      <c r="M22" s="226"/>
      <c r="N22" s="226" t="s">
        <v>181</v>
      </c>
      <c r="O22" s="226"/>
      <c r="P22" s="226" t="s">
        <v>182</v>
      </c>
      <c r="Q22" s="226"/>
      <c r="R22" s="226"/>
      <c r="S22" s="228"/>
      <c r="T22" s="228"/>
      <c r="U22" s="229"/>
      <c r="V22" s="229"/>
      <c r="W22" s="225"/>
      <c r="X22" s="5"/>
    </row>
    <row r="23" spans="1:24" ht="15.75" x14ac:dyDescent="0.25">
      <c r="A23" s="193"/>
      <c r="B23" s="250" t="s">
        <v>7</v>
      </c>
      <c r="C23" s="282"/>
      <c r="D23" s="282" t="s">
        <v>212</v>
      </c>
      <c r="E23" s="282"/>
      <c r="F23" s="282" t="s">
        <v>141</v>
      </c>
      <c r="G23" s="282"/>
      <c r="H23" s="282" t="s">
        <v>141</v>
      </c>
      <c r="I23" s="282"/>
      <c r="J23" s="282" t="s">
        <v>141</v>
      </c>
      <c r="K23" s="282"/>
      <c r="L23" s="282" t="s">
        <v>183</v>
      </c>
      <c r="M23" s="282"/>
      <c r="N23" s="282" t="s">
        <v>183</v>
      </c>
      <c r="O23" s="282"/>
      <c r="P23" s="282" t="s">
        <v>142</v>
      </c>
      <c r="Q23" s="282"/>
      <c r="R23" s="282"/>
      <c r="S23" s="282"/>
      <c r="T23" s="282"/>
      <c r="U23" s="273"/>
      <c r="V23" s="273"/>
      <c r="W23" s="250"/>
      <c r="X23" s="5"/>
    </row>
    <row r="24" spans="1:24" ht="15.75" x14ac:dyDescent="0.25">
      <c r="A24" s="285"/>
      <c r="B24" s="286" t="s">
        <v>8</v>
      </c>
      <c r="C24" s="287"/>
      <c r="D24" s="287" t="s">
        <v>213</v>
      </c>
      <c r="E24" s="287"/>
      <c r="F24" s="287" t="s">
        <v>143</v>
      </c>
      <c r="G24" s="287"/>
      <c r="H24" s="287" t="s">
        <v>143</v>
      </c>
      <c r="I24" s="287"/>
      <c r="J24" s="287" t="s">
        <v>143</v>
      </c>
      <c r="K24" s="287"/>
      <c r="L24" s="287" t="s">
        <v>165</v>
      </c>
      <c r="M24" s="287"/>
      <c r="N24" s="287" t="s">
        <v>165</v>
      </c>
      <c r="O24" s="287"/>
      <c r="P24" s="287" t="s">
        <v>144</v>
      </c>
      <c r="Q24" s="287"/>
      <c r="R24" s="287"/>
      <c r="S24" s="287"/>
      <c r="T24" s="287"/>
      <c r="U24" s="288"/>
      <c r="V24" s="288"/>
      <c r="W24" s="289"/>
      <c r="X24" s="5"/>
    </row>
    <row r="25" spans="1:24" ht="15.75" x14ac:dyDescent="0.25">
      <c r="A25" s="290"/>
      <c r="B25" s="286" t="s">
        <v>190</v>
      </c>
      <c r="C25" s="292"/>
      <c r="D25" s="287" t="s">
        <v>214</v>
      </c>
      <c r="E25" s="287"/>
      <c r="F25" s="287" t="s">
        <v>143</v>
      </c>
      <c r="G25" s="287"/>
      <c r="H25" s="287" t="s">
        <v>143</v>
      </c>
      <c r="I25" s="287"/>
      <c r="J25" s="287" t="s">
        <v>143</v>
      </c>
      <c r="K25" s="287"/>
      <c r="L25" s="287" t="s">
        <v>165</v>
      </c>
      <c r="M25" s="287"/>
      <c r="N25" s="287" t="s">
        <v>165</v>
      </c>
      <c r="O25" s="287"/>
      <c r="P25" s="287" t="s">
        <v>144</v>
      </c>
      <c r="Q25" s="287"/>
      <c r="R25" s="287"/>
      <c r="S25" s="292"/>
      <c r="T25" s="287"/>
      <c r="U25" s="288"/>
      <c r="V25" s="288"/>
      <c r="W25" s="289"/>
      <c r="X25" s="5"/>
    </row>
    <row r="26" spans="1:24" ht="15.75" x14ac:dyDescent="0.25">
      <c r="A26" s="393"/>
      <c r="B26" s="297" t="s">
        <v>9</v>
      </c>
      <c r="C26" s="292"/>
      <c r="D26" s="292" t="s">
        <v>141</v>
      </c>
      <c r="E26" s="292"/>
      <c r="F26" s="292" t="s">
        <v>141</v>
      </c>
      <c r="G26" s="292"/>
      <c r="H26" s="292" t="s">
        <v>141</v>
      </c>
      <c r="I26" s="292"/>
      <c r="J26" s="292" t="s">
        <v>141</v>
      </c>
      <c r="K26" s="292"/>
      <c r="L26" s="292" t="s">
        <v>183</v>
      </c>
      <c r="M26" s="292"/>
      <c r="N26" s="292" t="s">
        <v>183</v>
      </c>
      <c r="O26" s="292"/>
      <c r="P26" s="292" t="s">
        <v>142</v>
      </c>
      <c r="Q26" s="292"/>
      <c r="R26" s="292"/>
      <c r="S26" s="292"/>
      <c r="T26" s="287"/>
      <c r="U26" s="288"/>
      <c r="V26" s="288"/>
      <c r="W26" s="289"/>
      <c r="X26" s="5"/>
    </row>
    <row r="27" spans="1:24" ht="15.75" x14ac:dyDescent="0.25">
      <c r="A27" s="295"/>
      <c r="B27" s="297" t="s">
        <v>191</v>
      </c>
      <c r="C27" s="287"/>
      <c r="D27" s="292" t="s">
        <v>143</v>
      </c>
      <c r="E27" s="292"/>
      <c r="F27" s="292" t="s">
        <v>143</v>
      </c>
      <c r="G27" s="292"/>
      <c r="H27" s="292" t="s">
        <v>143</v>
      </c>
      <c r="I27" s="292"/>
      <c r="J27" s="292" t="s">
        <v>143</v>
      </c>
      <c r="K27" s="292"/>
      <c r="L27" s="292" t="s">
        <v>165</v>
      </c>
      <c r="M27" s="292"/>
      <c r="N27" s="292" t="s">
        <v>165</v>
      </c>
      <c r="O27" s="292"/>
      <c r="P27" s="292" t="s">
        <v>144</v>
      </c>
      <c r="Q27" s="292"/>
      <c r="R27" s="292"/>
      <c r="S27" s="287"/>
      <c r="T27" s="296"/>
      <c r="U27" s="288"/>
      <c r="V27" s="288"/>
      <c r="W27" s="289"/>
      <c r="X27" s="5"/>
    </row>
    <row r="28" spans="1:24" ht="15.75" x14ac:dyDescent="0.25">
      <c r="A28" s="295"/>
      <c r="B28" s="297" t="s">
        <v>192</v>
      </c>
      <c r="C28" s="287"/>
      <c r="D28" s="292" t="s">
        <v>143</v>
      </c>
      <c r="E28" s="292"/>
      <c r="F28" s="292" t="s">
        <v>143</v>
      </c>
      <c r="G28" s="292"/>
      <c r="H28" s="292" t="s">
        <v>143</v>
      </c>
      <c r="I28" s="292"/>
      <c r="J28" s="292" t="s">
        <v>143</v>
      </c>
      <c r="K28" s="292"/>
      <c r="L28" s="292" t="s">
        <v>165</v>
      </c>
      <c r="M28" s="292"/>
      <c r="N28" s="292" t="s">
        <v>165</v>
      </c>
      <c r="O28" s="292"/>
      <c r="P28" s="292" t="s">
        <v>144</v>
      </c>
      <c r="Q28" s="292"/>
      <c r="R28" s="292"/>
      <c r="S28" s="287"/>
      <c r="T28" s="296"/>
      <c r="U28" s="288"/>
      <c r="V28" s="288"/>
      <c r="W28" s="289"/>
      <c r="X28" s="5"/>
    </row>
    <row r="29" spans="1:24" ht="15.75" x14ac:dyDescent="0.25">
      <c r="A29" s="295"/>
      <c r="B29" s="286" t="s">
        <v>10</v>
      </c>
      <c r="C29" s="298"/>
      <c r="D29" s="287" t="s">
        <v>242</v>
      </c>
      <c r="E29" s="287"/>
      <c r="F29" s="296" t="s">
        <v>244</v>
      </c>
      <c r="G29" s="287"/>
      <c r="H29" s="287" t="s">
        <v>245</v>
      </c>
      <c r="I29" s="287"/>
      <c r="J29" s="287" t="s">
        <v>247</v>
      </c>
      <c r="K29" s="287"/>
      <c r="L29" s="287" t="s">
        <v>248</v>
      </c>
      <c r="M29" s="287"/>
      <c r="N29" s="287" t="s">
        <v>249</v>
      </c>
      <c r="O29" s="287"/>
      <c r="P29" s="287" t="s">
        <v>250</v>
      </c>
      <c r="Q29" s="287"/>
      <c r="R29" s="287"/>
      <c r="S29" s="299"/>
      <c r="T29" s="299"/>
      <c r="U29" s="300"/>
      <c r="V29" s="299"/>
      <c r="W29" s="301"/>
      <c r="X29" s="5"/>
    </row>
    <row r="30" spans="1:24" ht="15.75" x14ac:dyDescent="0.25">
      <c r="A30" s="295"/>
      <c r="B30" s="286" t="s">
        <v>10</v>
      </c>
      <c r="C30" s="298"/>
      <c r="D30" s="287" t="s">
        <v>243</v>
      </c>
      <c r="E30" s="287"/>
      <c r="F30" s="296" t="s">
        <v>118</v>
      </c>
      <c r="G30" s="287"/>
      <c r="H30" s="287" t="s">
        <v>118</v>
      </c>
      <c r="I30" s="287"/>
      <c r="J30" s="287" t="s">
        <v>246</v>
      </c>
      <c r="K30" s="287"/>
      <c r="L30" s="287" t="s">
        <v>118</v>
      </c>
      <c r="M30" s="287"/>
      <c r="N30" s="287" t="s">
        <v>118</v>
      </c>
      <c r="O30" s="287"/>
      <c r="P30" s="287" t="s">
        <v>118</v>
      </c>
      <c r="Q30" s="287"/>
      <c r="R30" s="287"/>
      <c r="S30" s="299"/>
      <c r="T30" s="299"/>
      <c r="U30" s="300"/>
      <c r="V30" s="299"/>
      <c r="W30" s="301"/>
      <c r="X30" s="5"/>
    </row>
    <row r="31" spans="1:24" ht="15.75" x14ac:dyDescent="0.25">
      <c r="A31" s="393"/>
      <c r="B31" s="286" t="s">
        <v>133</v>
      </c>
      <c r="C31" s="310"/>
      <c r="D31" s="303">
        <v>1000000</v>
      </c>
      <c r="E31" s="298"/>
      <c r="F31" s="299">
        <v>209500</v>
      </c>
      <c r="G31" s="299"/>
      <c r="H31" s="304">
        <v>110000</v>
      </c>
      <c r="I31" s="304"/>
      <c r="J31" s="303">
        <v>150000</v>
      </c>
      <c r="K31" s="299"/>
      <c r="L31" s="299">
        <v>17000</v>
      </c>
      <c r="M31" s="299"/>
      <c r="N31" s="304">
        <v>85500</v>
      </c>
      <c r="O31" s="299"/>
      <c r="P31" s="304">
        <v>110500</v>
      </c>
      <c r="Q31" s="299"/>
      <c r="R31" s="304"/>
      <c r="S31" s="312"/>
      <c r="T31" s="312"/>
      <c r="U31" s="306"/>
      <c r="V31" s="312"/>
      <c r="W31" s="301"/>
      <c r="X31" s="5"/>
    </row>
    <row r="32" spans="1:24" ht="15.75" x14ac:dyDescent="0.25">
      <c r="A32" s="295"/>
      <c r="B32" s="286" t="s">
        <v>132</v>
      </c>
      <c r="C32" s="298"/>
      <c r="D32" s="303">
        <f>D31*D38</f>
        <v>808925</v>
      </c>
      <c r="E32" s="298"/>
      <c r="F32" s="299">
        <f>F31*F38</f>
        <v>169469.95509999999</v>
      </c>
      <c r="G32" s="299"/>
      <c r="H32" s="304">
        <f>H31*H38</f>
        <v>88982.256000000008</v>
      </c>
      <c r="I32" s="304"/>
      <c r="J32" s="303">
        <f>J31*J38</f>
        <v>121338.75</v>
      </c>
      <c r="K32" s="299"/>
      <c r="L32" s="299">
        <f>L31*L38</f>
        <v>17000</v>
      </c>
      <c r="M32" s="299"/>
      <c r="N32" s="304">
        <f>N31*N38</f>
        <v>85500</v>
      </c>
      <c r="O32" s="299"/>
      <c r="P32" s="304">
        <f>P31*P38</f>
        <v>110500</v>
      </c>
      <c r="Q32" s="299"/>
      <c r="R32" s="304"/>
      <c r="S32" s="299"/>
      <c r="T32" s="299"/>
      <c r="U32" s="300"/>
      <c r="V32" s="299"/>
      <c r="W32" s="301"/>
      <c r="X32" s="5"/>
    </row>
    <row r="33" spans="1:27" ht="15.75" x14ac:dyDescent="0.25">
      <c r="A33" s="295"/>
      <c r="B33" s="297" t="s">
        <v>134</v>
      </c>
      <c r="C33" s="298"/>
      <c r="D33" s="394">
        <f>D37*D31</f>
        <v>801823.1</v>
      </c>
      <c r="E33" s="310"/>
      <c r="F33" s="312">
        <f>F37*F31</f>
        <v>167982.128</v>
      </c>
      <c r="G33" s="312"/>
      <c r="H33" s="395">
        <f>H31*H37</f>
        <v>88201.058000000005</v>
      </c>
      <c r="I33" s="395"/>
      <c r="J33" s="394">
        <f>J37*J31</f>
        <v>120273.465</v>
      </c>
      <c r="K33" s="312"/>
      <c r="L33" s="312">
        <f>L31*L37</f>
        <v>17000</v>
      </c>
      <c r="M33" s="312"/>
      <c r="N33" s="395">
        <f>N31*N37</f>
        <v>85500</v>
      </c>
      <c r="O33" s="312"/>
      <c r="P33" s="395">
        <f>P31*P37</f>
        <v>110500</v>
      </c>
      <c r="Q33" s="312"/>
      <c r="R33" s="395"/>
      <c r="S33" s="299"/>
      <c r="T33" s="299"/>
      <c r="U33" s="300"/>
      <c r="V33" s="299"/>
      <c r="W33" s="301"/>
      <c r="X33" s="5"/>
    </row>
    <row r="34" spans="1:27" ht="15.75" x14ac:dyDescent="0.25">
      <c r="A34" s="393"/>
      <c r="B34" s="286" t="s">
        <v>286</v>
      </c>
      <c r="C34" s="310"/>
      <c r="D34" s="299">
        <v>492951</v>
      </c>
      <c r="E34" s="298"/>
      <c r="F34" s="299">
        <v>209500</v>
      </c>
      <c r="G34" s="299"/>
      <c r="H34" s="299">
        <v>74677</v>
      </c>
      <c r="I34" s="299"/>
      <c r="J34" s="299">
        <v>73943</v>
      </c>
      <c r="K34" s="299"/>
      <c r="L34" s="299">
        <v>17000</v>
      </c>
      <c r="M34" s="299"/>
      <c r="N34" s="299">
        <v>58045</v>
      </c>
      <c r="O34" s="299"/>
      <c r="P34" s="299">
        <v>75017</v>
      </c>
      <c r="Q34" s="299"/>
      <c r="R34" s="299"/>
      <c r="S34" s="312"/>
      <c r="T34" s="312"/>
      <c r="U34" s="306"/>
      <c r="V34" s="299">
        <f>SUM(C34:R34)</f>
        <v>1001133</v>
      </c>
      <c r="W34" s="301"/>
      <c r="X34" s="5"/>
    </row>
    <row r="35" spans="1:27" ht="15.75" x14ac:dyDescent="0.25">
      <c r="A35" s="393"/>
      <c r="B35" s="286" t="s">
        <v>287</v>
      </c>
      <c r="C35" s="310"/>
      <c r="D35" s="299">
        <f>D34*D38</f>
        <v>398760.38767500001</v>
      </c>
      <c r="E35" s="298"/>
      <c r="F35" s="299">
        <f>F34*F38</f>
        <v>169469.95509999999</v>
      </c>
      <c r="G35" s="299"/>
      <c r="H35" s="299">
        <f>H34*H38</f>
        <v>60408.435739200002</v>
      </c>
      <c r="I35" s="299"/>
      <c r="J35" s="299">
        <f>J34*J38</f>
        <v>59814.341274999999</v>
      </c>
      <c r="K35" s="299"/>
      <c r="L35" s="299">
        <f>L34*L38</f>
        <v>17000</v>
      </c>
      <c r="M35" s="299"/>
      <c r="N35" s="299">
        <f>N34*N38</f>
        <v>58045</v>
      </c>
      <c r="O35" s="299"/>
      <c r="P35" s="299">
        <f>P34*P38</f>
        <v>75017</v>
      </c>
      <c r="Q35" s="299"/>
      <c r="R35" s="299"/>
      <c r="S35" s="299"/>
      <c r="T35" s="299"/>
      <c r="U35" s="300"/>
      <c r="V35" s="299">
        <f>SUM(C35:R35)</f>
        <v>838515.11978920002</v>
      </c>
      <c r="W35" s="301"/>
      <c r="X35" s="5"/>
    </row>
    <row r="36" spans="1:27" ht="15.75" x14ac:dyDescent="0.25">
      <c r="A36" s="393"/>
      <c r="B36" s="297" t="s">
        <v>288</v>
      </c>
      <c r="C36" s="310"/>
      <c r="D36" s="312">
        <f>D34*D37</f>
        <v>395259.4989681</v>
      </c>
      <c r="E36" s="310"/>
      <c r="F36" s="312">
        <f>F34*F37</f>
        <v>167982.128</v>
      </c>
      <c r="G36" s="312"/>
      <c r="H36" s="312">
        <f>H34*H37</f>
        <v>59878.094620600001</v>
      </c>
      <c r="I36" s="312"/>
      <c r="J36" s="312">
        <f>J34*J37</f>
        <v>59289.2054833</v>
      </c>
      <c r="K36" s="312"/>
      <c r="L36" s="312">
        <f>L34*L37</f>
        <v>17000</v>
      </c>
      <c r="M36" s="312"/>
      <c r="N36" s="312">
        <f>N34*N37</f>
        <v>58045</v>
      </c>
      <c r="O36" s="312"/>
      <c r="P36" s="312">
        <f>P34*P37</f>
        <v>75017</v>
      </c>
      <c r="Q36" s="312"/>
      <c r="R36" s="312"/>
      <c r="S36" s="311"/>
      <c r="T36" s="311"/>
      <c r="U36" s="300"/>
      <c r="V36" s="312">
        <f>SUM(C36:R36)</f>
        <v>832470.92707199999</v>
      </c>
      <c r="W36" s="301"/>
      <c r="X36" s="5"/>
    </row>
    <row r="37" spans="1:27" ht="15.75" x14ac:dyDescent="0.25">
      <c r="A37" s="285"/>
      <c r="B37" s="313" t="s">
        <v>130</v>
      </c>
      <c r="C37" s="314"/>
      <c r="D37" s="315">
        <v>0.80182310000000001</v>
      </c>
      <c r="E37" s="315"/>
      <c r="F37" s="315">
        <v>0.80182399999999998</v>
      </c>
      <c r="G37" s="315"/>
      <c r="H37" s="315">
        <v>0.80182779999999998</v>
      </c>
      <c r="I37" s="315"/>
      <c r="J37" s="315">
        <v>0.80182310000000001</v>
      </c>
      <c r="K37" s="315"/>
      <c r="L37" s="315">
        <v>1</v>
      </c>
      <c r="M37" s="315"/>
      <c r="N37" s="315">
        <v>1</v>
      </c>
      <c r="O37" s="315"/>
      <c r="P37" s="315">
        <v>1</v>
      </c>
      <c r="Q37" s="315"/>
      <c r="R37" s="315"/>
      <c r="S37" s="316"/>
      <c r="T37" s="316"/>
      <c r="U37" s="317"/>
      <c r="V37" s="317"/>
      <c r="W37" s="318"/>
      <c r="X37" s="5"/>
    </row>
    <row r="38" spans="1:27" ht="15.75" x14ac:dyDescent="0.25">
      <c r="A38" s="285"/>
      <c r="B38" s="313" t="s">
        <v>131</v>
      </c>
      <c r="C38" s="314"/>
      <c r="D38" s="315">
        <v>0.80892500000000001</v>
      </c>
      <c r="E38" s="315"/>
      <c r="F38" s="315">
        <v>0.80892580000000003</v>
      </c>
      <c r="G38" s="315"/>
      <c r="H38" s="315">
        <v>0.80892960000000003</v>
      </c>
      <c r="I38" s="315"/>
      <c r="J38" s="315">
        <v>0.80892500000000001</v>
      </c>
      <c r="K38" s="315"/>
      <c r="L38" s="315">
        <v>1</v>
      </c>
      <c r="M38" s="315"/>
      <c r="N38" s="315">
        <v>1</v>
      </c>
      <c r="O38" s="315"/>
      <c r="P38" s="315">
        <v>1</v>
      </c>
      <c r="Q38" s="315"/>
      <c r="R38" s="315"/>
      <c r="S38" s="319"/>
      <c r="T38" s="320"/>
      <c r="U38" s="317"/>
      <c r="V38" s="319"/>
      <c r="W38" s="318"/>
      <c r="X38" s="5"/>
    </row>
    <row r="39" spans="1:27" ht="15.75" x14ac:dyDescent="0.25">
      <c r="A39" s="285"/>
      <c r="B39" s="286" t="s">
        <v>11</v>
      </c>
      <c r="C39" s="286"/>
      <c r="D39" s="296" t="s">
        <v>278</v>
      </c>
      <c r="E39" s="286"/>
      <c r="F39" s="296" t="s">
        <v>251</v>
      </c>
      <c r="G39" s="296"/>
      <c r="H39" s="296" t="s">
        <v>252</v>
      </c>
      <c r="I39" s="296"/>
      <c r="J39" s="296" t="s">
        <v>253</v>
      </c>
      <c r="K39" s="296"/>
      <c r="L39" s="296" t="s">
        <v>254</v>
      </c>
      <c r="M39" s="296"/>
      <c r="N39" s="296" t="s">
        <v>254</v>
      </c>
      <c r="O39" s="296"/>
      <c r="P39" s="296" t="s">
        <v>255</v>
      </c>
      <c r="Q39" s="296"/>
      <c r="R39" s="296"/>
      <c r="S39" s="321"/>
      <c r="T39" s="322"/>
      <c r="U39" s="288"/>
      <c r="V39" s="288"/>
      <c r="W39" s="289"/>
      <c r="X39" s="5"/>
    </row>
    <row r="40" spans="1:27" ht="15.75" x14ac:dyDescent="0.25">
      <c r="A40" s="285"/>
      <c r="B40" s="286" t="s">
        <v>12</v>
      </c>
      <c r="C40" s="286"/>
      <c r="D40" s="322">
        <v>3.3899999999999998E-3</v>
      </c>
      <c r="E40" s="286"/>
      <c r="F40" s="322">
        <v>1.0478100000000001E-2</v>
      </c>
      <c r="G40" s="321"/>
      <c r="H40" s="322">
        <v>1.6480000000000002E-2</v>
      </c>
      <c r="I40" s="322"/>
      <c r="J40" s="322">
        <v>4.5710999999999998E-3</v>
      </c>
      <c r="K40" s="321"/>
      <c r="L40" s="322">
        <v>1.1878100000000001E-2</v>
      </c>
      <c r="M40" s="321"/>
      <c r="N40" s="322">
        <v>1.7979999999999999E-2</v>
      </c>
      <c r="O40" s="321"/>
      <c r="P40" s="322">
        <v>2.078E-2</v>
      </c>
      <c r="Q40" s="321"/>
      <c r="R40" s="322"/>
      <c r="S40" s="321"/>
      <c r="T40" s="322"/>
      <c r="U40" s="288"/>
      <c r="V40" s="296"/>
      <c r="W40" s="289"/>
      <c r="X40" s="5"/>
      <c r="AA40" s="1" t="s">
        <v>193</v>
      </c>
    </row>
    <row r="41" spans="1:27" ht="15.75" x14ac:dyDescent="0.25">
      <c r="A41" s="285"/>
      <c r="B41" s="286" t="s">
        <v>13</v>
      </c>
      <c r="C41" s="286"/>
      <c r="D41" s="322">
        <v>2.9721999999999999E-3</v>
      </c>
      <c r="E41" s="286"/>
      <c r="F41" s="322">
        <v>9.5437999999999999E-3</v>
      </c>
      <c r="G41" s="321"/>
      <c r="H41" s="322">
        <v>1.5910000000000001E-2</v>
      </c>
      <c r="I41" s="322"/>
      <c r="J41" s="322">
        <v>3.5699999999999998E-3</v>
      </c>
      <c r="K41" s="321"/>
      <c r="L41" s="322">
        <v>1.09438E-2</v>
      </c>
      <c r="M41" s="321"/>
      <c r="N41" s="322">
        <v>1.7409999999999998E-2</v>
      </c>
      <c r="O41" s="321"/>
      <c r="P41" s="322">
        <v>2.0209999999999999E-2</v>
      </c>
      <c r="Q41" s="321"/>
      <c r="R41" s="322"/>
      <c r="S41" s="321"/>
      <c r="T41" s="322"/>
      <c r="U41" s="288"/>
      <c r="V41" s="321" t="s">
        <v>193</v>
      </c>
      <c r="W41" s="289"/>
      <c r="X41" s="5"/>
    </row>
    <row r="42" spans="1:27" ht="15.75" x14ac:dyDescent="0.25">
      <c r="A42" s="285"/>
      <c r="B42" s="286" t="s">
        <v>289</v>
      </c>
      <c r="C42" s="286"/>
      <c r="D42" s="296" t="s">
        <v>279</v>
      </c>
      <c r="E42" s="286"/>
      <c r="F42" s="296" t="s">
        <v>251</v>
      </c>
      <c r="G42" s="296"/>
      <c r="H42" s="296" t="s">
        <v>229</v>
      </c>
      <c r="I42" s="296"/>
      <c r="J42" s="296" t="s">
        <v>229</v>
      </c>
      <c r="K42" s="296"/>
      <c r="L42" s="296" t="s">
        <v>254</v>
      </c>
      <c r="M42" s="296"/>
      <c r="N42" s="296" t="s">
        <v>262</v>
      </c>
      <c r="O42" s="296"/>
      <c r="P42" s="296" t="s">
        <v>263</v>
      </c>
      <c r="Q42" s="296"/>
      <c r="R42" s="296"/>
      <c r="S42" s="321"/>
      <c r="T42" s="322"/>
      <c r="U42" s="288"/>
      <c r="V42" s="288"/>
      <c r="W42" s="289"/>
      <c r="X42" s="5"/>
    </row>
    <row r="43" spans="1:27" ht="15.75" x14ac:dyDescent="0.25">
      <c r="A43" s="285"/>
      <c r="B43" s="286" t="s">
        <v>290</v>
      </c>
      <c r="C43" s="323"/>
      <c r="D43" s="322">
        <v>1.0270049999999999E-2</v>
      </c>
      <c r="E43" s="322"/>
      <c r="F43" s="322">
        <f>+F40</f>
        <v>1.0478100000000001E-2</v>
      </c>
      <c r="G43" s="322"/>
      <c r="H43" s="322">
        <v>1.0553099999999999E-2</v>
      </c>
      <c r="I43" s="322"/>
      <c r="J43" s="322">
        <v>1.05681E-2</v>
      </c>
      <c r="K43" s="322"/>
      <c r="L43" s="322">
        <f>+L40</f>
        <v>1.1878100000000001E-2</v>
      </c>
      <c r="M43" s="322"/>
      <c r="N43" s="322">
        <v>1.22451E-2</v>
      </c>
      <c r="O43" s="322"/>
      <c r="P43" s="322">
        <v>1.5325099999999999E-2</v>
      </c>
      <c r="Q43" s="321"/>
      <c r="R43" s="322"/>
      <c r="S43" s="296"/>
      <c r="T43" s="296"/>
      <c r="U43" s="288"/>
      <c r="V43" s="321">
        <f>SUMPRODUCT(D43:R43,D35:R35)/V35</f>
        <v>1.0975317914024282E-2</v>
      </c>
      <c r="W43" s="289"/>
      <c r="X43" s="5"/>
    </row>
    <row r="44" spans="1:27" ht="15.75" x14ac:dyDescent="0.25">
      <c r="A44" s="285"/>
      <c r="B44" s="286" t="s">
        <v>291</v>
      </c>
      <c r="C44" s="323"/>
      <c r="D44" s="322">
        <v>9.3357500000000003E-3</v>
      </c>
      <c r="E44" s="322"/>
      <c r="F44" s="322">
        <f>+F41</f>
        <v>9.5437999999999999E-3</v>
      </c>
      <c r="G44" s="322"/>
      <c r="H44" s="322">
        <v>9.6188000000000003E-3</v>
      </c>
      <c r="I44" s="322"/>
      <c r="J44" s="322">
        <v>9.6337999999999997E-3</v>
      </c>
      <c r="K44" s="322"/>
      <c r="L44" s="322">
        <f>+L41</f>
        <v>1.09438E-2</v>
      </c>
      <c r="M44" s="322"/>
      <c r="N44" s="322">
        <v>1.1310799999999999E-2</v>
      </c>
      <c r="O44" s="322"/>
      <c r="P44" s="322">
        <v>1.43908E-2</v>
      </c>
      <c r="Q44" s="321"/>
      <c r="R44" s="322"/>
      <c r="S44" s="296"/>
      <c r="T44" s="296"/>
      <c r="U44" s="288"/>
      <c r="V44" s="288"/>
      <c r="W44" s="289"/>
      <c r="X44" s="5"/>
    </row>
    <row r="45" spans="1:27" ht="15.75" x14ac:dyDescent="0.25">
      <c r="A45" s="285"/>
      <c r="B45" s="286" t="s">
        <v>14</v>
      </c>
      <c r="C45" s="286"/>
      <c r="D45" s="323">
        <v>40709</v>
      </c>
      <c r="E45" s="323"/>
      <c r="F45" s="323">
        <v>40709</v>
      </c>
      <c r="G45" s="323"/>
      <c r="H45" s="323">
        <v>40709</v>
      </c>
      <c r="I45" s="323"/>
      <c r="J45" s="323">
        <v>40709</v>
      </c>
      <c r="K45" s="323"/>
      <c r="L45" s="323">
        <v>40709</v>
      </c>
      <c r="M45" s="323"/>
      <c r="N45" s="323">
        <v>40709</v>
      </c>
      <c r="O45" s="323"/>
      <c r="P45" s="323">
        <v>40709</v>
      </c>
      <c r="Q45" s="323"/>
      <c r="R45" s="323"/>
      <c r="S45" s="296"/>
      <c r="T45" s="296"/>
      <c r="U45" s="288"/>
      <c r="V45" s="288"/>
      <c r="W45" s="289"/>
      <c r="X45" s="5"/>
    </row>
    <row r="46" spans="1:27" ht="15.75" x14ac:dyDescent="0.25">
      <c r="A46" s="285"/>
      <c r="B46" s="286" t="s">
        <v>15</v>
      </c>
      <c r="C46" s="286"/>
      <c r="D46" s="323">
        <v>41075</v>
      </c>
      <c r="E46" s="323"/>
      <c r="F46" s="323">
        <v>41075</v>
      </c>
      <c r="G46" s="323"/>
      <c r="H46" s="323">
        <v>41075</v>
      </c>
      <c r="I46" s="323"/>
      <c r="J46" s="323">
        <v>41075</v>
      </c>
      <c r="K46" s="296"/>
      <c r="L46" s="323">
        <v>41075</v>
      </c>
      <c r="M46" s="296"/>
      <c r="N46" s="323">
        <v>41075</v>
      </c>
      <c r="O46" s="296"/>
      <c r="P46" s="323">
        <v>41075</v>
      </c>
      <c r="Q46" s="296"/>
      <c r="R46" s="323"/>
      <c r="S46" s="296"/>
      <c r="T46" s="296"/>
      <c r="U46" s="288"/>
      <c r="V46" s="288"/>
      <c r="W46" s="289"/>
      <c r="X46" s="5"/>
    </row>
    <row r="47" spans="1:27" ht="15.75" x14ac:dyDescent="0.25">
      <c r="A47" s="285"/>
      <c r="B47" s="286" t="s">
        <v>119</v>
      </c>
      <c r="C47" s="286"/>
      <c r="D47" s="296" t="s">
        <v>304</v>
      </c>
      <c r="E47" s="286"/>
      <c r="F47" s="296" t="s">
        <v>256</v>
      </c>
      <c r="G47" s="296"/>
      <c r="H47" s="296" t="s">
        <v>257</v>
      </c>
      <c r="I47" s="296"/>
      <c r="J47" s="296" t="s">
        <v>258</v>
      </c>
      <c r="K47" s="296"/>
      <c r="L47" s="296" t="s">
        <v>259</v>
      </c>
      <c r="M47" s="296"/>
      <c r="N47" s="296" t="s">
        <v>259</v>
      </c>
      <c r="O47" s="296"/>
      <c r="P47" s="296" t="s">
        <v>260</v>
      </c>
      <c r="Q47" s="296"/>
      <c r="R47" s="296"/>
      <c r="S47" s="325"/>
      <c r="T47" s="325"/>
      <c r="U47" s="325"/>
      <c r="V47" s="325"/>
      <c r="W47" s="289"/>
      <c r="X47" s="5"/>
    </row>
    <row r="48" spans="1:27" ht="15.75" x14ac:dyDescent="0.25">
      <c r="A48" s="285"/>
      <c r="B48" s="286" t="s">
        <v>292</v>
      </c>
      <c r="C48" s="286"/>
      <c r="D48" s="296" t="s">
        <v>118</v>
      </c>
      <c r="E48" s="286"/>
      <c r="F48" s="296" t="s">
        <v>256</v>
      </c>
      <c r="G48" s="296"/>
      <c r="H48" s="296" t="s">
        <v>261</v>
      </c>
      <c r="I48" s="296"/>
      <c r="J48" s="296" t="s">
        <v>261</v>
      </c>
      <c r="K48" s="296"/>
      <c r="L48" s="296" t="s">
        <v>259</v>
      </c>
      <c r="M48" s="296"/>
      <c r="N48" s="296" t="s">
        <v>263</v>
      </c>
      <c r="O48" s="296"/>
      <c r="P48" s="296" t="s">
        <v>264</v>
      </c>
      <c r="Q48" s="296"/>
      <c r="R48" s="296"/>
      <c r="S48" s="286"/>
      <c r="T48" s="286"/>
      <c r="U48" s="286"/>
      <c r="V48" s="321"/>
      <c r="W48" s="289"/>
      <c r="X48" s="5"/>
    </row>
    <row r="49" spans="1:25" ht="15.75" x14ac:dyDescent="0.25">
      <c r="A49" s="285"/>
      <c r="B49" s="286"/>
      <c r="C49" s="286"/>
      <c r="D49" s="296"/>
      <c r="E49" s="286"/>
      <c r="F49" s="296"/>
      <c r="G49" s="296"/>
      <c r="H49" s="296"/>
      <c r="I49" s="296"/>
      <c r="J49" s="296"/>
      <c r="K49" s="296"/>
      <c r="L49" s="296"/>
      <c r="M49" s="296"/>
      <c r="N49" s="296"/>
      <c r="O49" s="296"/>
      <c r="P49" s="296"/>
      <c r="Q49" s="296"/>
      <c r="R49" s="296"/>
      <c r="S49" s="286"/>
      <c r="T49" s="286"/>
      <c r="U49" s="286"/>
      <c r="V49" s="321" t="s">
        <v>193</v>
      </c>
      <c r="W49" s="289"/>
      <c r="X49" s="5"/>
    </row>
    <row r="50" spans="1:25" ht="15.75" x14ac:dyDescent="0.25">
      <c r="A50" s="285"/>
      <c r="B50" s="286" t="s">
        <v>169</v>
      </c>
      <c r="C50" s="286"/>
      <c r="D50" s="296"/>
      <c r="E50" s="286"/>
      <c r="F50" s="296"/>
      <c r="G50" s="296"/>
      <c r="H50" s="296"/>
      <c r="I50" s="296"/>
      <c r="J50" s="296"/>
      <c r="K50" s="296"/>
      <c r="L50" s="296"/>
      <c r="M50" s="296"/>
      <c r="N50" s="296"/>
      <c r="O50" s="296"/>
      <c r="P50" s="296"/>
      <c r="Q50" s="296"/>
      <c r="R50" s="296"/>
      <c r="S50" s="286"/>
      <c r="T50" s="286"/>
      <c r="U50" s="286"/>
      <c r="V50" s="321">
        <f>SUM(L34:R34)/SUM(D34:J34)</f>
        <v>0.17632136449250416</v>
      </c>
      <c r="W50" s="289"/>
      <c r="X50" s="5"/>
    </row>
    <row r="51" spans="1:25" ht="15.75" x14ac:dyDescent="0.25">
      <c r="A51" s="285"/>
      <c r="B51" s="286" t="s">
        <v>170</v>
      </c>
      <c r="C51" s="286"/>
      <c r="D51" s="286"/>
      <c r="E51" s="286"/>
      <c r="F51" s="326"/>
      <c r="G51" s="286"/>
      <c r="H51" s="286"/>
      <c r="I51" s="286"/>
      <c r="J51" s="286"/>
      <c r="K51" s="286"/>
      <c r="L51" s="286"/>
      <c r="M51" s="286"/>
      <c r="N51" s="286"/>
      <c r="O51" s="286"/>
      <c r="P51" s="286"/>
      <c r="Q51" s="286"/>
      <c r="R51" s="286"/>
      <c r="S51" s="286"/>
      <c r="T51" s="286"/>
      <c r="U51" s="286"/>
      <c r="V51" s="321">
        <f>SUM(L36:R36)/SUM(D36:J36)</f>
        <v>0.21990040582245662</v>
      </c>
      <c r="W51" s="289"/>
      <c r="X51" s="5"/>
    </row>
    <row r="52" spans="1:25" ht="15.75" x14ac:dyDescent="0.25">
      <c r="A52" s="285"/>
      <c r="B52" s="286" t="s">
        <v>171</v>
      </c>
      <c r="C52" s="286"/>
      <c r="D52" s="286"/>
      <c r="E52" s="286"/>
      <c r="F52" s="286"/>
      <c r="G52" s="286"/>
      <c r="H52" s="286"/>
      <c r="I52" s="286"/>
      <c r="J52" s="286"/>
      <c r="K52" s="286"/>
      <c r="L52" s="286"/>
      <c r="M52" s="286"/>
      <c r="N52" s="286"/>
      <c r="O52" s="286"/>
      <c r="P52" s="286"/>
      <c r="Q52" s="286"/>
      <c r="R52" s="286"/>
      <c r="S52" s="286"/>
      <c r="T52" s="296"/>
      <c r="U52" s="296"/>
      <c r="V52" s="299" t="s">
        <v>268</v>
      </c>
      <c r="W52" s="289"/>
      <c r="X52" s="5"/>
    </row>
    <row r="53" spans="1:25" ht="15.75" x14ac:dyDescent="0.25">
      <c r="A53" s="285"/>
      <c r="B53" s="286"/>
      <c r="C53" s="286"/>
      <c r="D53" s="286"/>
      <c r="E53" s="286"/>
      <c r="F53" s="286"/>
      <c r="G53" s="286"/>
      <c r="H53" s="286"/>
      <c r="I53" s="286"/>
      <c r="J53" s="286"/>
      <c r="K53" s="286"/>
      <c r="L53" s="286"/>
      <c r="M53" s="286"/>
      <c r="N53" s="286"/>
      <c r="O53" s="286"/>
      <c r="P53" s="286"/>
      <c r="Q53" s="286"/>
      <c r="R53" s="286"/>
      <c r="S53" s="286"/>
      <c r="T53" s="286"/>
      <c r="U53" s="286"/>
      <c r="V53" s="327"/>
      <c r="W53" s="289"/>
      <c r="X53" s="5"/>
    </row>
    <row r="54" spans="1:25" ht="15.75" x14ac:dyDescent="0.25">
      <c r="A54" s="285"/>
      <c r="B54" s="286" t="s">
        <v>202</v>
      </c>
      <c r="C54" s="286"/>
      <c r="D54" s="286"/>
      <c r="E54" s="286"/>
      <c r="F54" s="286"/>
      <c r="G54" s="286"/>
      <c r="H54" s="286"/>
      <c r="I54" s="286"/>
      <c r="J54" s="286"/>
      <c r="K54" s="286"/>
      <c r="L54" s="286"/>
      <c r="M54" s="286"/>
      <c r="N54" s="286"/>
      <c r="O54" s="286"/>
      <c r="P54" s="286"/>
      <c r="Q54" s="286"/>
      <c r="R54" s="286"/>
      <c r="S54" s="286"/>
      <c r="T54" s="286"/>
      <c r="U54" s="286"/>
      <c r="V54" s="311" t="s">
        <v>203</v>
      </c>
      <c r="W54" s="289"/>
      <c r="X54" s="5"/>
    </row>
    <row r="55" spans="1:25" ht="15.75" x14ac:dyDescent="0.25">
      <c r="A55" s="285"/>
      <c r="B55" s="286" t="s">
        <v>270</v>
      </c>
      <c r="C55" s="286"/>
      <c r="D55" s="286"/>
      <c r="E55" s="286"/>
      <c r="F55" s="286"/>
      <c r="G55" s="286"/>
      <c r="H55" s="286"/>
      <c r="I55" s="286"/>
      <c r="J55" s="286"/>
      <c r="K55" s="286"/>
      <c r="L55" s="286"/>
      <c r="M55" s="286"/>
      <c r="N55" s="286"/>
      <c r="O55" s="286"/>
      <c r="P55" s="286"/>
      <c r="Q55" s="286"/>
      <c r="R55" s="286"/>
      <c r="S55" s="286"/>
      <c r="T55" s="296"/>
      <c r="U55" s="296"/>
      <c r="V55" s="396" t="s">
        <v>111</v>
      </c>
      <c r="W55" s="289"/>
      <c r="X55" s="5"/>
    </row>
    <row r="56" spans="1:25" ht="15.75" x14ac:dyDescent="0.25">
      <c r="A56" s="285"/>
      <c r="B56" s="297" t="s">
        <v>201</v>
      </c>
      <c r="C56" s="297"/>
      <c r="D56" s="297"/>
      <c r="E56" s="297"/>
      <c r="F56" s="297"/>
      <c r="G56" s="297"/>
      <c r="H56" s="297"/>
      <c r="I56" s="297"/>
      <c r="J56" s="297"/>
      <c r="K56" s="297"/>
      <c r="L56" s="297"/>
      <c r="M56" s="297"/>
      <c r="N56" s="297"/>
      <c r="O56" s="297"/>
      <c r="P56" s="297"/>
      <c r="Q56" s="297"/>
      <c r="R56" s="297"/>
      <c r="S56" s="297"/>
      <c r="T56" s="397"/>
      <c r="U56" s="397"/>
      <c r="V56" s="398">
        <v>40892</v>
      </c>
      <c r="W56" s="289"/>
      <c r="X56" s="5"/>
    </row>
    <row r="57" spans="1:25" ht="15.75" x14ac:dyDescent="0.25">
      <c r="A57" s="285"/>
      <c r="B57" s="286" t="s">
        <v>121</v>
      </c>
      <c r="C57" s="286"/>
      <c r="D57" s="286"/>
      <c r="E57" s="286"/>
      <c r="F57" s="286"/>
      <c r="G57" s="286"/>
      <c r="H57" s="332"/>
      <c r="I57" s="332"/>
      <c r="J57" s="332"/>
      <c r="K57" s="332"/>
      <c r="L57" s="332"/>
      <c r="M57" s="332"/>
      <c r="N57" s="332"/>
      <c r="O57" s="332"/>
      <c r="P57" s="332"/>
      <c r="Q57" s="332"/>
      <c r="R57" s="286">
        <f>+V57-T57+1</f>
        <v>92</v>
      </c>
      <c r="S57" s="332"/>
      <c r="T57" s="333">
        <v>40709</v>
      </c>
      <c r="U57" s="334"/>
      <c r="V57" s="333">
        <v>40800</v>
      </c>
      <c r="W57" s="289"/>
      <c r="X57" s="5"/>
    </row>
    <row r="58" spans="1:25" ht="15.75" x14ac:dyDescent="0.25">
      <c r="A58" s="285"/>
      <c r="B58" s="286" t="s">
        <v>122</v>
      </c>
      <c r="C58" s="286"/>
      <c r="D58" s="286"/>
      <c r="E58" s="286"/>
      <c r="F58" s="286"/>
      <c r="G58" s="286"/>
      <c r="H58" s="286"/>
      <c r="I58" s="286"/>
      <c r="J58" s="286"/>
      <c r="K58" s="286"/>
      <c r="L58" s="286"/>
      <c r="M58" s="286"/>
      <c r="N58" s="286"/>
      <c r="O58" s="286"/>
      <c r="P58" s="286"/>
      <c r="Q58" s="286"/>
      <c r="R58" s="286">
        <f>+V58-T58+1</f>
        <v>91</v>
      </c>
      <c r="S58" s="286"/>
      <c r="T58" s="333">
        <v>40801</v>
      </c>
      <c r="U58" s="334"/>
      <c r="V58" s="333">
        <v>40891</v>
      </c>
      <c r="W58" s="289"/>
      <c r="X58" s="5"/>
    </row>
    <row r="59" spans="1:25" ht="15.75" x14ac:dyDescent="0.25">
      <c r="A59" s="285"/>
      <c r="B59" s="286" t="s">
        <v>223</v>
      </c>
      <c r="C59" s="286"/>
      <c r="D59" s="286"/>
      <c r="E59" s="286"/>
      <c r="F59" s="286"/>
      <c r="G59" s="286"/>
      <c r="H59" s="286"/>
      <c r="I59" s="286"/>
      <c r="J59" s="286"/>
      <c r="K59" s="286"/>
      <c r="L59" s="286"/>
      <c r="M59" s="286"/>
      <c r="N59" s="286"/>
      <c r="O59" s="286"/>
      <c r="P59" s="286"/>
      <c r="Q59" s="286"/>
      <c r="R59" s="286"/>
      <c r="S59" s="286"/>
      <c r="T59" s="333"/>
      <c r="U59" s="334"/>
      <c r="V59" s="333" t="s">
        <v>120</v>
      </c>
      <c r="W59" s="289"/>
      <c r="X59" s="5"/>
    </row>
    <row r="60" spans="1:25" ht="15.75" x14ac:dyDescent="0.25">
      <c r="A60" s="285"/>
      <c r="B60" s="286" t="s">
        <v>271</v>
      </c>
      <c r="C60" s="286"/>
      <c r="D60" s="286"/>
      <c r="E60" s="286"/>
      <c r="F60" s="286"/>
      <c r="G60" s="286"/>
      <c r="H60" s="286"/>
      <c r="I60" s="286"/>
      <c r="J60" s="286"/>
      <c r="K60" s="286"/>
      <c r="L60" s="286"/>
      <c r="M60" s="286"/>
      <c r="N60" s="286"/>
      <c r="O60" s="286"/>
      <c r="P60" s="286"/>
      <c r="Q60" s="286"/>
      <c r="R60" s="286"/>
      <c r="S60" s="286"/>
      <c r="T60" s="333"/>
      <c r="U60" s="334"/>
      <c r="V60" s="333" t="s">
        <v>154</v>
      </c>
      <c r="W60" s="289"/>
      <c r="X60" s="5"/>
      <c r="Y60" s="133"/>
    </row>
    <row r="61" spans="1:25" ht="15.75" x14ac:dyDescent="0.25">
      <c r="A61" s="285"/>
      <c r="B61" s="286" t="s">
        <v>16</v>
      </c>
      <c r="C61" s="286"/>
      <c r="D61" s="286"/>
      <c r="E61" s="286"/>
      <c r="F61" s="286"/>
      <c r="G61" s="286"/>
      <c r="H61" s="286"/>
      <c r="I61" s="286"/>
      <c r="J61" s="286"/>
      <c r="K61" s="286"/>
      <c r="L61" s="286"/>
      <c r="M61" s="286"/>
      <c r="N61" s="286"/>
      <c r="O61" s="286"/>
      <c r="P61" s="286"/>
      <c r="Q61" s="286"/>
      <c r="R61" s="286"/>
      <c r="S61" s="286"/>
      <c r="T61" s="333"/>
      <c r="U61" s="334"/>
      <c r="V61" s="333">
        <v>40878</v>
      </c>
      <c r="W61" s="289"/>
      <c r="X61" s="5"/>
    </row>
    <row r="62" spans="1:25" ht="15.75" x14ac:dyDescent="0.25">
      <c r="A62" s="181"/>
      <c r="B62" s="212"/>
      <c r="C62" s="212"/>
      <c r="D62" s="212"/>
      <c r="E62" s="212"/>
      <c r="F62" s="212"/>
      <c r="G62" s="212"/>
      <c r="H62" s="212"/>
      <c r="I62" s="212"/>
      <c r="J62" s="212"/>
      <c r="K62" s="212"/>
      <c r="L62" s="212"/>
      <c r="M62" s="212"/>
      <c r="N62" s="212"/>
      <c r="O62" s="212"/>
      <c r="P62" s="212"/>
      <c r="Q62" s="212"/>
      <c r="R62" s="212"/>
      <c r="S62" s="212"/>
      <c r="T62" s="283"/>
      <c r="U62" s="284"/>
      <c r="V62" s="283"/>
      <c r="W62" s="212"/>
      <c r="X62" s="5"/>
    </row>
    <row r="63" spans="1:25" ht="15.75" x14ac:dyDescent="0.25">
      <c r="A63" s="181"/>
      <c r="B63" s="183"/>
      <c r="C63" s="183"/>
      <c r="D63" s="183"/>
      <c r="E63" s="183"/>
      <c r="F63" s="183"/>
      <c r="G63" s="183"/>
      <c r="H63" s="183"/>
      <c r="I63" s="183"/>
      <c r="J63" s="183"/>
      <c r="K63" s="183"/>
      <c r="L63" s="183"/>
      <c r="M63" s="183"/>
      <c r="N63" s="183"/>
      <c r="O63" s="183"/>
      <c r="P63" s="183"/>
      <c r="Q63" s="183"/>
      <c r="R63" s="183"/>
      <c r="S63" s="183"/>
      <c r="T63" s="195"/>
      <c r="U63" s="196"/>
      <c r="V63" s="195"/>
      <c r="W63" s="183"/>
      <c r="X63" s="5"/>
    </row>
    <row r="64" spans="1:25" ht="19.5" thickBot="1" x14ac:dyDescent="0.35">
      <c r="A64" s="197"/>
      <c r="B64" s="270" t="s">
        <v>302</v>
      </c>
      <c r="C64" s="198"/>
      <c r="D64" s="198"/>
      <c r="E64" s="198"/>
      <c r="F64" s="198"/>
      <c r="G64" s="198"/>
      <c r="H64" s="198"/>
      <c r="I64" s="198"/>
      <c r="J64" s="198"/>
      <c r="K64" s="198"/>
      <c r="L64" s="198"/>
      <c r="M64" s="198"/>
      <c r="N64" s="198"/>
      <c r="O64" s="198"/>
      <c r="P64" s="198"/>
      <c r="Q64" s="198"/>
      <c r="R64" s="198"/>
      <c r="S64" s="198"/>
      <c r="T64" s="198"/>
      <c r="U64" s="198"/>
      <c r="V64" s="199"/>
      <c r="W64" s="200"/>
      <c r="X64" s="5"/>
    </row>
    <row r="65" spans="1:24" ht="15.75" x14ac:dyDescent="0.25">
      <c r="A65" s="224"/>
      <c r="B65" s="230" t="s">
        <v>17</v>
      </c>
      <c r="C65" s="225"/>
      <c r="D65" s="225"/>
      <c r="E65" s="225"/>
      <c r="F65" s="225"/>
      <c r="G65" s="225"/>
      <c r="H65" s="225"/>
      <c r="I65" s="225"/>
      <c r="J65" s="225"/>
      <c r="K65" s="225"/>
      <c r="L65" s="225"/>
      <c r="M65" s="225"/>
      <c r="N65" s="225"/>
      <c r="O65" s="225"/>
      <c r="P65" s="225"/>
      <c r="Q65" s="225"/>
      <c r="R65" s="225"/>
      <c r="S65" s="225"/>
      <c r="T65" s="225"/>
      <c r="U65" s="225"/>
      <c r="V65" s="231"/>
      <c r="W65" s="225"/>
      <c r="X65" s="5"/>
    </row>
    <row r="66" spans="1:24" ht="15.75" x14ac:dyDescent="0.25">
      <c r="A66" s="181"/>
      <c r="B66" s="189"/>
      <c r="C66" s="183"/>
      <c r="D66" s="183"/>
      <c r="E66" s="183"/>
      <c r="F66" s="183"/>
      <c r="G66" s="183"/>
      <c r="H66" s="183"/>
      <c r="I66" s="183"/>
      <c r="J66" s="183"/>
      <c r="K66" s="183"/>
      <c r="L66" s="183"/>
      <c r="M66" s="183"/>
      <c r="N66" s="183"/>
      <c r="O66" s="183"/>
      <c r="P66" s="183"/>
      <c r="Q66" s="183"/>
      <c r="R66" s="183"/>
      <c r="S66" s="183"/>
      <c r="T66" s="183"/>
      <c r="U66" s="183"/>
      <c r="V66" s="202"/>
      <c r="W66" s="183"/>
      <c r="X66" s="5"/>
    </row>
    <row r="67" spans="1:24" ht="47.25" x14ac:dyDescent="0.25">
      <c r="A67" s="181"/>
      <c r="B67" s="203" t="s">
        <v>18</v>
      </c>
      <c r="C67" s="204"/>
      <c r="D67" s="204"/>
      <c r="E67" s="204"/>
      <c r="F67" s="204"/>
      <c r="G67" s="204"/>
      <c r="H67" s="204"/>
      <c r="I67" s="204"/>
      <c r="J67" s="204"/>
      <c r="K67" s="204"/>
      <c r="L67" s="204" t="s">
        <v>94</v>
      </c>
      <c r="M67" s="204"/>
      <c r="N67" s="204" t="s">
        <v>96</v>
      </c>
      <c r="O67" s="204"/>
      <c r="P67" s="204" t="s">
        <v>98</v>
      </c>
      <c r="Q67" s="204"/>
      <c r="R67" s="204" t="s">
        <v>100</v>
      </c>
      <c r="S67" s="204"/>
      <c r="T67" s="204" t="s">
        <v>106</v>
      </c>
      <c r="U67" s="204"/>
      <c r="V67" s="205" t="s">
        <v>112</v>
      </c>
      <c r="W67" s="206"/>
      <c r="X67" s="5"/>
    </row>
    <row r="68" spans="1:24" ht="15.75" x14ac:dyDescent="0.25">
      <c r="A68" s="285"/>
      <c r="B68" s="286" t="s">
        <v>19</v>
      </c>
      <c r="C68" s="337"/>
      <c r="D68" s="337"/>
      <c r="E68" s="337"/>
      <c r="F68" s="337"/>
      <c r="G68" s="337"/>
      <c r="H68" s="337"/>
      <c r="I68" s="337"/>
      <c r="J68" s="337"/>
      <c r="K68" s="337"/>
      <c r="L68" s="337">
        <v>812446</v>
      </c>
      <c r="M68" s="337"/>
      <c r="N68" s="338">
        <v>838515</v>
      </c>
      <c r="O68" s="337"/>
      <c r="P68" s="337">
        <f>6044</f>
        <v>6044</v>
      </c>
      <c r="Q68" s="337"/>
      <c r="R68" s="337">
        <v>0</v>
      </c>
      <c r="S68" s="337"/>
      <c r="T68" s="337">
        <v>0</v>
      </c>
      <c r="U68" s="337"/>
      <c r="V68" s="338">
        <f>+N68-P68+R68-T68</f>
        <v>832471</v>
      </c>
      <c r="W68" s="289"/>
      <c r="X68" s="5"/>
    </row>
    <row r="69" spans="1:24" ht="15.75" x14ac:dyDescent="0.25">
      <c r="A69" s="285"/>
      <c r="B69" s="286" t="s">
        <v>20</v>
      </c>
      <c r="C69" s="337"/>
      <c r="D69" s="337"/>
      <c r="E69" s="337"/>
      <c r="F69" s="337"/>
      <c r="G69" s="337"/>
      <c r="H69" s="337"/>
      <c r="I69" s="337"/>
      <c r="J69" s="337"/>
      <c r="K69" s="337"/>
      <c r="L69" s="337">
        <v>0</v>
      </c>
      <c r="M69" s="337"/>
      <c r="N69" s="338">
        <v>0</v>
      </c>
      <c r="O69" s="337"/>
      <c r="P69" s="337">
        <v>0</v>
      </c>
      <c r="Q69" s="337"/>
      <c r="R69" s="337">
        <v>0</v>
      </c>
      <c r="S69" s="337"/>
      <c r="T69" s="337">
        <v>0</v>
      </c>
      <c r="U69" s="337"/>
      <c r="V69" s="338">
        <f>+L69-P69</f>
        <v>0</v>
      </c>
      <c r="W69" s="289"/>
      <c r="X69" s="5"/>
    </row>
    <row r="70" spans="1:24" ht="15.75" x14ac:dyDescent="0.25">
      <c r="A70" s="285"/>
      <c r="B70" s="286"/>
      <c r="C70" s="337"/>
      <c r="D70" s="337"/>
      <c r="E70" s="337"/>
      <c r="F70" s="337"/>
      <c r="G70" s="337"/>
      <c r="H70" s="337"/>
      <c r="I70" s="337"/>
      <c r="J70" s="337"/>
      <c r="K70" s="337"/>
      <c r="L70" s="337"/>
      <c r="M70" s="337"/>
      <c r="N70" s="338"/>
      <c r="O70" s="337"/>
      <c r="P70" s="337"/>
      <c r="Q70" s="337"/>
      <c r="R70" s="337"/>
      <c r="S70" s="337"/>
      <c r="T70" s="337"/>
      <c r="U70" s="337"/>
      <c r="V70" s="338"/>
      <c r="W70" s="289"/>
      <c r="X70" s="5"/>
    </row>
    <row r="71" spans="1:24" ht="15.75" x14ac:dyDescent="0.25">
      <c r="A71" s="285"/>
      <c r="B71" s="286" t="s">
        <v>21</v>
      </c>
      <c r="C71" s="337"/>
      <c r="D71" s="337"/>
      <c r="E71" s="337"/>
      <c r="F71" s="337"/>
      <c r="G71" s="337"/>
      <c r="H71" s="337"/>
      <c r="I71" s="337"/>
      <c r="J71" s="337"/>
      <c r="K71" s="337"/>
      <c r="L71" s="337">
        <f>SUM(L68:L70)</f>
        <v>812446</v>
      </c>
      <c r="M71" s="337"/>
      <c r="N71" s="337">
        <f>N68+N69</f>
        <v>838515</v>
      </c>
      <c r="O71" s="337"/>
      <c r="P71" s="337">
        <f>SUM(P68:P70)</f>
        <v>6044</v>
      </c>
      <c r="Q71" s="337"/>
      <c r="R71" s="337">
        <f>SUM(R68:R70)</f>
        <v>0</v>
      </c>
      <c r="S71" s="337"/>
      <c r="T71" s="337">
        <f>SUM(T68:T70)</f>
        <v>0</v>
      </c>
      <c r="U71" s="337"/>
      <c r="V71" s="337">
        <f>SUM(V68:V70)</f>
        <v>832471</v>
      </c>
      <c r="W71" s="289"/>
      <c r="X71" s="5"/>
    </row>
    <row r="72" spans="1:24" ht="15.75" x14ac:dyDescent="0.25">
      <c r="A72" s="181"/>
      <c r="B72" s="212"/>
      <c r="C72" s="335"/>
      <c r="D72" s="335"/>
      <c r="E72" s="335"/>
      <c r="F72" s="335"/>
      <c r="G72" s="335"/>
      <c r="H72" s="335"/>
      <c r="I72" s="335"/>
      <c r="J72" s="335"/>
      <c r="K72" s="335"/>
      <c r="L72" s="335"/>
      <c r="M72" s="335"/>
      <c r="N72" s="335"/>
      <c r="O72" s="335"/>
      <c r="P72" s="335"/>
      <c r="Q72" s="335"/>
      <c r="R72" s="335"/>
      <c r="S72" s="335"/>
      <c r="T72" s="335"/>
      <c r="U72" s="335"/>
      <c r="V72" s="336"/>
      <c r="W72" s="212"/>
      <c r="X72" s="5"/>
    </row>
    <row r="73" spans="1:24" ht="15.75" x14ac:dyDescent="0.25">
      <c r="A73" s="181"/>
      <c r="B73" s="185" t="s">
        <v>22</v>
      </c>
      <c r="C73" s="207"/>
      <c r="D73" s="207"/>
      <c r="E73" s="207"/>
      <c r="F73" s="207"/>
      <c r="G73" s="207"/>
      <c r="H73" s="207"/>
      <c r="I73" s="207"/>
      <c r="J73" s="207"/>
      <c r="K73" s="207"/>
      <c r="L73" s="207"/>
      <c r="M73" s="207"/>
      <c r="N73" s="207"/>
      <c r="O73" s="207"/>
      <c r="P73" s="207"/>
      <c r="Q73" s="207"/>
      <c r="R73" s="207"/>
      <c r="S73" s="207"/>
      <c r="T73" s="207"/>
      <c r="U73" s="207"/>
      <c r="V73" s="208"/>
      <c r="W73" s="183"/>
      <c r="X73" s="5"/>
    </row>
    <row r="74" spans="1:24" ht="15.75" x14ac:dyDescent="0.25">
      <c r="A74" s="181"/>
      <c r="B74" s="183"/>
      <c r="C74" s="207"/>
      <c r="D74" s="207"/>
      <c r="E74" s="207"/>
      <c r="F74" s="207"/>
      <c r="G74" s="207"/>
      <c r="H74" s="207"/>
      <c r="I74" s="207"/>
      <c r="J74" s="207"/>
      <c r="K74" s="207"/>
      <c r="L74" s="207"/>
      <c r="M74" s="207"/>
      <c r="N74" s="207"/>
      <c r="O74" s="207"/>
      <c r="P74" s="207"/>
      <c r="Q74" s="207"/>
      <c r="R74" s="207"/>
      <c r="S74" s="207"/>
      <c r="T74" s="207"/>
      <c r="U74" s="207"/>
      <c r="V74" s="208"/>
      <c r="W74" s="183"/>
      <c r="X74" s="5"/>
    </row>
    <row r="75" spans="1:24" ht="15.75" x14ac:dyDescent="0.25">
      <c r="A75" s="285"/>
      <c r="B75" s="286" t="s">
        <v>19</v>
      </c>
      <c r="C75" s="337"/>
      <c r="D75" s="337"/>
      <c r="E75" s="337"/>
      <c r="F75" s="337"/>
      <c r="G75" s="337"/>
      <c r="H75" s="337"/>
      <c r="I75" s="337"/>
      <c r="J75" s="337"/>
      <c r="K75" s="337"/>
      <c r="L75" s="337"/>
      <c r="M75" s="337"/>
      <c r="N75" s="337"/>
      <c r="O75" s="337"/>
      <c r="P75" s="337"/>
      <c r="Q75" s="337"/>
      <c r="R75" s="337"/>
      <c r="S75" s="337"/>
      <c r="T75" s="337"/>
      <c r="U75" s="337"/>
      <c r="V75" s="337"/>
      <c r="W75" s="289"/>
      <c r="X75" s="5"/>
    </row>
    <row r="76" spans="1:24" ht="15.75" x14ac:dyDescent="0.25">
      <c r="A76" s="285"/>
      <c r="B76" s="286" t="s">
        <v>20</v>
      </c>
      <c r="C76" s="337"/>
      <c r="D76" s="337"/>
      <c r="E76" s="337"/>
      <c r="F76" s="337"/>
      <c r="G76" s="337"/>
      <c r="H76" s="337"/>
      <c r="I76" s="337"/>
      <c r="J76" s="337"/>
      <c r="K76" s="337"/>
      <c r="L76" s="337"/>
      <c r="M76" s="337"/>
      <c r="N76" s="337"/>
      <c r="O76" s="337"/>
      <c r="P76" s="337"/>
      <c r="Q76" s="337"/>
      <c r="R76" s="337"/>
      <c r="S76" s="337"/>
      <c r="T76" s="337"/>
      <c r="U76" s="337"/>
      <c r="V76" s="337"/>
      <c r="W76" s="289"/>
      <c r="X76" s="5"/>
    </row>
    <row r="77" spans="1:24" ht="15.75" x14ac:dyDescent="0.25">
      <c r="A77" s="285"/>
      <c r="B77" s="286"/>
      <c r="C77" s="337"/>
      <c r="D77" s="337"/>
      <c r="E77" s="337"/>
      <c r="F77" s="337"/>
      <c r="G77" s="337"/>
      <c r="H77" s="337"/>
      <c r="I77" s="337"/>
      <c r="J77" s="337"/>
      <c r="K77" s="337"/>
      <c r="L77" s="337"/>
      <c r="M77" s="337"/>
      <c r="N77" s="337"/>
      <c r="O77" s="337"/>
      <c r="P77" s="337"/>
      <c r="Q77" s="337"/>
      <c r="R77" s="337"/>
      <c r="S77" s="337"/>
      <c r="T77" s="337"/>
      <c r="U77" s="337"/>
      <c r="V77" s="337"/>
      <c r="W77" s="289"/>
      <c r="X77" s="5"/>
    </row>
    <row r="78" spans="1:24" ht="15.75" x14ac:dyDescent="0.25">
      <c r="A78" s="285"/>
      <c r="B78" s="286" t="s">
        <v>21</v>
      </c>
      <c r="C78" s="337"/>
      <c r="D78" s="337"/>
      <c r="E78" s="337"/>
      <c r="F78" s="337"/>
      <c r="G78" s="337"/>
      <c r="H78" s="337"/>
      <c r="I78" s="337"/>
      <c r="J78" s="337"/>
      <c r="K78" s="337"/>
      <c r="L78" s="337"/>
      <c r="M78" s="337"/>
      <c r="N78" s="337"/>
      <c r="O78" s="337"/>
      <c r="P78" s="337"/>
      <c r="Q78" s="337"/>
      <c r="R78" s="337"/>
      <c r="S78" s="337"/>
      <c r="T78" s="337"/>
      <c r="U78" s="337"/>
      <c r="V78" s="337"/>
      <c r="W78" s="289"/>
      <c r="X78" s="5"/>
    </row>
    <row r="79" spans="1:24" ht="15.75" x14ac:dyDescent="0.25">
      <c r="A79" s="285"/>
      <c r="B79" s="286"/>
      <c r="C79" s="337"/>
      <c r="D79" s="337"/>
      <c r="E79" s="337"/>
      <c r="F79" s="337"/>
      <c r="G79" s="337"/>
      <c r="H79" s="337"/>
      <c r="I79" s="337"/>
      <c r="J79" s="337"/>
      <c r="K79" s="337"/>
      <c r="L79" s="337"/>
      <c r="M79" s="337"/>
      <c r="N79" s="337"/>
      <c r="O79" s="337"/>
      <c r="P79" s="337"/>
      <c r="Q79" s="337"/>
      <c r="R79" s="337"/>
      <c r="S79" s="337"/>
      <c r="T79" s="337"/>
      <c r="U79" s="337"/>
      <c r="V79" s="337"/>
      <c r="W79" s="289"/>
      <c r="X79" s="5"/>
    </row>
    <row r="80" spans="1:24" ht="15.75" x14ac:dyDescent="0.25">
      <c r="A80" s="285"/>
      <c r="B80" s="286" t="s">
        <v>23</v>
      </c>
      <c r="C80" s="337"/>
      <c r="D80" s="337"/>
      <c r="E80" s="337"/>
      <c r="F80" s="337"/>
      <c r="G80" s="337"/>
      <c r="H80" s="337"/>
      <c r="I80" s="337"/>
      <c r="J80" s="337"/>
      <c r="K80" s="337"/>
      <c r="L80" s="337">
        <v>0</v>
      </c>
      <c r="M80" s="337"/>
      <c r="N80" s="337">
        <v>0</v>
      </c>
      <c r="O80" s="337"/>
      <c r="P80" s="337"/>
      <c r="Q80" s="337"/>
      <c r="R80" s="337"/>
      <c r="S80" s="337"/>
      <c r="T80" s="337"/>
      <c r="U80" s="337"/>
      <c r="V80" s="338">
        <v>0</v>
      </c>
      <c r="W80" s="289"/>
      <c r="X80" s="5"/>
    </row>
    <row r="81" spans="1:24" ht="15.75" x14ac:dyDescent="0.25">
      <c r="A81" s="285"/>
      <c r="B81" s="286" t="s">
        <v>117</v>
      </c>
      <c r="C81" s="337"/>
      <c r="D81" s="337"/>
      <c r="E81" s="337"/>
      <c r="F81" s="337"/>
      <c r="G81" s="337"/>
      <c r="H81" s="337"/>
      <c r="I81" s="337"/>
      <c r="J81" s="337"/>
      <c r="K81" s="337"/>
      <c r="L81" s="337">
        <v>188687</v>
      </c>
      <c r="M81" s="337"/>
      <c r="N81" s="337">
        <v>0</v>
      </c>
      <c r="O81" s="337"/>
      <c r="P81" s="337">
        <v>0</v>
      </c>
      <c r="Q81" s="337"/>
      <c r="R81" s="337"/>
      <c r="S81" s="337"/>
      <c r="T81" s="337"/>
      <c r="U81" s="337"/>
      <c r="V81" s="337">
        <f>SUM(N81:R81)</f>
        <v>0</v>
      </c>
      <c r="W81" s="289"/>
      <c r="X81" s="5"/>
    </row>
    <row r="82" spans="1:24" ht="15.75" x14ac:dyDescent="0.25">
      <c r="A82" s="285"/>
      <c r="B82" s="286"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89"/>
      <c r="X82" s="5"/>
    </row>
    <row r="83" spans="1:24" ht="15.75" x14ac:dyDescent="0.25">
      <c r="A83" s="285"/>
      <c r="B83" s="286" t="s">
        <v>25</v>
      </c>
      <c r="C83" s="337"/>
      <c r="D83" s="337"/>
      <c r="E83" s="337"/>
      <c r="F83" s="337"/>
      <c r="G83" s="337"/>
      <c r="H83" s="337"/>
      <c r="I83" s="337"/>
      <c r="J83" s="337"/>
      <c r="K83" s="337"/>
      <c r="L83" s="337">
        <v>0</v>
      </c>
      <c r="M83" s="337"/>
      <c r="N83" s="337">
        <v>0</v>
      </c>
      <c r="O83" s="337"/>
      <c r="P83" s="337"/>
      <c r="Q83" s="337"/>
      <c r="R83" s="337"/>
      <c r="S83" s="337"/>
      <c r="T83" s="337"/>
      <c r="U83" s="337"/>
      <c r="V83" s="337">
        <v>0</v>
      </c>
      <c r="W83" s="289"/>
      <c r="X83" s="5"/>
    </row>
    <row r="84" spans="1:24" ht="15.75" x14ac:dyDescent="0.25">
      <c r="A84" s="285"/>
      <c r="B84" s="286" t="s">
        <v>26</v>
      </c>
      <c r="C84" s="337"/>
      <c r="D84" s="337"/>
      <c r="E84" s="337"/>
      <c r="F84" s="337"/>
      <c r="G84" s="337"/>
      <c r="H84" s="337"/>
      <c r="I84" s="337"/>
      <c r="J84" s="337"/>
      <c r="K84" s="337"/>
      <c r="L84" s="337">
        <f>SUM(L71:L83)</f>
        <v>1001133</v>
      </c>
      <c r="M84" s="337"/>
      <c r="N84" s="337">
        <f>SUM(N71:N83)</f>
        <v>838515</v>
      </c>
      <c r="O84" s="337"/>
      <c r="P84" s="337"/>
      <c r="Q84" s="337"/>
      <c r="R84" s="337"/>
      <c r="S84" s="337"/>
      <c r="T84" s="337"/>
      <c r="U84" s="337"/>
      <c r="V84" s="337">
        <f>SUM(V71:V83)</f>
        <v>832471</v>
      </c>
      <c r="W84" s="289"/>
      <c r="X84" s="5"/>
    </row>
    <row r="85" spans="1:24" ht="15.75" x14ac:dyDescent="0.25">
      <c r="A85" s="181"/>
      <c r="B85" s="212"/>
      <c r="C85" s="335"/>
      <c r="D85" s="335"/>
      <c r="E85" s="335"/>
      <c r="F85" s="335"/>
      <c r="G85" s="335"/>
      <c r="H85" s="335"/>
      <c r="I85" s="335"/>
      <c r="J85" s="335"/>
      <c r="K85" s="335"/>
      <c r="L85" s="335"/>
      <c r="M85" s="335"/>
      <c r="N85" s="335"/>
      <c r="O85" s="335"/>
      <c r="P85" s="335"/>
      <c r="Q85" s="335"/>
      <c r="R85" s="335"/>
      <c r="S85" s="335"/>
      <c r="T85" s="335"/>
      <c r="U85" s="335"/>
      <c r="V85" s="336"/>
      <c r="W85" s="212"/>
      <c r="X85" s="5"/>
    </row>
    <row r="86" spans="1:24" ht="15.75" x14ac:dyDescent="0.25">
      <c r="A86" s="181"/>
      <c r="B86" s="183"/>
      <c r="C86" s="183"/>
      <c r="D86" s="183"/>
      <c r="E86" s="183"/>
      <c r="F86" s="183"/>
      <c r="G86" s="183"/>
      <c r="H86" s="183"/>
      <c r="I86" s="183"/>
      <c r="J86" s="183"/>
      <c r="K86" s="183"/>
      <c r="L86" s="183"/>
      <c r="M86" s="183"/>
      <c r="N86" s="183"/>
      <c r="O86" s="183"/>
      <c r="P86" s="183"/>
      <c r="Q86" s="183"/>
      <c r="R86" s="183"/>
      <c r="S86" s="183"/>
      <c r="T86" s="183"/>
      <c r="U86" s="183"/>
      <c r="V86" s="183"/>
      <c r="W86" s="183"/>
      <c r="X86" s="5"/>
    </row>
    <row r="87" spans="1:24" ht="15.75" x14ac:dyDescent="0.25">
      <c r="A87" s="224"/>
      <c r="B87" s="399" t="s">
        <v>27</v>
      </c>
      <c r="C87" s="399"/>
      <c r="D87" s="399"/>
      <c r="E87" s="399"/>
      <c r="F87" s="399"/>
      <c r="G87" s="399"/>
      <c r="H87" s="400"/>
      <c r="I87" s="400"/>
      <c r="J87" s="400"/>
      <c r="K87" s="400"/>
      <c r="L87" s="401" t="s">
        <v>95</v>
      </c>
      <c r="M87" s="400"/>
      <c r="N87" s="402">
        <f>+T201</f>
        <v>40877</v>
      </c>
      <c r="O87" s="400"/>
      <c r="P87" s="400"/>
      <c r="Q87" s="400"/>
      <c r="R87" s="400"/>
      <c r="S87" s="400"/>
      <c r="T87" s="400" t="s">
        <v>107</v>
      </c>
      <c r="U87" s="400"/>
      <c r="V87" s="400" t="s">
        <v>113</v>
      </c>
      <c r="W87" s="225"/>
      <c r="X87" s="5"/>
    </row>
    <row r="88" spans="1:24" ht="15.75" x14ac:dyDescent="0.25">
      <c r="A88" s="248"/>
      <c r="B88" s="250" t="s">
        <v>28</v>
      </c>
      <c r="C88" s="194"/>
      <c r="D88" s="194"/>
      <c r="E88" s="194"/>
      <c r="F88" s="194"/>
      <c r="G88" s="194"/>
      <c r="H88" s="194"/>
      <c r="I88" s="194"/>
      <c r="J88" s="194"/>
      <c r="K88" s="194"/>
      <c r="L88" s="194"/>
      <c r="M88" s="194"/>
      <c r="N88" s="194"/>
      <c r="O88" s="194"/>
      <c r="P88" s="194"/>
      <c r="Q88" s="194"/>
      <c r="R88" s="194"/>
      <c r="S88" s="194"/>
      <c r="T88" s="249">
        <v>0</v>
      </c>
      <c r="U88" s="250"/>
      <c r="V88" s="253">
        <v>0</v>
      </c>
      <c r="W88" s="194"/>
      <c r="X88" s="5"/>
    </row>
    <row r="89" spans="1:24" ht="15.75" x14ac:dyDescent="0.25">
      <c r="A89" s="295"/>
      <c r="B89" s="286" t="s">
        <v>29</v>
      </c>
      <c r="C89" s="314"/>
      <c r="D89" s="314"/>
      <c r="E89" s="314"/>
      <c r="F89" s="314"/>
      <c r="G89" s="314"/>
      <c r="H89" s="339"/>
      <c r="I89" s="339"/>
      <c r="J89" s="339"/>
      <c r="K89" s="340"/>
      <c r="L89" s="339"/>
      <c r="M89" s="314"/>
      <c r="N89" s="341"/>
      <c r="O89" s="314"/>
      <c r="P89" s="314"/>
      <c r="Q89" s="314"/>
      <c r="R89" s="314"/>
      <c r="S89" s="314"/>
      <c r="T89" s="337">
        <f>6044-459</f>
        <v>5585</v>
      </c>
      <c r="U89" s="286"/>
      <c r="V89" s="338"/>
      <c r="W89" s="318"/>
      <c r="X89" s="5"/>
    </row>
    <row r="90" spans="1:24" ht="15.75" x14ac:dyDescent="0.25">
      <c r="A90" s="295"/>
      <c r="B90" s="286" t="s">
        <v>215</v>
      </c>
      <c r="C90" s="314"/>
      <c r="D90" s="314"/>
      <c r="E90" s="314"/>
      <c r="F90" s="314"/>
      <c r="G90" s="314"/>
      <c r="H90" s="339"/>
      <c r="I90" s="339"/>
      <c r="J90" s="339"/>
      <c r="K90" s="340"/>
      <c r="L90" s="339"/>
      <c r="M90" s="314"/>
      <c r="N90" s="341"/>
      <c r="O90" s="314"/>
      <c r="P90" s="314"/>
      <c r="Q90" s="314"/>
      <c r="R90" s="314"/>
      <c r="S90" s="314"/>
      <c r="T90" s="337"/>
      <c r="U90" s="286"/>
      <c r="V90" s="338">
        <f>3443+3233-272-504</f>
        <v>5900</v>
      </c>
      <c r="W90" s="318"/>
      <c r="X90" s="5"/>
    </row>
    <row r="91" spans="1:24" ht="15.75" x14ac:dyDescent="0.25">
      <c r="A91" s="295"/>
      <c r="B91" s="286" t="s">
        <v>210</v>
      </c>
      <c r="C91" s="314"/>
      <c r="D91" s="314"/>
      <c r="E91" s="314"/>
      <c r="F91" s="314"/>
      <c r="G91" s="314"/>
      <c r="H91" s="339"/>
      <c r="I91" s="339"/>
      <c r="J91" s="339"/>
      <c r="K91" s="340"/>
      <c r="L91" s="339"/>
      <c r="M91" s="314"/>
      <c r="N91" s="341"/>
      <c r="O91" s="314"/>
      <c r="P91" s="314"/>
      <c r="Q91" s="314"/>
      <c r="R91" s="314"/>
      <c r="S91" s="314"/>
      <c r="T91" s="337"/>
      <c r="U91" s="286"/>
      <c r="V91" s="338">
        <f>84+26</f>
        <v>110</v>
      </c>
      <c r="W91" s="318"/>
      <c r="X91" s="5"/>
    </row>
    <row r="92" spans="1:24" ht="15.75" x14ac:dyDescent="0.25">
      <c r="A92" s="295"/>
      <c r="B92" s="286" t="s">
        <v>211</v>
      </c>
      <c r="C92" s="314"/>
      <c r="D92" s="314"/>
      <c r="E92" s="314"/>
      <c r="F92" s="314"/>
      <c r="G92" s="314"/>
      <c r="H92" s="339"/>
      <c r="I92" s="339"/>
      <c r="J92" s="339"/>
      <c r="K92" s="340"/>
      <c r="L92" s="339"/>
      <c r="M92" s="314"/>
      <c r="N92" s="341"/>
      <c r="O92" s="314"/>
      <c r="P92" s="314"/>
      <c r="Q92" s="314"/>
      <c r="R92" s="314"/>
      <c r="S92" s="314"/>
      <c r="T92" s="337"/>
      <c r="U92" s="286"/>
      <c r="V92" s="338">
        <v>29</v>
      </c>
      <c r="W92" s="318"/>
      <c r="X92" s="5"/>
    </row>
    <row r="93" spans="1:24" ht="15.75" x14ac:dyDescent="0.25">
      <c r="A93" s="295"/>
      <c r="B93" s="286" t="s">
        <v>233</v>
      </c>
      <c r="C93" s="314"/>
      <c r="D93" s="314"/>
      <c r="E93" s="314"/>
      <c r="F93" s="314"/>
      <c r="G93" s="314"/>
      <c r="H93" s="339"/>
      <c r="I93" s="339"/>
      <c r="J93" s="339"/>
      <c r="K93" s="340"/>
      <c r="L93" s="339"/>
      <c r="M93" s="314"/>
      <c r="N93" s="341"/>
      <c r="O93" s="314"/>
      <c r="P93" s="314"/>
      <c r="Q93" s="314"/>
      <c r="R93" s="314"/>
      <c r="S93" s="314"/>
      <c r="T93" s="337"/>
      <c r="U93" s="286"/>
      <c r="V93" s="338">
        <v>0</v>
      </c>
      <c r="W93" s="318"/>
      <c r="X93" s="5"/>
    </row>
    <row r="94" spans="1:24" ht="15.75" x14ac:dyDescent="0.25">
      <c r="A94" s="295"/>
      <c r="B94" s="286" t="s">
        <v>235</v>
      </c>
      <c r="C94" s="314"/>
      <c r="D94" s="314"/>
      <c r="E94" s="314"/>
      <c r="F94" s="314"/>
      <c r="G94" s="314"/>
      <c r="H94" s="339"/>
      <c r="I94" s="339"/>
      <c r="J94" s="339"/>
      <c r="K94" s="340"/>
      <c r="L94" s="339"/>
      <c r="M94" s="314"/>
      <c r="N94" s="341"/>
      <c r="O94" s="314"/>
      <c r="P94" s="314"/>
      <c r="Q94" s="314"/>
      <c r="R94" s="314"/>
      <c r="S94" s="314"/>
      <c r="T94" s="337"/>
      <c r="U94" s="286"/>
      <c r="V94" s="338">
        <v>0</v>
      </c>
      <c r="W94" s="318"/>
      <c r="X94" s="5"/>
    </row>
    <row r="95" spans="1:24" ht="15.75" x14ac:dyDescent="0.25">
      <c r="A95" s="295"/>
      <c r="B95" s="286" t="s">
        <v>135</v>
      </c>
      <c r="C95" s="314"/>
      <c r="D95" s="314"/>
      <c r="E95" s="314"/>
      <c r="F95" s="314"/>
      <c r="G95" s="314"/>
      <c r="H95" s="314"/>
      <c r="I95" s="314"/>
      <c r="J95" s="314"/>
      <c r="K95" s="314"/>
      <c r="L95" s="314"/>
      <c r="M95" s="314"/>
      <c r="N95" s="314"/>
      <c r="O95" s="314"/>
      <c r="P95" s="314"/>
      <c r="Q95" s="314"/>
      <c r="R95" s="314"/>
      <c r="S95" s="314"/>
      <c r="T95" s="337"/>
      <c r="U95" s="286"/>
      <c r="V95" s="338">
        <v>0</v>
      </c>
      <c r="W95" s="318"/>
      <c r="X95" s="5"/>
    </row>
    <row r="96" spans="1:24" ht="15.75" x14ac:dyDescent="0.25">
      <c r="A96" s="295"/>
      <c r="B96" s="286" t="s">
        <v>272</v>
      </c>
      <c r="C96" s="314"/>
      <c r="D96" s="314"/>
      <c r="E96" s="314"/>
      <c r="F96" s="314"/>
      <c r="G96" s="314"/>
      <c r="H96" s="314"/>
      <c r="I96" s="314"/>
      <c r="J96" s="314"/>
      <c r="K96" s="314"/>
      <c r="L96" s="314"/>
      <c r="M96" s="314"/>
      <c r="N96" s="314"/>
      <c r="O96" s="314"/>
      <c r="P96" s="314"/>
      <c r="Q96" s="314"/>
      <c r="R96" s="314"/>
      <c r="S96" s="314"/>
      <c r="T96" s="337"/>
      <c r="U96" s="286"/>
      <c r="V96" s="338">
        <v>0</v>
      </c>
      <c r="W96" s="318"/>
      <c r="X96" s="5"/>
    </row>
    <row r="97" spans="1:25" ht="15.75" x14ac:dyDescent="0.25">
      <c r="A97" s="295"/>
      <c r="B97" s="286" t="s">
        <v>30</v>
      </c>
      <c r="C97" s="314"/>
      <c r="D97" s="314"/>
      <c r="E97" s="314"/>
      <c r="F97" s="314"/>
      <c r="G97" s="314"/>
      <c r="H97" s="314"/>
      <c r="I97" s="314"/>
      <c r="J97" s="314"/>
      <c r="K97" s="314"/>
      <c r="L97" s="314"/>
      <c r="M97" s="314"/>
      <c r="N97" s="314"/>
      <c r="O97" s="314"/>
      <c r="P97" s="314"/>
      <c r="Q97" s="314"/>
      <c r="R97" s="314"/>
      <c r="S97" s="314"/>
      <c r="T97" s="337">
        <f>SUM(T88:T96)</f>
        <v>5585</v>
      </c>
      <c r="U97" s="286"/>
      <c r="V97" s="337">
        <f>SUM(V88:V96)</f>
        <v>6039</v>
      </c>
      <c r="W97" s="318"/>
      <c r="X97" s="5"/>
    </row>
    <row r="98" spans="1:25" ht="15.75" x14ac:dyDescent="0.25">
      <c r="A98" s="295"/>
      <c r="B98" s="286" t="s">
        <v>161</v>
      </c>
      <c r="C98" s="314"/>
      <c r="D98" s="314"/>
      <c r="E98" s="314"/>
      <c r="F98" s="314"/>
      <c r="G98" s="314"/>
      <c r="H98" s="314"/>
      <c r="I98" s="314"/>
      <c r="J98" s="314"/>
      <c r="K98" s="314"/>
      <c r="L98" s="314"/>
      <c r="M98" s="314"/>
      <c r="N98" s="314"/>
      <c r="O98" s="314"/>
      <c r="P98" s="314"/>
      <c r="Q98" s="314"/>
      <c r="R98" s="314"/>
      <c r="S98" s="314"/>
      <c r="T98" s="337">
        <f>-V98</f>
        <v>0</v>
      </c>
      <c r="U98" s="286"/>
      <c r="V98" s="337">
        <v>0</v>
      </c>
      <c r="W98" s="318"/>
      <c r="X98" s="5"/>
    </row>
    <row r="99" spans="1:25" ht="15.75" x14ac:dyDescent="0.25">
      <c r="A99" s="295"/>
      <c r="B99" s="286" t="s">
        <v>31</v>
      </c>
      <c r="C99" s="314"/>
      <c r="D99" s="314"/>
      <c r="E99" s="314"/>
      <c r="F99" s="314"/>
      <c r="G99" s="314"/>
      <c r="H99" s="314"/>
      <c r="I99" s="314"/>
      <c r="J99" s="314"/>
      <c r="K99" s="314"/>
      <c r="L99" s="314"/>
      <c r="M99" s="314"/>
      <c r="N99" s="314"/>
      <c r="O99" s="314"/>
      <c r="P99" s="314"/>
      <c r="Q99" s="314"/>
      <c r="R99" s="314"/>
      <c r="S99" s="314"/>
      <c r="T99" s="337">
        <f>-V99</f>
        <v>0</v>
      </c>
      <c r="U99" s="286"/>
      <c r="V99" s="338">
        <v>0</v>
      </c>
      <c r="W99" s="318"/>
      <c r="X99" s="5"/>
    </row>
    <row r="100" spans="1:25" ht="15.75" x14ac:dyDescent="0.25">
      <c r="A100" s="295"/>
      <c r="B100" s="286" t="s">
        <v>274</v>
      </c>
      <c r="C100" s="314"/>
      <c r="D100" s="314"/>
      <c r="E100" s="314"/>
      <c r="F100" s="314"/>
      <c r="G100" s="314"/>
      <c r="H100" s="314"/>
      <c r="I100" s="314"/>
      <c r="J100" s="314"/>
      <c r="K100" s="314"/>
      <c r="L100" s="314"/>
      <c r="M100" s="314"/>
      <c r="N100" s="314"/>
      <c r="O100" s="314"/>
      <c r="P100" s="314"/>
      <c r="Q100" s="314"/>
      <c r="R100" s="314"/>
      <c r="S100" s="314"/>
      <c r="T100" s="337"/>
      <c r="U100" s="286"/>
      <c r="V100" s="338">
        <v>194</v>
      </c>
      <c r="W100" s="318"/>
      <c r="X100" s="5"/>
    </row>
    <row r="101" spans="1:25" ht="15.75" x14ac:dyDescent="0.25">
      <c r="A101" s="295"/>
      <c r="B101" s="286" t="s">
        <v>32</v>
      </c>
      <c r="C101" s="314"/>
      <c r="D101" s="314"/>
      <c r="E101" s="314"/>
      <c r="F101" s="314"/>
      <c r="G101" s="314"/>
      <c r="H101" s="314"/>
      <c r="I101" s="314"/>
      <c r="J101" s="314"/>
      <c r="K101" s="314"/>
      <c r="L101" s="314"/>
      <c r="M101" s="314"/>
      <c r="N101" s="314"/>
      <c r="O101" s="314"/>
      <c r="P101" s="314"/>
      <c r="Q101" s="314"/>
      <c r="R101" s="314"/>
      <c r="S101" s="314"/>
      <c r="T101" s="337">
        <f>T97+T99+T98</f>
        <v>5585</v>
      </c>
      <c r="U101" s="286"/>
      <c r="V101" s="337">
        <f>V97+V99+V98+V100</f>
        <v>6233</v>
      </c>
      <c r="W101" s="318"/>
      <c r="X101" s="5"/>
    </row>
    <row r="102" spans="1:25" ht="15.75" x14ac:dyDescent="0.25">
      <c r="A102" s="285"/>
      <c r="B102" s="342" t="s">
        <v>33</v>
      </c>
      <c r="C102" s="314"/>
      <c r="D102" s="314"/>
      <c r="E102" s="314"/>
      <c r="F102" s="314"/>
      <c r="G102" s="314"/>
      <c r="H102" s="314"/>
      <c r="I102" s="314"/>
      <c r="J102" s="314"/>
      <c r="K102" s="314"/>
      <c r="L102" s="314"/>
      <c r="M102" s="314"/>
      <c r="N102" s="314"/>
      <c r="O102" s="314"/>
      <c r="P102" s="314"/>
      <c r="Q102" s="314"/>
      <c r="R102" s="314"/>
      <c r="S102" s="314"/>
      <c r="T102" s="337"/>
      <c r="U102" s="286"/>
      <c r="V102" s="338"/>
      <c r="W102" s="318"/>
      <c r="X102" s="5"/>
    </row>
    <row r="103" spans="1:25" ht="15.75" x14ac:dyDescent="0.25">
      <c r="A103" s="295">
        <v>1</v>
      </c>
      <c r="B103" s="286" t="s">
        <v>34</v>
      </c>
      <c r="C103" s="286"/>
      <c r="D103" s="286"/>
      <c r="E103" s="314"/>
      <c r="F103" s="314"/>
      <c r="G103" s="314"/>
      <c r="H103" s="314"/>
      <c r="I103" s="314"/>
      <c r="J103" s="314"/>
      <c r="K103" s="314"/>
      <c r="L103" s="314"/>
      <c r="M103" s="314"/>
      <c r="N103" s="314"/>
      <c r="O103" s="314"/>
      <c r="P103" s="314"/>
      <c r="Q103" s="314"/>
      <c r="R103" s="314"/>
      <c r="S103" s="314"/>
      <c r="T103" s="286"/>
      <c r="U103" s="286"/>
      <c r="V103" s="338">
        <v>0</v>
      </c>
      <c r="W103" s="318"/>
      <c r="X103" s="5"/>
    </row>
    <row r="104" spans="1:25" ht="15.75" x14ac:dyDescent="0.25">
      <c r="A104" s="295">
        <f>+A103+1</f>
        <v>2</v>
      </c>
      <c r="B104" s="286" t="s">
        <v>221</v>
      </c>
      <c r="C104" s="286"/>
      <c r="D104" s="286"/>
      <c r="E104" s="314"/>
      <c r="F104" s="314"/>
      <c r="G104" s="314"/>
      <c r="H104" s="314"/>
      <c r="I104" s="314"/>
      <c r="J104" s="314"/>
      <c r="K104" s="314"/>
      <c r="L104" s="314"/>
      <c r="M104" s="314"/>
      <c r="N104" s="314"/>
      <c r="O104" s="314"/>
      <c r="P104" s="314"/>
      <c r="Q104" s="314"/>
      <c r="R104" s="314"/>
      <c r="S104" s="314"/>
      <c r="T104" s="286"/>
      <c r="U104" s="286"/>
      <c r="V104" s="338">
        <v>-2</v>
      </c>
      <c r="W104" s="318"/>
      <c r="X104" s="5"/>
    </row>
    <row r="105" spans="1:25" ht="15.75" x14ac:dyDescent="0.25">
      <c r="A105" s="295">
        <f>+A104+1</f>
        <v>3</v>
      </c>
      <c r="B105" s="286" t="s">
        <v>204</v>
      </c>
      <c r="C105" s="286"/>
      <c r="D105" s="286"/>
      <c r="E105" s="314"/>
      <c r="F105" s="314"/>
      <c r="G105" s="314"/>
      <c r="H105" s="314"/>
      <c r="I105" s="314"/>
      <c r="J105" s="314"/>
      <c r="K105" s="314"/>
      <c r="L105" s="314"/>
      <c r="M105" s="314"/>
      <c r="N105" s="314"/>
      <c r="O105" s="314"/>
      <c r="P105" s="314"/>
      <c r="Q105" s="314"/>
      <c r="R105" s="314"/>
      <c r="S105" s="314"/>
      <c r="T105" s="286"/>
      <c r="U105" s="286"/>
      <c r="V105" s="338">
        <f>-316-146-10</f>
        <v>-472</v>
      </c>
      <c r="W105" s="318"/>
      <c r="X105" s="5"/>
    </row>
    <row r="106" spans="1:25" ht="15.75" x14ac:dyDescent="0.25">
      <c r="A106" s="295" t="s">
        <v>127</v>
      </c>
      <c r="B106" s="286" t="s">
        <v>116</v>
      </c>
      <c r="C106" s="286"/>
      <c r="D106" s="286"/>
      <c r="E106" s="314"/>
      <c r="F106" s="314"/>
      <c r="G106" s="314"/>
      <c r="H106" s="314"/>
      <c r="I106" s="314"/>
      <c r="J106" s="314"/>
      <c r="K106" s="314"/>
      <c r="L106" s="314"/>
      <c r="M106" s="314"/>
      <c r="N106" s="314"/>
      <c r="O106" s="314"/>
      <c r="P106" s="314"/>
      <c r="Q106" s="314"/>
      <c r="R106" s="314"/>
      <c r="S106" s="314"/>
      <c r="T106" s="286"/>
      <c r="U106" s="286"/>
      <c r="V106" s="338">
        <v>-71</v>
      </c>
      <c r="W106" s="318"/>
      <c r="X106" s="5"/>
    </row>
    <row r="107" spans="1:25" ht="15.75" x14ac:dyDescent="0.25">
      <c r="A107" s="295" t="s">
        <v>128</v>
      </c>
      <c r="B107" s="286" t="s">
        <v>220</v>
      </c>
      <c r="C107" s="286"/>
      <c r="D107" s="286"/>
      <c r="E107" s="314"/>
      <c r="F107" s="314"/>
      <c r="G107" s="314"/>
      <c r="H107" s="314"/>
      <c r="I107" s="314"/>
      <c r="J107" s="314"/>
      <c r="K107" s="314"/>
      <c r="L107" s="314"/>
      <c r="M107" s="314"/>
      <c r="N107" s="314"/>
      <c r="O107" s="314"/>
      <c r="P107" s="314"/>
      <c r="Q107" s="314"/>
      <c r="R107" s="314"/>
      <c r="S107" s="314"/>
      <c r="T107" s="286"/>
      <c r="U107" s="286"/>
      <c r="V107" s="338">
        <f>-1780+443</f>
        <v>-1337</v>
      </c>
      <c r="W107" s="318"/>
      <c r="X107" s="5"/>
      <c r="Y107" s="109"/>
    </row>
    <row r="108" spans="1:25" ht="15.75" x14ac:dyDescent="0.25">
      <c r="A108" s="295" t="s">
        <v>150</v>
      </c>
      <c r="B108" s="286" t="s">
        <v>184</v>
      </c>
      <c r="C108" s="286"/>
      <c r="D108" s="286"/>
      <c r="E108" s="314"/>
      <c r="F108" s="314"/>
      <c r="G108" s="314"/>
      <c r="H108" s="314"/>
      <c r="I108" s="314"/>
      <c r="J108" s="314"/>
      <c r="K108" s="314"/>
      <c r="L108" s="314"/>
      <c r="M108" s="314"/>
      <c r="N108" s="314"/>
      <c r="O108" s="314"/>
      <c r="P108" s="314"/>
      <c r="Q108" s="314"/>
      <c r="R108" s="314"/>
      <c r="S108" s="314"/>
      <c r="T108" s="286"/>
      <c r="U108" s="286"/>
      <c r="V108" s="338">
        <v>-443</v>
      </c>
      <c r="W108" s="318"/>
      <c r="X108" s="5"/>
      <c r="Y108" s="109"/>
    </row>
    <row r="109" spans="1:25" ht="15.75" x14ac:dyDescent="0.25">
      <c r="A109" s="295" t="s">
        <v>205</v>
      </c>
      <c r="B109" s="286" t="s">
        <v>185</v>
      </c>
      <c r="C109" s="286"/>
      <c r="D109" s="286"/>
      <c r="E109" s="314"/>
      <c r="F109" s="314"/>
      <c r="G109" s="314"/>
      <c r="H109" s="314"/>
      <c r="I109" s="314"/>
      <c r="J109" s="314"/>
      <c r="K109" s="314"/>
      <c r="L109" s="314"/>
      <c r="M109" s="314"/>
      <c r="N109" s="314"/>
      <c r="O109" s="314"/>
      <c r="P109" s="314"/>
      <c r="Q109" s="314"/>
      <c r="R109" s="314"/>
      <c r="S109" s="314"/>
      <c r="T109" s="286"/>
      <c r="U109" s="286"/>
      <c r="V109" s="338">
        <v>-177</v>
      </c>
      <c r="W109" s="318"/>
      <c r="X109" s="5"/>
      <c r="Y109" s="109"/>
    </row>
    <row r="110" spans="1:25" ht="15.75" x14ac:dyDescent="0.25">
      <c r="A110" s="295" t="s">
        <v>206</v>
      </c>
      <c r="B110" s="286" t="s">
        <v>186</v>
      </c>
      <c r="C110" s="286"/>
      <c r="D110" s="286"/>
      <c r="E110" s="314"/>
      <c r="F110" s="314"/>
      <c r="G110" s="314"/>
      <c r="H110" s="314"/>
      <c r="I110" s="314"/>
      <c r="J110" s="314"/>
      <c r="K110" s="314"/>
      <c r="L110" s="314"/>
      <c r="M110" s="314"/>
      <c r="N110" s="314"/>
      <c r="O110" s="314"/>
      <c r="P110" s="314"/>
      <c r="Q110" s="314"/>
      <c r="R110" s="314"/>
      <c r="S110" s="314"/>
      <c r="T110" s="286"/>
      <c r="U110" s="286"/>
      <c r="V110" s="338">
        <v>-51</v>
      </c>
      <c r="W110" s="318"/>
      <c r="X110" s="5"/>
      <c r="Y110" s="109"/>
    </row>
    <row r="111" spans="1:25" ht="15.75" x14ac:dyDescent="0.25">
      <c r="A111" s="295">
        <v>6</v>
      </c>
      <c r="B111" s="286" t="s">
        <v>196</v>
      </c>
      <c r="C111" s="286"/>
      <c r="D111" s="286"/>
      <c r="E111" s="314"/>
      <c r="F111" s="314"/>
      <c r="G111" s="314"/>
      <c r="H111" s="314"/>
      <c r="I111" s="314"/>
      <c r="J111" s="314"/>
      <c r="K111" s="314"/>
      <c r="L111" s="314"/>
      <c r="M111" s="314"/>
      <c r="N111" s="314"/>
      <c r="O111" s="314"/>
      <c r="P111" s="314"/>
      <c r="Q111" s="314"/>
      <c r="R111" s="314"/>
      <c r="S111" s="314"/>
      <c r="T111" s="286"/>
      <c r="U111" s="286"/>
      <c r="V111" s="338">
        <v>-287</v>
      </c>
      <c r="W111" s="318"/>
      <c r="X111" s="5"/>
      <c r="Y111" s="109"/>
    </row>
    <row r="112" spans="1:25" ht="15.75" x14ac:dyDescent="0.25">
      <c r="A112" s="295">
        <v>7</v>
      </c>
      <c r="B112" s="286" t="s">
        <v>35</v>
      </c>
      <c r="C112" s="286"/>
      <c r="D112" s="286"/>
      <c r="E112" s="314"/>
      <c r="F112" s="314"/>
      <c r="G112" s="314"/>
      <c r="H112" s="314"/>
      <c r="I112" s="314"/>
      <c r="J112" s="314"/>
      <c r="K112" s="314"/>
      <c r="L112" s="314"/>
      <c r="M112" s="314"/>
      <c r="N112" s="314"/>
      <c r="O112" s="314"/>
      <c r="P112" s="314"/>
      <c r="Q112" s="314"/>
      <c r="R112" s="314"/>
      <c r="S112" s="314"/>
      <c r="T112" s="286"/>
      <c r="U112" s="286"/>
      <c r="V112" s="338">
        <v>-9</v>
      </c>
      <c r="W112" s="318"/>
      <c r="X112" s="5"/>
    </row>
    <row r="113" spans="1:24" ht="15.75" x14ac:dyDescent="0.25">
      <c r="A113" s="295">
        <f t="shared" ref="A113:A118" si="0">+A112+1</f>
        <v>8</v>
      </c>
      <c r="B113" s="286" t="s">
        <v>45</v>
      </c>
      <c r="C113" s="286"/>
      <c r="D113" s="286"/>
      <c r="E113" s="314"/>
      <c r="F113" s="314"/>
      <c r="G113" s="314"/>
      <c r="H113" s="314"/>
      <c r="I113" s="314"/>
      <c r="J113" s="314"/>
      <c r="K113" s="314"/>
      <c r="L113" s="314"/>
      <c r="M113" s="314"/>
      <c r="N113" s="314"/>
      <c r="O113" s="314"/>
      <c r="P113" s="314"/>
      <c r="Q113" s="314"/>
      <c r="R113" s="314"/>
      <c r="S113" s="314"/>
      <c r="T113" s="337">
        <f>-V113</f>
        <v>459</v>
      </c>
      <c r="U113" s="286"/>
      <c r="V113" s="338">
        <v>-459</v>
      </c>
      <c r="W113" s="318"/>
      <c r="X113" s="5"/>
    </row>
    <row r="114" spans="1:24" ht="15.75" x14ac:dyDescent="0.25">
      <c r="A114" s="295">
        <f t="shared" si="0"/>
        <v>9</v>
      </c>
      <c r="B114" s="286" t="s">
        <v>125</v>
      </c>
      <c r="C114" s="286"/>
      <c r="D114" s="286"/>
      <c r="E114" s="314"/>
      <c r="F114" s="314"/>
      <c r="G114" s="314"/>
      <c r="H114" s="314"/>
      <c r="I114" s="314"/>
      <c r="J114" s="314"/>
      <c r="K114" s="314"/>
      <c r="L114" s="314"/>
      <c r="M114" s="314"/>
      <c r="N114" s="314"/>
      <c r="O114" s="314"/>
      <c r="P114" s="314"/>
      <c r="Q114" s="314"/>
      <c r="R114" s="314"/>
      <c r="S114" s="314"/>
      <c r="T114" s="286"/>
      <c r="U114" s="286"/>
      <c r="V114" s="338">
        <v>0</v>
      </c>
      <c r="W114" s="318"/>
      <c r="X114" s="5"/>
    </row>
    <row r="115" spans="1:24" ht="15.75" x14ac:dyDescent="0.25">
      <c r="A115" s="295">
        <f t="shared" si="0"/>
        <v>10</v>
      </c>
      <c r="B115" s="286" t="s">
        <v>225</v>
      </c>
      <c r="C115" s="286"/>
      <c r="D115" s="286"/>
      <c r="E115" s="314"/>
      <c r="F115" s="314"/>
      <c r="G115" s="314"/>
      <c r="H115" s="314"/>
      <c r="I115" s="314"/>
      <c r="J115" s="314"/>
      <c r="K115" s="314"/>
      <c r="L115" s="314"/>
      <c r="M115" s="314"/>
      <c r="N115" s="314"/>
      <c r="O115" s="314"/>
      <c r="P115" s="314"/>
      <c r="Q115" s="314"/>
      <c r="R115" s="314"/>
      <c r="S115" s="314"/>
      <c r="T115" s="286"/>
      <c r="U115" s="286"/>
      <c r="V115" s="338">
        <v>0</v>
      </c>
      <c r="W115" s="318"/>
      <c r="X115" s="5"/>
    </row>
    <row r="116" spans="1:24" ht="15.75" x14ac:dyDescent="0.25">
      <c r="A116" s="295">
        <f t="shared" si="0"/>
        <v>11</v>
      </c>
      <c r="B116" s="286" t="s">
        <v>36</v>
      </c>
      <c r="C116" s="286"/>
      <c r="D116" s="286"/>
      <c r="E116" s="314"/>
      <c r="F116" s="314"/>
      <c r="G116" s="314"/>
      <c r="H116" s="314"/>
      <c r="I116" s="314"/>
      <c r="J116" s="314"/>
      <c r="K116" s="314"/>
      <c r="L116" s="314"/>
      <c r="M116" s="314"/>
      <c r="N116" s="314"/>
      <c r="O116" s="314"/>
      <c r="P116" s="314"/>
      <c r="Q116" s="314"/>
      <c r="R116" s="314"/>
      <c r="S116" s="314"/>
      <c r="T116" s="286"/>
      <c r="U116" s="286"/>
      <c r="V116" s="338">
        <v>0</v>
      </c>
      <c r="W116" s="318"/>
      <c r="X116" s="5"/>
    </row>
    <row r="117" spans="1:24" ht="15.75" x14ac:dyDescent="0.25">
      <c r="A117" s="295">
        <f t="shared" si="0"/>
        <v>12</v>
      </c>
      <c r="B117" s="286" t="s">
        <v>149</v>
      </c>
      <c r="C117" s="286"/>
      <c r="D117" s="286"/>
      <c r="E117" s="314"/>
      <c r="F117" s="314"/>
      <c r="G117" s="314"/>
      <c r="H117" s="314"/>
      <c r="I117" s="314"/>
      <c r="J117" s="314"/>
      <c r="K117" s="314"/>
      <c r="L117" s="314"/>
      <c r="M117" s="314"/>
      <c r="N117" s="314"/>
      <c r="O117" s="314"/>
      <c r="P117" s="314"/>
      <c r="Q117" s="314"/>
      <c r="R117" s="314"/>
      <c r="S117" s="314"/>
      <c r="T117" s="286"/>
      <c r="U117" s="286"/>
      <c r="V117" s="338">
        <v>-315</v>
      </c>
      <c r="W117" s="318"/>
      <c r="X117" s="5"/>
    </row>
    <row r="118" spans="1:24" ht="15.75" x14ac:dyDescent="0.25">
      <c r="A118" s="295">
        <f t="shared" si="0"/>
        <v>13</v>
      </c>
      <c r="B118" s="286" t="s">
        <v>126</v>
      </c>
      <c r="C118" s="286"/>
      <c r="D118" s="286"/>
      <c r="E118" s="314"/>
      <c r="F118" s="314"/>
      <c r="G118" s="314"/>
      <c r="H118" s="314"/>
      <c r="I118" s="314"/>
      <c r="J118" s="314"/>
      <c r="K118" s="314"/>
      <c r="L118" s="314"/>
      <c r="M118" s="314"/>
      <c r="N118" s="314"/>
      <c r="O118" s="314"/>
      <c r="P118" s="314"/>
      <c r="Q118" s="314"/>
      <c r="R118" s="314"/>
      <c r="S118" s="314"/>
      <c r="T118" s="286"/>
      <c r="U118" s="286"/>
      <c r="V118" s="338">
        <f>-V101-SUM(V103:V117)</f>
        <v>-2610</v>
      </c>
      <c r="W118" s="318"/>
      <c r="X118" s="5"/>
    </row>
    <row r="119" spans="1:24" ht="15.75" x14ac:dyDescent="0.25">
      <c r="A119" s="285"/>
      <c r="B119" s="342" t="s">
        <v>37</v>
      </c>
      <c r="C119" s="314"/>
      <c r="D119" s="314"/>
      <c r="E119" s="314"/>
      <c r="F119" s="314"/>
      <c r="G119" s="314"/>
      <c r="H119" s="314"/>
      <c r="I119" s="314"/>
      <c r="J119" s="314"/>
      <c r="K119" s="314"/>
      <c r="L119" s="314"/>
      <c r="M119" s="314"/>
      <c r="N119" s="314"/>
      <c r="O119" s="314"/>
      <c r="P119" s="314"/>
      <c r="Q119" s="314"/>
      <c r="R119" s="314"/>
      <c r="S119" s="314"/>
      <c r="T119" s="286"/>
      <c r="U119" s="286"/>
      <c r="V119" s="343"/>
      <c r="W119" s="318"/>
      <c r="X119" s="5"/>
    </row>
    <row r="120" spans="1:24" ht="15.75" x14ac:dyDescent="0.25">
      <c r="A120" s="285"/>
      <c r="B120" s="286" t="s">
        <v>173</v>
      </c>
      <c r="C120" s="314"/>
      <c r="D120" s="314"/>
      <c r="E120" s="314"/>
      <c r="F120" s="314"/>
      <c r="G120" s="314"/>
      <c r="H120" s="314"/>
      <c r="I120" s="314"/>
      <c r="J120" s="314"/>
      <c r="K120" s="314"/>
      <c r="L120" s="314"/>
      <c r="M120" s="314"/>
      <c r="N120" s="314"/>
      <c r="O120" s="314"/>
      <c r="P120" s="314"/>
      <c r="Q120" s="314"/>
      <c r="R120" s="314"/>
      <c r="S120" s="314"/>
      <c r="T120" s="337">
        <f>-T185</f>
        <v>0</v>
      </c>
      <c r="U120" s="337"/>
      <c r="V120" s="338"/>
      <c r="W120" s="318"/>
      <c r="X120" s="5"/>
    </row>
    <row r="121" spans="1:24" ht="15.75" x14ac:dyDescent="0.25">
      <c r="A121" s="285"/>
      <c r="B121" s="286" t="s">
        <v>174</v>
      </c>
      <c r="C121" s="314"/>
      <c r="D121" s="314"/>
      <c r="E121" s="314"/>
      <c r="F121" s="314"/>
      <c r="G121" s="314"/>
      <c r="H121" s="314"/>
      <c r="I121" s="314"/>
      <c r="J121" s="314"/>
      <c r="K121" s="314"/>
      <c r="L121" s="314"/>
      <c r="M121" s="314"/>
      <c r="N121" s="314"/>
      <c r="O121" s="314"/>
      <c r="P121" s="314"/>
      <c r="Q121" s="314"/>
      <c r="R121" s="314"/>
      <c r="S121" s="314"/>
      <c r="T121" s="337">
        <v>0</v>
      </c>
      <c r="U121" s="337"/>
      <c r="V121" s="338"/>
      <c r="W121" s="318"/>
      <c r="X121" s="5"/>
    </row>
    <row r="122" spans="1:24" ht="15.75" x14ac:dyDescent="0.25">
      <c r="A122" s="285"/>
      <c r="B122" s="286" t="s">
        <v>38</v>
      </c>
      <c r="C122" s="314"/>
      <c r="D122" s="314"/>
      <c r="E122" s="314"/>
      <c r="F122" s="314"/>
      <c r="G122" s="314"/>
      <c r="H122" s="314"/>
      <c r="I122" s="314"/>
      <c r="J122" s="314"/>
      <c r="K122" s="314"/>
      <c r="L122" s="314"/>
      <c r="M122" s="314"/>
      <c r="N122" s="314"/>
      <c r="O122" s="314"/>
      <c r="P122" s="314"/>
      <c r="Q122" s="314"/>
      <c r="R122" s="314"/>
      <c r="S122" s="314"/>
      <c r="T122" s="337">
        <f>-S185</f>
        <v>0</v>
      </c>
      <c r="U122" s="337"/>
      <c r="V122" s="338"/>
      <c r="W122" s="318"/>
      <c r="X122" s="5"/>
    </row>
    <row r="123" spans="1:24" ht="15.75" x14ac:dyDescent="0.25">
      <c r="A123" s="285"/>
      <c r="B123" s="286" t="s">
        <v>197</v>
      </c>
      <c r="C123" s="314"/>
      <c r="D123" s="314"/>
      <c r="E123" s="314"/>
      <c r="F123" s="314"/>
      <c r="G123" s="314"/>
      <c r="H123" s="314"/>
      <c r="I123" s="314"/>
      <c r="J123" s="314"/>
      <c r="K123" s="314"/>
      <c r="L123" s="314"/>
      <c r="M123" s="314"/>
      <c r="N123" s="314"/>
      <c r="O123" s="314"/>
      <c r="P123" s="314"/>
      <c r="Q123" s="314"/>
      <c r="R123" s="314"/>
      <c r="S123" s="314"/>
      <c r="T123" s="337">
        <v>-3501</v>
      </c>
      <c r="U123" s="337"/>
      <c r="V123" s="338"/>
      <c r="W123" s="318"/>
      <c r="X123" s="5"/>
    </row>
    <row r="124" spans="1:24" ht="15.75" x14ac:dyDescent="0.25">
      <c r="A124" s="285"/>
      <c r="B124" s="286" t="s">
        <v>195</v>
      </c>
      <c r="C124" s="314"/>
      <c r="D124" s="314"/>
      <c r="E124" s="314"/>
      <c r="F124" s="314"/>
      <c r="G124" s="314"/>
      <c r="H124" s="314"/>
      <c r="I124" s="314"/>
      <c r="J124" s="314"/>
      <c r="K124" s="314"/>
      <c r="L124" s="314"/>
      <c r="M124" s="314"/>
      <c r="N124" s="314"/>
      <c r="O124" s="314"/>
      <c r="P124" s="314"/>
      <c r="Q124" s="314"/>
      <c r="R124" s="314"/>
      <c r="S124" s="314"/>
      <c r="T124" s="337">
        <v>-1488</v>
      </c>
      <c r="U124" s="337"/>
      <c r="V124" s="338"/>
      <c r="W124" s="318"/>
      <c r="X124" s="5"/>
    </row>
    <row r="125" spans="1:24" ht="15.75" x14ac:dyDescent="0.25">
      <c r="A125" s="285"/>
      <c r="B125" s="286" t="s">
        <v>194</v>
      </c>
      <c r="C125" s="314"/>
      <c r="D125" s="314"/>
      <c r="E125" s="314"/>
      <c r="F125" s="314"/>
      <c r="G125" s="314"/>
      <c r="H125" s="314"/>
      <c r="I125" s="314"/>
      <c r="J125" s="314"/>
      <c r="K125" s="314"/>
      <c r="L125" s="314"/>
      <c r="M125" s="314"/>
      <c r="N125" s="314"/>
      <c r="O125" s="314"/>
      <c r="P125" s="314"/>
      <c r="Q125" s="314"/>
      <c r="R125" s="314"/>
      <c r="S125" s="314"/>
      <c r="T125" s="337">
        <v>-530</v>
      </c>
      <c r="U125" s="337"/>
      <c r="V125" s="338"/>
      <c r="W125" s="318"/>
      <c r="X125" s="5"/>
    </row>
    <row r="126" spans="1:24" ht="15.75" x14ac:dyDescent="0.25">
      <c r="A126" s="285"/>
      <c r="B126" s="286" t="s">
        <v>222</v>
      </c>
      <c r="C126" s="314"/>
      <c r="D126" s="314"/>
      <c r="E126" s="314"/>
      <c r="F126" s="314"/>
      <c r="G126" s="314"/>
      <c r="H126" s="314"/>
      <c r="I126" s="314"/>
      <c r="J126" s="314"/>
      <c r="K126" s="314"/>
      <c r="L126" s="314"/>
      <c r="M126" s="314"/>
      <c r="N126" s="314"/>
      <c r="O126" s="314"/>
      <c r="P126" s="314"/>
      <c r="Q126" s="314"/>
      <c r="R126" s="314"/>
      <c r="S126" s="314"/>
      <c r="T126" s="337">
        <v>-525</v>
      </c>
      <c r="U126" s="337"/>
      <c r="V126" s="338"/>
      <c r="W126" s="318"/>
      <c r="X126" s="5"/>
    </row>
    <row r="127" spans="1:24" ht="15.75" x14ac:dyDescent="0.25">
      <c r="A127" s="285"/>
      <c r="B127" s="286" t="s">
        <v>189</v>
      </c>
      <c r="C127" s="314"/>
      <c r="D127" s="314"/>
      <c r="E127" s="314"/>
      <c r="F127" s="314"/>
      <c r="G127" s="314"/>
      <c r="H127" s="314"/>
      <c r="I127" s="314"/>
      <c r="J127" s="314"/>
      <c r="K127" s="314"/>
      <c r="L127" s="314"/>
      <c r="M127" s="314"/>
      <c r="N127" s="314"/>
      <c r="O127" s="314"/>
      <c r="P127" s="314"/>
      <c r="Q127" s="314"/>
      <c r="R127" s="314"/>
      <c r="S127" s="314"/>
      <c r="T127" s="337">
        <v>0</v>
      </c>
      <c r="U127" s="337"/>
      <c r="V127" s="338"/>
      <c r="W127" s="318"/>
      <c r="X127" s="5"/>
    </row>
    <row r="128" spans="1:24" ht="15.75" x14ac:dyDescent="0.25">
      <c r="A128" s="285"/>
      <c r="B128" s="286" t="s">
        <v>188</v>
      </c>
      <c r="C128" s="314"/>
      <c r="D128" s="314"/>
      <c r="E128" s="314"/>
      <c r="F128" s="314"/>
      <c r="G128" s="314"/>
      <c r="H128" s="314"/>
      <c r="I128" s="314"/>
      <c r="J128" s="314"/>
      <c r="K128" s="314"/>
      <c r="L128" s="314"/>
      <c r="M128" s="314"/>
      <c r="N128" s="314"/>
      <c r="O128" s="314"/>
      <c r="P128" s="314"/>
      <c r="Q128" s="314"/>
      <c r="R128" s="314"/>
      <c r="S128" s="314"/>
      <c r="T128" s="337">
        <v>0</v>
      </c>
      <c r="U128" s="337"/>
      <c r="V128" s="338"/>
      <c r="W128" s="318"/>
      <c r="X128" s="5"/>
    </row>
    <row r="129" spans="1:24" ht="15.75" x14ac:dyDescent="0.25">
      <c r="A129" s="285"/>
      <c r="B129" s="286" t="s">
        <v>187</v>
      </c>
      <c r="C129" s="314"/>
      <c r="D129" s="314"/>
      <c r="E129" s="314"/>
      <c r="F129" s="314"/>
      <c r="G129" s="314"/>
      <c r="H129" s="314"/>
      <c r="I129" s="314"/>
      <c r="J129" s="314"/>
      <c r="K129" s="314"/>
      <c r="L129" s="314"/>
      <c r="M129" s="314"/>
      <c r="N129" s="314"/>
      <c r="O129" s="314"/>
      <c r="P129" s="314"/>
      <c r="Q129" s="314"/>
      <c r="R129" s="314"/>
      <c r="S129" s="314"/>
      <c r="T129" s="337">
        <v>0</v>
      </c>
      <c r="U129" s="337"/>
      <c r="V129" s="338"/>
      <c r="W129" s="318"/>
      <c r="X129" s="5"/>
    </row>
    <row r="130" spans="1:24" ht="15.75" x14ac:dyDescent="0.25">
      <c r="A130" s="285"/>
      <c r="B130" s="286" t="s">
        <v>39</v>
      </c>
      <c r="C130" s="314"/>
      <c r="D130" s="314"/>
      <c r="E130" s="314"/>
      <c r="F130" s="314"/>
      <c r="G130" s="314"/>
      <c r="H130" s="314"/>
      <c r="I130" s="314"/>
      <c r="J130" s="314"/>
      <c r="K130" s="314"/>
      <c r="L130" s="314"/>
      <c r="M130" s="314"/>
      <c r="N130" s="314"/>
      <c r="O130" s="314"/>
      <c r="P130" s="314"/>
      <c r="Q130" s="314"/>
      <c r="R130" s="314"/>
      <c r="S130" s="314"/>
      <c r="T130" s="337">
        <f>SUM(T120:T129)</f>
        <v>-6044</v>
      </c>
      <c r="U130" s="337"/>
      <c r="V130" s="337">
        <f>SUM(V102:V128)</f>
        <v>-6233</v>
      </c>
      <c r="W130" s="318"/>
      <c r="X130" s="5"/>
    </row>
    <row r="131" spans="1:24" ht="15.75" x14ac:dyDescent="0.25">
      <c r="A131" s="285"/>
      <c r="B131" s="286" t="s">
        <v>40</v>
      </c>
      <c r="C131" s="314"/>
      <c r="D131" s="314"/>
      <c r="E131" s="314"/>
      <c r="F131" s="314"/>
      <c r="G131" s="314"/>
      <c r="H131" s="314"/>
      <c r="I131" s="314"/>
      <c r="J131" s="314"/>
      <c r="K131" s="314"/>
      <c r="L131" s="314"/>
      <c r="M131" s="314"/>
      <c r="N131" s="314"/>
      <c r="O131" s="314"/>
      <c r="P131" s="314"/>
      <c r="Q131" s="314"/>
      <c r="R131" s="314"/>
      <c r="S131" s="314"/>
      <c r="T131" s="337">
        <f>T101+T130+T113</f>
        <v>0</v>
      </c>
      <c r="U131" s="337"/>
      <c r="V131" s="337">
        <f>V101+V130</f>
        <v>0</v>
      </c>
      <c r="W131" s="318"/>
      <c r="X131" s="5"/>
    </row>
    <row r="132" spans="1:24" ht="15.75" x14ac:dyDescent="0.25">
      <c r="A132" s="181"/>
      <c r="B132" s="212"/>
      <c r="C132" s="212"/>
      <c r="D132" s="212"/>
      <c r="E132" s="212"/>
      <c r="F132" s="212"/>
      <c r="G132" s="212"/>
      <c r="H132" s="212"/>
      <c r="I132" s="212"/>
      <c r="J132" s="212"/>
      <c r="K132" s="212"/>
      <c r="L132" s="212"/>
      <c r="M132" s="212"/>
      <c r="N132" s="212"/>
      <c r="O132" s="212"/>
      <c r="P132" s="212"/>
      <c r="Q132" s="212"/>
      <c r="R132" s="212"/>
      <c r="S132" s="212"/>
      <c r="T132" s="335"/>
      <c r="U132" s="335"/>
      <c r="V132" s="335"/>
      <c r="W132" s="212"/>
      <c r="X132" s="5"/>
    </row>
    <row r="133" spans="1:24" ht="15.75" x14ac:dyDescent="0.25">
      <c r="A133" s="181"/>
      <c r="B133" s="183"/>
      <c r="C133" s="183"/>
      <c r="D133" s="183"/>
      <c r="E133" s="183"/>
      <c r="F133" s="183"/>
      <c r="G133" s="183"/>
      <c r="H133" s="183"/>
      <c r="I133" s="183"/>
      <c r="J133" s="183"/>
      <c r="K133" s="183"/>
      <c r="L133" s="183"/>
      <c r="M133" s="183"/>
      <c r="N133" s="183"/>
      <c r="O133" s="183"/>
      <c r="P133" s="183"/>
      <c r="Q133" s="183"/>
      <c r="R133" s="183"/>
      <c r="S133" s="183"/>
      <c r="T133" s="183"/>
      <c r="U133" s="183"/>
      <c r="V133" s="202"/>
      <c r="W133" s="183"/>
      <c r="X133" s="5"/>
    </row>
    <row r="134" spans="1:24" ht="19.5" thickBot="1" x14ac:dyDescent="0.35">
      <c r="A134" s="197"/>
      <c r="B134" s="270" t="str">
        <f>B64</f>
        <v>PM15 INVESTOR REPORT QUARTER ENDING NOVEMBER 2011</v>
      </c>
      <c r="C134" s="198"/>
      <c r="D134" s="198"/>
      <c r="E134" s="198"/>
      <c r="F134" s="198"/>
      <c r="G134" s="198"/>
      <c r="H134" s="198"/>
      <c r="I134" s="198"/>
      <c r="J134" s="198"/>
      <c r="K134" s="198"/>
      <c r="L134" s="198"/>
      <c r="M134" s="198"/>
      <c r="N134" s="198"/>
      <c r="O134" s="198"/>
      <c r="P134" s="198"/>
      <c r="Q134" s="198"/>
      <c r="R134" s="198"/>
      <c r="S134" s="198"/>
      <c r="T134" s="198"/>
      <c r="U134" s="198"/>
      <c r="V134" s="209"/>
      <c r="W134" s="200"/>
      <c r="X134" s="5"/>
    </row>
    <row r="135" spans="1:24" ht="15.75" x14ac:dyDescent="0.25">
      <c r="A135" s="236"/>
      <c r="B135" s="403" t="s">
        <v>41</v>
      </c>
      <c r="C135" s="238"/>
      <c r="D135" s="238"/>
      <c r="E135" s="238"/>
      <c r="F135" s="238"/>
      <c r="G135" s="238"/>
      <c r="H135" s="238"/>
      <c r="I135" s="238"/>
      <c r="J135" s="238"/>
      <c r="K135" s="238"/>
      <c r="L135" s="238"/>
      <c r="M135" s="238"/>
      <c r="N135" s="238"/>
      <c r="O135" s="238"/>
      <c r="P135" s="238"/>
      <c r="Q135" s="238"/>
      <c r="R135" s="238"/>
      <c r="S135" s="238"/>
      <c r="T135" s="238"/>
      <c r="U135" s="238"/>
      <c r="V135" s="239"/>
      <c r="W135" s="238"/>
      <c r="X135" s="5"/>
    </row>
    <row r="136" spans="1:24" ht="15.75" x14ac:dyDescent="0.25">
      <c r="A136" s="181"/>
      <c r="B136" s="191"/>
      <c r="C136" s="183"/>
      <c r="D136" s="183"/>
      <c r="E136" s="183"/>
      <c r="F136" s="183"/>
      <c r="G136" s="183"/>
      <c r="H136" s="183"/>
      <c r="I136" s="183"/>
      <c r="J136" s="183"/>
      <c r="K136" s="183"/>
      <c r="L136" s="183"/>
      <c r="M136" s="183"/>
      <c r="N136" s="183"/>
      <c r="O136" s="183"/>
      <c r="P136" s="183"/>
      <c r="Q136" s="183"/>
      <c r="R136" s="183"/>
      <c r="S136" s="183"/>
      <c r="T136" s="183"/>
      <c r="U136" s="183"/>
      <c r="V136" s="202"/>
      <c r="W136" s="183"/>
      <c r="X136" s="5"/>
    </row>
    <row r="137" spans="1:24" ht="15.75" x14ac:dyDescent="0.25">
      <c r="A137" s="181"/>
      <c r="B137" s="210" t="s">
        <v>42</v>
      </c>
      <c r="C137" s="183"/>
      <c r="D137" s="183"/>
      <c r="E137" s="183"/>
      <c r="F137" s="183"/>
      <c r="G137" s="183"/>
      <c r="H137" s="183"/>
      <c r="I137" s="183"/>
      <c r="J137" s="183"/>
      <c r="K137" s="183"/>
      <c r="L137" s="183"/>
      <c r="M137" s="183"/>
      <c r="N137" s="183"/>
      <c r="O137" s="183"/>
      <c r="P137" s="183"/>
      <c r="Q137" s="183"/>
      <c r="R137" s="183"/>
      <c r="S137" s="183"/>
      <c r="T137" s="183"/>
      <c r="U137" s="183"/>
      <c r="V137" s="202"/>
      <c r="W137" s="183"/>
      <c r="X137" s="5"/>
    </row>
    <row r="138" spans="1:24" ht="15.75" x14ac:dyDescent="0.25">
      <c r="A138" s="285"/>
      <c r="B138" s="286" t="s">
        <v>43</v>
      </c>
      <c r="C138" s="286"/>
      <c r="D138" s="286"/>
      <c r="E138" s="286"/>
      <c r="F138" s="286"/>
      <c r="G138" s="286"/>
      <c r="H138" s="286"/>
      <c r="I138" s="286"/>
      <c r="J138" s="286"/>
      <c r="K138" s="286"/>
      <c r="L138" s="286"/>
      <c r="M138" s="286"/>
      <c r="N138" s="286"/>
      <c r="O138" s="286"/>
      <c r="P138" s="286"/>
      <c r="Q138" s="286"/>
      <c r="R138" s="286"/>
      <c r="S138" s="286"/>
      <c r="T138" s="286"/>
      <c r="U138" s="286"/>
      <c r="V138" s="338">
        <f>+V34*0.019</f>
        <v>19021.526999999998</v>
      </c>
      <c r="W138" s="289"/>
      <c r="X138" s="5"/>
    </row>
    <row r="139" spans="1:24" ht="15.75" x14ac:dyDescent="0.25">
      <c r="A139" s="285"/>
      <c r="B139" s="286" t="s">
        <v>44</v>
      </c>
      <c r="C139" s="286"/>
      <c r="D139" s="286"/>
      <c r="E139" s="286"/>
      <c r="F139" s="286"/>
      <c r="G139" s="286"/>
      <c r="H139" s="286"/>
      <c r="I139" s="286"/>
      <c r="J139" s="286"/>
      <c r="K139" s="286"/>
      <c r="L139" s="286"/>
      <c r="M139" s="286"/>
      <c r="N139" s="286"/>
      <c r="O139" s="286"/>
      <c r="P139" s="286"/>
      <c r="Q139" s="286"/>
      <c r="R139" s="286"/>
      <c r="S139" s="286"/>
      <c r="T139" s="286"/>
      <c r="U139" s="286"/>
      <c r="V139" s="338">
        <v>19022</v>
      </c>
      <c r="W139" s="289"/>
      <c r="X139" s="5"/>
    </row>
    <row r="140" spans="1:24" ht="15.75" x14ac:dyDescent="0.25">
      <c r="A140" s="285"/>
      <c r="B140" s="286" t="s">
        <v>136</v>
      </c>
      <c r="C140" s="286"/>
      <c r="D140" s="286"/>
      <c r="E140" s="286"/>
      <c r="F140" s="286"/>
      <c r="G140" s="286"/>
      <c r="H140" s="286"/>
      <c r="I140" s="286"/>
      <c r="J140" s="286"/>
      <c r="K140" s="286"/>
      <c r="L140" s="286"/>
      <c r="M140" s="286"/>
      <c r="N140" s="286"/>
      <c r="O140" s="286"/>
      <c r="P140" s="286"/>
      <c r="Q140" s="286"/>
      <c r="R140" s="286"/>
      <c r="S140" s="286"/>
      <c r="T140" s="286"/>
      <c r="U140" s="286"/>
      <c r="V140" s="338"/>
      <c r="W140" s="289"/>
      <c r="X140" s="5"/>
    </row>
    <row r="141" spans="1:24" ht="15.75" x14ac:dyDescent="0.25">
      <c r="A141" s="285"/>
      <c r="B141" s="286" t="s">
        <v>123</v>
      </c>
      <c r="C141" s="286"/>
      <c r="D141" s="286"/>
      <c r="E141" s="286"/>
      <c r="F141" s="286"/>
      <c r="G141" s="286"/>
      <c r="H141" s="286"/>
      <c r="I141" s="286"/>
      <c r="J141" s="286"/>
      <c r="K141" s="286"/>
      <c r="L141" s="286"/>
      <c r="M141" s="286"/>
      <c r="N141" s="286"/>
      <c r="O141" s="286"/>
      <c r="P141" s="286"/>
      <c r="Q141" s="286"/>
      <c r="R141" s="286"/>
      <c r="S141" s="286"/>
      <c r="T141" s="286"/>
      <c r="U141" s="286"/>
      <c r="V141" s="338">
        <v>0</v>
      </c>
      <c r="W141" s="289"/>
      <c r="X141" s="5"/>
    </row>
    <row r="142" spans="1:24" ht="15.75" x14ac:dyDescent="0.25">
      <c r="A142" s="285"/>
      <c r="B142" s="286" t="s">
        <v>124</v>
      </c>
      <c r="C142" s="286"/>
      <c r="D142" s="286"/>
      <c r="E142" s="286"/>
      <c r="F142" s="286"/>
      <c r="G142" s="286"/>
      <c r="H142" s="286"/>
      <c r="I142" s="286"/>
      <c r="J142" s="286"/>
      <c r="K142" s="286"/>
      <c r="L142" s="286"/>
      <c r="M142" s="286"/>
      <c r="N142" s="286"/>
      <c r="O142" s="286"/>
      <c r="P142" s="286"/>
      <c r="Q142" s="286"/>
      <c r="R142" s="286"/>
      <c r="S142" s="286"/>
      <c r="T142" s="286"/>
      <c r="U142" s="286"/>
      <c r="V142" s="338">
        <v>0</v>
      </c>
      <c r="W142" s="289"/>
      <c r="X142" s="5"/>
    </row>
    <row r="143" spans="1:24" ht="15.75" x14ac:dyDescent="0.25">
      <c r="A143" s="285"/>
      <c r="B143" s="286" t="s">
        <v>175</v>
      </c>
      <c r="C143" s="286"/>
      <c r="D143" s="286"/>
      <c r="E143" s="286"/>
      <c r="F143" s="286"/>
      <c r="G143" s="286"/>
      <c r="H143" s="286"/>
      <c r="I143" s="286"/>
      <c r="J143" s="286"/>
      <c r="K143" s="286"/>
      <c r="L143" s="286"/>
      <c r="M143" s="286"/>
      <c r="N143" s="286"/>
      <c r="O143" s="286"/>
      <c r="P143" s="286"/>
      <c r="Q143" s="286"/>
      <c r="R143" s="286"/>
      <c r="S143" s="286"/>
      <c r="T143" s="286"/>
      <c r="U143" s="286"/>
      <c r="V143" s="338">
        <v>0</v>
      </c>
      <c r="W143" s="289"/>
      <c r="X143" s="5"/>
    </row>
    <row r="144" spans="1:24" ht="15.75" x14ac:dyDescent="0.25">
      <c r="A144" s="285"/>
      <c r="B144" s="286" t="s">
        <v>45</v>
      </c>
      <c r="C144" s="286"/>
      <c r="D144" s="286"/>
      <c r="E144" s="286"/>
      <c r="F144" s="286"/>
      <c r="G144" s="286"/>
      <c r="H144" s="286"/>
      <c r="I144" s="286"/>
      <c r="J144" s="286"/>
      <c r="K144" s="286"/>
      <c r="L144" s="286"/>
      <c r="M144" s="286"/>
      <c r="N144" s="286"/>
      <c r="O144" s="286"/>
      <c r="P144" s="286"/>
      <c r="Q144" s="286"/>
      <c r="R144" s="286"/>
      <c r="S144" s="286"/>
      <c r="T144" s="286"/>
      <c r="U144" s="286"/>
      <c r="V144" s="338">
        <v>0</v>
      </c>
      <c r="W144" s="289"/>
      <c r="X144" s="5"/>
    </row>
    <row r="145" spans="1:25" ht="15.75" x14ac:dyDescent="0.25">
      <c r="A145" s="285"/>
      <c r="B145" s="286" t="s">
        <v>129</v>
      </c>
      <c r="C145" s="286"/>
      <c r="D145" s="286"/>
      <c r="E145" s="286"/>
      <c r="F145" s="286"/>
      <c r="G145" s="286"/>
      <c r="H145" s="286"/>
      <c r="I145" s="286"/>
      <c r="J145" s="286"/>
      <c r="K145" s="286"/>
      <c r="L145" s="286"/>
      <c r="M145" s="286"/>
      <c r="N145" s="286"/>
      <c r="O145" s="286"/>
      <c r="P145" s="286"/>
      <c r="Q145" s="286"/>
      <c r="R145" s="286"/>
      <c r="S145" s="286"/>
      <c r="T145" s="286"/>
      <c r="U145" s="286"/>
      <c r="V145" s="338">
        <v>0</v>
      </c>
      <c r="W145" s="289"/>
      <c r="X145" s="5"/>
    </row>
    <row r="146" spans="1:25" ht="15.75" x14ac:dyDescent="0.25">
      <c r="A146" s="285"/>
      <c r="B146" s="286" t="s">
        <v>241</v>
      </c>
      <c r="C146" s="286"/>
      <c r="D146" s="286"/>
      <c r="E146" s="286"/>
      <c r="F146" s="286"/>
      <c r="G146" s="286"/>
      <c r="H146" s="286"/>
      <c r="I146" s="286"/>
      <c r="J146" s="286"/>
      <c r="K146" s="286"/>
      <c r="L146" s="286"/>
      <c r="M146" s="286"/>
      <c r="N146" s="286"/>
      <c r="O146" s="286"/>
      <c r="P146" s="286"/>
      <c r="Q146" s="286"/>
      <c r="R146" s="286"/>
      <c r="S146" s="286"/>
      <c r="T146" s="286"/>
      <c r="U146" s="286"/>
      <c r="V146" s="338">
        <v>0</v>
      </c>
      <c r="W146" s="289"/>
      <c r="X146" s="5"/>
      <c r="Y146" s="109"/>
    </row>
    <row r="147" spans="1:25" ht="15.75" x14ac:dyDescent="0.25">
      <c r="A147" s="285"/>
      <c r="B147" s="286" t="s">
        <v>46</v>
      </c>
      <c r="C147" s="286"/>
      <c r="D147" s="286"/>
      <c r="E147" s="286"/>
      <c r="F147" s="286"/>
      <c r="G147" s="286"/>
      <c r="H147" s="286"/>
      <c r="I147" s="286"/>
      <c r="J147" s="286"/>
      <c r="K147" s="286"/>
      <c r="L147" s="286"/>
      <c r="M147" s="286"/>
      <c r="N147" s="286"/>
      <c r="O147" s="286"/>
      <c r="P147" s="286"/>
      <c r="Q147" s="286"/>
      <c r="R147" s="286"/>
      <c r="S147" s="286"/>
      <c r="T147" s="286"/>
      <c r="U147" s="286"/>
      <c r="V147" s="338">
        <f>SUM(V139:V146)</f>
        <v>19022</v>
      </c>
      <c r="W147" s="289"/>
      <c r="X147" s="5"/>
    </row>
    <row r="148" spans="1:25" ht="15.75" x14ac:dyDescent="0.25">
      <c r="A148" s="285"/>
      <c r="B148" s="314"/>
      <c r="C148" s="314"/>
      <c r="D148" s="314"/>
      <c r="E148" s="314"/>
      <c r="F148" s="314"/>
      <c r="G148" s="314"/>
      <c r="H148" s="314"/>
      <c r="I148" s="314"/>
      <c r="J148" s="314"/>
      <c r="K148" s="314"/>
      <c r="L148" s="314"/>
      <c r="M148" s="314"/>
      <c r="N148" s="314"/>
      <c r="O148" s="314"/>
      <c r="P148" s="314"/>
      <c r="Q148" s="314"/>
      <c r="R148" s="314"/>
      <c r="S148" s="314"/>
      <c r="T148" s="314"/>
      <c r="U148" s="314"/>
      <c r="V148" s="345"/>
      <c r="W148" s="318"/>
      <c r="X148" s="5"/>
    </row>
    <row r="149" spans="1:25" ht="15.75" x14ac:dyDescent="0.25">
      <c r="A149" s="285"/>
      <c r="B149" s="342" t="s">
        <v>269</v>
      </c>
      <c r="C149" s="314"/>
      <c r="D149" s="314"/>
      <c r="E149" s="314"/>
      <c r="F149" s="314"/>
      <c r="G149" s="314"/>
      <c r="H149" s="314"/>
      <c r="I149" s="314"/>
      <c r="J149" s="314"/>
      <c r="K149" s="314"/>
      <c r="L149" s="314"/>
      <c r="M149" s="314"/>
      <c r="N149" s="314"/>
      <c r="O149" s="314"/>
      <c r="P149" s="314"/>
      <c r="Q149" s="314"/>
      <c r="R149" s="314"/>
      <c r="S149" s="314"/>
      <c r="T149" s="314"/>
      <c r="U149" s="314"/>
      <c r="V149" s="345"/>
      <c r="W149" s="318"/>
      <c r="X149" s="5"/>
    </row>
    <row r="150" spans="1:25" ht="15.75" x14ac:dyDescent="0.25">
      <c r="A150" s="285"/>
      <c r="B150" s="286" t="s">
        <v>155</v>
      </c>
      <c r="C150" s="286"/>
      <c r="D150" s="286"/>
      <c r="E150" s="286"/>
      <c r="F150" s="286"/>
      <c r="G150" s="286"/>
      <c r="H150" s="286"/>
      <c r="I150" s="286"/>
      <c r="J150" s="286"/>
      <c r="K150" s="286"/>
      <c r="L150" s="286"/>
      <c r="M150" s="286"/>
      <c r="N150" s="286"/>
      <c r="O150" s="286"/>
      <c r="P150" s="286"/>
      <c r="Q150" s="286"/>
      <c r="R150" s="286"/>
      <c r="S150" s="286"/>
      <c r="T150" s="286"/>
      <c r="U150" s="286"/>
      <c r="V150" s="338">
        <v>0</v>
      </c>
      <c r="W150" s="289"/>
      <c r="X150" s="5"/>
    </row>
    <row r="151" spans="1:25" ht="15.75" x14ac:dyDescent="0.25">
      <c r="A151" s="285"/>
      <c r="B151" s="286" t="s">
        <v>172</v>
      </c>
      <c r="C151" s="286"/>
      <c r="D151" s="286"/>
      <c r="E151" s="286"/>
      <c r="F151" s="286"/>
      <c r="G151" s="286"/>
      <c r="H151" s="286"/>
      <c r="I151" s="286"/>
      <c r="J151" s="286"/>
      <c r="K151" s="286"/>
      <c r="L151" s="286"/>
      <c r="M151" s="286"/>
      <c r="N151" s="286"/>
      <c r="O151" s="286"/>
      <c r="P151" s="286"/>
      <c r="Q151" s="286"/>
      <c r="R151" s="286"/>
      <c r="S151" s="286"/>
      <c r="T151" s="286"/>
      <c r="U151" s="286"/>
      <c r="V151" s="338">
        <v>0</v>
      </c>
      <c r="W151" s="289"/>
      <c r="X151" s="5"/>
    </row>
    <row r="152" spans="1:25" ht="15.75" x14ac:dyDescent="0.25">
      <c r="A152" s="285"/>
      <c r="B152" s="286" t="s">
        <v>226</v>
      </c>
      <c r="C152" s="286"/>
      <c r="D152" s="286"/>
      <c r="E152" s="286"/>
      <c r="F152" s="286"/>
      <c r="G152" s="286"/>
      <c r="H152" s="286"/>
      <c r="I152" s="286"/>
      <c r="J152" s="286"/>
      <c r="K152" s="286"/>
      <c r="L152" s="286"/>
      <c r="M152" s="286"/>
      <c r="N152" s="286"/>
      <c r="O152" s="286"/>
      <c r="P152" s="286"/>
      <c r="Q152" s="286"/>
      <c r="R152" s="286"/>
      <c r="S152" s="286"/>
      <c r="T152" s="286"/>
      <c r="U152" s="286"/>
      <c r="V152" s="338">
        <v>0</v>
      </c>
      <c r="W152" s="289"/>
      <c r="X152" s="5"/>
    </row>
    <row r="153" spans="1:25" ht="15.75" x14ac:dyDescent="0.25">
      <c r="A153" s="285"/>
      <c r="B153" s="314"/>
      <c r="C153" s="314"/>
      <c r="D153" s="314"/>
      <c r="E153" s="314"/>
      <c r="F153" s="314"/>
      <c r="G153" s="314"/>
      <c r="H153" s="314"/>
      <c r="I153" s="314"/>
      <c r="J153" s="314"/>
      <c r="K153" s="314"/>
      <c r="L153" s="314"/>
      <c r="M153" s="314"/>
      <c r="N153" s="314"/>
      <c r="O153" s="314"/>
      <c r="P153" s="314"/>
      <c r="Q153" s="314"/>
      <c r="R153" s="314"/>
      <c r="S153" s="314"/>
      <c r="T153" s="314"/>
      <c r="U153" s="314"/>
      <c r="V153" s="345"/>
      <c r="W153" s="318"/>
      <c r="X153" s="5"/>
    </row>
    <row r="154" spans="1:25" ht="15.75" x14ac:dyDescent="0.25">
      <c r="A154" s="181"/>
      <c r="B154" s="212"/>
      <c r="C154" s="212"/>
      <c r="D154" s="212"/>
      <c r="E154" s="212"/>
      <c r="F154" s="212"/>
      <c r="G154" s="212"/>
      <c r="H154" s="212"/>
      <c r="I154" s="212"/>
      <c r="J154" s="212"/>
      <c r="K154" s="212"/>
      <c r="L154" s="212"/>
      <c r="M154" s="212"/>
      <c r="N154" s="212"/>
      <c r="O154" s="212"/>
      <c r="P154" s="212"/>
      <c r="Q154" s="212"/>
      <c r="R154" s="212"/>
      <c r="S154" s="212"/>
      <c r="T154" s="212"/>
      <c r="U154" s="212"/>
      <c r="V154" s="344"/>
      <c r="W154" s="212"/>
      <c r="X154" s="5"/>
    </row>
    <row r="155" spans="1:25" ht="15.75" x14ac:dyDescent="0.25">
      <c r="A155" s="181"/>
      <c r="B155" s="210" t="s">
        <v>24</v>
      </c>
      <c r="C155" s="183"/>
      <c r="D155" s="183"/>
      <c r="E155" s="183"/>
      <c r="F155" s="183"/>
      <c r="G155" s="183"/>
      <c r="H155" s="183"/>
      <c r="I155" s="183"/>
      <c r="J155" s="183"/>
      <c r="K155" s="183"/>
      <c r="L155" s="183"/>
      <c r="M155" s="183"/>
      <c r="N155" s="183"/>
      <c r="O155" s="183"/>
      <c r="P155" s="183"/>
      <c r="Q155" s="183"/>
      <c r="R155" s="183"/>
      <c r="S155" s="183"/>
      <c r="T155" s="183"/>
      <c r="U155" s="183"/>
      <c r="V155" s="202"/>
      <c r="W155" s="183"/>
      <c r="X155" s="5"/>
    </row>
    <row r="156" spans="1:25" ht="15.75" x14ac:dyDescent="0.25">
      <c r="A156" s="285"/>
      <c r="B156" s="286" t="s">
        <v>47</v>
      </c>
      <c r="C156" s="286"/>
      <c r="D156" s="286"/>
      <c r="E156" s="286"/>
      <c r="F156" s="286"/>
      <c r="G156" s="286"/>
      <c r="H156" s="286"/>
      <c r="I156" s="286"/>
      <c r="J156" s="286"/>
      <c r="K156" s="286"/>
      <c r="L156" s="286"/>
      <c r="M156" s="286"/>
      <c r="N156" s="286"/>
      <c r="O156" s="286"/>
      <c r="P156" s="286"/>
      <c r="Q156" s="286"/>
      <c r="R156" s="286"/>
      <c r="S156" s="286"/>
      <c r="T156" s="286"/>
      <c r="U156" s="286"/>
      <c r="V156" s="343" t="s">
        <v>118</v>
      </c>
      <c r="W156" s="318"/>
      <c r="X156" s="5"/>
    </row>
    <row r="157" spans="1:25" ht="15.75" x14ac:dyDescent="0.25">
      <c r="A157" s="285"/>
      <c r="B157" s="286" t="s">
        <v>48</v>
      </c>
      <c r="C157" s="288"/>
      <c r="D157" s="288"/>
      <c r="E157" s="288"/>
      <c r="F157" s="288"/>
      <c r="G157" s="288"/>
      <c r="H157" s="288"/>
      <c r="I157" s="288"/>
      <c r="J157" s="288"/>
      <c r="K157" s="288"/>
      <c r="L157" s="288"/>
      <c r="M157" s="288"/>
      <c r="N157" s="288"/>
      <c r="O157" s="288"/>
      <c r="P157" s="288"/>
      <c r="Q157" s="288"/>
      <c r="R157" s="288"/>
      <c r="S157" s="288"/>
      <c r="T157" s="288"/>
      <c r="U157" s="288"/>
      <c r="V157" s="343" t="s">
        <v>118</v>
      </c>
      <c r="W157" s="318"/>
      <c r="X157" s="5"/>
    </row>
    <row r="158" spans="1:25" ht="15.75" x14ac:dyDescent="0.25">
      <c r="A158" s="285"/>
      <c r="B158" s="286" t="s">
        <v>49</v>
      </c>
      <c r="C158" s="286"/>
      <c r="D158" s="286"/>
      <c r="E158" s="286"/>
      <c r="F158" s="286"/>
      <c r="G158" s="286"/>
      <c r="H158" s="286"/>
      <c r="I158" s="286"/>
      <c r="J158" s="286"/>
      <c r="K158" s="286"/>
      <c r="L158" s="286"/>
      <c r="M158" s="286"/>
      <c r="N158" s="286"/>
      <c r="O158" s="286"/>
      <c r="P158" s="286"/>
      <c r="Q158" s="286"/>
      <c r="R158" s="286"/>
      <c r="S158" s="286"/>
      <c r="T158" s="286"/>
      <c r="U158" s="286"/>
      <c r="V158" s="343" t="s">
        <v>118</v>
      </c>
      <c r="W158" s="318"/>
      <c r="X158" s="5"/>
    </row>
    <row r="159" spans="1:25" ht="15.75" x14ac:dyDescent="0.25">
      <c r="A159" s="285"/>
      <c r="B159" s="286" t="s">
        <v>50</v>
      </c>
      <c r="C159" s="286"/>
      <c r="D159" s="286"/>
      <c r="E159" s="286"/>
      <c r="F159" s="286"/>
      <c r="G159" s="286"/>
      <c r="H159" s="286"/>
      <c r="I159" s="286"/>
      <c r="J159" s="286"/>
      <c r="K159" s="286"/>
      <c r="L159" s="286"/>
      <c r="M159" s="286"/>
      <c r="N159" s="286"/>
      <c r="O159" s="286"/>
      <c r="P159" s="286"/>
      <c r="Q159" s="286"/>
      <c r="R159" s="286"/>
      <c r="S159" s="286"/>
      <c r="T159" s="286"/>
      <c r="U159" s="286"/>
      <c r="V159" s="343" t="s">
        <v>118</v>
      </c>
      <c r="W159" s="318"/>
      <c r="X159" s="5"/>
    </row>
    <row r="160" spans="1:25" ht="15.75" x14ac:dyDescent="0.25">
      <c r="A160" s="181"/>
      <c r="B160" s="212"/>
      <c r="C160" s="212"/>
      <c r="D160" s="212"/>
      <c r="E160" s="212"/>
      <c r="F160" s="212"/>
      <c r="G160" s="212"/>
      <c r="H160" s="212"/>
      <c r="I160" s="212"/>
      <c r="J160" s="212"/>
      <c r="K160" s="212"/>
      <c r="L160" s="212"/>
      <c r="M160" s="212"/>
      <c r="N160" s="212"/>
      <c r="O160" s="212"/>
      <c r="P160" s="212"/>
      <c r="Q160" s="212"/>
      <c r="R160" s="212"/>
      <c r="S160" s="212"/>
      <c r="T160" s="212"/>
      <c r="U160" s="212"/>
      <c r="V160" s="344"/>
      <c r="W160" s="212"/>
      <c r="X160" s="5"/>
    </row>
    <row r="161" spans="1:256" ht="15.75" x14ac:dyDescent="0.25">
      <c r="A161" s="181"/>
      <c r="B161" s="210" t="s">
        <v>51</v>
      </c>
      <c r="C161" s="183"/>
      <c r="D161" s="183"/>
      <c r="E161" s="183"/>
      <c r="F161" s="183"/>
      <c r="G161" s="183"/>
      <c r="H161" s="183"/>
      <c r="I161" s="183"/>
      <c r="J161" s="183"/>
      <c r="K161" s="183"/>
      <c r="L161" s="183"/>
      <c r="M161" s="183"/>
      <c r="N161" s="183"/>
      <c r="O161" s="183"/>
      <c r="P161" s="183"/>
      <c r="Q161" s="183"/>
      <c r="R161" s="183"/>
      <c r="S161" s="183"/>
      <c r="T161" s="183"/>
      <c r="U161" s="183"/>
      <c r="V161" s="211"/>
      <c r="W161" s="183"/>
      <c r="X161" s="5"/>
    </row>
    <row r="162" spans="1:256" ht="15.75" x14ac:dyDescent="0.25">
      <c r="A162" s="285"/>
      <c r="B162" s="286" t="s">
        <v>52</v>
      </c>
      <c r="C162" s="286"/>
      <c r="D162" s="286"/>
      <c r="E162" s="286"/>
      <c r="F162" s="286"/>
      <c r="G162" s="286"/>
      <c r="H162" s="286"/>
      <c r="I162" s="286"/>
      <c r="J162" s="286"/>
      <c r="K162" s="286"/>
      <c r="L162" s="286"/>
      <c r="M162" s="286"/>
      <c r="N162" s="286"/>
      <c r="O162" s="286"/>
      <c r="P162" s="286"/>
      <c r="Q162" s="286"/>
      <c r="R162" s="286"/>
      <c r="S162" s="286"/>
      <c r="T162" s="286"/>
      <c r="U162" s="286"/>
      <c r="V162" s="338">
        <v>0</v>
      </c>
      <c r="W162" s="289"/>
      <c r="X162" s="5"/>
    </row>
    <row r="163" spans="1:256" ht="15.75" x14ac:dyDescent="0.25">
      <c r="A163" s="285"/>
      <c r="B163" s="286" t="s">
        <v>53</v>
      </c>
      <c r="C163" s="286"/>
      <c r="D163" s="286"/>
      <c r="E163" s="286"/>
      <c r="F163" s="286"/>
      <c r="G163" s="286"/>
      <c r="H163" s="286"/>
      <c r="I163" s="286"/>
      <c r="J163" s="286"/>
      <c r="K163" s="286"/>
      <c r="L163" s="286"/>
      <c r="M163" s="286"/>
      <c r="N163" s="286"/>
      <c r="O163" s="286"/>
      <c r="P163" s="286"/>
      <c r="Q163" s="286"/>
      <c r="R163" s="286"/>
      <c r="S163" s="286"/>
      <c r="T163" s="286"/>
      <c r="U163" s="286"/>
      <c r="V163" s="338">
        <v>459</v>
      </c>
      <c r="W163" s="289"/>
      <c r="X163" s="5"/>
    </row>
    <row r="164" spans="1:256" ht="15.75" x14ac:dyDescent="0.25">
      <c r="A164" s="285"/>
      <c r="B164" s="286" t="s">
        <v>54</v>
      </c>
      <c r="C164" s="286"/>
      <c r="D164" s="286"/>
      <c r="E164" s="286"/>
      <c r="F164" s="286"/>
      <c r="G164" s="286"/>
      <c r="H164" s="286"/>
      <c r="I164" s="286"/>
      <c r="J164" s="286"/>
      <c r="K164" s="286"/>
      <c r="L164" s="286"/>
      <c r="M164" s="286"/>
      <c r="N164" s="286"/>
      <c r="O164" s="286"/>
      <c r="P164" s="286"/>
      <c r="Q164" s="286"/>
      <c r="R164" s="286"/>
      <c r="S164" s="286"/>
      <c r="T164" s="286"/>
      <c r="U164" s="286"/>
      <c r="V164" s="338">
        <f>V163+V162</f>
        <v>459</v>
      </c>
      <c r="W164" s="289"/>
      <c r="X164" s="5"/>
    </row>
    <row r="165" spans="1:256" ht="15.75" x14ac:dyDescent="0.25">
      <c r="A165" s="285"/>
      <c r="B165" s="286" t="s">
        <v>303</v>
      </c>
      <c r="C165" s="286"/>
      <c r="D165" s="286"/>
      <c r="E165" s="286"/>
      <c r="F165" s="286"/>
      <c r="G165" s="286"/>
      <c r="H165" s="286"/>
      <c r="I165" s="286"/>
      <c r="J165" s="286"/>
      <c r="K165" s="286"/>
      <c r="L165" s="286"/>
      <c r="M165" s="286"/>
      <c r="N165" s="286"/>
      <c r="O165" s="286"/>
      <c r="P165" s="286"/>
      <c r="Q165" s="286"/>
      <c r="R165" s="286"/>
      <c r="S165" s="286"/>
      <c r="T165" s="286"/>
      <c r="U165" s="286"/>
      <c r="V165" s="338">
        <f>V113</f>
        <v>-459</v>
      </c>
      <c r="W165" s="289"/>
      <c r="X165" s="5"/>
    </row>
    <row r="166" spans="1:256" ht="15.75" x14ac:dyDescent="0.25">
      <c r="A166" s="285"/>
      <c r="B166" s="286" t="s">
        <v>55</v>
      </c>
      <c r="C166" s="286"/>
      <c r="D166" s="286"/>
      <c r="E166" s="286"/>
      <c r="F166" s="286"/>
      <c r="G166" s="286"/>
      <c r="H166" s="286"/>
      <c r="I166" s="286"/>
      <c r="J166" s="286"/>
      <c r="K166" s="286"/>
      <c r="L166" s="286"/>
      <c r="M166" s="286"/>
      <c r="N166" s="286"/>
      <c r="O166" s="286"/>
      <c r="P166" s="286"/>
      <c r="Q166" s="286"/>
      <c r="R166" s="286"/>
      <c r="S166" s="286"/>
      <c r="T166" s="286"/>
      <c r="U166" s="286"/>
      <c r="V166" s="338">
        <f>V164+V165</f>
        <v>0</v>
      </c>
      <c r="W166" s="289"/>
      <c r="X166" s="5"/>
    </row>
    <row r="167" spans="1:256" ht="15.75" x14ac:dyDescent="0.25">
      <c r="A167" s="285"/>
      <c r="B167" s="286" t="s">
        <v>274</v>
      </c>
      <c r="C167" s="286"/>
      <c r="D167" s="286"/>
      <c r="E167" s="286"/>
      <c r="F167" s="286"/>
      <c r="G167" s="286"/>
      <c r="H167" s="286"/>
      <c r="I167" s="286"/>
      <c r="J167" s="286"/>
      <c r="K167" s="286"/>
      <c r="L167" s="286"/>
      <c r="M167" s="286"/>
      <c r="N167" s="286"/>
      <c r="O167" s="286"/>
      <c r="P167" s="286"/>
      <c r="Q167" s="286"/>
      <c r="R167" s="286"/>
      <c r="S167" s="286"/>
      <c r="T167" s="286"/>
      <c r="U167" s="286"/>
      <c r="V167" s="338">
        <v>0</v>
      </c>
      <c r="W167" s="289"/>
      <c r="X167" s="5"/>
    </row>
    <row r="168" spans="1:256" ht="16.5" thickBot="1" x14ac:dyDescent="0.3">
      <c r="A168" s="181"/>
      <c r="B168" s="212"/>
      <c r="C168" s="212"/>
      <c r="D168" s="212"/>
      <c r="E168" s="212"/>
      <c r="F168" s="212"/>
      <c r="G168" s="212"/>
      <c r="H168" s="212"/>
      <c r="I168" s="212"/>
      <c r="J168" s="212"/>
      <c r="K168" s="212"/>
      <c r="L168" s="212"/>
      <c r="M168" s="212"/>
      <c r="N168" s="212"/>
      <c r="O168" s="212"/>
      <c r="P168" s="212"/>
      <c r="Q168" s="212"/>
      <c r="R168" s="212"/>
      <c r="S168" s="212"/>
      <c r="T168" s="212"/>
      <c r="U168" s="212"/>
      <c r="V168" s="344"/>
      <c r="W168" s="212"/>
      <c r="X168" s="5"/>
    </row>
    <row r="169" spans="1:256" ht="15.75" x14ac:dyDescent="0.25">
      <c r="A169" s="179"/>
      <c r="B169" s="180"/>
      <c r="C169" s="180"/>
      <c r="D169" s="180"/>
      <c r="E169" s="180"/>
      <c r="F169" s="180"/>
      <c r="G169" s="180"/>
      <c r="H169" s="180"/>
      <c r="I169" s="180"/>
      <c r="J169" s="180"/>
      <c r="K169" s="180"/>
      <c r="L169" s="180"/>
      <c r="M169" s="180"/>
      <c r="N169" s="180"/>
      <c r="O169" s="180"/>
      <c r="P169" s="180"/>
      <c r="Q169" s="180"/>
      <c r="R169" s="180"/>
      <c r="S169" s="180"/>
      <c r="T169" s="180"/>
      <c r="U169" s="180"/>
      <c r="V169" s="201"/>
      <c r="W169" s="180"/>
      <c r="X169" s="5"/>
    </row>
    <row r="170" spans="1:256" s="158" customFormat="1" ht="15.75" x14ac:dyDescent="0.25">
      <c r="A170" s="181"/>
      <c r="B170" s="210" t="s">
        <v>230</v>
      </c>
      <c r="C170" s="212"/>
      <c r="D170" s="212"/>
      <c r="E170" s="212"/>
      <c r="F170" s="212"/>
      <c r="G170" s="212"/>
      <c r="H170" s="212"/>
      <c r="I170" s="212"/>
      <c r="J170" s="212"/>
      <c r="K170" s="212"/>
      <c r="L170" s="212"/>
      <c r="M170" s="212"/>
      <c r="N170" s="212"/>
      <c r="O170" s="212"/>
      <c r="P170" s="212"/>
      <c r="Q170" s="212"/>
      <c r="R170" s="212"/>
      <c r="S170" s="212"/>
      <c r="T170" s="212"/>
      <c r="U170" s="212"/>
      <c r="V170" s="213"/>
      <c r="W170" s="212"/>
      <c r="X170" s="5"/>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s="160" customFormat="1" ht="15.75" x14ac:dyDescent="0.25">
      <c r="A171" s="285"/>
      <c r="B171" s="286" t="s">
        <v>231</v>
      </c>
      <c r="C171" s="286"/>
      <c r="D171" s="286"/>
      <c r="E171" s="286"/>
      <c r="F171" s="286"/>
      <c r="G171" s="286"/>
      <c r="H171" s="286"/>
      <c r="I171" s="286"/>
      <c r="J171" s="286"/>
      <c r="K171" s="286"/>
      <c r="L171" s="286"/>
      <c r="M171" s="286"/>
      <c r="N171" s="286"/>
      <c r="O171" s="286"/>
      <c r="P171" s="286"/>
      <c r="Q171" s="286"/>
      <c r="R171" s="286"/>
      <c r="S171" s="286"/>
      <c r="T171" s="286"/>
      <c r="U171" s="286"/>
      <c r="V171" s="338">
        <f>+'Aug 08'!V173</f>
        <v>0</v>
      </c>
      <c r="W171" s="289"/>
      <c r="X171" s="5"/>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s="160" customFormat="1" ht="15.75" x14ac:dyDescent="0.25">
      <c r="A172" s="285"/>
      <c r="B172" s="286" t="s">
        <v>234</v>
      </c>
      <c r="C172" s="286"/>
      <c r="D172" s="286"/>
      <c r="E172" s="286"/>
      <c r="F172" s="286"/>
      <c r="G172" s="286"/>
      <c r="H172" s="286"/>
      <c r="I172" s="286"/>
      <c r="J172" s="286"/>
      <c r="K172" s="286"/>
      <c r="L172" s="286"/>
      <c r="M172" s="286"/>
      <c r="N172" s="286"/>
      <c r="O172" s="286"/>
      <c r="P172" s="286"/>
      <c r="Q172" s="286"/>
      <c r="R172" s="286"/>
      <c r="S172" s="286"/>
      <c r="T172" s="286"/>
      <c r="U172" s="286"/>
      <c r="V172" s="338">
        <f>+V94</f>
        <v>0</v>
      </c>
      <c r="W172" s="289"/>
      <c r="X172" s="5"/>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s="160" customFormat="1" ht="15.75" x14ac:dyDescent="0.25">
      <c r="A173" s="285"/>
      <c r="B173" s="286" t="s">
        <v>232</v>
      </c>
      <c r="C173" s="286"/>
      <c r="D173" s="286"/>
      <c r="E173" s="286"/>
      <c r="F173" s="286"/>
      <c r="G173" s="286"/>
      <c r="H173" s="286"/>
      <c r="I173" s="286"/>
      <c r="J173" s="286"/>
      <c r="K173" s="286"/>
      <c r="L173" s="286"/>
      <c r="M173" s="286"/>
      <c r="N173" s="286"/>
      <c r="O173" s="286"/>
      <c r="P173" s="286"/>
      <c r="Q173" s="286"/>
      <c r="R173" s="286"/>
      <c r="S173" s="286"/>
      <c r="T173" s="286"/>
      <c r="U173" s="286"/>
      <c r="V173" s="338">
        <f>+V171-V172</f>
        <v>0</v>
      </c>
      <c r="W173" s="289"/>
      <c r="X173" s="5"/>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s="163" customFormat="1" ht="16.5" thickBot="1" x14ac:dyDescent="0.3">
      <c r="A174" s="197"/>
      <c r="B174" s="212"/>
      <c r="C174" s="212"/>
      <c r="D174" s="212"/>
      <c r="E174" s="212"/>
      <c r="F174" s="212"/>
      <c r="G174" s="212"/>
      <c r="H174" s="212"/>
      <c r="I174" s="212"/>
      <c r="J174" s="212"/>
      <c r="K174" s="212"/>
      <c r="L174" s="212"/>
      <c r="M174" s="212"/>
      <c r="N174" s="212"/>
      <c r="O174" s="212"/>
      <c r="P174" s="212"/>
      <c r="Q174" s="212"/>
      <c r="R174" s="212"/>
      <c r="S174" s="212"/>
      <c r="T174" s="212"/>
      <c r="U174" s="212"/>
      <c r="V174" s="344"/>
      <c r="W174" s="212"/>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4" customFormat="1" ht="15.75" x14ac:dyDescent="0.25">
      <c r="A175" s="179"/>
      <c r="B175" s="180"/>
      <c r="C175" s="180"/>
      <c r="D175" s="180"/>
      <c r="E175" s="180"/>
      <c r="F175" s="180"/>
      <c r="G175" s="180"/>
      <c r="H175" s="180"/>
      <c r="I175" s="180"/>
      <c r="J175" s="180"/>
      <c r="K175" s="180"/>
      <c r="L175" s="180"/>
      <c r="M175" s="180"/>
      <c r="N175" s="180"/>
      <c r="O175" s="180"/>
      <c r="P175" s="180"/>
      <c r="Q175" s="180"/>
      <c r="R175" s="180"/>
      <c r="S175" s="180"/>
      <c r="T175" s="180"/>
      <c r="U175" s="180"/>
      <c r="V175" s="201"/>
      <c r="W175" s="180"/>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ht="15.75" x14ac:dyDescent="0.25">
      <c r="A176" s="181"/>
      <c r="B176" s="210" t="s">
        <v>56</v>
      </c>
      <c r="C176" s="183"/>
      <c r="D176" s="183"/>
      <c r="E176" s="183"/>
      <c r="F176" s="183"/>
      <c r="G176" s="183"/>
      <c r="H176" s="183"/>
      <c r="I176" s="183"/>
      <c r="J176" s="183"/>
      <c r="K176" s="183"/>
      <c r="L176" s="183"/>
      <c r="M176" s="183"/>
      <c r="N176" s="183"/>
      <c r="O176" s="183"/>
      <c r="P176" s="183"/>
      <c r="Q176" s="183"/>
      <c r="R176" s="183"/>
      <c r="S176" s="183"/>
      <c r="T176" s="183"/>
      <c r="U176" s="183"/>
      <c r="V176" s="202"/>
      <c r="W176" s="183"/>
      <c r="X176" s="5"/>
    </row>
    <row r="177" spans="1:24" ht="15.75" x14ac:dyDescent="0.25">
      <c r="A177" s="181"/>
      <c r="B177" s="191"/>
      <c r="C177" s="183"/>
      <c r="D177" s="183"/>
      <c r="E177" s="183"/>
      <c r="F177" s="183"/>
      <c r="G177" s="183"/>
      <c r="H177" s="183"/>
      <c r="I177" s="183"/>
      <c r="J177" s="183"/>
      <c r="K177" s="183"/>
      <c r="L177" s="183"/>
      <c r="M177" s="183"/>
      <c r="N177" s="183"/>
      <c r="O177" s="183"/>
      <c r="P177" s="183"/>
      <c r="Q177" s="183"/>
      <c r="R177" s="183"/>
      <c r="S177" s="183"/>
      <c r="T177" s="183"/>
      <c r="U177" s="183"/>
      <c r="V177" s="202"/>
      <c r="W177" s="183"/>
      <c r="X177" s="5"/>
    </row>
    <row r="178" spans="1:24" ht="15.75" x14ac:dyDescent="0.25">
      <c r="A178" s="285"/>
      <c r="B178" s="286" t="s">
        <v>57</v>
      </c>
      <c r="C178" s="286"/>
      <c r="D178" s="286"/>
      <c r="E178" s="286"/>
      <c r="F178" s="286"/>
      <c r="G178" s="286"/>
      <c r="H178" s="286"/>
      <c r="I178" s="286"/>
      <c r="J178" s="286"/>
      <c r="K178" s="286"/>
      <c r="L178" s="286"/>
      <c r="M178" s="286"/>
      <c r="N178" s="286"/>
      <c r="O178" s="286"/>
      <c r="P178" s="286"/>
      <c r="Q178" s="286"/>
      <c r="R178" s="286"/>
      <c r="S178" s="286"/>
      <c r="T178" s="286"/>
      <c r="U178" s="286"/>
      <c r="V178" s="338">
        <f>V71</f>
        <v>832471</v>
      </c>
      <c r="W178" s="289"/>
      <c r="X178" s="5"/>
    </row>
    <row r="179" spans="1:24" ht="15.75" x14ac:dyDescent="0.25">
      <c r="A179" s="285"/>
      <c r="B179" s="286" t="s">
        <v>58</v>
      </c>
      <c r="C179" s="286"/>
      <c r="D179" s="286"/>
      <c r="E179" s="286"/>
      <c r="F179" s="286"/>
      <c r="G179" s="286"/>
      <c r="H179" s="286"/>
      <c r="I179" s="286"/>
      <c r="J179" s="286"/>
      <c r="K179" s="286"/>
      <c r="L179" s="286"/>
      <c r="M179" s="286"/>
      <c r="N179" s="286"/>
      <c r="O179" s="286"/>
      <c r="P179" s="286"/>
      <c r="Q179" s="286"/>
      <c r="R179" s="286"/>
      <c r="S179" s="286"/>
      <c r="T179" s="286"/>
      <c r="U179" s="286"/>
      <c r="V179" s="338">
        <f>V84</f>
        <v>832471</v>
      </c>
      <c r="W179" s="289"/>
      <c r="X179" s="5"/>
    </row>
    <row r="180" spans="1:24" ht="16.5" thickBot="1" x14ac:dyDescent="0.3">
      <c r="A180" s="181"/>
      <c r="B180" s="212"/>
      <c r="C180" s="212"/>
      <c r="D180" s="212"/>
      <c r="E180" s="212"/>
      <c r="F180" s="212"/>
      <c r="G180" s="212"/>
      <c r="H180" s="212"/>
      <c r="I180" s="212"/>
      <c r="J180" s="212"/>
      <c r="K180" s="212"/>
      <c r="L180" s="212"/>
      <c r="M180" s="212"/>
      <c r="N180" s="212"/>
      <c r="O180" s="212"/>
      <c r="P180" s="212"/>
      <c r="Q180" s="212"/>
      <c r="R180" s="212"/>
      <c r="S180" s="212"/>
      <c r="T180" s="212"/>
      <c r="U180" s="212"/>
      <c r="V180" s="344"/>
      <c r="W180" s="212"/>
      <c r="X180" s="5"/>
    </row>
    <row r="181" spans="1:24" ht="15.75" x14ac:dyDescent="0.25">
      <c r="A181" s="179"/>
      <c r="B181" s="180"/>
      <c r="C181" s="180"/>
      <c r="D181" s="180"/>
      <c r="E181" s="180"/>
      <c r="F181" s="180"/>
      <c r="G181" s="180"/>
      <c r="H181" s="180"/>
      <c r="I181" s="180"/>
      <c r="J181" s="180"/>
      <c r="K181" s="180"/>
      <c r="L181" s="180"/>
      <c r="M181" s="180"/>
      <c r="N181" s="180"/>
      <c r="O181" s="180"/>
      <c r="P181" s="180"/>
      <c r="Q181" s="180"/>
      <c r="R181" s="180"/>
      <c r="S181" s="180"/>
      <c r="T181" s="180"/>
      <c r="U181" s="180"/>
      <c r="V181" s="201"/>
      <c r="W181" s="180"/>
      <c r="X181" s="5"/>
    </row>
    <row r="182" spans="1:24" ht="15.75" x14ac:dyDescent="0.25">
      <c r="A182" s="181"/>
      <c r="B182" s="210" t="s">
        <v>59</v>
      </c>
      <c r="C182" s="206"/>
      <c r="D182" s="206"/>
      <c r="E182" s="206"/>
      <c r="F182" s="206"/>
      <c r="G182" s="206"/>
      <c r="H182" s="214"/>
      <c r="I182" s="214"/>
      <c r="J182" s="214"/>
      <c r="K182" s="214"/>
      <c r="L182" s="214"/>
      <c r="M182" s="214"/>
      <c r="N182" s="214"/>
      <c r="O182" s="214"/>
      <c r="P182" s="214"/>
      <c r="Q182" s="214"/>
      <c r="R182" s="214"/>
      <c r="S182" s="214" t="s">
        <v>101</v>
      </c>
      <c r="T182" s="214" t="s">
        <v>176</v>
      </c>
      <c r="U182" s="185"/>
      <c r="V182" s="215" t="s">
        <v>114</v>
      </c>
      <c r="W182" s="216"/>
      <c r="X182" s="5"/>
    </row>
    <row r="183" spans="1:24" ht="15.75" x14ac:dyDescent="0.25">
      <c r="A183" s="285"/>
      <c r="B183" s="286" t="s">
        <v>60</v>
      </c>
      <c r="C183" s="286"/>
      <c r="D183" s="286"/>
      <c r="E183" s="286"/>
      <c r="F183" s="286"/>
      <c r="G183" s="286"/>
      <c r="H183" s="286"/>
      <c r="I183" s="286"/>
      <c r="J183" s="286"/>
      <c r="K183" s="286"/>
      <c r="L183" s="286"/>
      <c r="M183" s="286"/>
      <c r="N183" s="286"/>
      <c r="O183" s="286"/>
      <c r="P183" s="286"/>
      <c r="Q183" s="286"/>
      <c r="R183" s="286"/>
      <c r="S183" s="338">
        <f>+V34*0.16</f>
        <v>160181.28</v>
      </c>
      <c r="T183" s="325"/>
      <c r="U183" s="286"/>
      <c r="V183" s="338"/>
      <c r="W183" s="289"/>
      <c r="X183" s="5"/>
    </row>
    <row r="184" spans="1:24" ht="15.75" x14ac:dyDescent="0.25">
      <c r="A184" s="285"/>
      <c r="B184" s="286" t="s">
        <v>61</v>
      </c>
      <c r="C184" s="286"/>
      <c r="D184" s="286"/>
      <c r="E184" s="286"/>
      <c r="F184" s="286"/>
      <c r="G184" s="286"/>
      <c r="H184" s="286"/>
      <c r="I184" s="286"/>
      <c r="J184" s="286"/>
      <c r="K184" s="286"/>
      <c r="L184" s="286"/>
      <c r="M184" s="286"/>
      <c r="N184" s="286"/>
      <c r="O184" s="286"/>
      <c r="P184" s="286"/>
      <c r="Q184" s="286"/>
      <c r="R184" s="286"/>
      <c r="S184" s="338">
        <f>+'Aug 11'!S186</f>
        <v>10717</v>
      </c>
      <c r="T184" s="338">
        <f>+'Aug 11'!T186</f>
        <v>6090</v>
      </c>
      <c r="U184" s="286"/>
      <c r="V184" s="338">
        <f>S184+T184</f>
        <v>16807</v>
      </c>
      <c r="W184" s="289"/>
      <c r="X184" s="5"/>
    </row>
    <row r="185" spans="1:24" ht="15.75" x14ac:dyDescent="0.25">
      <c r="A185" s="285"/>
      <c r="B185" s="286" t="s">
        <v>62</v>
      </c>
      <c r="C185" s="286"/>
      <c r="D185" s="286"/>
      <c r="E185" s="286"/>
      <c r="F185" s="286"/>
      <c r="G185" s="286"/>
      <c r="H185" s="286"/>
      <c r="I185" s="286"/>
      <c r="J185" s="286"/>
      <c r="K185" s="286"/>
      <c r="L185" s="286"/>
      <c r="M185" s="286"/>
      <c r="N185" s="286"/>
      <c r="O185" s="286"/>
      <c r="P185" s="286"/>
      <c r="Q185" s="286"/>
      <c r="R185" s="286"/>
      <c r="S185" s="337">
        <v>0</v>
      </c>
      <c r="T185" s="337">
        <v>0</v>
      </c>
      <c r="U185" s="286"/>
      <c r="V185" s="338">
        <f>S185+T185</f>
        <v>0</v>
      </c>
      <c r="W185" s="289"/>
      <c r="X185" s="5"/>
    </row>
    <row r="186" spans="1:24" ht="15.75" x14ac:dyDescent="0.25">
      <c r="A186" s="285"/>
      <c r="B186" s="286" t="s">
        <v>63</v>
      </c>
      <c r="C186" s="286"/>
      <c r="D186" s="286"/>
      <c r="E186" s="286"/>
      <c r="F186" s="286"/>
      <c r="G186" s="286"/>
      <c r="H186" s="286"/>
      <c r="I186" s="286"/>
      <c r="J186" s="286"/>
      <c r="K186" s="286"/>
      <c r="L186" s="286"/>
      <c r="M186" s="286"/>
      <c r="N186" s="286"/>
      <c r="O186" s="286"/>
      <c r="P186" s="286"/>
      <c r="Q186" s="286"/>
      <c r="R186" s="286"/>
      <c r="S186" s="338">
        <f>S184+S185</f>
        <v>10717</v>
      </c>
      <c r="T186" s="338">
        <f>T185+T184</f>
        <v>6090</v>
      </c>
      <c r="U186" s="286"/>
      <c r="V186" s="338">
        <f>S186+T186</f>
        <v>16807</v>
      </c>
      <c r="W186" s="289"/>
      <c r="X186" s="5"/>
    </row>
    <row r="187" spans="1:24" ht="15.75" x14ac:dyDescent="0.25">
      <c r="A187" s="285"/>
      <c r="B187" s="286" t="s">
        <v>64</v>
      </c>
      <c r="C187" s="286"/>
      <c r="D187" s="286"/>
      <c r="E187" s="286"/>
      <c r="F187" s="286"/>
      <c r="G187" s="286"/>
      <c r="H187" s="286"/>
      <c r="I187" s="286"/>
      <c r="J187" s="286"/>
      <c r="K187" s="286"/>
      <c r="L187" s="286"/>
      <c r="M187" s="286"/>
      <c r="N187" s="286"/>
      <c r="O187" s="286"/>
      <c r="P187" s="286"/>
      <c r="Q187" s="286"/>
      <c r="R187" s="286"/>
      <c r="S187" s="338">
        <f>S183-S186-T186</f>
        <v>143374.28</v>
      </c>
      <c r="T187" s="325"/>
      <c r="U187" s="286"/>
      <c r="V187" s="338"/>
      <c r="W187" s="289"/>
      <c r="X187" s="5"/>
    </row>
    <row r="188" spans="1:24" ht="16.5" thickBot="1" x14ac:dyDescent="0.3">
      <c r="A188" s="181"/>
      <c r="B188" s="212"/>
      <c r="C188" s="212"/>
      <c r="D188" s="212"/>
      <c r="E188" s="212"/>
      <c r="F188" s="212"/>
      <c r="G188" s="212"/>
      <c r="H188" s="212"/>
      <c r="I188" s="212"/>
      <c r="J188" s="212"/>
      <c r="K188" s="212"/>
      <c r="L188" s="212"/>
      <c r="M188" s="212"/>
      <c r="N188" s="212"/>
      <c r="O188" s="212"/>
      <c r="P188" s="212"/>
      <c r="Q188" s="212"/>
      <c r="R188" s="212"/>
      <c r="S188" s="212"/>
      <c r="T188" s="212"/>
      <c r="U188" s="212"/>
      <c r="V188" s="344"/>
      <c r="W188" s="212"/>
      <c r="X188" s="5"/>
    </row>
    <row r="189" spans="1:24" ht="15.75" x14ac:dyDescent="0.25">
      <c r="A189" s="179"/>
      <c r="B189" s="180"/>
      <c r="C189" s="180"/>
      <c r="D189" s="180"/>
      <c r="E189" s="180"/>
      <c r="F189" s="180"/>
      <c r="G189" s="180"/>
      <c r="H189" s="180"/>
      <c r="I189" s="180"/>
      <c r="J189" s="180"/>
      <c r="K189" s="180"/>
      <c r="L189" s="180"/>
      <c r="M189" s="180"/>
      <c r="N189" s="180"/>
      <c r="O189" s="180"/>
      <c r="P189" s="180"/>
      <c r="Q189" s="180"/>
      <c r="R189" s="180"/>
      <c r="S189" s="180"/>
      <c r="T189" s="180"/>
      <c r="U189" s="180"/>
      <c r="V189" s="201"/>
      <c r="W189" s="180"/>
      <c r="X189" s="5"/>
    </row>
    <row r="190" spans="1:24" ht="15.75" x14ac:dyDescent="0.25">
      <c r="A190" s="181"/>
      <c r="B190" s="210" t="s">
        <v>65</v>
      </c>
      <c r="C190" s="183"/>
      <c r="D190" s="183"/>
      <c r="E190" s="183"/>
      <c r="F190" s="183"/>
      <c r="G190" s="183"/>
      <c r="H190" s="183"/>
      <c r="I190" s="183"/>
      <c r="J190" s="183"/>
      <c r="K190" s="183"/>
      <c r="L190" s="183"/>
      <c r="M190" s="183"/>
      <c r="N190" s="183"/>
      <c r="O190" s="183"/>
      <c r="P190" s="183"/>
      <c r="Q190" s="183"/>
      <c r="R190" s="183"/>
      <c r="S190" s="183"/>
      <c r="T190" s="183"/>
      <c r="U190" s="183"/>
      <c r="V190" s="217"/>
      <c r="W190" s="183"/>
      <c r="X190" s="5"/>
    </row>
    <row r="191" spans="1:24" ht="15.75" x14ac:dyDescent="0.25">
      <c r="A191" s="285"/>
      <c r="B191" s="286" t="s">
        <v>66</v>
      </c>
      <c r="C191" s="286"/>
      <c r="D191" s="286"/>
      <c r="E191" s="286"/>
      <c r="F191" s="286"/>
      <c r="G191" s="286"/>
      <c r="H191" s="286"/>
      <c r="I191" s="286"/>
      <c r="J191" s="286"/>
      <c r="K191" s="286"/>
      <c r="L191" s="286"/>
      <c r="M191" s="286"/>
      <c r="N191" s="286"/>
      <c r="O191" s="286"/>
      <c r="P191" s="286"/>
      <c r="Q191" s="286"/>
      <c r="R191" s="286"/>
      <c r="S191" s="286"/>
      <c r="T191" s="286"/>
      <c r="U191" s="286"/>
      <c r="V191" s="343">
        <f>(V101+V103+V104+V105+V106)/-(V107+V108)</f>
        <v>3.1955056179775281</v>
      </c>
      <c r="W191" s="289" t="s">
        <v>115</v>
      </c>
      <c r="X191" s="5"/>
    </row>
    <row r="192" spans="1:24" ht="15.75" x14ac:dyDescent="0.25">
      <c r="A192" s="285"/>
      <c r="B192" s="286" t="s">
        <v>67</v>
      </c>
      <c r="C192" s="286"/>
      <c r="D192" s="286"/>
      <c r="E192" s="286"/>
      <c r="F192" s="286"/>
      <c r="G192" s="286"/>
      <c r="H192" s="286"/>
      <c r="I192" s="286"/>
      <c r="J192" s="286"/>
      <c r="K192" s="286"/>
      <c r="L192" s="286"/>
      <c r="M192" s="286"/>
      <c r="N192" s="286"/>
      <c r="O192" s="286"/>
      <c r="P192" s="286"/>
      <c r="Q192" s="286"/>
      <c r="R192" s="286"/>
      <c r="S192" s="286"/>
      <c r="T192" s="286"/>
      <c r="U192" s="286"/>
      <c r="V192" s="347">
        <v>1.7</v>
      </c>
      <c r="W192" s="289" t="s">
        <v>115</v>
      </c>
      <c r="X192" s="5"/>
    </row>
    <row r="193" spans="1:24" ht="15.75" x14ac:dyDescent="0.25">
      <c r="A193" s="285"/>
      <c r="B193" s="286" t="s">
        <v>68</v>
      </c>
      <c r="C193" s="286"/>
      <c r="D193" s="286"/>
      <c r="E193" s="286"/>
      <c r="F193" s="286"/>
      <c r="G193" s="286"/>
      <c r="H193" s="286"/>
      <c r="I193" s="286"/>
      <c r="J193" s="286"/>
      <c r="K193" s="286"/>
      <c r="L193" s="286"/>
      <c r="M193" s="286"/>
      <c r="N193" s="286"/>
      <c r="O193" s="286"/>
      <c r="P193" s="286"/>
      <c r="Q193" s="286"/>
      <c r="R193" s="286"/>
      <c r="S193" s="286"/>
      <c r="T193" s="286"/>
      <c r="U193" s="286"/>
      <c r="V193" s="343">
        <f>(V101+V103+V104+V105+V106+V107+V108)/-(V109+V110)</f>
        <v>17.140350877192983</v>
      </c>
      <c r="W193" s="289" t="s">
        <v>115</v>
      </c>
      <c r="X193" s="5"/>
    </row>
    <row r="194" spans="1:24" ht="15.75" x14ac:dyDescent="0.25">
      <c r="A194" s="285"/>
      <c r="B194" s="286" t="s">
        <v>69</v>
      </c>
      <c r="C194" s="286"/>
      <c r="D194" s="286"/>
      <c r="E194" s="286"/>
      <c r="F194" s="286"/>
      <c r="G194" s="286"/>
      <c r="H194" s="286"/>
      <c r="I194" s="286"/>
      <c r="J194" s="286"/>
      <c r="K194" s="286"/>
      <c r="L194" s="286"/>
      <c r="M194" s="286"/>
      <c r="N194" s="286"/>
      <c r="O194" s="286"/>
      <c r="P194" s="286"/>
      <c r="Q194" s="286"/>
      <c r="R194" s="286"/>
      <c r="S194" s="286"/>
      <c r="T194" s="286"/>
      <c r="U194" s="286"/>
      <c r="V194" s="347">
        <v>7.02</v>
      </c>
      <c r="W194" s="289" t="s">
        <v>115</v>
      </c>
      <c r="X194" s="5"/>
    </row>
    <row r="195" spans="1:24" ht="15.75" x14ac:dyDescent="0.25">
      <c r="A195" s="285"/>
      <c r="B195" s="286" t="s">
        <v>198</v>
      </c>
      <c r="C195" s="286"/>
      <c r="D195" s="286"/>
      <c r="E195" s="286"/>
      <c r="F195" s="286"/>
      <c r="G195" s="286"/>
      <c r="H195" s="286"/>
      <c r="I195" s="286"/>
      <c r="J195" s="286"/>
      <c r="K195" s="286"/>
      <c r="L195" s="286"/>
      <c r="M195" s="286"/>
      <c r="N195" s="286"/>
      <c r="O195" s="286"/>
      <c r="P195" s="286"/>
      <c r="Q195" s="286"/>
      <c r="R195" s="286"/>
      <c r="S195" s="286"/>
      <c r="T195" s="286"/>
      <c r="U195" s="286"/>
      <c r="V195" s="343">
        <f>(V101+V103+V104+V105+V106+V107+V108+V109+V110)/-(V111)</f>
        <v>12.822299651567944</v>
      </c>
      <c r="W195" s="289" t="s">
        <v>115</v>
      </c>
      <c r="X195" s="5"/>
    </row>
    <row r="196" spans="1:24" ht="15.75" x14ac:dyDescent="0.25">
      <c r="A196" s="285"/>
      <c r="B196" s="286" t="s">
        <v>199</v>
      </c>
      <c r="C196" s="286"/>
      <c r="D196" s="286"/>
      <c r="E196" s="286"/>
      <c r="F196" s="286"/>
      <c r="G196" s="286"/>
      <c r="H196" s="286"/>
      <c r="I196" s="286"/>
      <c r="J196" s="286"/>
      <c r="K196" s="286"/>
      <c r="L196" s="286"/>
      <c r="M196" s="286"/>
      <c r="N196" s="286"/>
      <c r="O196" s="286"/>
      <c r="P196" s="286"/>
      <c r="Q196" s="286"/>
      <c r="R196" s="286"/>
      <c r="S196" s="286"/>
      <c r="T196" s="286"/>
      <c r="U196" s="286"/>
      <c r="V196" s="347">
        <v>5.43</v>
      </c>
      <c r="W196" s="289" t="s">
        <v>115</v>
      </c>
      <c r="X196" s="5"/>
    </row>
    <row r="197" spans="1:24" ht="15.75" x14ac:dyDescent="0.25">
      <c r="A197" s="285"/>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9"/>
      <c r="X197" s="5"/>
    </row>
    <row r="198" spans="1:24" ht="15.75" x14ac:dyDescent="0.25">
      <c r="A198" s="181"/>
      <c r="B198" s="346"/>
      <c r="C198" s="346"/>
      <c r="D198" s="346"/>
      <c r="E198" s="346"/>
      <c r="F198" s="346"/>
      <c r="G198" s="346"/>
      <c r="H198" s="346"/>
      <c r="I198" s="346"/>
      <c r="J198" s="346"/>
      <c r="K198" s="346"/>
      <c r="L198" s="346"/>
      <c r="M198" s="346"/>
      <c r="N198" s="346"/>
      <c r="O198" s="346"/>
      <c r="P198" s="346"/>
      <c r="Q198" s="346"/>
      <c r="R198" s="346"/>
      <c r="S198" s="346"/>
      <c r="T198" s="346"/>
      <c r="U198" s="346"/>
      <c r="V198" s="346"/>
      <c r="W198" s="346"/>
      <c r="X198" s="5"/>
    </row>
    <row r="199" spans="1:24" ht="15.75" x14ac:dyDescent="0.25">
      <c r="A199" s="181"/>
      <c r="B199" s="255"/>
      <c r="C199" s="255"/>
      <c r="D199" s="255"/>
      <c r="E199" s="255"/>
      <c r="F199" s="255"/>
      <c r="G199" s="255"/>
      <c r="H199" s="255"/>
      <c r="I199" s="255"/>
      <c r="J199" s="255"/>
      <c r="K199" s="255"/>
      <c r="L199" s="255"/>
      <c r="M199" s="255"/>
      <c r="N199" s="255"/>
      <c r="O199" s="255"/>
      <c r="P199" s="255"/>
      <c r="Q199" s="255"/>
      <c r="R199" s="255"/>
      <c r="S199" s="255"/>
      <c r="T199" s="255"/>
      <c r="U199" s="255"/>
      <c r="V199" s="255"/>
      <c r="W199" s="255"/>
      <c r="X199" s="5"/>
    </row>
    <row r="200" spans="1:24" ht="19.5" thickBot="1" x14ac:dyDescent="0.35">
      <c r="A200" s="197"/>
      <c r="B200" s="270" t="str">
        <f>B134</f>
        <v>PM15 INVESTOR REPORT QUARTER ENDING NOVEMBER 2011</v>
      </c>
      <c r="C200" s="271"/>
      <c r="D200" s="271"/>
      <c r="E200" s="271"/>
      <c r="F200" s="271"/>
      <c r="G200" s="271"/>
      <c r="H200" s="271"/>
      <c r="I200" s="271"/>
      <c r="J200" s="271"/>
      <c r="K200" s="271"/>
      <c r="L200" s="271"/>
      <c r="M200" s="271"/>
      <c r="N200" s="271"/>
      <c r="O200" s="271"/>
      <c r="P200" s="271"/>
      <c r="Q200" s="271"/>
      <c r="R200" s="271"/>
      <c r="S200" s="271"/>
      <c r="T200" s="271"/>
      <c r="U200" s="271"/>
      <c r="V200" s="271"/>
      <c r="W200" s="272"/>
      <c r="X200" s="5"/>
    </row>
    <row r="201" spans="1:24" ht="15.75" x14ac:dyDescent="0.25">
      <c r="A201" s="236"/>
      <c r="B201" s="403" t="s">
        <v>70</v>
      </c>
      <c r="C201" s="404"/>
      <c r="D201" s="404"/>
      <c r="E201" s="404"/>
      <c r="F201" s="404"/>
      <c r="G201" s="405"/>
      <c r="H201" s="405"/>
      <c r="I201" s="405"/>
      <c r="J201" s="405"/>
      <c r="K201" s="405"/>
      <c r="L201" s="405"/>
      <c r="M201" s="405"/>
      <c r="N201" s="405"/>
      <c r="O201" s="405"/>
      <c r="P201" s="405"/>
      <c r="Q201" s="405"/>
      <c r="R201" s="405"/>
      <c r="S201" s="405"/>
      <c r="T201" s="405">
        <v>40877</v>
      </c>
      <c r="U201" s="238"/>
      <c r="V201" s="238"/>
      <c r="W201" s="238"/>
      <c r="X201" s="5"/>
    </row>
    <row r="202" spans="1:24" ht="15.75" x14ac:dyDescent="0.25">
      <c r="A202" s="218"/>
      <c r="B202" s="219"/>
      <c r="C202" s="220"/>
      <c r="D202" s="220"/>
      <c r="E202" s="220"/>
      <c r="F202" s="220"/>
      <c r="G202" s="221"/>
      <c r="H202" s="221"/>
      <c r="I202" s="221"/>
      <c r="J202" s="221"/>
      <c r="K202" s="221"/>
      <c r="L202" s="221"/>
      <c r="M202" s="221"/>
      <c r="N202" s="221"/>
      <c r="O202" s="221"/>
      <c r="P202" s="221"/>
      <c r="Q202" s="221"/>
      <c r="R202" s="221"/>
      <c r="S202" s="221"/>
      <c r="T202" s="221"/>
      <c r="U202" s="183"/>
      <c r="V202" s="183"/>
      <c r="W202" s="183"/>
      <c r="X202" s="5"/>
    </row>
    <row r="203" spans="1:24" ht="15.75" x14ac:dyDescent="0.25">
      <c r="A203" s="350"/>
      <c r="B203" s="286" t="s">
        <v>71</v>
      </c>
      <c r="C203" s="406"/>
      <c r="D203" s="406"/>
      <c r="E203" s="406"/>
      <c r="F203" s="406"/>
      <c r="G203" s="397"/>
      <c r="H203" s="397"/>
      <c r="I203" s="397"/>
      <c r="J203" s="397"/>
      <c r="K203" s="397"/>
      <c r="L203" s="397"/>
      <c r="M203" s="397"/>
      <c r="N203" s="397"/>
      <c r="O203" s="397"/>
      <c r="P203" s="397"/>
      <c r="Q203" s="397"/>
      <c r="R203" s="397"/>
      <c r="S203" s="397"/>
      <c r="T203" s="321">
        <v>5.3830000000000003E-2</v>
      </c>
      <c r="U203" s="286"/>
      <c r="V203" s="286"/>
      <c r="W203" s="289"/>
      <c r="X203" s="5"/>
    </row>
    <row r="204" spans="1:24" ht="15.75" x14ac:dyDescent="0.25">
      <c r="A204" s="350"/>
      <c r="B204" s="286" t="s">
        <v>151</v>
      </c>
      <c r="C204" s="406"/>
      <c r="D204" s="406"/>
      <c r="E204" s="406"/>
      <c r="F204" s="406"/>
      <c r="G204" s="397"/>
      <c r="H204" s="397"/>
      <c r="I204" s="397"/>
      <c r="J204" s="397"/>
      <c r="K204" s="397"/>
      <c r="L204" s="397"/>
      <c r="M204" s="397"/>
      <c r="N204" s="397"/>
      <c r="O204" s="397"/>
      <c r="P204" s="397"/>
      <c r="Q204" s="397"/>
      <c r="R204" s="397"/>
      <c r="S204" s="397"/>
      <c r="T204" s="321">
        <v>6.25E-2</v>
      </c>
      <c r="U204" s="286"/>
      <c r="V204" s="286"/>
      <c r="W204" s="289"/>
      <c r="X204" s="5"/>
    </row>
    <row r="205" spans="1:24" ht="15.75" x14ac:dyDescent="0.25">
      <c r="A205" s="350"/>
      <c r="B205" s="286" t="s">
        <v>72</v>
      </c>
      <c r="C205" s="406"/>
      <c r="D205" s="406"/>
      <c r="E205" s="406"/>
      <c r="F205" s="406"/>
      <c r="G205" s="397"/>
      <c r="H205" s="397"/>
      <c r="I205" s="397"/>
      <c r="J205" s="397"/>
      <c r="K205" s="397"/>
      <c r="L205" s="397"/>
      <c r="M205" s="397"/>
      <c r="N205" s="397"/>
      <c r="O205" s="397"/>
      <c r="P205" s="397"/>
      <c r="Q205" s="397"/>
      <c r="R205" s="397"/>
      <c r="S205" s="397"/>
      <c r="T205" s="321">
        <f>T203-T204</f>
        <v>-8.6699999999999972E-3</v>
      </c>
      <c r="U205" s="286"/>
      <c r="V205" s="286"/>
      <c r="W205" s="289"/>
      <c r="X205" s="5"/>
    </row>
    <row r="206" spans="1:24" ht="15.75" x14ac:dyDescent="0.25">
      <c r="A206" s="350"/>
      <c r="B206" s="286" t="s">
        <v>73</v>
      </c>
      <c r="C206" s="406"/>
      <c r="D206" s="406"/>
      <c r="E206" s="406"/>
      <c r="F206" s="406"/>
      <c r="G206" s="397"/>
      <c r="H206" s="397"/>
      <c r="I206" s="397"/>
      <c r="J206" s="397"/>
      <c r="K206" s="397"/>
      <c r="L206" s="397"/>
      <c r="M206" s="397"/>
      <c r="N206" s="397"/>
      <c r="O206" s="397"/>
      <c r="P206" s="397"/>
      <c r="Q206" s="397"/>
      <c r="R206" s="397"/>
      <c r="S206" s="397"/>
      <c r="T206" s="321">
        <v>2.819E-2</v>
      </c>
      <c r="U206" s="286"/>
      <c r="V206" s="286"/>
      <c r="W206" s="289"/>
      <c r="X206" s="5"/>
    </row>
    <row r="207" spans="1:24" ht="15.75" x14ac:dyDescent="0.25">
      <c r="A207" s="350"/>
      <c r="B207" s="286" t="s">
        <v>218</v>
      </c>
      <c r="C207" s="406"/>
      <c r="D207" s="406"/>
      <c r="E207" s="406"/>
      <c r="F207" s="406"/>
      <c r="G207" s="397"/>
      <c r="H207" s="397"/>
      <c r="I207" s="397"/>
      <c r="J207" s="397"/>
      <c r="K207" s="397"/>
      <c r="L207" s="397"/>
      <c r="M207" s="397"/>
      <c r="N207" s="397"/>
      <c r="O207" s="397"/>
      <c r="P207" s="397"/>
      <c r="Q207" s="397"/>
      <c r="R207" s="397"/>
      <c r="S207" s="397"/>
      <c r="T207" s="321">
        <f>V43</f>
        <v>1.0975317914024282E-2</v>
      </c>
      <c r="U207" s="286"/>
      <c r="V207" s="286"/>
      <c r="W207" s="289"/>
      <c r="X207" s="5"/>
    </row>
    <row r="208" spans="1:24" ht="15.75" x14ac:dyDescent="0.25">
      <c r="A208" s="350"/>
      <c r="B208" s="286" t="s">
        <v>74</v>
      </c>
      <c r="C208" s="406"/>
      <c r="D208" s="406"/>
      <c r="E208" s="406"/>
      <c r="F208" s="406"/>
      <c r="G208" s="397"/>
      <c r="H208" s="397"/>
      <c r="I208" s="397"/>
      <c r="J208" s="397"/>
      <c r="K208" s="397"/>
      <c r="L208" s="397"/>
      <c r="M208" s="397"/>
      <c r="N208" s="397"/>
      <c r="O208" s="397"/>
      <c r="P208" s="397"/>
      <c r="Q208" s="397"/>
      <c r="R208" s="397"/>
      <c r="S208" s="397"/>
      <c r="T208" s="321">
        <f>T206-T207</f>
        <v>1.7214682085975718E-2</v>
      </c>
      <c r="U208" s="286"/>
      <c r="V208" s="286"/>
      <c r="W208" s="289"/>
      <c r="X208" s="5"/>
    </row>
    <row r="209" spans="1:24" ht="15.75" x14ac:dyDescent="0.25">
      <c r="A209" s="350"/>
      <c r="B209" s="286" t="s">
        <v>227</v>
      </c>
      <c r="C209" s="406"/>
      <c r="D209" s="406"/>
      <c r="E209" s="406"/>
      <c r="F209" s="406"/>
      <c r="G209" s="397"/>
      <c r="H209" s="397"/>
      <c r="I209" s="397"/>
      <c r="J209" s="397"/>
      <c r="K209" s="397"/>
      <c r="L209" s="397"/>
      <c r="M209" s="397"/>
      <c r="N209" s="397"/>
      <c r="O209" s="397"/>
      <c r="P209" s="397"/>
      <c r="Q209" s="397"/>
      <c r="R209" s="397"/>
      <c r="S209" s="397"/>
      <c r="T209" s="321">
        <f>V101/N71</f>
        <v>7.4333792478369501E-3</v>
      </c>
      <c r="U209" s="286"/>
      <c r="V209" s="286"/>
      <c r="W209" s="289"/>
      <c r="X209" s="5"/>
    </row>
    <row r="210" spans="1:24" ht="15.75" x14ac:dyDescent="0.25">
      <c r="A210" s="350"/>
      <c r="B210" s="286" t="s">
        <v>207</v>
      </c>
      <c r="C210" s="406"/>
      <c r="D210" s="406"/>
      <c r="E210" s="406"/>
      <c r="F210" s="406"/>
      <c r="G210" s="397"/>
      <c r="H210" s="397"/>
      <c r="I210" s="397"/>
      <c r="J210" s="397"/>
      <c r="K210" s="397"/>
      <c r="L210" s="397"/>
      <c r="M210" s="397"/>
      <c r="N210" s="397"/>
      <c r="O210" s="397"/>
      <c r="P210" s="397"/>
      <c r="Q210" s="397"/>
      <c r="R210" s="397"/>
      <c r="S210" s="397"/>
      <c r="T210" s="352">
        <v>51105</v>
      </c>
      <c r="U210" s="286"/>
      <c r="V210" s="286"/>
      <c r="W210" s="289"/>
      <c r="X210" s="5"/>
    </row>
    <row r="211" spans="1:24" ht="15.75" x14ac:dyDescent="0.25">
      <c r="A211" s="350"/>
      <c r="B211" s="286" t="s">
        <v>208</v>
      </c>
      <c r="C211" s="406"/>
      <c r="D211" s="406"/>
      <c r="E211" s="406"/>
      <c r="F211" s="406"/>
      <c r="G211" s="397"/>
      <c r="H211" s="397"/>
      <c r="I211" s="397"/>
      <c r="J211" s="397"/>
      <c r="K211" s="397"/>
      <c r="L211" s="397"/>
      <c r="M211" s="397"/>
      <c r="N211" s="397"/>
      <c r="O211" s="397"/>
      <c r="P211" s="397"/>
      <c r="Q211" s="397"/>
      <c r="R211" s="397"/>
      <c r="S211" s="397"/>
      <c r="T211" s="352">
        <v>51105</v>
      </c>
      <c r="U211" s="286"/>
      <c r="V211" s="286"/>
      <c r="W211" s="289"/>
      <c r="X211" s="5"/>
    </row>
    <row r="212" spans="1:24" ht="15.75" x14ac:dyDescent="0.25">
      <c r="A212" s="350"/>
      <c r="B212" s="286" t="s">
        <v>209</v>
      </c>
      <c r="C212" s="406"/>
      <c r="D212" s="406"/>
      <c r="E212" s="406"/>
      <c r="F212" s="406"/>
      <c r="G212" s="397"/>
      <c r="H212" s="397"/>
      <c r="I212" s="397"/>
      <c r="J212" s="397"/>
      <c r="K212" s="397"/>
      <c r="L212" s="397"/>
      <c r="M212" s="397"/>
      <c r="N212" s="397"/>
      <c r="O212" s="397"/>
      <c r="P212" s="397"/>
      <c r="Q212" s="397"/>
      <c r="R212" s="397"/>
      <c r="S212" s="397"/>
      <c r="T212" s="352">
        <v>51105</v>
      </c>
      <c r="U212" s="286"/>
      <c r="V212" s="286"/>
      <c r="W212" s="289"/>
      <c r="X212" s="5"/>
    </row>
    <row r="213" spans="1:24" ht="15.75" x14ac:dyDescent="0.25">
      <c r="A213" s="350"/>
      <c r="B213" s="286" t="s">
        <v>75</v>
      </c>
      <c r="C213" s="406"/>
      <c r="D213" s="406"/>
      <c r="E213" s="406"/>
      <c r="F213" s="406"/>
      <c r="G213" s="397"/>
      <c r="H213" s="397"/>
      <c r="I213" s="397"/>
      <c r="J213" s="397"/>
      <c r="K213" s="397"/>
      <c r="L213" s="397"/>
      <c r="M213" s="397"/>
      <c r="N213" s="397"/>
      <c r="O213" s="397"/>
      <c r="P213" s="397"/>
      <c r="Q213" s="397"/>
      <c r="R213" s="397"/>
      <c r="S213" s="397"/>
      <c r="T213" s="327">
        <v>21.06</v>
      </c>
      <c r="U213" s="286" t="s">
        <v>110</v>
      </c>
      <c r="V213" s="286"/>
      <c r="W213" s="289"/>
      <c r="X213" s="5"/>
    </row>
    <row r="214" spans="1:24" ht="15.75" x14ac:dyDescent="0.25">
      <c r="A214" s="350"/>
      <c r="B214" s="286" t="s">
        <v>76</v>
      </c>
      <c r="C214" s="406"/>
      <c r="D214" s="406"/>
      <c r="E214" s="406"/>
      <c r="F214" s="406"/>
      <c r="G214" s="397"/>
      <c r="H214" s="397"/>
      <c r="I214" s="397"/>
      <c r="J214" s="397"/>
      <c r="K214" s="397"/>
      <c r="L214" s="397"/>
      <c r="M214" s="397"/>
      <c r="N214" s="397"/>
      <c r="O214" s="397"/>
      <c r="P214" s="397"/>
      <c r="Q214" s="397"/>
      <c r="R214" s="397"/>
      <c r="S214" s="397"/>
      <c r="T214" s="327">
        <v>16.829999999999998</v>
      </c>
      <c r="U214" s="286" t="s">
        <v>110</v>
      </c>
      <c r="V214" s="286"/>
      <c r="W214" s="289"/>
      <c r="X214" s="5"/>
    </row>
    <row r="215" spans="1:24" ht="15.75" x14ac:dyDescent="0.25">
      <c r="A215" s="350"/>
      <c r="B215" s="286" t="s">
        <v>77</v>
      </c>
      <c r="C215" s="406"/>
      <c r="D215" s="406"/>
      <c r="E215" s="406"/>
      <c r="F215" s="406"/>
      <c r="G215" s="397"/>
      <c r="H215" s="397"/>
      <c r="I215" s="397"/>
      <c r="J215" s="397"/>
      <c r="K215" s="397"/>
      <c r="L215" s="397"/>
      <c r="M215" s="397"/>
      <c r="N215" s="397"/>
      <c r="O215" s="397"/>
      <c r="P215" s="397"/>
      <c r="Q215" s="397"/>
      <c r="R215" s="397"/>
      <c r="S215" s="397"/>
      <c r="T215" s="321">
        <f>+P68/N68</f>
        <v>7.2079807755377062E-3</v>
      </c>
      <c r="U215" s="286"/>
      <c r="V215" s="286"/>
      <c r="W215" s="289"/>
      <c r="X215" s="5"/>
    </row>
    <row r="216" spans="1:24" ht="15.75" x14ac:dyDescent="0.25">
      <c r="A216" s="350"/>
      <c r="B216" s="286" t="s">
        <v>78</v>
      </c>
      <c r="C216" s="406"/>
      <c r="D216" s="406"/>
      <c r="E216" s="406"/>
      <c r="F216" s="406"/>
      <c r="G216" s="397"/>
      <c r="H216" s="397"/>
      <c r="I216" s="397"/>
      <c r="J216" s="397"/>
      <c r="K216" s="397"/>
      <c r="L216" s="397"/>
      <c r="M216" s="397"/>
      <c r="N216" s="397"/>
      <c r="O216" s="397"/>
      <c r="P216" s="397"/>
      <c r="Q216" s="397"/>
      <c r="R216" s="397"/>
      <c r="S216" s="397"/>
      <c r="T216" s="321">
        <v>4.4200000000000003E-2</v>
      </c>
      <c r="U216" s="286"/>
      <c r="V216" s="286"/>
      <c r="W216" s="289"/>
      <c r="X216" s="5"/>
    </row>
    <row r="217" spans="1:24" ht="15.75" x14ac:dyDescent="0.25">
      <c r="A217" s="218"/>
      <c r="B217" s="348"/>
      <c r="C217" s="348"/>
      <c r="D217" s="348"/>
      <c r="E217" s="348"/>
      <c r="F217" s="348"/>
      <c r="G217" s="212"/>
      <c r="H217" s="212"/>
      <c r="I217" s="212"/>
      <c r="J217" s="212"/>
      <c r="K217" s="212"/>
      <c r="L217" s="212"/>
      <c r="M217" s="212"/>
      <c r="N217" s="212"/>
      <c r="O217" s="212"/>
      <c r="P217" s="212"/>
      <c r="Q217" s="212"/>
      <c r="R217" s="212"/>
      <c r="S217" s="212"/>
      <c r="T217" s="344"/>
      <c r="U217" s="212"/>
      <c r="V217" s="349"/>
      <c r="W217" s="212"/>
      <c r="X217" s="5"/>
    </row>
    <row r="218" spans="1:24" ht="15.75" x14ac:dyDescent="0.25">
      <c r="A218" s="242"/>
      <c r="B218" s="399" t="s">
        <v>79</v>
      </c>
      <c r="C218" s="400"/>
      <c r="D218" s="400"/>
      <c r="E218" s="400"/>
      <c r="F218" s="407"/>
      <c r="G218" s="400"/>
      <c r="H218" s="400"/>
      <c r="I218" s="400"/>
      <c r="J218" s="400"/>
      <c r="K218" s="400"/>
      <c r="L218" s="400"/>
      <c r="M218" s="400"/>
      <c r="N218" s="400"/>
      <c r="O218" s="400"/>
      <c r="P218" s="400"/>
      <c r="Q218" s="400"/>
      <c r="R218" s="400"/>
      <c r="S218" s="400" t="s">
        <v>102</v>
      </c>
      <c r="T218" s="407" t="s">
        <v>108</v>
      </c>
      <c r="U218" s="225"/>
      <c r="V218" s="225"/>
      <c r="W218" s="225"/>
      <c r="X218" s="5"/>
    </row>
    <row r="219" spans="1:24" ht="15.75" x14ac:dyDescent="0.25">
      <c r="A219" s="222"/>
      <c r="B219" s="250" t="s">
        <v>80</v>
      </c>
      <c r="C219" s="249"/>
      <c r="D219" s="249"/>
      <c r="E219" s="249"/>
      <c r="F219" s="250"/>
      <c r="G219" s="250"/>
      <c r="H219" s="268"/>
      <c r="I219" s="268"/>
      <c r="J219" s="268"/>
      <c r="K219" s="268"/>
      <c r="L219" s="268"/>
      <c r="M219" s="268"/>
      <c r="N219" s="268"/>
      <c r="O219" s="268"/>
      <c r="P219" s="268"/>
      <c r="Q219" s="268"/>
      <c r="R219" s="268"/>
      <c r="S219" s="268">
        <v>4</v>
      </c>
      <c r="T219" s="269">
        <v>346</v>
      </c>
      <c r="U219" s="250"/>
      <c r="V219" s="266"/>
      <c r="W219" s="223"/>
      <c r="X219" s="5"/>
    </row>
    <row r="220" spans="1:24" ht="15.75" x14ac:dyDescent="0.25">
      <c r="A220" s="358"/>
      <c r="B220" s="286" t="s">
        <v>145</v>
      </c>
      <c r="C220" s="337"/>
      <c r="D220" s="337"/>
      <c r="E220" s="337"/>
      <c r="F220" s="286"/>
      <c r="G220" s="286"/>
      <c r="H220" s="296"/>
      <c r="I220" s="296"/>
      <c r="J220" s="296"/>
      <c r="K220" s="296"/>
      <c r="L220" s="296"/>
      <c r="M220" s="296"/>
      <c r="N220" s="296"/>
      <c r="O220" s="296"/>
      <c r="P220" s="296"/>
      <c r="Q220" s="296"/>
      <c r="R220" s="296"/>
      <c r="S220" s="359">
        <f>+R272</f>
        <v>155</v>
      </c>
      <c r="T220" s="360">
        <f>+T272</f>
        <v>24901</v>
      </c>
      <c r="U220" s="286"/>
      <c r="V220" s="361"/>
      <c r="W220" s="362"/>
      <c r="X220" s="5"/>
    </row>
    <row r="221" spans="1:24" ht="15.75" x14ac:dyDescent="0.25">
      <c r="A221" s="358"/>
      <c r="B221" s="286" t="s">
        <v>81</v>
      </c>
      <c r="C221" s="337"/>
      <c r="D221" s="337"/>
      <c r="E221" s="337"/>
      <c r="F221" s="286"/>
      <c r="G221" s="286"/>
      <c r="H221" s="296"/>
      <c r="I221" s="296"/>
      <c r="J221" s="296"/>
      <c r="K221" s="296"/>
      <c r="L221" s="296"/>
      <c r="M221" s="296"/>
      <c r="N221" s="296"/>
      <c r="O221" s="296"/>
      <c r="P221" s="296"/>
      <c r="Q221" s="296"/>
      <c r="R221" s="296"/>
      <c r="S221" s="359">
        <v>0</v>
      </c>
      <c r="T221" s="360">
        <v>0</v>
      </c>
      <c r="U221" s="286"/>
      <c r="V221" s="361"/>
      <c r="W221" s="362"/>
      <c r="X221" s="5"/>
    </row>
    <row r="222" spans="1:24" ht="15.75" x14ac:dyDescent="0.25">
      <c r="A222" s="358"/>
      <c r="B222" s="313" t="s">
        <v>82</v>
      </c>
      <c r="C222" s="363"/>
      <c r="D222" s="363"/>
      <c r="E222" s="363"/>
      <c r="F222" s="314"/>
      <c r="G222" s="314"/>
      <c r="H222" s="314"/>
      <c r="I222" s="314"/>
      <c r="J222" s="314"/>
      <c r="K222" s="314"/>
      <c r="L222" s="314"/>
      <c r="M222" s="314"/>
      <c r="N222" s="314"/>
      <c r="O222" s="314"/>
      <c r="P222" s="314"/>
      <c r="Q222" s="314"/>
      <c r="R222" s="314"/>
      <c r="S222" s="286"/>
      <c r="T222" s="360">
        <v>0</v>
      </c>
      <c r="U222" s="314"/>
      <c r="V222" s="364"/>
      <c r="W222" s="362"/>
      <c r="X222" s="5"/>
    </row>
    <row r="223" spans="1:24" ht="15.75" x14ac:dyDescent="0.25">
      <c r="A223" s="358"/>
      <c r="B223" s="313" t="s">
        <v>228</v>
      </c>
      <c r="C223" s="363"/>
      <c r="D223" s="363"/>
      <c r="E223" s="363"/>
      <c r="F223" s="314"/>
      <c r="G223" s="314"/>
      <c r="H223" s="314"/>
      <c r="I223" s="314"/>
      <c r="J223" s="314"/>
      <c r="K223" s="314"/>
      <c r="L223" s="314"/>
      <c r="M223" s="314"/>
      <c r="N223" s="314"/>
      <c r="O223" s="314"/>
      <c r="P223" s="314"/>
      <c r="Q223" s="314"/>
      <c r="R223" s="314"/>
      <c r="S223" s="286"/>
      <c r="T223" s="360">
        <f>+N81</f>
        <v>0</v>
      </c>
      <c r="U223" s="314"/>
      <c r="V223" s="364"/>
      <c r="W223" s="362"/>
      <c r="X223" s="5"/>
    </row>
    <row r="224" spans="1:24" ht="15.75" x14ac:dyDescent="0.25">
      <c r="A224" s="365"/>
      <c r="B224" s="313" t="s">
        <v>83</v>
      </c>
      <c r="C224" s="366"/>
      <c r="D224" s="366"/>
      <c r="E224" s="366"/>
      <c r="F224" s="366"/>
      <c r="G224" s="314"/>
      <c r="H224" s="314"/>
      <c r="I224" s="314"/>
      <c r="J224" s="314"/>
      <c r="K224" s="314"/>
      <c r="L224" s="314"/>
      <c r="M224" s="314"/>
      <c r="N224" s="314"/>
      <c r="O224" s="314"/>
      <c r="P224" s="314"/>
      <c r="Q224" s="314"/>
      <c r="R224" s="314"/>
      <c r="S224" s="286"/>
      <c r="T224" s="360"/>
      <c r="U224" s="314"/>
      <c r="V224" s="364"/>
      <c r="W224" s="367"/>
      <c r="X224" s="5"/>
    </row>
    <row r="225" spans="1:25" ht="15.75" x14ac:dyDescent="0.25">
      <c r="A225" s="365"/>
      <c r="B225" s="286" t="s">
        <v>84</v>
      </c>
      <c r="C225" s="366"/>
      <c r="D225" s="366"/>
      <c r="E225" s="366"/>
      <c r="F225" s="366"/>
      <c r="G225" s="314"/>
      <c r="H225" s="314"/>
      <c r="I225" s="314"/>
      <c r="J225" s="314"/>
      <c r="K225" s="314"/>
      <c r="L225" s="314"/>
      <c r="M225" s="314"/>
      <c r="N225" s="314"/>
      <c r="O225" s="314"/>
      <c r="P225" s="314"/>
      <c r="Q225" s="314"/>
      <c r="R225" s="314"/>
      <c r="S225" s="296"/>
      <c r="T225" s="360">
        <f>V163</f>
        <v>459</v>
      </c>
      <c r="U225" s="314"/>
      <c r="V225" s="364"/>
      <c r="W225" s="367"/>
      <c r="X225" s="5"/>
    </row>
    <row r="226" spans="1:25" ht="15.75" x14ac:dyDescent="0.25">
      <c r="A226" s="358"/>
      <c r="B226" s="286" t="s">
        <v>85</v>
      </c>
      <c r="C226" s="363"/>
      <c r="D226" s="363"/>
      <c r="E226" s="363"/>
      <c r="F226" s="363"/>
      <c r="G226" s="314"/>
      <c r="H226" s="314"/>
      <c r="I226" s="314"/>
      <c r="J226" s="314"/>
      <c r="K226" s="314"/>
      <c r="L226" s="314"/>
      <c r="M226" s="314"/>
      <c r="N226" s="314"/>
      <c r="O226" s="314"/>
      <c r="P226" s="314"/>
      <c r="Q226" s="314"/>
      <c r="R226" s="314"/>
      <c r="S226" s="296"/>
      <c r="T226" s="360">
        <f>'Aug 11'!T226+T225</f>
        <v>3596</v>
      </c>
      <c r="U226" s="314"/>
      <c r="V226" s="364"/>
      <c r="W226" s="367"/>
      <c r="X226" s="5"/>
    </row>
    <row r="227" spans="1:25" ht="15.75" x14ac:dyDescent="0.25">
      <c r="A227" s="365"/>
      <c r="B227" s="313" t="s">
        <v>285</v>
      </c>
      <c r="C227" s="366"/>
      <c r="D227" s="366"/>
      <c r="E227" s="366"/>
      <c r="F227" s="366"/>
      <c r="G227" s="314"/>
      <c r="H227" s="314"/>
      <c r="I227" s="314"/>
      <c r="J227" s="314"/>
      <c r="K227" s="314"/>
      <c r="L227" s="314"/>
      <c r="M227" s="314"/>
      <c r="N227" s="314"/>
      <c r="O227" s="314"/>
      <c r="P227" s="314"/>
      <c r="Q227" s="314"/>
      <c r="R227" s="314"/>
      <c r="S227" s="296"/>
      <c r="T227" s="360"/>
      <c r="U227" s="314"/>
      <c r="V227" s="364"/>
      <c r="W227" s="367"/>
      <c r="X227" s="5"/>
    </row>
    <row r="228" spans="1:25" ht="15.75" x14ac:dyDescent="0.25">
      <c r="A228" s="365"/>
      <c r="B228" s="286" t="s">
        <v>282</v>
      </c>
      <c r="C228" s="366"/>
      <c r="D228" s="366"/>
      <c r="E228" s="366"/>
      <c r="F228" s="366"/>
      <c r="G228" s="314"/>
      <c r="H228" s="314"/>
      <c r="I228" s="314"/>
      <c r="J228" s="314"/>
      <c r="K228" s="314"/>
      <c r="L228" s="314"/>
      <c r="M228" s="314"/>
      <c r="N228" s="314"/>
      <c r="O228" s="314"/>
      <c r="P228" s="314"/>
      <c r="Q228" s="314"/>
      <c r="R228" s="314"/>
      <c r="S228" s="296">
        <v>0</v>
      </c>
      <c r="T228" s="360">
        <v>0</v>
      </c>
      <c r="U228" s="314"/>
      <c r="V228" s="364"/>
      <c r="W228" s="367"/>
      <c r="X228" s="5"/>
    </row>
    <row r="229" spans="1:25" ht="15.75" x14ac:dyDescent="0.25">
      <c r="A229" s="358"/>
      <c r="B229" s="286" t="s">
        <v>86</v>
      </c>
      <c r="C229" s="368"/>
      <c r="D229" s="368"/>
      <c r="E229" s="368"/>
      <c r="F229" s="369"/>
      <c r="G229" s="314"/>
      <c r="H229" s="314"/>
      <c r="I229" s="314"/>
      <c r="J229" s="314"/>
      <c r="K229" s="314"/>
      <c r="L229" s="314"/>
      <c r="M229" s="314"/>
      <c r="N229" s="314"/>
      <c r="O229" s="314"/>
      <c r="P229" s="314"/>
      <c r="Q229" s="314"/>
      <c r="R229" s="314"/>
      <c r="S229" s="286"/>
      <c r="T229" s="370">
        <v>0</v>
      </c>
      <c r="U229" s="314"/>
      <c r="V229" s="364"/>
      <c r="W229" s="367"/>
      <c r="X229" s="5"/>
    </row>
    <row r="230" spans="1:25" ht="15.75" x14ac:dyDescent="0.25">
      <c r="A230" s="358"/>
      <c r="B230" s="286" t="s">
        <v>87</v>
      </c>
      <c r="C230" s="368"/>
      <c r="D230" s="368"/>
      <c r="E230" s="368"/>
      <c r="F230" s="369"/>
      <c r="G230" s="314"/>
      <c r="H230" s="314"/>
      <c r="I230" s="314"/>
      <c r="J230" s="314"/>
      <c r="K230" s="314"/>
      <c r="L230" s="314"/>
      <c r="M230" s="314"/>
      <c r="N230" s="314"/>
      <c r="O230" s="314"/>
      <c r="P230" s="314"/>
      <c r="Q230" s="314"/>
      <c r="R230" s="314"/>
      <c r="S230" s="286"/>
      <c r="T230" s="370">
        <v>0</v>
      </c>
      <c r="U230" s="314"/>
      <c r="V230" s="364"/>
      <c r="W230" s="367"/>
      <c r="X230" s="5"/>
    </row>
    <row r="231" spans="1:25" ht="15.75" x14ac:dyDescent="0.25">
      <c r="A231" s="358"/>
      <c r="B231" s="313" t="s">
        <v>216</v>
      </c>
      <c r="C231" s="368"/>
      <c r="D231" s="368"/>
      <c r="E231" s="368"/>
      <c r="F231" s="369"/>
      <c r="G231" s="314"/>
      <c r="H231" s="314"/>
      <c r="I231" s="314"/>
      <c r="J231" s="314"/>
      <c r="K231" s="314"/>
      <c r="L231" s="314"/>
      <c r="M231" s="314"/>
      <c r="N231" s="314"/>
      <c r="O231" s="314"/>
      <c r="P231" s="314"/>
      <c r="Q231" s="314"/>
      <c r="R231" s="314"/>
      <c r="S231" s="286"/>
      <c r="T231" s="371"/>
      <c r="U231" s="314"/>
      <c r="V231" s="364"/>
      <c r="W231" s="367"/>
      <c r="X231" s="5"/>
    </row>
    <row r="232" spans="1:25" ht="15.75" x14ac:dyDescent="0.25">
      <c r="A232" s="358"/>
      <c r="B232" s="286" t="s">
        <v>282</v>
      </c>
      <c r="C232" s="368"/>
      <c r="D232" s="368"/>
      <c r="E232" s="368"/>
      <c r="F232" s="369"/>
      <c r="G232" s="314"/>
      <c r="H232" s="314"/>
      <c r="I232" s="314"/>
      <c r="J232" s="314"/>
      <c r="K232" s="314"/>
      <c r="L232" s="314"/>
      <c r="M232" s="314"/>
      <c r="N232" s="314"/>
      <c r="O232" s="314"/>
      <c r="P232" s="314"/>
      <c r="Q232" s="314"/>
      <c r="R232" s="314"/>
      <c r="S232" s="296">
        <v>6</v>
      </c>
      <c r="T232" s="360">
        <v>747</v>
      </c>
      <c r="U232" s="314"/>
      <c r="V232" s="364"/>
      <c r="W232" s="367"/>
      <c r="X232" s="5"/>
    </row>
    <row r="233" spans="1:25" ht="15.75" x14ac:dyDescent="0.25">
      <c r="A233" s="358"/>
      <c r="B233" s="286" t="s">
        <v>217</v>
      </c>
      <c r="C233" s="368"/>
      <c r="D233" s="368"/>
      <c r="E233" s="368"/>
      <c r="F233" s="369"/>
      <c r="G233" s="314"/>
      <c r="H233" s="314"/>
      <c r="I233" s="314"/>
      <c r="J233" s="314"/>
      <c r="K233" s="314"/>
      <c r="L233" s="314"/>
      <c r="M233" s="314"/>
      <c r="N233" s="314"/>
      <c r="O233" s="314"/>
      <c r="P233" s="314"/>
      <c r="Q233" s="314"/>
      <c r="R233" s="314"/>
      <c r="S233" s="286"/>
      <c r="T233" s="370">
        <v>7.41</v>
      </c>
      <c r="U233" s="314"/>
      <c r="V233" s="364"/>
      <c r="W233" s="367"/>
      <c r="X233" s="5"/>
    </row>
    <row r="234" spans="1:25" ht="15.75" x14ac:dyDescent="0.25">
      <c r="A234" s="358"/>
      <c r="B234" s="366"/>
      <c r="C234" s="368"/>
      <c r="D234" s="368"/>
      <c r="E234" s="368"/>
      <c r="F234" s="369"/>
      <c r="G234" s="314"/>
      <c r="H234" s="314"/>
      <c r="I234" s="314"/>
      <c r="J234" s="314"/>
      <c r="K234" s="314"/>
      <c r="L234" s="314"/>
      <c r="M234" s="314"/>
      <c r="N234" s="314"/>
      <c r="O234" s="314"/>
      <c r="P234" s="314"/>
      <c r="Q234" s="314"/>
      <c r="R234" s="314"/>
      <c r="S234" s="286"/>
      <c r="T234" s="371"/>
      <c r="U234" s="314"/>
      <c r="V234" s="364"/>
      <c r="W234" s="367"/>
      <c r="X234" s="5"/>
    </row>
    <row r="235" spans="1:25" ht="15.75" x14ac:dyDescent="0.25">
      <c r="A235" s="358"/>
      <c r="B235" s="366"/>
      <c r="C235" s="368"/>
      <c r="D235" s="368"/>
      <c r="E235" s="368"/>
      <c r="F235" s="369"/>
      <c r="G235" s="314"/>
      <c r="H235" s="314"/>
      <c r="I235" s="314"/>
      <c r="J235" s="314"/>
      <c r="K235" s="314"/>
      <c r="L235" s="314"/>
      <c r="M235" s="314"/>
      <c r="N235" s="314"/>
      <c r="O235" s="314"/>
      <c r="P235" s="314"/>
      <c r="Q235" s="314"/>
      <c r="R235" s="314"/>
      <c r="S235" s="314"/>
      <c r="T235" s="372"/>
      <c r="U235" s="314"/>
      <c r="V235" s="364"/>
      <c r="W235" s="367"/>
      <c r="X235" s="5"/>
    </row>
    <row r="236" spans="1:25" ht="18.75" x14ac:dyDescent="0.3">
      <c r="A236" s="358"/>
      <c r="B236" s="373" t="s">
        <v>168</v>
      </c>
      <c r="C236" s="368"/>
      <c r="D236" s="368"/>
      <c r="E236" s="368"/>
      <c r="F236" s="369"/>
      <c r="G236" s="314"/>
      <c r="H236" s="314"/>
      <c r="I236" s="314"/>
      <c r="J236" s="314"/>
      <c r="K236" s="314"/>
      <c r="L236" s="314"/>
      <c r="M236" s="314"/>
      <c r="N236" s="314"/>
      <c r="O236" s="314"/>
      <c r="P236" s="374" t="s">
        <v>167</v>
      </c>
      <c r="Q236" s="314"/>
      <c r="R236" s="314"/>
      <c r="S236" s="314"/>
      <c r="T236" s="372"/>
      <c r="U236" s="314"/>
      <c r="V236" s="364"/>
      <c r="W236" s="367"/>
      <c r="X236" s="5"/>
    </row>
    <row r="237" spans="1:25" ht="15.75" x14ac:dyDescent="0.25">
      <c r="A237" s="353"/>
      <c r="B237" s="348"/>
      <c r="C237" s="354"/>
      <c r="D237" s="354"/>
      <c r="E237" s="354"/>
      <c r="F237" s="355"/>
      <c r="G237" s="212"/>
      <c r="H237" s="212"/>
      <c r="I237" s="212"/>
      <c r="J237" s="212"/>
      <c r="K237" s="212"/>
      <c r="L237" s="212"/>
      <c r="M237" s="212"/>
      <c r="N237" s="212"/>
      <c r="O237" s="212"/>
      <c r="P237" s="212"/>
      <c r="Q237" s="212"/>
      <c r="R237" s="212"/>
      <c r="S237" s="212"/>
      <c r="T237" s="356"/>
      <c r="U237" s="212"/>
      <c r="V237" s="349"/>
      <c r="W237" s="357"/>
      <c r="X237" s="5"/>
    </row>
    <row r="238" spans="1:25" ht="15.75" x14ac:dyDescent="0.25">
      <c r="A238" s="224"/>
      <c r="B238" s="399" t="s">
        <v>297</v>
      </c>
      <c r="C238" s="400"/>
      <c r="D238" s="400"/>
      <c r="E238" s="400"/>
      <c r="F238" s="407"/>
      <c r="G238" s="400"/>
      <c r="H238" s="400"/>
      <c r="I238" s="400"/>
      <c r="J238" s="400"/>
      <c r="K238" s="400"/>
      <c r="L238" s="400"/>
      <c r="M238" s="400"/>
      <c r="N238" s="400"/>
      <c r="O238" s="400"/>
      <c r="P238" s="400"/>
      <c r="Q238" s="400"/>
      <c r="R238" s="407" t="s">
        <v>102</v>
      </c>
      <c r="S238" s="400" t="s">
        <v>103</v>
      </c>
      <c r="T238" s="407" t="s">
        <v>109</v>
      </c>
      <c r="U238" s="400" t="s">
        <v>103</v>
      </c>
      <c r="V238" s="225"/>
      <c r="W238" s="399"/>
      <c r="X238" s="5"/>
    </row>
    <row r="239" spans="1:25" ht="15.75" x14ac:dyDescent="0.25">
      <c r="A239" s="193"/>
      <c r="B239" s="249" t="s">
        <v>88</v>
      </c>
      <c r="C239" s="265"/>
      <c r="D239" s="265"/>
      <c r="E239" s="265"/>
      <c r="F239" s="250"/>
      <c r="G239" s="265"/>
      <c r="H239" s="265"/>
      <c r="I239" s="265"/>
      <c r="J239" s="265"/>
      <c r="K239" s="265"/>
      <c r="L239" s="265"/>
      <c r="M239" s="265"/>
      <c r="N239" s="265"/>
      <c r="O239" s="265"/>
      <c r="P239" s="265"/>
      <c r="Q239" s="265"/>
      <c r="R239" s="249">
        <f t="shared" ref="R239:R246" si="1">+R251+R263+R275</f>
        <v>5713</v>
      </c>
      <c r="S239" s="252">
        <f t="shared" ref="S239:S246" si="2">R239/$R$248</f>
        <v>0.98195256101753181</v>
      </c>
      <c r="T239" s="253">
        <f t="shared" ref="T239:T246" si="3">+T251+T263+T275</f>
        <v>815199</v>
      </c>
      <c r="U239" s="252">
        <f t="shared" ref="U239:U246" si="4">T239/$T$248</f>
        <v>0.97925213010423184</v>
      </c>
      <c r="V239" s="266"/>
      <c r="W239" s="408"/>
      <c r="X239" s="5"/>
    </row>
    <row r="240" spans="1:25" ht="15.75" x14ac:dyDescent="0.25">
      <c r="A240" s="285"/>
      <c r="B240" s="337" t="s">
        <v>89</v>
      </c>
      <c r="C240" s="378"/>
      <c r="D240" s="378"/>
      <c r="E240" s="378"/>
      <c r="F240" s="286"/>
      <c r="G240" s="379"/>
      <c r="H240" s="378"/>
      <c r="I240" s="378"/>
      <c r="J240" s="378"/>
      <c r="K240" s="378"/>
      <c r="L240" s="378"/>
      <c r="M240" s="378"/>
      <c r="N240" s="378"/>
      <c r="O240" s="378"/>
      <c r="P240" s="378"/>
      <c r="Q240" s="378"/>
      <c r="R240" s="337">
        <f t="shared" si="1"/>
        <v>42</v>
      </c>
      <c r="S240" s="379">
        <f t="shared" si="2"/>
        <v>7.2189755929872807E-3</v>
      </c>
      <c r="T240" s="338">
        <f t="shared" si="3"/>
        <v>8052</v>
      </c>
      <c r="U240" s="379">
        <f t="shared" si="4"/>
        <v>9.6724090088423503E-3</v>
      </c>
      <c r="V240" s="361"/>
      <c r="W240" s="409"/>
      <c r="X240" s="5"/>
      <c r="Y240" s="109"/>
    </row>
    <row r="241" spans="1:25" ht="15.75" x14ac:dyDescent="0.25">
      <c r="A241" s="285"/>
      <c r="B241" s="337" t="s">
        <v>90</v>
      </c>
      <c r="C241" s="378"/>
      <c r="D241" s="378"/>
      <c r="E241" s="378"/>
      <c r="F241" s="286"/>
      <c r="G241" s="379"/>
      <c r="H241" s="378"/>
      <c r="I241" s="378"/>
      <c r="J241" s="378"/>
      <c r="K241" s="378"/>
      <c r="L241" s="378"/>
      <c r="M241" s="378"/>
      <c r="N241" s="378"/>
      <c r="O241" s="378"/>
      <c r="P241" s="378"/>
      <c r="Q241" s="378"/>
      <c r="R241" s="337">
        <f t="shared" si="1"/>
        <v>10</v>
      </c>
      <c r="S241" s="379">
        <f t="shared" si="2"/>
        <v>1.7188037126160192E-3</v>
      </c>
      <c r="T241" s="338">
        <f t="shared" si="3"/>
        <v>1265</v>
      </c>
      <c r="U241" s="379">
        <f t="shared" si="4"/>
        <v>1.5195724535749593E-3</v>
      </c>
      <c r="V241" s="361"/>
      <c r="W241" s="409"/>
      <c r="X241" s="5"/>
    </row>
    <row r="242" spans="1:25" ht="15.75" x14ac:dyDescent="0.25">
      <c r="A242" s="285"/>
      <c r="B242" s="337" t="s">
        <v>156</v>
      </c>
      <c r="C242" s="378"/>
      <c r="D242" s="378"/>
      <c r="E242" s="378"/>
      <c r="F242" s="286"/>
      <c r="G242" s="379"/>
      <c r="H242" s="378"/>
      <c r="I242" s="378"/>
      <c r="J242" s="378"/>
      <c r="K242" s="378"/>
      <c r="L242" s="378"/>
      <c r="M242" s="378"/>
      <c r="N242" s="378"/>
      <c r="O242" s="378"/>
      <c r="P242" s="378"/>
      <c r="Q242" s="378"/>
      <c r="R242" s="337">
        <f t="shared" si="1"/>
        <v>4</v>
      </c>
      <c r="S242" s="379">
        <f t="shared" si="2"/>
        <v>6.8752148504640774E-4</v>
      </c>
      <c r="T242" s="338">
        <f t="shared" si="3"/>
        <v>448</v>
      </c>
      <c r="U242" s="379">
        <f t="shared" si="4"/>
        <v>5.3815688474433349E-4</v>
      </c>
      <c r="V242" s="361"/>
      <c r="W242" s="409"/>
      <c r="X242" s="5"/>
      <c r="Y242" s="109"/>
    </row>
    <row r="243" spans="1:25" ht="15.75" x14ac:dyDescent="0.25">
      <c r="A243" s="285"/>
      <c r="B243" s="337" t="s">
        <v>157</v>
      </c>
      <c r="C243" s="378"/>
      <c r="D243" s="378"/>
      <c r="E243" s="378"/>
      <c r="F243" s="286"/>
      <c r="G243" s="379"/>
      <c r="H243" s="378"/>
      <c r="I243" s="378"/>
      <c r="J243" s="378"/>
      <c r="K243" s="378"/>
      <c r="L243" s="378"/>
      <c r="M243" s="378"/>
      <c r="N243" s="378"/>
      <c r="O243" s="378"/>
      <c r="P243" s="378"/>
      <c r="Q243" s="378"/>
      <c r="R243" s="337">
        <f t="shared" si="1"/>
        <v>4</v>
      </c>
      <c r="S243" s="379">
        <f t="shared" si="2"/>
        <v>6.8752148504640774E-4</v>
      </c>
      <c r="T243" s="338">
        <f t="shared" si="3"/>
        <v>368</v>
      </c>
      <c r="U243" s="379">
        <f t="shared" si="4"/>
        <v>4.4205744103998815E-4</v>
      </c>
      <c r="V243" s="361"/>
      <c r="W243" s="409"/>
      <c r="X243" s="5"/>
    </row>
    <row r="244" spans="1:25" ht="15.75" x14ac:dyDescent="0.25">
      <c r="A244" s="285"/>
      <c r="B244" s="337" t="s">
        <v>158</v>
      </c>
      <c r="C244" s="378"/>
      <c r="D244" s="378"/>
      <c r="E244" s="378"/>
      <c r="F244" s="286"/>
      <c r="G244" s="379"/>
      <c r="H244" s="378"/>
      <c r="I244" s="378"/>
      <c r="J244" s="378"/>
      <c r="K244" s="378"/>
      <c r="L244" s="378"/>
      <c r="M244" s="378"/>
      <c r="N244" s="378"/>
      <c r="O244" s="378"/>
      <c r="P244" s="378"/>
      <c r="Q244" s="378"/>
      <c r="R244" s="337">
        <f t="shared" si="1"/>
        <v>2</v>
      </c>
      <c r="S244" s="379">
        <f t="shared" si="2"/>
        <v>3.4376074252320387E-4</v>
      </c>
      <c r="T244" s="338">
        <f t="shared" si="3"/>
        <v>438</v>
      </c>
      <c r="U244" s="379">
        <f t="shared" si="4"/>
        <v>5.261444542812903E-4</v>
      </c>
      <c r="V244" s="361"/>
      <c r="W244" s="409"/>
      <c r="X244" s="5"/>
      <c r="Y244" s="109"/>
    </row>
    <row r="245" spans="1:25" ht="15.75" x14ac:dyDescent="0.25">
      <c r="A245" s="285"/>
      <c r="B245" s="337" t="s">
        <v>159</v>
      </c>
      <c r="C245" s="378"/>
      <c r="D245" s="378"/>
      <c r="E245" s="378"/>
      <c r="F245" s="286"/>
      <c r="G245" s="379"/>
      <c r="H245" s="378"/>
      <c r="I245" s="378"/>
      <c r="J245" s="378"/>
      <c r="K245" s="378"/>
      <c r="L245" s="378"/>
      <c r="M245" s="378"/>
      <c r="N245" s="378"/>
      <c r="O245" s="378"/>
      <c r="P245" s="378"/>
      <c r="Q245" s="378"/>
      <c r="R245" s="337">
        <f t="shared" si="1"/>
        <v>20</v>
      </c>
      <c r="S245" s="379">
        <f t="shared" si="2"/>
        <v>3.4376074252320385E-3</v>
      </c>
      <c r="T245" s="338">
        <f t="shared" si="3"/>
        <v>3219</v>
      </c>
      <c r="U245" s="379">
        <f t="shared" si="4"/>
        <v>3.8668013660535924E-3</v>
      </c>
      <c r="V245" s="361"/>
      <c r="W245" s="409"/>
      <c r="X245" s="5"/>
    </row>
    <row r="246" spans="1:25" ht="15.75" x14ac:dyDescent="0.25">
      <c r="A246" s="285"/>
      <c r="B246" s="337" t="s">
        <v>160</v>
      </c>
      <c r="C246" s="378"/>
      <c r="D246" s="378"/>
      <c r="E246" s="378"/>
      <c r="F246" s="286"/>
      <c r="G246" s="379"/>
      <c r="H246" s="378"/>
      <c r="I246" s="378"/>
      <c r="J246" s="378"/>
      <c r="K246" s="378"/>
      <c r="L246" s="378"/>
      <c r="M246" s="378"/>
      <c r="N246" s="378"/>
      <c r="O246" s="378"/>
      <c r="P246" s="378"/>
      <c r="Q246" s="378"/>
      <c r="R246" s="386">
        <f t="shared" si="1"/>
        <v>23</v>
      </c>
      <c r="S246" s="379">
        <f t="shared" si="2"/>
        <v>3.9532485390168445E-3</v>
      </c>
      <c r="T246" s="383">
        <f t="shared" si="3"/>
        <v>3482</v>
      </c>
      <c r="U246" s="387">
        <f t="shared" si="4"/>
        <v>4.1827282872316275E-3</v>
      </c>
      <c r="V246" s="361"/>
      <c r="W246" s="409"/>
      <c r="X246" s="5"/>
      <c r="Y246" s="109"/>
    </row>
    <row r="247" spans="1:25" ht="15.75" x14ac:dyDescent="0.25">
      <c r="A247" s="285"/>
      <c r="B247" s="337"/>
      <c r="C247" s="378"/>
      <c r="D247" s="378"/>
      <c r="E247" s="378"/>
      <c r="F247" s="286"/>
      <c r="G247" s="379"/>
      <c r="H247" s="378"/>
      <c r="I247" s="378"/>
      <c r="J247" s="378"/>
      <c r="K247" s="378"/>
      <c r="L247" s="378"/>
      <c r="M247" s="378"/>
      <c r="N247" s="378"/>
      <c r="O247" s="378"/>
      <c r="P247" s="378"/>
      <c r="Q247" s="378"/>
      <c r="R247" s="337"/>
      <c r="S247" s="379"/>
      <c r="T247" s="338"/>
      <c r="U247" s="379"/>
      <c r="V247" s="361"/>
      <c r="W247" s="409"/>
      <c r="X247" s="5"/>
    </row>
    <row r="248" spans="1:25" ht="15.75" x14ac:dyDescent="0.25">
      <c r="A248" s="285"/>
      <c r="B248" s="286"/>
      <c r="C248" s="286"/>
      <c r="D248" s="286"/>
      <c r="E248" s="286"/>
      <c r="F248" s="286"/>
      <c r="G248" s="286"/>
      <c r="H248" s="381"/>
      <c r="I248" s="381"/>
      <c r="J248" s="381"/>
      <c r="K248" s="381"/>
      <c r="L248" s="381"/>
      <c r="M248" s="381"/>
      <c r="N248" s="381"/>
      <c r="O248" s="381"/>
      <c r="P248" s="381"/>
      <c r="Q248" s="381"/>
      <c r="R248" s="337">
        <f>SUM(R239:R247)</f>
        <v>5818</v>
      </c>
      <c r="S248" s="379">
        <f>SUM(S239:S247)</f>
        <v>0.99999999999999978</v>
      </c>
      <c r="T248" s="338">
        <f>SUM(T239:T247)</f>
        <v>832471</v>
      </c>
      <c r="U248" s="379">
        <f>SUM(U239:U247)</f>
        <v>1</v>
      </c>
      <c r="V248" s="286"/>
      <c r="W248" s="289"/>
      <c r="X248" s="5"/>
    </row>
    <row r="249" spans="1:25" ht="15.75" x14ac:dyDescent="0.25">
      <c r="A249" s="181"/>
      <c r="B249" s="212"/>
      <c r="C249" s="212"/>
      <c r="D249" s="212"/>
      <c r="E249" s="212"/>
      <c r="F249" s="212"/>
      <c r="G249" s="212"/>
      <c r="H249" s="375"/>
      <c r="I249" s="375"/>
      <c r="J249" s="375"/>
      <c r="K249" s="375"/>
      <c r="L249" s="375"/>
      <c r="M249" s="375"/>
      <c r="N249" s="375"/>
      <c r="O249" s="375"/>
      <c r="P249" s="375"/>
      <c r="Q249" s="375"/>
      <c r="R249" s="335"/>
      <c r="S249" s="376"/>
      <c r="T249" s="377"/>
      <c r="U249" s="376"/>
      <c r="V249" s="212"/>
      <c r="W249" s="212"/>
      <c r="X249" s="5"/>
    </row>
    <row r="250" spans="1:25" ht="15.75" x14ac:dyDescent="0.25">
      <c r="A250" s="224"/>
      <c r="B250" s="399" t="s">
        <v>162</v>
      </c>
      <c r="C250" s="400"/>
      <c r="D250" s="400"/>
      <c r="E250" s="400"/>
      <c r="F250" s="407"/>
      <c r="G250" s="400"/>
      <c r="H250" s="400"/>
      <c r="I250" s="400"/>
      <c r="J250" s="400"/>
      <c r="K250" s="400"/>
      <c r="L250" s="400"/>
      <c r="M250" s="400"/>
      <c r="N250" s="400"/>
      <c r="O250" s="400"/>
      <c r="P250" s="400"/>
      <c r="Q250" s="400"/>
      <c r="R250" s="407" t="s">
        <v>102</v>
      </c>
      <c r="S250" s="400" t="s">
        <v>103</v>
      </c>
      <c r="T250" s="407" t="s">
        <v>109</v>
      </c>
      <c r="U250" s="400" t="s">
        <v>103</v>
      </c>
      <c r="V250" s="225"/>
      <c r="W250" s="399"/>
      <c r="X250" s="5"/>
    </row>
    <row r="251" spans="1:25" ht="15.75" x14ac:dyDescent="0.25">
      <c r="A251" s="193"/>
      <c r="B251" s="249" t="s">
        <v>88</v>
      </c>
      <c r="C251" s="265"/>
      <c r="D251" s="265"/>
      <c r="E251" s="265"/>
      <c r="F251" s="250"/>
      <c r="G251" s="265"/>
      <c r="H251" s="265"/>
      <c r="I251" s="265"/>
      <c r="J251" s="265"/>
      <c r="K251" s="265"/>
      <c r="L251" s="265"/>
      <c r="M251" s="265"/>
      <c r="N251" s="265"/>
      <c r="O251" s="265"/>
      <c r="P251" s="265"/>
      <c r="Q251" s="265"/>
      <c r="R251" s="249">
        <v>5638</v>
      </c>
      <c r="S251" s="252">
        <f t="shared" ref="S251:S258" si="5">R251/$R$260</f>
        <v>0.99558537877450115</v>
      </c>
      <c r="T251" s="253">
        <v>802488</v>
      </c>
      <c r="U251" s="252">
        <f t="shared" ref="U251:U258" si="6">T251/$T$260</f>
        <v>0.99370704706712731</v>
      </c>
      <c r="V251" s="266"/>
      <c r="W251" s="408"/>
      <c r="X251" s="5"/>
    </row>
    <row r="252" spans="1:25" ht="15.75" x14ac:dyDescent="0.25">
      <c r="A252" s="285"/>
      <c r="B252" s="337" t="s">
        <v>89</v>
      </c>
      <c r="C252" s="378"/>
      <c r="D252" s="378"/>
      <c r="E252" s="378"/>
      <c r="F252" s="286"/>
      <c r="G252" s="379"/>
      <c r="H252" s="378"/>
      <c r="I252" s="378"/>
      <c r="J252" s="378"/>
      <c r="K252" s="378"/>
      <c r="L252" s="378"/>
      <c r="M252" s="378"/>
      <c r="N252" s="378"/>
      <c r="O252" s="378"/>
      <c r="P252" s="378"/>
      <c r="Q252" s="378"/>
      <c r="R252" s="337">
        <v>21</v>
      </c>
      <c r="S252" s="379">
        <f t="shared" si="5"/>
        <v>3.708281829419036E-3</v>
      </c>
      <c r="T252" s="338">
        <v>4573</v>
      </c>
      <c r="U252" s="379">
        <f t="shared" si="6"/>
        <v>5.6626670133858364E-3</v>
      </c>
      <c r="V252" s="361"/>
      <c r="W252" s="409"/>
      <c r="X252" s="5"/>
      <c r="Y252" s="109"/>
    </row>
    <row r="253" spans="1:25" ht="15.75" x14ac:dyDescent="0.25">
      <c r="A253" s="285"/>
      <c r="B253" s="337" t="s">
        <v>90</v>
      </c>
      <c r="C253" s="378"/>
      <c r="D253" s="378"/>
      <c r="E253" s="378"/>
      <c r="F253" s="286"/>
      <c r="G253" s="379"/>
      <c r="H253" s="378"/>
      <c r="I253" s="378"/>
      <c r="J253" s="378"/>
      <c r="K253" s="378"/>
      <c r="L253" s="378"/>
      <c r="M253" s="378"/>
      <c r="N253" s="378"/>
      <c r="O253" s="378"/>
      <c r="P253" s="378"/>
      <c r="Q253" s="378"/>
      <c r="R253" s="337">
        <v>2</v>
      </c>
      <c r="S253" s="379">
        <f t="shared" si="5"/>
        <v>3.5316969803990818E-4</v>
      </c>
      <c r="T253" s="338">
        <v>343</v>
      </c>
      <c r="U253" s="379">
        <f t="shared" si="6"/>
        <v>4.2473098307267481E-4</v>
      </c>
      <c r="V253" s="361"/>
      <c r="W253" s="409"/>
      <c r="X253" s="5"/>
    </row>
    <row r="254" spans="1:25" ht="15.75" x14ac:dyDescent="0.25">
      <c r="A254" s="285"/>
      <c r="B254" s="337" t="s">
        <v>156</v>
      </c>
      <c r="C254" s="378"/>
      <c r="D254" s="378"/>
      <c r="E254" s="378"/>
      <c r="F254" s="286"/>
      <c r="G254" s="379"/>
      <c r="H254" s="378"/>
      <c r="I254" s="378"/>
      <c r="J254" s="378"/>
      <c r="K254" s="378"/>
      <c r="L254" s="378"/>
      <c r="M254" s="378"/>
      <c r="N254" s="378"/>
      <c r="O254" s="378"/>
      <c r="P254" s="378"/>
      <c r="Q254" s="378"/>
      <c r="R254" s="337">
        <v>0</v>
      </c>
      <c r="S254" s="379">
        <f t="shared" si="5"/>
        <v>0</v>
      </c>
      <c r="T254" s="338">
        <v>0</v>
      </c>
      <c r="U254" s="379">
        <f t="shared" si="6"/>
        <v>0</v>
      </c>
      <c r="V254" s="361"/>
      <c r="W254" s="409"/>
      <c r="X254" s="5"/>
      <c r="Y254" s="109"/>
    </row>
    <row r="255" spans="1:25" ht="15.75" x14ac:dyDescent="0.25">
      <c r="A255" s="285"/>
      <c r="B255" s="337" t="s">
        <v>157</v>
      </c>
      <c r="C255" s="378"/>
      <c r="D255" s="378"/>
      <c r="E255" s="378"/>
      <c r="F255" s="286"/>
      <c r="G255" s="379"/>
      <c r="H255" s="378"/>
      <c r="I255" s="378"/>
      <c r="J255" s="378"/>
      <c r="K255" s="378"/>
      <c r="L255" s="378"/>
      <c r="M255" s="378"/>
      <c r="N255" s="378"/>
      <c r="O255" s="378"/>
      <c r="P255" s="378"/>
      <c r="Q255" s="378"/>
      <c r="R255" s="337">
        <v>0</v>
      </c>
      <c r="S255" s="379">
        <f t="shared" si="5"/>
        <v>0</v>
      </c>
      <c r="T255" s="338">
        <v>0</v>
      </c>
      <c r="U255" s="379">
        <f t="shared" si="6"/>
        <v>0</v>
      </c>
      <c r="V255" s="361"/>
      <c r="W255" s="409"/>
      <c r="X255" s="5"/>
    </row>
    <row r="256" spans="1:25" ht="15.75" x14ac:dyDescent="0.25">
      <c r="A256" s="285"/>
      <c r="B256" s="337" t="s">
        <v>158</v>
      </c>
      <c r="C256" s="378"/>
      <c r="D256" s="378"/>
      <c r="E256" s="378"/>
      <c r="F256" s="286"/>
      <c r="G256" s="379"/>
      <c r="H256" s="378"/>
      <c r="I256" s="378"/>
      <c r="J256" s="378"/>
      <c r="K256" s="378"/>
      <c r="L256" s="378"/>
      <c r="M256" s="378"/>
      <c r="N256" s="378"/>
      <c r="O256" s="378"/>
      <c r="P256" s="378"/>
      <c r="Q256" s="378"/>
      <c r="R256" s="337">
        <v>0</v>
      </c>
      <c r="S256" s="379">
        <f t="shared" si="5"/>
        <v>0</v>
      </c>
      <c r="T256" s="338">
        <v>0</v>
      </c>
      <c r="U256" s="379">
        <f t="shared" si="6"/>
        <v>0</v>
      </c>
      <c r="V256" s="361"/>
      <c r="W256" s="409"/>
      <c r="X256" s="5"/>
      <c r="Y256" s="109"/>
    </row>
    <row r="257" spans="1:25" ht="15.75" x14ac:dyDescent="0.25">
      <c r="A257" s="285"/>
      <c r="B257" s="337" t="s">
        <v>159</v>
      </c>
      <c r="C257" s="378"/>
      <c r="D257" s="378"/>
      <c r="E257" s="378"/>
      <c r="F257" s="286"/>
      <c r="G257" s="379"/>
      <c r="H257" s="378"/>
      <c r="I257" s="378"/>
      <c r="J257" s="378"/>
      <c r="K257" s="378"/>
      <c r="L257" s="378"/>
      <c r="M257" s="378"/>
      <c r="N257" s="378"/>
      <c r="O257" s="378"/>
      <c r="P257" s="378"/>
      <c r="Q257" s="378"/>
      <c r="R257" s="337">
        <v>0</v>
      </c>
      <c r="S257" s="379">
        <f t="shared" si="5"/>
        <v>0</v>
      </c>
      <c r="T257" s="338">
        <v>0</v>
      </c>
      <c r="U257" s="379">
        <f t="shared" si="6"/>
        <v>0</v>
      </c>
      <c r="V257" s="361"/>
      <c r="W257" s="409"/>
      <c r="X257" s="5"/>
    </row>
    <row r="258" spans="1:25" ht="15.75" x14ac:dyDescent="0.25">
      <c r="A258" s="285"/>
      <c r="B258" s="337" t="s">
        <v>160</v>
      </c>
      <c r="C258" s="378"/>
      <c r="D258" s="378"/>
      <c r="E258" s="378"/>
      <c r="F258" s="286"/>
      <c r="G258" s="379"/>
      <c r="H258" s="378"/>
      <c r="I258" s="378"/>
      <c r="J258" s="378"/>
      <c r="K258" s="378"/>
      <c r="L258" s="378"/>
      <c r="M258" s="378"/>
      <c r="N258" s="378"/>
      <c r="O258" s="378"/>
      <c r="P258" s="378"/>
      <c r="Q258" s="378"/>
      <c r="R258" s="337">
        <v>2</v>
      </c>
      <c r="S258" s="379">
        <f t="shared" si="5"/>
        <v>3.5316969803990818E-4</v>
      </c>
      <c r="T258" s="338">
        <v>166</v>
      </c>
      <c r="U258" s="379">
        <f t="shared" si="6"/>
        <v>2.0555493641418081E-4</v>
      </c>
      <c r="V258" s="361"/>
      <c r="W258" s="409"/>
      <c r="X258" s="5"/>
      <c r="Y258" s="109"/>
    </row>
    <row r="259" spans="1:25" ht="15.75" x14ac:dyDescent="0.25">
      <c r="A259" s="285"/>
      <c r="B259" s="337"/>
      <c r="C259" s="378"/>
      <c r="D259" s="378"/>
      <c r="E259" s="378"/>
      <c r="F259" s="286"/>
      <c r="G259" s="379"/>
      <c r="H259" s="378"/>
      <c r="I259" s="378"/>
      <c r="J259" s="378"/>
      <c r="K259" s="378"/>
      <c r="L259" s="378"/>
      <c r="M259" s="378"/>
      <c r="N259" s="378"/>
      <c r="O259" s="378"/>
      <c r="P259" s="378"/>
      <c r="Q259" s="378"/>
      <c r="R259" s="337"/>
      <c r="S259" s="379"/>
      <c r="T259" s="338"/>
      <c r="U259" s="379"/>
      <c r="V259" s="361"/>
      <c r="W259" s="409"/>
      <c r="X259" s="5"/>
    </row>
    <row r="260" spans="1:25" ht="15.75" x14ac:dyDescent="0.25">
      <c r="A260" s="285"/>
      <c r="B260" s="286"/>
      <c r="C260" s="286"/>
      <c r="D260" s="286"/>
      <c r="E260" s="286"/>
      <c r="F260" s="286"/>
      <c r="G260" s="286"/>
      <c r="H260" s="381"/>
      <c r="I260" s="381"/>
      <c r="J260" s="381"/>
      <c r="K260" s="381"/>
      <c r="L260" s="381"/>
      <c r="M260" s="381"/>
      <c r="N260" s="381"/>
      <c r="O260" s="381"/>
      <c r="P260" s="381"/>
      <c r="Q260" s="381"/>
      <c r="R260" s="337">
        <f>SUM(R251:R259)</f>
        <v>5663</v>
      </c>
      <c r="S260" s="379">
        <f>SUM(S251:S259)</f>
        <v>1</v>
      </c>
      <c r="T260" s="338">
        <f>SUM(T251:T259)</f>
        <v>807570</v>
      </c>
      <c r="U260" s="379">
        <f>SUM(U251:U259)</f>
        <v>1</v>
      </c>
      <c r="V260" s="286"/>
      <c r="W260" s="289"/>
      <c r="X260" s="5"/>
    </row>
    <row r="261" spans="1:25" ht="15.75" x14ac:dyDescent="0.25">
      <c r="A261" s="181"/>
      <c r="B261" s="212"/>
      <c r="C261" s="212"/>
      <c r="D261" s="212"/>
      <c r="E261" s="212"/>
      <c r="F261" s="212"/>
      <c r="G261" s="212"/>
      <c r="H261" s="375"/>
      <c r="I261" s="375"/>
      <c r="J261" s="375"/>
      <c r="K261" s="375"/>
      <c r="L261" s="375"/>
      <c r="M261" s="375"/>
      <c r="N261" s="375"/>
      <c r="O261" s="375"/>
      <c r="P261" s="375"/>
      <c r="Q261" s="375"/>
      <c r="R261" s="335"/>
      <c r="S261" s="376"/>
      <c r="T261" s="377"/>
      <c r="U261" s="376"/>
      <c r="V261" s="212"/>
      <c r="W261" s="212"/>
      <c r="X261" s="5"/>
    </row>
    <row r="262" spans="1:25" ht="15.75" x14ac:dyDescent="0.25">
      <c r="A262" s="244"/>
      <c r="B262" s="399" t="s">
        <v>236</v>
      </c>
      <c r="C262" s="400"/>
      <c r="D262" s="400"/>
      <c r="E262" s="400"/>
      <c r="F262" s="407"/>
      <c r="G262" s="400"/>
      <c r="H262" s="400"/>
      <c r="I262" s="400"/>
      <c r="J262" s="400"/>
      <c r="K262" s="400"/>
      <c r="L262" s="400"/>
      <c r="M262" s="400"/>
      <c r="N262" s="400"/>
      <c r="O262" s="400"/>
      <c r="P262" s="400"/>
      <c r="Q262" s="400"/>
      <c r="R262" s="407" t="s">
        <v>102</v>
      </c>
      <c r="S262" s="400" t="s">
        <v>103</v>
      </c>
      <c r="T262" s="407" t="s">
        <v>109</v>
      </c>
      <c r="U262" s="400" t="s">
        <v>103</v>
      </c>
      <c r="V262" s="245"/>
      <c r="W262" s="246"/>
      <c r="X262" s="5"/>
    </row>
    <row r="263" spans="1:25" ht="15.75" x14ac:dyDescent="0.25">
      <c r="A263" s="193"/>
      <c r="B263" s="249" t="s">
        <v>88</v>
      </c>
      <c r="C263" s="265"/>
      <c r="D263" s="265"/>
      <c r="E263" s="265"/>
      <c r="F263" s="250"/>
      <c r="G263" s="265"/>
      <c r="H263" s="265"/>
      <c r="I263" s="265"/>
      <c r="J263" s="265"/>
      <c r="K263" s="265"/>
      <c r="L263" s="265"/>
      <c r="M263" s="265"/>
      <c r="N263" s="265"/>
      <c r="O263" s="265"/>
      <c r="P263" s="265"/>
      <c r="Q263" s="265"/>
      <c r="R263" s="249">
        <v>75</v>
      </c>
      <c r="S263" s="252">
        <f t="shared" ref="S263:S270" si="7">R263/$R$272</f>
        <v>0.4838709677419355</v>
      </c>
      <c r="T263" s="253">
        <v>12711</v>
      </c>
      <c r="U263" s="252">
        <f t="shared" ref="U263:U270" si="8">T263/$T$272</f>
        <v>0.51046142725191757</v>
      </c>
      <c r="V263" s="250"/>
      <c r="W263" s="250"/>
      <c r="X263" s="5"/>
    </row>
    <row r="264" spans="1:25" ht="15.75" x14ac:dyDescent="0.25">
      <c r="A264" s="285"/>
      <c r="B264" s="337" t="s">
        <v>89</v>
      </c>
      <c r="C264" s="378"/>
      <c r="D264" s="378"/>
      <c r="E264" s="378"/>
      <c r="F264" s="286"/>
      <c r="G264" s="379"/>
      <c r="H264" s="378"/>
      <c r="I264" s="378"/>
      <c r="J264" s="378"/>
      <c r="K264" s="378"/>
      <c r="L264" s="378"/>
      <c r="M264" s="378"/>
      <c r="N264" s="378"/>
      <c r="O264" s="378"/>
      <c r="P264" s="378"/>
      <c r="Q264" s="378"/>
      <c r="R264" s="337">
        <v>21</v>
      </c>
      <c r="S264" s="379">
        <f t="shared" si="7"/>
        <v>0.13548387096774195</v>
      </c>
      <c r="T264" s="338">
        <v>3479</v>
      </c>
      <c r="U264" s="379">
        <f t="shared" si="8"/>
        <v>0.13971326452752902</v>
      </c>
      <c r="V264" s="286"/>
      <c r="W264" s="289"/>
      <c r="X264" s="5"/>
    </row>
    <row r="265" spans="1:25" ht="15.75" x14ac:dyDescent="0.25">
      <c r="A265" s="285"/>
      <c r="B265" s="337" t="s">
        <v>90</v>
      </c>
      <c r="C265" s="378"/>
      <c r="D265" s="378"/>
      <c r="E265" s="378"/>
      <c r="F265" s="286"/>
      <c r="G265" s="379"/>
      <c r="H265" s="378"/>
      <c r="I265" s="378"/>
      <c r="J265" s="378"/>
      <c r="K265" s="378"/>
      <c r="L265" s="378"/>
      <c r="M265" s="378"/>
      <c r="N265" s="378"/>
      <c r="O265" s="378"/>
      <c r="P265" s="378"/>
      <c r="Q265" s="378"/>
      <c r="R265" s="337">
        <v>8</v>
      </c>
      <c r="S265" s="379">
        <f t="shared" si="7"/>
        <v>5.1612903225806452E-2</v>
      </c>
      <c r="T265" s="338">
        <v>922</v>
      </c>
      <c r="U265" s="379">
        <f t="shared" si="8"/>
        <v>3.7026625436729452E-2</v>
      </c>
      <c r="V265" s="286"/>
      <c r="W265" s="289"/>
      <c r="X265" s="5"/>
    </row>
    <row r="266" spans="1:25" ht="15.75" x14ac:dyDescent="0.25">
      <c r="A266" s="285"/>
      <c r="B266" s="337" t="s">
        <v>156</v>
      </c>
      <c r="C266" s="378"/>
      <c r="D266" s="378"/>
      <c r="E266" s="378"/>
      <c r="F266" s="286"/>
      <c r="G266" s="379"/>
      <c r="H266" s="378"/>
      <c r="I266" s="378"/>
      <c r="J266" s="378"/>
      <c r="K266" s="378"/>
      <c r="L266" s="378"/>
      <c r="M266" s="378"/>
      <c r="N266" s="378"/>
      <c r="O266" s="378"/>
      <c r="P266" s="378"/>
      <c r="Q266" s="378"/>
      <c r="R266" s="337">
        <v>4</v>
      </c>
      <c r="S266" s="379">
        <f t="shared" si="7"/>
        <v>2.5806451612903226E-2</v>
      </c>
      <c r="T266" s="338">
        <v>448</v>
      </c>
      <c r="U266" s="379">
        <f t="shared" si="8"/>
        <v>1.7991245331512792E-2</v>
      </c>
      <c r="V266" s="286"/>
      <c r="W266" s="289"/>
      <c r="X266" s="5"/>
    </row>
    <row r="267" spans="1:25" ht="15.75" x14ac:dyDescent="0.25">
      <c r="A267" s="285"/>
      <c r="B267" s="337" t="s">
        <v>157</v>
      </c>
      <c r="C267" s="378"/>
      <c r="D267" s="378"/>
      <c r="E267" s="378"/>
      <c r="F267" s="286"/>
      <c r="G267" s="379"/>
      <c r="H267" s="378"/>
      <c r="I267" s="378"/>
      <c r="J267" s="378"/>
      <c r="K267" s="378"/>
      <c r="L267" s="378"/>
      <c r="M267" s="378"/>
      <c r="N267" s="378"/>
      <c r="O267" s="378"/>
      <c r="P267" s="378"/>
      <c r="Q267" s="378"/>
      <c r="R267" s="337">
        <v>4</v>
      </c>
      <c r="S267" s="379">
        <f t="shared" si="7"/>
        <v>2.5806451612903226E-2</v>
      </c>
      <c r="T267" s="338">
        <v>368</v>
      </c>
      <c r="U267" s="379">
        <f t="shared" si="8"/>
        <v>1.4778522950885506E-2</v>
      </c>
      <c r="V267" s="286"/>
      <c r="W267" s="289"/>
      <c r="X267" s="5"/>
    </row>
    <row r="268" spans="1:25" ht="15.75" x14ac:dyDescent="0.25">
      <c r="A268" s="285"/>
      <c r="B268" s="337" t="s">
        <v>158</v>
      </c>
      <c r="C268" s="378"/>
      <c r="D268" s="378"/>
      <c r="E268" s="378"/>
      <c r="F268" s="286"/>
      <c r="G268" s="379"/>
      <c r="H268" s="378"/>
      <c r="I268" s="378"/>
      <c r="J268" s="378"/>
      <c r="K268" s="378"/>
      <c r="L268" s="378"/>
      <c r="M268" s="378"/>
      <c r="N268" s="378"/>
      <c r="O268" s="378"/>
      <c r="P268" s="378"/>
      <c r="Q268" s="378"/>
      <c r="R268" s="337">
        <v>2</v>
      </c>
      <c r="S268" s="379">
        <f t="shared" si="7"/>
        <v>1.2903225806451613E-2</v>
      </c>
      <c r="T268" s="338">
        <v>438</v>
      </c>
      <c r="U268" s="379">
        <f t="shared" si="8"/>
        <v>1.7589655033934379E-2</v>
      </c>
      <c r="V268" s="286"/>
      <c r="W268" s="289"/>
      <c r="X268" s="5"/>
    </row>
    <row r="269" spans="1:25" ht="15.75" x14ac:dyDescent="0.25">
      <c r="A269" s="285"/>
      <c r="B269" s="337" t="s">
        <v>159</v>
      </c>
      <c r="C269" s="378"/>
      <c r="D269" s="378"/>
      <c r="E269" s="378"/>
      <c r="F269" s="286"/>
      <c r="G269" s="379"/>
      <c r="H269" s="378"/>
      <c r="I269" s="378"/>
      <c r="J269" s="378"/>
      <c r="K269" s="378"/>
      <c r="L269" s="378"/>
      <c r="M269" s="378"/>
      <c r="N269" s="378"/>
      <c r="O269" s="378"/>
      <c r="P269" s="378"/>
      <c r="Q269" s="378"/>
      <c r="R269" s="337">
        <v>20</v>
      </c>
      <c r="S269" s="379">
        <f t="shared" si="7"/>
        <v>0.12903225806451613</v>
      </c>
      <c r="T269" s="338">
        <v>3219</v>
      </c>
      <c r="U269" s="379">
        <f t="shared" si="8"/>
        <v>0.12927191679049035</v>
      </c>
      <c r="V269" s="286"/>
      <c r="W269" s="289"/>
      <c r="X269" s="5"/>
    </row>
    <row r="270" spans="1:25" ht="15.75" x14ac:dyDescent="0.25">
      <c r="A270" s="285"/>
      <c r="B270" s="337" t="s">
        <v>160</v>
      </c>
      <c r="C270" s="378"/>
      <c r="D270" s="378"/>
      <c r="E270" s="378"/>
      <c r="F270" s="286"/>
      <c r="G270" s="379"/>
      <c r="H270" s="378"/>
      <c r="I270" s="378"/>
      <c r="J270" s="378"/>
      <c r="K270" s="378"/>
      <c r="L270" s="378"/>
      <c r="M270" s="378"/>
      <c r="N270" s="378"/>
      <c r="O270" s="378"/>
      <c r="P270" s="378"/>
      <c r="Q270" s="378"/>
      <c r="R270" s="337">
        <v>21</v>
      </c>
      <c r="S270" s="379">
        <f t="shared" si="7"/>
        <v>0.13548387096774195</v>
      </c>
      <c r="T270" s="338">
        <v>3316</v>
      </c>
      <c r="U270" s="379">
        <f t="shared" si="8"/>
        <v>0.13316734267700092</v>
      </c>
      <c r="V270" s="286"/>
      <c r="W270" s="289"/>
      <c r="X270" s="5"/>
    </row>
    <row r="271" spans="1:25" ht="15.75" x14ac:dyDescent="0.25">
      <c r="A271" s="285"/>
      <c r="B271" s="337"/>
      <c r="C271" s="378"/>
      <c r="D271" s="378"/>
      <c r="E271" s="378"/>
      <c r="F271" s="286"/>
      <c r="G271" s="379"/>
      <c r="H271" s="378"/>
      <c r="I271" s="378"/>
      <c r="J271" s="378"/>
      <c r="K271" s="378"/>
      <c r="L271" s="378"/>
      <c r="M271" s="378"/>
      <c r="N271" s="378"/>
      <c r="O271" s="378"/>
      <c r="P271" s="378"/>
      <c r="Q271" s="378"/>
      <c r="R271" s="337"/>
      <c r="S271" s="379"/>
      <c r="T271" s="338"/>
      <c r="U271" s="379"/>
      <c r="V271" s="286"/>
      <c r="W271" s="289"/>
      <c r="X271" s="5"/>
    </row>
    <row r="272" spans="1:25" ht="15.75" x14ac:dyDescent="0.25">
      <c r="A272" s="285"/>
      <c r="B272" s="286"/>
      <c r="C272" s="286"/>
      <c r="D272" s="286"/>
      <c r="E272" s="286"/>
      <c r="F272" s="286"/>
      <c r="G272" s="286"/>
      <c r="H272" s="381"/>
      <c r="I272" s="381"/>
      <c r="J272" s="381"/>
      <c r="K272" s="381"/>
      <c r="L272" s="381"/>
      <c r="M272" s="381"/>
      <c r="N272" s="381"/>
      <c r="O272" s="381"/>
      <c r="P272" s="381"/>
      <c r="Q272" s="381"/>
      <c r="R272" s="337">
        <f>SUM(R263:R271)</f>
        <v>155</v>
      </c>
      <c r="S272" s="379">
        <f>SUM(S263:S271)</f>
        <v>1</v>
      </c>
      <c r="T272" s="338">
        <f>SUM(T263:T271)</f>
        <v>24901</v>
      </c>
      <c r="U272" s="379">
        <f>SUM(U263:U271)</f>
        <v>1</v>
      </c>
      <c r="V272" s="286"/>
      <c r="W272" s="289"/>
      <c r="X272" s="5"/>
    </row>
    <row r="273" spans="1:24" ht="15.75" x14ac:dyDescent="0.25">
      <c r="A273" s="181"/>
      <c r="B273" s="212"/>
      <c r="C273" s="212"/>
      <c r="D273" s="212"/>
      <c r="E273" s="212"/>
      <c r="F273" s="212"/>
      <c r="G273" s="212"/>
      <c r="H273" s="375"/>
      <c r="I273" s="375"/>
      <c r="J273" s="375"/>
      <c r="K273" s="375"/>
      <c r="L273" s="375"/>
      <c r="M273" s="375"/>
      <c r="N273" s="375"/>
      <c r="O273" s="375"/>
      <c r="P273" s="375"/>
      <c r="Q273" s="375"/>
      <c r="R273" s="335"/>
      <c r="S273" s="376"/>
      <c r="T273" s="377"/>
      <c r="U273" s="376"/>
      <c r="V273" s="212"/>
      <c r="W273" s="212"/>
      <c r="X273" s="5"/>
    </row>
    <row r="274" spans="1:24" ht="15.75" x14ac:dyDescent="0.25">
      <c r="A274" s="244"/>
      <c r="B274" s="399" t="s">
        <v>163</v>
      </c>
      <c r="C274" s="245"/>
      <c r="D274" s="245"/>
      <c r="E274" s="245"/>
      <c r="F274" s="245"/>
      <c r="G274" s="245"/>
      <c r="H274" s="247"/>
      <c r="I274" s="247"/>
      <c r="J274" s="247"/>
      <c r="K274" s="247"/>
      <c r="L274" s="247"/>
      <c r="M274" s="247"/>
      <c r="N274" s="247"/>
      <c r="O274" s="247"/>
      <c r="P274" s="247"/>
      <c r="Q274" s="247"/>
      <c r="R274" s="407" t="s">
        <v>102</v>
      </c>
      <c r="S274" s="400" t="s">
        <v>103</v>
      </c>
      <c r="T274" s="407" t="s">
        <v>109</v>
      </c>
      <c r="U274" s="400" t="s">
        <v>103</v>
      </c>
      <c r="V274" s="245"/>
      <c r="W274" s="246"/>
      <c r="X274" s="5"/>
    </row>
    <row r="275" spans="1:24" ht="15.75" x14ac:dyDescent="0.25">
      <c r="A275" s="248"/>
      <c r="B275" s="249" t="s">
        <v>88</v>
      </c>
      <c r="C275" s="250"/>
      <c r="D275" s="250"/>
      <c r="E275" s="250"/>
      <c r="F275" s="250"/>
      <c r="G275" s="250"/>
      <c r="H275" s="251"/>
      <c r="I275" s="251"/>
      <c r="J275" s="251"/>
      <c r="K275" s="251"/>
      <c r="L275" s="251"/>
      <c r="M275" s="251"/>
      <c r="N275" s="251"/>
      <c r="O275" s="251"/>
      <c r="P275" s="251"/>
      <c r="Q275" s="251"/>
      <c r="R275" s="249">
        <v>0</v>
      </c>
      <c r="S275" s="252">
        <v>0</v>
      </c>
      <c r="T275" s="253">
        <v>0</v>
      </c>
      <c r="U275" s="252">
        <v>0</v>
      </c>
      <c r="V275" s="250"/>
      <c r="W275" s="250"/>
      <c r="X275" s="5"/>
    </row>
    <row r="276" spans="1:24" ht="15.75" x14ac:dyDescent="0.25">
      <c r="A276" s="295"/>
      <c r="B276" s="337" t="s">
        <v>89</v>
      </c>
      <c r="C276" s="286"/>
      <c r="D276" s="286"/>
      <c r="E276" s="286"/>
      <c r="F276" s="286"/>
      <c r="G276" s="286"/>
      <c r="H276" s="381"/>
      <c r="I276" s="381"/>
      <c r="J276" s="381"/>
      <c r="K276" s="381"/>
      <c r="L276" s="381"/>
      <c r="M276" s="381"/>
      <c r="N276" s="381"/>
      <c r="O276" s="381"/>
      <c r="P276" s="381"/>
      <c r="Q276" s="381"/>
      <c r="R276" s="337">
        <v>0</v>
      </c>
      <c r="S276" s="379">
        <v>0</v>
      </c>
      <c r="T276" s="338">
        <v>0</v>
      </c>
      <c r="U276" s="379">
        <v>0</v>
      </c>
      <c r="V276" s="286"/>
      <c r="W276" s="289"/>
      <c r="X276" s="5"/>
    </row>
    <row r="277" spans="1:24" ht="15.75" x14ac:dyDescent="0.25">
      <c r="A277" s="295"/>
      <c r="B277" s="337" t="s">
        <v>90</v>
      </c>
      <c r="C277" s="286"/>
      <c r="D277" s="286"/>
      <c r="E277" s="286"/>
      <c r="F277" s="286"/>
      <c r="G277" s="286"/>
      <c r="H277" s="381"/>
      <c r="I277" s="381"/>
      <c r="J277" s="381"/>
      <c r="K277" s="381"/>
      <c r="L277" s="381"/>
      <c r="M277" s="381"/>
      <c r="N277" s="381"/>
      <c r="O277" s="381"/>
      <c r="P277" s="381"/>
      <c r="Q277" s="381"/>
      <c r="R277" s="337">
        <v>0</v>
      </c>
      <c r="S277" s="379">
        <v>0</v>
      </c>
      <c r="T277" s="338">
        <v>0</v>
      </c>
      <c r="U277" s="379">
        <v>0</v>
      </c>
      <c r="V277" s="286"/>
      <c r="W277" s="289"/>
      <c r="X277" s="5"/>
    </row>
    <row r="278" spans="1:24" ht="15.75" x14ac:dyDescent="0.25">
      <c r="A278" s="295"/>
      <c r="B278" s="337" t="s">
        <v>156</v>
      </c>
      <c r="C278" s="286"/>
      <c r="D278" s="286"/>
      <c r="E278" s="286"/>
      <c r="F278" s="286"/>
      <c r="G278" s="286"/>
      <c r="H278" s="381"/>
      <c r="I278" s="381"/>
      <c r="J278" s="381"/>
      <c r="K278" s="381"/>
      <c r="L278" s="381"/>
      <c r="M278" s="381"/>
      <c r="N278" s="381"/>
      <c r="O278" s="381"/>
      <c r="P278" s="381"/>
      <c r="Q278" s="381"/>
      <c r="R278" s="337">
        <v>0</v>
      </c>
      <c r="S278" s="379">
        <v>0</v>
      </c>
      <c r="T278" s="338">
        <v>0</v>
      </c>
      <c r="U278" s="379">
        <v>0</v>
      </c>
      <c r="V278" s="286"/>
      <c r="W278" s="289"/>
      <c r="X278" s="5"/>
    </row>
    <row r="279" spans="1:24" ht="15.75" x14ac:dyDescent="0.25">
      <c r="A279" s="295"/>
      <c r="B279" s="337" t="s">
        <v>157</v>
      </c>
      <c r="C279" s="286"/>
      <c r="D279" s="286"/>
      <c r="E279" s="286"/>
      <c r="F279" s="286"/>
      <c r="G279" s="286"/>
      <c r="H279" s="381"/>
      <c r="I279" s="381"/>
      <c r="J279" s="381"/>
      <c r="K279" s="381"/>
      <c r="L279" s="381"/>
      <c r="M279" s="381"/>
      <c r="N279" s="381"/>
      <c r="O279" s="381"/>
      <c r="P279" s="381"/>
      <c r="Q279" s="381"/>
      <c r="R279" s="337">
        <v>0</v>
      </c>
      <c r="S279" s="379">
        <v>0</v>
      </c>
      <c r="T279" s="338">
        <v>0</v>
      </c>
      <c r="U279" s="379">
        <v>0</v>
      </c>
      <c r="V279" s="286"/>
      <c r="W279" s="289"/>
      <c r="X279" s="5"/>
    </row>
    <row r="280" spans="1:24" ht="15.75" x14ac:dyDescent="0.25">
      <c r="A280" s="295"/>
      <c r="B280" s="337" t="s">
        <v>158</v>
      </c>
      <c r="C280" s="286"/>
      <c r="D280" s="286"/>
      <c r="E280" s="286"/>
      <c r="F280" s="286"/>
      <c r="G280" s="286"/>
      <c r="H280" s="381"/>
      <c r="I280" s="381"/>
      <c r="J280" s="381"/>
      <c r="K280" s="381"/>
      <c r="L280" s="381"/>
      <c r="M280" s="381"/>
      <c r="N280" s="381"/>
      <c r="O280" s="381"/>
      <c r="P280" s="381"/>
      <c r="Q280" s="381"/>
      <c r="R280" s="337">
        <v>0</v>
      </c>
      <c r="S280" s="379">
        <v>0</v>
      </c>
      <c r="T280" s="338">
        <v>0</v>
      </c>
      <c r="U280" s="379">
        <v>0</v>
      </c>
      <c r="V280" s="286"/>
      <c r="W280" s="289"/>
      <c r="X280" s="5"/>
    </row>
    <row r="281" spans="1:24" ht="15.75" x14ac:dyDescent="0.25">
      <c r="A281" s="295"/>
      <c r="B281" s="337" t="s">
        <v>159</v>
      </c>
      <c r="C281" s="286"/>
      <c r="D281" s="286"/>
      <c r="E281" s="286"/>
      <c r="F281" s="286"/>
      <c r="G281" s="286"/>
      <c r="H281" s="381"/>
      <c r="I281" s="381"/>
      <c r="J281" s="381"/>
      <c r="K281" s="381"/>
      <c r="L281" s="381"/>
      <c r="M281" s="381"/>
      <c r="N281" s="381"/>
      <c r="O281" s="381"/>
      <c r="P281" s="381"/>
      <c r="Q281" s="381"/>
      <c r="R281" s="337">
        <v>0</v>
      </c>
      <c r="S281" s="379">
        <v>0</v>
      </c>
      <c r="T281" s="338">
        <v>0</v>
      </c>
      <c r="U281" s="379">
        <v>0</v>
      </c>
      <c r="V281" s="286"/>
      <c r="W281" s="289"/>
      <c r="X281" s="5"/>
    </row>
    <row r="282" spans="1:24" ht="15.75" x14ac:dyDescent="0.25">
      <c r="A282" s="295"/>
      <c r="B282" s="337" t="s">
        <v>160</v>
      </c>
      <c r="C282" s="286"/>
      <c r="D282" s="286"/>
      <c r="E282" s="286"/>
      <c r="F282" s="286"/>
      <c r="G282" s="286"/>
      <c r="H282" s="381"/>
      <c r="I282" s="381"/>
      <c r="J282" s="381"/>
      <c r="K282" s="381"/>
      <c r="L282" s="381"/>
      <c r="M282" s="381"/>
      <c r="N282" s="381"/>
      <c r="O282" s="381"/>
      <c r="P282" s="381"/>
      <c r="Q282" s="381"/>
      <c r="R282" s="337">
        <v>0</v>
      </c>
      <c r="S282" s="379">
        <v>0</v>
      </c>
      <c r="T282" s="338">
        <v>0</v>
      </c>
      <c r="U282" s="379">
        <v>0</v>
      </c>
      <c r="V282" s="286"/>
      <c r="W282" s="289"/>
      <c r="X282" s="5"/>
    </row>
    <row r="283" spans="1:24" ht="15.75" x14ac:dyDescent="0.25">
      <c r="A283" s="295"/>
      <c r="B283" s="337"/>
      <c r="C283" s="286"/>
      <c r="D283" s="286"/>
      <c r="E283" s="286"/>
      <c r="F283" s="286"/>
      <c r="G283" s="286"/>
      <c r="H283" s="381"/>
      <c r="I283" s="381"/>
      <c r="J283" s="381"/>
      <c r="K283" s="381"/>
      <c r="L283" s="381"/>
      <c r="M283" s="381"/>
      <c r="N283" s="381"/>
      <c r="O283" s="381"/>
      <c r="P283" s="381"/>
      <c r="Q283" s="381"/>
      <c r="R283" s="337"/>
      <c r="S283" s="379"/>
      <c r="T283" s="338"/>
      <c r="U283" s="379"/>
      <c r="V283" s="286"/>
      <c r="W283" s="289"/>
      <c r="X283" s="5"/>
    </row>
    <row r="284" spans="1:24" ht="15.75" x14ac:dyDescent="0.25">
      <c r="A284" s="295"/>
      <c r="B284" s="286" t="s">
        <v>114</v>
      </c>
      <c r="C284" s="286"/>
      <c r="D284" s="286"/>
      <c r="E284" s="286"/>
      <c r="F284" s="286"/>
      <c r="G284" s="286"/>
      <c r="H284" s="381"/>
      <c r="I284" s="381"/>
      <c r="J284" s="381"/>
      <c r="K284" s="381"/>
      <c r="L284" s="381"/>
      <c r="M284" s="381"/>
      <c r="N284" s="381"/>
      <c r="O284" s="381"/>
      <c r="P284" s="381"/>
      <c r="Q284" s="381"/>
      <c r="R284" s="337">
        <f>SUM(R275:R282)</f>
        <v>0</v>
      </c>
      <c r="S284" s="379">
        <f>SUM(S275:S282)</f>
        <v>0</v>
      </c>
      <c r="T284" s="338">
        <f>SUM(T275:T282)</f>
        <v>0</v>
      </c>
      <c r="U284" s="379">
        <f>SUM(U275:U282)</f>
        <v>0</v>
      </c>
      <c r="V284" s="286"/>
      <c r="W284" s="289"/>
      <c r="X284" s="5"/>
    </row>
    <row r="285" spans="1:24" ht="15.75" x14ac:dyDescent="0.25">
      <c r="A285" s="295"/>
      <c r="B285" s="286"/>
      <c r="C285" s="286"/>
      <c r="D285" s="286"/>
      <c r="E285" s="286"/>
      <c r="F285" s="286"/>
      <c r="G285" s="286"/>
      <c r="H285" s="381"/>
      <c r="I285" s="381"/>
      <c r="J285" s="381"/>
      <c r="K285" s="381"/>
      <c r="L285" s="381"/>
      <c r="M285" s="381"/>
      <c r="N285" s="381"/>
      <c r="O285" s="381"/>
      <c r="P285" s="381"/>
      <c r="Q285" s="381"/>
      <c r="R285" s="337"/>
      <c r="S285" s="379"/>
      <c r="T285" s="338"/>
      <c r="U285" s="379"/>
      <c r="V285" s="286"/>
      <c r="W285" s="289"/>
      <c r="X285" s="5"/>
    </row>
    <row r="286" spans="1:24" ht="15.75" x14ac:dyDescent="0.25">
      <c r="A286" s="295"/>
      <c r="B286" s="297" t="s">
        <v>164</v>
      </c>
      <c r="C286" s="286"/>
      <c r="D286" s="286"/>
      <c r="E286" s="286"/>
      <c r="F286" s="286"/>
      <c r="G286" s="286"/>
      <c r="H286" s="381"/>
      <c r="I286" s="381"/>
      <c r="J286" s="381"/>
      <c r="K286" s="381"/>
      <c r="L286" s="381"/>
      <c r="M286" s="381"/>
      <c r="N286" s="381"/>
      <c r="O286" s="381"/>
      <c r="P286" s="381"/>
      <c r="Q286" s="381"/>
      <c r="R286" s="384">
        <f>R284+R272+R260</f>
        <v>5818</v>
      </c>
      <c r="S286" s="379"/>
      <c r="T286" s="410">
        <f>+T284+T272+T260</f>
        <v>832471</v>
      </c>
      <c r="U286" s="379"/>
      <c r="V286" s="286"/>
      <c r="W286" s="289"/>
      <c r="X286" s="5"/>
    </row>
    <row r="287" spans="1:24" ht="15.75" x14ac:dyDescent="0.25">
      <c r="A287" s="254"/>
      <c r="B287" s="346"/>
      <c r="C287" s="346"/>
      <c r="D287" s="346"/>
      <c r="E287" s="346"/>
      <c r="F287" s="346"/>
      <c r="G287" s="346"/>
      <c r="H287" s="382"/>
      <c r="I287" s="382"/>
      <c r="J287" s="382"/>
      <c r="K287" s="382"/>
      <c r="L287" s="382"/>
      <c r="M287" s="382"/>
      <c r="N287" s="382"/>
      <c r="O287" s="382"/>
      <c r="P287" s="382"/>
      <c r="Q287" s="382"/>
      <c r="R287" s="382"/>
      <c r="S287" s="382"/>
      <c r="T287" s="383"/>
      <c r="U287" s="382"/>
      <c r="V287" s="346"/>
      <c r="W287" s="346"/>
      <c r="X287" s="5"/>
    </row>
    <row r="288" spans="1:24" ht="15.75" x14ac:dyDescent="0.25">
      <c r="A288" s="254"/>
      <c r="B288" s="255"/>
      <c r="C288" s="255"/>
      <c r="D288" s="255"/>
      <c r="E288" s="255"/>
      <c r="F288" s="255"/>
      <c r="G288" s="255"/>
      <c r="H288" s="256"/>
      <c r="I288" s="256"/>
      <c r="J288" s="256"/>
      <c r="K288" s="256"/>
      <c r="L288" s="256"/>
      <c r="M288" s="256"/>
      <c r="N288" s="256"/>
      <c r="O288" s="256"/>
      <c r="P288" s="256"/>
      <c r="Q288" s="256"/>
      <c r="R288" s="256"/>
      <c r="S288" s="256"/>
      <c r="T288" s="257"/>
      <c r="U288" s="256"/>
      <c r="V288" s="255"/>
      <c r="W288" s="255"/>
      <c r="X288" s="5"/>
    </row>
    <row r="289" spans="1:24" ht="15.75" x14ac:dyDescent="0.25">
      <c r="A289" s="258"/>
      <c r="B289" s="388" t="s">
        <v>91</v>
      </c>
      <c r="C289" s="255"/>
      <c r="D289" s="255"/>
      <c r="E289" s="255"/>
      <c r="F289" s="391" t="s">
        <v>97</v>
      </c>
      <c r="G289" s="255"/>
      <c r="H289" s="388" t="s">
        <v>99</v>
      </c>
      <c r="I289" s="388"/>
      <c r="J289" s="388"/>
      <c r="K289" s="261"/>
      <c r="L289" s="261"/>
      <c r="M289" s="261"/>
      <c r="N289" s="261"/>
      <c r="O289" s="261"/>
      <c r="P289" s="261"/>
      <c r="Q289" s="261"/>
      <c r="R289" s="261"/>
      <c r="S289" s="261"/>
      <c r="T289" s="261"/>
      <c r="U289" s="261"/>
      <c r="V289" s="261"/>
      <c r="W289" s="261"/>
      <c r="X289" s="5"/>
    </row>
    <row r="290" spans="1:24" ht="15.75" x14ac:dyDescent="0.25">
      <c r="A290" s="258"/>
      <c r="B290" s="261"/>
      <c r="C290" s="255"/>
      <c r="D290" s="255"/>
      <c r="E290" s="255"/>
      <c r="F290" s="255"/>
      <c r="G290" s="255"/>
      <c r="H290" s="255"/>
      <c r="I290" s="255"/>
      <c r="J290" s="255"/>
      <c r="K290" s="261"/>
      <c r="L290" s="261"/>
      <c r="M290" s="261"/>
      <c r="N290" s="261"/>
      <c r="O290" s="261"/>
      <c r="P290" s="261"/>
      <c r="Q290" s="261"/>
      <c r="R290" s="261"/>
      <c r="S290" s="261"/>
      <c r="T290" s="261"/>
      <c r="U290" s="261"/>
      <c r="V290" s="261"/>
      <c r="W290" s="261"/>
      <c r="X290" s="5"/>
    </row>
    <row r="291" spans="1:24" ht="15.75" x14ac:dyDescent="0.25">
      <c r="A291" s="258"/>
      <c r="B291" s="388" t="s">
        <v>92</v>
      </c>
      <c r="C291" s="388"/>
      <c r="D291" s="388"/>
      <c r="E291" s="388"/>
      <c r="F291" s="411" t="s">
        <v>148</v>
      </c>
      <c r="G291" s="388"/>
      <c r="H291" s="388" t="s">
        <v>152</v>
      </c>
      <c r="I291" s="388"/>
      <c r="J291" s="388"/>
      <c r="K291" s="261"/>
      <c r="L291" s="261"/>
      <c r="M291" s="261"/>
      <c r="N291" s="261"/>
      <c r="O291" s="261"/>
      <c r="P291" s="261"/>
      <c r="Q291" s="261"/>
      <c r="R291" s="261"/>
      <c r="S291" s="261"/>
      <c r="T291" s="261"/>
      <c r="U291" s="261"/>
      <c r="V291" s="261"/>
      <c r="W291" s="261"/>
      <c r="X291" s="5"/>
    </row>
    <row r="292" spans="1:24" ht="15.75" x14ac:dyDescent="0.25">
      <c r="A292" s="258"/>
      <c r="B292" s="388" t="s">
        <v>265</v>
      </c>
      <c r="C292" s="388"/>
      <c r="D292" s="388"/>
      <c r="E292" s="388"/>
      <c r="F292" s="411" t="s">
        <v>266</v>
      </c>
      <c r="G292" s="388"/>
      <c r="H292" s="388" t="s">
        <v>267</v>
      </c>
      <c r="I292" s="388"/>
      <c r="J292" s="388"/>
      <c r="K292" s="261"/>
      <c r="L292" s="261"/>
      <c r="M292" s="261"/>
      <c r="N292" s="261"/>
      <c r="O292" s="261"/>
      <c r="P292" s="261"/>
      <c r="Q292" s="261"/>
      <c r="R292" s="261"/>
      <c r="S292" s="261"/>
      <c r="T292" s="261"/>
      <c r="U292" s="261"/>
      <c r="V292" s="261"/>
      <c r="W292" s="261"/>
      <c r="X292" s="5"/>
    </row>
    <row r="293" spans="1:24" ht="15.75" x14ac:dyDescent="0.25">
      <c r="A293" s="258"/>
      <c r="B293" s="388" t="s">
        <v>93</v>
      </c>
      <c r="C293" s="388"/>
      <c r="D293" s="388"/>
      <c r="E293" s="388"/>
      <c r="F293" s="411" t="s">
        <v>147</v>
      </c>
      <c r="G293" s="388"/>
      <c r="H293" s="388" t="s">
        <v>153</v>
      </c>
      <c r="I293" s="388"/>
      <c r="J293" s="388"/>
      <c r="K293" s="261"/>
      <c r="L293" s="261"/>
      <c r="M293" s="261"/>
      <c r="N293" s="261"/>
      <c r="O293" s="261"/>
      <c r="P293" s="261"/>
      <c r="Q293" s="261"/>
      <c r="R293" s="261"/>
      <c r="S293" s="261"/>
      <c r="T293" s="261"/>
      <c r="U293" s="261"/>
      <c r="V293" s="261"/>
      <c r="W293" s="261"/>
      <c r="X293" s="5"/>
    </row>
    <row r="294" spans="1:24" ht="15.75" x14ac:dyDescent="0.25">
      <c r="A294" s="258"/>
      <c r="B294" s="388"/>
      <c r="C294" s="388"/>
      <c r="D294" s="388"/>
      <c r="E294" s="388"/>
      <c r="F294" s="388"/>
      <c r="G294" s="263"/>
      <c r="H294" s="261"/>
      <c r="I294" s="261"/>
      <c r="J294" s="261"/>
      <c r="K294" s="261"/>
      <c r="L294" s="261"/>
      <c r="M294" s="261"/>
      <c r="N294" s="261"/>
      <c r="O294" s="261"/>
      <c r="P294" s="261"/>
      <c r="Q294" s="261"/>
      <c r="R294" s="261"/>
      <c r="S294" s="261"/>
      <c r="T294" s="261"/>
      <c r="U294" s="261"/>
      <c r="V294" s="261"/>
      <c r="W294" s="261"/>
      <c r="X294" s="5"/>
    </row>
    <row r="295" spans="1:24" ht="15.75" x14ac:dyDescent="0.25">
      <c r="A295" s="258"/>
      <c r="B295" s="388"/>
      <c r="C295" s="388"/>
      <c r="D295" s="388"/>
      <c r="E295" s="388"/>
      <c r="F295" s="388"/>
      <c r="G295" s="263"/>
      <c r="H295" s="261"/>
      <c r="I295" s="261"/>
      <c r="J295" s="261"/>
      <c r="K295" s="261"/>
      <c r="L295" s="261"/>
      <c r="M295" s="261"/>
      <c r="N295" s="261"/>
      <c r="O295" s="261"/>
      <c r="P295" s="261"/>
      <c r="Q295" s="261"/>
      <c r="R295" s="261"/>
      <c r="S295" s="261"/>
      <c r="T295" s="261"/>
      <c r="U295" s="261"/>
      <c r="V295" s="261"/>
      <c r="W295" s="261"/>
      <c r="X295" s="5"/>
    </row>
    <row r="296" spans="1:24" ht="19.5" thickBot="1" x14ac:dyDescent="0.35">
      <c r="A296" s="258"/>
      <c r="B296" s="264" t="str">
        <f>B200</f>
        <v>PM15 INVESTOR REPORT QUARTER ENDING NOVEMBER 2011</v>
      </c>
      <c r="C296" s="388"/>
      <c r="D296" s="388"/>
      <c r="E296" s="388"/>
      <c r="F296" s="388"/>
      <c r="G296" s="263"/>
      <c r="H296" s="261"/>
      <c r="I296" s="261"/>
      <c r="J296" s="261"/>
      <c r="K296" s="261"/>
      <c r="L296" s="261"/>
      <c r="M296" s="261"/>
      <c r="N296" s="261"/>
      <c r="O296" s="261"/>
      <c r="P296" s="261"/>
      <c r="Q296" s="261"/>
      <c r="R296" s="261"/>
      <c r="S296" s="261"/>
      <c r="T296" s="261"/>
      <c r="U296" s="261"/>
      <c r="V296" s="261"/>
      <c r="W296" s="261"/>
      <c r="X296" s="5"/>
    </row>
    <row r="297" spans="1:24" x14ac:dyDescent="0.2">
      <c r="A297" s="100"/>
      <c r="B297" s="100"/>
      <c r="C297" s="100"/>
      <c r="D297" s="100"/>
      <c r="E297" s="100"/>
      <c r="F297" s="100"/>
      <c r="G297" s="100"/>
      <c r="H297" s="100"/>
      <c r="I297" s="100"/>
      <c r="J297" s="100"/>
      <c r="K297" s="100"/>
      <c r="L297" s="100"/>
      <c r="M297" s="100"/>
      <c r="N297" s="100"/>
      <c r="O297" s="100"/>
      <c r="P297" s="100"/>
      <c r="Q297" s="100"/>
      <c r="R297" s="100"/>
      <c r="S297" s="100"/>
      <c r="T297" s="100"/>
      <c r="U297" s="100"/>
      <c r="V297" s="100"/>
      <c r="W297" s="100"/>
    </row>
  </sheetData>
  <phoneticPr fontId="0" type="noConversion"/>
  <hyperlinks>
    <hyperlink ref="P236" r:id="rId1" xr:uid="{00000000-0004-0000-1000-000000000000}"/>
    <hyperlink ref="I9" r:id="rId2" xr:uid="{00000000-0004-0000-10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4" max="14" man="1"/>
    <brk id="200" max="14" man="1"/>
  </rowBreaks>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sheetPr>
  <dimension ref="A1:IV297"/>
  <sheetViews>
    <sheetView showGridLines="0" showOutlineSymbols="0" zoomScale="70" zoomScaleNormal="70" workbookViewId="0"/>
  </sheetViews>
  <sheetFormatPr defaultColWidth="9.6640625" defaultRowHeight="15" x14ac:dyDescent="0.2"/>
  <cols>
    <col min="1" max="1" width="4" style="1" customWidth="1"/>
    <col min="2" max="2" width="71.21875" style="1" customWidth="1"/>
    <col min="3" max="3" width="2.21875" style="1" customWidth="1"/>
    <col min="4" max="4" width="19.33203125" style="1" customWidth="1"/>
    <col min="5" max="5" width="2.21875" style="1" customWidth="1"/>
    <col min="6" max="6" width="25.109375" style="1" customWidth="1"/>
    <col min="7" max="7" width="2.21875" style="1" customWidth="1"/>
    <col min="8" max="8" width="16.21875" style="1" customWidth="1"/>
    <col min="9" max="9" width="2.88671875" style="1" customWidth="1"/>
    <col min="10" max="10" width="16.21875" style="1" customWidth="1"/>
    <col min="11" max="11" width="2.21875" style="1" customWidth="1"/>
    <col min="12" max="12" width="17.88671875" style="1" customWidth="1"/>
    <col min="13" max="13" width="2.33203125" style="1" customWidth="1"/>
    <col min="14" max="14" width="14.88671875" style="1" customWidth="1"/>
    <col min="15" max="15" width="2.33203125" style="1" customWidth="1"/>
    <col min="16" max="16" width="15.5546875" style="1" customWidth="1"/>
    <col min="17" max="17" width="2.21875" style="1" customWidth="1"/>
    <col min="18" max="18" width="15.5546875" style="1" customWidth="1"/>
    <col min="19" max="20" width="12.6640625" style="1" customWidth="1"/>
    <col min="21" max="21" width="7.77734375" style="1" customWidth="1"/>
    <col min="22" max="22" width="14.6640625" style="1" customWidth="1"/>
    <col min="23" max="23" width="11.77734375" style="1" customWidth="1"/>
    <col min="24" max="16384" width="9.6640625" style="1"/>
  </cols>
  <sheetData>
    <row r="1" spans="1:24" ht="20.25" x14ac:dyDescent="0.3">
      <c r="A1" s="179"/>
      <c r="B1" s="274" t="s">
        <v>237</v>
      </c>
      <c r="C1" s="180"/>
      <c r="D1" s="180"/>
      <c r="E1" s="180"/>
      <c r="F1" s="180"/>
      <c r="G1" s="180"/>
      <c r="H1" s="180"/>
      <c r="I1" s="180"/>
      <c r="J1" s="180"/>
      <c r="K1" s="180"/>
      <c r="L1" s="180"/>
      <c r="M1" s="180"/>
      <c r="N1" s="180"/>
      <c r="O1" s="180"/>
      <c r="P1" s="180"/>
      <c r="Q1" s="180"/>
      <c r="R1" s="180"/>
      <c r="S1" s="180"/>
      <c r="T1" s="180"/>
      <c r="U1" s="180"/>
      <c r="V1" s="180"/>
      <c r="W1" s="180"/>
      <c r="X1" s="5"/>
    </row>
    <row r="2" spans="1:24" ht="15.75" x14ac:dyDescent="0.25">
      <c r="A2" s="181"/>
      <c r="B2" s="182"/>
      <c r="C2" s="183"/>
      <c r="D2" s="183"/>
      <c r="E2" s="183"/>
      <c r="F2" s="183"/>
      <c r="G2" s="183"/>
      <c r="H2" s="183"/>
      <c r="I2" s="183"/>
      <c r="J2" s="183"/>
      <c r="K2" s="183"/>
      <c r="L2" s="183"/>
      <c r="M2" s="183"/>
      <c r="N2" s="183"/>
      <c r="O2" s="183"/>
      <c r="P2" s="183"/>
      <c r="Q2" s="183"/>
      <c r="R2" s="183"/>
      <c r="S2" s="183"/>
      <c r="T2" s="183"/>
      <c r="U2" s="183"/>
      <c r="V2" s="183"/>
      <c r="W2" s="183"/>
      <c r="X2" s="5"/>
    </row>
    <row r="3" spans="1:24" ht="15.75" x14ac:dyDescent="0.25">
      <c r="A3" s="184"/>
      <c r="B3" s="185" t="s">
        <v>238</v>
      </c>
      <c r="C3" s="183"/>
      <c r="D3" s="183"/>
      <c r="E3" s="183"/>
      <c r="F3" s="183"/>
      <c r="G3" s="183"/>
      <c r="H3" s="183"/>
      <c r="I3" s="183"/>
      <c r="J3" s="183"/>
      <c r="K3" s="183"/>
      <c r="L3" s="183"/>
      <c r="M3" s="183"/>
      <c r="N3" s="183"/>
      <c r="O3" s="183"/>
      <c r="P3" s="183"/>
      <c r="Q3" s="183"/>
      <c r="R3" s="183"/>
      <c r="S3" s="183"/>
      <c r="T3" s="183"/>
      <c r="U3" s="183"/>
      <c r="V3" s="183"/>
      <c r="W3" s="183"/>
      <c r="X3" s="5"/>
    </row>
    <row r="4" spans="1:24" ht="15.75" x14ac:dyDescent="0.25">
      <c r="A4" s="181"/>
      <c r="B4" s="182"/>
      <c r="C4" s="183"/>
      <c r="D4" s="183"/>
      <c r="E4" s="183"/>
      <c r="F4" s="183"/>
      <c r="G4" s="183"/>
      <c r="H4" s="183"/>
      <c r="I4" s="183"/>
      <c r="J4" s="183"/>
      <c r="K4" s="183"/>
      <c r="L4" s="183"/>
      <c r="M4" s="183"/>
      <c r="N4" s="183"/>
      <c r="O4" s="183"/>
      <c r="P4" s="183"/>
      <c r="Q4" s="183"/>
      <c r="R4" s="183"/>
      <c r="S4" s="183"/>
      <c r="T4" s="183"/>
      <c r="U4" s="183"/>
      <c r="V4" s="183"/>
      <c r="W4" s="183"/>
      <c r="X4" s="5"/>
    </row>
    <row r="5" spans="1:24" ht="15.75" x14ac:dyDescent="0.25">
      <c r="A5" s="181"/>
      <c r="B5" s="275" t="s">
        <v>137</v>
      </c>
      <c r="C5" s="183"/>
      <c r="D5" s="183"/>
      <c r="E5" s="183"/>
      <c r="F5" s="183"/>
      <c r="G5" s="183"/>
      <c r="H5" s="183"/>
      <c r="I5" s="183"/>
      <c r="J5" s="183"/>
      <c r="K5" s="183"/>
      <c r="L5" s="183"/>
      <c r="M5" s="183"/>
      <c r="N5" s="183"/>
      <c r="O5" s="183"/>
      <c r="P5" s="183"/>
      <c r="Q5" s="183"/>
      <c r="R5" s="183"/>
      <c r="S5" s="183"/>
      <c r="T5" s="183"/>
      <c r="U5" s="183"/>
      <c r="V5" s="183"/>
      <c r="W5" s="183"/>
      <c r="X5" s="5"/>
    </row>
    <row r="6" spans="1:24" ht="15.75" x14ac:dyDescent="0.25">
      <c r="A6" s="181"/>
      <c r="B6" s="275" t="s">
        <v>139</v>
      </c>
      <c r="C6" s="183"/>
      <c r="D6" s="183"/>
      <c r="E6" s="183"/>
      <c r="F6" s="183"/>
      <c r="G6" s="183"/>
      <c r="H6" s="183"/>
      <c r="I6" s="183"/>
      <c r="J6" s="183"/>
      <c r="K6" s="183"/>
      <c r="L6" s="183"/>
      <c r="M6" s="183"/>
      <c r="N6" s="183"/>
      <c r="O6" s="183"/>
      <c r="P6" s="183"/>
      <c r="Q6" s="183"/>
      <c r="R6" s="183"/>
      <c r="S6" s="183"/>
      <c r="T6" s="183"/>
      <c r="U6" s="183"/>
      <c r="V6" s="183"/>
      <c r="W6" s="183"/>
      <c r="X6" s="5"/>
    </row>
    <row r="7" spans="1:24" ht="15.75" x14ac:dyDescent="0.25">
      <c r="A7" s="181"/>
      <c r="B7" s="275" t="s">
        <v>138</v>
      </c>
      <c r="C7" s="183"/>
      <c r="D7" s="183"/>
      <c r="E7" s="183"/>
      <c r="F7" s="183"/>
      <c r="G7" s="183"/>
      <c r="H7" s="183"/>
      <c r="I7" s="183"/>
      <c r="J7" s="183"/>
      <c r="K7" s="183"/>
      <c r="L7" s="183"/>
      <c r="M7" s="183"/>
      <c r="N7" s="183"/>
      <c r="O7" s="183"/>
      <c r="P7" s="183"/>
      <c r="Q7" s="183"/>
      <c r="R7" s="183"/>
      <c r="S7" s="183"/>
      <c r="T7" s="183"/>
      <c r="U7" s="183"/>
      <c r="V7" s="183"/>
      <c r="W7" s="183"/>
      <c r="X7" s="5"/>
    </row>
    <row r="8" spans="1:24" ht="15.75" x14ac:dyDescent="0.25">
      <c r="A8" s="181"/>
      <c r="B8" s="186"/>
      <c r="C8" s="183"/>
      <c r="D8" s="183"/>
      <c r="E8" s="183"/>
      <c r="F8" s="183"/>
      <c r="G8" s="183"/>
      <c r="H8" s="183"/>
      <c r="I8" s="183"/>
      <c r="J8" s="183"/>
      <c r="K8" s="183"/>
      <c r="L8" s="183"/>
      <c r="M8" s="183"/>
      <c r="N8" s="183"/>
      <c r="O8" s="183"/>
      <c r="P8" s="183"/>
      <c r="Q8" s="183"/>
      <c r="R8" s="183"/>
      <c r="S8" s="183"/>
      <c r="T8" s="183"/>
      <c r="U8" s="183"/>
      <c r="V8" s="183"/>
      <c r="W8" s="183"/>
      <c r="X8" s="5"/>
    </row>
    <row r="9" spans="1:24" ht="18.75" x14ac:dyDescent="0.3">
      <c r="A9" s="181"/>
      <c r="B9" s="187" t="s">
        <v>166</v>
      </c>
      <c r="C9" s="183"/>
      <c r="D9" s="183"/>
      <c r="E9" s="183"/>
      <c r="F9" s="183"/>
      <c r="G9" s="183"/>
      <c r="H9" s="183"/>
      <c r="I9" s="188" t="s">
        <v>167</v>
      </c>
      <c r="J9" s="183"/>
      <c r="K9" s="183"/>
      <c r="L9" s="188"/>
      <c r="M9" s="183"/>
      <c r="N9" s="188"/>
      <c r="O9" s="183"/>
      <c r="P9" s="183"/>
      <c r="Q9" s="183"/>
      <c r="R9" s="183"/>
      <c r="S9" s="183"/>
      <c r="T9" s="183"/>
      <c r="U9" s="183"/>
      <c r="V9" s="183"/>
      <c r="W9" s="183"/>
      <c r="X9" s="5"/>
    </row>
    <row r="10" spans="1:24" ht="15.75" x14ac:dyDescent="0.25">
      <c r="A10" s="181"/>
      <c r="B10" s="186"/>
      <c r="C10" s="189"/>
      <c r="D10" s="189"/>
      <c r="E10" s="189"/>
      <c r="F10" s="183"/>
      <c r="G10" s="183"/>
      <c r="H10" s="183"/>
      <c r="I10" s="183"/>
      <c r="J10" s="183"/>
      <c r="K10" s="183"/>
      <c r="L10" s="183"/>
      <c r="M10" s="183"/>
      <c r="N10" s="183"/>
      <c r="O10" s="183"/>
      <c r="P10" s="183"/>
      <c r="Q10" s="183"/>
      <c r="R10" s="183"/>
      <c r="S10" s="183"/>
      <c r="T10" s="183"/>
      <c r="U10" s="183"/>
      <c r="V10" s="183"/>
      <c r="W10" s="183"/>
      <c r="X10" s="5"/>
    </row>
    <row r="11" spans="1:24" ht="15.75" x14ac:dyDescent="0.25">
      <c r="A11" s="181"/>
      <c r="B11" s="388" t="s">
        <v>0</v>
      </c>
      <c r="C11" s="183"/>
      <c r="D11" s="183"/>
      <c r="E11" s="183"/>
      <c r="F11" s="183"/>
      <c r="G11" s="183"/>
      <c r="H11" s="183"/>
      <c r="I11" s="183"/>
      <c r="J11" s="183"/>
      <c r="K11" s="183"/>
      <c r="L11" s="183"/>
      <c r="M11" s="183"/>
      <c r="N11" s="183"/>
      <c r="O11" s="183"/>
      <c r="P11" s="183"/>
      <c r="Q11" s="183"/>
      <c r="R11" s="183"/>
      <c r="S11" s="183"/>
      <c r="T11" s="183"/>
      <c r="U11" s="183"/>
      <c r="V11" s="183"/>
      <c r="W11" s="183"/>
      <c r="X11" s="5"/>
    </row>
    <row r="12" spans="1:24" ht="16.5" thickBot="1" x14ac:dyDescent="0.3">
      <c r="A12" s="181"/>
      <c r="B12" s="189"/>
      <c r="C12" s="183"/>
      <c r="D12" s="183"/>
      <c r="E12" s="183"/>
      <c r="F12" s="183"/>
      <c r="G12" s="183"/>
      <c r="H12" s="183"/>
      <c r="I12" s="183"/>
      <c r="J12" s="183"/>
      <c r="K12" s="183"/>
      <c r="L12" s="183"/>
      <c r="M12" s="183"/>
      <c r="N12" s="183"/>
      <c r="O12" s="183"/>
      <c r="P12" s="183"/>
      <c r="Q12" s="183"/>
      <c r="R12" s="183"/>
      <c r="S12" s="183"/>
      <c r="T12" s="183"/>
      <c r="U12" s="183"/>
      <c r="V12" s="183"/>
      <c r="W12" s="183"/>
      <c r="X12" s="5"/>
    </row>
    <row r="13" spans="1:24" ht="15.75" x14ac:dyDescent="0.25">
      <c r="A13" s="179"/>
      <c r="B13" s="180"/>
      <c r="C13" s="180"/>
      <c r="D13" s="180"/>
      <c r="E13" s="180"/>
      <c r="F13" s="180"/>
      <c r="G13" s="180"/>
      <c r="H13" s="180"/>
      <c r="I13" s="180"/>
      <c r="J13" s="180"/>
      <c r="K13" s="180"/>
      <c r="L13" s="180"/>
      <c r="M13" s="180"/>
      <c r="N13" s="180"/>
      <c r="O13" s="180"/>
      <c r="P13" s="180"/>
      <c r="Q13" s="180"/>
      <c r="R13" s="180"/>
      <c r="S13" s="180"/>
      <c r="T13" s="180"/>
      <c r="U13" s="180"/>
      <c r="V13" s="180"/>
      <c r="W13" s="180"/>
      <c r="X13" s="5"/>
    </row>
    <row r="14" spans="1:24" ht="15.75" x14ac:dyDescent="0.25">
      <c r="A14" s="181"/>
      <c r="B14" s="388" t="s">
        <v>1</v>
      </c>
      <c r="C14" s="255"/>
      <c r="D14" s="255"/>
      <c r="E14" s="255"/>
      <c r="F14" s="255"/>
      <c r="G14" s="255"/>
      <c r="H14" s="255"/>
      <c r="I14" s="255"/>
      <c r="J14" s="255"/>
      <c r="K14" s="255"/>
      <c r="L14" s="255"/>
      <c r="M14" s="255"/>
      <c r="N14" s="255"/>
      <c r="O14" s="255"/>
      <c r="P14" s="255"/>
      <c r="Q14" s="255"/>
      <c r="R14" s="255"/>
      <c r="S14" s="255"/>
      <c r="T14" s="255"/>
      <c r="U14" s="255"/>
      <c r="V14" s="276" t="s">
        <v>239</v>
      </c>
      <c r="W14" s="255"/>
      <c r="X14" s="5"/>
    </row>
    <row r="15" spans="1:24" ht="15.75" x14ac:dyDescent="0.25">
      <c r="A15" s="181"/>
      <c r="B15" s="388" t="s">
        <v>2</v>
      </c>
      <c r="C15" s="255"/>
      <c r="D15" s="255"/>
      <c r="E15" s="255"/>
      <c r="F15" s="255"/>
      <c r="G15" s="255"/>
      <c r="H15" s="389"/>
      <c r="I15" s="389"/>
      <c r="J15" s="389"/>
      <c r="K15" s="389"/>
      <c r="L15" s="389"/>
      <c r="M15" s="389"/>
      <c r="N15" s="389"/>
      <c r="O15" s="389"/>
      <c r="P15" s="389"/>
      <c r="Q15" s="389"/>
      <c r="R15" s="389" t="s">
        <v>104</v>
      </c>
      <c r="S15" s="390">
        <v>0.47189999999999999</v>
      </c>
      <c r="T15" s="391" t="s">
        <v>140</v>
      </c>
      <c r="U15" s="390">
        <v>0.52810000000000001</v>
      </c>
      <c r="V15" s="276"/>
      <c r="W15" s="255"/>
      <c r="X15" s="5"/>
    </row>
    <row r="16" spans="1:24" ht="15.75" x14ac:dyDescent="0.25">
      <c r="A16" s="181"/>
      <c r="B16" s="388" t="s">
        <v>3</v>
      </c>
      <c r="C16" s="255"/>
      <c r="D16" s="255"/>
      <c r="E16" s="255"/>
      <c r="F16" s="255"/>
      <c r="G16" s="255"/>
      <c r="H16" s="389"/>
      <c r="I16" s="389"/>
      <c r="J16" s="389"/>
      <c r="K16" s="389"/>
      <c r="L16" s="389"/>
      <c r="M16" s="389"/>
      <c r="N16" s="389"/>
      <c r="O16" s="389"/>
      <c r="P16" s="389"/>
      <c r="Q16" s="389"/>
      <c r="R16" s="389" t="s">
        <v>104</v>
      </c>
      <c r="S16" s="390">
        <v>0.53920000000000001</v>
      </c>
      <c r="T16" s="391" t="s">
        <v>140</v>
      </c>
      <c r="U16" s="390">
        <v>0.46079999999999999</v>
      </c>
      <c r="V16" s="276"/>
      <c r="W16" s="255"/>
      <c r="X16" s="5"/>
    </row>
    <row r="17" spans="1:24" ht="15.75" x14ac:dyDescent="0.25">
      <c r="A17" s="181"/>
      <c r="B17" s="388" t="s">
        <v>4</v>
      </c>
      <c r="C17" s="255"/>
      <c r="D17" s="255"/>
      <c r="E17" s="255"/>
      <c r="F17" s="255"/>
      <c r="G17" s="255"/>
      <c r="H17" s="255"/>
      <c r="I17" s="255"/>
      <c r="J17" s="255"/>
      <c r="K17" s="255"/>
      <c r="L17" s="255"/>
      <c r="M17" s="255"/>
      <c r="N17" s="255"/>
      <c r="O17" s="255"/>
      <c r="P17" s="255"/>
      <c r="Q17" s="255"/>
      <c r="R17" s="255"/>
      <c r="S17" s="255"/>
      <c r="T17" s="255"/>
      <c r="U17" s="255"/>
      <c r="V17" s="392">
        <v>39282</v>
      </c>
      <c r="W17" s="255"/>
      <c r="X17" s="5"/>
    </row>
    <row r="18" spans="1:24" ht="15.75" x14ac:dyDescent="0.25">
      <c r="A18" s="181"/>
      <c r="B18" s="388" t="s">
        <v>5</v>
      </c>
      <c r="C18" s="255"/>
      <c r="D18" s="255"/>
      <c r="E18" s="255"/>
      <c r="F18" s="255"/>
      <c r="G18" s="255"/>
      <c r="H18" s="255"/>
      <c r="I18" s="255"/>
      <c r="J18" s="255"/>
      <c r="K18" s="255"/>
      <c r="L18" s="255"/>
      <c r="M18" s="255"/>
      <c r="N18" s="255"/>
      <c r="O18" s="255"/>
      <c r="P18" s="255"/>
      <c r="Q18" s="255"/>
      <c r="R18" s="255"/>
      <c r="S18" s="255"/>
      <c r="T18" s="255"/>
      <c r="U18" s="255"/>
      <c r="V18" s="392">
        <v>40987</v>
      </c>
      <c r="W18" s="255"/>
      <c r="X18" s="5"/>
    </row>
    <row r="19" spans="1:24" ht="15.75" x14ac:dyDescent="0.25">
      <c r="A19" s="181"/>
      <c r="B19" s="183"/>
      <c r="C19" s="183"/>
      <c r="D19" s="183"/>
      <c r="E19" s="183"/>
      <c r="F19" s="183"/>
      <c r="G19" s="183"/>
      <c r="H19" s="183"/>
      <c r="I19" s="183"/>
      <c r="J19" s="183"/>
      <c r="K19" s="183"/>
      <c r="L19" s="183"/>
      <c r="M19" s="183"/>
      <c r="N19" s="183"/>
      <c r="O19" s="183"/>
      <c r="P19" s="183"/>
      <c r="Q19" s="183"/>
      <c r="R19" s="183"/>
      <c r="S19" s="183"/>
      <c r="T19" s="183"/>
      <c r="U19" s="183"/>
      <c r="V19" s="190"/>
      <c r="W19" s="183"/>
      <c r="X19" s="5"/>
    </row>
    <row r="20" spans="1:24" ht="15.75" x14ac:dyDescent="0.25">
      <c r="A20" s="181"/>
      <c r="B20" s="280" t="s">
        <v>6</v>
      </c>
      <c r="C20" s="255"/>
      <c r="D20" s="255"/>
      <c r="E20" s="255"/>
      <c r="F20" s="255"/>
      <c r="G20" s="255"/>
      <c r="H20" s="255"/>
      <c r="I20" s="255"/>
      <c r="J20" s="255"/>
      <c r="K20" s="255"/>
      <c r="L20" s="255"/>
      <c r="M20" s="255"/>
      <c r="N20" s="255"/>
      <c r="O20" s="255"/>
      <c r="P20" s="255"/>
      <c r="Q20" s="255"/>
      <c r="R20" s="255"/>
      <c r="S20" s="255"/>
      <c r="T20" s="281" t="s">
        <v>105</v>
      </c>
      <c r="U20" s="255"/>
      <c r="V20" s="261"/>
      <c r="W20" s="183"/>
      <c r="X20" s="5"/>
    </row>
    <row r="21" spans="1:24" ht="15.75" x14ac:dyDescent="0.25">
      <c r="A21" s="181"/>
      <c r="B21" s="183"/>
      <c r="C21" s="183"/>
      <c r="D21" s="183"/>
      <c r="E21" s="183"/>
      <c r="F21" s="183"/>
      <c r="G21" s="183"/>
      <c r="H21" s="183"/>
      <c r="I21" s="183"/>
      <c r="J21" s="183"/>
      <c r="K21" s="183"/>
      <c r="L21" s="183"/>
      <c r="M21" s="183"/>
      <c r="N21" s="183"/>
      <c r="O21" s="183"/>
      <c r="P21" s="183"/>
      <c r="Q21" s="183"/>
      <c r="R21" s="183"/>
      <c r="S21" s="183"/>
      <c r="T21" s="183"/>
      <c r="U21" s="183"/>
      <c r="V21" s="192"/>
      <c r="W21" s="183"/>
      <c r="X21" s="5"/>
    </row>
    <row r="22" spans="1:24" ht="15.75" x14ac:dyDescent="0.25">
      <c r="A22" s="224"/>
      <c r="B22" s="225"/>
      <c r="C22" s="226"/>
      <c r="D22" s="226" t="s">
        <v>177</v>
      </c>
      <c r="E22" s="226"/>
      <c r="F22" s="226" t="s">
        <v>178</v>
      </c>
      <c r="G22" s="226"/>
      <c r="H22" s="226" t="s">
        <v>179</v>
      </c>
      <c r="I22" s="226"/>
      <c r="J22" s="226" t="s">
        <v>219</v>
      </c>
      <c r="K22" s="226"/>
      <c r="L22" s="226" t="s">
        <v>180</v>
      </c>
      <c r="M22" s="226"/>
      <c r="N22" s="226" t="s">
        <v>181</v>
      </c>
      <c r="O22" s="226"/>
      <c r="P22" s="226" t="s">
        <v>182</v>
      </c>
      <c r="Q22" s="226"/>
      <c r="R22" s="226"/>
      <c r="S22" s="228"/>
      <c r="T22" s="228"/>
      <c r="U22" s="229"/>
      <c r="V22" s="229"/>
      <c r="W22" s="225"/>
      <c r="X22" s="5"/>
    </row>
    <row r="23" spans="1:24" ht="15.75" x14ac:dyDescent="0.25">
      <c r="A23" s="193"/>
      <c r="B23" s="250" t="s">
        <v>7</v>
      </c>
      <c r="C23" s="282"/>
      <c r="D23" s="282" t="s">
        <v>212</v>
      </c>
      <c r="E23" s="282"/>
      <c r="F23" s="282" t="s">
        <v>141</v>
      </c>
      <c r="G23" s="282"/>
      <c r="H23" s="282" t="s">
        <v>141</v>
      </c>
      <c r="I23" s="282"/>
      <c r="J23" s="282" t="s">
        <v>141</v>
      </c>
      <c r="K23" s="282"/>
      <c r="L23" s="282" t="s">
        <v>183</v>
      </c>
      <c r="M23" s="282"/>
      <c r="N23" s="282" t="s">
        <v>183</v>
      </c>
      <c r="O23" s="282"/>
      <c r="P23" s="282" t="s">
        <v>142</v>
      </c>
      <c r="Q23" s="282"/>
      <c r="R23" s="282"/>
      <c r="S23" s="282"/>
      <c r="T23" s="282"/>
      <c r="U23" s="273"/>
      <c r="V23" s="273"/>
      <c r="W23" s="250"/>
      <c r="X23" s="5"/>
    </row>
    <row r="24" spans="1:24" ht="15.75" x14ac:dyDescent="0.25">
      <c r="A24" s="285"/>
      <c r="B24" s="286" t="s">
        <v>8</v>
      </c>
      <c r="C24" s="287"/>
      <c r="D24" s="287" t="s">
        <v>213</v>
      </c>
      <c r="E24" s="287"/>
      <c r="F24" s="287" t="s">
        <v>143</v>
      </c>
      <c r="G24" s="287"/>
      <c r="H24" s="287" t="s">
        <v>143</v>
      </c>
      <c r="I24" s="287"/>
      <c r="J24" s="287" t="s">
        <v>143</v>
      </c>
      <c r="K24" s="287"/>
      <c r="L24" s="287" t="s">
        <v>165</v>
      </c>
      <c r="M24" s="287"/>
      <c r="N24" s="287" t="s">
        <v>165</v>
      </c>
      <c r="O24" s="287"/>
      <c r="P24" s="287" t="s">
        <v>144</v>
      </c>
      <c r="Q24" s="287"/>
      <c r="R24" s="287"/>
      <c r="S24" s="287"/>
      <c r="T24" s="287"/>
      <c r="U24" s="288"/>
      <c r="V24" s="288"/>
      <c r="W24" s="289"/>
      <c r="X24" s="5"/>
    </row>
    <row r="25" spans="1:24" ht="15.75" x14ac:dyDescent="0.25">
      <c r="A25" s="290"/>
      <c r="B25" s="286" t="s">
        <v>190</v>
      </c>
      <c r="C25" s="292"/>
      <c r="D25" s="287" t="s">
        <v>214</v>
      </c>
      <c r="E25" s="287"/>
      <c r="F25" s="287" t="s">
        <v>143</v>
      </c>
      <c r="G25" s="287"/>
      <c r="H25" s="287" t="s">
        <v>143</v>
      </c>
      <c r="I25" s="287"/>
      <c r="J25" s="287" t="s">
        <v>143</v>
      </c>
      <c r="K25" s="287"/>
      <c r="L25" s="287" t="s">
        <v>165</v>
      </c>
      <c r="M25" s="287"/>
      <c r="N25" s="287" t="s">
        <v>165</v>
      </c>
      <c r="O25" s="287"/>
      <c r="P25" s="287" t="s">
        <v>144</v>
      </c>
      <c r="Q25" s="287"/>
      <c r="R25" s="287"/>
      <c r="S25" s="292"/>
      <c r="T25" s="287"/>
      <c r="U25" s="288"/>
      <c r="V25" s="288"/>
      <c r="W25" s="289"/>
      <c r="X25" s="5"/>
    </row>
    <row r="26" spans="1:24" ht="15.75" x14ac:dyDescent="0.25">
      <c r="A26" s="393"/>
      <c r="B26" s="297" t="s">
        <v>9</v>
      </c>
      <c r="C26" s="292"/>
      <c r="D26" s="292" t="s">
        <v>141</v>
      </c>
      <c r="E26" s="292"/>
      <c r="F26" s="292" t="s">
        <v>141</v>
      </c>
      <c r="G26" s="292"/>
      <c r="H26" s="292" t="s">
        <v>141</v>
      </c>
      <c r="I26" s="292"/>
      <c r="J26" s="292" t="s">
        <v>141</v>
      </c>
      <c r="K26" s="292"/>
      <c r="L26" s="292" t="s">
        <v>183</v>
      </c>
      <c r="M26" s="292"/>
      <c r="N26" s="292" t="s">
        <v>183</v>
      </c>
      <c r="O26" s="292"/>
      <c r="P26" s="292" t="s">
        <v>142</v>
      </c>
      <c r="Q26" s="292"/>
      <c r="R26" s="292"/>
      <c r="S26" s="292"/>
      <c r="T26" s="287"/>
      <c r="U26" s="288"/>
      <c r="V26" s="288"/>
      <c r="W26" s="289"/>
      <c r="X26" s="5"/>
    </row>
    <row r="27" spans="1:24" ht="15.75" x14ac:dyDescent="0.25">
      <c r="A27" s="295"/>
      <c r="B27" s="297" t="s">
        <v>191</v>
      </c>
      <c r="C27" s="287"/>
      <c r="D27" s="292" t="s">
        <v>143</v>
      </c>
      <c r="E27" s="292"/>
      <c r="F27" s="292" t="s">
        <v>143</v>
      </c>
      <c r="G27" s="292"/>
      <c r="H27" s="292" t="s">
        <v>143</v>
      </c>
      <c r="I27" s="292"/>
      <c r="J27" s="292" t="s">
        <v>143</v>
      </c>
      <c r="K27" s="292"/>
      <c r="L27" s="292" t="s">
        <v>165</v>
      </c>
      <c r="M27" s="292"/>
      <c r="N27" s="292" t="s">
        <v>165</v>
      </c>
      <c r="O27" s="292"/>
      <c r="P27" s="292" t="s">
        <v>144</v>
      </c>
      <c r="Q27" s="292"/>
      <c r="R27" s="292"/>
      <c r="S27" s="287"/>
      <c r="T27" s="296"/>
      <c r="U27" s="288"/>
      <c r="V27" s="288"/>
      <c r="W27" s="289"/>
      <c r="X27" s="5"/>
    </row>
    <row r="28" spans="1:24" ht="15.75" x14ac:dyDescent="0.25">
      <c r="A28" s="295"/>
      <c r="B28" s="297" t="s">
        <v>192</v>
      </c>
      <c r="C28" s="287"/>
      <c r="D28" s="292" t="s">
        <v>143</v>
      </c>
      <c r="E28" s="292"/>
      <c r="F28" s="292" t="s">
        <v>143</v>
      </c>
      <c r="G28" s="292"/>
      <c r="H28" s="292" t="s">
        <v>143</v>
      </c>
      <c r="I28" s="292"/>
      <c r="J28" s="292" t="s">
        <v>143</v>
      </c>
      <c r="K28" s="292"/>
      <c r="L28" s="292" t="s">
        <v>165</v>
      </c>
      <c r="M28" s="292"/>
      <c r="N28" s="292" t="s">
        <v>165</v>
      </c>
      <c r="O28" s="292"/>
      <c r="P28" s="292" t="s">
        <v>144</v>
      </c>
      <c r="Q28" s="292"/>
      <c r="R28" s="292"/>
      <c r="S28" s="287"/>
      <c r="T28" s="296"/>
      <c r="U28" s="288"/>
      <c r="V28" s="288"/>
      <c r="W28" s="289"/>
      <c r="X28" s="5"/>
    </row>
    <row r="29" spans="1:24" ht="15.75" x14ac:dyDescent="0.25">
      <c r="A29" s="295"/>
      <c r="B29" s="286" t="s">
        <v>10</v>
      </c>
      <c r="C29" s="298"/>
      <c r="D29" s="287" t="s">
        <v>242</v>
      </c>
      <c r="E29" s="287"/>
      <c r="F29" s="296" t="s">
        <v>244</v>
      </c>
      <c r="G29" s="287"/>
      <c r="H29" s="287" t="s">
        <v>245</v>
      </c>
      <c r="I29" s="287"/>
      <c r="J29" s="287" t="s">
        <v>247</v>
      </c>
      <c r="K29" s="287"/>
      <c r="L29" s="287" t="s">
        <v>248</v>
      </c>
      <c r="M29" s="287"/>
      <c r="N29" s="287" t="s">
        <v>249</v>
      </c>
      <c r="O29" s="287"/>
      <c r="P29" s="287" t="s">
        <v>250</v>
      </c>
      <c r="Q29" s="287"/>
      <c r="R29" s="287"/>
      <c r="S29" s="299"/>
      <c r="T29" s="299"/>
      <c r="U29" s="300"/>
      <c r="V29" s="299"/>
      <c r="W29" s="301"/>
      <c r="X29" s="5"/>
    </row>
    <row r="30" spans="1:24" ht="15.75" x14ac:dyDescent="0.25">
      <c r="A30" s="295"/>
      <c r="B30" s="286" t="s">
        <v>10</v>
      </c>
      <c r="C30" s="298"/>
      <c r="D30" s="287" t="s">
        <v>243</v>
      </c>
      <c r="E30" s="287"/>
      <c r="F30" s="296" t="s">
        <v>118</v>
      </c>
      <c r="G30" s="287"/>
      <c r="H30" s="287" t="s">
        <v>118</v>
      </c>
      <c r="I30" s="287"/>
      <c r="J30" s="287" t="s">
        <v>246</v>
      </c>
      <c r="K30" s="287"/>
      <c r="L30" s="287" t="s">
        <v>118</v>
      </c>
      <c r="M30" s="287"/>
      <c r="N30" s="287" t="s">
        <v>118</v>
      </c>
      <c r="O30" s="287"/>
      <c r="P30" s="287" t="s">
        <v>118</v>
      </c>
      <c r="Q30" s="287"/>
      <c r="R30" s="287"/>
      <c r="S30" s="299"/>
      <c r="T30" s="299"/>
      <c r="U30" s="300"/>
      <c r="V30" s="299"/>
      <c r="W30" s="301"/>
      <c r="X30" s="5"/>
    </row>
    <row r="31" spans="1:24" ht="15.75" x14ac:dyDescent="0.25">
      <c r="A31" s="393"/>
      <c r="B31" s="286" t="s">
        <v>133</v>
      </c>
      <c r="C31" s="310"/>
      <c r="D31" s="303">
        <v>1000000</v>
      </c>
      <c r="E31" s="298"/>
      <c r="F31" s="299">
        <v>209500</v>
      </c>
      <c r="G31" s="299"/>
      <c r="H31" s="304">
        <v>110000</v>
      </c>
      <c r="I31" s="304"/>
      <c r="J31" s="303">
        <v>150000</v>
      </c>
      <c r="K31" s="299"/>
      <c r="L31" s="299">
        <v>17000</v>
      </c>
      <c r="M31" s="299"/>
      <c r="N31" s="304">
        <v>85500</v>
      </c>
      <c r="O31" s="299"/>
      <c r="P31" s="304">
        <v>110500</v>
      </c>
      <c r="Q31" s="299"/>
      <c r="R31" s="304"/>
      <c r="S31" s="312"/>
      <c r="T31" s="312"/>
      <c r="U31" s="306"/>
      <c r="V31" s="312"/>
      <c r="W31" s="301"/>
      <c r="X31" s="5"/>
    </row>
    <row r="32" spans="1:24" ht="15.75" x14ac:dyDescent="0.25">
      <c r="A32" s="295"/>
      <c r="B32" s="286" t="s">
        <v>132</v>
      </c>
      <c r="C32" s="298"/>
      <c r="D32" s="303">
        <f>D31*D38</f>
        <v>801823.1</v>
      </c>
      <c r="E32" s="298"/>
      <c r="F32" s="299">
        <f>F31*F38</f>
        <v>167982.128</v>
      </c>
      <c r="G32" s="299"/>
      <c r="H32" s="304">
        <f>H31*H38</f>
        <v>88201.058000000005</v>
      </c>
      <c r="I32" s="304"/>
      <c r="J32" s="303">
        <f>J31*J38</f>
        <v>120273.465</v>
      </c>
      <c r="K32" s="299"/>
      <c r="L32" s="299">
        <f>L31*L38</f>
        <v>17000</v>
      </c>
      <c r="M32" s="299"/>
      <c r="N32" s="304">
        <f>N31*N38</f>
        <v>85500</v>
      </c>
      <c r="O32" s="299"/>
      <c r="P32" s="304">
        <f>P31*P38</f>
        <v>110500</v>
      </c>
      <c r="Q32" s="299"/>
      <c r="R32" s="304"/>
      <c r="S32" s="299"/>
      <c r="T32" s="299"/>
      <c r="U32" s="300"/>
      <c r="V32" s="299"/>
      <c r="W32" s="301"/>
      <c r="X32" s="5"/>
    </row>
    <row r="33" spans="1:27" ht="15.75" x14ac:dyDescent="0.25">
      <c r="A33" s="295"/>
      <c r="B33" s="297" t="s">
        <v>134</v>
      </c>
      <c r="C33" s="298"/>
      <c r="D33" s="394">
        <f>D37*D31</f>
        <v>796353.6</v>
      </c>
      <c r="E33" s="310"/>
      <c r="F33" s="312">
        <f>F37*F31</f>
        <v>166836.2887</v>
      </c>
      <c r="G33" s="312"/>
      <c r="H33" s="395">
        <f>H31*H37</f>
        <v>87599.423999999999</v>
      </c>
      <c r="I33" s="395"/>
      <c r="J33" s="394">
        <f>J37*J31</f>
        <v>119453.04</v>
      </c>
      <c r="K33" s="312"/>
      <c r="L33" s="312">
        <f>L31*L37</f>
        <v>17000</v>
      </c>
      <c r="M33" s="312"/>
      <c r="N33" s="395">
        <f>N31*N37</f>
        <v>85500</v>
      </c>
      <c r="O33" s="312"/>
      <c r="P33" s="395">
        <f>P31*P37</f>
        <v>110500</v>
      </c>
      <c r="Q33" s="312"/>
      <c r="R33" s="395"/>
      <c r="S33" s="299"/>
      <c r="T33" s="299"/>
      <c r="U33" s="300"/>
      <c r="V33" s="299"/>
      <c r="W33" s="301"/>
      <c r="X33" s="5"/>
    </row>
    <row r="34" spans="1:27" ht="15.75" x14ac:dyDescent="0.25">
      <c r="A34" s="393"/>
      <c r="B34" s="286" t="s">
        <v>286</v>
      </c>
      <c r="C34" s="310"/>
      <c r="D34" s="299">
        <v>492951</v>
      </c>
      <c r="E34" s="298"/>
      <c r="F34" s="299">
        <v>209500</v>
      </c>
      <c r="G34" s="299"/>
      <c r="H34" s="299">
        <v>74677</v>
      </c>
      <c r="I34" s="299"/>
      <c r="J34" s="299">
        <v>73943</v>
      </c>
      <c r="K34" s="299"/>
      <c r="L34" s="299">
        <v>17000</v>
      </c>
      <c r="M34" s="299"/>
      <c r="N34" s="299">
        <v>58045</v>
      </c>
      <c r="O34" s="299"/>
      <c r="P34" s="299">
        <v>75017</v>
      </c>
      <c r="Q34" s="299"/>
      <c r="R34" s="299"/>
      <c r="S34" s="312"/>
      <c r="T34" s="312"/>
      <c r="U34" s="306"/>
      <c r="V34" s="299">
        <f>SUM(C34:R34)</f>
        <v>1001133</v>
      </c>
      <c r="W34" s="301"/>
      <c r="X34" s="5"/>
    </row>
    <row r="35" spans="1:27" ht="15.75" x14ac:dyDescent="0.25">
      <c r="A35" s="393"/>
      <c r="B35" s="286" t="s">
        <v>287</v>
      </c>
      <c r="C35" s="310"/>
      <c r="D35" s="299">
        <f>D34*D38</f>
        <v>395259.4989681</v>
      </c>
      <c r="E35" s="298"/>
      <c r="F35" s="299">
        <f>F34*F38</f>
        <v>167982.128</v>
      </c>
      <c r="G35" s="299"/>
      <c r="H35" s="299">
        <f>H34*H38</f>
        <v>59878.094620600001</v>
      </c>
      <c r="I35" s="299"/>
      <c r="J35" s="299">
        <f>J34*J38</f>
        <v>59289.2054833</v>
      </c>
      <c r="K35" s="299"/>
      <c r="L35" s="299">
        <f>L34*L38</f>
        <v>17000</v>
      </c>
      <c r="M35" s="299"/>
      <c r="N35" s="299">
        <f>N34*N38</f>
        <v>58045</v>
      </c>
      <c r="O35" s="299"/>
      <c r="P35" s="299">
        <f>P34*P38</f>
        <v>75017</v>
      </c>
      <c r="Q35" s="299"/>
      <c r="R35" s="299"/>
      <c r="S35" s="299"/>
      <c r="T35" s="299"/>
      <c r="U35" s="300"/>
      <c r="V35" s="299">
        <f>SUM(C35:R35)</f>
        <v>832470.92707199999</v>
      </c>
      <c r="W35" s="301"/>
      <c r="X35" s="5"/>
    </row>
    <row r="36" spans="1:27" ht="15.75" x14ac:dyDescent="0.25">
      <c r="A36" s="393"/>
      <c r="B36" s="297" t="s">
        <v>288</v>
      </c>
      <c r="C36" s="310"/>
      <c r="D36" s="312">
        <f>D34*D37</f>
        <v>392563.30347360001</v>
      </c>
      <c r="E36" s="310"/>
      <c r="F36" s="312">
        <f>F34*F37</f>
        <v>166836.2887</v>
      </c>
      <c r="G36" s="312"/>
      <c r="H36" s="312">
        <f>H34*H37</f>
        <v>59469.656236800001</v>
      </c>
      <c r="I36" s="312"/>
      <c r="J36" s="312">
        <f>J34*J37</f>
        <v>58884.774244799999</v>
      </c>
      <c r="K36" s="312"/>
      <c r="L36" s="312">
        <f>L34*L37</f>
        <v>17000</v>
      </c>
      <c r="M36" s="312"/>
      <c r="N36" s="312">
        <f>N34*N37</f>
        <v>58045</v>
      </c>
      <c r="O36" s="312"/>
      <c r="P36" s="312">
        <f>P34*P37</f>
        <v>75017</v>
      </c>
      <c r="Q36" s="312"/>
      <c r="R36" s="312"/>
      <c r="S36" s="311"/>
      <c r="T36" s="311"/>
      <c r="U36" s="300"/>
      <c r="V36" s="312">
        <f>SUM(C36:R36)</f>
        <v>827816.02265519998</v>
      </c>
      <c r="W36" s="301"/>
      <c r="X36" s="5"/>
    </row>
    <row r="37" spans="1:27" ht="15.75" x14ac:dyDescent="0.25">
      <c r="A37" s="285"/>
      <c r="B37" s="313" t="s">
        <v>130</v>
      </c>
      <c r="C37" s="314"/>
      <c r="D37" s="315">
        <v>0.79635359999999999</v>
      </c>
      <c r="E37" s="315"/>
      <c r="F37" s="315">
        <v>0.79635460000000002</v>
      </c>
      <c r="G37" s="315"/>
      <c r="H37" s="315">
        <v>0.79635840000000002</v>
      </c>
      <c r="I37" s="315"/>
      <c r="J37" s="315">
        <v>0.79635359999999999</v>
      </c>
      <c r="K37" s="315"/>
      <c r="L37" s="315">
        <v>1</v>
      </c>
      <c r="M37" s="315"/>
      <c r="N37" s="315">
        <v>1</v>
      </c>
      <c r="O37" s="315"/>
      <c r="P37" s="315">
        <v>1</v>
      </c>
      <c r="Q37" s="315"/>
      <c r="R37" s="315"/>
      <c r="S37" s="316"/>
      <c r="T37" s="316"/>
      <c r="U37" s="317"/>
      <c r="V37" s="317"/>
      <c r="W37" s="318"/>
      <c r="X37" s="5"/>
    </row>
    <row r="38" spans="1:27" ht="15.75" x14ac:dyDescent="0.25">
      <c r="A38" s="285"/>
      <c r="B38" s="313" t="s">
        <v>131</v>
      </c>
      <c r="C38" s="314"/>
      <c r="D38" s="315">
        <v>0.80182310000000001</v>
      </c>
      <c r="E38" s="315"/>
      <c r="F38" s="315">
        <v>0.80182399999999998</v>
      </c>
      <c r="G38" s="315"/>
      <c r="H38" s="315">
        <v>0.80182779999999998</v>
      </c>
      <c r="I38" s="315"/>
      <c r="J38" s="315">
        <v>0.80182310000000001</v>
      </c>
      <c r="K38" s="315"/>
      <c r="L38" s="315">
        <v>1</v>
      </c>
      <c r="M38" s="315"/>
      <c r="N38" s="315">
        <v>1</v>
      </c>
      <c r="O38" s="315"/>
      <c r="P38" s="315">
        <v>1</v>
      </c>
      <c r="Q38" s="315"/>
      <c r="R38" s="315"/>
      <c r="S38" s="319"/>
      <c r="T38" s="320"/>
      <c r="U38" s="317"/>
      <c r="V38" s="319"/>
      <c r="W38" s="318"/>
      <c r="X38" s="5"/>
    </row>
    <row r="39" spans="1:27" ht="15.75" x14ac:dyDescent="0.25">
      <c r="A39" s="285"/>
      <c r="B39" s="286" t="s">
        <v>11</v>
      </c>
      <c r="C39" s="286"/>
      <c r="D39" s="296" t="s">
        <v>278</v>
      </c>
      <c r="E39" s="286"/>
      <c r="F39" s="296" t="s">
        <v>251</v>
      </c>
      <c r="G39" s="296"/>
      <c r="H39" s="296" t="s">
        <v>252</v>
      </c>
      <c r="I39" s="296"/>
      <c r="J39" s="296" t="s">
        <v>253</v>
      </c>
      <c r="K39" s="296"/>
      <c r="L39" s="296" t="s">
        <v>254</v>
      </c>
      <c r="M39" s="296"/>
      <c r="N39" s="296" t="s">
        <v>254</v>
      </c>
      <c r="O39" s="296"/>
      <c r="P39" s="296" t="s">
        <v>255</v>
      </c>
      <c r="Q39" s="296"/>
      <c r="R39" s="296"/>
      <c r="S39" s="321"/>
      <c r="T39" s="322"/>
      <c r="U39" s="288"/>
      <c r="V39" s="288"/>
      <c r="W39" s="289"/>
      <c r="X39" s="5"/>
    </row>
    <row r="40" spans="1:27" ht="15.75" x14ac:dyDescent="0.25">
      <c r="A40" s="285"/>
      <c r="B40" s="286" t="s">
        <v>12</v>
      </c>
      <c r="C40" s="286"/>
      <c r="D40" s="322">
        <v>3.385E-3</v>
      </c>
      <c r="E40" s="286"/>
      <c r="F40" s="322">
        <v>1.1913099999999999E-2</v>
      </c>
      <c r="G40" s="321"/>
      <c r="H40" s="322">
        <v>1.546E-2</v>
      </c>
      <c r="I40" s="322"/>
      <c r="J40" s="322">
        <v>6.5624999999999998E-3</v>
      </c>
      <c r="K40" s="321"/>
      <c r="L40" s="322">
        <v>1.33131E-2</v>
      </c>
      <c r="M40" s="321"/>
      <c r="N40" s="322">
        <v>1.6959999999999999E-2</v>
      </c>
      <c r="O40" s="321"/>
      <c r="P40" s="322">
        <v>1.976E-2</v>
      </c>
      <c r="Q40" s="321"/>
      <c r="R40" s="322"/>
      <c r="S40" s="321"/>
      <c r="T40" s="322"/>
      <c r="U40" s="288"/>
      <c r="V40" s="296"/>
      <c r="W40" s="289"/>
      <c r="X40" s="5"/>
      <c r="AA40" s="1" t="s">
        <v>193</v>
      </c>
    </row>
    <row r="41" spans="1:27" ht="15.75" x14ac:dyDescent="0.25">
      <c r="A41" s="285"/>
      <c r="B41" s="286" t="s">
        <v>13</v>
      </c>
      <c r="C41" s="286"/>
      <c r="D41" s="322">
        <v>3.3899999999999998E-3</v>
      </c>
      <c r="E41" s="286"/>
      <c r="F41" s="322">
        <v>1.0478100000000001E-2</v>
      </c>
      <c r="G41" s="321"/>
      <c r="H41" s="322">
        <v>1.6480000000000002E-2</v>
      </c>
      <c r="I41" s="322"/>
      <c r="J41" s="322">
        <v>4.5710999999999998E-3</v>
      </c>
      <c r="K41" s="321"/>
      <c r="L41" s="322">
        <v>1.1878100000000001E-2</v>
      </c>
      <c r="M41" s="321"/>
      <c r="N41" s="322">
        <v>1.7979999999999999E-2</v>
      </c>
      <c r="O41" s="321"/>
      <c r="P41" s="322">
        <v>2.078E-2</v>
      </c>
      <c r="Q41" s="321"/>
      <c r="R41" s="322"/>
      <c r="S41" s="321"/>
      <c r="T41" s="322"/>
      <c r="U41" s="288"/>
      <c r="V41" s="321" t="s">
        <v>193</v>
      </c>
      <c r="W41" s="289"/>
      <c r="X41" s="5"/>
    </row>
    <row r="42" spans="1:27" ht="15.75" x14ac:dyDescent="0.25">
      <c r="A42" s="285"/>
      <c r="B42" s="286" t="s">
        <v>289</v>
      </c>
      <c r="C42" s="286"/>
      <c r="D42" s="296" t="s">
        <v>279</v>
      </c>
      <c r="E42" s="286"/>
      <c r="F42" s="296" t="s">
        <v>251</v>
      </c>
      <c r="G42" s="296"/>
      <c r="H42" s="296" t="s">
        <v>229</v>
      </c>
      <c r="I42" s="296"/>
      <c r="J42" s="296" t="s">
        <v>229</v>
      </c>
      <c r="K42" s="296"/>
      <c r="L42" s="296" t="s">
        <v>254</v>
      </c>
      <c r="M42" s="296"/>
      <c r="N42" s="296" t="s">
        <v>262</v>
      </c>
      <c r="O42" s="296"/>
      <c r="P42" s="296" t="s">
        <v>263</v>
      </c>
      <c r="Q42" s="296"/>
      <c r="R42" s="296"/>
      <c r="S42" s="321"/>
      <c r="T42" s="322"/>
      <c r="U42" s="288"/>
      <c r="V42" s="288"/>
      <c r="W42" s="289"/>
      <c r="X42" s="5"/>
    </row>
    <row r="43" spans="1:27" ht="15.75" x14ac:dyDescent="0.25">
      <c r="A43" s="285"/>
      <c r="B43" s="286" t="s">
        <v>290</v>
      </c>
      <c r="C43" s="323"/>
      <c r="D43" s="322">
        <v>1.170505E-2</v>
      </c>
      <c r="E43" s="322"/>
      <c r="F43" s="322">
        <f>+F40</f>
        <v>1.1913099999999999E-2</v>
      </c>
      <c r="G43" s="322"/>
      <c r="H43" s="322">
        <v>1.19881E-2</v>
      </c>
      <c r="I43" s="322"/>
      <c r="J43" s="322">
        <v>1.2003099999999999E-2</v>
      </c>
      <c r="K43" s="322"/>
      <c r="L43" s="322">
        <f>+L40</f>
        <v>1.33131E-2</v>
      </c>
      <c r="M43" s="322"/>
      <c r="N43" s="322">
        <v>1.3680100000000001E-2</v>
      </c>
      <c r="O43" s="322"/>
      <c r="P43" s="322">
        <v>1.67601E-2</v>
      </c>
      <c r="Q43" s="321"/>
      <c r="R43" s="322"/>
      <c r="S43" s="296"/>
      <c r="T43" s="296"/>
      <c r="U43" s="288"/>
      <c r="V43" s="321">
        <f>SUMPRODUCT(D43:R43,D35:R35)/V35</f>
        <v>1.2414698370886549E-2</v>
      </c>
      <c r="W43" s="289"/>
      <c r="X43" s="5"/>
    </row>
    <row r="44" spans="1:27" ht="15.75" x14ac:dyDescent="0.25">
      <c r="A44" s="285"/>
      <c r="B44" s="286" t="s">
        <v>291</v>
      </c>
      <c r="C44" s="323"/>
      <c r="D44" s="322">
        <v>1.0270049999999999E-2</v>
      </c>
      <c r="E44" s="322"/>
      <c r="F44" s="322">
        <f>+F41</f>
        <v>1.0478100000000001E-2</v>
      </c>
      <c r="G44" s="322"/>
      <c r="H44" s="322">
        <v>1.0553099999999999E-2</v>
      </c>
      <c r="I44" s="322"/>
      <c r="J44" s="322">
        <v>1.05681E-2</v>
      </c>
      <c r="K44" s="322"/>
      <c r="L44" s="322">
        <f>+L41</f>
        <v>1.1878100000000001E-2</v>
      </c>
      <c r="M44" s="322"/>
      <c r="N44" s="322">
        <v>1.22451E-2</v>
      </c>
      <c r="O44" s="322"/>
      <c r="P44" s="322">
        <v>1.5325099999999999E-2</v>
      </c>
      <c r="Q44" s="321"/>
      <c r="R44" s="322"/>
      <c r="S44" s="296"/>
      <c r="T44" s="296"/>
      <c r="U44" s="288"/>
      <c r="V44" s="288"/>
      <c r="W44" s="289"/>
      <c r="X44" s="5"/>
    </row>
    <row r="45" spans="1:27" ht="15.75" x14ac:dyDescent="0.25">
      <c r="A45" s="285"/>
      <c r="B45" s="286" t="s">
        <v>14</v>
      </c>
      <c r="C45" s="286"/>
      <c r="D45" s="323">
        <v>40709</v>
      </c>
      <c r="E45" s="323"/>
      <c r="F45" s="323">
        <v>40709</v>
      </c>
      <c r="G45" s="323"/>
      <c r="H45" s="323">
        <v>40709</v>
      </c>
      <c r="I45" s="323"/>
      <c r="J45" s="323">
        <v>40709</v>
      </c>
      <c r="K45" s="323"/>
      <c r="L45" s="323">
        <v>40709</v>
      </c>
      <c r="M45" s="323"/>
      <c r="N45" s="323">
        <v>40709</v>
      </c>
      <c r="O45" s="323"/>
      <c r="P45" s="323">
        <v>40709</v>
      </c>
      <c r="Q45" s="323"/>
      <c r="R45" s="323"/>
      <c r="S45" s="296"/>
      <c r="T45" s="296"/>
      <c r="U45" s="288"/>
      <c r="V45" s="288"/>
      <c r="W45" s="289"/>
      <c r="X45" s="5"/>
    </row>
    <row r="46" spans="1:27" ht="15.75" x14ac:dyDescent="0.25">
      <c r="A46" s="285"/>
      <c r="B46" s="286" t="s">
        <v>15</v>
      </c>
      <c r="C46" s="286"/>
      <c r="D46" s="323">
        <v>41075</v>
      </c>
      <c r="E46" s="323"/>
      <c r="F46" s="323">
        <v>41075</v>
      </c>
      <c r="G46" s="323"/>
      <c r="H46" s="323">
        <v>41075</v>
      </c>
      <c r="I46" s="323"/>
      <c r="J46" s="323">
        <v>41075</v>
      </c>
      <c r="K46" s="296"/>
      <c r="L46" s="323">
        <v>41075</v>
      </c>
      <c r="M46" s="296"/>
      <c r="N46" s="323">
        <v>41075</v>
      </c>
      <c r="O46" s="296"/>
      <c r="P46" s="323">
        <v>41075</v>
      </c>
      <c r="Q46" s="296"/>
      <c r="R46" s="323"/>
      <c r="S46" s="296"/>
      <c r="T46" s="296"/>
      <c r="U46" s="288"/>
      <c r="V46" s="288"/>
      <c r="W46" s="289"/>
      <c r="X46" s="5"/>
    </row>
    <row r="47" spans="1:27" ht="15.75" x14ac:dyDescent="0.25">
      <c r="A47" s="285"/>
      <c r="B47" s="286" t="s">
        <v>119</v>
      </c>
      <c r="C47" s="286"/>
      <c r="D47" s="296" t="s">
        <v>304</v>
      </c>
      <c r="E47" s="286"/>
      <c r="F47" s="296" t="s">
        <v>256</v>
      </c>
      <c r="G47" s="296"/>
      <c r="H47" s="296" t="s">
        <v>257</v>
      </c>
      <c r="I47" s="296"/>
      <c r="J47" s="296" t="s">
        <v>258</v>
      </c>
      <c r="K47" s="296"/>
      <c r="L47" s="296" t="s">
        <v>259</v>
      </c>
      <c r="M47" s="296"/>
      <c r="N47" s="296" t="s">
        <v>259</v>
      </c>
      <c r="O47" s="296"/>
      <c r="P47" s="296" t="s">
        <v>260</v>
      </c>
      <c r="Q47" s="296"/>
      <c r="R47" s="296"/>
      <c r="S47" s="325"/>
      <c r="T47" s="325"/>
      <c r="U47" s="325"/>
      <c r="V47" s="325"/>
      <c r="W47" s="289"/>
      <c r="X47" s="5"/>
    </row>
    <row r="48" spans="1:27" ht="15.75" x14ac:dyDescent="0.25">
      <c r="A48" s="285"/>
      <c r="B48" s="286" t="s">
        <v>292</v>
      </c>
      <c r="C48" s="286"/>
      <c r="D48" s="296" t="s">
        <v>118</v>
      </c>
      <c r="E48" s="286"/>
      <c r="F48" s="296" t="s">
        <v>256</v>
      </c>
      <c r="G48" s="296"/>
      <c r="H48" s="296" t="s">
        <v>261</v>
      </c>
      <c r="I48" s="296"/>
      <c r="J48" s="296" t="s">
        <v>261</v>
      </c>
      <c r="K48" s="296"/>
      <c r="L48" s="296" t="s">
        <v>259</v>
      </c>
      <c r="M48" s="296"/>
      <c r="N48" s="296" t="s">
        <v>263</v>
      </c>
      <c r="O48" s="296"/>
      <c r="P48" s="296" t="s">
        <v>264</v>
      </c>
      <c r="Q48" s="296"/>
      <c r="R48" s="296"/>
      <c r="S48" s="286"/>
      <c r="T48" s="286"/>
      <c r="U48" s="286"/>
      <c r="V48" s="321"/>
      <c r="W48" s="289"/>
      <c r="X48" s="5"/>
    </row>
    <row r="49" spans="1:25" ht="15.75" x14ac:dyDescent="0.25">
      <c r="A49" s="285"/>
      <c r="B49" s="286"/>
      <c r="C49" s="286"/>
      <c r="D49" s="296"/>
      <c r="E49" s="286"/>
      <c r="F49" s="296"/>
      <c r="G49" s="296"/>
      <c r="H49" s="296"/>
      <c r="I49" s="296"/>
      <c r="J49" s="296"/>
      <c r="K49" s="296"/>
      <c r="L49" s="296"/>
      <c r="M49" s="296"/>
      <c r="N49" s="296"/>
      <c r="O49" s="296"/>
      <c r="P49" s="296"/>
      <c r="Q49" s="296"/>
      <c r="R49" s="296"/>
      <c r="S49" s="286"/>
      <c r="T49" s="286"/>
      <c r="U49" s="286"/>
      <c r="V49" s="321" t="s">
        <v>193</v>
      </c>
      <c r="W49" s="289"/>
      <c r="X49" s="5"/>
    </row>
    <row r="50" spans="1:25" ht="15.75" x14ac:dyDescent="0.25">
      <c r="A50" s="285"/>
      <c r="B50" s="286" t="s">
        <v>169</v>
      </c>
      <c r="C50" s="286"/>
      <c r="D50" s="296"/>
      <c r="E50" s="286"/>
      <c r="F50" s="296"/>
      <c r="G50" s="296"/>
      <c r="H50" s="296"/>
      <c r="I50" s="296"/>
      <c r="J50" s="296"/>
      <c r="K50" s="296"/>
      <c r="L50" s="296"/>
      <c r="M50" s="296"/>
      <c r="N50" s="296"/>
      <c r="O50" s="296"/>
      <c r="P50" s="296"/>
      <c r="Q50" s="296"/>
      <c r="R50" s="296"/>
      <c r="S50" s="286"/>
      <c r="T50" s="286"/>
      <c r="U50" s="286"/>
      <c r="V50" s="321">
        <f>SUM(L34:R34)/SUM(D34:J34)</f>
        <v>0.17632136449250416</v>
      </c>
      <c r="W50" s="289"/>
      <c r="X50" s="5"/>
    </row>
    <row r="51" spans="1:25" ht="15.75" x14ac:dyDescent="0.25">
      <c r="A51" s="285"/>
      <c r="B51" s="286" t="s">
        <v>170</v>
      </c>
      <c r="C51" s="286"/>
      <c r="D51" s="286"/>
      <c r="E51" s="286"/>
      <c r="F51" s="326"/>
      <c r="G51" s="286"/>
      <c r="H51" s="286"/>
      <c r="I51" s="286"/>
      <c r="J51" s="286"/>
      <c r="K51" s="286"/>
      <c r="L51" s="286"/>
      <c r="M51" s="286"/>
      <c r="N51" s="286"/>
      <c r="O51" s="286"/>
      <c r="P51" s="286"/>
      <c r="Q51" s="286"/>
      <c r="R51" s="286"/>
      <c r="S51" s="286"/>
      <c r="T51" s="286"/>
      <c r="U51" s="286"/>
      <c r="V51" s="321">
        <f>SUM(L36:R36)/SUM(D36:J36)</f>
        <v>0.22141071094216494</v>
      </c>
      <c r="W51" s="289"/>
      <c r="X51" s="5"/>
    </row>
    <row r="52" spans="1:25" ht="15.75" x14ac:dyDescent="0.25">
      <c r="A52" s="285"/>
      <c r="B52" s="286" t="s">
        <v>171</v>
      </c>
      <c r="C52" s="286"/>
      <c r="D52" s="286"/>
      <c r="E52" s="286"/>
      <c r="F52" s="286"/>
      <c r="G52" s="286"/>
      <c r="H52" s="286"/>
      <c r="I52" s="286"/>
      <c r="J52" s="286"/>
      <c r="K52" s="286"/>
      <c r="L52" s="286"/>
      <c r="M52" s="286"/>
      <c r="N52" s="286"/>
      <c r="O52" s="286"/>
      <c r="P52" s="286"/>
      <c r="Q52" s="286"/>
      <c r="R52" s="286"/>
      <c r="S52" s="286"/>
      <c r="T52" s="296"/>
      <c r="U52" s="296"/>
      <c r="V52" s="299" t="s">
        <v>268</v>
      </c>
      <c r="W52" s="289"/>
      <c r="X52" s="5"/>
    </row>
    <row r="53" spans="1:25" ht="15.75" x14ac:dyDescent="0.25">
      <c r="A53" s="285"/>
      <c r="B53" s="286"/>
      <c r="C53" s="286"/>
      <c r="D53" s="286"/>
      <c r="E53" s="286"/>
      <c r="F53" s="286"/>
      <c r="G53" s="286"/>
      <c r="H53" s="286"/>
      <c r="I53" s="286"/>
      <c r="J53" s="286"/>
      <c r="K53" s="286"/>
      <c r="L53" s="286"/>
      <c r="M53" s="286"/>
      <c r="N53" s="286"/>
      <c r="O53" s="286"/>
      <c r="P53" s="286"/>
      <c r="Q53" s="286"/>
      <c r="R53" s="286"/>
      <c r="S53" s="286"/>
      <c r="T53" s="286"/>
      <c r="U53" s="286"/>
      <c r="V53" s="327"/>
      <c r="W53" s="289"/>
      <c r="X53" s="5"/>
    </row>
    <row r="54" spans="1:25" ht="15.75" x14ac:dyDescent="0.25">
      <c r="A54" s="285"/>
      <c r="B54" s="286" t="s">
        <v>202</v>
      </c>
      <c r="C54" s="286"/>
      <c r="D54" s="286"/>
      <c r="E54" s="286"/>
      <c r="F54" s="286"/>
      <c r="G54" s="286"/>
      <c r="H54" s="286"/>
      <c r="I54" s="286"/>
      <c r="J54" s="286"/>
      <c r="K54" s="286"/>
      <c r="L54" s="286"/>
      <c r="M54" s="286"/>
      <c r="N54" s="286"/>
      <c r="O54" s="286"/>
      <c r="P54" s="286"/>
      <c r="Q54" s="286"/>
      <c r="R54" s="286"/>
      <c r="S54" s="286"/>
      <c r="T54" s="286"/>
      <c r="U54" s="286"/>
      <c r="V54" s="311" t="s">
        <v>203</v>
      </c>
      <c r="W54" s="289"/>
      <c r="X54" s="5"/>
    </row>
    <row r="55" spans="1:25" ht="15.75" x14ac:dyDescent="0.25">
      <c r="A55" s="285"/>
      <c r="B55" s="286" t="s">
        <v>270</v>
      </c>
      <c r="C55" s="286"/>
      <c r="D55" s="286"/>
      <c r="E55" s="286"/>
      <c r="F55" s="286"/>
      <c r="G55" s="286"/>
      <c r="H55" s="286"/>
      <c r="I55" s="286"/>
      <c r="J55" s="286"/>
      <c r="K55" s="286"/>
      <c r="L55" s="286"/>
      <c r="M55" s="286"/>
      <c r="N55" s="286"/>
      <c r="O55" s="286"/>
      <c r="P55" s="286"/>
      <c r="Q55" s="286"/>
      <c r="R55" s="286"/>
      <c r="S55" s="286"/>
      <c r="T55" s="296"/>
      <c r="U55" s="296"/>
      <c r="V55" s="396" t="s">
        <v>111</v>
      </c>
      <c r="W55" s="289"/>
      <c r="X55" s="5"/>
    </row>
    <row r="56" spans="1:25" ht="15.75" x14ac:dyDescent="0.25">
      <c r="A56" s="285"/>
      <c r="B56" s="297" t="s">
        <v>201</v>
      </c>
      <c r="C56" s="297"/>
      <c r="D56" s="297"/>
      <c r="E56" s="297"/>
      <c r="F56" s="297"/>
      <c r="G56" s="297"/>
      <c r="H56" s="297"/>
      <c r="I56" s="297"/>
      <c r="J56" s="297"/>
      <c r="K56" s="297"/>
      <c r="L56" s="297"/>
      <c r="M56" s="297"/>
      <c r="N56" s="297"/>
      <c r="O56" s="297"/>
      <c r="P56" s="297"/>
      <c r="Q56" s="297"/>
      <c r="R56" s="297"/>
      <c r="S56" s="297"/>
      <c r="T56" s="397"/>
      <c r="U56" s="397"/>
      <c r="V56" s="398">
        <v>40983</v>
      </c>
      <c r="W56" s="289"/>
      <c r="X56" s="5"/>
    </row>
    <row r="57" spans="1:25" ht="15.75" x14ac:dyDescent="0.25">
      <c r="A57" s="285"/>
      <c r="B57" s="286" t="s">
        <v>121</v>
      </c>
      <c r="C57" s="286"/>
      <c r="D57" s="286"/>
      <c r="E57" s="286"/>
      <c r="F57" s="286"/>
      <c r="G57" s="286"/>
      <c r="H57" s="332"/>
      <c r="I57" s="332"/>
      <c r="J57" s="332"/>
      <c r="K57" s="332"/>
      <c r="L57" s="332"/>
      <c r="M57" s="332"/>
      <c r="N57" s="332"/>
      <c r="O57" s="332"/>
      <c r="P57" s="332"/>
      <c r="Q57" s="332"/>
      <c r="R57" s="286">
        <f>+V57-T57+1</f>
        <v>91</v>
      </c>
      <c r="S57" s="332"/>
      <c r="T57" s="333">
        <v>40801</v>
      </c>
      <c r="U57" s="334"/>
      <c r="V57" s="333">
        <v>40891</v>
      </c>
      <c r="W57" s="289"/>
      <c r="X57" s="5"/>
    </row>
    <row r="58" spans="1:25" ht="15.75" x14ac:dyDescent="0.25">
      <c r="A58" s="285"/>
      <c r="B58" s="286" t="s">
        <v>122</v>
      </c>
      <c r="C58" s="286"/>
      <c r="D58" s="286"/>
      <c r="E58" s="286"/>
      <c r="F58" s="286"/>
      <c r="G58" s="286"/>
      <c r="H58" s="286"/>
      <c r="I58" s="286"/>
      <c r="J58" s="286"/>
      <c r="K58" s="286"/>
      <c r="L58" s="286"/>
      <c r="M58" s="286"/>
      <c r="N58" s="286"/>
      <c r="O58" s="286"/>
      <c r="P58" s="286"/>
      <c r="Q58" s="286"/>
      <c r="R58" s="286">
        <f>+V58-T58+1</f>
        <v>91</v>
      </c>
      <c r="S58" s="286"/>
      <c r="T58" s="333">
        <v>40892</v>
      </c>
      <c r="U58" s="334"/>
      <c r="V58" s="333">
        <v>40982</v>
      </c>
      <c r="W58" s="289"/>
      <c r="X58" s="5"/>
    </row>
    <row r="59" spans="1:25" ht="15.75" x14ac:dyDescent="0.25">
      <c r="A59" s="285"/>
      <c r="B59" s="286" t="s">
        <v>223</v>
      </c>
      <c r="C59" s="286"/>
      <c r="D59" s="286"/>
      <c r="E59" s="286"/>
      <c r="F59" s="286"/>
      <c r="G59" s="286"/>
      <c r="H59" s="286"/>
      <c r="I59" s="286"/>
      <c r="J59" s="286"/>
      <c r="K59" s="286"/>
      <c r="L59" s="286"/>
      <c r="M59" s="286"/>
      <c r="N59" s="286"/>
      <c r="O59" s="286"/>
      <c r="P59" s="286"/>
      <c r="Q59" s="286"/>
      <c r="R59" s="286"/>
      <c r="S59" s="286"/>
      <c r="T59" s="333"/>
      <c r="U59" s="334"/>
      <c r="V59" s="333" t="s">
        <v>120</v>
      </c>
      <c r="W59" s="289"/>
      <c r="X59" s="5"/>
    </row>
    <row r="60" spans="1:25" ht="15.75" x14ac:dyDescent="0.25">
      <c r="A60" s="285"/>
      <c r="B60" s="286" t="s">
        <v>271</v>
      </c>
      <c r="C60" s="286"/>
      <c r="D60" s="286"/>
      <c r="E60" s="286"/>
      <c r="F60" s="286"/>
      <c r="G60" s="286"/>
      <c r="H60" s="286"/>
      <c r="I60" s="286"/>
      <c r="J60" s="286"/>
      <c r="K60" s="286"/>
      <c r="L60" s="286"/>
      <c r="M60" s="286"/>
      <c r="N60" s="286"/>
      <c r="O60" s="286"/>
      <c r="P60" s="286"/>
      <c r="Q60" s="286"/>
      <c r="R60" s="286"/>
      <c r="S60" s="286"/>
      <c r="T60" s="333"/>
      <c r="U60" s="334"/>
      <c r="V60" s="333" t="s">
        <v>154</v>
      </c>
      <c r="W60" s="289"/>
      <c r="X60" s="5"/>
      <c r="Y60" s="133"/>
    </row>
    <row r="61" spans="1:25" ht="15.75" x14ac:dyDescent="0.25">
      <c r="A61" s="285"/>
      <c r="B61" s="286" t="s">
        <v>16</v>
      </c>
      <c r="C61" s="286"/>
      <c r="D61" s="286"/>
      <c r="E61" s="286"/>
      <c r="F61" s="286"/>
      <c r="G61" s="286"/>
      <c r="H61" s="286"/>
      <c r="I61" s="286"/>
      <c r="J61" s="286"/>
      <c r="K61" s="286"/>
      <c r="L61" s="286"/>
      <c r="M61" s="286"/>
      <c r="N61" s="286"/>
      <c r="O61" s="286"/>
      <c r="P61" s="286"/>
      <c r="Q61" s="286"/>
      <c r="R61" s="286"/>
      <c r="S61" s="286"/>
      <c r="T61" s="333"/>
      <c r="U61" s="334"/>
      <c r="V61" s="333">
        <v>40969</v>
      </c>
      <c r="W61" s="289"/>
      <c r="X61" s="5"/>
    </row>
    <row r="62" spans="1:25" ht="15.75" x14ac:dyDescent="0.25">
      <c r="A62" s="181"/>
      <c r="B62" s="212"/>
      <c r="C62" s="212"/>
      <c r="D62" s="212"/>
      <c r="E62" s="212"/>
      <c r="F62" s="212"/>
      <c r="G62" s="212"/>
      <c r="H62" s="212"/>
      <c r="I62" s="212"/>
      <c r="J62" s="212"/>
      <c r="K62" s="212"/>
      <c r="L62" s="212"/>
      <c r="M62" s="212"/>
      <c r="N62" s="212"/>
      <c r="O62" s="212"/>
      <c r="P62" s="212"/>
      <c r="Q62" s="212"/>
      <c r="R62" s="212"/>
      <c r="S62" s="212"/>
      <c r="T62" s="283"/>
      <c r="U62" s="284"/>
      <c r="V62" s="283"/>
      <c r="W62" s="212"/>
      <c r="X62" s="5"/>
    </row>
    <row r="63" spans="1:25" ht="15.75" x14ac:dyDescent="0.25">
      <c r="A63" s="181"/>
      <c r="B63" s="183"/>
      <c r="C63" s="183"/>
      <c r="D63" s="183"/>
      <c r="E63" s="183"/>
      <c r="F63" s="183"/>
      <c r="G63" s="183"/>
      <c r="H63" s="183"/>
      <c r="I63" s="183"/>
      <c r="J63" s="183"/>
      <c r="K63" s="183"/>
      <c r="L63" s="183"/>
      <c r="M63" s="183"/>
      <c r="N63" s="183"/>
      <c r="O63" s="183"/>
      <c r="P63" s="183"/>
      <c r="Q63" s="183"/>
      <c r="R63" s="183"/>
      <c r="S63" s="183"/>
      <c r="T63" s="195"/>
      <c r="U63" s="196"/>
      <c r="V63" s="195"/>
      <c r="W63" s="183"/>
      <c r="X63" s="5"/>
    </row>
    <row r="64" spans="1:25" ht="19.5" thickBot="1" x14ac:dyDescent="0.35">
      <c r="A64" s="197"/>
      <c r="B64" s="270" t="s">
        <v>305</v>
      </c>
      <c r="C64" s="198"/>
      <c r="D64" s="198"/>
      <c r="E64" s="198"/>
      <c r="F64" s="198"/>
      <c r="G64" s="198"/>
      <c r="H64" s="198"/>
      <c r="I64" s="198"/>
      <c r="J64" s="198"/>
      <c r="K64" s="198"/>
      <c r="L64" s="198"/>
      <c r="M64" s="198"/>
      <c r="N64" s="198"/>
      <c r="O64" s="198"/>
      <c r="P64" s="198"/>
      <c r="Q64" s="198"/>
      <c r="R64" s="198"/>
      <c r="S64" s="198"/>
      <c r="T64" s="198"/>
      <c r="U64" s="198"/>
      <c r="V64" s="199"/>
      <c r="W64" s="200"/>
      <c r="X64" s="5"/>
    </row>
    <row r="65" spans="1:24" ht="15.75" x14ac:dyDescent="0.25">
      <c r="A65" s="224"/>
      <c r="B65" s="230" t="s">
        <v>17</v>
      </c>
      <c r="C65" s="225"/>
      <c r="D65" s="225"/>
      <c r="E65" s="225"/>
      <c r="F65" s="225"/>
      <c r="G65" s="225"/>
      <c r="H65" s="225"/>
      <c r="I65" s="225"/>
      <c r="J65" s="225"/>
      <c r="K65" s="225"/>
      <c r="L65" s="225"/>
      <c r="M65" s="225"/>
      <c r="N65" s="225"/>
      <c r="O65" s="225"/>
      <c r="P65" s="225"/>
      <c r="Q65" s="225"/>
      <c r="R65" s="225"/>
      <c r="S65" s="225"/>
      <c r="T65" s="225"/>
      <c r="U65" s="225"/>
      <c r="V65" s="231"/>
      <c r="W65" s="225"/>
      <c r="X65" s="5"/>
    </row>
    <row r="66" spans="1:24" ht="15.75" x14ac:dyDescent="0.25">
      <c r="A66" s="181"/>
      <c r="B66" s="189"/>
      <c r="C66" s="183"/>
      <c r="D66" s="183"/>
      <c r="E66" s="183"/>
      <c r="F66" s="183"/>
      <c r="G66" s="183"/>
      <c r="H66" s="183"/>
      <c r="I66" s="183"/>
      <c r="J66" s="183"/>
      <c r="K66" s="183"/>
      <c r="L66" s="183"/>
      <c r="M66" s="183"/>
      <c r="N66" s="183"/>
      <c r="O66" s="183"/>
      <c r="P66" s="183"/>
      <c r="Q66" s="183"/>
      <c r="R66" s="183"/>
      <c r="S66" s="183"/>
      <c r="T66" s="183"/>
      <c r="U66" s="183"/>
      <c r="V66" s="202"/>
      <c r="W66" s="183"/>
      <c r="X66" s="5"/>
    </row>
    <row r="67" spans="1:24" ht="47.25" x14ac:dyDescent="0.25">
      <c r="A67" s="181"/>
      <c r="B67" s="203" t="s">
        <v>18</v>
      </c>
      <c r="C67" s="204"/>
      <c r="D67" s="204"/>
      <c r="E67" s="204"/>
      <c r="F67" s="204"/>
      <c r="G67" s="204"/>
      <c r="H67" s="204"/>
      <c r="I67" s="204"/>
      <c r="J67" s="204"/>
      <c r="K67" s="204"/>
      <c r="L67" s="204" t="s">
        <v>94</v>
      </c>
      <c r="M67" s="204"/>
      <c r="N67" s="204" t="s">
        <v>96</v>
      </c>
      <c r="O67" s="204"/>
      <c r="P67" s="204" t="s">
        <v>98</v>
      </c>
      <c r="Q67" s="204"/>
      <c r="R67" s="204" t="s">
        <v>100</v>
      </c>
      <c r="S67" s="204"/>
      <c r="T67" s="204" t="s">
        <v>106</v>
      </c>
      <c r="U67" s="204"/>
      <c r="V67" s="205" t="s">
        <v>112</v>
      </c>
      <c r="W67" s="206"/>
      <c r="X67" s="5"/>
    </row>
    <row r="68" spans="1:24" ht="15.75" x14ac:dyDescent="0.25">
      <c r="A68" s="285"/>
      <c r="B68" s="286" t="s">
        <v>19</v>
      </c>
      <c r="C68" s="337"/>
      <c r="D68" s="337"/>
      <c r="E68" s="337"/>
      <c r="F68" s="337"/>
      <c r="G68" s="337"/>
      <c r="H68" s="337"/>
      <c r="I68" s="337"/>
      <c r="J68" s="337"/>
      <c r="K68" s="337"/>
      <c r="L68" s="337">
        <v>812446</v>
      </c>
      <c r="M68" s="337"/>
      <c r="N68" s="338">
        <v>832471</v>
      </c>
      <c r="O68" s="337"/>
      <c r="P68" s="337">
        <f>4655</f>
        <v>4655</v>
      </c>
      <c r="Q68" s="337"/>
      <c r="R68" s="337">
        <v>0</v>
      </c>
      <c r="S68" s="337"/>
      <c r="T68" s="337">
        <v>0</v>
      </c>
      <c r="U68" s="337"/>
      <c r="V68" s="338">
        <f>+N68-P68+R68-T68</f>
        <v>827816</v>
      </c>
      <c r="W68" s="289"/>
      <c r="X68" s="5"/>
    </row>
    <row r="69" spans="1:24" ht="15.75" x14ac:dyDescent="0.25">
      <c r="A69" s="285"/>
      <c r="B69" s="286" t="s">
        <v>20</v>
      </c>
      <c r="C69" s="337"/>
      <c r="D69" s="337"/>
      <c r="E69" s="337"/>
      <c r="F69" s="337"/>
      <c r="G69" s="337"/>
      <c r="H69" s="337"/>
      <c r="I69" s="337"/>
      <c r="J69" s="337"/>
      <c r="K69" s="337"/>
      <c r="L69" s="337">
        <v>0</v>
      </c>
      <c r="M69" s="337"/>
      <c r="N69" s="338">
        <v>0</v>
      </c>
      <c r="O69" s="337"/>
      <c r="P69" s="337">
        <v>0</v>
      </c>
      <c r="Q69" s="337"/>
      <c r="R69" s="337">
        <v>0</v>
      </c>
      <c r="S69" s="337"/>
      <c r="T69" s="337">
        <v>0</v>
      </c>
      <c r="U69" s="337"/>
      <c r="V69" s="338">
        <f>+L69-P69</f>
        <v>0</v>
      </c>
      <c r="W69" s="289"/>
      <c r="X69" s="5"/>
    </row>
    <row r="70" spans="1:24" ht="15.75" x14ac:dyDescent="0.25">
      <c r="A70" s="285"/>
      <c r="B70" s="286"/>
      <c r="C70" s="337"/>
      <c r="D70" s="337"/>
      <c r="E70" s="337"/>
      <c r="F70" s="337"/>
      <c r="G70" s="337"/>
      <c r="H70" s="337"/>
      <c r="I70" s="337"/>
      <c r="J70" s="337"/>
      <c r="K70" s="337"/>
      <c r="L70" s="337"/>
      <c r="M70" s="337"/>
      <c r="N70" s="338"/>
      <c r="O70" s="337"/>
      <c r="P70" s="337"/>
      <c r="Q70" s="337"/>
      <c r="R70" s="337"/>
      <c r="S70" s="337"/>
      <c r="T70" s="337"/>
      <c r="U70" s="337"/>
      <c r="V70" s="338"/>
      <c r="W70" s="289"/>
      <c r="X70" s="5"/>
    </row>
    <row r="71" spans="1:24" ht="15.75" x14ac:dyDescent="0.25">
      <c r="A71" s="285"/>
      <c r="B71" s="286" t="s">
        <v>21</v>
      </c>
      <c r="C71" s="337"/>
      <c r="D71" s="337"/>
      <c r="E71" s="337"/>
      <c r="F71" s="337"/>
      <c r="G71" s="337"/>
      <c r="H71" s="337"/>
      <c r="I71" s="337"/>
      <c r="J71" s="337"/>
      <c r="K71" s="337"/>
      <c r="L71" s="337">
        <f>SUM(L68:L70)</f>
        <v>812446</v>
      </c>
      <c r="M71" s="337"/>
      <c r="N71" s="337">
        <f>N68+N69</f>
        <v>832471</v>
      </c>
      <c r="O71" s="337"/>
      <c r="P71" s="337">
        <f>SUM(P68:P70)</f>
        <v>4655</v>
      </c>
      <c r="Q71" s="337"/>
      <c r="R71" s="337">
        <f>SUM(R68:R70)</f>
        <v>0</v>
      </c>
      <c r="S71" s="337"/>
      <c r="T71" s="337">
        <f>SUM(T68:T70)</f>
        <v>0</v>
      </c>
      <c r="U71" s="337"/>
      <c r="V71" s="337">
        <f>SUM(V68:V70)</f>
        <v>827816</v>
      </c>
      <c r="W71" s="289"/>
      <c r="X71" s="5"/>
    </row>
    <row r="72" spans="1:24" ht="15.75" x14ac:dyDescent="0.25">
      <c r="A72" s="181"/>
      <c r="B72" s="212"/>
      <c r="C72" s="335"/>
      <c r="D72" s="335"/>
      <c r="E72" s="335"/>
      <c r="F72" s="335"/>
      <c r="G72" s="335"/>
      <c r="H72" s="335"/>
      <c r="I72" s="335"/>
      <c r="J72" s="335"/>
      <c r="K72" s="335"/>
      <c r="L72" s="335"/>
      <c r="M72" s="335"/>
      <c r="N72" s="335"/>
      <c r="O72" s="335"/>
      <c r="P72" s="335"/>
      <c r="Q72" s="335"/>
      <c r="R72" s="335"/>
      <c r="S72" s="335"/>
      <c r="T72" s="335"/>
      <c r="U72" s="335"/>
      <c r="V72" s="336"/>
      <c r="W72" s="212"/>
      <c r="X72" s="5"/>
    </row>
    <row r="73" spans="1:24" ht="15.75" x14ac:dyDescent="0.25">
      <c r="A73" s="181"/>
      <c r="B73" s="185" t="s">
        <v>22</v>
      </c>
      <c r="C73" s="207"/>
      <c r="D73" s="207"/>
      <c r="E73" s="207"/>
      <c r="F73" s="207"/>
      <c r="G73" s="207"/>
      <c r="H73" s="207"/>
      <c r="I73" s="207"/>
      <c r="J73" s="207"/>
      <c r="K73" s="207"/>
      <c r="L73" s="207"/>
      <c r="M73" s="207"/>
      <c r="N73" s="207"/>
      <c r="O73" s="207"/>
      <c r="P73" s="207"/>
      <c r="Q73" s="207"/>
      <c r="R73" s="207"/>
      <c r="S73" s="207"/>
      <c r="T73" s="207"/>
      <c r="U73" s="207"/>
      <c r="V73" s="208"/>
      <c r="W73" s="183"/>
      <c r="X73" s="5"/>
    </row>
    <row r="74" spans="1:24" ht="15.75" x14ac:dyDescent="0.25">
      <c r="A74" s="181"/>
      <c r="B74" s="183"/>
      <c r="C74" s="207"/>
      <c r="D74" s="207"/>
      <c r="E74" s="207"/>
      <c r="F74" s="207"/>
      <c r="G74" s="207"/>
      <c r="H74" s="207"/>
      <c r="I74" s="207"/>
      <c r="J74" s="207"/>
      <c r="K74" s="207"/>
      <c r="L74" s="207"/>
      <c r="M74" s="207"/>
      <c r="N74" s="207"/>
      <c r="O74" s="207"/>
      <c r="P74" s="207"/>
      <c r="Q74" s="207"/>
      <c r="R74" s="207"/>
      <c r="S74" s="207"/>
      <c r="T74" s="207"/>
      <c r="U74" s="207"/>
      <c r="V74" s="208"/>
      <c r="W74" s="183"/>
      <c r="X74" s="5"/>
    </row>
    <row r="75" spans="1:24" ht="15.75" x14ac:dyDescent="0.25">
      <c r="A75" s="285"/>
      <c r="B75" s="286" t="s">
        <v>19</v>
      </c>
      <c r="C75" s="337"/>
      <c r="D75" s="337"/>
      <c r="E75" s="337"/>
      <c r="F75" s="337"/>
      <c r="G75" s="337"/>
      <c r="H75" s="337"/>
      <c r="I75" s="337"/>
      <c r="J75" s="337"/>
      <c r="K75" s="337"/>
      <c r="L75" s="337"/>
      <c r="M75" s="337"/>
      <c r="N75" s="337"/>
      <c r="O75" s="337"/>
      <c r="P75" s="337"/>
      <c r="Q75" s="337"/>
      <c r="R75" s="337"/>
      <c r="S75" s="337"/>
      <c r="T75" s="337"/>
      <c r="U75" s="337"/>
      <c r="V75" s="337"/>
      <c r="W75" s="289"/>
      <c r="X75" s="5"/>
    </row>
    <row r="76" spans="1:24" ht="15.75" x14ac:dyDescent="0.25">
      <c r="A76" s="285"/>
      <c r="B76" s="286" t="s">
        <v>20</v>
      </c>
      <c r="C76" s="337"/>
      <c r="D76" s="337"/>
      <c r="E76" s="337"/>
      <c r="F76" s="337"/>
      <c r="G76" s="337"/>
      <c r="H76" s="337"/>
      <c r="I76" s="337"/>
      <c r="J76" s="337"/>
      <c r="K76" s="337"/>
      <c r="L76" s="337"/>
      <c r="M76" s="337"/>
      <c r="N76" s="337"/>
      <c r="O76" s="337"/>
      <c r="P76" s="337"/>
      <c r="Q76" s="337"/>
      <c r="R76" s="337"/>
      <c r="S76" s="337"/>
      <c r="T76" s="337"/>
      <c r="U76" s="337"/>
      <c r="V76" s="337"/>
      <c r="W76" s="289"/>
      <c r="X76" s="5"/>
    </row>
    <row r="77" spans="1:24" ht="15.75" x14ac:dyDescent="0.25">
      <c r="A77" s="285"/>
      <c r="B77" s="286"/>
      <c r="C77" s="337"/>
      <c r="D77" s="337"/>
      <c r="E77" s="337"/>
      <c r="F77" s="337"/>
      <c r="G77" s="337"/>
      <c r="H77" s="337"/>
      <c r="I77" s="337"/>
      <c r="J77" s="337"/>
      <c r="K77" s="337"/>
      <c r="L77" s="337"/>
      <c r="M77" s="337"/>
      <c r="N77" s="337"/>
      <c r="O77" s="337"/>
      <c r="P77" s="337"/>
      <c r="Q77" s="337"/>
      <c r="R77" s="337"/>
      <c r="S77" s="337"/>
      <c r="T77" s="337"/>
      <c r="U77" s="337"/>
      <c r="V77" s="337"/>
      <c r="W77" s="289"/>
      <c r="X77" s="5"/>
    </row>
    <row r="78" spans="1:24" ht="15.75" x14ac:dyDescent="0.25">
      <c r="A78" s="285"/>
      <c r="B78" s="286" t="s">
        <v>21</v>
      </c>
      <c r="C78" s="337"/>
      <c r="D78" s="337"/>
      <c r="E78" s="337"/>
      <c r="F78" s="337"/>
      <c r="G78" s="337"/>
      <c r="H78" s="337"/>
      <c r="I78" s="337"/>
      <c r="J78" s="337"/>
      <c r="K78" s="337"/>
      <c r="L78" s="337"/>
      <c r="M78" s="337"/>
      <c r="N78" s="337"/>
      <c r="O78" s="337"/>
      <c r="P78" s="337"/>
      <c r="Q78" s="337"/>
      <c r="R78" s="337"/>
      <c r="S78" s="337"/>
      <c r="T78" s="337"/>
      <c r="U78" s="337"/>
      <c r="V78" s="337"/>
      <c r="W78" s="289"/>
      <c r="X78" s="5"/>
    </row>
    <row r="79" spans="1:24" ht="15.75" x14ac:dyDescent="0.25">
      <c r="A79" s="285"/>
      <c r="B79" s="286"/>
      <c r="C79" s="337"/>
      <c r="D79" s="337"/>
      <c r="E79" s="337"/>
      <c r="F79" s="337"/>
      <c r="G79" s="337"/>
      <c r="H79" s="337"/>
      <c r="I79" s="337"/>
      <c r="J79" s="337"/>
      <c r="K79" s="337"/>
      <c r="L79" s="337"/>
      <c r="M79" s="337"/>
      <c r="N79" s="337"/>
      <c r="O79" s="337"/>
      <c r="P79" s="337"/>
      <c r="Q79" s="337"/>
      <c r="R79" s="337"/>
      <c r="S79" s="337"/>
      <c r="T79" s="337"/>
      <c r="U79" s="337"/>
      <c r="V79" s="337"/>
      <c r="W79" s="289"/>
      <c r="X79" s="5"/>
    </row>
    <row r="80" spans="1:24" ht="15.75" x14ac:dyDescent="0.25">
      <c r="A80" s="285"/>
      <c r="B80" s="286" t="s">
        <v>23</v>
      </c>
      <c r="C80" s="337"/>
      <c r="D80" s="337"/>
      <c r="E80" s="337"/>
      <c r="F80" s="337"/>
      <c r="G80" s="337"/>
      <c r="H80" s="337"/>
      <c r="I80" s="337"/>
      <c r="J80" s="337"/>
      <c r="K80" s="337"/>
      <c r="L80" s="337">
        <v>0</v>
      </c>
      <c r="M80" s="337"/>
      <c r="N80" s="337">
        <v>0</v>
      </c>
      <c r="O80" s="337"/>
      <c r="P80" s="337"/>
      <c r="Q80" s="337"/>
      <c r="R80" s="337"/>
      <c r="S80" s="337"/>
      <c r="T80" s="337"/>
      <c r="U80" s="337"/>
      <c r="V80" s="338">
        <v>0</v>
      </c>
      <c r="W80" s="289"/>
      <c r="X80" s="5"/>
    </row>
    <row r="81" spans="1:24" ht="15.75" x14ac:dyDescent="0.25">
      <c r="A81" s="285"/>
      <c r="B81" s="286" t="s">
        <v>117</v>
      </c>
      <c r="C81" s="337"/>
      <c r="D81" s="337"/>
      <c r="E81" s="337"/>
      <c r="F81" s="337"/>
      <c r="G81" s="337"/>
      <c r="H81" s="337"/>
      <c r="I81" s="337"/>
      <c r="J81" s="337"/>
      <c r="K81" s="337"/>
      <c r="L81" s="337">
        <v>188687</v>
      </c>
      <c r="M81" s="337"/>
      <c r="N81" s="337">
        <v>0</v>
      </c>
      <c r="O81" s="337"/>
      <c r="P81" s="337">
        <v>0</v>
      </c>
      <c r="Q81" s="337"/>
      <c r="R81" s="337"/>
      <c r="S81" s="337"/>
      <c r="T81" s="337"/>
      <c r="U81" s="337"/>
      <c r="V81" s="337">
        <f>SUM(N81:R81)</f>
        <v>0</v>
      </c>
      <c r="W81" s="289"/>
      <c r="X81" s="5"/>
    </row>
    <row r="82" spans="1:24" ht="15.75" x14ac:dyDescent="0.25">
      <c r="A82" s="285"/>
      <c r="B82" s="286"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89"/>
      <c r="X82" s="5"/>
    </row>
    <row r="83" spans="1:24" ht="15.75" x14ac:dyDescent="0.25">
      <c r="A83" s="285"/>
      <c r="B83" s="286" t="s">
        <v>25</v>
      </c>
      <c r="C83" s="337"/>
      <c r="D83" s="337"/>
      <c r="E83" s="337"/>
      <c r="F83" s="337"/>
      <c r="G83" s="337"/>
      <c r="H83" s="337"/>
      <c r="I83" s="337"/>
      <c r="J83" s="337"/>
      <c r="K83" s="337"/>
      <c r="L83" s="337">
        <v>0</v>
      </c>
      <c r="M83" s="337"/>
      <c r="N83" s="337">
        <v>0</v>
      </c>
      <c r="O83" s="337"/>
      <c r="P83" s="337"/>
      <c r="Q83" s="337"/>
      <c r="R83" s="337"/>
      <c r="S83" s="337"/>
      <c r="T83" s="337"/>
      <c r="U83" s="337"/>
      <c r="V83" s="337">
        <v>0</v>
      </c>
      <c r="W83" s="289"/>
      <c r="X83" s="5"/>
    </row>
    <row r="84" spans="1:24" ht="15.75" x14ac:dyDescent="0.25">
      <c r="A84" s="285"/>
      <c r="B84" s="286" t="s">
        <v>26</v>
      </c>
      <c r="C84" s="337"/>
      <c r="D84" s="337"/>
      <c r="E84" s="337"/>
      <c r="F84" s="337"/>
      <c r="G84" s="337"/>
      <c r="H84" s="337"/>
      <c r="I84" s="337"/>
      <c r="J84" s="337"/>
      <c r="K84" s="337"/>
      <c r="L84" s="337">
        <f>SUM(L71:L83)</f>
        <v>1001133</v>
      </c>
      <c r="M84" s="337"/>
      <c r="N84" s="337">
        <f>SUM(N71:N83)</f>
        <v>832471</v>
      </c>
      <c r="O84" s="337"/>
      <c r="P84" s="337"/>
      <c r="Q84" s="337"/>
      <c r="R84" s="337"/>
      <c r="S84" s="337"/>
      <c r="T84" s="337"/>
      <c r="U84" s="337"/>
      <c r="V84" s="337">
        <f>SUM(V71:V83)</f>
        <v>827816</v>
      </c>
      <c r="W84" s="289"/>
      <c r="X84" s="5"/>
    </row>
    <row r="85" spans="1:24" ht="15.75" x14ac:dyDescent="0.25">
      <c r="A85" s="181"/>
      <c r="B85" s="212"/>
      <c r="C85" s="335"/>
      <c r="D85" s="335"/>
      <c r="E85" s="335"/>
      <c r="F85" s="335"/>
      <c r="G85" s="335"/>
      <c r="H85" s="335"/>
      <c r="I85" s="335"/>
      <c r="J85" s="335"/>
      <c r="K85" s="335"/>
      <c r="L85" s="335"/>
      <c r="M85" s="335"/>
      <c r="N85" s="335"/>
      <c r="O85" s="335"/>
      <c r="P85" s="335"/>
      <c r="Q85" s="335"/>
      <c r="R85" s="335"/>
      <c r="S85" s="335"/>
      <c r="T85" s="335"/>
      <c r="U85" s="335"/>
      <c r="V85" s="336"/>
      <c r="W85" s="212"/>
      <c r="X85" s="5"/>
    </row>
    <row r="86" spans="1:24" ht="15.75" x14ac:dyDescent="0.25">
      <c r="A86" s="181"/>
      <c r="B86" s="183"/>
      <c r="C86" s="183"/>
      <c r="D86" s="183"/>
      <c r="E86" s="183"/>
      <c r="F86" s="183"/>
      <c r="G86" s="183"/>
      <c r="H86" s="183"/>
      <c r="I86" s="183"/>
      <c r="J86" s="183"/>
      <c r="K86" s="183"/>
      <c r="L86" s="183"/>
      <c r="M86" s="183"/>
      <c r="N86" s="183"/>
      <c r="O86" s="183"/>
      <c r="P86" s="183"/>
      <c r="Q86" s="183"/>
      <c r="R86" s="183"/>
      <c r="S86" s="183"/>
      <c r="T86" s="183"/>
      <c r="U86" s="183"/>
      <c r="V86" s="183"/>
      <c r="W86" s="183"/>
      <c r="X86" s="5"/>
    </row>
    <row r="87" spans="1:24" ht="15.75" x14ac:dyDescent="0.25">
      <c r="A87" s="224"/>
      <c r="B87" s="399" t="s">
        <v>27</v>
      </c>
      <c r="C87" s="399"/>
      <c r="D87" s="399"/>
      <c r="E87" s="399"/>
      <c r="F87" s="399"/>
      <c r="G87" s="399"/>
      <c r="H87" s="400"/>
      <c r="I87" s="400"/>
      <c r="J87" s="400"/>
      <c r="K87" s="400"/>
      <c r="L87" s="401" t="s">
        <v>95</v>
      </c>
      <c r="M87" s="400"/>
      <c r="N87" s="402">
        <f>+T201</f>
        <v>40968</v>
      </c>
      <c r="O87" s="400"/>
      <c r="P87" s="400"/>
      <c r="Q87" s="400"/>
      <c r="R87" s="400"/>
      <c r="S87" s="400"/>
      <c r="T87" s="400" t="s">
        <v>107</v>
      </c>
      <c r="U87" s="400"/>
      <c r="V87" s="400" t="s">
        <v>113</v>
      </c>
      <c r="W87" s="225"/>
      <c r="X87" s="5"/>
    </row>
    <row r="88" spans="1:24" ht="15.75" x14ac:dyDescent="0.25">
      <c r="A88" s="248"/>
      <c r="B88" s="250" t="s">
        <v>28</v>
      </c>
      <c r="C88" s="194"/>
      <c r="D88" s="194"/>
      <c r="E88" s="194"/>
      <c r="F88" s="194"/>
      <c r="G88" s="194"/>
      <c r="H88" s="194"/>
      <c r="I88" s="194"/>
      <c r="J88" s="194"/>
      <c r="K88" s="194"/>
      <c r="L88" s="194"/>
      <c r="M88" s="194"/>
      <c r="N88" s="194"/>
      <c r="O88" s="194"/>
      <c r="P88" s="194"/>
      <c r="Q88" s="194"/>
      <c r="R88" s="194"/>
      <c r="S88" s="194"/>
      <c r="T88" s="249">
        <v>0</v>
      </c>
      <c r="U88" s="250"/>
      <c r="V88" s="253">
        <v>0</v>
      </c>
      <c r="W88" s="194"/>
      <c r="X88" s="5"/>
    </row>
    <row r="89" spans="1:24" ht="15.75" x14ac:dyDescent="0.25">
      <c r="A89" s="295"/>
      <c r="B89" s="286" t="s">
        <v>29</v>
      </c>
      <c r="C89" s="314"/>
      <c r="D89" s="314"/>
      <c r="E89" s="314"/>
      <c r="F89" s="314"/>
      <c r="G89" s="314"/>
      <c r="H89" s="339"/>
      <c r="I89" s="339"/>
      <c r="J89" s="339"/>
      <c r="K89" s="340"/>
      <c r="L89" s="339"/>
      <c r="M89" s="314"/>
      <c r="N89" s="341"/>
      <c r="O89" s="314"/>
      <c r="P89" s="314"/>
      <c r="Q89" s="314"/>
      <c r="R89" s="314"/>
      <c r="S89" s="314"/>
      <c r="T89" s="337">
        <f>4655-253</f>
        <v>4402</v>
      </c>
      <c r="U89" s="286"/>
      <c r="V89" s="338"/>
      <c r="W89" s="318"/>
      <c r="X89" s="5"/>
    </row>
    <row r="90" spans="1:24" ht="15.75" x14ac:dyDescent="0.25">
      <c r="A90" s="295"/>
      <c r="B90" s="286" t="s">
        <v>215</v>
      </c>
      <c r="C90" s="314"/>
      <c r="D90" s="314"/>
      <c r="E90" s="314"/>
      <c r="F90" s="314"/>
      <c r="G90" s="314"/>
      <c r="H90" s="339"/>
      <c r="I90" s="339"/>
      <c r="J90" s="339"/>
      <c r="K90" s="340"/>
      <c r="L90" s="339"/>
      <c r="M90" s="314"/>
      <c r="N90" s="341"/>
      <c r="O90" s="314"/>
      <c r="P90" s="314"/>
      <c r="Q90" s="314"/>
      <c r="R90" s="314"/>
      <c r="S90" s="314"/>
      <c r="T90" s="337"/>
      <c r="U90" s="286"/>
      <c r="V90" s="338">
        <f>4044+3466-791-633</f>
        <v>6086</v>
      </c>
      <c r="W90" s="318"/>
      <c r="X90" s="5"/>
    </row>
    <row r="91" spans="1:24" ht="15.75" x14ac:dyDescent="0.25">
      <c r="A91" s="295"/>
      <c r="B91" s="286" t="s">
        <v>210</v>
      </c>
      <c r="C91" s="314"/>
      <c r="D91" s="314"/>
      <c r="E91" s="314"/>
      <c r="F91" s="314"/>
      <c r="G91" s="314"/>
      <c r="H91" s="339"/>
      <c r="I91" s="339"/>
      <c r="J91" s="339"/>
      <c r="K91" s="340"/>
      <c r="L91" s="339"/>
      <c r="M91" s="314"/>
      <c r="N91" s="341"/>
      <c r="O91" s="314"/>
      <c r="P91" s="314"/>
      <c r="Q91" s="314"/>
      <c r="R91" s="314"/>
      <c r="S91" s="314"/>
      <c r="T91" s="337"/>
      <c r="U91" s="286"/>
      <c r="V91" s="338">
        <f>25+7</f>
        <v>32</v>
      </c>
      <c r="W91" s="318"/>
      <c r="X91" s="5"/>
    </row>
    <row r="92" spans="1:24" ht="15.75" x14ac:dyDescent="0.25">
      <c r="A92" s="295"/>
      <c r="B92" s="286" t="s">
        <v>211</v>
      </c>
      <c r="C92" s="314"/>
      <c r="D92" s="314"/>
      <c r="E92" s="314"/>
      <c r="F92" s="314"/>
      <c r="G92" s="314"/>
      <c r="H92" s="339"/>
      <c r="I92" s="339"/>
      <c r="J92" s="339"/>
      <c r="K92" s="340"/>
      <c r="L92" s="339"/>
      <c r="M92" s="314"/>
      <c r="N92" s="341"/>
      <c r="O92" s="314"/>
      <c r="P92" s="314"/>
      <c r="Q92" s="314"/>
      <c r="R92" s="314"/>
      <c r="S92" s="314"/>
      <c r="T92" s="337"/>
      <c r="U92" s="286"/>
      <c r="V92" s="338">
        <v>69</v>
      </c>
      <c r="W92" s="318"/>
      <c r="X92" s="5"/>
    </row>
    <row r="93" spans="1:24" ht="15.75" x14ac:dyDescent="0.25">
      <c r="A93" s="295"/>
      <c r="B93" s="286" t="s">
        <v>233</v>
      </c>
      <c r="C93" s="314"/>
      <c r="D93" s="314"/>
      <c r="E93" s="314"/>
      <c r="F93" s="314"/>
      <c r="G93" s="314"/>
      <c r="H93" s="339"/>
      <c r="I93" s="339"/>
      <c r="J93" s="339"/>
      <c r="K93" s="340"/>
      <c r="L93" s="339"/>
      <c r="M93" s="314"/>
      <c r="N93" s="341"/>
      <c r="O93" s="314"/>
      <c r="P93" s="314"/>
      <c r="Q93" s="314"/>
      <c r="R93" s="314"/>
      <c r="S93" s="314"/>
      <c r="T93" s="337"/>
      <c r="U93" s="286"/>
      <c r="V93" s="338">
        <v>0</v>
      </c>
      <c r="W93" s="318"/>
      <c r="X93" s="5"/>
    </row>
    <row r="94" spans="1:24" ht="15.75" x14ac:dyDescent="0.25">
      <c r="A94" s="295"/>
      <c r="B94" s="286" t="s">
        <v>235</v>
      </c>
      <c r="C94" s="314"/>
      <c r="D94" s="314"/>
      <c r="E94" s="314"/>
      <c r="F94" s="314"/>
      <c r="G94" s="314"/>
      <c r="H94" s="339"/>
      <c r="I94" s="339"/>
      <c r="J94" s="339"/>
      <c r="K94" s="340"/>
      <c r="L94" s="339"/>
      <c r="M94" s="314"/>
      <c r="N94" s="341"/>
      <c r="O94" s="314"/>
      <c r="P94" s="314"/>
      <c r="Q94" s="314"/>
      <c r="R94" s="314"/>
      <c r="S94" s="314"/>
      <c r="T94" s="337"/>
      <c r="U94" s="286"/>
      <c r="V94" s="338">
        <v>0</v>
      </c>
      <c r="W94" s="318"/>
      <c r="X94" s="5"/>
    </row>
    <row r="95" spans="1:24" ht="15.75" x14ac:dyDescent="0.25">
      <c r="A95" s="295"/>
      <c r="B95" s="286" t="s">
        <v>135</v>
      </c>
      <c r="C95" s="314"/>
      <c r="D95" s="314"/>
      <c r="E95" s="314"/>
      <c r="F95" s="314"/>
      <c r="G95" s="314"/>
      <c r="H95" s="314"/>
      <c r="I95" s="314"/>
      <c r="J95" s="314"/>
      <c r="K95" s="314"/>
      <c r="L95" s="314"/>
      <c r="M95" s="314"/>
      <c r="N95" s="314"/>
      <c r="O95" s="314"/>
      <c r="P95" s="314"/>
      <c r="Q95" s="314"/>
      <c r="R95" s="314"/>
      <c r="S95" s="314"/>
      <c r="T95" s="337"/>
      <c r="U95" s="286"/>
      <c r="V95" s="338">
        <v>0</v>
      </c>
      <c r="W95" s="318"/>
      <c r="X95" s="5"/>
    </row>
    <row r="96" spans="1:24" ht="15.75" x14ac:dyDescent="0.25">
      <c r="A96" s="295"/>
      <c r="B96" s="286" t="s">
        <v>272</v>
      </c>
      <c r="C96" s="314"/>
      <c r="D96" s="314"/>
      <c r="E96" s="314"/>
      <c r="F96" s="314"/>
      <c r="G96" s="314"/>
      <c r="H96" s="314"/>
      <c r="I96" s="314"/>
      <c r="J96" s="314"/>
      <c r="K96" s="314"/>
      <c r="L96" s="314"/>
      <c r="M96" s="314"/>
      <c r="N96" s="314"/>
      <c r="O96" s="314"/>
      <c r="P96" s="314"/>
      <c r="Q96" s="314"/>
      <c r="R96" s="314"/>
      <c r="S96" s="314"/>
      <c r="T96" s="337"/>
      <c r="U96" s="286"/>
      <c r="V96" s="338">
        <v>0</v>
      </c>
      <c r="W96" s="318"/>
      <c r="X96" s="5"/>
    </row>
    <row r="97" spans="1:25" ht="15.75" x14ac:dyDescent="0.25">
      <c r="A97" s="295"/>
      <c r="B97" s="286" t="s">
        <v>30</v>
      </c>
      <c r="C97" s="314"/>
      <c r="D97" s="314"/>
      <c r="E97" s="314"/>
      <c r="F97" s="314"/>
      <c r="G97" s="314"/>
      <c r="H97" s="314"/>
      <c r="I97" s="314"/>
      <c r="J97" s="314"/>
      <c r="K97" s="314"/>
      <c r="L97" s="314"/>
      <c r="M97" s="314"/>
      <c r="N97" s="314"/>
      <c r="O97" s="314"/>
      <c r="P97" s="314"/>
      <c r="Q97" s="314"/>
      <c r="R97" s="314"/>
      <c r="S97" s="314"/>
      <c r="T97" s="337">
        <f>SUM(T88:T96)</f>
        <v>4402</v>
      </c>
      <c r="U97" s="286"/>
      <c r="V97" s="337">
        <f>SUM(V88:V96)</f>
        <v>6187</v>
      </c>
      <c r="W97" s="318"/>
      <c r="X97" s="5"/>
    </row>
    <row r="98" spans="1:25" ht="15.75" x14ac:dyDescent="0.25">
      <c r="A98" s="295"/>
      <c r="B98" s="286" t="s">
        <v>161</v>
      </c>
      <c r="C98" s="314"/>
      <c r="D98" s="314"/>
      <c r="E98" s="314"/>
      <c r="F98" s="314"/>
      <c r="G98" s="314"/>
      <c r="H98" s="314"/>
      <c r="I98" s="314"/>
      <c r="J98" s="314"/>
      <c r="K98" s="314"/>
      <c r="L98" s="314"/>
      <c r="M98" s="314"/>
      <c r="N98" s="314"/>
      <c r="O98" s="314"/>
      <c r="P98" s="314"/>
      <c r="Q98" s="314"/>
      <c r="R98" s="314"/>
      <c r="S98" s="314"/>
      <c r="T98" s="337">
        <f>-V98</f>
        <v>0</v>
      </c>
      <c r="U98" s="286"/>
      <c r="V98" s="337">
        <v>0</v>
      </c>
      <c r="W98" s="318"/>
      <c r="X98" s="5"/>
    </row>
    <row r="99" spans="1:25" ht="15.75" x14ac:dyDescent="0.25">
      <c r="A99" s="295"/>
      <c r="B99" s="286" t="s">
        <v>31</v>
      </c>
      <c r="C99" s="314"/>
      <c r="D99" s="314"/>
      <c r="E99" s="314"/>
      <c r="F99" s="314"/>
      <c r="G99" s="314"/>
      <c r="H99" s="314"/>
      <c r="I99" s="314"/>
      <c r="J99" s="314"/>
      <c r="K99" s="314"/>
      <c r="L99" s="314"/>
      <c r="M99" s="314"/>
      <c r="N99" s="314"/>
      <c r="O99" s="314"/>
      <c r="P99" s="314"/>
      <c r="Q99" s="314"/>
      <c r="R99" s="314"/>
      <c r="S99" s="314"/>
      <c r="T99" s="337">
        <f>-V99</f>
        <v>0</v>
      </c>
      <c r="U99" s="286"/>
      <c r="V99" s="338">
        <v>0</v>
      </c>
      <c r="W99" s="318"/>
      <c r="X99" s="5"/>
    </row>
    <row r="100" spans="1:25" ht="15.75" x14ac:dyDescent="0.25">
      <c r="A100" s="295"/>
      <c r="B100" s="286" t="s">
        <v>274</v>
      </c>
      <c r="C100" s="314"/>
      <c r="D100" s="314"/>
      <c r="E100" s="314"/>
      <c r="F100" s="314"/>
      <c r="G100" s="314"/>
      <c r="H100" s="314"/>
      <c r="I100" s="314"/>
      <c r="J100" s="314"/>
      <c r="K100" s="314"/>
      <c r="L100" s="314"/>
      <c r="M100" s="314"/>
      <c r="N100" s="314"/>
      <c r="O100" s="314"/>
      <c r="P100" s="314"/>
      <c r="Q100" s="314"/>
      <c r="R100" s="314"/>
      <c r="S100" s="314"/>
      <c r="T100" s="337"/>
      <c r="U100" s="286"/>
      <c r="V100" s="338">
        <v>-422</v>
      </c>
      <c r="W100" s="318"/>
      <c r="X100" s="5"/>
    </row>
    <row r="101" spans="1:25" ht="15.75" x14ac:dyDescent="0.25">
      <c r="A101" s="295"/>
      <c r="B101" s="286" t="s">
        <v>32</v>
      </c>
      <c r="C101" s="314"/>
      <c r="D101" s="314"/>
      <c r="E101" s="314"/>
      <c r="F101" s="314"/>
      <c r="G101" s="314"/>
      <c r="H101" s="314"/>
      <c r="I101" s="314"/>
      <c r="J101" s="314"/>
      <c r="K101" s="314"/>
      <c r="L101" s="314"/>
      <c r="M101" s="314"/>
      <c r="N101" s="314"/>
      <c r="O101" s="314"/>
      <c r="P101" s="314"/>
      <c r="Q101" s="314"/>
      <c r="R101" s="314"/>
      <c r="S101" s="314"/>
      <c r="T101" s="337">
        <f>T97+T99+T98</f>
        <v>4402</v>
      </c>
      <c r="U101" s="286"/>
      <c r="V101" s="337">
        <f>V97+V99+V98+V100</f>
        <v>5765</v>
      </c>
      <c r="W101" s="318"/>
      <c r="X101" s="5"/>
    </row>
    <row r="102" spans="1:25" ht="15.75" x14ac:dyDescent="0.25">
      <c r="A102" s="285"/>
      <c r="B102" s="342" t="s">
        <v>33</v>
      </c>
      <c r="C102" s="314"/>
      <c r="D102" s="314"/>
      <c r="E102" s="314"/>
      <c r="F102" s="314"/>
      <c r="G102" s="314"/>
      <c r="H102" s="314"/>
      <c r="I102" s="314"/>
      <c r="J102" s="314"/>
      <c r="K102" s="314"/>
      <c r="L102" s="314"/>
      <c r="M102" s="314"/>
      <c r="N102" s="314"/>
      <c r="O102" s="314"/>
      <c r="P102" s="314"/>
      <c r="Q102" s="314"/>
      <c r="R102" s="314"/>
      <c r="S102" s="314"/>
      <c r="T102" s="337"/>
      <c r="U102" s="286"/>
      <c r="V102" s="338"/>
      <c r="W102" s="318"/>
      <c r="X102" s="5"/>
    </row>
    <row r="103" spans="1:25" ht="15.75" x14ac:dyDescent="0.25">
      <c r="A103" s="295">
        <v>1</v>
      </c>
      <c r="B103" s="286" t="s">
        <v>34</v>
      </c>
      <c r="C103" s="286"/>
      <c r="D103" s="286"/>
      <c r="E103" s="314"/>
      <c r="F103" s="314"/>
      <c r="G103" s="314"/>
      <c r="H103" s="314"/>
      <c r="I103" s="314"/>
      <c r="J103" s="314"/>
      <c r="K103" s="314"/>
      <c r="L103" s="314"/>
      <c r="M103" s="314"/>
      <c r="N103" s="314"/>
      <c r="O103" s="314"/>
      <c r="P103" s="314"/>
      <c r="Q103" s="314"/>
      <c r="R103" s="314"/>
      <c r="S103" s="314"/>
      <c r="T103" s="286"/>
      <c r="U103" s="286"/>
      <c r="V103" s="338">
        <v>0</v>
      </c>
      <c r="W103" s="318"/>
      <c r="X103" s="5"/>
    </row>
    <row r="104" spans="1:25" ht="15.75" x14ac:dyDescent="0.25">
      <c r="A104" s="295">
        <f>+A103+1</f>
        <v>2</v>
      </c>
      <c r="B104" s="286" t="s">
        <v>221</v>
      </c>
      <c r="C104" s="286"/>
      <c r="D104" s="286"/>
      <c r="E104" s="314"/>
      <c r="F104" s="314"/>
      <c r="G104" s="314"/>
      <c r="H104" s="314"/>
      <c r="I104" s="314"/>
      <c r="J104" s="314"/>
      <c r="K104" s="314"/>
      <c r="L104" s="314"/>
      <c r="M104" s="314"/>
      <c r="N104" s="314"/>
      <c r="O104" s="314"/>
      <c r="P104" s="314"/>
      <c r="Q104" s="314"/>
      <c r="R104" s="314"/>
      <c r="S104" s="314"/>
      <c r="T104" s="286"/>
      <c r="U104" s="286"/>
      <c r="V104" s="338">
        <v>-2</v>
      </c>
      <c r="W104" s="318"/>
      <c r="X104" s="5"/>
    </row>
    <row r="105" spans="1:25" ht="15.75" x14ac:dyDescent="0.25">
      <c r="A105" s="295">
        <f>+A104+1</f>
        <v>3</v>
      </c>
      <c r="B105" s="286" t="s">
        <v>204</v>
      </c>
      <c r="C105" s="286"/>
      <c r="D105" s="286"/>
      <c r="E105" s="314"/>
      <c r="F105" s="314"/>
      <c r="G105" s="314"/>
      <c r="H105" s="314"/>
      <c r="I105" s="314"/>
      <c r="J105" s="314"/>
      <c r="K105" s="314"/>
      <c r="L105" s="314"/>
      <c r="M105" s="314"/>
      <c r="N105" s="314"/>
      <c r="O105" s="314"/>
      <c r="P105" s="314"/>
      <c r="Q105" s="314"/>
      <c r="R105" s="314"/>
      <c r="S105" s="314"/>
      <c r="T105" s="286"/>
      <c r="U105" s="286"/>
      <c r="V105" s="338">
        <f>-314-217-10</f>
        <v>-541</v>
      </c>
      <c r="W105" s="318"/>
      <c r="X105" s="5"/>
    </row>
    <row r="106" spans="1:25" ht="15.75" x14ac:dyDescent="0.25">
      <c r="A106" s="295" t="s">
        <v>127</v>
      </c>
      <c r="B106" s="286" t="s">
        <v>116</v>
      </c>
      <c r="C106" s="286"/>
      <c r="D106" s="286"/>
      <c r="E106" s="314"/>
      <c r="F106" s="314"/>
      <c r="G106" s="314"/>
      <c r="H106" s="314"/>
      <c r="I106" s="314"/>
      <c r="J106" s="314"/>
      <c r="K106" s="314"/>
      <c r="L106" s="314"/>
      <c r="M106" s="314"/>
      <c r="N106" s="314"/>
      <c r="O106" s="314"/>
      <c r="P106" s="314"/>
      <c r="Q106" s="314"/>
      <c r="R106" s="314"/>
      <c r="S106" s="314"/>
      <c r="T106" s="286"/>
      <c r="U106" s="286"/>
      <c r="V106" s="338">
        <v>-69</v>
      </c>
      <c r="W106" s="318"/>
      <c r="X106" s="5"/>
    </row>
    <row r="107" spans="1:25" ht="15.75" x14ac:dyDescent="0.25">
      <c r="A107" s="295" t="s">
        <v>128</v>
      </c>
      <c r="B107" s="286" t="s">
        <v>220</v>
      </c>
      <c r="C107" s="286"/>
      <c r="D107" s="286"/>
      <c r="E107" s="314"/>
      <c r="F107" s="314"/>
      <c r="G107" s="314"/>
      <c r="H107" s="314"/>
      <c r="I107" s="314"/>
      <c r="J107" s="314"/>
      <c r="K107" s="314"/>
      <c r="L107" s="314"/>
      <c r="M107" s="314"/>
      <c r="N107" s="314"/>
      <c r="O107" s="314"/>
      <c r="P107" s="314"/>
      <c r="Q107" s="314"/>
      <c r="R107" s="314"/>
      <c r="S107" s="314"/>
      <c r="T107" s="286"/>
      <c r="U107" s="286"/>
      <c r="V107" s="338">
        <f>-2009+499</f>
        <v>-1510</v>
      </c>
      <c r="W107" s="318"/>
      <c r="X107" s="5"/>
      <c r="Y107" s="109"/>
    </row>
    <row r="108" spans="1:25" ht="15.75" x14ac:dyDescent="0.25">
      <c r="A108" s="295" t="s">
        <v>150</v>
      </c>
      <c r="B108" s="286" t="s">
        <v>184</v>
      </c>
      <c r="C108" s="286"/>
      <c r="D108" s="286"/>
      <c r="E108" s="314"/>
      <c r="F108" s="314"/>
      <c r="G108" s="314"/>
      <c r="H108" s="314"/>
      <c r="I108" s="314"/>
      <c r="J108" s="314"/>
      <c r="K108" s="314"/>
      <c r="L108" s="314"/>
      <c r="M108" s="314"/>
      <c r="N108" s="314"/>
      <c r="O108" s="314"/>
      <c r="P108" s="314"/>
      <c r="Q108" s="314"/>
      <c r="R108" s="314"/>
      <c r="S108" s="314"/>
      <c r="T108" s="286"/>
      <c r="U108" s="286"/>
      <c r="V108" s="338">
        <v>-499</v>
      </c>
      <c r="W108" s="318"/>
      <c r="X108" s="5"/>
      <c r="Y108" s="109"/>
    </row>
    <row r="109" spans="1:25" ht="15.75" x14ac:dyDescent="0.25">
      <c r="A109" s="295" t="s">
        <v>205</v>
      </c>
      <c r="B109" s="286" t="s">
        <v>185</v>
      </c>
      <c r="C109" s="286"/>
      <c r="D109" s="286"/>
      <c r="E109" s="314"/>
      <c r="F109" s="314"/>
      <c r="G109" s="314"/>
      <c r="H109" s="314"/>
      <c r="I109" s="314"/>
      <c r="J109" s="314"/>
      <c r="K109" s="314"/>
      <c r="L109" s="314"/>
      <c r="M109" s="314"/>
      <c r="N109" s="314"/>
      <c r="O109" s="314"/>
      <c r="P109" s="314"/>
      <c r="Q109" s="314"/>
      <c r="R109" s="314"/>
      <c r="S109" s="314"/>
      <c r="T109" s="286"/>
      <c r="U109" s="286"/>
      <c r="V109" s="338">
        <v>-198</v>
      </c>
      <c r="W109" s="318"/>
      <c r="X109" s="5"/>
      <c r="Y109" s="109"/>
    </row>
    <row r="110" spans="1:25" ht="15.75" x14ac:dyDescent="0.25">
      <c r="A110" s="295" t="s">
        <v>206</v>
      </c>
      <c r="B110" s="286" t="s">
        <v>186</v>
      </c>
      <c r="C110" s="286"/>
      <c r="D110" s="286"/>
      <c r="E110" s="314"/>
      <c r="F110" s="314"/>
      <c r="G110" s="314"/>
      <c r="H110" s="314"/>
      <c r="I110" s="314"/>
      <c r="J110" s="314"/>
      <c r="K110" s="314"/>
      <c r="L110" s="314"/>
      <c r="M110" s="314"/>
      <c r="N110" s="314"/>
      <c r="O110" s="314"/>
      <c r="P110" s="314"/>
      <c r="Q110" s="314"/>
      <c r="R110" s="314"/>
      <c r="S110" s="314"/>
      <c r="T110" s="286"/>
      <c r="U110" s="286"/>
      <c r="V110" s="338">
        <v>-56</v>
      </c>
      <c r="W110" s="318"/>
      <c r="X110" s="5"/>
      <c r="Y110" s="109"/>
    </row>
    <row r="111" spans="1:25" ht="15.75" x14ac:dyDescent="0.25">
      <c r="A111" s="295">
        <v>6</v>
      </c>
      <c r="B111" s="286" t="s">
        <v>196</v>
      </c>
      <c r="C111" s="286"/>
      <c r="D111" s="286"/>
      <c r="E111" s="314"/>
      <c r="F111" s="314"/>
      <c r="G111" s="314"/>
      <c r="H111" s="314"/>
      <c r="I111" s="314"/>
      <c r="J111" s="314"/>
      <c r="K111" s="314"/>
      <c r="L111" s="314"/>
      <c r="M111" s="314"/>
      <c r="N111" s="314"/>
      <c r="O111" s="314"/>
      <c r="P111" s="314"/>
      <c r="Q111" s="314"/>
      <c r="R111" s="314"/>
      <c r="S111" s="314"/>
      <c r="T111" s="286"/>
      <c r="U111" s="286"/>
      <c r="V111" s="338">
        <v>-313</v>
      </c>
      <c r="W111" s="318"/>
      <c r="X111" s="5"/>
      <c r="Y111" s="109"/>
    </row>
    <row r="112" spans="1:25" ht="15.75" x14ac:dyDescent="0.25">
      <c r="A112" s="295">
        <v>7</v>
      </c>
      <c r="B112" s="286" t="s">
        <v>35</v>
      </c>
      <c r="C112" s="286"/>
      <c r="D112" s="286"/>
      <c r="E112" s="314"/>
      <c r="F112" s="314"/>
      <c r="G112" s="314"/>
      <c r="H112" s="314"/>
      <c r="I112" s="314"/>
      <c r="J112" s="314"/>
      <c r="K112" s="314"/>
      <c r="L112" s="314"/>
      <c r="M112" s="314"/>
      <c r="N112" s="314"/>
      <c r="O112" s="314"/>
      <c r="P112" s="314"/>
      <c r="Q112" s="314"/>
      <c r="R112" s="314"/>
      <c r="S112" s="314"/>
      <c r="T112" s="286"/>
      <c r="U112" s="286"/>
      <c r="V112" s="338">
        <v>-9</v>
      </c>
      <c r="W112" s="318"/>
      <c r="X112" s="5"/>
    </row>
    <row r="113" spans="1:24" ht="15.75" x14ac:dyDescent="0.25">
      <c r="A113" s="295">
        <f t="shared" ref="A113:A118" si="0">+A112+1</f>
        <v>8</v>
      </c>
      <c r="B113" s="286" t="s">
        <v>45</v>
      </c>
      <c r="C113" s="286"/>
      <c r="D113" s="286"/>
      <c r="E113" s="314"/>
      <c r="F113" s="314"/>
      <c r="G113" s="314"/>
      <c r="H113" s="314"/>
      <c r="I113" s="314"/>
      <c r="J113" s="314"/>
      <c r="K113" s="314"/>
      <c r="L113" s="314"/>
      <c r="M113" s="314"/>
      <c r="N113" s="314"/>
      <c r="O113" s="314"/>
      <c r="P113" s="314"/>
      <c r="Q113" s="314"/>
      <c r="R113" s="314"/>
      <c r="S113" s="314"/>
      <c r="T113" s="337">
        <f>-V113</f>
        <v>253</v>
      </c>
      <c r="U113" s="286"/>
      <c r="V113" s="338">
        <v>-253</v>
      </c>
      <c r="W113" s="318"/>
      <c r="X113" s="5"/>
    </row>
    <row r="114" spans="1:24" ht="15.75" x14ac:dyDescent="0.25">
      <c r="A114" s="295">
        <f t="shared" si="0"/>
        <v>9</v>
      </c>
      <c r="B114" s="286" t="s">
        <v>125</v>
      </c>
      <c r="C114" s="286"/>
      <c r="D114" s="286"/>
      <c r="E114" s="314"/>
      <c r="F114" s="314"/>
      <c r="G114" s="314"/>
      <c r="H114" s="314"/>
      <c r="I114" s="314"/>
      <c r="J114" s="314"/>
      <c r="K114" s="314"/>
      <c r="L114" s="314"/>
      <c r="M114" s="314"/>
      <c r="N114" s="314"/>
      <c r="O114" s="314"/>
      <c r="P114" s="314"/>
      <c r="Q114" s="314"/>
      <c r="R114" s="314"/>
      <c r="S114" s="314"/>
      <c r="T114" s="286"/>
      <c r="U114" s="286"/>
      <c r="V114" s="338">
        <v>0</v>
      </c>
      <c r="W114" s="318"/>
      <c r="X114" s="5"/>
    </row>
    <row r="115" spans="1:24" ht="15.75" x14ac:dyDescent="0.25">
      <c r="A115" s="295">
        <f t="shared" si="0"/>
        <v>10</v>
      </c>
      <c r="B115" s="286" t="s">
        <v>225</v>
      </c>
      <c r="C115" s="286"/>
      <c r="D115" s="286"/>
      <c r="E115" s="314"/>
      <c r="F115" s="314"/>
      <c r="G115" s="314"/>
      <c r="H115" s="314"/>
      <c r="I115" s="314"/>
      <c r="J115" s="314"/>
      <c r="K115" s="314"/>
      <c r="L115" s="314"/>
      <c r="M115" s="314"/>
      <c r="N115" s="314"/>
      <c r="O115" s="314"/>
      <c r="P115" s="314"/>
      <c r="Q115" s="314"/>
      <c r="R115" s="314"/>
      <c r="S115" s="314"/>
      <c r="T115" s="286"/>
      <c r="U115" s="286"/>
      <c r="V115" s="338">
        <v>0</v>
      </c>
      <c r="W115" s="318"/>
      <c r="X115" s="5"/>
    </row>
    <row r="116" spans="1:24" ht="15.75" x14ac:dyDescent="0.25">
      <c r="A116" s="295">
        <f t="shared" si="0"/>
        <v>11</v>
      </c>
      <c r="B116" s="286" t="s">
        <v>36</v>
      </c>
      <c r="C116" s="286"/>
      <c r="D116" s="286"/>
      <c r="E116" s="314"/>
      <c r="F116" s="314"/>
      <c r="G116" s="314"/>
      <c r="H116" s="314"/>
      <c r="I116" s="314"/>
      <c r="J116" s="314"/>
      <c r="K116" s="314"/>
      <c r="L116" s="314"/>
      <c r="M116" s="314"/>
      <c r="N116" s="314"/>
      <c r="O116" s="314"/>
      <c r="P116" s="314"/>
      <c r="Q116" s="314"/>
      <c r="R116" s="314"/>
      <c r="S116" s="314"/>
      <c r="T116" s="286"/>
      <c r="U116" s="286"/>
      <c r="V116" s="338">
        <v>0</v>
      </c>
      <c r="W116" s="318"/>
      <c r="X116" s="5"/>
    </row>
    <row r="117" spans="1:24" ht="15.75" x14ac:dyDescent="0.25">
      <c r="A117" s="295">
        <f t="shared" si="0"/>
        <v>12</v>
      </c>
      <c r="B117" s="286" t="s">
        <v>149</v>
      </c>
      <c r="C117" s="286"/>
      <c r="D117" s="286"/>
      <c r="E117" s="314"/>
      <c r="F117" s="314"/>
      <c r="G117" s="314"/>
      <c r="H117" s="314"/>
      <c r="I117" s="314"/>
      <c r="J117" s="314"/>
      <c r="K117" s="314"/>
      <c r="L117" s="314"/>
      <c r="M117" s="314"/>
      <c r="N117" s="314"/>
      <c r="O117" s="314"/>
      <c r="P117" s="314"/>
      <c r="Q117" s="314"/>
      <c r="R117" s="314"/>
      <c r="S117" s="314"/>
      <c r="T117" s="286"/>
      <c r="U117" s="286"/>
      <c r="V117" s="338">
        <v>-313</v>
      </c>
      <c r="W117" s="318"/>
      <c r="X117" s="5"/>
    </row>
    <row r="118" spans="1:24" ht="15.75" x14ac:dyDescent="0.25">
      <c r="A118" s="295">
        <f t="shared" si="0"/>
        <v>13</v>
      </c>
      <c r="B118" s="286" t="s">
        <v>126</v>
      </c>
      <c r="C118" s="286"/>
      <c r="D118" s="286"/>
      <c r="E118" s="314"/>
      <c r="F118" s="314"/>
      <c r="G118" s="314"/>
      <c r="H118" s="314"/>
      <c r="I118" s="314"/>
      <c r="J118" s="314"/>
      <c r="K118" s="314"/>
      <c r="L118" s="314"/>
      <c r="M118" s="314"/>
      <c r="N118" s="314"/>
      <c r="O118" s="314"/>
      <c r="P118" s="314"/>
      <c r="Q118" s="314"/>
      <c r="R118" s="314"/>
      <c r="S118" s="314"/>
      <c r="T118" s="286"/>
      <c r="U118" s="286"/>
      <c r="V118" s="338">
        <f>-V101-SUM(V103:V117)</f>
        <v>-2002</v>
      </c>
      <c r="W118" s="318"/>
      <c r="X118" s="5"/>
    </row>
    <row r="119" spans="1:24" ht="15.75" x14ac:dyDescent="0.25">
      <c r="A119" s="285"/>
      <c r="B119" s="342" t="s">
        <v>37</v>
      </c>
      <c r="C119" s="314"/>
      <c r="D119" s="314"/>
      <c r="E119" s="314"/>
      <c r="F119" s="314"/>
      <c r="G119" s="314"/>
      <c r="H119" s="314"/>
      <c r="I119" s="314"/>
      <c r="J119" s="314"/>
      <c r="K119" s="314"/>
      <c r="L119" s="314"/>
      <c r="M119" s="314"/>
      <c r="N119" s="314"/>
      <c r="O119" s="314"/>
      <c r="P119" s="314"/>
      <c r="Q119" s="314"/>
      <c r="R119" s="314"/>
      <c r="S119" s="314"/>
      <c r="T119" s="286"/>
      <c r="U119" s="286"/>
      <c r="V119" s="343"/>
      <c r="W119" s="318"/>
      <c r="X119" s="5"/>
    </row>
    <row r="120" spans="1:24" ht="15.75" x14ac:dyDescent="0.25">
      <c r="A120" s="285"/>
      <c r="B120" s="286" t="s">
        <v>173</v>
      </c>
      <c r="C120" s="314"/>
      <c r="D120" s="314"/>
      <c r="E120" s="314"/>
      <c r="F120" s="314"/>
      <c r="G120" s="314"/>
      <c r="H120" s="314"/>
      <c r="I120" s="314"/>
      <c r="J120" s="314"/>
      <c r="K120" s="314"/>
      <c r="L120" s="314"/>
      <c r="M120" s="314"/>
      <c r="N120" s="314"/>
      <c r="O120" s="314"/>
      <c r="P120" s="314"/>
      <c r="Q120" s="314"/>
      <c r="R120" s="314"/>
      <c r="S120" s="314"/>
      <c r="T120" s="337">
        <f>-T185</f>
        <v>0</v>
      </c>
      <c r="U120" s="337"/>
      <c r="V120" s="338"/>
      <c r="W120" s="318"/>
      <c r="X120" s="5"/>
    </row>
    <row r="121" spans="1:24" ht="15.75" x14ac:dyDescent="0.25">
      <c r="A121" s="285"/>
      <c r="B121" s="286" t="s">
        <v>174</v>
      </c>
      <c r="C121" s="314"/>
      <c r="D121" s="314"/>
      <c r="E121" s="314"/>
      <c r="F121" s="314"/>
      <c r="G121" s="314"/>
      <c r="H121" s="314"/>
      <c r="I121" s="314"/>
      <c r="J121" s="314"/>
      <c r="K121" s="314"/>
      <c r="L121" s="314"/>
      <c r="M121" s="314"/>
      <c r="N121" s="314"/>
      <c r="O121" s="314"/>
      <c r="P121" s="314"/>
      <c r="Q121" s="314"/>
      <c r="R121" s="314"/>
      <c r="S121" s="314"/>
      <c r="T121" s="337">
        <v>0</v>
      </c>
      <c r="U121" s="337"/>
      <c r="V121" s="338"/>
      <c r="W121" s="318"/>
      <c r="X121" s="5"/>
    </row>
    <row r="122" spans="1:24" ht="15.75" x14ac:dyDescent="0.25">
      <c r="A122" s="285"/>
      <c r="B122" s="286" t="s">
        <v>38</v>
      </c>
      <c r="C122" s="314"/>
      <c r="D122" s="314"/>
      <c r="E122" s="314"/>
      <c r="F122" s="314"/>
      <c r="G122" s="314"/>
      <c r="H122" s="314"/>
      <c r="I122" s="314"/>
      <c r="J122" s="314"/>
      <c r="K122" s="314"/>
      <c r="L122" s="314"/>
      <c r="M122" s="314"/>
      <c r="N122" s="314"/>
      <c r="O122" s="314"/>
      <c r="P122" s="314"/>
      <c r="Q122" s="314"/>
      <c r="R122" s="314"/>
      <c r="S122" s="314"/>
      <c r="T122" s="337">
        <f>-S185</f>
        <v>0</v>
      </c>
      <c r="U122" s="337"/>
      <c r="V122" s="338"/>
      <c r="W122" s="318"/>
      <c r="X122" s="5"/>
    </row>
    <row r="123" spans="1:24" ht="15.75" x14ac:dyDescent="0.25">
      <c r="A123" s="285"/>
      <c r="B123" s="286" t="s">
        <v>197</v>
      </c>
      <c r="C123" s="314"/>
      <c r="D123" s="314"/>
      <c r="E123" s="314"/>
      <c r="F123" s="314"/>
      <c r="G123" s="314"/>
      <c r="H123" s="314"/>
      <c r="I123" s="314"/>
      <c r="J123" s="314"/>
      <c r="K123" s="314"/>
      <c r="L123" s="314"/>
      <c r="M123" s="314"/>
      <c r="N123" s="314"/>
      <c r="O123" s="314"/>
      <c r="P123" s="314"/>
      <c r="Q123" s="314"/>
      <c r="R123" s="314"/>
      <c r="S123" s="314"/>
      <c r="T123" s="337">
        <v>-2696</v>
      </c>
      <c r="U123" s="337"/>
      <c r="V123" s="338"/>
      <c r="W123" s="318"/>
      <c r="X123" s="5"/>
    </row>
    <row r="124" spans="1:24" ht="15.75" x14ac:dyDescent="0.25">
      <c r="A124" s="285"/>
      <c r="B124" s="286" t="s">
        <v>195</v>
      </c>
      <c r="C124" s="314"/>
      <c r="D124" s="314"/>
      <c r="E124" s="314"/>
      <c r="F124" s="314"/>
      <c r="G124" s="314"/>
      <c r="H124" s="314"/>
      <c r="I124" s="314"/>
      <c r="J124" s="314"/>
      <c r="K124" s="314"/>
      <c r="L124" s="314"/>
      <c r="M124" s="314"/>
      <c r="N124" s="314"/>
      <c r="O124" s="314"/>
      <c r="P124" s="314"/>
      <c r="Q124" s="314"/>
      <c r="R124" s="314"/>
      <c r="S124" s="314"/>
      <c r="T124" s="337">
        <v>-1146</v>
      </c>
      <c r="U124" s="337"/>
      <c r="V124" s="338"/>
      <c r="W124" s="318"/>
      <c r="X124" s="5"/>
    </row>
    <row r="125" spans="1:24" ht="15.75" x14ac:dyDescent="0.25">
      <c r="A125" s="285"/>
      <c r="B125" s="286" t="s">
        <v>194</v>
      </c>
      <c r="C125" s="314"/>
      <c r="D125" s="314"/>
      <c r="E125" s="314"/>
      <c r="F125" s="314"/>
      <c r="G125" s="314"/>
      <c r="H125" s="314"/>
      <c r="I125" s="314"/>
      <c r="J125" s="314"/>
      <c r="K125" s="314"/>
      <c r="L125" s="314"/>
      <c r="M125" s="314"/>
      <c r="N125" s="314"/>
      <c r="O125" s="314"/>
      <c r="P125" s="314"/>
      <c r="Q125" s="314"/>
      <c r="R125" s="314"/>
      <c r="S125" s="314"/>
      <c r="T125" s="337">
        <v>-408</v>
      </c>
      <c r="U125" s="337"/>
      <c r="V125" s="338"/>
      <c r="W125" s="318"/>
      <c r="X125" s="5"/>
    </row>
    <row r="126" spans="1:24" ht="15.75" x14ac:dyDescent="0.25">
      <c r="A126" s="285"/>
      <c r="B126" s="286" t="s">
        <v>222</v>
      </c>
      <c r="C126" s="314"/>
      <c r="D126" s="314"/>
      <c r="E126" s="314"/>
      <c r="F126" s="314"/>
      <c r="G126" s="314"/>
      <c r="H126" s="314"/>
      <c r="I126" s="314"/>
      <c r="J126" s="314"/>
      <c r="K126" s="314"/>
      <c r="L126" s="314"/>
      <c r="M126" s="314"/>
      <c r="N126" s="314"/>
      <c r="O126" s="314"/>
      <c r="P126" s="314"/>
      <c r="Q126" s="314"/>
      <c r="R126" s="314"/>
      <c r="S126" s="314"/>
      <c r="T126" s="337">
        <v>-405</v>
      </c>
      <c r="U126" s="337"/>
      <c r="V126" s="338"/>
      <c r="W126" s="318"/>
      <c r="X126" s="5"/>
    </row>
    <row r="127" spans="1:24" ht="15.75" x14ac:dyDescent="0.25">
      <c r="A127" s="285"/>
      <c r="B127" s="286" t="s">
        <v>189</v>
      </c>
      <c r="C127" s="314"/>
      <c r="D127" s="314"/>
      <c r="E127" s="314"/>
      <c r="F127" s="314"/>
      <c r="G127" s="314"/>
      <c r="H127" s="314"/>
      <c r="I127" s="314"/>
      <c r="J127" s="314"/>
      <c r="K127" s="314"/>
      <c r="L127" s="314"/>
      <c r="M127" s="314"/>
      <c r="N127" s="314"/>
      <c r="O127" s="314"/>
      <c r="P127" s="314"/>
      <c r="Q127" s="314"/>
      <c r="R127" s="314"/>
      <c r="S127" s="314"/>
      <c r="T127" s="337">
        <v>0</v>
      </c>
      <c r="U127" s="337"/>
      <c r="V127" s="338"/>
      <c r="W127" s="318"/>
      <c r="X127" s="5"/>
    </row>
    <row r="128" spans="1:24" ht="15.75" x14ac:dyDescent="0.25">
      <c r="A128" s="285"/>
      <c r="B128" s="286" t="s">
        <v>188</v>
      </c>
      <c r="C128" s="314"/>
      <c r="D128" s="314"/>
      <c r="E128" s="314"/>
      <c r="F128" s="314"/>
      <c r="G128" s="314"/>
      <c r="H128" s="314"/>
      <c r="I128" s="314"/>
      <c r="J128" s="314"/>
      <c r="K128" s="314"/>
      <c r="L128" s="314"/>
      <c r="M128" s="314"/>
      <c r="N128" s="314"/>
      <c r="O128" s="314"/>
      <c r="P128" s="314"/>
      <c r="Q128" s="314"/>
      <c r="R128" s="314"/>
      <c r="S128" s="314"/>
      <c r="T128" s="337">
        <v>0</v>
      </c>
      <c r="U128" s="337"/>
      <c r="V128" s="338"/>
      <c r="W128" s="318"/>
      <c r="X128" s="5"/>
    </row>
    <row r="129" spans="1:24" ht="15.75" x14ac:dyDescent="0.25">
      <c r="A129" s="285"/>
      <c r="B129" s="286" t="s">
        <v>187</v>
      </c>
      <c r="C129" s="314"/>
      <c r="D129" s="314"/>
      <c r="E129" s="314"/>
      <c r="F129" s="314"/>
      <c r="G129" s="314"/>
      <c r="H129" s="314"/>
      <c r="I129" s="314"/>
      <c r="J129" s="314"/>
      <c r="K129" s="314"/>
      <c r="L129" s="314"/>
      <c r="M129" s="314"/>
      <c r="N129" s="314"/>
      <c r="O129" s="314"/>
      <c r="P129" s="314"/>
      <c r="Q129" s="314"/>
      <c r="R129" s="314"/>
      <c r="S129" s="314"/>
      <c r="T129" s="337">
        <v>0</v>
      </c>
      <c r="U129" s="337"/>
      <c r="V129" s="338"/>
      <c r="W129" s="318"/>
      <c r="X129" s="5"/>
    </row>
    <row r="130" spans="1:24" ht="15.75" x14ac:dyDescent="0.25">
      <c r="A130" s="285"/>
      <c r="B130" s="286" t="s">
        <v>39</v>
      </c>
      <c r="C130" s="314"/>
      <c r="D130" s="314"/>
      <c r="E130" s="314"/>
      <c r="F130" s="314"/>
      <c r="G130" s="314"/>
      <c r="H130" s="314"/>
      <c r="I130" s="314"/>
      <c r="J130" s="314"/>
      <c r="K130" s="314"/>
      <c r="L130" s="314"/>
      <c r="M130" s="314"/>
      <c r="N130" s="314"/>
      <c r="O130" s="314"/>
      <c r="P130" s="314"/>
      <c r="Q130" s="314"/>
      <c r="R130" s="314"/>
      <c r="S130" s="314"/>
      <c r="T130" s="337">
        <f>SUM(T120:T129)</f>
        <v>-4655</v>
      </c>
      <c r="U130" s="337"/>
      <c r="V130" s="337">
        <f>SUM(V102:V128)</f>
        <v>-5765</v>
      </c>
      <c r="W130" s="318"/>
      <c r="X130" s="5"/>
    </row>
    <row r="131" spans="1:24" ht="15.75" x14ac:dyDescent="0.25">
      <c r="A131" s="285"/>
      <c r="B131" s="286" t="s">
        <v>40</v>
      </c>
      <c r="C131" s="314"/>
      <c r="D131" s="314"/>
      <c r="E131" s="314"/>
      <c r="F131" s="314"/>
      <c r="G131" s="314"/>
      <c r="H131" s="314"/>
      <c r="I131" s="314"/>
      <c r="J131" s="314"/>
      <c r="K131" s="314"/>
      <c r="L131" s="314"/>
      <c r="M131" s="314"/>
      <c r="N131" s="314"/>
      <c r="O131" s="314"/>
      <c r="P131" s="314"/>
      <c r="Q131" s="314"/>
      <c r="R131" s="314"/>
      <c r="S131" s="314"/>
      <c r="T131" s="337">
        <f>T101+T130+T113</f>
        <v>0</v>
      </c>
      <c r="U131" s="337"/>
      <c r="V131" s="337">
        <f>V101+V130</f>
        <v>0</v>
      </c>
      <c r="W131" s="318"/>
      <c r="X131" s="5"/>
    </row>
    <row r="132" spans="1:24" ht="15.75" x14ac:dyDescent="0.25">
      <c r="A132" s="181"/>
      <c r="B132" s="212"/>
      <c r="C132" s="212"/>
      <c r="D132" s="212"/>
      <c r="E132" s="212"/>
      <c r="F132" s="212"/>
      <c r="G132" s="212"/>
      <c r="H132" s="212"/>
      <c r="I132" s="212"/>
      <c r="J132" s="212"/>
      <c r="K132" s="212"/>
      <c r="L132" s="212"/>
      <c r="M132" s="212"/>
      <c r="N132" s="212"/>
      <c r="O132" s="212"/>
      <c r="P132" s="212"/>
      <c r="Q132" s="212"/>
      <c r="R132" s="212"/>
      <c r="S132" s="212"/>
      <c r="T132" s="335"/>
      <c r="U132" s="335"/>
      <c r="V132" s="335"/>
      <c r="W132" s="212"/>
      <c r="X132" s="5"/>
    </row>
    <row r="133" spans="1:24" ht="15.75" x14ac:dyDescent="0.25">
      <c r="A133" s="181"/>
      <c r="B133" s="183"/>
      <c r="C133" s="183"/>
      <c r="D133" s="183"/>
      <c r="E133" s="183"/>
      <c r="F133" s="183"/>
      <c r="G133" s="183"/>
      <c r="H133" s="183"/>
      <c r="I133" s="183"/>
      <c r="J133" s="183"/>
      <c r="K133" s="183"/>
      <c r="L133" s="183"/>
      <c r="M133" s="183"/>
      <c r="N133" s="183"/>
      <c r="O133" s="183"/>
      <c r="P133" s="183"/>
      <c r="Q133" s="183"/>
      <c r="R133" s="183"/>
      <c r="S133" s="183"/>
      <c r="T133" s="183"/>
      <c r="U133" s="183"/>
      <c r="V133" s="202"/>
      <c r="W133" s="183"/>
      <c r="X133" s="5"/>
    </row>
    <row r="134" spans="1:24" ht="19.5" thickBot="1" x14ac:dyDescent="0.35">
      <c r="A134" s="197"/>
      <c r="B134" s="270" t="str">
        <f>B64</f>
        <v>PM15 INVESTOR REPORT QUARTER ENDING FEBRUARY 2012</v>
      </c>
      <c r="C134" s="198"/>
      <c r="D134" s="198"/>
      <c r="E134" s="198"/>
      <c r="F134" s="198"/>
      <c r="G134" s="198"/>
      <c r="H134" s="198"/>
      <c r="I134" s="198"/>
      <c r="J134" s="198"/>
      <c r="K134" s="198"/>
      <c r="L134" s="198"/>
      <c r="M134" s="198"/>
      <c r="N134" s="198"/>
      <c r="O134" s="198"/>
      <c r="P134" s="198"/>
      <c r="Q134" s="198"/>
      <c r="R134" s="198"/>
      <c r="S134" s="198"/>
      <c r="T134" s="198"/>
      <c r="U134" s="198"/>
      <c r="V134" s="209"/>
      <c r="W134" s="200"/>
      <c r="X134" s="5"/>
    </row>
    <row r="135" spans="1:24" ht="15.75" x14ac:dyDescent="0.25">
      <c r="A135" s="236"/>
      <c r="B135" s="403" t="s">
        <v>41</v>
      </c>
      <c r="C135" s="238"/>
      <c r="D135" s="238"/>
      <c r="E135" s="238"/>
      <c r="F135" s="238"/>
      <c r="G135" s="238"/>
      <c r="H135" s="238"/>
      <c r="I135" s="238"/>
      <c r="J135" s="238"/>
      <c r="K135" s="238"/>
      <c r="L135" s="238"/>
      <c r="M135" s="238"/>
      <c r="N135" s="238"/>
      <c r="O135" s="238"/>
      <c r="P135" s="238"/>
      <c r="Q135" s="238"/>
      <c r="R135" s="238"/>
      <c r="S135" s="238"/>
      <c r="T135" s="238"/>
      <c r="U135" s="238"/>
      <c r="V135" s="239"/>
      <c r="W135" s="238"/>
      <c r="X135" s="5"/>
    </row>
    <row r="136" spans="1:24" ht="15.75" x14ac:dyDescent="0.25">
      <c r="A136" s="181"/>
      <c r="B136" s="191"/>
      <c r="C136" s="183"/>
      <c r="D136" s="183"/>
      <c r="E136" s="183"/>
      <c r="F136" s="183"/>
      <c r="G136" s="183"/>
      <c r="H136" s="183"/>
      <c r="I136" s="183"/>
      <c r="J136" s="183"/>
      <c r="K136" s="183"/>
      <c r="L136" s="183"/>
      <c r="M136" s="183"/>
      <c r="N136" s="183"/>
      <c r="O136" s="183"/>
      <c r="P136" s="183"/>
      <c r="Q136" s="183"/>
      <c r="R136" s="183"/>
      <c r="S136" s="183"/>
      <c r="T136" s="183"/>
      <c r="U136" s="183"/>
      <c r="V136" s="202"/>
      <c r="W136" s="183"/>
      <c r="X136" s="5"/>
    </row>
    <row r="137" spans="1:24" ht="15.75" x14ac:dyDescent="0.25">
      <c r="A137" s="181"/>
      <c r="B137" s="210" t="s">
        <v>42</v>
      </c>
      <c r="C137" s="183"/>
      <c r="D137" s="183"/>
      <c r="E137" s="183"/>
      <c r="F137" s="183"/>
      <c r="G137" s="183"/>
      <c r="H137" s="183"/>
      <c r="I137" s="183"/>
      <c r="J137" s="183"/>
      <c r="K137" s="183"/>
      <c r="L137" s="183"/>
      <c r="M137" s="183"/>
      <c r="N137" s="183"/>
      <c r="O137" s="183"/>
      <c r="P137" s="183"/>
      <c r="Q137" s="183"/>
      <c r="R137" s="183"/>
      <c r="S137" s="183"/>
      <c r="T137" s="183"/>
      <c r="U137" s="183"/>
      <c r="V137" s="202"/>
      <c r="W137" s="183"/>
      <c r="X137" s="5"/>
    </row>
    <row r="138" spans="1:24" ht="15.75" x14ac:dyDescent="0.25">
      <c r="A138" s="285"/>
      <c r="B138" s="286" t="s">
        <v>43</v>
      </c>
      <c r="C138" s="286"/>
      <c r="D138" s="286"/>
      <c r="E138" s="286"/>
      <c r="F138" s="286"/>
      <c r="G138" s="286"/>
      <c r="H138" s="286"/>
      <c r="I138" s="286"/>
      <c r="J138" s="286"/>
      <c r="K138" s="286"/>
      <c r="L138" s="286"/>
      <c r="M138" s="286"/>
      <c r="N138" s="286"/>
      <c r="O138" s="286"/>
      <c r="P138" s="286"/>
      <c r="Q138" s="286"/>
      <c r="R138" s="286"/>
      <c r="S138" s="286"/>
      <c r="T138" s="286"/>
      <c r="U138" s="286"/>
      <c r="V138" s="338">
        <f>+V34*0.019</f>
        <v>19021.526999999998</v>
      </c>
      <c r="W138" s="289"/>
      <c r="X138" s="5"/>
    </row>
    <row r="139" spans="1:24" ht="15.75" x14ac:dyDescent="0.25">
      <c r="A139" s="285"/>
      <c r="B139" s="286" t="s">
        <v>44</v>
      </c>
      <c r="C139" s="286"/>
      <c r="D139" s="286"/>
      <c r="E139" s="286"/>
      <c r="F139" s="286"/>
      <c r="G139" s="286"/>
      <c r="H139" s="286"/>
      <c r="I139" s="286"/>
      <c r="J139" s="286"/>
      <c r="K139" s="286"/>
      <c r="L139" s="286"/>
      <c r="M139" s="286"/>
      <c r="N139" s="286"/>
      <c r="O139" s="286"/>
      <c r="P139" s="286"/>
      <c r="Q139" s="286"/>
      <c r="R139" s="286"/>
      <c r="S139" s="286"/>
      <c r="T139" s="286"/>
      <c r="U139" s="286"/>
      <c r="V139" s="338">
        <v>19022</v>
      </c>
      <c r="W139" s="289"/>
      <c r="X139" s="5"/>
    </row>
    <row r="140" spans="1:24" ht="15.75" x14ac:dyDescent="0.25">
      <c r="A140" s="285"/>
      <c r="B140" s="286" t="s">
        <v>136</v>
      </c>
      <c r="C140" s="286"/>
      <c r="D140" s="286"/>
      <c r="E140" s="286"/>
      <c r="F140" s="286"/>
      <c r="G140" s="286"/>
      <c r="H140" s="286"/>
      <c r="I140" s="286"/>
      <c r="J140" s="286"/>
      <c r="K140" s="286"/>
      <c r="L140" s="286"/>
      <c r="M140" s="286"/>
      <c r="N140" s="286"/>
      <c r="O140" s="286"/>
      <c r="P140" s="286"/>
      <c r="Q140" s="286"/>
      <c r="R140" s="286"/>
      <c r="S140" s="286"/>
      <c r="T140" s="286"/>
      <c r="U140" s="286"/>
      <c r="V140" s="338"/>
      <c r="W140" s="289"/>
      <c r="X140" s="5"/>
    </row>
    <row r="141" spans="1:24" ht="15.75" x14ac:dyDescent="0.25">
      <c r="A141" s="285"/>
      <c r="B141" s="286" t="s">
        <v>123</v>
      </c>
      <c r="C141" s="286"/>
      <c r="D141" s="286"/>
      <c r="E141" s="286"/>
      <c r="F141" s="286"/>
      <c r="G141" s="286"/>
      <c r="H141" s="286"/>
      <c r="I141" s="286"/>
      <c r="J141" s="286"/>
      <c r="K141" s="286"/>
      <c r="L141" s="286"/>
      <c r="M141" s="286"/>
      <c r="N141" s="286"/>
      <c r="O141" s="286"/>
      <c r="P141" s="286"/>
      <c r="Q141" s="286"/>
      <c r="R141" s="286"/>
      <c r="S141" s="286"/>
      <c r="T141" s="286"/>
      <c r="U141" s="286"/>
      <c r="V141" s="338">
        <v>0</v>
      </c>
      <c r="W141" s="289"/>
      <c r="X141" s="5"/>
    </row>
    <row r="142" spans="1:24" ht="15.75" x14ac:dyDescent="0.25">
      <c r="A142" s="285"/>
      <c r="B142" s="286" t="s">
        <v>124</v>
      </c>
      <c r="C142" s="286"/>
      <c r="D142" s="286"/>
      <c r="E142" s="286"/>
      <c r="F142" s="286"/>
      <c r="G142" s="286"/>
      <c r="H142" s="286"/>
      <c r="I142" s="286"/>
      <c r="J142" s="286"/>
      <c r="K142" s="286"/>
      <c r="L142" s="286"/>
      <c r="M142" s="286"/>
      <c r="N142" s="286"/>
      <c r="O142" s="286"/>
      <c r="P142" s="286"/>
      <c r="Q142" s="286"/>
      <c r="R142" s="286"/>
      <c r="S142" s="286"/>
      <c r="T142" s="286"/>
      <c r="U142" s="286"/>
      <c r="V142" s="338">
        <v>0</v>
      </c>
      <c r="W142" s="289"/>
      <c r="X142" s="5"/>
    </row>
    <row r="143" spans="1:24" ht="15.75" x14ac:dyDescent="0.25">
      <c r="A143" s="285"/>
      <c r="B143" s="286" t="s">
        <v>175</v>
      </c>
      <c r="C143" s="286"/>
      <c r="D143" s="286"/>
      <c r="E143" s="286"/>
      <c r="F143" s="286"/>
      <c r="G143" s="286"/>
      <c r="H143" s="286"/>
      <c r="I143" s="286"/>
      <c r="J143" s="286"/>
      <c r="K143" s="286"/>
      <c r="L143" s="286"/>
      <c r="M143" s="286"/>
      <c r="N143" s="286"/>
      <c r="O143" s="286"/>
      <c r="P143" s="286"/>
      <c r="Q143" s="286"/>
      <c r="R143" s="286"/>
      <c r="S143" s="286"/>
      <c r="T143" s="286"/>
      <c r="U143" s="286"/>
      <c r="V143" s="338">
        <v>0</v>
      </c>
      <c r="W143" s="289"/>
      <c r="X143" s="5"/>
    </row>
    <row r="144" spans="1:24" ht="15.75" x14ac:dyDescent="0.25">
      <c r="A144" s="285"/>
      <c r="B144" s="286" t="s">
        <v>45</v>
      </c>
      <c r="C144" s="286"/>
      <c r="D144" s="286"/>
      <c r="E144" s="286"/>
      <c r="F144" s="286"/>
      <c r="G144" s="286"/>
      <c r="H144" s="286"/>
      <c r="I144" s="286"/>
      <c r="J144" s="286"/>
      <c r="K144" s="286"/>
      <c r="L144" s="286"/>
      <c r="M144" s="286"/>
      <c r="N144" s="286"/>
      <c r="O144" s="286"/>
      <c r="P144" s="286"/>
      <c r="Q144" s="286"/>
      <c r="R144" s="286"/>
      <c r="S144" s="286"/>
      <c r="T144" s="286"/>
      <c r="U144" s="286"/>
      <c r="V144" s="338">
        <v>0</v>
      </c>
      <c r="W144" s="289"/>
      <c r="X144" s="5"/>
    </row>
    <row r="145" spans="1:25" ht="15.75" x14ac:dyDescent="0.25">
      <c r="A145" s="285"/>
      <c r="B145" s="286" t="s">
        <v>129</v>
      </c>
      <c r="C145" s="286"/>
      <c r="D145" s="286"/>
      <c r="E145" s="286"/>
      <c r="F145" s="286"/>
      <c r="G145" s="286"/>
      <c r="H145" s="286"/>
      <c r="I145" s="286"/>
      <c r="J145" s="286"/>
      <c r="K145" s="286"/>
      <c r="L145" s="286"/>
      <c r="M145" s="286"/>
      <c r="N145" s="286"/>
      <c r="O145" s="286"/>
      <c r="P145" s="286"/>
      <c r="Q145" s="286"/>
      <c r="R145" s="286"/>
      <c r="S145" s="286"/>
      <c r="T145" s="286"/>
      <c r="U145" s="286"/>
      <c r="V145" s="338">
        <v>0</v>
      </c>
      <c r="W145" s="289"/>
      <c r="X145" s="5"/>
    </row>
    <row r="146" spans="1:25" ht="15.75" x14ac:dyDescent="0.25">
      <c r="A146" s="285"/>
      <c r="B146" s="286" t="s">
        <v>241</v>
      </c>
      <c r="C146" s="286"/>
      <c r="D146" s="286"/>
      <c r="E146" s="286"/>
      <c r="F146" s="286"/>
      <c r="G146" s="286"/>
      <c r="H146" s="286"/>
      <c r="I146" s="286"/>
      <c r="J146" s="286"/>
      <c r="K146" s="286"/>
      <c r="L146" s="286"/>
      <c r="M146" s="286"/>
      <c r="N146" s="286"/>
      <c r="O146" s="286"/>
      <c r="P146" s="286"/>
      <c r="Q146" s="286"/>
      <c r="R146" s="286"/>
      <c r="S146" s="286"/>
      <c r="T146" s="286"/>
      <c r="U146" s="286"/>
      <c r="V146" s="338">
        <v>0</v>
      </c>
      <c r="W146" s="289"/>
      <c r="X146" s="5"/>
      <c r="Y146" s="109"/>
    </row>
    <row r="147" spans="1:25" ht="15.75" x14ac:dyDescent="0.25">
      <c r="A147" s="285"/>
      <c r="B147" s="286" t="s">
        <v>46</v>
      </c>
      <c r="C147" s="286"/>
      <c r="D147" s="286"/>
      <c r="E147" s="286"/>
      <c r="F147" s="286"/>
      <c r="G147" s="286"/>
      <c r="H147" s="286"/>
      <c r="I147" s="286"/>
      <c r="J147" s="286"/>
      <c r="K147" s="286"/>
      <c r="L147" s="286"/>
      <c r="M147" s="286"/>
      <c r="N147" s="286"/>
      <c r="O147" s="286"/>
      <c r="P147" s="286"/>
      <c r="Q147" s="286"/>
      <c r="R147" s="286"/>
      <c r="S147" s="286"/>
      <c r="T147" s="286"/>
      <c r="U147" s="286"/>
      <c r="V147" s="338">
        <f>SUM(V139:V146)</f>
        <v>19022</v>
      </c>
      <c r="W147" s="289"/>
      <c r="X147" s="5"/>
    </row>
    <row r="148" spans="1:25" ht="15.75" x14ac:dyDescent="0.25">
      <c r="A148" s="285"/>
      <c r="B148" s="314"/>
      <c r="C148" s="314"/>
      <c r="D148" s="314"/>
      <c r="E148" s="314"/>
      <c r="F148" s="314"/>
      <c r="G148" s="314"/>
      <c r="H148" s="314"/>
      <c r="I148" s="314"/>
      <c r="J148" s="314"/>
      <c r="K148" s="314"/>
      <c r="L148" s="314"/>
      <c r="M148" s="314"/>
      <c r="N148" s="314"/>
      <c r="O148" s="314"/>
      <c r="P148" s="314"/>
      <c r="Q148" s="314"/>
      <c r="R148" s="314"/>
      <c r="S148" s="314"/>
      <c r="T148" s="314"/>
      <c r="U148" s="314"/>
      <c r="V148" s="345"/>
      <c r="W148" s="318"/>
      <c r="X148" s="5"/>
    </row>
    <row r="149" spans="1:25" ht="15.75" x14ac:dyDescent="0.25">
      <c r="A149" s="285"/>
      <c r="B149" s="342" t="s">
        <v>269</v>
      </c>
      <c r="C149" s="314"/>
      <c r="D149" s="314"/>
      <c r="E149" s="314"/>
      <c r="F149" s="314"/>
      <c r="G149" s="314"/>
      <c r="H149" s="314"/>
      <c r="I149" s="314"/>
      <c r="J149" s="314"/>
      <c r="K149" s="314"/>
      <c r="L149" s="314"/>
      <c r="M149" s="314"/>
      <c r="N149" s="314"/>
      <c r="O149" s="314"/>
      <c r="P149" s="314"/>
      <c r="Q149" s="314"/>
      <c r="R149" s="314"/>
      <c r="S149" s="314"/>
      <c r="T149" s="314"/>
      <c r="U149" s="314"/>
      <c r="V149" s="345"/>
      <c r="W149" s="318"/>
      <c r="X149" s="5"/>
    </row>
    <row r="150" spans="1:25" ht="15.75" x14ac:dyDescent="0.25">
      <c r="A150" s="285"/>
      <c r="B150" s="286" t="s">
        <v>155</v>
      </c>
      <c r="C150" s="286"/>
      <c r="D150" s="286"/>
      <c r="E150" s="286"/>
      <c r="F150" s="286"/>
      <c r="G150" s="286"/>
      <c r="H150" s="286"/>
      <c r="I150" s="286"/>
      <c r="J150" s="286"/>
      <c r="K150" s="286"/>
      <c r="L150" s="286"/>
      <c r="M150" s="286"/>
      <c r="N150" s="286"/>
      <c r="O150" s="286"/>
      <c r="P150" s="286"/>
      <c r="Q150" s="286"/>
      <c r="R150" s="286"/>
      <c r="S150" s="286"/>
      <c r="T150" s="286"/>
      <c r="U150" s="286"/>
      <c r="V150" s="338">
        <v>0</v>
      </c>
      <c r="W150" s="289"/>
      <c r="X150" s="5"/>
    </row>
    <row r="151" spans="1:25" ht="15.75" x14ac:dyDescent="0.25">
      <c r="A151" s="285"/>
      <c r="B151" s="286" t="s">
        <v>172</v>
      </c>
      <c r="C151" s="286"/>
      <c r="D151" s="286"/>
      <c r="E151" s="286"/>
      <c r="F151" s="286"/>
      <c r="G151" s="286"/>
      <c r="H151" s="286"/>
      <c r="I151" s="286"/>
      <c r="J151" s="286"/>
      <c r="K151" s="286"/>
      <c r="L151" s="286"/>
      <c r="M151" s="286"/>
      <c r="N151" s="286"/>
      <c r="O151" s="286"/>
      <c r="P151" s="286"/>
      <c r="Q151" s="286"/>
      <c r="R151" s="286"/>
      <c r="S151" s="286"/>
      <c r="T151" s="286"/>
      <c r="U151" s="286"/>
      <c r="V151" s="338">
        <v>0</v>
      </c>
      <c r="W151" s="289"/>
      <c r="X151" s="5"/>
    </row>
    <row r="152" spans="1:25" ht="15.75" x14ac:dyDescent="0.25">
      <c r="A152" s="285"/>
      <c r="B152" s="286" t="s">
        <v>226</v>
      </c>
      <c r="C152" s="286"/>
      <c r="D152" s="286"/>
      <c r="E152" s="286"/>
      <c r="F152" s="286"/>
      <c r="G152" s="286"/>
      <c r="H152" s="286"/>
      <c r="I152" s="286"/>
      <c r="J152" s="286"/>
      <c r="K152" s="286"/>
      <c r="L152" s="286"/>
      <c r="M152" s="286"/>
      <c r="N152" s="286"/>
      <c r="O152" s="286"/>
      <c r="P152" s="286"/>
      <c r="Q152" s="286"/>
      <c r="R152" s="286"/>
      <c r="S152" s="286"/>
      <c r="T152" s="286"/>
      <c r="U152" s="286"/>
      <c r="V152" s="338">
        <v>0</v>
      </c>
      <c r="W152" s="289"/>
      <c r="X152" s="5"/>
    </row>
    <row r="153" spans="1:25" ht="15.75" x14ac:dyDescent="0.25">
      <c r="A153" s="285"/>
      <c r="B153" s="314"/>
      <c r="C153" s="314"/>
      <c r="D153" s="314"/>
      <c r="E153" s="314"/>
      <c r="F153" s="314"/>
      <c r="G153" s="314"/>
      <c r="H153" s="314"/>
      <c r="I153" s="314"/>
      <c r="J153" s="314"/>
      <c r="K153" s="314"/>
      <c r="L153" s="314"/>
      <c r="M153" s="314"/>
      <c r="N153" s="314"/>
      <c r="O153" s="314"/>
      <c r="P153" s="314"/>
      <c r="Q153" s="314"/>
      <c r="R153" s="314"/>
      <c r="S153" s="314"/>
      <c r="T153" s="314"/>
      <c r="U153" s="314"/>
      <c r="V153" s="345"/>
      <c r="W153" s="318"/>
      <c r="X153" s="5"/>
    </row>
    <row r="154" spans="1:25" ht="15.75" x14ac:dyDescent="0.25">
      <c r="A154" s="181"/>
      <c r="B154" s="212"/>
      <c r="C154" s="212"/>
      <c r="D154" s="212"/>
      <c r="E154" s="212"/>
      <c r="F154" s="212"/>
      <c r="G154" s="212"/>
      <c r="H154" s="212"/>
      <c r="I154" s="212"/>
      <c r="J154" s="212"/>
      <c r="K154" s="212"/>
      <c r="L154" s="212"/>
      <c r="M154" s="212"/>
      <c r="N154" s="212"/>
      <c r="O154" s="212"/>
      <c r="P154" s="212"/>
      <c r="Q154" s="212"/>
      <c r="R154" s="212"/>
      <c r="S154" s="212"/>
      <c r="T154" s="212"/>
      <c r="U154" s="212"/>
      <c r="V154" s="344"/>
      <c r="W154" s="212"/>
      <c r="X154" s="5"/>
    </row>
    <row r="155" spans="1:25" ht="15.75" x14ac:dyDescent="0.25">
      <c r="A155" s="181"/>
      <c r="B155" s="210" t="s">
        <v>24</v>
      </c>
      <c r="C155" s="183"/>
      <c r="D155" s="183"/>
      <c r="E155" s="183"/>
      <c r="F155" s="183"/>
      <c r="G155" s="183"/>
      <c r="H155" s="183"/>
      <c r="I155" s="183"/>
      <c r="J155" s="183"/>
      <c r="K155" s="183"/>
      <c r="L155" s="183"/>
      <c r="M155" s="183"/>
      <c r="N155" s="183"/>
      <c r="O155" s="183"/>
      <c r="P155" s="183"/>
      <c r="Q155" s="183"/>
      <c r="R155" s="183"/>
      <c r="S155" s="183"/>
      <c r="T155" s="183"/>
      <c r="U155" s="183"/>
      <c r="V155" s="202"/>
      <c r="W155" s="183"/>
      <c r="X155" s="5"/>
    </row>
    <row r="156" spans="1:25" ht="15.75" x14ac:dyDescent="0.25">
      <c r="A156" s="285"/>
      <c r="B156" s="286" t="s">
        <v>47</v>
      </c>
      <c r="C156" s="286"/>
      <c r="D156" s="286"/>
      <c r="E156" s="286"/>
      <c r="F156" s="286"/>
      <c r="G156" s="286"/>
      <c r="H156" s="286"/>
      <c r="I156" s="286"/>
      <c r="J156" s="286"/>
      <c r="K156" s="286"/>
      <c r="L156" s="286"/>
      <c r="M156" s="286"/>
      <c r="N156" s="286"/>
      <c r="O156" s="286"/>
      <c r="P156" s="286"/>
      <c r="Q156" s="286"/>
      <c r="R156" s="286"/>
      <c r="S156" s="286"/>
      <c r="T156" s="286"/>
      <c r="U156" s="286"/>
      <c r="V156" s="343" t="s">
        <v>118</v>
      </c>
      <c r="W156" s="318"/>
      <c r="X156" s="5"/>
    </row>
    <row r="157" spans="1:25" ht="15.75" x14ac:dyDescent="0.25">
      <c r="A157" s="285"/>
      <c r="B157" s="286" t="s">
        <v>48</v>
      </c>
      <c r="C157" s="288"/>
      <c r="D157" s="288"/>
      <c r="E157" s="288"/>
      <c r="F157" s="288"/>
      <c r="G157" s="288"/>
      <c r="H157" s="288"/>
      <c r="I157" s="288"/>
      <c r="J157" s="288"/>
      <c r="K157" s="288"/>
      <c r="L157" s="288"/>
      <c r="M157" s="288"/>
      <c r="N157" s="288"/>
      <c r="O157" s="288"/>
      <c r="P157" s="288"/>
      <c r="Q157" s="288"/>
      <c r="R157" s="288"/>
      <c r="S157" s="288"/>
      <c r="T157" s="288"/>
      <c r="U157" s="288"/>
      <c r="V157" s="343" t="s">
        <v>118</v>
      </c>
      <c r="W157" s="318"/>
      <c r="X157" s="5"/>
    </row>
    <row r="158" spans="1:25" ht="15.75" x14ac:dyDescent="0.25">
      <c r="A158" s="285"/>
      <c r="B158" s="286" t="s">
        <v>49</v>
      </c>
      <c r="C158" s="286"/>
      <c r="D158" s="286"/>
      <c r="E158" s="286"/>
      <c r="F158" s="286"/>
      <c r="G158" s="286"/>
      <c r="H158" s="286"/>
      <c r="I158" s="286"/>
      <c r="J158" s="286"/>
      <c r="K158" s="286"/>
      <c r="L158" s="286"/>
      <c r="M158" s="286"/>
      <c r="N158" s="286"/>
      <c r="O158" s="286"/>
      <c r="P158" s="286"/>
      <c r="Q158" s="286"/>
      <c r="R158" s="286"/>
      <c r="S158" s="286"/>
      <c r="T158" s="286"/>
      <c r="U158" s="286"/>
      <c r="V158" s="343" t="s">
        <v>118</v>
      </c>
      <c r="W158" s="318"/>
      <c r="X158" s="5"/>
    </row>
    <row r="159" spans="1:25" ht="15.75" x14ac:dyDescent="0.25">
      <c r="A159" s="285"/>
      <c r="B159" s="286" t="s">
        <v>50</v>
      </c>
      <c r="C159" s="286"/>
      <c r="D159" s="286"/>
      <c r="E159" s="286"/>
      <c r="F159" s="286"/>
      <c r="G159" s="286"/>
      <c r="H159" s="286"/>
      <c r="I159" s="286"/>
      <c r="J159" s="286"/>
      <c r="K159" s="286"/>
      <c r="L159" s="286"/>
      <c r="M159" s="286"/>
      <c r="N159" s="286"/>
      <c r="O159" s="286"/>
      <c r="P159" s="286"/>
      <c r="Q159" s="286"/>
      <c r="R159" s="286"/>
      <c r="S159" s="286"/>
      <c r="T159" s="286"/>
      <c r="U159" s="286"/>
      <c r="V159" s="343" t="s">
        <v>118</v>
      </c>
      <c r="W159" s="318"/>
      <c r="X159" s="5"/>
    </row>
    <row r="160" spans="1:25" ht="15.75" x14ac:dyDescent="0.25">
      <c r="A160" s="181"/>
      <c r="B160" s="212"/>
      <c r="C160" s="212"/>
      <c r="D160" s="212"/>
      <c r="E160" s="212"/>
      <c r="F160" s="212"/>
      <c r="G160" s="212"/>
      <c r="H160" s="212"/>
      <c r="I160" s="212"/>
      <c r="J160" s="212"/>
      <c r="K160" s="212"/>
      <c r="L160" s="212"/>
      <c r="M160" s="212"/>
      <c r="N160" s="212"/>
      <c r="O160" s="212"/>
      <c r="P160" s="212"/>
      <c r="Q160" s="212"/>
      <c r="R160" s="212"/>
      <c r="S160" s="212"/>
      <c r="T160" s="212"/>
      <c r="U160" s="212"/>
      <c r="V160" s="344"/>
      <c r="W160" s="212"/>
      <c r="X160" s="5"/>
    </row>
    <row r="161" spans="1:256" ht="15.75" x14ac:dyDescent="0.25">
      <c r="A161" s="181"/>
      <c r="B161" s="210" t="s">
        <v>51</v>
      </c>
      <c r="C161" s="183"/>
      <c r="D161" s="183"/>
      <c r="E161" s="183"/>
      <c r="F161" s="183"/>
      <c r="G161" s="183"/>
      <c r="H161" s="183"/>
      <c r="I161" s="183"/>
      <c r="J161" s="183"/>
      <c r="K161" s="183"/>
      <c r="L161" s="183"/>
      <c r="M161" s="183"/>
      <c r="N161" s="183"/>
      <c r="O161" s="183"/>
      <c r="P161" s="183"/>
      <c r="Q161" s="183"/>
      <c r="R161" s="183"/>
      <c r="S161" s="183"/>
      <c r="T161" s="183"/>
      <c r="U161" s="183"/>
      <c r="V161" s="211"/>
      <c r="W161" s="183"/>
      <c r="X161" s="5"/>
    </row>
    <row r="162" spans="1:256" ht="15.75" x14ac:dyDescent="0.25">
      <c r="A162" s="285"/>
      <c r="B162" s="286" t="s">
        <v>52</v>
      </c>
      <c r="C162" s="286"/>
      <c r="D162" s="286"/>
      <c r="E162" s="286"/>
      <c r="F162" s="286"/>
      <c r="G162" s="286"/>
      <c r="H162" s="286"/>
      <c r="I162" s="286"/>
      <c r="J162" s="286"/>
      <c r="K162" s="286"/>
      <c r="L162" s="286"/>
      <c r="M162" s="286"/>
      <c r="N162" s="286"/>
      <c r="O162" s="286"/>
      <c r="P162" s="286"/>
      <c r="Q162" s="286"/>
      <c r="R162" s="286"/>
      <c r="S162" s="286"/>
      <c r="T162" s="286"/>
      <c r="U162" s="286"/>
      <c r="V162" s="338">
        <v>0</v>
      </c>
      <c r="W162" s="289"/>
      <c r="X162" s="5"/>
    </row>
    <row r="163" spans="1:256" ht="15.75" x14ac:dyDescent="0.25">
      <c r="A163" s="285"/>
      <c r="B163" s="286" t="s">
        <v>53</v>
      </c>
      <c r="C163" s="286"/>
      <c r="D163" s="286"/>
      <c r="E163" s="286"/>
      <c r="F163" s="286"/>
      <c r="G163" s="286"/>
      <c r="H163" s="286"/>
      <c r="I163" s="286"/>
      <c r="J163" s="286"/>
      <c r="K163" s="286"/>
      <c r="L163" s="286"/>
      <c r="M163" s="286"/>
      <c r="N163" s="286"/>
      <c r="O163" s="286"/>
      <c r="P163" s="286"/>
      <c r="Q163" s="286"/>
      <c r="R163" s="286"/>
      <c r="S163" s="286"/>
      <c r="T163" s="286"/>
      <c r="U163" s="286"/>
      <c r="V163" s="338">
        <v>253</v>
      </c>
      <c r="W163" s="289"/>
      <c r="X163" s="5"/>
    </row>
    <row r="164" spans="1:256" ht="15.75" x14ac:dyDescent="0.25">
      <c r="A164" s="285"/>
      <c r="B164" s="286" t="s">
        <v>54</v>
      </c>
      <c r="C164" s="286"/>
      <c r="D164" s="286"/>
      <c r="E164" s="286"/>
      <c r="F164" s="286"/>
      <c r="G164" s="286"/>
      <c r="H164" s="286"/>
      <c r="I164" s="286"/>
      <c r="J164" s="286"/>
      <c r="K164" s="286"/>
      <c r="L164" s="286"/>
      <c r="M164" s="286"/>
      <c r="N164" s="286"/>
      <c r="O164" s="286"/>
      <c r="P164" s="286"/>
      <c r="Q164" s="286"/>
      <c r="R164" s="286"/>
      <c r="S164" s="286"/>
      <c r="T164" s="286"/>
      <c r="U164" s="286"/>
      <c r="V164" s="338">
        <f>V163+V162</f>
        <v>253</v>
      </c>
      <c r="W164" s="289"/>
      <c r="X164" s="5"/>
    </row>
    <row r="165" spans="1:256" ht="15.75" x14ac:dyDescent="0.25">
      <c r="A165" s="285"/>
      <c r="B165" s="286" t="s">
        <v>303</v>
      </c>
      <c r="C165" s="286"/>
      <c r="D165" s="286"/>
      <c r="E165" s="286"/>
      <c r="F165" s="286"/>
      <c r="G165" s="286"/>
      <c r="H165" s="286"/>
      <c r="I165" s="286"/>
      <c r="J165" s="286"/>
      <c r="K165" s="286"/>
      <c r="L165" s="286"/>
      <c r="M165" s="286"/>
      <c r="N165" s="286"/>
      <c r="O165" s="286"/>
      <c r="P165" s="286"/>
      <c r="Q165" s="286"/>
      <c r="R165" s="286"/>
      <c r="S165" s="286"/>
      <c r="T165" s="286"/>
      <c r="U165" s="286"/>
      <c r="V165" s="338">
        <f>V113</f>
        <v>-253</v>
      </c>
      <c r="W165" s="289"/>
      <c r="X165" s="5"/>
    </row>
    <row r="166" spans="1:256" ht="15.75" x14ac:dyDescent="0.25">
      <c r="A166" s="285"/>
      <c r="B166" s="286" t="s">
        <v>55</v>
      </c>
      <c r="C166" s="286"/>
      <c r="D166" s="286"/>
      <c r="E166" s="286"/>
      <c r="F166" s="286"/>
      <c r="G166" s="286"/>
      <c r="H166" s="286"/>
      <c r="I166" s="286"/>
      <c r="J166" s="286"/>
      <c r="K166" s="286"/>
      <c r="L166" s="286"/>
      <c r="M166" s="286"/>
      <c r="N166" s="286"/>
      <c r="O166" s="286"/>
      <c r="P166" s="286"/>
      <c r="Q166" s="286"/>
      <c r="R166" s="286"/>
      <c r="S166" s="286"/>
      <c r="T166" s="286"/>
      <c r="U166" s="286"/>
      <c r="V166" s="338">
        <f>V164+V165</f>
        <v>0</v>
      </c>
      <c r="W166" s="289"/>
      <c r="X166" s="5"/>
    </row>
    <row r="167" spans="1:256" ht="15.75" x14ac:dyDescent="0.25">
      <c r="A167" s="285"/>
      <c r="B167" s="286" t="s">
        <v>274</v>
      </c>
      <c r="C167" s="286"/>
      <c r="D167" s="286"/>
      <c r="E167" s="286"/>
      <c r="F167" s="286"/>
      <c r="G167" s="286"/>
      <c r="H167" s="286"/>
      <c r="I167" s="286"/>
      <c r="J167" s="286"/>
      <c r="K167" s="286"/>
      <c r="L167" s="286"/>
      <c r="M167" s="286"/>
      <c r="N167" s="286"/>
      <c r="O167" s="286"/>
      <c r="P167" s="286"/>
      <c r="Q167" s="286"/>
      <c r="R167" s="286"/>
      <c r="S167" s="286"/>
      <c r="T167" s="286"/>
      <c r="U167" s="286"/>
      <c r="V167" s="338">
        <f>-V100</f>
        <v>422</v>
      </c>
      <c r="W167" s="289"/>
      <c r="X167" s="5"/>
    </row>
    <row r="168" spans="1:256" ht="16.5" thickBot="1" x14ac:dyDescent="0.3">
      <c r="A168" s="181"/>
      <c r="B168" s="212"/>
      <c r="C168" s="212"/>
      <c r="D168" s="212"/>
      <c r="E168" s="212"/>
      <c r="F168" s="212"/>
      <c r="G168" s="212"/>
      <c r="H168" s="212"/>
      <c r="I168" s="212"/>
      <c r="J168" s="212"/>
      <c r="K168" s="212"/>
      <c r="L168" s="212"/>
      <c r="M168" s="212"/>
      <c r="N168" s="212"/>
      <c r="O168" s="212"/>
      <c r="P168" s="212"/>
      <c r="Q168" s="212"/>
      <c r="R168" s="212"/>
      <c r="S168" s="212"/>
      <c r="T168" s="212"/>
      <c r="U168" s="212"/>
      <c r="V168" s="344"/>
      <c r="W168" s="212"/>
      <c r="X168" s="5"/>
    </row>
    <row r="169" spans="1:256" ht="15.75" x14ac:dyDescent="0.25">
      <c r="A169" s="179"/>
      <c r="B169" s="180"/>
      <c r="C169" s="180"/>
      <c r="D169" s="180"/>
      <c r="E169" s="180"/>
      <c r="F169" s="180"/>
      <c r="G169" s="180"/>
      <c r="H169" s="180"/>
      <c r="I169" s="180"/>
      <c r="J169" s="180"/>
      <c r="K169" s="180"/>
      <c r="L169" s="180"/>
      <c r="M169" s="180"/>
      <c r="N169" s="180"/>
      <c r="O169" s="180"/>
      <c r="P169" s="180"/>
      <c r="Q169" s="180"/>
      <c r="R169" s="180"/>
      <c r="S169" s="180"/>
      <c r="T169" s="180"/>
      <c r="U169" s="180"/>
      <c r="V169" s="201"/>
      <c r="W169" s="180"/>
      <c r="X169" s="5"/>
    </row>
    <row r="170" spans="1:256" s="158" customFormat="1" ht="15.75" x14ac:dyDescent="0.25">
      <c r="A170" s="181"/>
      <c r="B170" s="210" t="s">
        <v>230</v>
      </c>
      <c r="C170" s="212"/>
      <c r="D170" s="212"/>
      <c r="E170" s="212"/>
      <c r="F170" s="212"/>
      <c r="G170" s="212"/>
      <c r="H170" s="212"/>
      <c r="I170" s="212"/>
      <c r="J170" s="212"/>
      <c r="K170" s="212"/>
      <c r="L170" s="212"/>
      <c r="M170" s="212"/>
      <c r="N170" s="212"/>
      <c r="O170" s="212"/>
      <c r="P170" s="212"/>
      <c r="Q170" s="212"/>
      <c r="R170" s="212"/>
      <c r="S170" s="212"/>
      <c r="T170" s="212"/>
      <c r="U170" s="212"/>
      <c r="V170" s="213"/>
      <c r="W170" s="212"/>
      <c r="X170" s="5"/>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s="160" customFormat="1" ht="15.75" x14ac:dyDescent="0.25">
      <c r="A171" s="285"/>
      <c r="B171" s="286" t="s">
        <v>231</v>
      </c>
      <c r="C171" s="286"/>
      <c r="D171" s="286"/>
      <c r="E171" s="286"/>
      <c r="F171" s="286"/>
      <c r="G171" s="286"/>
      <c r="H171" s="286"/>
      <c r="I171" s="286"/>
      <c r="J171" s="286"/>
      <c r="K171" s="286"/>
      <c r="L171" s="286"/>
      <c r="M171" s="286"/>
      <c r="N171" s="286"/>
      <c r="O171" s="286"/>
      <c r="P171" s="286"/>
      <c r="Q171" s="286"/>
      <c r="R171" s="286"/>
      <c r="S171" s="286"/>
      <c r="T171" s="286"/>
      <c r="U171" s="286"/>
      <c r="V171" s="338">
        <f>+'Aug 08'!V173</f>
        <v>0</v>
      </c>
      <c r="W171" s="289"/>
      <c r="X171" s="5"/>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s="160" customFormat="1" ht="15.75" x14ac:dyDescent="0.25">
      <c r="A172" s="285"/>
      <c r="B172" s="286" t="s">
        <v>234</v>
      </c>
      <c r="C172" s="286"/>
      <c r="D172" s="286"/>
      <c r="E172" s="286"/>
      <c r="F172" s="286"/>
      <c r="G172" s="286"/>
      <c r="H172" s="286"/>
      <c r="I172" s="286"/>
      <c r="J172" s="286"/>
      <c r="K172" s="286"/>
      <c r="L172" s="286"/>
      <c r="M172" s="286"/>
      <c r="N172" s="286"/>
      <c r="O172" s="286"/>
      <c r="P172" s="286"/>
      <c r="Q172" s="286"/>
      <c r="R172" s="286"/>
      <c r="S172" s="286"/>
      <c r="T172" s="286"/>
      <c r="U172" s="286"/>
      <c r="V172" s="338">
        <f>+V94</f>
        <v>0</v>
      </c>
      <c r="W172" s="289"/>
      <c r="X172" s="5"/>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s="160" customFormat="1" ht="15.75" x14ac:dyDescent="0.25">
      <c r="A173" s="285"/>
      <c r="B173" s="286" t="s">
        <v>232</v>
      </c>
      <c r="C173" s="286"/>
      <c r="D173" s="286"/>
      <c r="E173" s="286"/>
      <c r="F173" s="286"/>
      <c r="G173" s="286"/>
      <c r="H173" s="286"/>
      <c r="I173" s="286"/>
      <c r="J173" s="286"/>
      <c r="K173" s="286"/>
      <c r="L173" s="286"/>
      <c r="M173" s="286"/>
      <c r="N173" s="286"/>
      <c r="O173" s="286"/>
      <c r="P173" s="286"/>
      <c r="Q173" s="286"/>
      <c r="R173" s="286"/>
      <c r="S173" s="286"/>
      <c r="T173" s="286"/>
      <c r="U173" s="286"/>
      <c r="V173" s="338">
        <f>+V171-V172</f>
        <v>0</v>
      </c>
      <c r="W173" s="289"/>
      <c r="X173" s="5"/>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s="163" customFormat="1" ht="16.5" thickBot="1" x14ac:dyDescent="0.3">
      <c r="A174" s="197"/>
      <c r="B174" s="212"/>
      <c r="C174" s="212"/>
      <c r="D174" s="212"/>
      <c r="E174" s="212"/>
      <c r="F174" s="212"/>
      <c r="G174" s="212"/>
      <c r="H174" s="212"/>
      <c r="I174" s="212"/>
      <c r="J174" s="212"/>
      <c r="K174" s="212"/>
      <c r="L174" s="212"/>
      <c r="M174" s="212"/>
      <c r="N174" s="212"/>
      <c r="O174" s="212"/>
      <c r="P174" s="212"/>
      <c r="Q174" s="212"/>
      <c r="R174" s="212"/>
      <c r="S174" s="212"/>
      <c r="T174" s="212"/>
      <c r="U174" s="212"/>
      <c r="V174" s="344"/>
      <c r="W174" s="212"/>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4" customFormat="1" ht="15.75" x14ac:dyDescent="0.25">
      <c r="A175" s="179"/>
      <c r="B175" s="180"/>
      <c r="C175" s="180"/>
      <c r="D175" s="180"/>
      <c r="E175" s="180"/>
      <c r="F175" s="180"/>
      <c r="G175" s="180"/>
      <c r="H175" s="180"/>
      <c r="I175" s="180"/>
      <c r="J175" s="180"/>
      <c r="K175" s="180"/>
      <c r="L175" s="180"/>
      <c r="M175" s="180"/>
      <c r="N175" s="180"/>
      <c r="O175" s="180"/>
      <c r="P175" s="180"/>
      <c r="Q175" s="180"/>
      <c r="R175" s="180"/>
      <c r="S175" s="180"/>
      <c r="T175" s="180"/>
      <c r="U175" s="180"/>
      <c r="V175" s="201"/>
      <c r="W175" s="180"/>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ht="15.75" x14ac:dyDescent="0.25">
      <c r="A176" s="181"/>
      <c r="B176" s="210" t="s">
        <v>56</v>
      </c>
      <c r="C176" s="183"/>
      <c r="D176" s="183"/>
      <c r="E176" s="183"/>
      <c r="F176" s="183"/>
      <c r="G176" s="183"/>
      <c r="H176" s="183"/>
      <c r="I176" s="183"/>
      <c r="J176" s="183"/>
      <c r="K176" s="183"/>
      <c r="L176" s="183"/>
      <c r="M176" s="183"/>
      <c r="N176" s="183"/>
      <c r="O176" s="183"/>
      <c r="P176" s="183"/>
      <c r="Q176" s="183"/>
      <c r="R176" s="183"/>
      <c r="S176" s="183"/>
      <c r="T176" s="183"/>
      <c r="U176" s="183"/>
      <c r="V176" s="202"/>
      <c r="W176" s="183"/>
      <c r="X176" s="5"/>
    </row>
    <row r="177" spans="1:24" ht="15.75" x14ac:dyDescent="0.25">
      <c r="A177" s="181"/>
      <c r="B177" s="191"/>
      <c r="C177" s="183"/>
      <c r="D177" s="183"/>
      <c r="E177" s="183"/>
      <c r="F177" s="183"/>
      <c r="G177" s="183"/>
      <c r="H177" s="183"/>
      <c r="I177" s="183"/>
      <c r="J177" s="183"/>
      <c r="K177" s="183"/>
      <c r="L177" s="183"/>
      <c r="M177" s="183"/>
      <c r="N177" s="183"/>
      <c r="O177" s="183"/>
      <c r="P177" s="183"/>
      <c r="Q177" s="183"/>
      <c r="R177" s="183"/>
      <c r="S177" s="183"/>
      <c r="T177" s="183"/>
      <c r="U177" s="183"/>
      <c r="V177" s="202"/>
      <c r="W177" s="183"/>
      <c r="X177" s="5"/>
    </row>
    <row r="178" spans="1:24" ht="15.75" x14ac:dyDescent="0.25">
      <c r="A178" s="285"/>
      <c r="B178" s="286" t="s">
        <v>57</v>
      </c>
      <c r="C178" s="286"/>
      <c r="D178" s="286"/>
      <c r="E178" s="286"/>
      <c r="F178" s="286"/>
      <c r="G178" s="286"/>
      <c r="H178" s="286"/>
      <c r="I178" s="286"/>
      <c r="J178" s="286"/>
      <c r="K178" s="286"/>
      <c r="L178" s="286"/>
      <c r="M178" s="286"/>
      <c r="N178" s="286"/>
      <c r="O178" s="286"/>
      <c r="P178" s="286"/>
      <c r="Q178" s="286"/>
      <c r="R178" s="286"/>
      <c r="S178" s="286"/>
      <c r="T178" s="286"/>
      <c r="U178" s="286"/>
      <c r="V178" s="338">
        <f>V71</f>
        <v>827816</v>
      </c>
      <c r="W178" s="289"/>
      <c r="X178" s="5"/>
    </row>
    <row r="179" spans="1:24" ht="15.75" x14ac:dyDescent="0.25">
      <c r="A179" s="285"/>
      <c r="B179" s="286" t="s">
        <v>58</v>
      </c>
      <c r="C179" s="286"/>
      <c r="D179" s="286"/>
      <c r="E179" s="286"/>
      <c r="F179" s="286"/>
      <c r="G179" s="286"/>
      <c r="H179" s="286"/>
      <c r="I179" s="286"/>
      <c r="J179" s="286"/>
      <c r="K179" s="286"/>
      <c r="L179" s="286"/>
      <c r="M179" s="286"/>
      <c r="N179" s="286"/>
      <c r="O179" s="286"/>
      <c r="P179" s="286"/>
      <c r="Q179" s="286"/>
      <c r="R179" s="286"/>
      <c r="S179" s="286"/>
      <c r="T179" s="286"/>
      <c r="U179" s="286"/>
      <c r="V179" s="338">
        <f>V84</f>
        <v>827816</v>
      </c>
      <c r="W179" s="289"/>
      <c r="X179" s="5"/>
    </row>
    <row r="180" spans="1:24" ht="16.5" thickBot="1" x14ac:dyDescent="0.3">
      <c r="A180" s="181"/>
      <c r="B180" s="212"/>
      <c r="C180" s="212"/>
      <c r="D180" s="212"/>
      <c r="E180" s="212"/>
      <c r="F180" s="212"/>
      <c r="G180" s="212"/>
      <c r="H180" s="212"/>
      <c r="I180" s="212"/>
      <c r="J180" s="212"/>
      <c r="K180" s="212"/>
      <c r="L180" s="212"/>
      <c r="M180" s="212"/>
      <c r="N180" s="212"/>
      <c r="O180" s="212"/>
      <c r="P180" s="212"/>
      <c r="Q180" s="212"/>
      <c r="R180" s="212"/>
      <c r="S180" s="212"/>
      <c r="T180" s="212"/>
      <c r="U180" s="212"/>
      <c r="V180" s="344"/>
      <c r="W180" s="212"/>
      <c r="X180" s="5"/>
    </row>
    <row r="181" spans="1:24" ht="15.75" x14ac:dyDescent="0.25">
      <c r="A181" s="179"/>
      <c r="B181" s="180"/>
      <c r="C181" s="180"/>
      <c r="D181" s="180"/>
      <c r="E181" s="180"/>
      <c r="F181" s="180"/>
      <c r="G181" s="180"/>
      <c r="H181" s="180"/>
      <c r="I181" s="180"/>
      <c r="J181" s="180"/>
      <c r="K181" s="180"/>
      <c r="L181" s="180"/>
      <c r="M181" s="180"/>
      <c r="N181" s="180"/>
      <c r="O181" s="180"/>
      <c r="P181" s="180"/>
      <c r="Q181" s="180"/>
      <c r="R181" s="180"/>
      <c r="S181" s="180"/>
      <c r="T181" s="180"/>
      <c r="U181" s="180"/>
      <c r="V181" s="201"/>
      <c r="W181" s="180"/>
      <c r="X181" s="5"/>
    </row>
    <row r="182" spans="1:24" ht="15.75" x14ac:dyDescent="0.25">
      <c r="A182" s="181"/>
      <c r="B182" s="210" t="s">
        <v>59</v>
      </c>
      <c r="C182" s="206"/>
      <c r="D182" s="206"/>
      <c r="E182" s="206"/>
      <c r="F182" s="206"/>
      <c r="G182" s="206"/>
      <c r="H182" s="214"/>
      <c r="I182" s="214"/>
      <c r="J182" s="214"/>
      <c r="K182" s="214"/>
      <c r="L182" s="214"/>
      <c r="M182" s="214"/>
      <c r="N182" s="214"/>
      <c r="O182" s="214"/>
      <c r="P182" s="214"/>
      <c r="Q182" s="214"/>
      <c r="R182" s="214"/>
      <c r="S182" s="214" t="s">
        <v>101</v>
      </c>
      <c r="T182" s="214" t="s">
        <v>176</v>
      </c>
      <c r="U182" s="185"/>
      <c r="V182" s="215" t="s">
        <v>114</v>
      </c>
      <c r="W182" s="216"/>
      <c r="X182" s="5"/>
    </row>
    <row r="183" spans="1:24" ht="15.75" x14ac:dyDescent="0.25">
      <c r="A183" s="285"/>
      <c r="B183" s="286" t="s">
        <v>60</v>
      </c>
      <c r="C183" s="286"/>
      <c r="D183" s="286"/>
      <c r="E183" s="286"/>
      <c r="F183" s="286"/>
      <c r="G183" s="286"/>
      <c r="H183" s="286"/>
      <c r="I183" s="286"/>
      <c r="J183" s="286"/>
      <c r="K183" s="286"/>
      <c r="L183" s="286"/>
      <c r="M183" s="286"/>
      <c r="N183" s="286"/>
      <c r="O183" s="286"/>
      <c r="P183" s="286"/>
      <c r="Q183" s="286"/>
      <c r="R183" s="286"/>
      <c r="S183" s="338">
        <f>+V34*0.16</f>
        <v>160181.28</v>
      </c>
      <c r="T183" s="325"/>
      <c r="U183" s="286"/>
      <c r="V183" s="338"/>
      <c r="W183" s="289"/>
      <c r="X183" s="5"/>
    </row>
    <row r="184" spans="1:24" ht="15.75" x14ac:dyDescent="0.25">
      <c r="A184" s="285"/>
      <c r="B184" s="286" t="s">
        <v>61</v>
      </c>
      <c r="C184" s="286"/>
      <c r="D184" s="286"/>
      <c r="E184" s="286"/>
      <c r="F184" s="286"/>
      <c r="G184" s="286"/>
      <c r="H184" s="286"/>
      <c r="I184" s="286"/>
      <c r="J184" s="286"/>
      <c r="K184" s="286"/>
      <c r="L184" s="286"/>
      <c r="M184" s="286"/>
      <c r="N184" s="286"/>
      <c r="O184" s="286"/>
      <c r="P184" s="286"/>
      <c r="Q184" s="286"/>
      <c r="R184" s="286"/>
      <c r="S184" s="338">
        <f>+'Nov 11'!S186</f>
        <v>10717</v>
      </c>
      <c r="T184" s="338">
        <f>+'Nov 11'!T186</f>
        <v>6090</v>
      </c>
      <c r="U184" s="286"/>
      <c r="V184" s="338">
        <f>S184+T184</f>
        <v>16807</v>
      </c>
      <c r="W184" s="289"/>
      <c r="X184" s="5"/>
    </row>
    <row r="185" spans="1:24" ht="15.75" x14ac:dyDescent="0.25">
      <c r="A185" s="285"/>
      <c r="B185" s="286" t="s">
        <v>62</v>
      </c>
      <c r="C185" s="286"/>
      <c r="D185" s="286"/>
      <c r="E185" s="286"/>
      <c r="F185" s="286"/>
      <c r="G185" s="286"/>
      <c r="H185" s="286"/>
      <c r="I185" s="286"/>
      <c r="J185" s="286"/>
      <c r="K185" s="286"/>
      <c r="L185" s="286"/>
      <c r="M185" s="286"/>
      <c r="N185" s="286"/>
      <c r="O185" s="286"/>
      <c r="P185" s="286"/>
      <c r="Q185" s="286"/>
      <c r="R185" s="286"/>
      <c r="S185" s="337">
        <v>0</v>
      </c>
      <c r="T185" s="337">
        <v>0</v>
      </c>
      <c r="U185" s="286"/>
      <c r="V185" s="338">
        <f>S185+T185</f>
        <v>0</v>
      </c>
      <c r="W185" s="289"/>
      <c r="X185" s="5"/>
    </row>
    <row r="186" spans="1:24" ht="15.75" x14ac:dyDescent="0.25">
      <c r="A186" s="285"/>
      <c r="B186" s="286" t="s">
        <v>63</v>
      </c>
      <c r="C186" s="286"/>
      <c r="D186" s="286"/>
      <c r="E186" s="286"/>
      <c r="F186" s="286"/>
      <c r="G186" s="286"/>
      <c r="H186" s="286"/>
      <c r="I186" s="286"/>
      <c r="J186" s="286"/>
      <c r="K186" s="286"/>
      <c r="L186" s="286"/>
      <c r="M186" s="286"/>
      <c r="N186" s="286"/>
      <c r="O186" s="286"/>
      <c r="P186" s="286"/>
      <c r="Q186" s="286"/>
      <c r="R186" s="286"/>
      <c r="S186" s="338">
        <f>S184+S185</f>
        <v>10717</v>
      </c>
      <c r="T186" s="338">
        <f>T185+T184</f>
        <v>6090</v>
      </c>
      <c r="U186" s="286"/>
      <c r="V186" s="338">
        <f>S186+T186</f>
        <v>16807</v>
      </c>
      <c r="W186" s="289"/>
      <c r="X186" s="5"/>
    </row>
    <row r="187" spans="1:24" ht="15.75" x14ac:dyDescent="0.25">
      <c r="A187" s="285"/>
      <c r="B187" s="286" t="s">
        <v>64</v>
      </c>
      <c r="C187" s="286"/>
      <c r="D187" s="286"/>
      <c r="E187" s="286"/>
      <c r="F187" s="286"/>
      <c r="G187" s="286"/>
      <c r="H187" s="286"/>
      <c r="I187" s="286"/>
      <c r="J187" s="286"/>
      <c r="K187" s="286"/>
      <c r="L187" s="286"/>
      <c r="M187" s="286"/>
      <c r="N187" s="286"/>
      <c r="O187" s="286"/>
      <c r="P187" s="286"/>
      <c r="Q187" s="286"/>
      <c r="R187" s="286"/>
      <c r="S187" s="338">
        <f>S183-S186-T186</f>
        <v>143374.28</v>
      </c>
      <c r="T187" s="325"/>
      <c r="U187" s="286"/>
      <c r="V187" s="338"/>
      <c r="W187" s="289"/>
      <c r="X187" s="5"/>
    </row>
    <row r="188" spans="1:24" ht="16.5" thickBot="1" x14ac:dyDescent="0.3">
      <c r="A188" s="181"/>
      <c r="B188" s="212"/>
      <c r="C188" s="212"/>
      <c r="D188" s="212"/>
      <c r="E188" s="212"/>
      <c r="F188" s="212"/>
      <c r="G188" s="212"/>
      <c r="H188" s="212"/>
      <c r="I188" s="212"/>
      <c r="J188" s="212"/>
      <c r="K188" s="212"/>
      <c r="L188" s="212"/>
      <c r="M188" s="212"/>
      <c r="N188" s="212"/>
      <c r="O188" s="212"/>
      <c r="P188" s="212"/>
      <c r="Q188" s="212"/>
      <c r="R188" s="212"/>
      <c r="S188" s="212"/>
      <c r="T188" s="212"/>
      <c r="U188" s="212"/>
      <c r="V188" s="344"/>
      <c r="W188" s="212"/>
      <c r="X188" s="5"/>
    </row>
    <row r="189" spans="1:24" ht="15.75" x14ac:dyDescent="0.25">
      <c r="A189" s="179"/>
      <c r="B189" s="180"/>
      <c r="C189" s="180"/>
      <c r="D189" s="180"/>
      <c r="E189" s="180"/>
      <c r="F189" s="180"/>
      <c r="G189" s="180"/>
      <c r="H189" s="180"/>
      <c r="I189" s="180"/>
      <c r="J189" s="180"/>
      <c r="K189" s="180"/>
      <c r="L189" s="180"/>
      <c r="M189" s="180"/>
      <c r="N189" s="180"/>
      <c r="O189" s="180"/>
      <c r="P189" s="180"/>
      <c r="Q189" s="180"/>
      <c r="R189" s="180"/>
      <c r="S189" s="180"/>
      <c r="T189" s="180"/>
      <c r="U189" s="180"/>
      <c r="V189" s="201"/>
      <c r="W189" s="180"/>
      <c r="X189" s="5"/>
    </row>
    <row r="190" spans="1:24" ht="15.75" x14ac:dyDescent="0.25">
      <c r="A190" s="181"/>
      <c r="B190" s="210" t="s">
        <v>65</v>
      </c>
      <c r="C190" s="183"/>
      <c r="D190" s="183"/>
      <c r="E190" s="183"/>
      <c r="F190" s="183"/>
      <c r="G190" s="183"/>
      <c r="H190" s="183"/>
      <c r="I190" s="183"/>
      <c r="J190" s="183"/>
      <c r="K190" s="183"/>
      <c r="L190" s="183"/>
      <c r="M190" s="183"/>
      <c r="N190" s="183"/>
      <c r="O190" s="183"/>
      <c r="P190" s="183"/>
      <c r="Q190" s="183"/>
      <c r="R190" s="183"/>
      <c r="S190" s="183"/>
      <c r="T190" s="183"/>
      <c r="U190" s="183"/>
      <c r="V190" s="217"/>
      <c r="W190" s="183"/>
      <c r="X190" s="5"/>
    </row>
    <row r="191" spans="1:24" ht="15.75" x14ac:dyDescent="0.25">
      <c r="A191" s="285"/>
      <c r="B191" s="286" t="s">
        <v>66</v>
      </c>
      <c r="C191" s="286"/>
      <c r="D191" s="286"/>
      <c r="E191" s="286"/>
      <c r="F191" s="286"/>
      <c r="G191" s="286"/>
      <c r="H191" s="286"/>
      <c r="I191" s="286"/>
      <c r="J191" s="286"/>
      <c r="K191" s="286"/>
      <c r="L191" s="286"/>
      <c r="M191" s="286"/>
      <c r="N191" s="286"/>
      <c r="O191" s="286"/>
      <c r="P191" s="286"/>
      <c r="Q191" s="286"/>
      <c r="R191" s="286"/>
      <c r="S191" s="286"/>
      <c r="T191" s="286"/>
      <c r="U191" s="286"/>
      <c r="V191" s="343">
        <f>(V101+V103+V104+V105+V106)/-(V107+V108)</f>
        <v>2.5649576903932303</v>
      </c>
      <c r="W191" s="289" t="s">
        <v>115</v>
      </c>
      <c r="X191" s="5"/>
    </row>
    <row r="192" spans="1:24" ht="15.75" x14ac:dyDescent="0.25">
      <c r="A192" s="285"/>
      <c r="B192" s="286" t="s">
        <v>67</v>
      </c>
      <c r="C192" s="286"/>
      <c r="D192" s="286"/>
      <c r="E192" s="286"/>
      <c r="F192" s="286"/>
      <c r="G192" s="286"/>
      <c r="H192" s="286"/>
      <c r="I192" s="286"/>
      <c r="J192" s="286"/>
      <c r="K192" s="286"/>
      <c r="L192" s="286"/>
      <c r="M192" s="286"/>
      <c r="N192" s="286"/>
      <c r="O192" s="286"/>
      <c r="P192" s="286"/>
      <c r="Q192" s="286"/>
      <c r="R192" s="286"/>
      <c r="S192" s="286"/>
      <c r="T192" s="286"/>
      <c r="U192" s="286"/>
      <c r="V192" s="347">
        <v>1.72</v>
      </c>
      <c r="W192" s="289" t="s">
        <v>115</v>
      </c>
      <c r="X192" s="5"/>
    </row>
    <row r="193" spans="1:24" ht="15.75" x14ac:dyDescent="0.25">
      <c r="A193" s="285"/>
      <c r="B193" s="286" t="s">
        <v>68</v>
      </c>
      <c r="C193" s="286"/>
      <c r="D193" s="286"/>
      <c r="E193" s="286"/>
      <c r="F193" s="286"/>
      <c r="G193" s="286"/>
      <c r="H193" s="286"/>
      <c r="I193" s="286"/>
      <c r="J193" s="286"/>
      <c r="K193" s="286"/>
      <c r="L193" s="286"/>
      <c r="M193" s="286"/>
      <c r="N193" s="286"/>
      <c r="O193" s="286"/>
      <c r="P193" s="286"/>
      <c r="Q193" s="286"/>
      <c r="R193" s="286"/>
      <c r="S193" s="286"/>
      <c r="T193" s="286"/>
      <c r="U193" s="286"/>
      <c r="V193" s="343">
        <f>(V101+V103+V104+V105+V106+V107+V108)/-(V109+V110)</f>
        <v>12.377952755905511</v>
      </c>
      <c r="W193" s="289" t="s">
        <v>115</v>
      </c>
      <c r="X193" s="5"/>
    </row>
    <row r="194" spans="1:24" ht="15.75" x14ac:dyDescent="0.25">
      <c r="A194" s="285"/>
      <c r="B194" s="286" t="s">
        <v>69</v>
      </c>
      <c r="C194" s="286"/>
      <c r="D194" s="286"/>
      <c r="E194" s="286"/>
      <c r="F194" s="286"/>
      <c r="G194" s="286"/>
      <c r="H194" s="286"/>
      <c r="I194" s="286"/>
      <c r="J194" s="286"/>
      <c r="K194" s="286"/>
      <c r="L194" s="286"/>
      <c r="M194" s="286"/>
      <c r="N194" s="286"/>
      <c r="O194" s="286"/>
      <c r="P194" s="286"/>
      <c r="Q194" s="286"/>
      <c r="R194" s="286"/>
      <c r="S194" s="286"/>
      <c r="T194" s="286"/>
      <c r="U194" s="286"/>
      <c r="V194" s="347">
        <v>7.15</v>
      </c>
      <c r="W194" s="289" t="s">
        <v>115</v>
      </c>
      <c r="X194" s="5"/>
    </row>
    <row r="195" spans="1:24" ht="15.75" x14ac:dyDescent="0.25">
      <c r="A195" s="285"/>
      <c r="B195" s="286" t="s">
        <v>198</v>
      </c>
      <c r="C195" s="286"/>
      <c r="D195" s="286"/>
      <c r="E195" s="286"/>
      <c r="F195" s="286"/>
      <c r="G195" s="286"/>
      <c r="H195" s="286"/>
      <c r="I195" s="286"/>
      <c r="J195" s="286"/>
      <c r="K195" s="286"/>
      <c r="L195" s="286"/>
      <c r="M195" s="286"/>
      <c r="N195" s="286"/>
      <c r="O195" s="286"/>
      <c r="P195" s="286"/>
      <c r="Q195" s="286"/>
      <c r="R195" s="286"/>
      <c r="S195" s="286"/>
      <c r="T195" s="286"/>
      <c r="U195" s="286"/>
      <c r="V195" s="343">
        <f>(V101+V103+V104+V105+V106+V107+V108+V109+V110)/-(V111)</f>
        <v>9.2332268370607036</v>
      </c>
      <c r="W195" s="289" t="s">
        <v>115</v>
      </c>
      <c r="X195" s="5"/>
    </row>
    <row r="196" spans="1:24" ht="15.75" x14ac:dyDescent="0.25">
      <c r="A196" s="285"/>
      <c r="B196" s="286" t="s">
        <v>199</v>
      </c>
      <c r="C196" s="286"/>
      <c r="D196" s="286"/>
      <c r="E196" s="286"/>
      <c r="F196" s="286"/>
      <c r="G196" s="286"/>
      <c r="H196" s="286"/>
      <c r="I196" s="286"/>
      <c r="J196" s="286"/>
      <c r="K196" s="286"/>
      <c r="L196" s="286"/>
      <c r="M196" s="286"/>
      <c r="N196" s="286"/>
      <c r="O196" s="286"/>
      <c r="P196" s="286"/>
      <c r="Q196" s="286"/>
      <c r="R196" s="286"/>
      <c r="S196" s="286"/>
      <c r="T196" s="286"/>
      <c r="U196" s="286"/>
      <c r="V196" s="347">
        <v>5.54</v>
      </c>
      <c r="W196" s="289" t="s">
        <v>115</v>
      </c>
      <c r="X196" s="5"/>
    </row>
    <row r="197" spans="1:24" ht="15.75" x14ac:dyDescent="0.25">
      <c r="A197" s="285"/>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9"/>
      <c r="X197" s="5"/>
    </row>
    <row r="198" spans="1:24" ht="15.75" x14ac:dyDescent="0.25">
      <c r="A198" s="181"/>
      <c r="B198" s="346"/>
      <c r="C198" s="346"/>
      <c r="D198" s="346"/>
      <c r="E198" s="346"/>
      <c r="F198" s="346"/>
      <c r="G198" s="346"/>
      <c r="H198" s="346"/>
      <c r="I198" s="346"/>
      <c r="J198" s="346"/>
      <c r="K198" s="346"/>
      <c r="L198" s="346"/>
      <c r="M198" s="346"/>
      <c r="N198" s="346"/>
      <c r="O198" s="346"/>
      <c r="P198" s="346"/>
      <c r="Q198" s="346"/>
      <c r="R198" s="346"/>
      <c r="S198" s="346"/>
      <c r="T198" s="346"/>
      <c r="U198" s="346"/>
      <c r="V198" s="346"/>
      <c r="W198" s="346"/>
      <c r="X198" s="5"/>
    </row>
    <row r="199" spans="1:24" ht="15.75" x14ac:dyDescent="0.25">
      <c r="A199" s="181"/>
      <c r="B199" s="255"/>
      <c r="C199" s="255"/>
      <c r="D199" s="255"/>
      <c r="E199" s="255"/>
      <c r="F199" s="255"/>
      <c r="G199" s="255"/>
      <c r="H199" s="255"/>
      <c r="I199" s="255"/>
      <c r="J199" s="255"/>
      <c r="K199" s="255"/>
      <c r="L199" s="255"/>
      <c r="M199" s="255"/>
      <c r="N199" s="255"/>
      <c r="O199" s="255"/>
      <c r="P199" s="255"/>
      <c r="Q199" s="255"/>
      <c r="R199" s="255"/>
      <c r="S199" s="255"/>
      <c r="T199" s="255"/>
      <c r="U199" s="255"/>
      <c r="V199" s="255"/>
      <c r="W199" s="255"/>
      <c r="X199" s="5"/>
    </row>
    <row r="200" spans="1:24" ht="19.5" thickBot="1" x14ac:dyDescent="0.35">
      <c r="A200" s="197"/>
      <c r="B200" s="270" t="str">
        <f>B134</f>
        <v>PM15 INVESTOR REPORT QUARTER ENDING FEBRUARY 2012</v>
      </c>
      <c r="C200" s="271"/>
      <c r="D200" s="271"/>
      <c r="E200" s="271"/>
      <c r="F200" s="271"/>
      <c r="G200" s="271"/>
      <c r="H200" s="271"/>
      <c r="I200" s="271"/>
      <c r="J200" s="271"/>
      <c r="K200" s="271"/>
      <c r="L200" s="271"/>
      <c r="M200" s="271"/>
      <c r="N200" s="271"/>
      <c r="O200" s="271"/>
      <c r="P200" s="271"/>
      <c r="Q200" s="271"/>
      <c r="R200" s="271"/>
      <c r="S200" s="271"/>
      <c r="T200" s="271"/>
      <c r="U200" s="271"/>
      <c r="V200" s="271"/>
      <c r="W200" s="272"/>
      <c r="X200" s="5"/>
    </row>
    <row r="201" spans="1:24" ht="15.75" x14ac:dyDescent="0.25">
      <c r="A201" s="236"/>
      <c r="B201" s="403" t="s">
        <v>70</v>
      </c>
      <c r="C201" s="404"/>
      <c r="D201" s="404"/>
      <c r="E201" s="404"/>
      <c r="F201" s="404"/>
      <c r="G201" s="405"/>
      <c r="H201" s="405"/>
      <c r="I201" s="405"/>
      <c r="J201" s="405"/>
      <c r="K201" s="405"/>
      <c r="L201" s="405"/>
      <c r="M201" s="405"/>
      <c r="N201" s="405"/>
      <c r="O201" s="405"/>
      <c r="P201" s="405"/>
      <c r="Q201" s="405"/>
      <c r="R201" s="405"/>
      <c r="S201" s="405"/>
      <c r="T201" s="405">
        <v>40968</v>
      </c>
      <c r="U201" s="238"/>
      <c r="V201" s="238"/>
      <c r="W201" s="238"/>
      <c r="X201" s="5"/>
    </row>
    <row r="202" spans="1:24" ht="15.75" x14ac:dyDescent="0.25">
      <c r="A202" s="218"/>
      <c r="B202" s="219"/>
      <c r="C202" s="220"/>
      <c r="D202" s="220"/>
      <c r="E202" s="220"/>
      <c r="F202" s="220"/>
      <c r="G202" s="221"/>
      <c r="H202" s="221"/>
      <c r="I202" s="221"/>
      <c r="J202" s="221"/>
      <c r="K202" s="221"/>
      <c r="L202" s="221"/>
      <c r="M202" s="221"/>
      <c r="N202" s="221"/>
      <c r="O202" s="221"/>
      <c r="P202" s="221"/>
      <c r="Q202" s="221"/>
      <c r="R202" s="221"/>
      <c r="S202" s="221"/>
      <c r="T202" s="221"/>
      <c r="U202" s="183"/>
      <c r="V202" s="183"/>
      <c r="W202" s="183"/>
      <c r="X202" s="5"/>
    </row>
    <row r="203" spans="1:24" ht="15.75" x14ac:dyDescent="0.25">
      <c r="A203" s="350"/>
      <c r="B203" s="286" t="s">
        <v>71</v>
      </c>
      <c r="C203" s="406"/>
      <c r="D203" s="406"/>
      <c r="E203" s="406"/>
      <c r="F203" s="406"/>
      <c r="G203" s="397"/>
      <c r="H203" s="397"/>
      <c r="I203" s="397"/>
      <c r="J203" s="397"/>
      <c r="K203" s="397"/>
      <c r="L203" s="397"/>
      <c r="M203" s="397"/>
      <c r="N203" s="397"/>
      <c r="O203" s="397"/>
      <c r="P203" s="397"/>
      <c r="Q203" s="397"/>
      <c r="R203" s="397"/>
      <c r="S203" s="397"/>
      <c r="T203" s="321">
        <v>5.3830000000000003E-2</v>
      </c>
      <c r="U203" s="286"/>
      <c r="V203" s="286"/>
      <c r="W203" s="289"/>
      <c r="X203" s="5"/>
    </row>
    <row r="204" spans="1:24" ht="15.75" x14ac:dyDescent="0.25">
      <c r="A204" s="350"/>
      <c r="B204" s="286" t="s">
        <v>151</v>
      </c>
      <c r="C204" s="406"/>
      <c r="D204" s="406"/>
      <c r="E204" s="406"/>
      <c r="F204" s="406"/>
      <c r="G204" s="397"/>
      <c r="H204" s="397"/>
      <c r="I204" s="397"/>
      <c r="J204" s="397"/>
      <c r="K204" s="397"/>
      <c r="L204" s="397"/>
      <c r="M204" s="397"/>
      <c r="N204" s="397"/>
      <c r="O204" s="397"/>
      <c r="P204" s="397"/>
      <c r="Q204" s="397"/>
      <c r="R204" s="397"/>
      <c r="S204" s="397"/>
      <c r="T204" s="321">
        <v>6.25E-2</v>
      </c>
      <c r="U204" s="286"/>
      <c r="V204" s="286"/>
      <c r="W204" s="289"/>
      <c r="X204" s="5"/>
    </row>
    <row r="205" spans="1:24" ht="15.75" x14ac:dyDescent="0.25">
      <c r="A205" s="350"/>
      <c r="B205" s="286" t="s">
        <v>72</v>
      </c>
      <c r="C205" s="406"/>
      <c r="D205" s="406"/>
      <c r="E205" s="406"/>
      <c r="F205" s="406"/>
      <c r="G205" s="397"/>
      <c r="H205" s="397"/>
      <c r="I205" s="397"/>
      <c r="J205" s="397"/>
      <c r="K205" s="397"/>
      <c r="L205" s="397"/>
      <c r="M205" s="397"/>
      <c r="N205" s="397"/>
      <c r="O205" s="397"/>
      <c r="P205" s="397"/>
      <c r="Q205" s="397"/>
      <c r="R205" s="397"/>
      <c r="S205" s="397"/>
      <c r="T205" s="321">
        <f>T203-T204</f>
        <v>-8.6699999999999972E-3</v>
      </c>
      <c r="U205" s="286"/>
      <c r="V205" s="286"/>
      <c r="W205" s="289"/>
      <c r="X205" s="5"/>
    </row>
    <row r="206" spans="1:24" ht="15.75" x14ac:dyDescent="0.25">
      <c r="A206" s="350"/>
      <c r="B206" s="286" t="s">
        <v>73</v>
      </c>
      <c r="C206" s="406"/>
      <c r="D206" s="406"/>
      <c r="E206" s="406"/>
      <c r="F206" s="406"/>
      <c r="G206" s="397"/>
      <c r="H206" s="397"/>
      <c r="I206" s="397"/>
      <c r="J206" s="397"/>
      <c r="K206" s="397"/>
      <c r="L206" s="397"/>
      <c r="M206" s="397"/>
      <c r="N206" s="397"/>
      <c r="O206" s="397"/>
      <c r="P206" s="397"/>
      <c r="Q206" s="397"/>
      <c r="R206" s="397"/>
      <c r="S206" s="397"/>
      <c r="T206" s="321">
        <v>2.92E-2</v>
      </c>
      <c r="U206" s="286"/>
      <c r="V206" s="286"/>
      <c r="W206" s="289"/>
      <c r="X206" s="5"/>
    </row>
    <row r="207" spans="1:24" ht="15.75" x14ac:dyDescent="0.25">
      <c r="A207" s="350"/>
      <c r="B207" s="286" t="s">
        <v>218</v>
      </c>
      <c r="C207" s="406"/>
      <c r="D207" s="406"/>
      <c r="E207" s="406"/>
      <c r="F207" s="406"/>
      <c r="G207" s="397"/>
      <c r="H207" s="397"/>
      <c r="I207" s="397"/>
      <c r="J207" s="397"/>
      <c r="K207" s="397"/>
      <c r="L207" s="397"/>
      <c r="M207" s="397"/>
      <c r="N207" s="397"/>
      <c r="O207" s="397"/>
      <c r="P207" s="397"/>
      <c r="Q207" s="397"/>
      <c r="R207" s="397"/>
      <c r="S207" s="397"/>
      <c r="T207" s="321">
        <f>V43</f>
        <v>1.2414698370886549E-2</v>
      </c>
      <c r="U207" s="286"/>
      <c r="V207" s="286"/>
      <c r="W207" s="289"/>
      <c r="X207" s="5"/>
    </row>
    <row r="208" spans="1:24" ht="15.75" x14ac:dyDescent="0.25">
      <c r="A208" s="350"/>
      <c r="B208" s="286" t="s">
        <v>74</v>
      </c>
      <c r="C208" s="406"/>
      <c r="D208" s="406"/>
      <c r="E208" s="406"/>
      <c r="F208" s="406"/>
      <c r="G208" s="397"/>
      <c r="H208" s="397"/>
      <c r="I208" s="397"/>
      <c r="J208" s="397"/>
      <c r="K208" s="397"/>
      <c r="L208" s="397"/>
      <c r="M208" s="397"/>
      <c r="N208" s="397"/>
      <c r="O208" s="397"/>
      <c r="P208" s="397"/>
      <c r="Q208" s="397"/>
      <c r="R208" s="397"/>
      <c r="S208" s="397"/>
      <c r="T208" s="321">
        <f>T206-T207</f>
        <v>1.6785301629113451E-2</v>
      </c>
      <c r="U208" s="286"/>
      <c r="V208" s="286"/>
      <c r="W208" s="289"/>
      <c r="X208" s="5"/>
    </row>
    <row r="209" spans="1:24" ht="15.75" x14ac:dyDescent="0.25">
      <c r="A209" s="350"/>
      <c r="B209" s="286" t="s">
        <v>227</v>
      </c>
      <c r="C209" s="406"/>
      <c r="D209" s="406"/>
      <c r="E209" s="406"/>
      <c r="F209" s="406"/>
      <c r="G209" s="397"/>
      <c r="H209" s="397"/>
      <c r="I209" s="397"/>
      <c r="J209" s="397"/>
      <c r="K209" s="397"/>
      <c r="L209" s="397"/>
      <c r="M209" s="397"/>
      <c r="N209" s="397"/>
      <c r="O209" s="397"/>
      <c r="P209" s="397"/>
      <c r="Q209" s="397"/>
      <c r="R209" s="397"/>
      <c r="S209" s="397"/>
      <c r="T209" s="321">
        <f>V101/N71</f>
        <v>6.9251661619443797E-3</v>
      </c>
      <c r="U209" s="286"/>
      <c r="V209" s="286"/>
      <c r="W209" s="289"/>
      <c r="X209" s="5"/>
    </row>
    <row r="210" spans="1:24" ht="15.75" x14ac:dyDescent="0.25">
      <c r="A210" s="350"/>
      <c r="B210" s="286" t="s">
        <v>207</v>
      </c>
      <c r="C210" s="406"/>
      <c r="D210" s="406"/>
      <c r="E210" s="406"/>
      <c r="F210" s="406"/>
      <c r="G210" s="397"/>
      <c r="H210" s="397"/>
      <c r="I210" s="397"/>
      <c r="J210" s="397"/>
      <c r="K210" s="397"/>
      <c r="L210" s="397"/>
      <c r="M210" s="397"/>
      <c r="N210" s="397"/>
      <c r="O210" s="397"/>
      <c r="P210" s="397"/>
      <c r="Q210" s="397"/>
      <c r="R210" s="397"/>
      <c r="S210" s="397"/>
      <c r="T210" s="352">
        <v>51105</v>
      </c>
      <c r="U210" s="286"/>
      <c r="V210" s="286"/>
      <c r="W210" s="289"/>
      <c r="X210" s="5"/>
    </row>
    <row r="211" spans="1:24" ht="15.75" x14ac:dyDescent="0.25">
      <c r="A211" s="350"/>
      <c r="B211" s="286" t="s">
        <v>208</v>
      </c>
      <c r="C211" s="406"/>
      <c r="D211" s="406"/>
      <c r="E211" s="406"/>
      <c r="F211" s="406"/>
      <c r="G211" s="397"/>
      <c r="H211" s="397"/>
      <c r="I211" s="397"/>
      <c r="J211" s="397"/>
      <c r="K211" s="397"/>
      <c r="L211" s="397"/>
      <c r="M211" s="397"/>
      <c r="N211" s="397"/>
      <c r="O211" s="397"/>
      <c r="P211" s="397"/>
      <c r="Q211" s="397"/>
      <c r="R211" s="397"/>
      <c r="S211" s="397"/>
      <c r="T211" s="352">
        <v>51105</v>
      </c>
      <c r="U211" s="286"/>
      <c r="V211" s="286"/>
      <c r="W211" s="289"/>
      <c r="X211" s="5"/>
    </row>
    <row r="212" spans="1:24" ht="15.75" x14ac:dyDescent="0.25">
      <c r="A212" s="350"/>
      <c r="B212" s="286" t="s">
        <v>209</v>
      </c>
      <c r="C212" s="406"/>
      <c r="D212" s="406"/>
      <c r="E212" s="406"/>
      <c r="F212" s="406"/>
      <c r="G212" s="397"/>
      <c r="H212" s="397"/>
      <c r="I212" s="397"/>
      <c r="J212" s="397"/>
      <c r="K212" s="397"/>
      <c r="L212" s="397"/>
      <c r="M212" s="397"/>
      <c r="N212" s="397"/>
      <c r="O212" s="397"/>
      <c r="P212" s="397"/>
      <c r="Q212" s="397"/>
      <c r="R212" s="397"/>
      <c r="S212" s="397"/>
      <c r="T212" s="352">
        <v>51105</v>
      </c>
      <c r="U212" s="286"/>
      <c r="V212" s="286"/>
      <c r="W212" s="289"/>
      <c r="X212" s="5"/>
    </row>
    <row r="213" spans="1:24" ht="15.75" x14ac:dyDescent="0.25">
      <c r="A213" s="350"/>
      <c r="B213" s="286" t="s">
        <v>75</v>
      </c>
      <c r="C213" s="406"/>
      <c r="D213" s="406"/>
      <c r="E213" s="406"/>
      <c r="F213" s="406"/>
      <c r="G213" s="397"/>
      <c r="H213" s="397"/>
      <c r="I213" s="397"/>
      <c r="J213" s="397"/>
      <c r="K213" s="397"/>
      <c r="L213" s="397"/>
      <c r="M213" s="397"/>
      <c r="N213" s="397"/>
      <c r="O213" s="397"/>
      <c r="P213" s="397"/>
      <c r="Q213" s="397"/>
      <c r="R213" s="397"/>
      <c r="S213" s="397"/>
      <c r="T213" s="327">
        <v>21.06</v>
      </c>
      <c r="U213" s="286" t="s">
        <v>110</v>
      </c>
      <c r="V213" s="286"/>
      <c r="W213" s="289"/>
      <c r="X213" s="5"/>
    </row>
    <row r="214" spans="1:24" ht="15.75" x14ac:dyDescent="0.25">
      <c r="A214" s="350"/>
      <c r="B214" s="286" t="s">
        <v>76</v>
      </c>
      <c r="C214" s="406"/>
      <c r="D214" s="406"/>
      <c r="E214" s="406"/>
      <c r="F214" s="406"/>
      <c r="G214" s="397"/>
      <c r="H214" s="397"/>
      <c r="I214" s="397"/>
      <c r="J214" s="397"/>
      <c r="K214" s="397"/>
      <c r="L214" s="397"/>
      <c r="M214" s="397"/>
      <c r="N214" s="397"/>
      <c r="O214" s="397"/>
      <c r="P214" s="397"/>
      <c r="Q214" s="397"/>
      <c r="R214" s="397"/>
      <c r="S214" s="397"/>
      <c r="T214" s="327">
        <v>16.59</v>
      </c>
      <c r="U214" s="286" t="s">
        <v>110</v>
      </c>
      <c r="V214" s="286"/>
      <c r="W214" s="289"/>
      <c r="X214" s="5"/>
    </row>
    <row r="215" spans="1:24" ht="15.75" x14ac:dyDescent="0.25">
      <c r="A215" s="350"/>
      <c r="B215" s="286" t="s">
        <v>77</v>
      </c>
      <c r="C215" s="406"/>
      <c r="D215" s="406"/>
      <c r="E215" s="406"/>
      <c r="F215" s="406"/>
      <c r="G215" s="397"/>
      <c r="H215" s="397"/>
      <c r="I215" s="397"/>
      <c r="J215" s="397"/>
      <c r="K215" s="397"/>
      <c r="L215" s="397"/>
      <c r="M215" s="397"/>
      <c r="N215" s="397"/>
      <c r="O215" s="397"/>
      <c r="P215" s="397"/>
      <c r="Q215" s="397"/>
      <c r="R215" s="397"/>
      <c r="S215" s="397"/>
      <c r="T215" s="321">
        <f>+P68/N68</f>
        <v>5.5917863805465895E-3</v>
      </c>
      <c r="U215" s="286"/>
      <c r="V215" s="286"/>
      <c r="W215" s="289"/>
      <c r="X215" s="5"/>
    </row>
    <row r="216" spans="1:24" ht="15.75" x14ac:dyDescent="0.25">
      <c r="A216" s="350"/>
      <c r="B216" s="286" t="s">
        <v>78</v>
      </c>
      <c r="C216" s="406"/>
      <c r="D216" s="406"/>
      <c r="E216" s="406"/>
      <c r="F216" s="406"/>
      <c r="G216" s="397"/>
      <c r="H216" s="397"/>
      <c r="I216" s="397"/>
      <c r="J216" s="397"/>
      <c r="K216" s="397"/>
      <c r="L216" s="397"/>
      <c r="M216" s="397"/>
      <c r="N216" s="397"/>
      <c r="O216" s="397"/>
      <c r="P216" s="397"/>
      <c r="Q216" s="397"/>
      <c r="R216" s="397"/>
      <c r="S216" s="397"/>
      <c r="T216" s="321">
        <v>4.2999999999999997E-2</v>
      </c>
      <c r="U216" s="286"/>
      <c r="V216" s="286"/>
      <c r="W216" s="289"/>
      <c r="X216" s="5"/>
    </row>
    <row r="217" spans="1:24" ht="15.75" x14ac:dyDescent="0.25">
      <c r="A217" s="218"/>
      <c r="B217" s="348"/>
      <c r="C217" s="348"/>
      <c r="D217" s="348"/>
      <c r="E217" s="348"/>
      <c r="F217" s="348"/>
      <c r="G217" s="212"/>
      <c r="H217" s="212"/>
      <c r="I217" s="212"/>
      <c r="J217" s="212"/>
      <c r="K217" s="212"/>
      <c r="L217" s="212"/>
      <c r="M217" s="212"/>
      <c r="N217" s="212"/>
      <c r="O217" s="212"/>
      <c r="P217" s="212"/>
      <c r="Q217" s="212"/>
      <c r="R217" s="212"/>
      <c r="S217" s="212"/>
      <c r="T217" s="344"/>
      <c r="U217" s="212"/>
      <c r="V217" s="349"/>
      <c r="W217" s="212"/>
      <c r="X217" s="5"/>
    </row>
    <row r="218" spans="1:24" ht="15.75" x14ac:dyDescent="0.25">
      <c r="A218" s="242"/>
      <c r="B218" s="399" t="s">
        <v>79</v>
      </c>
      <c r="C218" s="400"/>
      <c r="D218" s="400"/>
      <c r="E218" s="400"/>
      <c r="F218" s="407"/>
      <c r="G218" s="400"/>
      <c r="H218" s="400"/>
      <c r="I218" s="400"/>
      <c r="J218" s="400"/>
      <c r="K218" s="400"/>
      <c r="L218" s="400"/>
      <c r="M218" s="400"/>
      <c r="N218" s="400"/>
      <c r="O218" s="400"/>
      <c r="P218" s="400"/>
      <c r="Q218" s="400"/>
      <c r="R218" s="400"/>
      <c r="S218" s="400" t="s">
        <v>102</v>
      </c>
      <c r="T218" s="407" t="s">
        <v>108</v>
      </c>
      <c r="U218" s="225"/>
      <c r="V218" s="225"/>
      <c r="W218" s="225"/>
      <c r="X218" s="5"/>
    </row>
    <row r="219" spans="1:24" ht="15.75" x14ac:dyDescent="0.25">
      <c r="A219" s="222"/>
      <c r="B219" s="250" t="s">
        <v>80</v>
      </c>
      <c r="C219" s="249"/>
      <c r="D219" s="249"/>
      <c r="E219" s="249"/>
      <c r="F219" s="250"/>
      <c r="G219" s="250"/>
      <c r="H219" s="268"/>
      <c r="I219" s="268"/>
      <c r="J219" s="268"/>
      <c r="K219" s="268"/>
      <c r="L219" s="268"/>
      <c r="M219" s="268"/>
      <c r="N219" s="268"/>
      <c r="O219" s="268"/>
      <c r="P219" s="268"/>
      <c r="Q219" s="268"/>
      <c r="R219" s="268"/>
      <c r="S219" s="268">
        <v>5</v>
      </c>
      <c r="T219" s="269">
        <v>720</v>
      </c>
      <c r="U219" s="250"/>
      <c r="V219" s="266"/>
      <c r="W219" s="223"/>
      <c r="X219" s="5"/>
    </row>
    <row r="220" spans="1:24" ht="15.75" x14ac:dyDescent="0.25">
      <c r="A220" s="358"/>
      <c r="B220" s="286" t="s">
        <v>145</v>
      </c>
      <c r="C220" s="337"/>
      <c r="D220" s="337"/>
      <c r="E220" s="337"/>
      <c r="F220" s="286"/>
      <c r="G220" s="286"/>
      <c r="H220" s="296"/>
      <c r="I220" s="296"/>
      <c r="J220" s="296"/>
      <c r="K220" s="296"/>
      <c r="L220" s="296"/>
      <c r="M220" s="296"/>
      <c r="N220" s="296"/>
      <c r="O220" s="296"/>
      <c r="P220" s="296"/>
      <c r="Q220" s="296"/>
      <c r="R220" s="296"/>
      <c r="S220" s="359">
        <f>+R272</f>
        <v>139</v>
      </c>
      <c r="T220" s="360">
        <f>+T272</f>
        <v>21853</v>
      </c>
      <c r="U220" s="286"/>
      <c r="V220" s="361"/>
      <c r="W220" s="362"/>
      <c r="X220" s="5"/>
    </row>
    <row r="221" spans="1:24" ht="15.75" x14ac:dyDescent="0.25">
      <c r="A221" s="358"/>
      <c r="B221" s="286" t="s">
        <v>81</v>
      </c>
      <c r="C221" s="337"/>
      <c r="D221" s="337"/>
      <c r="E221" s="337"/>
      <c r="F221" s="286"/>
      <c r="G221" s="286"/>
      <c r="H221" s="296"/>
      <c r="I221" s="296"/>
      <c r="J221" s="296"/>
      <c r="K221" s="296"/>
      <c r="L221" s="296"/>
      <c r="M221" s="296"/>
      <c r="N221" s="296"/>
      <c r="O221" s="296"/>
      <c r="P221" s="296"/>
      <c r="Q221" s="296"/>
      <c r="R221" s="296"/>
      <c r="S221" s="359">
        <v>0</v>
      </c>
      <c r="T221" s="360">
        <v>0</v>
      </c>
      <c r="U221" s="286"/>
      <c r="V221" s="361"/>
      <c r="W221" s="362"/>
      <c r="X221" s="5"/>
    </row>
    <row r="222" spans="1:24" ht="15.75" x14ac:dyDescent="0.25">
      <c r="A222" s="358"/>
      <c r="B222" s="313" t="s">
        <v>82</v>
      </c>
      <c r="C222" s="363"/>
      <c r="D222" s="363"/>
      <c r="E222" s="363"/>
      <c r="F222" s="314"/>
      <c r="G222" s="314"/>
      <c r="H222" s="314"/>
      <c r="I222" s="314"/>
      <c r="J222" s="314"/>
      <c r="K222" s="314"/>
      <c r="L222" s="314"/>
      <c r="M222" s="314"/>
      <c r="N222" s="314"/>
      <c r="O222" s="314"/>
      <c r="P222" s="314"/>
      <c r="Q222" s="314"/>
      <c r="R222" s="314"/>
      <c r="S222" s="286"/>
      <c r="T222" s="360">
        <v>0</v>
      </c>
      <c r="U222" s="314"/>
      <c r="V222" s="364"/>
      <c r="W222" s="362"/>
      <c r="X222" s="5"/>
    </row>
    <row r="223" spans="1:24" ht="15.75" x14ac:dyDescent="0.25">
      <c r="A223" s="358"/>
      <c r="B223" s="313" t="s">
        <v>228</v>
      </c>
      <c r="C223" s="363"/>
      <c r="D223" s="363"/>
      <c r="E223" s="363"/>
      <c r="F223" s="314"/>
      <c r="G223" s="314"/>
      <c r="H223" s="314"/>
      <c r="I223" s="314"/>
      <c r="J223" s="314"/>
      <c r="K223" s="314"/>
      <c r="L223" s="314"/>
      <c r="M223" s="314"/>
      <c r="N223" s="314"/>
      <c r="O223" s="314"/>
      <c r="P223" s="314"/>
      <c r="Q223" s="314"/>
      <c r="R223" s="314"/>
      <c r="S223" s="286"/>
      <c r="T223" s="360">
        <f>+N81</f>
        <v>0</v>
      </c>
      <c r="U223" s="314"/>
      <c r="V223" s="364"/>
      <c r="W223" s="362"/>
      <c r="X223" s="5"/>
    </row>
    <row r="224" spans="1:24" ht="15.75" x14ac:dyDescent="0.25">
      <c r="A224" s="365"/>
      <c r="B224" s="313" t="s">
        <v>83</v>
      </c>
      <c r="C224" s="366"/>
      <c r="D224" s="366"/>
      <c r="E224" s="366"/>
      <c r="F224" s="366"/>
      <c r="G224" s="314"/>
      <c r="H224" s="314"/>
      <c r="I224" s="314"/>
      <c r="J224" s="314"/>
      <c r="K224" s="314"/>
      <c r="L224" s="314"/>
      <c r="M224" s="314"/>
      <c r="N224" s="314"/>
      <c r="O224" s="314"/>
      <c r="P224" s="314"/>
      <c r="Q224" s="314"/>
      <c r="R224" s="314"/>
      <c r="S224" s="286"/>
      <c r="T224" s="360"/>
      <c r="U224" s="314"/>
      <c r="V224" s="364"/>
      <c r="W224" s="367"/>
      <c r="X224" s="5"/>
    </row>
    <row r="225" spans="1:25" ht="15.75" x14ac:dyDescent="0.25">
      <c r="A225" s="365"/>
      <c r="B225" s="286" t="s">
        <v>84</v>
      </c>
      <c r="C225" s="366"/>
      <c r="D225" s="366"/>
      <c r="E225" s="366"/>
      <c r="F225" s="366"/>
      <c r="G225" s="314"/>
      <c r="H225" s="314"/>
      <c r="I225" s="314"/>
      <c r="J225" s="314"/>
      <c r="K225" s="314"/>
      <c r="L225" s="314"/>
      <c r="M225" s="314"/>
      <c r="N225" s="314"/>
      <c r="O225" s="314"/>
      <c r="P225" s="314"/>
      <c r="Q225" s="314"/>
      <c r="R225" s="314"/>
      <c r="S225" s="296"/>
      <c r="T225" s="360">
        <f>V163</f>
        <v>253</v>
      </c>
      <c r="U225" s="314"/>
      <c r="V225" s="364"/>
      <c r="W225" s="367"/>
      <c r="X225" s="5"/>
    </row>
    <row r="226" spans="1:25" ht="15.75" x14ac:dyDescent="0.25">
      <c r="A226" s="358"/>
      <c r="B226" s="286" t="s">
        <v>85</v>
      </c>
      <c r="C226" s="363"/>
      <c r="D226" s="363"/>
      <c r="E226" s="363"/>
      <c r="F226" s="363"/>
      <c r="G226" s="314"/>
      <c r="H226" s="314"/>
      <c r="I226" s="314"/>
      <c r="J226" s="314"/>
      <c r="K226" s="314"/>
      <c r="L226" s="314"/>
      <c r="M226" s="314"/>
      <c r="N226" s="314"/>
      <c r="O226" s="314"/>
      <c r="P226" s="314"/>
      <c r="Q226" s="314"/>
      <c r="R226" s="314"/>
      <c r="S226" s="296"/>
      <c r="T226" s="360">
        <f>'Nov 11'!T226+T225</f>
        <v>3849</v>
      </c>
      <c r="U226" s="314"/>
      <c r="V226" s="364"/>
      <c r="W226" s="367"/>
      <c r="X226" s="5"/>
    </row>
    <row r="227" spans="1:25" ht="15.75" x14ac:dyDescent="0.25">
      <c r="A227" s="365"/>
      <c r="B227" s="313" t="s">
        <v>285</v>
      </c>
      <c r="C227" s="366"/>
      <c r="D227" s="366"/>
      <c r="E227" s="366"/>
      <c r="F227" s="366"/>
      <c r="G227" s="314"/>
      <c r="H227" s="314"/>
      <c r="I227" s="314"/>
      <c r="J227" s="314"/>
      <c r="K227" s="314"/>
      <c r="L227" s="314"/>
      <c r="M227" s="314"/>
      <c r="N227" s="314"/>
      <c r="O227" s="314"/>
      <c r="P227" s="314"/>
      <c r="Q227" s="314"/>
      <c r="R227" s="314"/>
      <c r="S227" s="296"/>
      <c r="T227" s="360"/>
      <c r="U227" s="314"/>
      <c r="V227" s="364"/>
      <c r="W227" s="367"/>
      <c r="X227" s="5"/>
    </row>
    <row r="228" spans="1:25" ht="15.75" x14ac:dyDescent="0.25">
      <c r="A228" s="365"/>
      <c r="B228" s="286" t="s">
        <v>282</v>
      </c>
      <c r="C228" s="366"/>
      <c r="D228" s="366"/>
      <c r="E228" s="366"/>
      <c r="F228" s="366"/>
      <c r="G228" s="314"/>
      <c r="H228" s="314"/>
      <c r="I228" s="314"/>
      <c r="J228" s="314"/>
      <c r="K228" s="314"/>
      <c r="L228" s="314"/>
      <c r="M228" s="314"/>
      <c r="N228" s="314"/>
      <c r="O228" s="314"/>
      <c r="P228" s="314"/>
      <c r="Q228" s="314"/>
      <c r="R228" s="314"/>
      <c r="S228" s="296">
        <v>0</v>
      </c>
      <c r="T228" s="360">
        <v>0</v>
      </c>
      <c r="U228" s="314"/>
      <c r="V228" s="364"/>
      <c r="W228" s="367"/>
      <c r="X228" s="5"/>
    </row>
    <row r="229" spans="1:25" ht="15.75" x14ac:dyDescent="0.25">
      <c r="A229" s="358"/>
      <c r="B229" s="286" t="s">
        <v>86</v>
      </c>
      <c r="C229" s="368"/>
      <c r="D229" s="368"/>
      <c r="E229" s="368"/>
      <c r="F229" s="369"/>
      <c r="G229" s="314"/>
      <c r="H229" s="314"/>
      <c r="I229" s="314"/>
      <c r="J229" s="314"/>
      <c r="K229" s="314"/>
      <c r="L229" s="314"/>
      <c r="M229" s="314"/>
      <c r="N229" s="314"/>
      <c r="O229" s="314"/>
      <c r="P229" s="314"/>
      <c r="Q229" s="314"/>
      <c r="R229" s="314"/>
      <c r="S229" s="286"/>
      <c r="T229" s="370">
        <v>0</v>
      </c>
      <c r="U229" s="314"/>
      <c r="V229" s="364"/>
      <c r="W229" s="367"/>
      <c r="X229" s="5"/>
    </row>
    <row r="230" spans="1:25" ht="15.75" x14ac:dyDescent="0.25">
      <c r="A230" s="358"/>
      <c r="B230" s="286" t="s">
        <v>87</v>
      </c>
      <c r="C230" s="368"/>
      <c r="D230" s="368"/>
      <c r="E230" s="368"/>
      <c r="F230" s="369"/>
      <c r="G230" s="314"/>
      <c r="H230" s="314"/>
      <c r="I230" s="314"/>
      <c r="J230" s="314"/>
      <c r="K230" s="314"/>
      <c r="L230" s="314"/>
      <c r="M230" s="314"/>
      <c r="N230" s="314"/>
      <c r="O230" s="314"/>
      <c r="P230" s="314"/>
      <c r="Q230" s="314"/>
      <c r="R230" s="314"/>
      <c r="S230" s="286"/>
      <c r="T230" s="370">
        <v>0</v>
      </c>
      <c r="U230" s="314"/>
      <c r="V230" s="364"/>
      <c r="W230" s="367"/>
      <c r="X230" s="5"/>
    </row>
    <row r="231" spans="1:25" ht="15.75" x14ac:dyDescent="0.25">
      <c r="A231" s="358"/>
      <c r="B231" s="313" t="s">
        <v>216</v>
      </c>
      <c r="C231" s="368"/>
      <c r="D231" s="368"/>
      <c r="E231" s="368"/>
      <c r="F231" s="369"/>
      <c r="G231" s="314"/>
      <c r="H231" s="314"/>
      <c r="I231" s="314"/>
      <c r="J231" s="314"/>
      <c r="K231" s="314"/>
      <c r="L231" s="314"/>
      <c r="M231" s="314"/>
      <c r="N231" s="314"/>
      <c r="O231" s="314"/>
      <c r="P231" s="314"/>
      <c r="Q231" s="314"/>
      <c r="R231" s="314"/>
      <c r="S231" s="286"/>
      <c r="T231" s="371"/>
      <c r="U231" s="314"/>
      <c r="V231" s="364"/>
      <c r="W231" s="367"/>
      <c r="X231" s="5"/>
    </row>
    <row r="232" spans="1:25" ht="15.75" x14ac:dyDescent="0.25">
      <c r="A232" s="358"/>
      <c r="B232" s="286" t="s">
        <v>282</v>
      </c>
      <c r="C232" s="368"/>
      <c r="D232" s="368"/>
      <c r="E232" s="368"/>
      <c r="F232" s="369"/>
      <c r="G232" s="314"/>
      <c r="H232" s="314"/>
      <c r="I232" s="314"/>
      <c r="J232" s="314"/>
      <c r="K232" s="314"/>
      <c r="L232" s="314"/>
      <c r="M232" s="314"/>
      <c r="N232" s="314"/>
      <c r="O232" s="314"/>
      <c r="P232" s="314"/>
      <c r="Q232" s="314"/>
      <c r="R232" s="314"/>
      <c r="S232" s="296">
        <v>3</v>
      </c>
      <c r="T232" s="360">
        <v>429</v>
      </c>
      <c r="U232" s="314"/>
      <c r="V232" s="364"/>
      <c r="W232" s="367"/>
      <c r="X232" s="5"/>
    </row>
    <row r="233" spans="1:25" ht="15.75" x14ac:dyDescent="0.25">
      <c r="A233" s="358"/>
      <c r="B233" s="286" t="s">
        <v>217</v>
      </c>
      <c r="C233" s="368"/>
      <c r="D233" s="368"/>
      <c r="E233" s="368"/>
      <c r="F233" s="369"/>
      <c r="G233" s="314"/>
      <c r="H233" s="314"/>
      <c r="I233" s="314"/>
      <c r="J233" s="314"/>
      <c r="K233" s="314"/>
      <c r="L233" s="314"/>
      <c r="M233" s="314"/>
      <c r="N233" s="314"/>
      <c r="O233" s="314"/>
      <c r="P233" s="314"/>
      <c r="Q233" s="314"/>
      <c r="R233" s="314"/>
      <c r="S233" s="286"/>
      <c r="T233" s="370">
        <v>2.57</v>
      </c>
      <c r="U233" s="314"/>
      <c r="V233" s="364"/>
      <c r="W233" s="367"/>
      <c r="X233" s="5"/>
    </row>
    <row r="234" spans="1:25" ht="15.75" x14ac:dyDescent="0.25">
      <c r="A234" s="358"/>
      <c r="B234" s="366"/>
      <c r="C234" s="368"/>
      <c r="D234" s="368"/>
      <c r="E234" s="368"/>
      <c r="F234" s="369"/>
      <c r="G234" s="314"/>
      <c r="H234" s="314"/>
      <c r="I234" s="314"/>
      <c r="J234" s="314"/>
      <c r="K234" s="314"/>
      <c r="L234" s="314"/>
      <c r="M234" s="314"/>
      <c r="N234" s="314"/>
      <c r="O234" s="314"/>
      <c r="P234" s="314"/>
      <c r="Q234" s="314"/>
      <c r="R234" s="314"/>
      <c r="S234" s="286"/>
      <c r="T234" s="371"/>
      <c r="U234" s="314"/>
      <c r="V234" s="364"/>
      <c r="W234" s="367"/>
      <c r="X234" s="5"/>
    </row>
    <row r="235" spans="1:25" ht="15.75" x14ac:dyDescent="0.25">
      <c r="A235" s="358"/>
      <c r="B235" s="366"/>
      <c r="C235" s="368"/>
      <c r="D235" s="368"/>
      <c r="E235" s="368"/>
      <c r="F235" s="369"/>
      <c r="G235" s="314"/>
      <c r="H235" s="314"/>
      <c r="I235" s="314"/>
      <c r="J235" s="314"/>
      <c r="K235" s="314"/>
      <c r="L235" s="314"/>
      <c r="M235" s="314"/>
      <c r="N235" s="314"/>
      <c r="O235" s="314"/>
      <c r="P235" s="314"/>
      <c r="Q235" s="314"/>
      <c r="R235" s="314"/>
      <c r="S235" s="314"/>
      <c r="T235" s="372"/>
      <c r="U235" s="314"/>
      <c r="V235" s="364"/>
      <c r="W235" s="367"/>
      <c r="X235" s="5"/>
    </row>
    <row r="236" spans="1:25" ht="18.75" x14ac:dyDescent="0.3">
      <c r="A236" s="358"/>
      <c r="B236" s="373" t="s">
        <v>168</v>
      </c>
      <c r="C236" s="368"/>
      <c r="D236" s="368"/>
      <c r="E236" s="368"/>
      <c r="F236" s="369"/>
      <c r="G236" s="314"/>
      <c r="H236" s="314"/>
      <c r="I236" s="314"/>
      <c r="J236" s="314"/>
      <c r="K236" s="314"/>
      <c r="L236" s="314"/>
      <c r="M236" s="314"/>
      <c r="N236" s="314"/>
      <c r="O236" s="314"/>
      <c r="P236" s="374" t="s">
        <v>167</v>
      </c>
      <c r="Q236" s="314"/>
      <c r="R236" s="314"/>
      <c r="S236" s="314"/>
      <c r="T236" s="372"/>
      <c r="U236" s="314"/>
      <c r="V236" s="364"/>
      <c r="W236" s="367"/>
      <c r="X236" s="5"/>
    </row>
    <row r="237" spans="1:25" ht="15.75" x14ac:dyDescent="0.25">
      <c r="A237" s="353"/>
      <c r="B237" s="348"/>
      <c r="C237" s="354"/>
      <c r="D237" s="354"/>
      <c r="E237" s="354"/>
      <c r="F237" s="355"/>
      <c r="G237" s="212"/>
      <c r="H237" s="212"/>
      <c r="I237" s="212"/>
      <c r="J237" s="212"/>
      <c r="K237" s="212"/>
      <c r="L237" s="212"/>
      <c r="M237" s="212"/>
      <c r="N237" s="212"/>
      <c r="O237" s="212"/>
      <c r="P237" s="212"/>
      <c r="Q237" s="212"/>
      <c r="R237" s="212"/>
      <c r="S237" s="212"/>
      <c r="T237" s="356"/>
      <c r="U237" s="212"/>
      <c r="V237" s="349"/>
      <c r="W237" s="357"/>
      <c r="X237" s="5"/>
    </row>
    <row r="238" spans="1:25" ht="15.75" x14ac:dyDescent="0.25">
      <c r="A238" s="224"/>
      <c r="B238" s="399" t="s">
        <v>297</v>
      </c>
      <c r="C238" s="400"/>
      <c r="D238" s="400"/>
      <c r="E238" s="400"/>
      <c r="F238" s="407"/>
      <c r="G238" s="400"/>
      <c r="H238" s="400"/>
      <c r="I238" s="400"/>
      <c r="J238" s="400"/>
      <c r="K238" s="400"/>
      <c r="L238" s="400"/>
      <c r="M238" s="400"/>
      <c r="N238" s="400"/>
      <c r="O238" s="400"/>
      <c r="P238" s="400"/>
      <c r="Q238" s="400"/>
      <c r="R238" s="407" t="s">
        <v>102</v>
      </c>
      <c r="S238" s="400" t="s">
        <v>103</v>
      </c>
      <c r="T238" s="407" t="s">
        <v>109</v>
      </c>
      <c r="U238" s="400" t="s">
        <v>103</v>
      </c>
      <c r="V238" s="225"/>
      <c r="W238" s="399"/>
      <c r="X238" s="5"/>
    </row>
    <row r="239" spans="1:25" ht="15.75" x14ac:dyDescent="0.25">
      <c r="A239" s="193"/>
      <c r="B239" s="249" t="s">
        <v>88</v>
      </c>
      <c r="C239" s="265"/>
      <c r="D239" s="265"/>
      <c r="E239" s="265"/>
      <c r="F239" s="250"/>
      <c r="G239" s="265"/>
      <c r="H239" s="265"/>
      <c r="I239" s="265"/>
      <c r="J239" s="265"/>
      <c r="K239" s="265"/>
      <c r="L239" s="265"/>
      <c r="M239" s="265"/>
      <c r="N239" s="265"/>
      <c r="O239" s="265"/>
      <c r="P239" s="265"/>
      <c r="Q239" s="265"/>
      <c r="R239" s="249">
        <f t="shared" ref="R239:R246" si="1">+R251+R263+R275</f>
        <v>5674</v>
      </c>
      <c r="S239" s="252">
        <f t="shared" ref="S239:S246" si="2">R239/$R$248</f>
        <v>0.97945796651130679</v>
      </c>
      <c r="T239" s="253">
        <f t="shared" ref="T239:T246" si="3">+T251+T263+T275</f>
        <v>808321</v>
      </c>
      <c r="U239" s="252">
        <f t="shared" ref="U239:U246" si="4">T239/$T$248</f>
        <v>0.97645008069426054</v>
      </c>
      <c r="V239" s="266"/>
      <c r="W239" s="408"/>
      <c r="X239" s="5"/>
    </row>
    <row r="240" spans="1:25" ht="15.75" x14ac:dyDescent="0.25">
      <c r="A240" s="285"/>
      <c r="B240" s="337" t="s">
        <v>89</v>
      </c>
      <c r="C240" s="378"/>
      <c r="D240" s="378"/>
      <c r="E240" s="378"/>
      <c r="F240" s="286"/>
      <c r="G240" s="379"/>
      <c r="H240" s="378"/>
      <c r="I240" s="378"/>
      <c r="J240" s="378"/>
      <c r="K240" s="378"/>
      <c r="L240" s="378"/>
      <c r="M240" s="378"/>
      <c r="N240" s="378"/>
      <c r="O240" s="378"/>
      <c r="P240" s="378"/>
      <c r="Q240" s="378"/>
      <c r="R240" s="337">
        <f t="shared" si="1"/>
        <v>64</v>
      </c>
      <c r="S240" s="379">
        <f t="shared" si="2"/>
        <v>1.1047816330053513E-2</v>
      </c>
      <c r="T240" s="338">
        <f t="shared" si="3"/>
        <v>10813</v>
      </c>
      <c r="U240" s="379">
        <f t="shared" si="4"/>
        <v>1.3062081428723291E-2</v>
      </c>
      <c r="V240" s="361"/>
      <c r="W240" s="409"/>
      <c r="X240" s="5"/>
      <c r="Y240" s="109"/>
    </row>
    <row r="241" spans="1:25" ht="15.75" x14ac:dyDescent="0.25">
      <c r="A241" s="285"/>
      <c r="B241" s="337" t="s">
        <v>90</v>
      </c>
      <c r="C241" s="378"/>
      <c r="D241" s="378"/>
      <c r="E241" s="378"/>
      <c r="F241" s="286"/>
      <c r="G241" s="379"/>
      <c r="H241" s="378"/>
      <c r="I241" s="378"/>
      <c r="J241" s="378"/>
      <c r="K241" s="378"/>
      <c r="L241" s="378"/>
      <c r="M241" s="378"/>
      <c r="N241" s="378"/>
      <c r="O241" s="378"/>
      <c r="P241" s="378"/>
      <c r="Q241" s="378"/>
      <c r="R241" s="337">
        <f t="shared" si="1"/>
        <v>7</v>
      </c>
      <c r="S241" s="379">
        <f t="shared" si="2"/>
        <v>1.2083549110996029E-3</v>
      </c>
      <c r="T241" s="338">
        <f t="shared" si="3"/>
        <v>1298</v>
      </c>
      <c r="U241" s="379">
        <f t="shared" si="4"/>
        <v>1.5679812905283299E-3</v>
      </c>
      <c r="V241" s="361"/>
      <c r="W241" s="409"/>
      <c r="X241" s="5"/>
    </row>
    <row r="242" spans="1:25" ht="15.75" x14ac:dyDescent="0.25">
      <c r="A242" s="285"/>
      <c r="B242" s="337" t="s">
        <v>156</v>
      </c>
      <c r="C242" s="378"/>
      <c r="D242" s="378"/>
      <c r="E242" s="378"/>
      <c r="F242" s="286"/>
      <c r="G242" s="379"/>
      <c r="H242" s="378"/>
      <c r="I242" s="378"/>
      <c r="J242" s="378"/>
      <c r="K242" s="378"/>
      <c r="L242" s="378"/>
      <c r="M242" s="378"/>
      <c r="N242" s="378"/>
      <c r="O242" s="378"/>
      <c r="P242" s="378"/>
      <c r="Q242" s="378"/>
      <c r="R242" s="337">
        <f t="shared" si="1"/>
        <v>2</v>
      </c>
      <c r="S242" s="379">
        <f t="shared" si="2"/>
        <v>3.4524426031417227E-4</v>
      </c>
      <c r="T242" s="338">
        <f t="shared" si="3"/>
        <v>360</v>
      </c>
      <c r="U242" s="379">
        <f t="shared" si="4"/>
        <v>4.3487924852865853E-4</v>
      </c>
      <c r="V242" s="361"/>
      <c r="W242" s="409"/>
      <c r="X242" s="5"/>
      <c r="Y242" s="109"/>
    </row>
    <row r="243" spans="1:25" ht="15.75" x14ac:dyDescent="0.25">
      <c r="A243" s="285"/>
      <c r="B243" s="337" t="s">
        <v>157</v>
      </c>
      <c r="C243" s="378"/>
      <c r="D243" s="378"/>
      <c r="E243" s="378"/>
      <c r="F243" s="286"/>
      <c r="G243" s="379"/>
      <c r="H243" s="378"/>
      <c r="I243" s="378"/>
      <c r="J243" s="378"/>
      <c r="K243" s="378"/>
      <c r="L243" s="378"/>
      <c r="M243" s="378"/>
      <c r="N243" s="378"/>
      <c r="O243" s="378"/>
      <c r="P243" s="378"/>
      <c r="Q243" s="378"/>
      <c r="R243" s="337">
        <f t="shared" si="1"/>
        <v>4</v>
      </c>
      <c r="S243" s="379">
        <f t="shared" si="2"/>
        <v>6.9048852062834453E-4</v>
      </c>
      <c r="T243" s="338">
        <f t="shared" si="3"/>
        <v>403</v>
      </c>
      <c r="U243" s="379">
        <f t="shared" si="4"/>
        <v>4.8682315876958163E-4</v>
      </c>
      <c r="V243" s="361"/>
      <c r="W243" s="409"/>
      <c r="X243" s="5"/>
    </row>
    <row r="244" spans="1:25" ht="15.75" x14ac:dyDescent="0.25">
      <c r="A244" s="285"/>
      <c r="B244" s="337" t="s">
        <v>158</v>
      </c>
      <c r="C244" s="378"/>
      <c r="D244" s="378"/>
      <c r="E244" s="378"/>
      <c r="F244" s="286"/>
      <c r="G244" s="379"/>
      <c r="H244" s="378"/>
      <c r="I244" s="378"/>
      <c r="J244" s="378"/>
      <c r="K244" s="378"/>
      <c r="L244" s="378"/>
      <c r="M244" s="378"/>
      <c r="N244" s="378"/>
      <c r="O244" s="378"/>
      <c r="P244" s="378"/>
      <c r="Q244" s="378"/>
      <c r="R244" s="337">
        <f t="shared" si="1"/>
        <v>0</v>
      </c>
      <c r="S244" s="379">
        <f t="shared" si="2"/>
        <v>0</v>
      </c>
      <c r="T244" s="338">
        <f t="shared" si="3"/>
        <v>0</v>
      </c>
      <c r="U244" s="379">
        <f t="shared" si="4"/>
        <v>0</v>
      </c>
      <c r="V244" s="361"/>
      <c r="W244" s="409"/>
      <c r="X244" s="5"/>
      <c r="Y244" s="109"/>
    </row>
    <row r="245" spans="1:25" ht="15.75" x14ac:dyDescent="0.25">
      <c r="A245" s="285"/>
      <c r="B245" s="337" t="s">
        <v>159</v>
      </c>
      <c r="C245" s="378"/>
      <c r="D245" s="378"/>
      <c r="E245" s="378"/>
      <c r="F245" s="286"/>
      <c r="G245" s="379"/>
      <c r="H245" s="378"/>
      <c r="I245" s="378"/>
      <c r="J245" s="378"/>
      <c r="K245" s="378"/>
      <c r="L245" s="378"/>
      <c r="M245" s="378"/>
      <c r="N245" s="378"/>
      <c r="O245" s="378"/>
      <c r="P245" s="378"/>
      <c r="Q245" s="378"/>
      <c r="R245" s="337">
        <f t="shared" si="1"/>
        <v>22</v>
      </c>
      <c r="S245" s="379">
        <f t="shared" si="2"/>
        <v>3.7976868634558951E-3</v>
      </c>
      <c r="T245" s="338">
        <f t="shared" si="3"/>
        <v>3533</v>
      </c>
      <c r="U245" s="379">
        <f t="shared" si="4"/>
        <v>4.2678566251437514E-3</v>
      </c>
      <c r="V245" s="361"/>
      <c r="W245" s="409"/>
      <c r="X245" s="5"/>
    </row>
    <row r="246" spans="1:25" ht="15.75" x14ac:dyDescent="0.25">
      <c r="A246" s="285"/>
      <c r="B246" s="337" t="s">
        <v>160</v>
      </c>
      <c r="C246" s="378"/>
      <c r="D246" s="378"/>
      <c r="E246" s="378"/>
      <c r="F246" s="286"/>
      <c r="G246" s="379"/>
      <c r="H246" s="378"/>
      <c r="I246" s="378"/>
      <c r="J246" s="378"/>
      <c r="K246" s="378"/>
      <c r="L246" s="378"/>
      <c r="M246" s="378"/>
      <c r="N246" s="378"/>
      <c r="O246" s="378"/>
      <c r="P246" s="378"/>
      <c r="Q246" s="378"/>
      <c r="R246" s="386">
        <f t="shared" si="1"/>
        <v>20</v>
      </c>
      <c r="S246" s="379">
        <f t="shared" si="2"/>
        <v>3.4524426031417228E-3</v>
      </c>
      <c r="T246" s="383">
        <f t="shared" si="3"/>
        <v>3088</v>
      </c>
      <c r="U246" s="387">
        <f t="shared" si="4"/>
        <v>3.7302975540458266E-3</v>
      </c>
      <c r="V246" s="361"/>
      <c r="W246" s="409"/>
      <c r="X246" s="5"/>
      <c r="Y246" s="109"/>
    </row>
    <row r="247" spans="1:25" ht="15.75" x14ac:dyDescent="0.25">
      <c r="A247" s="285"/>
      <c r="B247" s="337"/>
      <c r="C247" s="378"/>
      <c r="D247" s="378"/>
      <c r="E247" s="378"/>
      <c r="F247" s="286"/>
      <c r="G247" s="379"/>
      <c r="H247" s="378"/>
      <c r="I247" s="378"/>
      <c r="J247" s="378"/>
      <c r="K247" s="378"/>
      <c r="L247" s="378"/>
      <c r="M247" s="378"/>
      <c r="N247" s="378"/>
      <c r="O247" s="378"/>
      <c r="P247" s="378"/>
      <c r="Q247" s="378"/>
      <c r="R247" s="337"/>
      <c r="S247" s="379"/>
      <c r="T247" s="338"/>
      <c r="U247" s="379"/>
      <c r="V247" s="361"/>
      <c r="W247" s="409"/>
      <c r="X247" s="5"/>
    </row>
    <row r="248" spans="1:25" ht="15.75" x14ac:dyDescent="0.25">
      <c r="A248" s="285"/>
      <c r="B248" s="286"/>
      <c r="C248" s="286"/>
      <c r="D248" s="286"/>
      <c r="E248" s="286"/>
      <c r="F248" s="286"/>
      <c r="G248" s="286"/>
      <c r="H248" s="381"/>
      <c r="I248" s="381"/>
      <c r="J248" s="381"/>
      <c r="K248" s="381"/>
      <c r="L248" s="381"/>
      <c r="M248" s="381"/>
      <c r="N248" s="381"/>
      <c r="O248" s="381"/>
      <c r="P248" s="381"/>
      <c r="Q248" s="381"/>
      <c r="R248" s="337">
        <f>SUM(R239:R247)</f>
        <v>5793</v>
      </c>
      <c r="S248" s="379">
        <f>SUM(S239:S247)</f>
        <v>1</v>
      </c>
      <c r="T248" s="338">
        <f>SUM(T239:T247)</f>
        <v>827816</v>
      </c>
      <c r="U248" s="379">
        <f>SUM(U239:U247)</f>
        <v>1</v>
      </c>
      <c r="V248" s="286"/>
      <c r="W248" s="289"/>
      <c r="X248" s="5"/>
    </row>
    <row r="249" spans="1:25" ht="15.75" x14ac:dyDescent="0.25">
      <c r="A249" s="181"/>
      <c r="B249" s="212"/>
      <c r="C249" s="212"/>
      <c r="D249" s="212"/>
      <c r="E249" s="212"/>
      <c r="F249" s="212"/>
      <c r="G249" s="212"/>
      <c r="H249" s="375"/>
      <c r="I249" s="375"/>
      <c r="J249" s="375"/>
      <c r="K249" s="375"/>
      <c r="L249" s="375"/>
      <c r="M249" s="375"/>
      <c r="N249" s="375"/>
      <c r="O249" s="375"/>
      <c r="P249" s="375"/>
      <c r="Q249" s="375"/>
      <c r="R249" s="335"/>
      <c r="S249" s="376"/>
      <c r="T249" s="377"/>
      <c r="U249" s="376"/>
      <c r="V249" s="212"/>
      <c r="W249" s="212"/>
      <c r="X249" s="5"/>
    </row>
    <row r="250" spans="1:25" ht="15.75" x14ac:dyDescent="0.25">
      <c r="A250" s="224"/>
      <c r="B250" s="399" t="s">
        <v>162</v>
      </c>
      <c r="C250" s="400"/>
      <c r="D250" s="400"/>
      <c r="E250" s="400"/>
      <c r="F250" s="407"/>
      <c r="G250" s="400"/>
      <c r="H250" s="400"/>
      <c r="I250" s="400"/>
      <c r="J250" s="400"/>
      <c r="K250" s="400"/>
      <c r="L250" s="400"/>
      <c r="M250" s="400"/>
      <c r="N250" s="400"/>
      <c r="O250" s="400"/>
      <c r="P250" s="400"/>
      <c r="Q250" s="400"/>
      <c r="R250" s="407" t="s">
        <v>102</v>
      </c>
      <c r="S250" s="400" t="s">
        <v>103</v>
      </c>
      <c r="T250" s="407" t="s">
        <v>109</v>
      </c>
      <c r="U250" s="400" t="s">
        <v>103</v>
      </c>
      <c r="V250" s="225"/>
      <c r="W250" s="399"/>
      <c r="X250" s="5"/>
    </row>
    <row r="251" spans="1:25" ht="15.75" x14ac:dyDescent="0.25">
      <c r="A251" s="193"/>
      <c r="B251" s="249" t="s">
        <v>88</v>
      </c>
      <c r="C251" s="265"/>
      <c r="D251" s="265"/>
      <c r="E251" s="265"/>
      <c r="F251" s="250"/>
      <c r="G251" s="265"/>
      <c r="H251" s="265"/>
      <c r="I251" s="265"/>
      <c r="J251" s="265"/>
      <c r="K251" s="265"/>
      <c r="L251" s="265"/>
      <c r="M251" s="265"/>
      <c r="N251" s="265"/>
      <c r="O251" s="265"/>
      <c r="P251" s="265"/>
      <c r="Q251" s="265"/>
      <c r="R251" s="249">
        <v>5601</v>
      </c>
      <c r="S251" s="252">
        <f t="shared" ref="S251:S258" si="5">R251/$R$260</f>
        <v>0.99062610541209761</v>
      </c>
      <c r="T251" s="253">
        <v>796338</v>
      </c>
      <c r="U251" s="252">
        <f t="shared" ref="U251:U258" si="6">T251/$T$260</f>
        <v>0.98805776443831794</v>
      </c>
      <c r="V251" s="266"/>
      <c r="W251" s="408"/>
      <c r="X251" s="5"/>
    </row>
    <row r="252" spans="1:25" ht="15.75" x14ac:dyDescent="0.25">
      <c r="A252" s="285"/>
      <c r="B252" s="337" t="s">
        <v>89</v>
      </c>
      <c r="C252" s="378"/>
      <c r="D252" s="378"/>
      <c r="E252" s="378"/>
      <c r="F252" s="286"/>
      <c r="G252" s="379"/>
      <c r="H252" s="378"/>
      <c r="I252" s="378"/>
      <c r="J252" s="378"/>
      <c r="K252" s="378"/>
      <c r="L252" s="378"/>
      <c r="M252" s="378"/>
      <c r="N252" s="378"/>
      <c r="O252" s="378"/>
      <c r="P252" s="378"/>
      <c r="Q252" s="378"/>
      <c r="R252" s="337">
        <v>49</v>
      </c>
      <c r="S252" s="379">
        <f t="shared" si="5"/>
        <v>8.6664308454191714E-3</v>
      </c>
      <c r="T252" s="338">
        <v>8872</v>
      </c>
      <c r="U252" s="379">
        <f t="shared" si="6"/>
        <v>1.1007949496440904E-2</v>
      </c>
      <c r="V252" s="361"/>
      <c r="W252" s="409"/>
      <c r="X252" s="5"/>
      <c r="Y252" s="109"/>
    </row>
    <row r="253" spans="1:25" ht="15.75" x14ac:dyDescent="0.25">
      <c r="A253" s="285"/>
      <c r="B253" s="337" t="s">
        <v>90</v>
      </c>
      <c r="C253" s="378"/>
      <c r="D253" s="378"/>
      <c r="E253" s="378"/>
      <c r="F253" s="286"/>
      <c r="G253" s="379"/>
      <c r="H253" s="378"/>
      <c r="I253" s="378"/>
      <c r="J253" s="378"/>
      <c r="K253" s="378"/>
      <c r="L253" s="378"/>
      <c r="M253" s="378"/>
      <c r="N253" s="378"/>
      <c r="O253" s="378"/>
      <c r="P253" s="378"/>
      <c r="Q253" s="378"/>
      <c r="R253" s="337">
        <v>2</v>
      </c>
      <c r="S253" s="379">
        <f t="shared" si="5"/>
        <v>3.5373187124159886E-4</v>
      </c>
      <c r="T253" s="338">
        <v>594</v>
      </c>
      <c r="U253" s="379">
        <f t="shared" si="6"/>
        <v>7.3700653752095321E-4</v>
      </c>
      <c r="V253" s="361"/>
      <c r="W253" s="409"/>
      <c r="X253" s="5"/>
    </row>
    <row r="254" spans="1:25" ht="15.75" x14ac:dyDescent="0.25">
      <c r="A254" s="285"/>
      <c r="B254" s="337" t="s">
        <v>156</v>
      </c>
      <c r="C254" s="378"/>
      <c r="D254" s="378"/>
      <c r="E254" s="378"/>
      <c r="F254" s="286"/>
      <c r="G254" s="379"/>
      <c r="H254" s="378"/>
      <c r="I254" s="378"/>
      <c r="J254" s="378"/>
      <c r="K254" s="378"/>
      <c r="L254" s="378"/>
      <c r="M254" s="378"/>
      <c r="N254" s="378"/>
      <c r="O254" s="378"/>
      <c r="P254" s="378"/>
      <c r="Q254" s="378"/>
      <c r="R254" s="337">
        <v>0</v>
      </c>
      <c r="S254" s="379">
        <f t="shared" si="5"/>
        <v>0</v>
      </c>
      <c r="T254" s="338">
        <v>0</v>
      </c>
      <c r="U254" s="379">
        <f t="shared" si="6"/>
        <v>0</v>
      </c>
      <c r="V254" s="361"/>
      <c r="W254" s="409"/>
      <c r="X254" s="5"/>
      <c r="Y254" s="109"/>
    </row>
    <row r="255" spans="1:25" ht="15.75" x14ac:dyDescent="0.25">
      <c r="A255" s="285"/>
      <c r="B255" s="337" t="s">
        <v>157</v>
      </c>
      <c r="C255" s="378"/>
      <c r="D255" s="378"/>
      <c r="E255" s="378"/>
      <c r="F255" s="286"/>
      <c r="G255" s="379"/>
      <c r="H255" s="378"/>
      <c r="I255" s="378"/>
      <c r="J255" s="378"/>
      <c r="K255" s="378"/>
      <c r="L255" s="378"/>
      <c r="M255" s="378"/>
      <c r="N255" s="378"/>
      <c r="O255" s="378"/>
      <c r="P255" s="378"/>
      <c r="Q255" s="378"/>
      <c r="R255" s="337">
        <v>0</v>
      </c>
      <c r="S255" s="379">
        <f t="shared" si="5"/>
        <v>0</v>
      </c>
      <c r="T255" s="338">
        <v>0</v>
      </c>
      <c r="U255" s="379">
        <f t="shared" si="6"/>
        <v>0</v>
      </c>
      <c r="V255" s="361"/>
      <c r="W255" s="409"/>
      <c r="X255" s="5"/>
    </row>
    <row r="256" spans="1:25" ht="15.75" x14ac:dyDescent="0.25">
      <c r="A256" s="285"/>
      <c r="B256" s="337" t="s">
        <v>158</v>
      </c>
      <c r="C256" s="378"/>
      <c r="D256" s="378"/>
      <c r="E256" s="378"/>
      <c r="F256" s="286"/>
      <c r="G256" s="379"/>
      <c r="H256" s="378"/>
      <c r="I256" s="378"/>
      <c r="J256" s="378"/>
      <c r="K256" s="378"/>
      <c r="L256" s="378"/>
      <c r="M256" s="378"/>
      <c r="N256" s="378"/>
      <c r="O256" s="378"/>
      <c r="P256" s="378"/>
      <c r="Q256" s="378"/>
      <c r="R256" s="337">
        <v>0</v>
      </c>
      <c r="S256" s="379">
        <f t="shared" si="5"/>
        <v>0</v>
      </c>
      <c r="T256" s="338">
        <v>0</v>
      </c>
      <c r="U256" s="379">
        <f t="shared" si="6"/>
        <v>0</v>
      </c>
      <c r="V256" s="361"/>
      <c r="W256" s="409"/>
      <c r="X256" s="5"/>
      <c r="Y256" s="109"/>
    </row>
    <row r="257" spans="1:25" ht="15.75" x14ac:dyDescent="0.25">
      <c r="A257" s="285"/>
      <c r="B257" s="337" t="s">
        <v>159</v>
      </c>
      <c r="C257" s="378"/>
      <c r="D257" s="378"/>
      <c r="E257" s="378"/>
      <c r="F257" s="286"/>
      <c r="G257" s="379"/>
      <c r="H257" s="378"/>
      <c r="I257" s="378"/>
      <c r="J257" s="378"/>
      <c r="K257" s="378"/>
      <c r="L257" s="378"/>
      <c r="M257" s="378"/>
      <c r="N257" s="378"/>
      <c r="O257" s="378"/>
      <c r="P257" s="378"/>
      <c r="Q257" s="378"/>
      <c r="R257" s="337">
        <v>1</v>
      </c>
      <c r="S257" s="379">
        <f t="shared" si="5"/>
        <v>1.7686593562079943E-4</v>
      </c>
      <c r="T257" s="338">
        <v>102</v>
      </c>
      <c r="U257" s="379">
        <f t="shared" si="6"/>
        <v>1.2655667816016369E-4</v>
      </c>
      <c r="V257" s="361"/>
      <c r="W257" s="409"/>
      <c r="X257" s="5"/>
    </row>
    <row r="258" spans="1:25" ht="15.75" x14ac:dyDescent="0.25">
      <c r="A258" s="285"/>
      <c r="B258" s="337" t="s">
        <v>160</v>
      </c>
      <c r="C258" s="378"/>
      <c r="D258" s="378"/>
      <c r="E258" s="378"/>
      <c r="F258" s="286"/>
      <c r="G258" s="379"/>
      <c r="H258" s="378"/>
      <c r="I258" s="378"/>
      <c r="J258" s="378"/>
      <c r="K258" s="378"/>
      <c r="L258" s="378"/>
      <c r="M258" s="378"/>
      <c r="N258" s="378"/>
      <c r="O258" s="378"/>
      <c r="P258" s="378"/>
      <c r="Q258" s="378"/>
      <c r="R258" s="337">
        <v>1</v>
      </c>
      <c r="S258" s="379">
        <f t="shared" si="5"/>
        <v>1.7686593562079943E-4</v>
      </c>
      <c r="T258" s="338">
        <v>57</v>
      </c>
      <c r="U258" s="379">
        <f t="shared" si="6"/>
        <v>7.072284956009147E-5</v>
      </c>
      <c r="V258" s="361"/>
      <c r="W258" s="409"/>
      <c r="X258" s="5"/>
      <c r="Y258" s="109"/>
    </row>
    <row r="259" spans="1:25" ht="15.75" x14ac:dyDescent="0.25">
      <c r="A259" s="285"/>
      <c r="B259" s="337"/>
      <c r="C259" s="378"/>
      <c r="D259" s="378"/>
      <c r="E259" s="378"/>
      <c r="F259" s="286"/>
      <c r="G259" s="379"/>
      <c r="H259" s="378"/>
      <c r="I259" s="378"/>
      <c r="J259" s="378"/>
      <c r="K259" s="378"/>
      <c r="L259" s="378"/>
      <c r="M259" s="378"/>
      <c r="N259" s="378"/>
      <c r="O259" s="378"/>
      <c r="P259" s="378"/>
      <c r="Q259" s="378"/>
      <c r="R259" s="337"/>
      <c r="S259" s="379"/>
      <c r="T259" s="338"/>
      <c r="U259" s="379"/>
      <c r="V259" s="361"/>
      <c r="W259" s="409"/>
      <c r="X259" s="5"/>
    </row>
    <row r="260" spans="1:25" ht="15.75" x14ac:dyDescent="0.25">
      <c r="A260" s="285"/>
      <c r="B260" s="286"/>
      <c r="C260" s="286"/>
      <c r="D260" s="286"/>
      <c r="E260" s="286"/>
      <c r="F260" s="286"/>
      <c r="G260" s="286"/>
      <c r="H260" s="381"/>
      <c r="I260" s="381"/>
      <c r="J260" s="381"/>
      <c r="K260" s="381"/>
      <c r="L260" s="381"/>
      <c r="M260" s="381"/>
      <c r="N260" s="381"/>
      <c r="O260" s="381"/>
      <c r="P260" s="381"/>
      <c r="Q260" s="381"/>
      <c r="R260" s="337">
        <f>SUM(R251:R259)</f>
        <v>5654</v>
      </c>
      <c r="S260" s="379">
        <f>SUM(S251:S259)</f>
        <v>1</v>
      </c>
      <c r="T260" s="338">
        <f>SUM(T251:T259)</f>
        <v>805963</v>
      </c>
      <c r="U260" s="379">
        <f>SUM(U251:U259)</f>
        <v>1</v>
      </c>
      <c r="V260" s="286"/>
      <c r="W260" s="289"/>
      <c r="X260" s="5"/>
    </row>
    <row r="261" spans="1:25" ht="15.75" x14ac:dyDescent="0.25">
      <c r="A261" s="181"/>
      <c r="B261" s="212"/>
      <c r="C261" s="212"/>
      <c r="D261" s="212"/>
      <c r="E261" s="212"/>
      <c r="F261" s="212"/>
      <c r="G261" s="212"/>
      <c r="H261" s="375"/>
      <c r="I261" s="375"/>
      <c r="J261" s="375"/>
      <c r="K261" s="375"/>
      <c r="L261" s="375"/>
      <c r="M261" s="375"/>
      <c r="N261" s="375"/>
      <c r="O261" s="375"/>
      <c r="P261" s="375"/>
      <c r="Q261" s="375"/>
      <c r="R261" s="335"/>
      <c r="S261" s="376"/>
      <c r="T261" s="377"/>
      <c r="U261" s="376"/>
      <c r="V261" s="212"/>
      <c r="W261" s="212"/>
      <c r="X261" s="5"/>
    </row>
    <row r="262" spans="1:25" ht="15.75" x14ac:dyDescent="0.25">
      <c r="A262" s="244"/>
      <c r="B262" s="399" t="s">
        <v>236</v>
      </c>
      <c r="C262" s="400"/>
      <c r="D262" s="400"/>
      <c r="E262" s="400"/>
      <c r="F262" s="407"/>
      <c r="G262" s="400"/>
      <c r="H262" s="400"/>
      <c r="I262" s="400"/>
      <c r="J262" s="400"/>
      <c r="K262" s="400"/>
      <c r="L262" s="400"/>
      <c r="M262" s="400"/>
      <c r="N262" s="400"/>
      <c r="O262" s="400"/>
      <c r="P262" s="400"/>
      <c r="Q262" s="400"/>
      <c r="R262" s="407" t="s">
        <v>102</v>
      </c>
      <c r="S262" s="400" t="s">
        <v>103</v>
      </c>
      <c r="T262" s="407" t="s">
        <v>109</v>
      </c>
      <c r="U262" s="400" t="s">
        <v>103</v>
      </c>
      <c r="V262" s="245"/>
      <c r="W262" s="246"/>
      <c r="X262" s="5"/>
    </row>
    <row r="263" spans="1:25" ht="15.75" x14ac:dyDescent="0.25">
      <c r="A263" s="193"/>
      <c r="B263" s="249" t="s">
        <v>88</v>
      </c>
      <c r="C263" s="265"/>
      <c r="D263" s="265"/>
      <c r="E263" s="265"/>
      <c r="F263" s="250"/>
      <c r="G263" s="265"/>
      <c r="H263" s="265"/>
      <c r="I263" s="265"/>
      <c r="J263" s="265"/>
      <c r="K263" s="265"/>
      <c r="L263" s="265"/>
      <c r="M263" s="265"/>
      <c r="N263" s="265"/>
      <c r="O263" s="265"/>
      <c r="P263" s="265"/>
      <c r="Q263" s="265"/>
      <c r="R263" s="249">
        <v>73</v>
      </c>
      <c r="S263" s="252">
        <f t="shared" ref="S263:S270" si="7">R263/$R$272</f>
        <v>0.52517985611510787</v>
      </c>
      <c r="T263" s="253">
        <v>11983</v>
      </c>
      <c r="U263" s="252">
        <f t="shared" ref="U263:U270" si="8">T263/$T$272</f>
        <v>0.54834576488354003</v>
      </c>
      <c r="V263" s="250"/>
      <c r="W263" s="250"/>
      <c r="X263" s="5"/>
    </row>
    <row r="264" spans="1:25" ht="15.75" x14ac:dyDescent="0.25">
      <c r="A264" s="285"/>
      <c r="B264" s="337" t="s">
        <v>89</v>
      </c>
      <c r="C264" s="378"/>
      <c r="D264" s="378"/>
      <c r="E264" s="378"/>
      <c r="F264" s="286"/>
      <c r="G264" s="379"/>
      <c r="H264" s="378"/>
      <c r="I264" s="378"/>
      <c r="J264" s="378"/>
      <c r="K264" s="378"/>
      <c r="L264" s="378"/>
      <c r="M264" s="378"/>
      <c r="N264" s="378"/>
      <c r="O264" s="378"/>
      <c r="P264" s="378"/>
      <c r="Q264" s="378"/>
      <c r="R264" s="337">
        <v>15</v>
      </c>
      <c r="S264" s="379">
        <f t="shared" si="7"/>
        <v>0.1079136690647482</v>
      </c>
      <c r="T264" s="338">
        <v>1941</v>
      </c>
      <c r="U264" s="379">
        <f t="shared" si="8"/>
        <v>8.8820756875486198E-2</v>
      </c>
      <c r="V264" s="286"/>
      <c r="W264" s="289"/>
      <c r="X264" s="5"/>
    </row>
    <row r="265" spans="1:25" ht="15.75" x14ac:dyDescent="0.25">
      <c r="A265" s="285"/>
      <c r="B265" s="337" t="s">
        <v>90</v>
      </c>
      <c r="C265" s="378"/>
      <c r="D265" s="378"/>
      <c r="E265" s="378"/>
      <c r="F265" s="286"/>
      <c r="G265" s="379"/>
      <c r="H265" s="378"/>
      <c r="I265" s="378"/>
      <c r="J265" s="378"/>
      <c r="K265" s="378"/>
      <c r="L265" s="378"/>
      <c r="M265" s="378"/>
      <c r="N265" s="378"/>
      <c r="O265" s="378"/>
      <c r="P265" s="378"/>
      <c r="Q265" s="378"/>
      <c r="R265" s="337">
        <v>5</v>
      </c>
      <c r="S265" s="379">
        <f t="shared" si="7"/>
        <v>3.5971223021582732E-2</v>
      </c>
      <c r="T265" s="338">
        <v>704</v>
      </c>
      <c r="U265" s="379">
        <f t="shared" si="8"/>
        <v>3.221525648652359E-2</v>
      </c>
      <c r="V265" s="286"/>
      <c r="W265" s="289"/>
      <c r="X265" s="5"/>
    </row>
    <row r="266" spans="1:25" ht="15.75" x14ac:dyDescent="0.25">
      <c r="A266" s="285"/>
      <c r="B266" s="337" t="s">
        <v>156</v>
      </c>
      <c r="C266" s="378"/>
      <c r="D266" s="378"/>
      <c r="E266" s="378"/>
      <c r="F266" s="286"/>
      <c r="G266" s="379"/>
      <c r="H266" s="378"/>
      <c r="I266" s="378"/>
      <c r="J266" s="378"/>
      <c r="K266" s="378"/>
      <c r="L266" s="378"/>
      <c r="M266" s="378"/>
      <c r="N266" s="378"/>
      <c r="O266" s="378"/>
      <c r="P266" s="378"/>
      <c r="Q266" s="378"/>
      <c r="R266" s="337">
        <v>2</v>
      </c>
      <c r="S266" s="379">
        <f t="shared" si="7"/>
        <v>1.4388489208633094E-2</v>
      </c>
      <c r="T266" s="338">
        <v>360</v>
      </c>
      <c r="U266" s="379">
        <f t="shared" si="8"/>
        <v>1.6473710703335927E-2</v>
      </c>
      <c r="V266" s="286"/>
      <c r="W266" s="289"/>
      <c r="X266" s="5"/>
    </row>
    <row r="267" spans="1:25" ht="15.75" x14ac:dyDescent="0.25">
      <c r="A267" s="285"/>
      <c r="B267" s="337" t="s">
        <v>157</v>
      </c>
      <c r="C267" s="378"/>
      <c r="D267" s="378"/>
      <c r="E267" s="378"/>
      <c r="F267" s="286"/>
      <c r="G267" s="379"/>
      <c r="H267" s="378"/>
      <c r="I267" s="378"/>
      <c r="J267" s="378"/>
      <c r="K267" s="378"/>
      <c r="L267" s="378"/>
      <c r="M267" s="378"/>
      <c r="N267" s="378"/>
      <c r="O267" s="378"/>
      <c r="P267" s="378"/>
      <c r="Q267" s="378"/>
      <c r="R267" s="337">
        <v>4</v>
      </c>
      <c r="S267" s="379">
        <f t="shared" si="7"/>
        <v>2.8776978417266189E-2</v>
      </c>
      <c r="T267" s="338">
        <v>403</v>
      </c>
      <c r="U267" s="379">
        <f t="shared" si="8"/>
        <v>1.8441403926234383E-2</v>
      </c>
      <c r="V267" s="286"/>
      <c r="W267" s="289"/>
      <c r="X267" s="5"/>
    </row>
    <row r="268" spans="1:25" ht="15.75" x14ac:dyDescent="0.25">
      <c r="A268" s="285"/>
      <c r="B268" s="337" t="s">
        <v>158</v>
      </c>
      <c r="C268" s="378"/>
      <c r="D268" s="378"/>
      <c r="E268" s="378"/>
      <c r="F268" s="286"/>
      <c r="G268" s="379"/>
      <c r="H268" s="378"/>
      <c r="I268" s="378"/>
      <c r="J268" s="378"/>
      <c r="K268" s="378"/>
      <c r="L268" s="378"/>
      <c r="M268" s="378"/>
      <c r="N268" s="378"/>
      <c r="O268" s="378"/>
      <c r="P268" s="378"/>
      <c r="Q268" s="378"/>
      <c r="R268" s="337">
        <v>0</v>
      </c>
      <c r="S268" s="379">
        <f t="shared" si="7"/>
        <v>0</v>
      </c>
      <c r="T268" s="338">
        <v>0</v>
      </c>
      <c r="U268" s="379">
        <f t="shared" si="8"/>
        <v>0</v>
      </c>
      <c r="V268" s="286"/>
      <c r="W268" s="289"/>
      <c r="X268" s="5"/>
    </row>
    <row r="269" spans="1:25" ht="15.75" x14ac:dyDescent="0.25">
      <c r="A269" s="285"/>
      <c r="B269" s="337" t="s">
        <v>159</v>
      </c>
      <c r="C269" s="378"/>
      <c r="D269" s="378"/>
      <c r="E269" s="378"/>
      <c r="F269" s="286"/>
      <c r="G269" s="379"/>
      <c r="H269" s="378"/>
      <c r="I269" s="378"/>
      <c r="J269" s="378"/>
      <c r="K269" s="378"/>
      <c r="L269" s="378"/>
      <c r="M269" s="378"/>
      <c r="N269" s="378"/>
      <c r="O269" s="378"/>
      <c r="P269" s="378"/>
      <c r="Q269" s="378"/>
      <c r="R269" s="337">
        <v>21</v>
      </c>
      <c r="S269" s="379">
        <f t="shared" si="7"/>
        <v>0.15107913669064749</v>
      </c>
      <c r="T269" s="338">
        <v>3431</v>
      </c>
      <c r="U269" s="379">
        <f t="shared" si="8"/>
        <v>0.15700361506429322</v>
      </c>
      <c r="V269" s="286"/>
      <c r="W269" s="289"/>
      <c r="X269" s="5"/>
    </row>
    <row r="270" spans="1:25" ht="15.75" x14ac:dyDescent="0.25">
      <c r="A270" s="285"/>
      <c r="B270" s="337" t="s">
        <v>160</v>
      </c>
      <c r="C270" s="378"/>
      <c r="D270" s="378"/>
      <c r="E270" s="378"/>
      <c r="F270" s="286"/>
      <c r="G270" s="379"/>
      <c r="H270" s="378"/>
      <c r="I270" s="378"/>
      <c r="J270" s="378"/>
      <c r="K270" s="378"/>
      <c r="L270" s="378"/>
      <c r="M270" s="378"/>
      <c r="N270" s="378"/>
      <c r="O270" s="378"/>
      <c r="P270" s="378"/>
      <c r="Q270" s="378"/>
      <c r="R270" s="337">
        <v>19</v>
      </c>
      <c r="S270" s="379">
        <f t="shared" si="7"/>
        <v>0.1366906474820144</v>
      </c>
      <c r="T270" s="338">
        <v>3031</v>
      </c>
      <c r="U270" s="379">
        <f t="shared" si="8"/>
        <v>0.13869949206058665</v>
      </c>
      <c r="V270" s="286"/>
      <c r="W270" s="289"/>
      <c r="X270" s="5"/>
    </row>
    <row r="271" spans="1:25" ht="15.75" x14ac:dyDescent="0.25">
      <c r="A271" s="285"/>
      <c r="B271" s="337"/>
      <c r="C271" s="378"/>
      <c r="D271" s="378"/>
      <c r="E271" s="378"/>
      <c r="F271" s="286"/>
      <c r="G271" s="379"/>
      <c r="H271" s="378"/>
      <c r="I271" s="378"/>
      <c r="J271" s="378"/>
      <c r="K271" s="378"/>
      <c r="L271" s="378"/>
      <c r="M271" s="378"/>
      <c r="N271" s="378"/>
      <c r="O271" s="378"/>
      <c r="P271" s="378"/>
      <c r="Q271" s="378"/>
      <c r="R271" s="337"/>
      <c r="S271" s="379"/>
      <c r="T271" s="338"/>
      <c r="U271" s="379"/>
      <c r="V271" s="286"/>
      <c r="W271" s="289"/>
      <c r="X271" s="5"/>
    </row>
    <row r="272" spans="1:25" ht="15.75" x14ac:dyDescent="0.25">
      <c r="A272" s="285"/>
      <c r="B272" s="286"/>
      <c r="C272" s="286"/>
      <c r="D272" s="286"/>
      <c r="E272" s="286"/>
      <c r="F272" s="286"/>
      <c r="G272" s="286"/>
      <c r="H272" s="381"/>
      <c r="I272" s="381"/>
      <c r="J272" s="381"/>
      <c r="K272" s="381"/>
      <c r="L272" s="381"/>
      <c r="M272" s="381"/>
      <c r="N272" s="381"/>
      <c r="O272" s="381"/>
      <c r="P272" s="381"/>
      <c r="Q272" s="381"/>
      <c r="R272" s="337">
        <f>SUM(R263:R271)</f>
        <v>139</v>
      </c>
      <c r="S272" s="379">
        <f>SUM(S263:S271)</f>
        <v>1</v>
      </c>
      <c r="T272" s="338">
        <f>SUM(T263:T271)</f>
        <v>21853</v>
      </c>
      <c r="U272" s="379">
        <f>SUM(U263:U271)</f>
        <v>1</v>
      </c>
      <c r="V272" s="286"/>
      <c r="W272" s="289"/>
      <c r="X272" s="5"/>
    </row>
    <row r="273" spans="1:24" ht="15.75" x14ac:dyDescent="0.25">
      <c r="A273" s="181"/>
      <c r="B273" s="212"/>
      <c r="C273" s="212"/>
      <c r="D273" s="212"/>
      <c r="E273" s="212"/>
      <c r="F273" s="212"/>
      <c r="G273" s="212"/>
      <c r="H273" s="375"/>
      <c r="I273" s="375"/>
      <c r="J273" s="375"/>
      <c r="K273" s="375"/>
      <c r="L273" s="375"/>
      <c r="M273" s="375"/>
      <c r="N273" s="375"/>
      <c r="O273" s="375"/>
      <c r="P273" s="375"/>
      <c r="Q273" s="375"/>
      <c r="R273" s="335"/>
      <c r="S273" s="376"/>
      <c r="T273" s="377"/>
      <c r="U273" s="376"/>
      <c r="V273" s="212"/>
      <c r="W273" s="212"/>
      <c r="X273" s="5"/>
    </row>
    <row r="274" spans="1:24" ht="15.75" x14ac:dyDescent="0.25">
      <c r="A274" s="244"/>
      <c r="B274" s="399" t="s">
        <v>163</v>
      </c>
      <c r="C274" s="245"/>
      <c r="D274" s="245"/>
      <c r="E274" s="245"/>
      <c r="F274" s="245"/>
      <c r="G274" s="245"/>
      <c r="H274" s="247"/>
      <c r="I274" s="247"/>
      <c r="J274" s="247"/>
      <c r="K274" s="247"/>
      <c r="L274" s="247"/>
      <c r="M274" s="247"/>
      <c r="N274" s="247"/>
      <c r="O274" s="247"/>
      <c r="P274" s="247"/>
      <c r="Q274" s="247"/>
      <c r="R274" s="407" t="s">
        <v>102</v>
      </c>
      <c r="S274" s="400" t="s">
        <v>103</v>
      </c>
      <c r="T274" s="407" t="s">
        <v>109</v>
      </c>
      <c r="U274" s="400" t="s">
        <v>103</v>
      </c>
      <c r="V274" s="245"/>
      <c r="W274" s="246"/>
      <c r="X274" s="5"/>
    </row>
    <row r="275" spans="1:24" ht="15.75" x14ac:dyDescent="0.25">
      <c r="A275" s="248"/>
      <c r="B275" s="249" t="s">
        <v>88</v>
      </c>
      <c r="C275" s="250"/>
      <c r="D275" s="250"/>
      <c r="E275" s="250"/>
      <c r="F275" s="250"/>
      <c r="G275" s="250"/>
      <c r="H275" s="251"/>
      <c r="I275" s="251"/>
      <c r="J275" s="251"/>
      <c r="K275" s="251"/>
      <c r="L275" s="251"/>
      <c r="M275" s="251"/>
      <c r="N275" s="251"/>
      <c r="O275" s="251"/>
      <c r="P275" s="251"/>
      <c r="Q275" s="251"/>
      <c r="R275" s="249">
        <v>0</v>
      </c>
      <c r="S275" s="252">
        <v>0</v>
      </c>
      <c r="T275" s="253">
        <v>0</v>
      </c>
      <c r="U275" s="252">
        <v>0</v>
      </c>
      <c r="V275" s="250"/>
      <c r="W275" s="250"/>
      <c r="X275" s="5"/>
    </row>
    <row r="276" spans="1:24" ht="15.75" x14ac:dyDescent="0.25">
      <c r="A276" s="295"/>
      <c r="B276" s="337" t="s">
        <v>89</v>
      </c>
      <c r="C276" s="286"/>
      <c r="D276" s="286"/>
      <c r="E276" s="286"/>
      <c r="F276" s="286"/>
      <c r="G276" s="286"/>
      <c r="H276" s="381"/>
      <c r="I276" s="381"/>
      <c r="J276" s="381"/>
      <c r="K276" s="381"/>
      <c r="L276" s="381"/>
      <c r="M276" s="381"/>
      <c r="N276" s="381"/>
      <c r="O276" s="381"/>
      <c r="P276" s="381"/>
      <c r="Q276" s="381"/>
      <c r="R276" s="337">
        <v>0</v>
      </c>
      <c r="S276" s="379">
        <v>0</v>
      </c>
      <c r="T276" s="338">
        <v>0</v>
      </c>
      <c r="U276" s="379">
        <v>0</v>
      </c>
      <c r="V276" s="286"/>
      <c r="W276" s="289"/>
      <c r="X276" s="5"/>
    </row>
    <row r="277" spans="1:24" ht="15.75" x14ac:dyDescent="0.25">
      <c r="A277" s="295"/>
      <c r="B277" s="337" t="s">
        <v>90</v>
      </c>
      <c r="C277" s="286"/>
      <c r="D277" s="286"/>
      <c r="E277" s="286"/>
      <c r="F277" s="286"/>
      <c r="G277" s="286"/>
      <c r="H277" s="381"/>
      <c r="I277" s="381"/>
      <c r="J277" s="381"/>
      <c r="K277" s="381"/>
      <c r="L277" s="381"/>
      <c r="M277" s="381"/>
      <c r="N277" s="381"/>
      <c r="O277" s="381"/>
      <c r="P277" s="381"/>
      <c r="Q277" s="381"/>
      <c r="R277" s="337">
        <v>0</v>
      </c>
      <c r="S277" s="379">
        <v>0</v>
      </c>
      <c r="T277" s="338">
        <v>0</v>
      </c>
      <c r="U277" s="379">
        <v>0</v>
      </c>
      <c r="V277" s="286"/>
      <c r="W277" s="289"/>
      <c r="X277" s="5"/>
    </row>
    <row r="278" spans="1:24" ht="15.75" x14ac:dyDescent="0.25">
      <c r="A278" s="295"/>
      <c r="B278" s="337" t="s">
        <v>156</v>
      </c>
      <c r="C278" s="286"/>
      <c r="D278" s="286"/>
      <c r="E278" s="286"/>
      <c r="F278" s="286"/>
      <c r="G278" s="286"/>
      <c r="H278" s="381"/>
      <c r="I278" s="381"/>
      <c r="J278" s="381"/>
      <c r="K278" s="381"/>
      <c r="L278" s="381"/>
      <c r="M278" s="381"/>
      <c r="N278" s="381"/>
      <c r="O278" s="381"/>
      <c r="P278" s="381"/>
      <c r="Q278" s="381"/>
      <c r="R278" s="337">
        <v>0</v>
      </c>
      <c r="S278" s="379">
        <v>0</v>
      </c>
      <c r="T278" s="338">
        <v>0</v>
      </c>
      <c r="U278" s="379">
        <v>0</v>
      </c>
      <c r="V278" s="286"/>
      <c r="W278" s="289"/>
      <c r="X278" s="5"/>
    </row>
    <row r="279" spans="1:24" ht="15.75" x14ac:dyDescent="0.25">
      <c r="A279" s="295"/>
      <c r="B279" s="337" t="s">
        <v>157</v>
      </c>
      <c r="C279" s="286"/>
      <c r="D279" s="286"/>
      <c r="E279" s="286"/>
      <c r="F279" s="286"/>
      <c r="G279" s="286"/>
      <c r="H279" s="381"/>
      <c r="I279" s="381"/>
      <c r="J279" s="381"/>
      <c r="K279" s="381"/>
      <c r="L279" s="381"/>
      <c r="M279" s="381"/>
      <c r="N279" s="381"/>
      <c r="O279" s="381"/>
      <c r="P279" s="381"/>
      <c r="Q279" s="381"/>
      <c r="R279" s="337">
        <v>0</v>
      </c>
      <c r="S279" s="379">
        <v>0</v>
      </c>
      <c r="T279" s="338">
        <v>0</v>
      </c>
      <c r="U279" s="379">
        <v>0</v>
      </c>
      <c r="V279" s="286"/>
      <c r="W279" s="289"/>
      <c r="X279" s="5"/>
    </row>
    <row r="280" spans="1:24" ht="15.75" x14ac:dyDescent="0.25">
      <c r="A280" s="295"/>
      <c r="B280" s="337" t="s">
        <v>158</v>
      </c>
      <c r="C280" s="286"/>
      <c r="D280" s="286"/>
      <c r="E280" s="286"/>
      <c r="F280" s="286"/>
      <c r="G280" s="286"/>
      <c r="H280" s="381"/>
      <c r="I280" s="381"/>
      <c r="J280" s="381"/>
      <c r="K280" s="381"/>
      <c r="L280" s="381"/>
      <c r="M280" s="381"/>
      <c r="N280" s="381"/>
      <c r="O280" s="381"/>
      <c r="P280" s="381"/>
      <c r="Q280" s="381"/>
      <c r="R280" s="337">
        <v>0</v>
      </c>
      <c r="S280" s="379">
        <v>0</v>
      </c>
      <c r="T280" s="338">
        <v>0</v>
      </c>
      <c r="U280" s="379">
        <v>0</v>
      </c>
      <c r="V280" s="286"/>
      <c r="W280" s="289"/>
      <c r="X280" s="5"/>
    </row>
    <row r="281" spans="1:24" ht="15.75" x14ac:dyDescent="0.25">
      <c r="A281" s="295"/>
      <c r="B281" s="337" t="s">
        <v>159</v>
      </c>
      <c r="C281" s="286"/>
      <c r="D281" s="286"/>
      <c r="E281" s="286"/>
      <c r="F281" s="286"/>
      <c r="G281" s="286"/>
      <c r="H281" s="381"/>
      <c r="I281" s="381"/>
      <c r="J281" s="381"/>
      <c r="K281" s="381"/>
      <c r="L281" s="381"/>
      <c r="M281" s="381"/>
      <c r="N281" s="381"/>
      <c r="O281" s="381"/>
      <c r="P281" s="381"/>
      <c r="Q281" s="381"/>
      <c r="R281" s="337">
        <v>0</v>
      </c>
      <c r="S281" s="379">
        <v>0</v>
      </c>
      <c r="T281" s="338">
        <v>0</v>
      </c>
      <c r="U281" s="379">
        <v>0</v>
      </c>
      <c r="V281" s="286"/>
      <c r="W281" s="289"/>
      <c r="X281" s="5"/>
    </row>
    <row r="282" spans="1:24" ht="15.75" x14ac:dyDescent="0.25">
      <c r="A282" s="295"/>
      <c r="B282" s="337" t="s">
        <v>160</v>
      </c>
      <c r="C282" s="286"/>
      <c r="D282" s="286"/>
      <c r="E282" s="286"/>
      <c r="F282" s="286"/>
      <c r="G282" s="286"/>
      <c r="H282" s="381"/>
      <c r="I282" s="381"/>
      <c r="J282" s="381"/>
      <c r="K282" s="381"/>
      <c r="L282" s="381"/>
      <c r="M282" s="381"/>
      <c r="N282" s="381"/>
      <c r="O282" s="381"/>
      <c r="P282" s="381"/>
      <c r="Q282" s="381"/>
      <c r="R282" s="337">
        <v>0</v>
      </c>
      <c r="S282" s="379">
        <v>0</v>
      </c>
      <c r="T282" s="338">
        <v>0</v>
      </c>
      <c r="U282" s="379">
        <v>0</v>
      </c>
      <c r="V282" s="286"/>
      <c r="W282" s="289"/>
      <c r="X282" s="5"/>
    </row>
    <row r="283" spans="1:24" ht="15.75" x14ac:dyDescent="0.25">
      <c r="A283" s="295"/>
      <c r="B283" s="337"/>
      <c r="C283" s="286"/>
      <c r="D283" s="286"/>
      <c r="E283" s="286"/>
      <c r="F283" s="286"/>
      <c r="G283" s="286"/>
      <c r="H283" s="381"/>
      <c r="I283" s="381"/>
      <c r="J283" s="381"/>
      <c r="K283" s="381"/>
      <c r="L283" s="381"/>
      <c r="M283" s="381"/>
      <c r="N283" s="381"/>
      <c r="O283" s="381"/>
      <c r="P283" s="381"/>
      <c r="Q283" s="381"/>
      <c r="R283" s="337"/>
      <c r="S283" s="379"/>
      <c r="T283" s="338"/>
      <c r="U283" s="379"/>
      <c r="V283" s="286"/>
      <c r="W283" s="289"/>
      <c r="X283" s="5"/>
    </row>
    <row r="284" spans="1:24" ht="15.75" x14ac:dyDescent="0.25">
      <c r="A284" s="295"/>
      <c r="B284" s="286" t="s">
        <v>114</v>
      </c>
      <c r="C284" s="286"/>
      <c r="D284" s="286"/>
      <c r="E284" s="286"/>
      <c r="F284" s="286"/>
      <c r="G284" s="286"/>
      <c r="H284" s="381"/>
      <c r="I284" s="381"/>
      <c r="J284" s="381"/>
      <c r="K284" s="381"/>
      <c r="L284" s="381"/>
      <c r="M284" s="381"/>
      <c r="N284" s="381"/>
      <c r="O284" s="381"/>
      <c r="P284" s="381"/>
      <c r="Q284" s="381"/>
      <c r="R284" s="337">
        <f>SUM(R275:R282)</f>
        <v>0</v>
      </c>
      <c r="S284" s="379">
        <f>SUM(S275:S282)</f>
        <v>0</v>
      </c>
      <c r="T284" s="338">
        <f>SUM(T275:T282)</f>
        <v>0</v>
      </c>
      <c r="U284" s="379">
        <f>SUM(U275:U282)</f>
        <v>0</v>
      </c>
      <c r="V284" s="286"/>
      <c r="W284" s="289"/>
      <c r="X284" s="5"/>
    </row>
    <row r="285" spans="1:24" ht="15.75" x14ac:dyDescent="0.25">
      <c r="A285" s="295"/>
      <c r="B285" s="286"/>
      <c r="C285" s="286"/>
      <c r="D285" s="286"/>
      <c r="E285" s="286"/>
      <c r="F285" s="286"/>
      <c r="G285" s="286"/>
      <c r="H285" s="381"/>
      <c r="I285" s="381"/>
      <c r="J285" s="381"/>
      <c r="K285" s="381"/>
      <c r="L285" s="381"/>
      <c r="M285" s="381"/>
      <c r="N285" s="381"/>
      <c r="O285" s="381"/>
      <c r="P285" s="381"/>
      <c r="Q285" s="381"/>
      <c r="R285" s="337"/>
      <c r="S285" s="379"/>
      <c r="T285" s="338"/>
      <c r="U285" s="379"/>
      <c r="V285" s="286"/>
      <c r="W285" s="289"/>
      <c r="X285" s="5"/>
    </row>
    <row r="286" spans="1:24" ht="15.75" x14ac:dyDescent="0.25">
      <c r="A286" s="295"/>
      <c r="B286" s="297" t="s">
        <v>164</v>
      </c>
      <c r="C286" s="286"/>
      <c r="D286" s="286"/>
      <c r="E286" s="286"/>
      <c r="F286" s="286"/>
      <c r="G286" s="286"/>
      <c r="H286" s="381"/>
      <c r="I286" s="381"/>
      <c r="J286" s="381"/>
      <c r="K286" s="381"/>
      <c r="L286" s="381"/>
      <c r="M286" s="381"/>
      <c r="N286" s="381"/>
      <c r="O286" s="381"/>
      <c r="P286" s="381"/>
      <c r="Q286" s="381"/>
      <c r="R286" s="384">
        <f>R284+R272+R260</f>
        <v>5793</v>
      </c>
      <c r="S286" s="379"/>
      <c r="T286" s="410">
        <f>+T284+T272+T260</f>
        <v>827816</v>
      </c>
      <c r="U286" s="379"/>
      <c r="V286" s="286"/>
      <c r="W286" s="289"/>
      <c r="X286" s="5"/>
    </row>
    <row r="287" spans="1:24" ht="15.75" x14ac:dyDescent="0.25">
      <c r="A287" s="254"/>
      <c r="B287" s="346"/>
      <c r="C287" s="346"/>
      <c r="D287" s="346"/>
      <c r="E287" s="346"/>
      <c r="F287" s="346"/>
      <c r="G287" s="346"/>
      <c r="H287" s="382"/>
      <c r="I287" s="382"/>
      <c r="J287" s="382"/>
      <c r="K287" s="382"/>
      <c r="L287" s="382"/>
      <c r="M287" s="382"/>
      <c r="N287" s="382"/>
      <c r="O287" s="382"/>
      <c r="P287" s="382"/>
      <c r="Q287" s="382"/>
      <c r="R287" s="382"/>
      <c r="S287" s="382"/>
      <c r="T287" s="383"/>
      <c r="U287" s="382"/>
      <c r="V287" s="346"/>
      <c r="W287" s="346"/>
      <c r="X287" s="5"/>
    </row>
    <row r="288" spans="1:24" ht="15.75" x14ac:dyDescent="0.25">
      <c r="A288" s="254"/>
      <c r="B288" s="255"/>
      <c r="C288" s="255"/>
      <c r="D288" s="255"/>
      <c r="E288" s="255"/>
      <c r="F288" s="255"/>
      <c r="G288" s="255"/>
      <c r="H288" s="256"/>
      <c r="I288" s="256"/>
      <c r="J288" s="256"/>
      <c r="K288" s="256"/>
      <c r="L288" s="256"/>
      <c r="M288" s="256"/>
      <c r="N288" s="256"/>
      <c r="O288" s="256"/>
      <c r="P288" s="256"/>
      <c r="Q288" s="256"/>
      <c r="R288" s="256"/>
      <c r="S288" s="256"/>
      <c r="T288" s="257"/>
      <c r="U288" s="256"/>
      <c r="V288" s="255"/>
      <c r="W288" s="255"/>
      <c r="X288" s="5"/>
    </row>
    <row r="289" spans="1:24" ht="15.75" x14ac:dyDescent="0.25">
      <c r="A289" s="258"/>
      <c r="B289" s="388" t="s">
        <v>91</v>
      </c>
      <c r="C289" s="255"/>
      <c r="D289" s="255"/>
      <c r="E289" s="255"/>
      <c r="F289" s="391" t="s">
        <v>97</v>
      </c>
      <c r="G289" s="255"/>
      <c r="H289" s="388" t="s">
        <v>99</v>
      </c>
      <c r="I289" s="388"/>
      <c r="J289" s="388"/>
      <c r="K289" s="261"/>
      <c r="L289" s="261"/>
      <c r="M289" s="261"/>
      <c r="N289" s="261"/>
      <c r="O289" s="261"/>
      <c r="P289" s="261"/>
      <c r="Q289" s="261"/>
      <c r="R289" s="261"/>
      <c r="S289" s="261"/>
      <c r="T289" s="261"/>
      <c r="U289" s="261"/>
      <c r="V289" s="261"/>
      <c r="W289" s="261"/>
      <c r="X289" s="5"/>
    </row>
    <row r="290" spans="1:24" ht="15.75" x14ac:dyDescent="0.25">
      <c r="A290" s="258"/>
      <c r="B290" s="261"/>
      <c r="C290" s="255"/>
      <c r="D290" s="255"/>
      <c r="E290" s="255"/>
      <c r="F290" s="255"/>
      <c r="G290" s="255"/>
      <c r="H290" s="255"/>
      <c r="I290" s="255"/>
      <c r="J290" s="255"/>
      <c r="K290" s="261"/>
      <c r="L290" s="261"/>
      <c r="M290" s="261"/>
      <c r="N290" s="261"/>
      <c r="O290" s="261"/>
      <c r="P290" s="261"/>
      <c r="Q290" s="261"/>
      <c r="R290" s="261"/>
      <c r="S290" s="261"/>
      <c r="T290" s="261"/>
      <c r="U290" s="261"/>
      <c r="V290" s="261"/>
      <c r="W290" s="261"/>
      <c r="X290" s="5"/>
    </row>
    <row r="291" spans="1:24" ht="15.75" x14ac:dyDescent="0.25">
      <c r="A291" s="258"/>
      <c r="B291" s="388" t="s">
        <v>92</v>
      </c>
      <c r="C291" s="388"/>
      <c r="D291" s="388"/>
      <c r="E291" s="388"/>
      <c r="F291" s="411" t="s">
        <v>148</v>
      </c>
      <c r="G291" s="388"/>
      <c r="H291" s="388" t="s">
        <v>152</v>
      </c>
      <c r="I291" s="388"/>
      <c r="J291" s="388"/>
      <c r="K291" s="261"/>
      <c r="L291" s="261"/>
      <c r="M291" s="261"/>
      <c r="N291" s="261"/>
      <c r="O291" s="261"/>
      <c r="P291" s="261"/>
      <c r="Q291" s="261"/>
      <c r="R291" s="261"/>
      <c r="S291" s="261"/>
      <c r="T291" s="261"/>
      <c r="U291" s="261"/>
      <c r="V291" s="261"/>
      <c r="W291" s="261"/>
      <c r="X291" s="5"/>
    </row>
    <row r="292" spans="1:24" ht="15.75" x14ac:dyDescent="0.25">
      <c r="A292" s="258"/>
      <c r="B292" s="388" t="s">
        <v>265</v>
      </c>
      <c r="C292" s="388"/>
      <c r="D292" s="388"/>
      <c r="E292" s="388"/>
      <c r="F292" s="411" t="s">
        <v>266</v>
      </c>
      <c r="G292" s="388"/>
      <c r="H292" s="388" t="s">
        <v>267</v>
      </c>
      <c r="I292" s="388"/>
      <c r="J292" s="388"/>
      <c r="K292" s="261"/>
      <c r="L292" s="261"/>
      <c r="M292" s="261"/>
      <c r="N292" s="261"/>
      <c r="O292" s="261"/>
      <c r="P292" s="261"/>
      <c r="Q292" s="261"/>
      <c r="R292" s="261"/>
      <c r="S292" s="261"/>
      <c r="T292" s="261"/>
      <c r="U292" s="261"/>
      <c r="V292" s="261"/>
      <c r="W292" s="261"/>
      <c r="X292" s="5"/>
    </row>
    <row r="293" spans="1:24" ht="15.75" x14ac:dyDescent="0.25">
      <c r="A293" s="258"/>
      <c r="B293" s="388" t="s">
        <v>93</v>
      </c>
      <c r="C293" s="388"/>
      <c r="D293" s="388"/>
      <c r="E293" s="388"/>
      <c r="F293" s="411" t="s">
        <v>147</v>
      </c>
      <c r="G293" s="388"/>
      <c r="H293" s="388" t="s">
        <v>153</v>
      </c>
      <c r="I293" s="388"/>
      <c r="J293" s="388"/>
      <c r="K293" s="261"/>
      <c r="L293" s="261"/>
      <c r="M293" s="261"/>
      <c r="N293" s="261"/>
      <c r="O293" s="261"/>
      <c r="P293" s="261"/>
      <c r="Q293" s="261"/>
      <c r="R293" s="261"/>
      <c r="S293" s="261"/>
      <c r="T293" s="261"/>
      <c r="U293" s="261"/>
      <c r="V293" s="261"/>
      <c r="W293" s="261"/>
      <c r="X293" s="5"/>
    </row>
    <row r="294" spans="1:24" ht="15.75" x14ac:dyDescent="0.25">
      <c r="A294" s="258"/>
      <c r="B294" s="388"/>
      <c r="C294" s="388"/>
      <c r="D294" s="388"/>
      <c r="E294" s="388"/>
      <c r="F294" s="388"/>
      <c r="G294" s="263"/>
      <c r="H294" s="261"/>
      <c r="I294" s="261"/>
      <c r="J294" s="261"/>
      <c r="K294" s="261"/>
      <c r="L294" s="261"/>
      <c r="M294" s="261"/>
      <c r="N294" s="261"/>
      <c r="O294" s="261"/>
      <c r="P294" s="261"/>
      <c r="Q294" s="261"/>
      <c r="R294" s="261"/>
      <c r="S294" s="261"/>
      <c r="T294" s="261"/>
      <c r="U294" s="261"/>
      <c r="V294" s="261"/>
      <c r="W294" s="261"/>
      <c r="X294" s="5"/>
    </row>
    <row r="295" spans="1:24" ht="15.75" x14ac:dyDescent="0.25">
      <c r="A295" s="258"/>
      <c r="B295" s="388"/>
      <c r="C295" s="388"/>
      <c r="D295" s="388"/>
      <c r="E295" s="388"/>
      <c r="F295" s="388"/>
      <c r="G295" s="263"/>
      <c r="H295" s="261"/>
      <c r="I295" s="261"/>
      <c r="J295" s="261"/>
      <c r="K295" s="261"/>
      <c r="L295" s="261"/>
      <c r="M295" s="261"/>
      <c r="N295" s="261"/>
      <c r="O295" s="261"/>
      <c r="P295" s="261"/>
      <c r="Q295" s="261"/>
      <c r="R295" s="261"/>
      <c r="S295" s="261"/>
      <c r="T295" s="261"/>
      <c r="U295" s="261"/>
      <c r="V295" s="261"/>
      <c r="W295" s="261"/>
      <c r="X295" s="5"/>
    </row>
    <row r="296" spans="1:24" ht="19.5" thickBot="1" x14ac:dyDescent="0.35">
      <c r="A296" s="258"/>
      <c r="B296" s="264" t="str">
        <f>B200</f>
        <v>PM15 INVESTOR REPORT QUARTER ENDING FEBRUARY 2012</v>
      </c>
      <c r="C296" s="388"/>
      <c r="D296" s="388"/>
      <c r="E296" s="388"/>
      <c r="F296" s="388"/>
      <c r="G296" s="263"/>
      <c r="H296" s="261"/>
      <c r="I296" s="261"/>
      <c r="J296" s="261"/>
      <c r="K296" s="261"/>
      <c r="L296" s="261"/>
      <c r="M296" s="261"/>
      <c r="N296" s="261"/>
      <c r="O296" s="261"/>
      <c r="P296" s="261"/>
      <c r="Q296" s="261"/>
      <c r="R296" s="261"/>
      <c r="S296" s="261"/>
      <c r="T296" s="261"/>
      <c r="U296" s="261"/>
      <c r="V296" s="261"/>
      <c r="W296" s="261"/>
      <c r="X296" s="5"/>
    </row>
    <row r="297" spans="1:24" x14ac:dyDescent="0.2">
      <c r="A297" s="100"/>
      <c r="B297" s="100"/>
      <c r="C297" s="100"/>
      <c r="D297" s="100"/>
      <c r="E297" s="100"/>
      <c r="F297" s="100"/>
      <c r="G297" s="100"/>
      <c r="H297" s="100"/>
      <c r="I297" s="100"/>
      <c r="J297" s="100"/>
      <c r="K297" s="100"/>
      <c r="L297" s="100"/>
      <c r="M297" s="100"/>
      <c r="N297" s="100"/>
      <c r="O297" s="100"/>
      <c r="P297" s="100"/>
      <c r="Q297" s="100"/>
      <c r="R297" s="100"/>
      <c r="S297" s="100"/>
      <c r="T297" s="100"/>
      <c r="U297" s="100"/>
      <c r="V297" s="100"/>
      <c r="W297" s="100"/>
    </row>
  </sheetData>
  <hyperlinks>
    <hyperlink ref="P236" r:id="rId1" xr:uid="{00000000-0004-0000-1100-000000000000}"/>
    <hyperlink ref="I9" r:id="rId2" xr:uid="{00000000-0004-0000-11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4" max="14" man="1"/>
    <brk id="200" max="14" man="1"/>
  </rowBreaks>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IV297"/>
  <sheetViews>
    <sheetView showGridLines="0" showOutlineSymbols="0" zoomScale="70" zoomScaleNormal="70" workbookViewId="0"/>
  </sheetViews>
  <sheetFormatPr defaultColWidth="9.6640625" defaultRowHeight="15" x14ac:dyDescent="0.2"/>
  <cols>
    <col min="1" max="1" width="4" style="1" customWidth="1"/>
    <col min="2" max="2" width="71.21875" style="1" customWidth="1"/>
    <col min="3" max="3" width="2.21875" style="1" customWidth="1"/>
    <col min="4" max="4" width="19.33203125" style="1" customWidth="1"/>
    <col min="5" max="5" width="2.21875" style="1" customWidth="1"/>
    <col min="6" max="6" width="25.109375" style="1" customWidth="1"/>
    <col min="7" max="7" width="2.21875" style="1" customWidth="1"/>
    <col min="8" max="8" width="16.21875" style="1" customWidth="1"/>
    <col min="9" max="9" width="2.88671875" style="1" customWidth="1"/>
    <col min="10" max="10" width="16.21875" style="1" customWidth="1"/>
    <col min="11" max="11" width="2.21875" style="1" customWidth="1"/>
    <col min="12" max="12" width="17.88671875" style="1" customWidth="1"/>
    <col min="13" max="13" width="2.33203125" style="1" customWidth="1"/>
    <col min="14" max="14" width="14.88671875" style="1" customWidth="1"/>
    <col min="15" max="15" width="2.33203125" style="1" customWidth="1"/>
    <col min="16" max="16" width="15.5546875" style="1" customWidth="1"/>
    <col min="17" max="17" width="2.21875" style="1" customWidth="1"/>
    <col min="18" max="18" width="15.5546875" style="1" customWidth="1"/>
    <col min="19" max="20" width="12.6640625" style="1" customWidth="1"/>
    <col min="21" max="21" width="7.77734375" style="1" customWidth="1"/>
    <col min="22" max="22" width="14.6640625" style="1" customWidth="1"/>
    <col min="23" max="23" width="11.77734375" style="1" customWidth="1"/>
    <col min="24" max="16384" width="9.6640625" style="1"/>
  </cols>
  <sheetData>
    <row r="1" spans="1:24" ht="20.25" x14ac:dyDescent="0.3">
      <c r="A1" s="179"/>
      <c r="B1" s="274" t="s">
        <v>237</v>
      </c>
      <c r="C1" s="180"/>
      <c r="D1" s="180"/>
      <c r="E1" s="180"/>
      <c r="F1" s="180"/>
      <c r="G1" s="180"/>
      <c r="H1" s="180"/>
      <c r="I1" s="180"/>
      <c r="J1" s="180"/>
      <c r="K1" s="180"/>
      <c r="L1" s="180"/>
      <c r="M1" s="180"/>
      <c r="N1" s="180"/>
      <c r="O1" s="180"/>
      <c r="P1" s="180"/>
      <c r="Q1" s="180"/>
      <c r="R1" s="180"/>
      <c r="S1" s="180"/>
      <c r="T1" s="180"/>
      <c r="U1" s="180"/>
      <c r="V1" s="180"/>
      <c r="W1" s="180"/>
      <c r="X1" s="5"/>
    </row>
    <row r="2" spans="1:24" ht="15.75" x14ac:dyDescent="0.25">
      <c r="A2" s="181"/>
      <c r="B2" s="182"/>
      <c r="C2" s="183"/>
      <c r="D2" s="183"/>
      <c r="E2" s="183"/>
      <c r="F2" s="183"/>
      <c r="G2" s="183"/>
      <c r="H2" s="183"/>
      <c r="I2" s="183"/>
      <c r="J2" s="183"/>
      <c r="K2" s="183"/>
      <c r="L2" s="183"/>
      <c r="M2" s="183"/>
      <c r="N2" s="183"/>
      <c r="O2" s="183"/>
      <c r="P2" s="183"/>
      <c r="Q2" s="183"/>
      <c r="R2" s="183"/>
      <c r="S2" s="183"/>
      <c r="T2" s="183"/>
      <c r="U2" s="183"/>
      <c r="V2" s="183"/>
      <c r="W2" s="183"/>
      <c r="X2" s="5"/>
    </row>
    <row r="3" spans="1:24" ht="15.75" x14ac:dyDescent="0.25">
      <c r="A3" s="184"/>
      <c r="B3" s="185" t="s">
        <v>238</v>
      </c>
      <c r="C3" s="183"/>
      <c r="D3" s="183"/>
      <c r="E3" s="183"/>
      <c r="F3" s="183"/>
      <c r="G3" s="183"/>
      <c r="H3" s="183"/>
      <c r="I3" s="183"/>
      <c r="J3" s="183"/>
      <c r="K3" s="183"/>
      <c r="L3" s="183"/>
      <c r="M3" s="183"/>
      <c r="N3" s="183"/>
      <c r="O3" s="183"/>
      <c r="P3" s="183"/>
      <c r="Q3" s="183"/>
      <c r="R3" s="183"/>
      <c r="S3" s="183"/>
      <c r="T3" s="183"/>
      <c r="U3" s="183"/>
      <c r="V3" s="183"/>
      <c r="W3" s="183"/>
      <c r="X3" s="5"/>
    </row>
    <row r="4" spans="1:24" ht="15.75" x14ac:dyDescent="0.25">
      <c r="A4" s="181"/>
      <c r="B4" s="182"/>
      <c r="C4" s="183"/>
      <c r="D4" s="183"/>
      <c r="E4" s="183"/>
      <c r="F4" s="183"/>
      <c r="G4" s="183"/>
      <c r="H4" s="183"/>
      <c r="I4" s="183"/>
      <c r="J4" s="183"/>
      <c r="K4" s="183"/>
      <c r="L4" s="183"/>
      <c r="M4" s="183"/>
      <c r="N4" s="183"/>
      <c r="O4" s="183"/>
      <c r="P4" s="183"/>
      <c r="Q4" s="183"/>
      <c r="R4" s="183"/>
      <c r="S4" s="183"/>
      <c r="T4" s="183"/>
      <c r="U4" s="183"/>
      <c r="V4" s="183"/>
      <c r="W4" s="183"/>
      <c r="X4" s="5"/>
    </row>
    <row r="5" spans="1:24" ht="15.75" x14ac:dyDescent="0.25">
      <c r="A5" s="181"/>
      <c r="B5" s="275" t="s">
        <v>137</v>
      </c>
      <c r="C5" s="183"/>
      <c r="D5" s="183"/>
      <c r="E5" s="183"/>
      <c r="F5" s="183"/>
      <c r="G5" s="183"/>
      <c r="H5" s="183"/>
      <c r="I5" s="183"/>
      <c r="J5" s="183"/>
      <c r="K5" s="183"/>
      <c r="L5" s="183"/>
      <c r="M5" s="183"/>
      <c r="N5" s="183"/>
      <c r="O5" s="183"/>
      <c r="P5" s="183"/>
      <c r="Q5" s="183"/>
      <c r="R5" s="183"/>
      <c r="S5" s="183"/>
      <c r="T5" s="183"/>
      <c r="U5" s="183"/>
      <c r="V5" s="183"/>
      <c r="W5" s="183"/>
      <c r="X5" s="5"/>
    </row>
    <row r="6" spans="1:24" ht="15.75" x14ac:dyDescent="0.25">
      <c r="A6" s="181"/>
      <c r="B6" s="275" t="s">
        <v>139</v>
      </c>
      <c r="C6" s="183"/>
      <c r="D6" s="183"/>
      <c r="E6" s="183"/>
      <c r="F6" s="183"/>
      <c r="G6" s="183"/>
      <c r="H6" s="183"/>
      <c r="I6" s="183"/>
      <c r="J6" s="183"/>
      <c r="K6" s="183"/>
      <c r="L6" s="183"/>
      <c r="M6" s="183"/>
      <c r="N6" s="183"/>
      <c r="O6" s="183"/>
      <c r="P6" s="183"/>
      <c r="Q6" s="183"/>
      <c r="R6" s="183"/>
      <c r="S6" s="183"/>
      <c r="T6" s="183"/>
      <c r="U6" s="183"/>
      <c r="V6" s="183"/>
      <c r="W6" s="183"/>
      <c r="X6" s="5"/>
    </row>
    <row r="7" spans="1:24" ht="15.75" x14ac:dyDescent="0.25">
      <c r="A7" s="181"/>
      <c r="B7" s="275" t="s">
        <v>138</v>
      </c>
      <c r="C7" s="183"/>
      <c r="D7" s="183"/>
      <c r="E7" s="183"/>
      <c r="F7" s="183"/>
      <c r="G7" s="183"/>
      <c r="H7" s="183"/>
      <c r="I7" s="183"/>
      <c r="J7" s="183"/>
      <c r="K7" s="183"/>
      <c r="L7" s="183"/>
      <c r="M7" s="183"/>
      <c r="N7" s="183"/>
      <c r="O7" s="183"/>
      <c r="P7" s="183"/>
      <c r="Q7" s="183"/>
      <c r="R7" s="183"/>
      <c r="S7" s="183"/>
      <c r="T7" s="183"/>
      <c r="U7" s="183"/>
      <c r="V7" s="183"/>
      <c r="W7" s="183"/>
      <c r="X7" s="5"/>
    </row>
    <row r="8" spans="1:24" ht="15.75" x14ac:dyDescent="0.25">
      <c r="A8" s="181"/>
      <c r="B8" s="186"/>
      <c r="C8" s="183"/>
      <c r="D8" s="183"/>
      <c r="E8" s="183"/>
      <c r="F8" s="183"/>
      <c r="G8" s="183"/>
      <c r="H8" s="183"/>
      <c r="I8" s="183"/>
      <c r="J8" s="183"/>
      <c r="K8" s="183"/>
      <c r="L8" s="183"/>
      <c r="M8" s="183"/>
      <c r="N8" s="183"/>
      <c r="O8" s="183"/>
      <c r="P8" s="183"/>
      <c r="Q8" s="183"/>
      <c r="R8" s="183"/>
      <c r="S8" s="183"/>
      <c r="T8" s="183"/>
      <c r="U8" s="183"/>
      <c r="V8" s="183"/>
      <c r="W8" s="183"/>
      <c r="X8" s="5"/>
    </row>
    <row r="9" spans="1:24" ht="18.75" x14ac:dyDescent="0.3">
      <c r="A9" s="181"/>
      <c r="B9" s="187" t="s">
        <v>166</v>
      </c>
      <c r="C9" s="183"/>
      <c r="D9" s="183"/>
      <c r="E9" s="183"/>
      <c r="F9" s="183"/>
      <c r="G9" s="183"/>
      <c r="H9" s="183"/>
      <c r="I9" s="188" t="s">
        <v>167</v>
      </c>
      <c r="J9" s="183"/>
      <c r="K9" s="183"/>
      <c r="L9" s="188"/>
      <c r="M9" s="183"/>
      <c r="N9" s="188"/>
      <c r="O9" s="183"/>
      <c r="P9" s="183"/>
      <c r="Q9" s="183"/>
      <c r="R9" s="183"/>
      <c r="S9" s="183"/>
      <c r="T9" s="183"/>
      <c r="U9" s="183"/>
      <c r="V9" s="183"/>
      <c r="W9" s="183"/>
      <c r="X9" s="5"/>
    </row>
    <row r="10" spans="1:24" ht="15.75" x14ac:dyDescent="0.25">
      <c r="A10" s="181"/>
      <c r="B10" s="186"/>
      <c r="C10" s="189"/>
      <c r="D10" s="189"/>
      <c r="E10" s="189"/>
      <c r="F10" s="183"/>
      <c r="G10" s="183"/>
      <c r="H10" s="183"/>
      <c r="I10" s="183"/>
      <c r="J10" s="183"/>
      <c r="K10" s="183"/>
      <c r="L10" s="183"/>
      <c r="M10" s="183"/>
      <c r="N10" s="183"/>
      <c r="O10" s="183"/>
      <c r="P10" s="183"/>
      <c r="Q10" s="183"/>
      <c r="R10" s="183"/>
      <c r="S10" s="183"/>
      <c r="T10" s="183"/>
      <c r="U10" s="183"/>
      <c r="V10" s="183"/>
      <c r="W10" s="183"/>
      <c r="X10" s="5"/>
    </row>
    <row r="11" spans="1:24" ht="15.75" x14ac:dyDescent="0.25">
      <c r="A11" s="181"/>
      <c r="B11" s="388" t="s">
        <v>0</v>
      </c>
      <c r="C11" s="183"/>
      <c r="D11" s="183"/>
      <c r="E11" s="183"/>
      <c r="F11" s="183"/>
      <c r="G11" s="183"/>
      <c r="H11" s="183"/>
      <c r="I11" s="183"/>
      <c r="J11" s="183"/>
      <c r="K11" s="183"/>
      <c r="L11" s="183"/>
      <c r="M11" s="183"/>
      <c r="N11" s="183"/>
      <c r="O11" s="183"/>
      <c r="P11" s="183"/>
      <c r="Q11" s="183"/>
      <c r="R11" s="183"/>
      <c r="S11" s="183"/>
      <c r="T11" s="183"/>
      <c r="U11" s="183"/>
      <c r="V11" s="183"/>
      <c r="W11" s="183"/>
      <c r="X11" s="5"/>
    </row>
    <row r="12" spans="1:24" ht="16.5" thickBot="1" x14ac:dyDescent="0.3">
      <c r="A12" s="181"/>
      <c r="B12" s="189"/>
      <c r="C12" s="183"/>
      <c r="D12" s="183"/>
      <c r="E12" s="183"/>
      <c r="F12" s="183"/>
      <c r="G12" s="183"/>
      <c r="H12" s="183"/>
      <c r="I12" s="183"/>
      <c r="J12" s="183"/>
      <c r="K12" s="183"/>
      <c r="L12" s="183"/>
      <c r="M12" s="183"/>
      <c r="N12" s="183"/>
      <c r="O12" s="183"/>
      <c r="P12" s="183"/>
      <c r="Q12" s="183"/>
      <c r="R12" s="183"/>
      <c r="S12" s="183"/>
      <c r="T12" s="183"/>
      <c r="U12" s="183"/>
      <c r="V12" s="183"/>
      <c r="W12" s="183"/>
      <c r="X12" s="5"/>
    </row>
    <row r="13" spans="1:24" ht="15.75" x14ac:dyDescent="0.25">
      <c r="A13" s="179"/>
      <c r="B13" s="180"/>
      <c r="C13" s="180"/>
      <c r="D13" s="180"/>
      <c r="E13" s="180"/>
      <c r="F13" s="180"/>
      <c r="G13" s="180"/>
      <c r="H13" s="180"/>
      <c r="I13" s="180"/>
      <c r="J13" s="180"/>
      <c r="K13" s="180"/>
      <c r="L13" s="180"/>
      <c r="M13" s="180"/>
      <c r="N13" s="180"/>
      <c r="O13" s="180"/>
      <c r="P13" s="180"/>
      <c r="Q13" s="180"/>
      <c r="R13" s="180"/>
      <c r="S13" s="180"/>
      <c r="T13" s="180"/>
      <c r="U13" s="180"/>
      <c r="V13" s="180"/>
      <c r="W13" s="180"/>
      <c r="X13" s="5"/>
    </row>
    <row r="14" spans="1:24" ht="15.75" x14ac:dyDescent="0.25">
      <c r="A14" s="181"/>
      <c r="B14" s="388" t="s">
        <v>1</v>
      </c>
      <c r="C14" s="255"/>
      <c r="D14" s="255"/>
      <c r="E14" s="255"/>
      <c r="F14" s="255"/>
      <c r="G14" s="255"/>
      <c r="H14" s="255"/>
      <c r="I14" s="255"/>
      <c r="J14" s="255"/>
      <c r="K14" s="255"/>
      <c r="L14" s="255"/>
      <c r="M14" s="255"/>
      <c r="N14" s="255"/>
      <c r="O14" s="255"/>
      <c r="P14" s="255"/>
      <c r="Q14" s="255"/>
      <c r="R14" s="255"/>
      <c r="S14" s="255"/>
      <c r="T14" s="255"/>
      <c r="U14" s="255"/>
      <c r="V14" s="276" t="s">
        <v>239</v>
      </c>
      <c r="W14" s="255"/>
      <c r="X14" s="5"/>
    </row>
    <row r="15" spans="1:24" ht="15.75" x14ac:dyDescent="0.25">
      <c r="A15" s="181"/>
      <c r="B15" s="388" t="s">
        <v>2</v>
      </c>
      <c r="C15" s="255"/>
      <c r="D15" s="255"/>
      <c r="E15" s="255"/>
      <c r="F15" s="255"/>
      <c r="G15" s="255"/>
      <c r="H15" s="389"/>
      <c r="I15" s="389"/>
      <c r="J15" s="389"/>
      <c r="K15" s="389"/>
      <c r="L15" s="389"/>
      <c r="M15" s="389"/>
      <c r="N15" s="389"/>
      <c r="O15" s="389"/>
      <c r="P15" s="389"/>
      <c r="Q15" s="389"/>
      <c r="R15" s="389" t="s">
        <v>104</v>
      </c>
      <c r="S15" s="390">
        <v>0.47189999999999999</v>
      </c>
      <c r="T15" s="391" t="s">
        <v>140</v>
      </c>
      <c r="U15" s="390">
        <v>0.52810000000000001</v>
      </c>
      <c r="V15" s="276"/>
      <c r="W15" s="255"/>
      <c r="X15" s="5"/>
    </row>
    <row r="16" spans="1:24" ht="15.75" x14ac:dyDescent="0.25">
      <c r="A16" s="181"/>
      <c r="B16" s="388" t="s">
        <v>3</v>
      </c>
      <c r="C16" s="255"/>
      <c r="D16" s="255"/>
      <c r="E16" s="255"/>
      <c r="F16" s="255"/>
      <c r="G16" s="255"/>
      <c r="H16" s="389"/>
      <c r="I16" s="389"/>
      <c r="J16" s="389"/>
      <c r="K16" s="389"/>
      <c r="L16" s="389"/>
      <c r="M16" s="389"/>
      <c r="N16" s="389"/>
      <c r="O16" s="389"/>
      <c r="P16" s="389"/>
      <c r="Q16" s="389"/>
      <c r="R16" s="389" t="s">
        <v>104</v>
      </c>
      <c r="S16" s="390">
        <v>0.53990000000000005</v>
      </c>
      <c r="T16" s="391" t="s">
        <v>140</v>
      </c>
      <c r="U16" s="390">
        <v>0.46010000000000001</v>
      </c>
      <c r="V16" s="276"/>
      <c r="W16" s="255"/>
      <c r="X16" s="5"/>
    </row>
    <row r="17" spans="1:24" ht="15.75" x14ac:dyDescent="0.25">
      <c r="A17" s="181"/>
      <c r="B17" s="388" t="s">
        <v>4</v>
      </c>
      <c r="C17" s="255"/>
      <c r="D17" s="255"/>
      <c r="E17" s="255"/>
      <c r="F17" s="255"/>
      <c r="G17" s="255"/>
      <c r="H17" s="255"/>
      <c r="I17" s="255"/>
      <c r="J17" s="255"/>
      <c r="K17" s="255"/>
      <c r="L17" s="255"/>
      <c r="M17" s="255"/>
      <c r="N17" s="255"/>
      <c r="O17" s="255"/>
      <c r="P17" s="255"/>
      <c r="Q17" s="255"/>
      <c r="R17" s="255"/>
      <c r="S17" s="255"/>
      <c r="T17" s="255"/>
      <c r="U17" s="255"/>
      <c r="V17" s="392">
        <v>39282</v>
      </c>
      <c r="W17" s="255"/>
      <c r="X17" s="5"/>
    </row>
    <row r="18" spans="1:24" ht="15.75" x14ac:dyDescent="0.25">
      <c r="A18" s="181"/>
      <c r="B18" s="388" t="s">
        <v>5</v>
      </c>
      <c r="C18" s="255"/>
      <c r="D18" s="255"/>
      <c r="E18" s="255"/>
      <c r="F18" s="255"/>
      <c r="G18" s="255"/>
      <c r="H18" s="255"/>
      <c r="I18" s="255"/>
      <c r="J18" s="255"/>
      <c r="K18" s="255"/>
      <c r="L18" s="255"/>
      <c r="M18" s="255"/>
      <c r="N18" s="255"/>
      <c r="O18" s="255"/>
      <c r="P18" s="255"/>
      <c r="Q18" s="255"/>
      <c r="R18" s="255"/>
      <c r="S18" s="255"/>
      <c r="T18" s="255"/>
      <c r="U18" s="255"/>
      <c r="V18" s="392">
        <v>41082</v>
      </c>
      <c r="W18" s="255"/>
      <c r="X18" s="5"/>
    </row>
    <row r="19" spans="1:24" ht="15.75" x14ac:dyDescent="0.25">
      <c r="A19" s="181"/>
      <c r="B19" s="183"/>
      <c r="C19" s="183"/>
      <c r="D19" s="183"/>
      <c r="E19" s="183"/>
      <c r="F19" s="183"/>
      <c r="G19" s="183"/>
      <c r="H19" s="183"/>
      <c r="I19" s="183"/>
      <c r="J19" s="183"/>
      <c r="K19" s="183"/>
      <c r="L19" s="183"/>
      <c r="M19" s="183"/>
      <c r="N19" s="183"/>
      <c r="O19" s="183"/>
      <c r="P19" s="183"/>
      <c r="Q19" s="183"/>
      <c r="R19" s="183"/>
      <c r="S19" s="183"/>
      <c r="T19" s="183"/>
      <c r="U19" s="183"/>
      <c r="V19" s="190"/>
      <c r="W19" s="183"/>
      <c r="X19" s="5"/>
    </row>
    <row r="20" spans="1:24" ht="15.75" x14ac:dyDescent="0.25">
      <c r="A20" s="181"/>
      <c r="B20" s="280" t="s">
        <v>6</v>
      </c>
      <c r="C20" s="255"/>
      <c r="D20" s="255"/>
      <c r="E20" s="255"/>
      <c r="F20" s="255"/>
      <c r="G20" s="255"/>
      <c r="H20" s="255"/>
      <c r="I20" s="255"/>
      <c r="J20" s="255"/>
      <c r="K20" s="255"/>
      <c r="L20" s="255"/>
      <c r="M20" s="255"/>
      <c r="N20" s="255"/>
      <c r="O20" s="255"/>
      <c r="P20" s="255"/>
      <c r="Q20" s="255"/>
      <c r="R20" s="255"/>
      <c r="S20" s="255"/>
      <c r="T20" s="281" t="s">
        <v>105</v>
      </c>
      <c r="U20" s="255"/>
      <c r="V20" s="261"/>
      <c r="W20" s="183"/>
      <c r="X20" s="5"/>
    </row>
    <row r="21" spans="1:24" ht="15.75" x14ac:dyDescent="0.25">
      <c r="A21" s="181"/>
      <c r="B21" s="183"/>
      <c r="C21" s="183"/>
      <c r="D21" s="183"/>
      <c r="E21" s="183"/>
      <c r="F21" s="183"/>
      <c r="G21" s="183"/>
      <c r="H21" s="183"/>
      <c r="I21" s="183"/>
      <c r="J21" s="183"/>
      <c r="K21" s="183"/>
      <c r="L21" s="183"/>
      <c r="M21" s="183"/>
      <c r="N21" s="183"/>
      <c r="O21" s="183"/>
      <c r="P21" s="183"/>
      <c r="Q21" s="183"/>
      <c r="R21" s="183"/>
      <c r="S21" s="183"/>
      <c r="T21" s="183"/>
      <c r="U21" s="183"/>
      <c r="V21" s="192"/>
      <c r="W21" s="183"/>
      <c r="X21" s="5"/>
    </row>
    <row r="22" spans="1:24" ht="15.75" x14ac:dyDescent="0.25">
      <c r="A22" s="224"/>
      <c r="B22" s="225"/>
      <c r="C22" s="226"/>
      <c r="D22" s="226" t="s">
        <v>177</v>
      </c>
      <c r="E22" s="226"/>
      <c r="F22" s="226" t="s">
        <v>178</v>
      </c>
      <c r="G22" s="226"/>
      <c r="H22" s="226" t="s">
        <v>179</v>
      </c>
      <c r="I22" s="226"/>
      <c r="J22" s="226" t="s">
        <v>219</v>
      </c>
      <c r="K22" s="226"/>
      <c r="L22" s="226" t="s">
        <v>180</v>
      </c>
      <c r="M22" s="226"/>
      <c r="N22" s="226" t="s">
        <v>181</v>
      </c>
      <c r="O22" s="226"/>
      <c r="P22" s="226" t="s">
        <v>182</v>
      </c>
      <c r="Q22" s="226"/>
      <c r="R22" s="226"/>
      <c r="S22" s="228"/>
      <c r="T22" s="228"/>
      <c r="U22" s="229"/>
      <c r="V22" s="229"/>
      <c r="W22" s="225"/>
      <c r="X22" s="5"/>
    </row>
    <row r="23" spans="1:24" ht="15.75" x14ac:dyDescent="0.25">
      <c r="A23" s="193"/>
      <c r="B23" s="250" t="s">
        <v>7</v>
      </c>
      <c r="C23" s="282"/>
      <c r="D23" s="282" t="s">
        <v>212</v>
      </c>
      <c r="E23" s="282"/>
      <c r="F23" s="282" t="s">
        <v>141</v>
      </c>
      <c r="G23" s="282"/>
      <c r="H23" s="282" t="s">
        <v>141</v>
      </c>
      <c r="I23" s="282"/>
      <c r="J23" s="282" t="s">
        <v>141</v>
      </c>
      <c r="K23" s="282"/>
      <c r="L23" s="282" t="s">
        <v>183</v>
      </c>
      <c r="M23" s="282"/>
      <c r="N23" s="282" t="s">
        <v>183</v>
      </c>
      <c r="O23" s="282"/>
      <c r="P23" s="282" t="s">
        <v>142</v>
      </c>
      <c r="Q23" s="282"/>
      <c r="R23" s="282"/>
      <c r="S23" s="282"/>
      <c r="T23" s="282"/>
      <c r="U23" s="273"/>
      <c r="V23" s="273"/>
      <c r="W23" s="250"/>
      <c r="X23" s="5"/>
    </row>
    <row r="24" spans="1:24" ht="15.75" x14ac:dyDescent="0.25">
      <c r="A24" s="285"/>
      <c r="B24" s="286" t="s">
        <v>8</v>
      </c>
      <c r="C24" s="287"/>
      <c r="D24" s="287" t="s">
        <v>213</v>
      </c>
      <c r="E24" s="287"/>
      <c r="F24" s="287" t="s">
        <v>143</v>
      </c>
      <c r="G24" s="287"/>
      <c r="H24" s="287" t="s">
        <v>143</v>
      </c>
      <c r="I24" s="287"/>
      <c r="J24" s="287" t="s">
        <v>143</v>
      </c>
      <c r="K24" s="287"/>
      <c r="L24" s="287" t="s">
        <v>165</v>
      </c>
      <c r="M24" s="287"/>
      <c r="N24" s="287" t="s">
        <v>165</v>
      </c>
      <c r="O24" s="287"/>
      <c r="P24" s="287" t="s">
        <v>144</v>
      </c>
      <c r="Q24" s="287"/>
      <c r="R24" s="287"/>
      <c r="S24" s="287"/>
      <c r="T24" s="287"/>
      <c r="U24" s="288"/>
      <c r="V24" s="288"/>
      <c r="W24" s="289"/>
      <c r="X24" s="5"/>
    </row>
    <row r="25" spans="1:24" ht="15.75" x14ac:dyDescent="0.25">
      <c r="A25" s="290"/>
      <c r="B25" s="286" t="s">
        <v>190</v>
      </c>
      <c r="C25" s="292"/>
      <c r="D25" s="287" t="s">
        <v>214</v>
      </c>
      <c r="E25" s="287"/>
      <c r="F25" s="287" t="s">
        <v>143</v>
      </c>
      <c r="G25" s="287"/>
      <c r="H25" s="287" t="s">
        <v>143</v>
      </c>
      <c r="I25" s="287"/>
      <c r="J25" s="287" t="s">
        <v>143</v>
      </c>
      <c r="K25" s="287"/>
      <c r="L25" s="287" t="s">
        <v>165</v>
      </c>
      <c r="M25" s="287"/>
      <c r="N25" s="287" t="s">
        <v>165</v>
      </c>
      <c r="O25" s="287"/>
      <c r="P25" s="287" t="s">
        <v>144</v>
      </c>
      <c r="Q25" s="287"/>
      <c r="R25" s="287"/>
      <c r="S25" s="292"/>
      <c r="T25" s="287"/>
      <c r="U25" s="288"/>
      <c r="V25" s="288"/>
      <c r="W25" s="289"/>
      <c r="X25" s="5"/>
    </row>
    <row r="26" spans="1:24" ht="15.75" x14ac:dyDescent="0.25">
      <c r="A26" s="393"/>
      <c r="B26" s="297" t="s">
        <v>9</v>
      </c>
      <c r="C26" s="292"/>
      <c r="D26" s="292" t="s">
        <v>141</v>
      </c>
      <c r="E26" s="292"/>
      <c r="F26" s="292" t="s">
        <v>141</v>
      </c>
      <c r="G26" s="292"/>
      <c r="H26" s="292" t="s">
        <v>141</v>
      </c>
      <c r="I26" s="292"/>
      <c r="J26" s="292" t="s">
        <v>141</v>
      </c>
      <c r="K26" s="292"/>
      <c r="L26" s="292" t="s">
        <v>183</v>
      </c>
      <c r="M26" s="292"/>
      <c r="N26" s="292" t="s">
        <v>183</v>
      </c>
      <c r="O26" s="292"/>
      <c r="P26" s="292" t="s">
        <v>142</v>
      </c>
      <c r="Q26" s="292"/>
      <c r="R26" s="292"/>
      <c r="S26" s="292"/>
      <c r="T26" s="287"/>
      <c r="U26" s="288"/>
      <c r="V26" s="288"/>
      <c r="W26" s="289"/>
      <c r="X26" s="5"/>
    </row>
    <row r="27" spans="1:24" ht="15.75" x14ac:dyDescent="0.25">
      <c r="A27" s="295"/>
      <c r="B27" s="297" t="s">
        <v>191</v>
      </c>
      <c r="C27" s="287"/>
      <c r="D27" s="292" t="s">
        <v>143</v>
      </c>
      <c r="E27" s="292"/>
      <c r="F27" s="292" t="s">
        <v>143</v>
      </c>
      <c r="G27" s="292"/>
      <c r="H27" s="292" t="s">
        <v>143</v>
      </c>
      <c r="I27" s="292"/>
      <c r="J27" s="292" t="s">
        <v>143</v>
      </c>
      <c r="K27" s="292"/>
      <c r="L27" s="292" t="s">
        <v>307</v>
      </c>
      <c r="M27" s="292"/>
      <c r="N27" s="292" t="s">
        <v>307</v>
      </c>
      <c r="O27" s="292"/>
      <c r="P27" s="292" t="s">
        <v>308</v>
      </c>
      <c r="Q27" s="292"/>
      <c r="R27" s="292"/>
      <c r="S27" s="287"/>
      <c r="T27" s="296"/>
      <c r="U27" s="288"/>
      <c r="V27" s="288"/>
      <c r="W27" s="289"/>
      <c r="X27" s="5"/>
    </row>
    <row r="28" spans="1:24" ht="15.75" x14ac:dyDescent="0.25">
      <c r="A28" s="295"/>
      <c r="B28" s="297" t="s">
        <v>192</v>
      </c>
      <c r="C28" s="287"/>
      <c r="D28" s="292" t="s">
        <v>143</v>
      </c>
      <c r="E28" s="292"/>
      <c r="F28" s="292" t="s">
        <v>143</v>
      </c>
      <c r="G28" s="292"/>
      <c r="H28" s="292" t="s">
        <v>143</v>
      </c>
      <c r="I28" s="292"/>
      <c r="J28" s="292" t="s">
        <v>143</v>
      </c>
      <c r="K28" s="292"/>
      <c r="L28" s="292" t="s">
        <v>165</v>
      </c>
      <c r="M28" s="292"/>
      <c r="N28" s="292" t="s">
        <v>165</v>
      </c>
      <c r="O28" s="292"/>
      <c r="P28" s="292" t="s">
        <v>309</v>
      </c>
      <c r="Q28" s="292"/>
      <c r="R28" s="292"/>
      <c r="S28" s="287"/>
      <c r="T28" s="296"/>
      <c r="U28" s="288"/>
      <c r="V28" s="288"/>
      <c r="W28" s="289"/>
      <c r="X28" s="5"/>
    </row>
    <row r="29" spans="1:24" ht="15.75" x14ac:dyDescent="0.25">
      <c r="A29" s="295"/>
      <c r="B29" s="286" t="s">
        <v>10</v>
      </c>
      <c r="C29" s="298"/>
      <c r="D29" s="287" t="s">
        <v>242</v>
      </c>
      <c r="E29" s="287"/>
      <c r="F29" s="296" t="s">
        <v>244</v>
      </c>
      <c r="G29" s="287"/>
      <c r="H29" s="287" t="s">
        <v>245</v>
      </c>
      <c r="I29" s="287"/>
      <c r="J29" s="287" t="s">
        <v>247</v>
      </c>
      <c r="K29" s="287"/>
      <c r="L29" s="287" t="s">
        <v>248</v>
      </c>
      <c r="M29" s="287"/>
      <c r="N29" s="287" t="s">
        <v>249</v>
      </c>
      <c r="O29" s="287"/>
      <c r="P29" s="287" t="s">
        <v>250</v>
      </c>
      <c r="Q29" s="287"/>
      <c r="R29" s="287"/>
      <c r="S29" s="299"/>
      <c r="T29" s="299"/>
      <c r="U29" s="300"/>
      <c r="V29" s="299"/>
      <c r="W29" s="301"/>
      <c r="X29" s="5"/>
    </row>
    <row r="30" spans="1:24" ht="15.75" x14ac:dyDescent="0.25">
      <c r="A30" s="295"/>
      <c r="B30" s="286" t="s">
        <v>10</v>
      </c>
      <c r="C30" s="298"/>
      <c r="D30" s="287" t="s">
        <v>243</v>
      </c>
      <c r="E30" s="287"/>
      <c r="F30" s="296" t="s">
        <v>118</v>
      </c>
      <c r="G30" s="287"/>
      <c r="H30" s="287" t="s">
        <v>118</v>
      </c>
      <c r="I30" s="287"/>
      <c r="J30" s="287" t="s">
        <v>246</v>
      </c>
      <c r="K30" s="287"/>
      <c r="L30" s="287" t="s">
        <v>118</v>
      </c>
      <c r="M30" s="287"/>
      <c r="N30" s="287" t="s">
        <v>118</v>
      </c>
      <c r="O30" s="287"/>
      <c r="P30" s="287" t="s">
        <v>118</v>
      </c>
      <c r="Q30" s="287"/>
      <c r="R30" s="287"/>
      <c r="S30" s="299"/>
      <c r="T30" s="299"/>
      <c r="U30" s="300"/>
      <c r="V30" s="299"/>
      <c r="W30" s="301"/>
      <c r="X30" s="5"/>
    </row>
    <row r="31" spans="1:24" ht="15.75" x14ac:dyDescent="0.25">
      <c r="A31" s="393"/>
      <c r="B31" s="286" t="s">
        <v>133</v>
      </c>
      <c r="C31" s="310"/>
      <c r="D31" s="303">
        <v>1000000</v>
      </c>
      <c r="E31" s="298"/>
      <c r="F31" s="299">
        <v>209500</v>
      </c>
      <c r="G31" s="299"/>
      <c r="H31" s="304">
        <v>110000</v>
      </c>
      <c r="I31" s="304"/>
      <c r="J31" s="303">
        <v>150000</v>
      </c>
      <c r="K31" s="299"/>
      <c r="L31" s="299">
        <v>17000</v>
      </c>
      <c r="M31" s="299"/>
      <c r="N31" s="304">
        <v>85500</v>
      </c>
      <c r="O31" s="299"/>
      <c r="P31" s="304">
        <v>110500</v>
      </c>
      <c r="Q31" s="299"/>
      <c r="R31" s="304"/>
      <c r="S31" s="312"/>
      <c r="T31" s="312"/>
      <c r="U31" s="306"/>
      <c r="V31" s="312"/>
      <c r="W31" s="301"/>
      <c r="X31" s="5"/>
    </row>
    <row r="32" spans="1:24" ht="15.75" x14ac:dyDescent="0.25">
      <c r="A32" s="295"/>
      <c r="B32" s="286" t="s">
        <v>132</v>
      </c>
      <c r="C32" s="298"/>
      <c r="D32" s="303">
        <f>D31*D38</f>
        <v>796353.6</v>
      </c>
      <c r="E32" s="298"/>
      <c r="F32" s="299">
        <f>F31*F38</f>
        <v>166836.2887</v>
      </c>
      <c r="G32" s="299"/>
      <c r="H32" s="304">
        <f>H31*H38</f>
        <v>87599.423999999999</v>
      </c>
      <c r="I32" s="304"/>
      <c r="J32" s="303">
        <f>J31*J38</f>
        <v>119453.04</v>
      </c>
      <c r="K32" s="299"/>
      <c r="L32" s="299">
        <f>L31*L38</f>
        <v>17000</v>
      </c>
      <c r="M32" s="299"/>
      <c r="N32" s="304">
        <f>N31*N38</f>
        <v>85500</v>
      </c>
      <c r="O32" s="299"/>
      <c r="P32" s="304">
        <f>P31*P38</f>
        <v>110500</v>
      </c>
      <c r="Q32" s="299"/>
      <c r="R32" s="304"/>
      <c r="S32" s="299"/>
      <c r="T32" s="299"/>
      <c r="U32" s="300"/>
      <c r="V32" s="299"/>
      <c r="W32" s="301"/>
      <c r="X32" s="5"/>
    </row>
    <row r="33" spans="1:27" ht="15.75" x14ac:dyDescent="0.25">
      <c r="A33" s="295"/>
      <c r="B33" s="297" t="s">
        <v>134</v>
      </c>
      <c r="C33" s="298"/>
      <c r="D33" s="394">
        <f>D37*D31</f>
        <v>792072.4</v>
      </c>
      <c r="E33" s="310"/>
      <c r="F33" s="312">
        <f>F37*F31</f>
        <v>165939.37730000002</v>
      </c>
      <c r="G33" s="312"/>
      <c r="H33" s="395">
        <f>H31*H37</f>
        <v>87128.51400000001</v>
      </c>
      <c r="I33" s="395"/>
      <c r="J33" s="394">
        <f>J37*J31</f>
        <v>118810.86</v>
      </c>
      <c r="K33" s="312"/>
      <c r="L33" s="312">
        <f>L31*L37</f>
        <v>17000</v>
      </c>
      <c r="M33" s="312"/>
      <c r="N33" s="395">
        <f>N31*N37</f>
        <v>85500</v>
      </c>
      <c r="O33" s="312"/>
      <c r="P33" s="395">
        <f>P31*P37</f>
        <v>110500</v>
      </c>
      <c r="Q33" s="312"/>
      <c r="R33" s="395"/>
      <c r="S33" s="299"/>
      <c r="T33" s="299"/>
      <c r="U33" s="300"/>
      <c r="V33" s="299"/>
      <c r="W33" s="301"/>
      <c r="X33" s="5"/>
    </row>
    <row r="34" spans="1:27" ht="15.75" x14ac:dyDescent="0.25">
      <c r="A34" s="393"/>
      <c r="B34" s="286" t="s">
        <v>286</v>
      </c>
      <c r="C34" s="310"/>
      <c r="D34" s="299">
        <v>492951</v>
      </c>
      <c r="E34" s="298"/>
      <c r="F34" s="299">
        <v>209500</v>
      </c>
      <c r="G34" s="299"/>
      <c r="H34" s="299">
        <v>74677</v>
      </c>
      <c r="I34" s="299"/>
      <c r="J34" s="299">
        <v>73943</v>
      </c>
      <c r="K34" s="299"/>
      <c r="L34" s="299">
        <v>17000</v>
      </c>
      <c r="M34" s="299"/>
      <c r="N34" s="299">
        <v>58045</v>
      </c>
      <c r="O34" s="299"/>
      <c r="P34" s="299">
        <v>75017</v>
      </c>
      <c r="Q34" s="299"/>
      <c r="R34" s="299"/>
      <c r="S34" s="312"/>
      <c r="T34" s="312"/>
      <c r="U34" s="306"/>
      <c r="V34" s="299">
        <f>SUM(C34:R34)</f>
        <v>1001133</v>
      </c>
      <c r="W34" s="301"/>
      <c r="X34" s="5"/>
    </row>
    <row r="35" spans="1:27" ht="15.75" x14ac:dyDescent="0.25">
      <c r="A35" s="393"/>
      <c r="B35" s="286" t="s">
        <v>287</v>
      </c>
      <c r="C35" s="310"/>
      <c r="D35" s="299">
        <f>D34*D38</f>
        <v>392563.30347360001</v>
      </c>
      <c r="E35" s="298"/>
      <c r="F35" s="299">
        <f>F34*F38</f>
        <v>166836.2887</v>
      </c>
      <c r="G35" s="299"/>
      <c r="H35" s="299">
        <f>H34*H38</f>
        <v>59469.656236800001</v>
      </c>
      <c r="I35" s="299"/>
      <c r="J35" s="299">
        <f>J34*J38</f>
        <v>58884.774244799999</v>
      </c>
      <c r="K35" s="299"/>
      <c r="L35" s="299">
        <f>L34*L38</f>
        <v>17000</v>
      </c>
      <c r="M35" s="299"/>
      <c r="N35" s="299">
        <f>N34*N38</f>
        <v>58045</v>
      </c>
      <c r="O35" s="299"/>
      <c r="P35" s="299">
        <f>P34*P38</f>
        <v>75017</v>
      </c>
      <c r="Q35" s="299"/>
      <c r="R35" s="299"/>
      <c r="S35" s="299"/>
      <c r="T35" s="299"/>
      <c r="U35" s="300"/>
      <c r="V35" s="299">
        <f>SUM(C35:R35)</f>
        <v>827816.02265519998</v>
      </c>
      <c r="W35" s="301"/>
      <c r="X35" s="5"/>
    </row>
    <row r="36" spans="1:27" ht="15.75" x14ac:dyDescent="0.25">
      <c r="A36" s="393"/>
      <c r="B36" s="297" t="s">
        <v>288</v>
      </c>
      <c r="C36" s="310"/>
      <c r="D36" s="312">
        <f>D34*D37</f>
        <v>390452.88165240001</v>
      </c>
      <c r="E36" s="310"/>
      <c r="F36" s="312">
        <f>F34*F37</f>
        <v>165939.37730000002</v>
      </c>
      <c r="G36" s="312"/>
      <c r="H36" s="312">
        <f>H34*H37</f>
        <v>59149.963999800006</v>
      </c>
      <c r="I36" s="312"/>
      <c r="J36" s="312">
        <f>J34*J37</f>
        <v>58568.209473200004</v>
      </c>
      <c r="K36" s="312"/>
      <c r="L36" s="312">
        <f>L34*L37</f>
        <v>17000</v>
      </c>
      <c r="M36" s="312"/>
      <c r="N36" s="312">
        <f>N34*N37</f>
        <v>58045</v>
      </c>
      <c r="O36" s="312"/>
      <c r="P36" s="312">
        <f>P34*P37</f>
        <v>75017</v>
      </c>
      <c r="Q36" s="312"/>
      <c r="R36" s="312"/>
      <c r="S36" s="311"/>
      <c r="T36" s="311"/>
      <c r="U36" s="300"/>
      <c r="V36" s="312">
        <f>SUM(C36:R36)</f>
        <v>824172.43242540013</v>
      </c>
      <c r="W36" s="301"/>
      <c r="X36" s="5"/>
    </row>
    <row r="37" spans="1:27" ht="15.75" x14ac:dyDescent="0.25">
      <c r="A37" s="285"/>
      <c r="B37" s="313" t="s">
        <v>130</v>
      </c>
      <c r="C37" s="314"/>
      <c r="D37" s="315">
        <v>0.79207240000000001</v>
      </c>
      <c r="E37" s="315"/>
      <c r="F37" s="315">
        <v>0.79207340000000004</v>
      </c>
      <c r="G37" s="315"/>
      <c r="H37" s="315">
        <v>0.79207740000000004</v>
      </c>
      <c r="I37" s="315"/>
      <c r="J37" s="315">
        <v>0.79207240000000001</v>
      </c>
      <c r="K37" s="315"/>
      <c r="L37" s="315">
        <v>1</v>
      </c>
      <c r="M37" s="315"/>
      <c r="N37" s="315">
        <v>1</v>
      </c>
      <c r="O37" s="315"/>
      <c r="P37" s="315">
        <v>1</v>
      </c>
      <c r="Q37" s="315"/>
      <c r="R37" s="315"/>
      <c r="S37" s="316"/>
      <c r="T37" s="316"/>
      <c r="U37" s="317"/>
      <c r="V37" s="317"/>
      <c r="W37" s="318"/>
      <c r="X37" s="5"/>
    </row>
    <row r="38" spans="1:27" ht="15.75" x14ac:dyDescent="0.25">
      <c r="A38" s="285"/>
      <c r="B38" s="313" t="s">
        <v>131</v>
      </c>
      <c r="C38" s="314"/>
      <c r="D38" s="315">
        <v>0.79635359999999999</v>
      </c>
      <c r="E38" s="315"/>
      <c r="F38" s="315">
        <v>0.79635460000000002</v>
      </c>
      <c r="G38" s="315"/>
      <c r="H38" s="315">
        <v>0.79635840000000002</v>
      </c>
      <c r="I38" s="315"/>
      <c r="J38" s="315">
        <v>0.79635359999999999</v>
      </c>
      <c r="K38" s="315"/>
      <c r="L38" s="315">
        <v>1</v>
      </c>
      <c r="M38" s="315"/>
      <c r="N38" s="315">
        <v>1</v>
      </c>
      <c r="O38" s="315"/>
      <c r="P38" s="315">
        <v>1</v>
      </c>
      <c r="Q38" s="315"/>
      <c r="R38" s="315"/>
      <c r="S38" s="319"/>
      <c r="T38" s="320"/>
      <c r="U38" s="317"/>
      <c r="V38" s="319"/>
      <c r="W38" s="318"/>
      <c r="X38" s="5"/>
    </row>
    <row r="39" spans="1:27" ht="15.75" x14ac:dyDescent="0.25">
      <c r="A39" s="285"/>
      <c r="B39" s="286" t="s">
        <v>11</v>
      </c>
      <c r="C39" s="286"/>
      <c r="D39" s="296" t="s">
        <v>278</v>
      </c>
      <c r="E39" s="286"/>
      <c r="F39" s="296" t="s">
        <v>251</v>
      </c>
      <c r="G39" s="296"/>
      <c r="H39" s="296" t="s">
        <v>252</v>
      </c>
      <c r="I39" s="296"/>
      <c r="J39" s="296" t="s">
        <v>253</v>
      </c>
      <c r="K39" s="296"/>
      <c r="L39" s="296" t="s">
        <v>254</v>
      </c>
      <c r="M39" s="296"/>
      <c r="N39" s="296" t="s">
        <v>254</v>
      </c>
      <c r="O39" s="296"/>
      <c r="P39" s="296" t="s">
        <v>255</v>
      </c>
      <c r="Q39" s="296"/>
      <c r="R39" s="296"/>
      <c r="S39" s="321"/>
      <c r="T39" s="322"/>
      <c r="U39" s="288"/>
      <c r="V39" s="288"/>
      <c r="W39" s="289"/>
      <c r="X39" s="5"/>
    </row>
    <row r="40" spans="1:27" ht="15.75" x14ac:dyDescent="0.25">
      <c r="A40" s="285"/>
      <c r="B40" s="286" t="s">
        <v>12</v>
      </c>
      <c r="C40" s="286"/>
      <c r="D40" s="322">
        <v>3.2875000000000001E-3</v>
      </c>
      <c r="E40" s="286"/>
      <c r="F40" s="322">
        <v>1.16869E-2</v>
      </c>
      <c r="G40" s="321"/>
      <c r="H40" s="322">
        <v>9.9600000000000001E-3</v>
      </c>
      <c r="I40" s="322"/>
      <c r="J40" s="322">
        <v>5.8364999999999997E-3</v>
      </c>
      <c r="K40" s="321"/>
      <c r="L40" s="322">
        <v>1.30869E-2</v>
      </c>
      <c r="M40" s="321"/>
      <c r="N40" s="322">
        <v>1.146E-2</v>
      </c>
      <c r="O40" s="321"/>
      <c r="P40" s="322">
        <v>1.426E-2</v>
      </c>
      <c r="Q40" s="321"/>
      <c r="R40" s="322"/>
      <c r="S40" s="321"/>
      <c r="T40" s="322"/>
      <c r="U40" s="288"/>
      <c r="V40" s="296"/>
      <c r="W40" s="289"/>
      <c r="X40" s="5"/>
      <c r="AA40" s="1" t="s">
        <v>193</v>
      </c>
    </row>
    <row r="41" spans="1:27" ht="15.75" x14ac:dyDescent="0.25">
      <c r="A41" s="285"/>
      <c r="B41" s="286" t="s">
        <v>13</v>
      </c>
      <c r="C41" s="286"/>
      <c r="D41" s="322">
        <v>3.385E-3</v>
      </c>
      <c r="E41" s="286"/>
      <c r="F41" s="322">
        <v>1.1913099999999999E-2</v>
      </c>
      <c r="G41" s="321"/>
      <c r="H41" s="322">
        <v>1.546E-2</v>
      </c>
      <c r="I41" s="322"/>
      <c r="J41" s="322">
        <v>6.5624999999999998E-3</v>
      </c>
      <c r="K41" s="321"/>
      <c r="L41" s="322">
        <v>1.33131E-2</v>
      </c>
      <c r="M41" s="321"/>
      <c r="N41" s="322">
        <v>1.6959999999999999E-2</v>
      </c>
      <c r="O41" s="321"/>
      <c r="P41" s="322">
        <v>1.976E-2</v>
      </c>
      <c r="Q41" s="321"/>
      <c r="R41" s="322"/>
      <c r="S41" s="321"/>
      <c r="T41" s="322"/>
      <c r="U41" s="288"/>
      <c r="V41" s="321" t="s">
        <v>193</v>
      </c>
      <c r="W41" s="289"/>
      <c r="X41" s="5"/>
    </row>
    <row r="42" spans="1:27" ht="15.75" x14ac:dyDescent="0.25">
      <c r="A42" s="285"/>
      <c r="B42" s="286" t="s">
        <v>289</v>
      </c>
      <c r="C42" s="286"/>
      <c r="D42" s="296" t="s">
        <v>279</v>
      </c>
      <c r="E42" s="286"/>
      <c r="F42" s="296" t="s">
        <v>251</v>
      </c>
      <c r="G42" s="296"/>
      <c r="H42" s="296" t="s">
        <v>229</v>
      </c>
      <c r="I42" s="296"/>
      <c r="J42" s="296" t="s">
        <v>229</v>
      </c>
      <c r="K42" s="296"/>
      <c r="L42" s="296" t="s">
        <v>254</v>
      </c>
      <c r="M42" s="296"/>
      <c r="N42" s="296" t="s">
        <v>262</v>
      </c>
      <c r="O42" s="296"/>
      <c r="P42" s="296" t="s">
        <v>263</v>
      </c>
      <c r="Q42" s="296"/>
      <c r="R42" s="296"/>
      <c r="S42" s="321"/>
      <c r="T42" s="322"/>
      <c r="U42" s="288"/>
      <c r="V42" s="288"/>
      <c r="W42" s="289"/>
      <c r="X42" s="5"/>
    </row>
    <row r="43" spans="1:27" ht="15.75" x14ac:dyDescent="0.25">
      <c r="A43" s="285"/>
      <c r="B43" s="286" t="s">
        <v>290</v>
      </c>
      <c r="C43" s="323"/>
      <c r="D43" s="322">
        <v>1.1478850000000001E-2</v>
      </c>
      <c r="E43" s="322"/>
      <c r="F43" s="322">
        <f>+F40</f>
        <v>1.16869E-2</v>
      </c>
      <c r="G43" s="322"/>
      <c r="H43" s="322">
        <v>1.17619E-2</v>
      </c>
      <c r="I43" s="322"/>
      <c r="J43" s="322">
        <v>1.17769E-2</v>
      </c>
      <c r="K43" s="322"/>
      <c r="L43" s="322">
        <f>+L40</f>
        <v>1.30869E-2</v>
      </c>
      <c r="M43" s="322"/>
      <c r="N43" s="322">
        <v>1.34539E-2</v>
      </c>
      <c r="O43" s="322"/>
      <c r="P43" s="322">
        <v>1.6533900000000001E-2</v>
      </c>
      <c r="Q43" s="321"/>
      <c r="R43" s="322"/>
      <c r="S43" s="296"/>
      <c r="T43" s="296"/>
      <c r="U43" s="288"/>
      <c r="V43" s="321">
        <f>SUMPRODUCT(D43:R43,D35:R35)/V35</f>
        <v>1.2191915560427537E-2</v>
      </c>
      <c r="W43" s="289"/>
      <c r="X43" s="5"/>
    </row>
    <row r="44" spans="1:27" ht="15.75" x14ac:dyDescent="0.25">
      <c r="A44" s="285"/>
      <c r="B44" s="286" t="s">
        <v>291</v>
      </c>
      <c r="C44" s="323"/>
      <c r="D44" s="322">
        <v>1.170505E-2</v>
      </c>
      <c r="E44" s="322"/>
      <c r="F44" s="322">
        <f>+F41</f>
        <v>1.1913099999999999E-2</v>
      </c>
      <c r="G44" s="322"/>
      <c r="H44" s="322">
        <v>1.19881E-2</v>
      </c>
      <c r="I44" s="322"/>
      <c r="J44" s="322">
        <v>1.2003099999999999E-2</v>
      </c>
      <c r="K44" s="322"/>
      <c r="L44" s="322">
        <f>+L41</f>
        <v>1.33131E-2</v>
      </c>
      <c r="M44" s="322"/>
      <c r="N44" s="322">
        <v>1.3680100000000001E-2</v>
      </c>
      <c r="O44" s="322"/>
      <c r="P44" s="322">
        <v>1.67601E-2</v>
      </c>
      <c r="Q44" s="321"/>
      <c r="R44" s="322"/>
      <c r="S44" s="296"/>
      <c r="T44" s="296"/>
      <c r="U44" s="288"/>
      <c r="V44" s="288"/>
      <c r="W44" s="289"/>
      <c r="X44" s="5"/>
    </row>
    <row r="45" spans="1:27" ht="15.75" x14ac:dyDescent="0.25">
      <c r="A45" s="285"/>
      <c r="B45" s="286" t="s">
        <v>14</v>
      </c>
      <c r="C45" s="286"/>
      <c r="D45" s="323">
        <v>40709</v>
      </c>
      <c r="E45" s="323"/>
      <c r="F45" s="323">
        <v>40709</v>
      </c>
      <c r="G45" s="323"/>
      <c r="H45" s="323">
        <v>40709</v>
      </c>
      <c r="I45" s="323"/>
      <c r="J45" s="323">
        <v>40709</v>
      </c>
      <c r="K45" s="323"/>
      <c r="L45" s="323">
        <v>40709</v>
      </c>
      <c r="M45" s="323"/>
      <c r="N45" s="323">
        <v>40709</v>
      </c>
      <c r="O45" s="323"/>
      <c r="P45" s="323">
        <v>40709</v>
      </c>
      <c r="Q45" s="323"/>
      <c r="R45" s="323"/>
      <c r="S45" s="296"/>
      <c r="T45" s="296"/>
      <c r="U45" s="288"/>
      <c r="V45" s="288"/>
      <c r="W45" s="289"/>
      <c r="X45" s="5"/>
    </row>
    <row r="46" spans="1:27" ht="15.75" x14ac:dyDescent="0.25">
      <c r="A46" s="285"/>
      <c r="B46" s="286" t="s">
        <v>15</v>
      </c>
      <c r="C46" s="286"/>
      <c r="D46" s="323">
        <v>41075</v>
      </c>
      <c r="E46" s="323"/>
      <c r="F46" s="323">
        <v>41075</v>
      </c>
      <c r="G46" s="323"/>
      <c r="H46" s="323">
        <v>41075</v>
      </c>
      <c r="I46" s="323"/>
      <c r="J46" s="323">
        <v>41075</v>
      </c>
      <c r="K46" s="296"/>
      <c r="L46" s="323">
        <v>41075</v>
      </c>
      <c r="M46" s="296"/>
      <c r="N46" s="323">
        <v>41075</v>
      </c>
      <c r="O46" s="296"/>
      <c r="P46" s="323">
        <v>41075</v>
      </c>
      <c r="Q46" s="296"/>
      <c r="R46" s="323"/>
      <c r="S46" s="296"/>
      <c r="T46" s="296"/>
      <c r="U46" s="288"/>
      <c r="V46" s="288"/>
      <c r="W46" s="289"/>
      <c r="X46" s="5"/>
    </row>
    <row r="47" spans="1:27" ht="15.75" x14ac:dyDescent="0.25">
      <c r="A47" s="285"/>
      <c r="B47" s="286" t="s">
        <v>119</v>
      </c>
      <c r="C47" s="286"/>
      <c r="D47" s="296" t="s">
        <v>304</v>
      </c>
      <c r="E47" s="286"/>
      <c r="F47" s="296" t="s">
        <v>256</v>
      </c>
      <c r="G47" s="296"/>
      <c r="H47" s="296" t="s">
        <v>257</v>
      </c>
      <c r="I47" s="296"/>
      <c r="J47" s="296" t="s">
        <v>258</v>
      </c>
      <c r="K47" s="296"/>
      <c r="L47" s="296" t="s">
        <v>259</v>
      </c>
      <c r="M47" s="296"/>
      <c r="N47" s="296" t="s">
        <v>259</v>
      </c>
      <c r="O47" s="296"/>
      <c r="P47" s="296" t="s">
        <v>260</v>
      </c>
      <c r="Q47" s="296"/>
      <c r="R47" s="296"/>
      <c r="S47" s="325"/>
      <c r="T47" s="325"/>
      <c r="U47" s="325"/>
      <c r="V47" s="325"/>
      <c r="W47" s="289"/>
      <c r="X47" s="5"/>
    </row>
    <row r="48" spans="1:27" ht="15.75" x14ac:dyDescent="0.25">
      <c r="A48" s="285"/>
      <c r="B48" s="286" t="s">
        <v>292</v>
      </c>
      <c r="C48" s="286"/>
      <c r="D48" s="296" t="s">
        <v>118</v>
      </c>
      <c r="E48" s="286"/>
      <c r="F48" s="296" t="s">
        <v>256</v>
      </c>
      <c r="G48" s="296"/>
      <c r="H48" s="296" t="s">
        <v>261</v>
      </c>
      <c r="I48" s="296"/>
      <c r="J48" s="296" t="s">
        <v>261</v>
      </c>
      <c r="K48" s="296"/>
      <c r="L48" s="296" t="s">
        <v>259</v>
      </c>
      <c r="M48" s="296"/>
      <c r="N48" s="296" t="s">
        <v>263</v>
      </c>
      <c r="O48" s="296"/>
      <c r="P48" s="296" t="s">
        <v>264</v>
      </c>
      <c r="Q48" s="296"/>
      <c r="R48" s="296"/>
      <c r="S48" s="286"/>
      <c r="T48" s="286"/>
      <c r="U48" s="286"/>
      <c r="V48" s="321"/>
      <c r="W48" s="289"/>
      <c r="X48" s="5"/>
    </row>
    <row r="49" spans="1:25" ht="15.75" x14ac:dyDescent="0.25">
      <c r="A49" s="285"/>
      <c r="B49" s="286"/>
      <c r="C49" s="286"/>
      <c r="D49" s="296"/>
      <c r="E49" s="286"/>
      <c r="F49" s="296"/>
      <c r="G49" s="296"/>
      <c r="H49" s="296"/>
      <c r="I49" s="296"/>
      <c r="J49" s="296"/>
      <c r="K49" s="296"/>
      <c r="L49" s="296"/>
      <c r="M49" s="296"/>
      <c r="N49" s="296"/>
      <c r="O49" s="296"/>
      <c r="P49" s="296"/>
      <c r="Q49" s="296"/>
      <c r="R49" s="296"/>
      <c r="S49" s="286"/>
      <c r="T49" s="286"/>
      <c r="U49" s="286"/>
      <c r="V49" s="321" t="s">
        <v>193</v>
      </c>
      <c r="W49" s="289"/>
      <c r="X49" s="5"/>
    </row>
    <row r="50" spans="1:25" ht="15.75" x14ac:dyDescent="0.25">
      <c r="A50" s="285"/>
      <c r="B50" s="286" t="s">
        <v>169</v>
      </c>
      <c r="C50" s="286"/>
      <c r="D50" s="296"/>
      <c r="E50" s="286"/>
      <c r="F50" s="296"/>
      <c r="G50" s="296"/>
      <c r="H50" s="296"/>
      <c r="I50" s="296"/>
      <c r="J50" s="296"/>
      <c r="K50" s="296"/>
      <c r="L50" s="296"/>
      <c r="M50" s="296"/>
      <c r="N50" s="296"/>
      <c r="O50" s="296"/>
      <c r="P50" s="296"/>
      <c r="Q50" s="296"/>
      <c r="R50" s="296"/>
      <c r="S50" s="286"/>
      <c r="T50" s="286"/>
      <c r="U50" s="286"/>
      <c r="V50" s="321">
        <f>SUM(L34:R34)/SUM(D34:J34)</f>
        <v>0.17632136449250416</v>
      </c>
      <c r="W50" s="289"/>
      <c r="X50" s="5"/>
    </row>
    <row r="51" spans="1:25" ht="15.75" x14ac:dyDescent="0.25">
      <c r="A51" s="285"/>
      <c r="B51" s="286" t="s">
        <v>170</v>
      </c>
      <c r="C51" s="286"/>
      <c r="D51" s="286"/>
      <c r="E51" s="286"/>
      <c r="F51" s="326"/>
      <c r="G51" s="286"/>
      <c r="H51" s="286"/>
      <c r="I51" s="286"/>
      <c r="J51" s="286"/>
      <c r="K51" s="286"/>
      <c r="L51" s="286"/>
      <c r="M51" s="286"/>
      <c r="N51" s="286"/>
      <c r="O51" s="286"/>
      <c r="P51" s="286"/>
      <c r="Q51" s="286"/>
      <c r="R51" s="286"/>
      <c r="S51" s="286"/>
      <c r="T51" s="286"/>
      <c r="U51" s="286"/>
      <c r="V51" s="321">
        <f>SUM(L36:R36)/SUM(D36:J36)</f>
        <v>0.222607443501635</v>
      </c>
      <c r="W51" s="289"/>
      <c r="X51" s="5"/>
    </row>
    <row r="52" spans="1:25" ht="15.75" x14ac:dyDescent="0.25">
      <c r="A52" s="285"/>
      <c r="B52" s="286" t="s">
        <v>171</v>
      </c>
      <c r="C52" s="286"/>
      <c r="D52" s="286"/>
      <c r="E52" s="286"/>
      <c r="F52" s="286"/>
      <c r="G52" s="286"/>
      <c r="H52" s="286"/>
      <c r="I52" s="286"/>
      <c r="J52" s="286"/>
      <c r="K52" s="286"/>
      <c r="L52" s="286"/>
      <c r="M52" s="286"/>
      <c r="N52" s="286"/>
      <c r="O52" s="286"/>
      <c r="P52" s="286"/>
      <c r="Q52" s="286"/>
      <c r="R52" s="286"/>
      <c r="S52" s="286"/>
      <c r="T52" s="296"/>
      <c r="U52" s="296"/>
      <c r="V52" s="299" t="s">
        <v>268</v>
      </c>
      <c r="W52" s="289"/>
      <c r="X52" s="5"/>
    </row>
    <row r="53" spans="1:25" ht="15.75" x14ac:dyDescent="0.25">
      <c r="A53" s="285"/>
      <c r="B53" s="286"/>
      <c r="C53" s="286"/>
      <c r="D53" s="286"/>
      <c r="E53" s="286"/>
      <c r="F53" s="286"/>
      <c r="G53" s="286"/>
      <c r="H53" s="286"/>
      <c r="I53" s="286"/>
      <c r="J53" s="286"/>
      <c r="K53" s="286"/>
      <c r="L53" s="286"/>
      <c r="M53" s="286"/>
      <c r="N53" s="286"/>
      <c r="O53" s="286"/>
      <c r="P53" s="286"/>
      <c r="Q53" s="286"/>
      <c r="R53" s="286"/>
      <c r="S53" s="286"/>
      <c r="T53" s="286"/>
      <c r="U53" s="286"/>
      <c r="V53" s="327"/>
      <c r="W53" s="289"/>
      <c r="X53" s="5"/>
    </row>
    <row r="54" spans="1:25" ht="15.75" x14ac:dyDescent="0.25">
      <c r="A54" s="285"/>
      <c r="B54" s="286" t="s">
        <v>202</v>
      </c>
      <c r="C54" s="286"/>
      <c r="D54" s="286"/>
      <c r="E54" s="286"/>
      <c r="F54" s="286"/>
      <c r="G54" s="286"/>
      <c r="H54" s="286"/>
      <c r="I54" s="286"/>
      <c r="J54" s="286"/>
      <c r="K54" s="286"/>
      <c r="L54" s="286"/>
      <c r="M54" s="286"/>
      <c r="N54" s="286"/>
      <c r="O54" s="286"/>
      <c r="P54" s="286"/>
      <c r="Q54" s="286"/>
      <c r="R54" s="286"/>
      <c r="S54" s="286"/>
      <c r="T54" s="286"/>
      <c r="U54" s="286"/>
      <c r="V54" s="311" t="s">
        <v>203</v>
      </c>
      <c r="W54" s="289"/>
      <c r="X54" s="5"/>
    </row>
    <row r="55" spans="1:25" ht="15.75" x14ac:dyDescent="0.25">
      <c r="A55" s="285"/>
      <c r="B55" s="286" t="s">
        <v>270</v>
      </c>
      <c r="C55" s="286"/>
      <c r="D55" s="286"/>
      <c r="E55" s="286"/>
      <c r="F55" s="286"/>
      <c r="G55" s="286"/>
      <c r="H55" s="286"/>
      <c r="I55" s="286"/>
      <c r="J55" s="286"/>
      <c r="K55" s="286"/>
      <c r="L55" s="286"/>
      <c r="M55" s="286"/>
      <c r="N55" s="286"/>
      <c r="O55" s="286"/>
      <c r="P55" s="286"/>
      <c r="Q55" s="286"/>
      <c r="R55" s="286"/>
      <c r="S55" s="286"/>
      <c r="T55" s="296"/>
      <c r="U55" s="296"/>
      <c r="V55" s="396" t="s">
        <v>111</v>
      </c>
      <c r="W55" s="289"/>
      <c r="X55" s="5"/>
    </row>
    <row r="56" spans="1:25" ht="15.75" x14ac:dyDescent="0.25">
      <c r="A56" s="285"/>
      <c r="B56" s="297" t="s">
        <v>201</v>
      </c>
      <c r="C56" s="297"/>
      <c r="D56" s="297"/>
      <c r="E56" s="297"/>
      <c r="F56" s="297"/>
      <c r="G56" s="297"/>
      <c r="H56" s="297"/>
      <c r="I56" s="297"/>
      <c r="J56" s="297"/>
      <c r="K56" s="297"/>
      <c r="L56" s="297"/>
      <c r="M56" s="297"/>
      <c r="N56" s="297"/>
      <c r="O56" s="297"/>
      <c r="P56" s="297"/>
      <c r="Q56" s="297"/>
      <c r="R56" s="297"/>
      <c r="S56" s="297"/>
      <c r="T56" s="397"/>
      <c r="U56" s="397"/>
      <c r="V56" s="398">
        <v>41075</v>
      </c>
      <c r="W56" s="289"/>
      <c r="X56" s="5"/>
    </row>
    <row r="57" spans="1:25" ht="15.75" x14ac:dyDescent="0.25">
      <c r="A57" s="285"/>
      <c r="B57" s="286" t="s">
        <v>121</v>
      </c>
      <c r="C57" s="286"/>
      <c r="D57" s="286"/>
      <c r="E57" s="286"/>
      <c r="F57" s="286"/>
      <c r="G57" s="286"/>
      <c r="H57" s="332"/>
      <c r="I57" s="332"/>
      <c r="J57" s="332"/>
      <c r="K57" s="332"/>
      <c r="L57" s="332"/>
      <c r="M57" s="332"/>
      <c r="N57" s="332"/>
      <c r="O57" s="332"/>
      <c r="P57" s="332"/>
      <c r="Q57" s="332"/>
      <c r="R57" s="286">
        <f>+V57-T57+1</f>
        <v>91</v>
      </c>
      <c r="S57" s="332"/>
      <c r="T57" s="333">
        <v>40892</v>
      </c>
      <c r="U57" s="334"/>
      <c r="V57" s="333">
        <v>40982</v>
      </c>
      <c r="W57" s="289"/>
      <c r="X57" s="5"/>
    </row>
    <row r="58" spans="1:25" ht="15.75" x14ac:dyDescent="0.25">
      <c r="A58" s="285"/>
      <c r="B58" s="286" t="s">
        <v>122</v>
      </c>
      <c r="C58" s="286"/>
      <c r="D58" s="286"/>
      <c r="E58" s="286"/>
      <c r="F58" s="286"/>
      <c r="G58" s="286"/>
      <c r="H58" s="286"/>
      <c r="I58" s="286"/>
      <c r="J58" s="286"/>
      <c r="K58" s="286"/>
      <c r="L58" s="286"/>
      <c r="M58" s="286"/>
      <c r="N58" s="286"/>
      <c r="O58" s="286"/>
      <c r="P58" s="286"/>
      <c r="Q58" s="286"/>
      <c r="R58" s="286">
        <f>+V58-T58+1</f>
        <v>92</v>
      </c>
      <c r="S58" s="286"/>
      <c r="T58" s="333">
        <v>40983</v>
      </c>
      <c r="U58" s="334"/>
      <c r="V58" s="333">
        <v>41074</v>
      </c>
      <c r="W58" s="289"/>
      <c r="X58" s="5"/>
    </row>
    <row r="59" spans="1:25" ht="15.75" x14ac:dyDescent="0.25">
      <c r="A59" s="285"/>
      <c r="B59" s="286" t="s">
        <v>223</v>
      </c>
      <c r="C59" s="286"/>
      <c r="D59" s="286"/>
      <c r="E59" s="286"/>
      <c r="F59" s="286"/>
      <c r="G59" s="286"/>
      <c r="H59" s="286"/>
      <c r="I59" s="286"/>
      <c r="J59" s="286"/>
      <c r="K59" s="286"/>
      <c r="L59" s="286"/>
      <c r="M59" s="286"/>
      <c r="N59" s="286"/>
      <c r="O59" s="286"/>
      <c r="P59" s="286"/>
      <c r="Q59" s="286"/>
      <c r="R59" s="286"/>
      <c r="S59" s="286"/>
      <c r="T59" s="333"/>
      <c r="U59" s="334"/>
      <c r="V59" s="333" t="s">
        <v>120</v>
      </c>
      <c r="W59" s="289"/>
      <c r="X59" s="5"/>
    </row>
    <row r="60" spans="1:25" ht="15.75" x14ac:dyDescent="0.25">
      <c r="A60" s="285"/>
      <c r="B60" s="286" t="s">
        <v>271</v>
      </c>
      <c r="C60" s="286"/>
      <c r="D60" s="286"/>
      <c r="E60" s="286"/>
      <c r="F60" s="286"/>
      <c r="G60" s="286"/>
      <c r="H60" s="286"/>
      <c r="I60" s="286"/>
      <c r="J60" s="286"/>
      <c r="K60" s="286"/>
      <c r="L60" s="286"/>
      <c r="M60" s="286"/>
      <c r="N60" s="286"/>
      <c r="O60" s="286"/>
      <c r="P60" s="286"/>
      <c r="Q60" s="286"/>
      <c r="R60" s="286"/>
      <c r="S60" s="286"/>
      <c r="T60" s="333"/>
      <c r="U60" s="334"/>
      <c r="V60" s="333" t="s">
        <v>154</v>
      </c>
      <c r="W60" s="289"/>
      <c r="X60" s="5"/>
      <c r="Y60" s="133"/>
    </row>
    <row r="61" spans="1:25" ht="15.75" x14ac:dyDescent="0.25">
      <c r="A61" s="285"/>
      <c r="B61" s="286" t="s">
        <v>16</v>
      </c>
      <c r="C61" s="286"/>
      <c r="D61" s="286"/>
      <c r="E61" s="286"/>
      <c r="F61" s="286"/>
      <c r="G61" s="286"/>
      <c r="H61" s="286"/>
      <c r="I61" s="286"/>
      <c r="J61" s="286"/>
      <c r="K61" s="286"/>
      <c r="L61" s="286"/>
      <c r="M61" s="286"/>
      <c r="N61" s="286"/>
      <c r="O61" s="286"/>
      <c r="P61" s="286"/>
      <c r="Q61" s="286"/>
      <c r="R61" s="286"/>
      <c r="S61" s="286"/>
      <c r="T61" s="333"/>
      <c r="U61" s="334"/>
      <c r="V61" s="333">
        <v>41061</v>
      </c>
      <c r="W61" s="289"/>
      <c r="X61" s="5"/>
    </row>
    <row r="62" spans="1:25" ht="15.75" x14ac:dyDescent="0.25">
      <c r="A62" s="181"/>
      <c r="B62" s="212"/>
      <c r="C62" s="212"/>
      <c r="D62" s="212"/>
      <c r="E62" s="212"/>
      <c r="F62" s="212"/>
      <c r="G62" s="212"/>
      <c r="H62" s="212"/>
      <c r="I62" s="212"/>
      <c r="J62" s="212"/>
      <c r="K62" s="212"/>
      <c r="L62" s="212"/>
      <c r="M62" s="212"/>
      <c r="N62" s="212"/>
      <c r="O62" s="212"/>
      <c r="P62" s="212"/>
      <c r="Q62" s="212"/>
      <c r="R62" s="212"/>
      <c r="S62" s="212"/>
      <c r="T62" s="283"/>
      <c r="U62" s="284"/>
      <c r="V62" s="283"/>
      <c r="W62" s="212"/>
      <c r="X62" s="5"/>
    </row>
    <row r="63" spans="1:25" ht="15.75" x14ac:dyDescent="0.25">
      <c r="A63" s="181"/>
      <c r="B63" s="183"/>
      <c r="C63" s="183"/>
      <c r="D63" s="183"/>
      <c r="E63" s="183"/>
      <c r="F63" s="183"/>
      <c r="G63" s="183"/>
      <c r="H63" s="183"/>
      <c r="I63" s="183"/>
      <c r="J63" s="183"/>
      <c r="K63" s="183"/>
      <c r="L63" s="183"/>
      <c r="M63" s="183"/>
      <c r="N63" s="183"/>
      <c r="O63" s="183"/>
      <c r="P63" s="183"/>
      <c r="Q63" s="183"/>
      <c r="R63" s="183"/>
      <c r="S63" s="183"/>
      <c r="T63" s="195"/>
      <c r="U63" s="196"/>
      <c r="V63" s="195"/>
      <c r="W63" s="183"/>
      <c r="X63" s="5"/>
    </row>
    <row r="64" spans="1:25" ht="19.5" thickBot="1" x14ac:dyDescent="0.35">
      <c r="A64" s="197"/>
      <c r="B64" s="270" t="s">
        <v>306</v>
      </c>
      <c r="C64" s="198"/>
      <c r="D64" s="198"/>
      <c r="E64" s="198"/>
      <c r="F64" s="198"/>
      <c r="G64" s="198"/>
      <c r="H64" s="198"/>
      <c r="I64" s="198"/>
      <c r="J64" s="198"/>
      <c r="K64" s="198"/>
      <c r="L64" s="198"/>
      <c r="M64" s="198"/>
      <c r="N64" s="198"/>
      <c r="O64" s="198"/>
      <c r="P64" s="198"/>
      <c r="Q64" s="198"/>
      <c r="R64" s="198"/>
      <c r="S64" s="198"/>
      <c r="T64" s="198"/>
      <c r="U64" s="198"/>
      <c r="V64" s="199"/>
      <c r="W64" s="200"/>
      <c r="X64" s="5"/>
    </row>
    <row r="65" spans="1:24" ht="15.75" x14ac:dyDescent="0.25">
      <c r="A65" s="224"/>
      <c r="B65" s="230" t="s">
        <v>17</v>
      </c>
      <c r="C65" s="225"/>
      <c r="D65" s="225"/>
      <c r="E65" s="225"/>
      <c r="F65" s="225"/>
      <c r="G65" s="225"/>
      <c r="H65" s="225"/>
      <c r="I65" s="225"/>
      <c r="J65" s="225"/>
      <c r="K65" s="225"/>
      <c r="L65" s="225"/>
      <c r="M65" s="225"/>
      <c r="N65" s="225"/>
      <c r="O65" s="225"/>
      <c r="P65" s="225"/>
      <c r="Q65" s="225"/>
      <c r="R65" s="225"/>
      <c r="S65" s="225"/>
      <c r="T65" s="225"/>
      <c r="U65" s="225"/>
      <c r="V65" s="231"/>
      <c r="W65" s="225"/>
      <c r="X65" s="5"/>
    </row>
    <row r="66" spans="1:24" ht="15.75" x14ac:dyDescent="0.25">
      <c r="A66" s="181"/>
      <c r="B66" s="189"/>
      <c r="C66" s="183"/>
      <c r="D66" s="183"/>
      <c r="E66" s="183"/>
      <c r="F66" s="183"/>
      <c r="G66" s="183"/>
      <c r="H66" s="183"/>
      <c r="I66" s="183"/>
      <c r="J66" s="183"/>
      <c r="K66" s="183"/>
      <c r="L66" s="183"/>
      <c r="M66" s="183"/>
      <c r="N66" s="183"/>
      <c r="O66" s="183"/>
      <c r="P66" s="183"/>
      <c r="Q66" s="183"/>
      <c r="R66" s="183"/>
      <c r="S66" s="183"/>
      <c r="T66" s="183"/>
      <c r="U66" s="183"/>
      <c r="V66" s="202"/>
      <c r="W66" s="183"/>
      <c r="X66" s="5"/>
    </row>
    <row r="67" spans="1:24" ht="47.25" x14ac:dyDescent="0.25">
      <c r="A67" s="181"/>
      <c r="B67" s="203" t="s">
        <v>18</v>
      </c>
      <c r="C67" s="204"/>
      <c r="D67" s="204"/>
      <c r="E67" s="204"/>
      <c r="F67" s="204"/>
      <c r="G67" s="204"/>
      <c r="H67" s="204"/>
      <c r="I67" s="204"/>
      <c r="J67" s="204"/>
      <c r="K67" s="204"/>
      <c r="L67" s="204" t="s">
        <v>94</v>
      </c>
      <c r="M67" s="204"/>
      <c r="N67" s="204" t="s">
        <v>96</v>
      </c>
      <c r="O67" s="204"/>
      <c r="P67" s="204" t="s">
        <v>98</v>
      </c>
      <c r="Q67" s="204"/>
      <c r="R67" s="204" t="s">
        <v>100</v>
      </c>
      <c r="S67" s="204"/>
      <c r="T67" s="204" t="s">
        <v>106</v>
      </c>
      <c r="U67" s="204"/>
      <c r="V67" s="205" t="s">
        <v>112</v>
      </c>
      <c r="W67" s="206"/>
      <c r="X67" s="5"/>
    </row>
    <row r="68" spans="1:24" ht="15.75" x14ac:dyDescent="0.25">
      <c r="A68" s="285"/>
      <c r="B68" s="286" t="s">
        <v>19</v>
      </c>
      <c r="C68" s="337"/>
      <c r="D68" s="337"/>
      <c r="E68" s="337"/>
      <c r="F68" s="337"/>
      <c r="G68" s="337"/>
      <c r="H68" s="337"/>
      <c r="I68" s="337"/>
      <c r="J68" s="337"/>
      <c r="K68" s="337"/>
      <c r="L68" s="337">
        <v>812446</v>
      </c>
      <c r="M68" s="337"/>
      <c r="N68" s="338">
        <v>827816</v>
      </c>
      <c r="O68" s="337"/>
      <c r="P68" s="337">
        <f>3644+25</f>
        <v>3669</v>
      </c>
      <c r="Q68" s="337"/>
      <c r="R68" s="337">
        <v>25</v>
      </c>
      <c r="S68" s="337"/>
      <c r="T68" s="337">
        <v>0</v>
      </c>
      <c r="U68" s="337"/>
      <c r="V68" s="338">
        <f>+N68-P68+R68-T68</f>
        <v>824172</v>
      </c>
      <c r="W68" s="289"/>
      <c r="X68" s="5"/>
    </row>
    <row r="69" spans="1:24" ht="15.75" x14ac:dyDescent="0.25">
      <c r="A69" s="285"/>
      <c r="B69" s="286" t="s">
        <v>20</v>
      </c>
      <c r="C69" s="337"/>
      <c r="D69" s="337"/>
      <c r="E69" s="337"/>
      <c r="F69" s="337"/>
      <c r="G69" s="337"/>
      <c r="H69" s="337"/>
      <c r="I69" s="337"/>
      <c r="J69" s="337"/>
      <c r="K69" s="337"/>
      <c r="L69" s="337">
        <v>0</v>
      </c>
      <c r="M69" s="337"/>
      <c r="N69" s="338">
        <v>0</v>
      </c>
      <c r="O69" s="337"/>
      <c r="P69" s="337">
        <v>0</v>
      </c>
      <c r="Q69" s="337"/>
      <c r="R69" s="337">
        <v>0</v>
      </c>
      <c r="S69" s="337"/>
      <c r="T69" s="337">
        <v>0</v>
      </c>
      <c r="U69" s="337"/>
      <c r="V69" s="338">
        <f>+L69-P69</f>
        <v>0</v>
      </c>
      <c r="W69" s="289"/>
      <c r="X69" s="5"/>
    </row>
    <row r="70" spans="1:24" ht="15.75" x14ac:dyDescent="0.25">
      <c r="A70" s="285"/>
      <c r="B70" s="286"/>
      <c r="C70" s="337"/>
      <c r="D70" s="337"/>
      <c r="E70" s="337"/>
      <c r="F70" s="337"/>
      <c r="G70" s="337"/>
      <c r="H70" s="337"/>
      <c r="I70" s="337"/>
      <c r="J70" s="337"/>
      <c r="K70" s="337"/>
      <c r="L70" s="337"/>
      <c r="M70" s="337"/>
      <c r="N70" s="338"/>
      <c r="O70" s="337"/>
      <c r="P70" s="337"/>
      <c r="Q70" s="337"/>
      <c r="R70" s="337"/>
      <c r="S70" s="337"/>
      <c r="T70" s="337"/>
      <c r="U70" s="337"/>
      <c r="V70" s="338"/>
      <c r="W70" s="289"/>
      <c r="X70" s="5"/>
    </row>
    <row r="71" spans="1:24" ht="15.75" x14ac:dyDescent="0.25">
      <c r="A71" s="285"/>
      <c r="B71" s="286" t="s">
        <v>21</v>
      </c>
      <c r="C71" s="337"/>
      <c r="D71" s="337"/>
      <c r="E71" s="337"/>
      <c r="F71" s="337"/>
      <c r="G71" s="337"/>
      <c r="H71" s="337"/>
      <c r="I71" s="337"/>
      <c r="J71" s="337"/>
      <c r="K71" s="337"/>
      <c r="L71" s="337">
        <f>SUM(L68:L70)</f>
        <v>812446</v>
      </c>
      <c r="M71" s="337"/>
      <c r="N71" s="337">
        <f>N68+N69</f>
        <v>827816</v>
      </c>
      <c r="O71" s="337"/>
      <c r="P71" s="337">
        <f>SUM(P68:P70)</f>
        <v>3669</v>
      </c>
      <c r="Q71" s="337"/>
      <c r="R71" s="337">
        <f>SUM(R68:R70)</f>
        <v>25</v>
      </c>
      <c r="S71" s="337"/>
      <c r="T71" s="337">
        <f>SUM(T68:T70)</f>
        <v>0</v>
      </c>
      <c r="U71" s="337"/>
      <c r="V71" s="337">
        <f>SUM(V68:V70)</f>
        <v>824172</v>
      </c>
      <c r="W71" s="289"/>
      <c r="X71" s="5"/>
    </row>
    <row r="72" spans="1:24" ht="15.75" x14ac:dyDescent="0.25">
      <c r="A72" s="181"/>
      <c r="B72" s="212"/>
      <c r="C72" s="335"/>
      <c r="D72" s="335"/>
      <c r="E72" s="335"/>
      <c r="F72" s="335"/>
      <c r="G72" s="335"/>
      <c r="H72" s="335"/>
      <c r="I72" s="335"/>
      <c r="J72" s="335"/>
      <c r="K72" s="335"/>
      <c r="L72" s="335"/>
      <c r="M72" s="335"/>
      <c r="N72" s="335"/>
      <c r="O72" s="335"/>
      <c r="P72" s="335"/>
      <c r="Q72" s="335"/>
      <c r="R72" s="335"/>
      <c r="S72" s="335"/>
      <c r="T72" s="335"/>
      <c r="U72" s="335"/>
      <c r="V72" s="336"/>
      <c r="W72" s="212"/>
      <c r="X72" s="5"/>
    </row>
    <row r="73" spans="1:24" ht="15.75" x14ac:dyDescent="0.25">
      <c r="A73" s="181"/>
      <c r="B73" s="185" t="s">
        <v>22</v>
      </c>
      <c r="C73" s="207"/>
      <c r="D73" s="207"/>
      <c r="E73" s="207"/>
      <c r="F73" s="207"/>
      <c r="G73" s="207"/>
      <c r="H73" s="207"/>
      <c r="I73" s="207"/>
      <c r="J73" s="207"/>
      <c r="K73" s="207"/>
      <c r="L73" s="207"/>
      <c r="M73" s="207"/>
      <c r="N73" s="207"/>
      <c r="O73" s="207"/>
      <c r="P73" s="207"/>
      <c r="Q73" s="207"/>
      <c r="R73" s="207"/>
      <c r="S73" s="207"/>
      <c r="T73" s="207"/>
      <c r="U73" s="207"/>
      <c r="V73" s="208"/>
      <c r="W73" s="183"/>
      <c r="X73" s="5"/>
    </row>
    <row r="74" spans="1:24" ht="15.75" x14ac:dyDescent="0.25">
      <c r="A74" s="181"/>
      <c r="B74" s="183"/>
      <c r="C74" s="207"/>
      <c r="D74" s="207"/>
      <c r="E74" s="207"/>
      <c r="F74" s="207"/>
      <c r="G74" s="207"/>
      <c r="H74" s="207"/>
      <c r="I74" s="207"/>
      <c r="J74" s="207"/>
      <c r="K74" s="207"/>
      <c r="L74" s="207"/>
      <c r="M74" s="207"/>
      <c r="N74" s="207"/>
      <c r="O74" s="207"/>
      <c r="P74" s="207"/>
      <c r="Q74" s="207"/>
      <c r="R74" s="207"/>
      <c r="S74" s="207"/>
      <c r="T74" s="207"/>
      <c r="U74" s="207"/>
      <c r="V74" s="208"/>
      <c r="W74" s="183"/>
      <c r="X74" s="5"/>
    </row>
    <row r="75" spans="1:24" ht="15.75" x14ac:dyDescent="0.25">
      <c r="A75" s="285"/>
      <c r="B75" s="286" t="s">
        <v>19</v>
      </c>
      <c r="C75" s="337"/>
      <c r="D75" s="337"/>
      <c r="E75" s="337"/>
      <c r="F75" s="337"/>
      <c r="G75" s="337"/>
      <c r="H75" s="337"/>
      <c r="I75" s="337"/>
      <c r="J75" s="337"/>
      <c r="K75" s="337"/>
      <c r="L75" s="337"/>
      <c r="M75" s="337"/>
      <c r="N75" s="337"/>
      <c r="O75" s="337"/>
      <c r="P75" s="337"/>
      <c r="Q75" s="337"/>
      <c r="R75" s="337"/>
      <c r="S75" s="337"/>
      <c r="T75" s="337"/>
      <c r="U75" s="337"/>
      <c r="V75" s="337"/>
      <c r="W75" s="289"/>
      <c r="X75" s="5"/>
    </row>
    <row r="76" spans="1:24" ht="15.75" x14ac:dyDescent="0.25">
      <c r="A76" s="285"/>
      <c r="B76" s="286" t="s">
        <v>20</v>
      </c>
      <c r="C76" s="337"/>
      <c r="D76" s="337"/>
      <c r="E76" s="337"/>
      <c r="F76" s="337"/>
      <c r="G76" s="337"/>
      <c r="H76" s="337"/>
      <c r="I76" s="337"/>
      <c r="J76" s="337"/>
      <c r="K76" s="337"/>
      <c r="L76" s="337"/>
      <c r="M76" s="337"/>
      <c r="N76" s="337"/>
      <c r="O76" s="337"/>
      <c r="P76" s="337"/>
      <c r="Q76" s="337"/>
      <c r="R76" s="337"/>
      <c r="S76" s="337"/>
      <c r="T76" s="337"/>
      <c r="U76" s="337"/>
      <c r="V76" s="337"/>
      <c r="W76" s="289"/>
      <c r="X76" s="5"/>
    </row>
    <row r="77" spans="1:24" ht="15.75" x14ac:dyDescent="0.25">
      <c r="A77" s="285"/>
      <c r="B77" s="286"/>
      <c r="C77" s="337"/>
      <c r="D77" s="337"/>
      <c r="E77" s="337"/>
      <c r="F77" s="337"/>
      <c r="G77" s="337"/>
      <c r="H77" s="337"/>
      <c r="I77" s="337"/>
      <c r="J77" s="337"/>
      <c r="K77" s="337"/>
      <c r="L77" s="337"/>
      <c r="M77" s="337"/>
      <c r="N77" s="337"/>
      <c r="O77" s="337"/>
      <c r="P77" s="337"/>
      <c r="Q77" s="337"/>
      <c r="R77" s="337"/>
      <c r="S77" s="337"/>
      <c r="T77" s="337"/>
      <c r="U77" s="337"/>
      <c r="V77" s="337"/>
      <c r="W77" s="289"/>
      <c r="X77" s="5"/>
    </row>
    <row r="78" spans="1:24" ht="15.75" x14ac:dyDescent="0.25">
      <c r="A78" s="285"/>
      <c r="B78" s="286" t="s">
        <v>21</v>
      </c>
      <c r="C78" s="337"/>
      <c r="D78" s="337"/>
      <c r="E78" s="337"/>
      <c r="F78" s="337"/>
      <c r="G78" s="337"/>
      <c r="H78" s="337"/>
      <c r="I78" s="337"/>
      <c r="J78" s="337"/>
      <c r="K78" s="337"/>
      <c r="L78" s="337"/>
      <c r="M78" s="337"/>
      <c r="N78" s="337"/>
      <c r="O78" s="337"/>
      <c r="P78" s="337"/>
      <c r="Q78" s="337"/>
      <c r="R78" s="337"/>
      <c r="S78" s="337"/>
      <c r="T78" s="337"/>
      <c r="U78" s="337"/>
      <c r="V78" s="337"/>
      <c r="W78" s="289"/>
      <c r="X78" s="5"/>
    </row>
    <row r="79" spans="1:24" ht="15.75" x14ac:dyDescent="0.25">
      <c r="A79" s="285"/>
      <c r="B79" s="286"/>
      <c r="C79" s="337"/>
      <c r="D79" s="337"/>
      <c r="E79" s="337"/>
      <c r="F79" s="337"/>
      <c r="G79" s="337"/>
      <c r="H79" s="337"/>
      <c r="I79" s="337"/>
      <c r="J79" s="337"/>
      <c r="K79" s="337"/>
      <c r="L79" s="337"/>
      <c r="M79" s="337"/>
      <c r="N79" s="337"/>
      <c r="O79" s="337"/>
      <c r="P79" s="337"/>
      <c r="Q79" s="337"/>
      <c r="R79" s="337"/>
      <c r="S79" s="337"/>
      <c r="T79" s="337"/>
      <c r="U79" s="337"/>
      <c r="V79" s="337"/>
      <c r="W79" s="289"/>
      <c r="X79" s="5"/>
    </row>
    <row r="80" spans="1:24" ht="15.75" x14ac:dyDescent="0.25">
      <c r="A80" s="285"/>
      <c r="B80" s="286" t="s">
        <v>23</v>
      </c>
      <c r="C80" s="337"/>
      <c r="D80" s="337"/>
      <c r="E80" s="337"/>
      <c r="F80" s="337"/>
      <c r="G80" s="337"/>
      <c r="H80" s="337"/>
      <c r="I80" s="337"/>
      <c r="J80" s="337"/>
      <c r="K80" s="337"/>
      <c r="L80" s="337">
        <v>0</v>
      </c>
      <c r="M80" s="337"/>
      <c r="N80" s="337">
        <v>0</v>
      </c>
      <c r="O80" s="337"/>
      <c r="P80" s="337"/>
      <c r="Q80" s="337"/>
      <c r="R80" s="337"/>
      <c r="S80" s="337"/>
      <c r="T80" s="337"/>
      <c r="U80" s="337"/>
      <c r="V80" s="338">
        <v>0</v>
      </c>
      <c r="W80" s="289"/>
      <c r="X80" s="5"/>
    </row>
    <row r="81" spans="1:24" ht="15.75" x14ac:dyDescent="0.25">
      <c r="A81" s="285"/>
      <c r="B81" s="286" t="s">
        <v>117</v>
      </c>
      <c r="C81" s="337"/>
      <c r="D81" s="337"/>
      <c r="E81" s="337"/>
      <c r="F81" s="337"/>
      <c r="G81" s="337"/>
      <c r="H81" s="337"/>
      <c r="I81" s="337"/>
      <c r="J81" s="337"/>
      <c r="K81" s="337"/>
      <c r="L81" s="337">
        <v>188687</v>
      </c>
      <c r="M81" s="337"/>
      <c r="N81" s="337">
        <v>0</v>
      </c>
      <c r="O81" s="337"/>
      <c r="P81" s="337">
        <v>0</v>
      </c>
      <c r="Q81" s="337"/>
      <c r="R81" s="337"/>
      <c r="S81" s="337"/>
      <c r="T81" s="337"/>
      <c r="U81" s="337"/>
      <c r="V81" s="337">
        <f>SUM(N81:R81)</f>
        <v>0</v>
      </c>
      <c r="W81" s="289"/>
      <c r="X81" s="5"/>
    </row>
    <row r="82" spans="1:24" ht="15.75" x14ac:dyDescent="0.25">
      <c r="A82" s="285"/>
      <c r="B82" s="286"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89"/>
      <c r="X82" s="5"/>
    </row>
    <row r="83" spans="1:24" ht="15.75" x14ac:dyDescent="0.25">
      <c r="A83" s="285"/>
      <c r="B83" s="286" t="s">
        <v>25</v>
      </c>
      <c r="C83" s="337"/>
      <c r="D83" s="337"/>
      <c r="E83" s="337"/>
      <c r="F83" s="337"/>
      <c r="G83" s="337"/>
      <c r="H83" s="337"/>
      <c r="I83" s="337"/>
      <c r="J83" s="337"/>
      <c r="K83" s="337"/>
      <c r="L83" s="337">
        <v>0</v>
      </c>
      <c r="M83" s="337"/>
      <c r="N83" s="337">
        <v>0</v>
      </c>
      <c r="O83" s="337"/>
      <c r="P83" s="337"/>
      <c r="Q83" s="337"/>
      <c r="R83" s="337"/>
      <c r="S83" s="337"/>
      <c r="T83" s="337"/>
      <c r="U83" s="337"/>
      <c r="V83" s="337">
        <v>0</v>
      </c>
      <c r="W83" s="289"/>
      <c r="X83" s="5"/>
    </row>
    <row r="84" spans="1:24" ht="15.75" x14ac:dyDescent="0.25">
      <c r="A84" s="285"/>
      <c r="B84" s="286" t="s">
        <v>26</v>
      </c>
      <c r="C84" s="337"/>
      <c r="D84" s="337"/>
      <c r="E84" s="337"/>
      <c r="F84" s="337"/>
      <c r="G84" s="337"/>
      <c r="H84" s="337"/>
      <c r="I84" s="337"/>
      <c r="J84" s="337"/>
      <c r="K84" s="337"/>
      <c r="L84" s="337">
        <f>SUM(L71:L83)</f>
        <v>1001133</v>
      </c>
      <c r="M84" s="337"/>
      <c r="N84" s="337">
        <f>SUM(N71:N83)</f>
        <v>827816</v>
      </c>
      <c r="O84" s="337"/>
      <c r="P84" s="337"/>
      <c r="Q84" s="337"/>
      <c r="R84" s="337"/>
      <c r="S84" s="337"/>
      <c r="T84" s="337"/>
      <c r="U84" s="337"/>
      <c r="V84" s="337">
        <f>SUM(V71:V83)</f>
        <v>824172</v>
      </c>
      <c r="W84" s="289"/>
      <c r="X84" s="5"/>
    </row>
    <row r="85" spans="1:24" ht="15.75" x14ac:dyDescent="0.25">
      <c r="A85" s="181"/>
      <c r="B85" s="212"/>
      <c r="C85" s="335"/>
      <c r="D85" s="335"/>
      <c r="E85" s="335"/>
      <c r="F85" s="335"/>
      <c r="G85" s="335"/>
      <c r="H85" s="335"/>
      <c r="I85" s="335"/>
      <c r="J85" s="335"/>
      <c r="K85" s="335"/>
      <c r="L85" s="335"/>
      <c r="M85" s="335"/>
      <c r="N85" s="335"/>
      <c r="O85" s="335"/>
      <c r="P85" s="335"/>
      <c r="Q85" s="335"/>
      <c r="R85" s="335"/>
      <c r="S85" s="335"/>
      <c r="T85" s="335"/>
      <c r="U85" s="335"/>
      <c r="V85" s="336"/>
      <c r="W85" s="212"/>
      <c r="X85" s="5"/>
    </row>
    <row r="86" spans="1:24" ht="15.75" x14ac:dyDescent="0.25">
      <c r="A86" s="181"/>
      <c r="B86" s="183"/>
      <c r="C86" s="183"/>
      <c r="D86" s="183"/>
      <c r="E86" s="183"/>
      <c r="F86" s="183"/>
      <c r="G86" s="183"/>
      <c r="H86" s="183"/>
      <c r="I86" s="183"/>
      <c r="J86" s="183"/>
      <c r="K86" s="183"/>
      <c r="L86" s="183"/>
      <c r="M86" s="183"/>
      <c r="N86" s="183"/>
      <c r="O86" s="183"/>
      <c r="P86" s="183"/>
      <c r="Q86" s="183"/>
      <c r="R86" s="183"/>
      <c r="S86" s="183"/>
      <c r="T86" s="183"/>
      <c r="U86" s="183"/>
      <c r="V86" s="183"/>
      <c r="W86" s="183"/>
      <c r="X86" s="5"/>
    </row>
    <row r="87" spans="1:24" ht="15.75" x14ac:dyDescent="0.25">
      <c r="A87" s="224"/>
      <c r="B87" s="399" t="s">
        <v>27</v>
      </c>
      <c r="C87" s="399"/>
      <c r="D87" s="399"/>
      <c r="E87" s="399"/>
      <c r="F87" s="399"/>
      <c r="G87" s="399"/>
      <c r="H87" s="400"/>
      <c r="I87" s="400"/>
      <c r="J87" s="400"/>
      <c r="K87" s="400"/>
      <c r="L87" s="401" t="s">
        <v>95</v>
      </c>
      <c r="M87" s="400"/>
      <c r="N87" s="402">
        <f>+T201</f>
        <v>41060</v>
      </c>
      <c r="O87" s="400"/>
      <c r="P87" s="400"/>
      <c r="Q87" s="400"/>
      <c r="R87" s="400"/>
      <c r="S87" s="400"/>
      <c r="T87" s="400" t="s">
        <v>107</v>
      </c>
      <c r="U87" s="400"/>
      <c r="V87" s="400" t="s">
        <v>113</v>
      </c>
      <c r="W87" s="225"/>
      <c r="X87" s="5"/>
    </row>
    <row r="88" spans="1:24" ht="15.75" x14ac:dyDescent="0.25">
      <c r="A88" s="248"/>
      <c r="B88" s="250" t="s">
        <v>28</v>
      </c>
      <c r="C88" s="194"/>
      <c r="D88" s="194"/>
      <c r="E88" s="194"/>
      <c r="F88" s="194"/>
      <c r="G88" s="194"/>
      <c r="H88" s="194"/>
      <c r="I88" s="194"/>
      <c r="J88" s="194"/>
      <c r="K88" s="194"/>
      <c r="L88" s="194"/>
      <c r="M88" s="194"/>
      <c r="N88" s="194"/>
      <c r="O88" s="194"/>
      <c r="P88" s="194"/>
      <c r="Q88" s="194"/>
      <c r="R88" s="194"/>
      <c r="S88" s="194"/>
      <c r="T88" s="249">
        <v>0</v>
      </c>
      <c r="U88" s="250"/>
      <c r="V88" s="253">
        <v>0</v>
      </c>
      <c r="W88" s="194"/>
      <c r="X88" s="5"/>
    </row>
    <row r="89" spans="1:24" ht="15.75" x14ac:dyDescent="0.25">
      <c r="A89" s="295"/>
      <c r="B89" s="286" t="s">
        <v>29</v>
      </c>
      <c r="C89" s="314"/>
      <c r="D89" s="314"/>
      <c r="E89" s="314"/>
      <c r="F89" s="314"/>
      <c r="G89" s="314"/>
      <c r="H89" s="339"/>
      <c r="I89" s="339"/>
      <c r="J89" s="339"/>
      <c r="K89" s="340"/>
      <c r="L89" s="339"/>
      <c r="M89" s="314"/>
      <c r="N89" s="341"/>
      <c r="O89" s="314"/>
      <c r="P89" s="314"/>
      <c r="Q89" s="314"/>
      <c r="R89" s="314"/>
      <c r="S89" s="314"/>
      <c r="T89" s="337">
        <f>3669-31</f>
        <v>3638</v>
      </c>
      <c r="U89" s="286"/>
      <c r="V89" s="338"/>
      <c r="W89" s="318"/>
      <c r="X89" s="5"/>
    </row>
    <row r="90" spans="1:24" ht="15.75" x14ac:dyDescent="0.25">
      <c r="A90" s="295"/>
      <c r="B90" s="286" t="s">
        <v>215</v>
      </c>
      <c r="C90" s="314"/>
      <c r="D90" s="314"/>
      <c r="E90" s="314"/>
      <c r="F90" s="314"/>
      <c r="G90" s="314"/>
      <c r="H90" s="339"/>
      <c r="I90" s="339"/>
      <c r="J90" s="339"/>
      <c r="K90" s="340"/>
      <c r="L90" s="339"/>
      <c r="M90" s="314"/>
      <c r="N90" s="341"/>
      <c r="O90" s="314"/>
      <c r="P90" s="314"/>
      <c r="Q90" s="314"/>
      <c r="R90" s="314"/>
      <c r="S90" s="314"/>
      <c r="T90" s="337"/>
      <c r="U90" s="286"/>
      <c r="V90" s="338">
        <f>3755+3237-462-387</f>
        <v>6143</v>
      </c>
      <c r="W90" s="318"/>
      <c r="X90" s="5"/>
    </row>
    <row r="91" spans="1:24" ht="15.75" x14ac:dyDescent="0.25">
      <c r="A91" s="295"/>
      <c r="B91" s="286" t="s">
        <v>210</v>
      </c>
      <c r="C91" s="314"/>
      <c r="D91" s="314"/>
      <c r="E91" s="314"/>
      <c r="F91" s="314"/>
      <c r="G91" s="314"/>
      <c r="H91" s="339"/>
      <c r="I91" s="339"/>
      <c r="J91" s="339"/>
      <c r="K91" s="340"/>
      <c r="L91" s="339"/>
      <c r="M91" s="314"/>
      <c r="N91" s="341"/>
      <c r="O91" s="314"/>
      <c r="P91" s="314"/>
      <c r="Q91" s="314"/>
      <c r="R91" s="314"/>
      <c r="S91" s="314"/>
      <c r="T91" s="337"/>
      <c r="U91" s="286"/>
      <c r="V91" s="338">
        <f>11+32</f>
        <v>43</v>
      </c>
      <c r="W91" s="318"/>
      <c r="X91" s="5"/>
    </row>
    <row r="92" spans="1:24" ht="15.75" x14ac:dyDescent="0.25">
      <c r="A92" s="295"/>
      <c r="B92" s="286" t="s">
        <v>211</v>
      </c>
      <c r="C92" s="314"/>
      <c r="D92" s="314"/>
      <c r="E92" s="314"/>
      <c r="F92" s="314"/>
      <c r="G92" s="314"/>
      <c r="H92" s="339"/>
      <c r="I92" s="339"/>
      <c r="J92" s="339"/>
      <c r="K92" s="340"/>
      <c r="L92" s="339"/>
      <c r="M92" s="314"/>
      <c r="N92" s="341"/>
      <c r="O92" s="314"/>
      <c r="P92" s="314"/>
      <c r="Q92" s="314"/>
      <c r="R92" s="314"/>
      <c r="S92" s="314"/>
      <c r="T92" s="337"/>
      <c r="U92" s="286"/>
      <c r="V92" s="338">
        <v>29</v>
      </c>
      <c r="W92" s="318"/>
      <c r="X92" s="5"/>
    </row>
    <row r="93" spans="1:24" ht="15.75" x14ac:dyDescent="0.25">
      <c r="A93" s="295"/>
      <c r="B93" s="286" t="s">
        <v>233</v>
      </c>
      <c r="C93" s="314"/>
      <c r="D93" s="314"/>
      <c r="E93" s="314"/>
      <c r="F93" s="314"/>
      <c r="G93" s="314"/>
      <c r="H93" s="339"/>
      <c r="I93" s="339"/>
      <c r="J93" s="339"/>
      <c r="K93" s="340"/>
      <c r="L93" s="339"/>
      <c r="M93" s="314"/>
      <c r="N93" s="341"/>
      <c r="O93" s="314"/>
      <c r="P93" s="314"/>
      <c r="Q93" s="314"/>
      <c r="R93" s="314"/>
      <c r="S93" s="314"/>
      <c r="T93" s="337"/>
      <c r="U93" s="286"/>
      <c r="V93" s="338">
        <v>0</v>
      </c>
      <c r="W93" s="318"/>
      <c r="X93" s="5"/>
    </row>
    <row r="94" spans="1:24" ht="15.75" x14ac:dyDescent="0.25">
      <c r="A94" s="295"/>
      <c r="B94" s="286" t="s">
        <v>235</v>
      </c>
      <c r="C94" s="314"/>
      <c r="D94" s="314"/>
      <c r="E94" s="314"/>
      <c r="F94" s="314"/>
      <c r="G94" s="314"/>
      <c r="H94" s="339"/>
      <c r="I94" s="339"/>
      <c r="J94" s="339"/>
      <c r="K94" s="340"/>
      <c r="L94" s="339"/>
      <c r="M94" s="314"/>
      <c r="N94" s="341"/>
      <c r="O94" s="314"/>
      <c r="P94" s="314"/>
      <c r="Q94" s="314"/>
      <c r="R94" s="314"/>
      <c r="S94" s="314"/>
      <c r="T94" s="337"/>
      <c r="U94" s="286"/>
      <c r="V94" s="338">
        <v>0</v>
      </c>
      <c r="W94" s="318"/>
      <c r="X94" s="5"/>
    </row>
    <row r="95" spans="1:24" ht="15.75" x14ac:dyDescent="0.25">
      <c r="A95" s="295"/>
      <c r="B95" s="286" t="s">
        <v>135</v>
      </c>
      <c r="C95" s="314"/>
      <c r="D95" s="314"/>
      <c r="E95" s="314"/>
      <c r="F95" s="314"/>
      <c r="G95" s="314"/>
      <c r="H95" s="314"/>
      <c r="I95" s="314"/>
      <c r="J95" s="314"/>
      <c r="K95" s="314"/>
      <c r="L95" s="314"/>
      <c r="M95" s="314"/>
      <c r="N95" s="314"/>
      <c r="O95" s="314"/>
      <c r="P95" s="314"/>
      <c r="Q95" s="314"/>
      <c r="R95" s="314"/>
      <c r="S95" s="314"/>
      <c r="T95" s="337"/>
      <c r="U95" s="286"/>
      <c r="V95" s="338">
        <v>0</v>
      </c>
      <c r="W95" s="318"/>
      <c r="X95" s="5"/>
    </row>
    <row r="96" spans="1:24" ht="15.75" x14ac:dyDescent="0.25">
      <c r="A96" s="295"/>
      <c r="B96" s="286" t="s">
        <v>272</v>
      </c>
      <c r="C96" s="314"/>
      <c r="D96" s="314"/>
      <c r="E96" s="314"/>
      <c r="F96" s="314"/>
      <c r="G96" s="314"/>
      <c r="H96" s="314"/>
      <c r="I96" s="314"/>
      <c r="J96" s="314"/>
      <c r="K96" s="314"/>
      <c r="L96" s="314"/>
      <c r="M96" s="314"/>
      <c r="N96" s="314"/>
      <c r="O96" s="314"/>
      <c r="P96" s="314"/>
      <c r="Q96" s="314"/>
      <c r="R96" s="314"/>
      <c r="S96" s="314"/>
      <c r="T96" s="337"/>
      <c r="U96" s="286"/>
      <c r="V96" s="338">
        <v>0</v>
      </c>
      <c r="W96" s="318"/>
      <c r="X96" s="5"/>
    </row>
    <row r="97" spans="1:25" ht="15.75" x14ac:dyDescent="0.25">
      <c r="A97" s="295"/>
      <c r="B97" s="286" t="s">
        <v>30</v>
      </c>
      <c r="C97" s="314"/>
      <c r="D97" s="314"/>
      <c r="E97" s="314"/>
      <c r="F97" s="314"/>
      <c r="G97" s="314"/>
      <c r="H97" s="314"/>
      <c r="I97" s="314"/>
      <c r="J97" s="314"/>
      <c r="K97" s="314"/>
      <c r="L97" s="314"/>
      <c r="M97" s="314"/>
      <c r="N97" s="314"/>
      <c r="O97" s="314"/>
      <c r="P97" s="314"/>
      <c r="Q97" s="314"/>
      <c r="R97" s="314"/>
      <c r="S97" s="314"/>
      <c r="T97" s="337">
        <f>SUM(T88:T96)</f>
        <v>3638</v>
      </c>
      <c r="U97" s="286"/>
      <c r="V97" s="337">
        <f>SUM(V88:V96)</f>
        <v>6215</v>
      </c>
      <c r="W97" s="318"/>
      <c r="X97" s="5"/>
    </row>
    <row r="98" spans="1:25" ht="15.75" x14ac:dyDescent="0.25">
      <c r="A98" s="295"/>
      <c r="B98" s="286" t="s">
        <v>161</v>
      </c>
      <c r="C98" s="314"/>
      <c r="D98" s="314"/>
      <c r="E98" s="314"/>
      <c r="F98" s="314"/>
      <c r="G98" s="314"/>
      <c r="H98" s="314"/>
      <c r="I98" s="314"/>
      <c r="J98" s="314"/>
      <c r="K98" s="314"/>
      <c r="L98" s="314"/>
      <c r="M98" s="314"/>
      <c r="N98" s="314"/>
      <c r="O98" s="314"/>
      <c r="P98" s="314"/>
      <c r="Q98" s="314"/>
      <c r="R98" s="314"/>
      <c r="S98" s="314"/>
      <c r="T98" s="337">
        <f>-V98</f>
        <v>0</v>
      </c>
      <c r="U98" s="286"/>
      <c r="V98" s="337">
        <v>0</v>
      </c>
      <c r="W98" s="318"/>
      <c r="X98" s="5"/>
    </row>
    <row r="99" spans="1:25" ht="15.75" x14ac:dyDescent="0.25">
      <c r="A99" s="295"/>
      <c r="B99" s="286" t="s">
        <v>31</v>
      </c>
      <c r="C99" s="314"/>
      <c r="D99" s="314"/>
      <c r="E99" s="314"/>
      <c r="F99" s="314"/>
      <c r="G99" s="314"/>
      <c r="H99" s="314"/>
      <c r="I99" s="314"/>
      <c r="J99" s="314"/>
      <c r="K99" s="314"/>
      <c r="L99" s="314"/>
      <c r="M99" s="314"/>
      <c r="N99" s="314"/>
      <c r="O99" s="314"/>
      <c r="P99" s="314"/>
      <c r="Q99" s="314"/>
      <c r="R99" s="314"/>
      <c r="S99" s="314"/>
      <c r="T99" s="337">
        <f>-V99</f>
        <v>0</v>
      </c>
      <c r="U99" s="286"/>
      <c r="V99" s="338">
        <v>0</v>
      </c>
      <c r="W99" s="318"/>
      <c r="X99" s="5"/>
    </row>
    <row r="100" spans="1:25" ht="15.75" x14ac:dyDescent="0.25">
      <c r="A100" s="295"/>
      <c r="B100" s="286" t="s">
        <v>274</v>
      </c>
      <c r="C100" s="314"/>
      <c r="D100" s="314"/>
      <c r="E100" s="314"/>
      <c r="F100" s="314"/>
      <c r="G100" s="314"/>
      <c r="H100" s="314"/>
      <c r="I100" s="314"/>
      <c r="J100" s="314"/>
      <c r="K100" s="314"/>
      <c r="L100" s="314"/>
      <c r="M100" s="314"/>
      <c r="N100" s="314"/>
      <c r="O100" s="314"/>
      <c r="P100" s="314"/>
      <c r="Q100" s="314"/>
      <c r="R100" s="314"/>
      <c r="S100" s="314"/>
      <c r="T100" s="337"/>
      <c r="U100" s="286"/>
      <c r="V100" s="338">
        <v>101</v>
      </c>
      <c r="W100" s="318"/>
      <c r="X100" s="5"/>
    </row>
    <row r="101" spans="1:25" ht="15.75" x14ac:dyDescent="0.25">
      <c r="A101" s="295"/>
      <c r="B101" s="286" t="s">
        <v>32</v>
      </c>
      <c r="C101" s="314"/>
      <c r="D101" s="314"/>
      <c r="E101" s="314"/>
      <c r="F101" s="314"/>
      <c r="G101" s="314"/>
      <c r="H101" s="314"/>
      <c r="I101" s="314"/>
      <c r="J101" s="314"/>
      <c r="K101" s="314"/>
      <c r="L101" s="314"/>
      <c r="M101" s="314"/>
      <c r="N101" s="314"/>
      <c r="O101" s="314"/>
      <c r="P101" s="314"/>
      <c r="Q101" s="314"/>
      <c r="R101" s="314"/>
      <c r="S101" s="314"/>
      <c r="T101" s="337">
        <f>T97+T99+T98</f>
        <v>3638</v>
      </c>
      <c r="U101" s="286"/>
      <c r="V101" s="337">
        <f>V97+V99+V98+V100</f>
        <v>6316</v>
      </c>
      <c r="W101" s="318"/>
      <c r="X101" s="5"/>
    </row>
    <row r="102" spans="1:25" ht="15.75" x14ac:dyDescent="0.25">
      <c r="A102" s="285"/>
      <c r="B102" s="342" t="s">
        <v>33</v>
      </c>
      <c r="C102" s="314"/>
      <c r="D102" s="314"/>
      <c r="E102" s="314"/>
      <c r="F102" s="314"/>
      <c r="G102" s="314"/>
      <c r="H102" s="314"/>
      <c r="I102" s="314"/>
      <c r="J102" s="314"/>
      <c r="K102" s="314"/>
      <c r="L102" s="314"/>
      <c r="M102" s="314"/>
      <c r="N102" s="314"/>
      <c r="O102" s="314"/>
      <c r="P102" s="314"/>
      <c r="Q102" s="314"/>
      <c r="R102" s="314"/>
      <c r="S102" s="314"/>
      <c r="T102" s="337"/>
      <c r="U102" s="286"/>
      <c r="V102" s="338"/>
      <c r="W102" s="318"/>
      <c r="X102" s="5"/>
    </row>
    <row r="103" spans="1:25" ht="15.75" x14ac:dyDescent="0.25">
      <c r="A103" s="295">
        <v>1</v>
      </c>
      <c r="B103" s="286" t="s">
        <v>34</v>
      </c>
      <c r="C103" s="286"/>
      <c r="D103" s="286"/>
      <c r="E103" s="314"/>
      <c r="F103" s="314"/>
      <c r="G103" s="314"/>
      <c r="H103" s="314"/>
      <c r="I103" s="314"/>
      <c r="J103" s="314"/>
      <c r="K103" s="314"/>
      <c r="L103" s="314"/>
      <c r="M103" s="314"/>
      <c r="N103" s="314"/>
      <c r="O103" s="314"/>
      <c r="P103" s="314"/>
      <c r="Q103" s="314"/>
      <c r="R103" s="314"/>
      <c r="S103" s="314"/>
      <c r="T103" s="286"/>
      <c r="U103" s="286"/>
      <c r="V103" s="338">
        <v>0</v>
      </c>
      <c r="W103" s="318"/>
      <c r="X103" s="5"/>
    </row>
    <row r="104" spans="1:25" ht="15.75" x14ac:dyDescent="0.25">
      <c r="A104" s="295">
        <f>+A103+1</f>
        <v>2</v>
      </c>
      <c r="B104" s="286" t="s">
        <v>221</v>
      </c>
      <c r="C104" s="286"/>
      <c r="D104" s="286"/>
      <c r="E104" s="314"/>
      <c r="F104" s="314"/>
      <c r="G104" s="314"/>
      <c r="H104" s="314"/>
      <c r="I104" s="314"/>
      <c r="J104" s="314"/>
      <c r="K104" s="314"/>
      <c r="L104" s="314"/>
      <c r="M104" s="314"/>
      <c r="N104" s="314"/>
      <c r="O104" s="314"/>
      <c r="P104" s="314"/>
      <c r="Q104" s="314"/>
      <c r="R104" s="314"/>
      <c r="S104" s="314"/>
      <c r="T104" s="286"/>
      <c r="U104" s="286"/>
      <c r="V104" s="338">
        <v>-2</v>
      </c>
      <c r="W104" s="318"/>
      <c r="X104" s="5"/>
    </row>
    <row r="105" spans="1:25" ht="15.75" x14ac:dyDescent="0.25">
      <c r="A105" s="295">
        <f>+A104+1</f>
        <v>3</v>
      </c>
      <c r="B105" s="286" t="s">
        <v>204</v>
      </c>
      <c r="C105" s="286"/>
      <c r="D105" s="286"/>
      <c r="E105" s="314"/>
      <c r="F105" s="314"/>
      <c r="G105" s="314"/>
      <c r="H105" s="314"/>
      <c r="I105" s="314"/>
      <c r="J105" s="314"/>
      <c r="K105" s="314"/>
      <c r="L105" s="314"/>
      <c r="M105" s="314"/>
      <c r="N105" s="314"/>
      <c r="O105" s="314"/>
      <c r="P105" s="314"/>
      <c r="Q105" s="314"/>
      <c r="R105" s="314"/>
      <c r="S105" s="314"/>
      <c r="T105" s="286"/>
      <c r="U105" s="286"/>
      <c r="V105" s="338">
        <f>-316-212-10</f>
        <v>-538</v>
      </c>
      <c r="W105" s="318"/>
      <c r="X105" s="5"/>
    </row>
    <row r="106" spans="1:25" ht="15.75" x14ac:dyDescent="0.25">
      <c r="A106" s="295" t="s">
        <v>127</v>
      </c>
      <c r="B106" s="286" t="s">
        <v>116</v>
      </c>
      <c r="C106" s="286"/>
      <c r="D106" s="286"/>
      <c r="E106" s="314"/>
      <c r="F106" s="314"/>
      <c r="G106" s="314"/>
      <c r="H106" s="314"/>
      <c r="I106" s="314"/>
      <c r="J106" s="314"/>
      <c r="K106" s="314"/>
      <c r="L106" s="314"/>
      <c r="M106" s="314"/>
      <c r="N106" s="314"/>
      <c r="O106" s="314"/>
      <c r="P106" s="314"/>
      <c r="Q106" s="314"/>
      <c r="R106" s="314"/>
      <c r="S106" s="314"/>
      <c r="T106" s="286"/>
      <c r="U106" s="286"/>
      <c r="V106" s="338">
        <v>-70</v>
      </c>
      <c r="W106" s="318"/>
      <c r="X106" s="5"/>
    </row>
    <row r="107" spans="1:25" ht="15.75" x14ac:dyDescent="0.25">
      <c r="A107" s="295" t="s">
        <v>128</v>
      </c>
      <c r="B107" s="286" t="s">
        <v>220</v>
      </c>
      <c r="C107" s="286"/>
      <c r="D107" s="286"/>
      <c r="E107" s="314"/>
      <c r="F107" s="314"/>
      <c r="G107" s="314"/>
      <c r="H107" s="314"/>
      <c r="I107" s="314"/>
      <c r="J107" s="314"/>
      <c r="K107" s="314"/>
      <c r="L107" s="314"/>
      <c r="M107" s="314"/>
      <c r="N107" s="314"/>
      <c r="O107" s="314"/>
      <c r="P107" s="314"/>
      <c r="Q107" s="314"/>
      <c r="R107" s="314"/>
      <c r="S107" s="314"/>
      <c r="T107" s="286"/>
      <c r="U107" s="286"/>
      <c r="V107" s="338">
        <f>-1978+491</f>
        <v>-1487</v>
      </c>
      <c r="W107" s="318"/>
      <c r="X107" s="5"/>
      <c r="Y107" s="109"/>
    </row>
    <row r="108" spans="1:25" ht="15.75" x14ac:dyDescent="0.25">
      <c r="A108" s="295" t="s">
        <v>150</v>
      </c>
      <c r="B108" s="286" t="s">
        <v>184</v>
      </c>
      <c r="C108" s="286"/>
      <c r="D108" s="286"/>
      <c r="E108" s="314"/>
      <c r="F108" s="314"/>
      <c r="G108" s="314"/>
      <c r="H108" s="314"/>
      <c r="I108" s="314"/>
      <c r="J108" s="314"/>
      <c r="K108" s="314"/>
      <c r="L108" s="314"/>
      <c r="M108" s="314"/>
      <c r="N108" s="314"/>
      <c r="O108" s="314"/>
      <c r="P108" s="314"/>
      <c r="Q108" s="314"/>
      <c r="R108" s="314"/>
      <c r="S108" s="314"/>
      <c r="T108" s="286"/>
      <c r="U108" s="286"/>
      <c r="V108" s="338">
        <v>-491</v>
      </c>
      <c r="W108" s="318"/>
      <c r="X108" s="5"/>
      <c r="Y108" s="109"/>
    </row>
    <row r="109" spans="1:25" ht="15.75" x14ac:dyDescent="0.25">
      <c r="A109" s="295" t="s">
        <v>205</v>
      </c>
      <c r="B109" s="286" t="s">
        <v>185</v>
      </c>
      <c r="C109" s="286"/>
      <c r="D109" s="286"/>
      <c r="E109" s="314"/>
      <c r="F109" s="314"/>
      <c r="G109" s="314"/>
      <c r="H109" s="314"/>
      <c r="I109" s="314"/>
      <c r="J109" s="314"/>
      <c r="K109" s="314"/>
      <c r="L109" s="314"/>
      <c r="M109" s="314"/>
      <c r="N109" s="314"/>
      <c r="O109" s="314"/>
      <c r="P109" s="314"/>
      <c r="Q109" s="314"/>
      <c r="R109" s="314"/>
      <c r="S109" s="314"/>
      <c r="T109" s="286"/>
      <c r="U109" s="286"/>
      <c r="V109" s="338">
        <v>-197</v>
      </c>
      <c r="W109" s="318"/>
      <c r="X109" s="5"/>
      <c r="Y109" s="109"/>
    </row>
    <row r="110" spans="1:25" ht="15.75" x14ac:dyDescent="0.25">
      <c r="A110" s="295" t="s">
        <v>206</v>
      </c>
      <c r="B110" s="286" t="s">
        <v>186</v>
      </c>
      <c r="C110" s="286"/>
      <c r="D110" s="286"/>
      <c r="E110" s="314"/>
      <c r="F110" s="314"/>
      <c r="G110" s="314"/>
      <c r="H110" s="314"/>
      <c r="I110" s="314"/>
      <c r="J110" s="314"/>
      <c r="K110" s="314"/>
      <c r="L110" s="314"/>
      <c r="M110" s="314"/>
      <c r="N110" s="314"/>
      <c r="O110" s="314"/>
      <c r="P110" s="314"/>
      <c r="Q110" s="314"/>
      <c r="R110" s="314"/>
      <c r="S110" s="314"/>
      <c r="T110" s="286"/>
      <c r="U110" s="286"/>
      <c r="V110" s="338">
        <v>-56</v>
      </c>
      <c r="W110" s="318"/>
      <c r="X110" s="5"/>
      <c r="Y110" s="109"/>
    </row>
    <row r="111" spans="1:25" ht="15.75" x14ac:dyDescent="0.25">
      <c r="A111" s="295">
        <v>6</v>
      </c>
      <c r="B111" s="286" t="s">
        <v>196</v>
      </c>
      <c r="C111" s="286"/>
      <c r="D111" s="286"/>
      <c r="E111" s="314"/>
      <c r="F111" s="314"/>
      <c r="G111" s="314"/>
      <c r="H111" s="314"/>
      <c r="I111" s="314"/>
      <c r="J111" s="314"/>
      <c r="K111" s="314"/>
      <c r="L111" s="314"/>
      <c r="M111" s="314"/>
      <c r="N111" s="314"/>
      <c r="O111" s="314"/>
      <c r="P111" s="314"/>
      <c r="Q111" s="314"/>
      <c r="R111" s="314"/>
      <c r="S111" s="314"/>
      <c r="T111" s="286"/>
      <c r="U111" s="286"/>
      <c r="V111" s="338">
        <v>-313</v>
      </c>
      <c r="W111" s="318"/>
      <c r="X111" s="5"/>
      <c r="Y111" s="109"/>
    </row>
    <row r="112" spans="1:25" ht="15.75" x14ac:dyDescent="0.25">
      <c r="A112" s="295">
        <v>7</v>
      </c>
      <c r="B112" s="286" t="s">
        <v>35</v>
      </c>
      <c r="C112" s="286"/>
      <c r="D112" s="286"/>
      <c r="E112" s="314"/>
      <c r="F112" s="314"/>
      <c r="G112" s="314"/>
      <c r="H112" s="314"/>
      <c r="I112" s="314"/>
      <c r="J112" s="314"/>
      <c r="K112" s="314"/>
      <c r="L112" s="314"/>
      <c r="M112" s="314"/>
      <c r="N112" s="314"/>
      <c r="O112" s="314"/>
      <c r="P112" s="314"/>
      <c r="Q112" s="314"/>
      <c r="R112" s="314"/>
      <c r="S112" s="314"/>
      <c r="T112" s="286"/>
      <c r="U112" s="286"/>
      <c r="V112" s="338">
        <v>-9</v>
      </c>
      <c r="W112" s="318"/>
      <c r="X112" s="5"/>
    </row>
    <row r="113" spans="1:24" ht="15.75" x14ac:dyDescent="0.25">
      <c r="A113" s="295">
        <f t="shared" ref="A113:A118" si="0">+A112+1</f>
        <v>8</v>
      </c>
      <c r="B113" s="286" t="s">
        <v>45</v>
      </c>
      <c r="C113" s="286"/>
      <c r="D113" s="286"/>
      <c r="E113" s="314"/>
      <c r="F113" s="314"/>
      <c r="G113" s="314"/>
      <c r="H113" s="314"/>
      <c r="I113" s="314"/>
      <c r="J113" s="314"/>
      <c r="K113" s="314"/>
      <c r="L113" s="314"/>
      <c r="M113" s="314"/>
      <c r="N113" s="314"/>
      <c r="O113" s="314"/>
      <c r="P113" s="314"/>
      <c r="Q113" s="314"/>
      <c r="R113" s="314"/>
      <c r="S113" s="314"/>
      <c r="T113" s="337">
        <f>-V113</f>
        <v>31</v>
      </c>
      <c r="U113" s="286"/>
      <c r="V113" s="338">
        <v>-31</v>
      </c>
      <c r="W113" s="318"/>
      <c r="X113" s="5"/>
    </row>
    <row r="114" spans="1:24" ht="15.75" x14ac:dyDescent="0.25">
      <c r="A114" s="295">
        <f t="shared" si="0"/>
        <v>9</v>
      </c>
      <c r="B114" s="286" t="s">
        <v>125</v>
      </c>
      <c r="C114" s="286"/>
      <c r="D114" s="286"/>
      <c r="E114" s="314"/>
      <c r="F114" s="314"/>
      <c r="G114" s="314"/>
      <c r="H114" s="314"/>
      <c r="I114" s="314"/>
      <c r="J114" s="314"/>
      <c r="K114" s="314"/>
      <c r="L114" s="314"/>
      <c r="M114" s="314"/>
      <c r="N114" s="314"/>
      <c r="O114" s="314"/>
      <c r="P114" s="314"/>
      <c r="Q114" s="314"/>
      <c r="R114" s="314"/>
      <c r="S114" s="314"/>
      <c r="T114" s="286"/>
      <c r="U114" s="286"/>
      <c r="V114" s="338">
        <v>0</v>
      </c>
      <c r="W114" s="318"/>
      <c r="X114" s="5"/>
    </row>
    <row r="115" spans="1:24" ht="15.75" x14ac:dyDescent="0.25">
      <c r="A115" s="295">
        <f t="shared" si="0"/>
        <v>10</v>
      </c>
      <c r="B115" s="286" t="s">
        <v>225</v>
      </c>
      <c r="C115" s="286"/>
      <c r="D115" s="286"/>
      <c r="E115" s="314"/>
      <c r="F115" s="314"/>
      <c r="G115" s="314"/>
      <c r="H115" s="314"/>
      <c r="I115" s="314"/>
      <c r="J115" s="314"/>
      <c r="K115" s="314"/>
      <c r="L115" s="314"/>
      <c r="M115" s="314"/>
      <c r="N115" s="314"/>
      <c r="O115" s="314"/>
      <c r="P115" s="314"/>
      <c r="Q115" s="314"/>
      <c r="R115" s="314"/>
      <c r="S115" s="314"/>
      <c r="T115" s="286"/>
      <c r="U115" s="286"/>
      <c r="V115" s="338">
        <v>0</v>
      </c>
      <c r="W115" s="318"/>
      <c r="X115" s="5"/>
    </row>
    <row r="116" spans="1:24" ht="15.75" x14ac:dyDescent="0.25">
      <c r="A116" s="295">
        <f t="shared" si="0"/>
        <v>11</v>
      </c>
      <c r="B116" s="286" t="s">
        <v>36</v>
      </c>
      <c r="C116" s="286"/>
      <c r="D116" s="286"/>
      <c r="E116" s="314"/>
      <c r="F116" s="314"/>
      <c r="G116" s="314"/>
      <c r="H116" s="314"/>
      <c r="I116" s="314"/>
      <c r="J116" s="314"/>
      <c r="K116" s="314"/>
      <c r="L116" s="314"/>
      <c r="M116" s="314"/>
      <c r="N116" s="314"/>
      <c r="O116" s="314"/>
      <c r="P116" s="314"/>
      <c r="Q116" s="314"/>
      <c r="R116" s="314"/>
      <c r="S116" s="314"/>
      <c r="T116" s="286"/>
      <c r="U116" s="286"/>
      <c r="V116" s="338">
        <v>0</v>
      </c>
      <c r="W116" s="318"/>
      <c r="X116" s="5"/>
    </row>
    <row r="117" spans="1:24" ht="15.75" x14ac:dyDescent="0.25">
      <c r="A117" s="295">
        <f t="shared" si="0"/>
        <v>12</v>
      </c>
      <c r="B117" s="286" t="s">
        <v>149</v>
      </c>
      <c r="C117" s="286"/>
      <c r="D117" s="286"/>
      <c r="E117" s="314"/>
      <c r="F117" s="314"/>
      <c r="G117" s="314"/>
      <c r="H117" s="314"/>
      <c r="I117" s="314"/>
      <c r="J117" s="314"/>
      <c r="K117" s="314"/>
      <c r="L117" s="314"/>
      <c r="M117" s="314"/>
      <c r="N117" s="314"/>
      <c r="O117" s="314"/>
      <c r="P117" s="314"/>
      <c r="Q117" s="314"/>
      <c r="R117" s="314"/>
      <c r="S117" s="314"/>
      <c r="T117" s="286"/>
      <c r="U117" s="286"/>
      <c r="V117" s="338">
        <v>-315</v>
      </c>
      <c r="W117" s="318"/>
      <c r="X117" s="5"/>
    </row>
    <row r="118" spans="1:24" ht="15.75" x14ac:dyDescent="0.25">
      <c r="A118" s="295">
        <f t="shared" si="0"/>
        <v>13</v>
      </c>
      <c r="B118" s="286" t="s">
        <v>126</v>
      </c>
      <c r="C118" s="286"/>
      <c r="D118" s="286"/>
      <c r="E118" s="314"/>
      <c r="F118" s="314"/>
      <c r="G118" s="314"/>
      <c r="H118" s="314"/>
      <c r="I118" s="314"/>
      <c r="J118" s="314"/>
      <c r="K118" s="314"/>
      <c r="L118" s="314"/>
      <c r="M118" s="314"/>
      <c r="N118" s="314"/>
      <c r="O118" s="314"/>
      <c r="P118" s="314"/>
      <c r="Q118" s="314"/>
      <c r="R118" s="314"/>
      <c r="S118" s="314"/>
      <c r="T118" s="286"/>
      <c r="U118" s="286"/>
      <c r="V118" s="338">
        <f>-V101-SUM(V103:V117)</f>
        <v>-2807</v>
      </c>
      <c r="W118" s="318"/>
      <c r="X118" s="5"/>
    </row>
    <row r="119" spans="1:24" ht="15.75" x14ac:dyDescent="0.25">
      <c r="A119" s="285"/>
      <c r="B119" s="342" t="s">
        <v>37</v>
      </c>
      <c r="C119" s="314"/>
      <c r="D119" s="314"/>
      <c r="E119" s="314"/>
      <c r="F119" s="314"/>
      <c r="G119" s="314"/>
      <c r="H119" s="314"/>
      <c r="I119" s="314"/>
      <c r="J119" s="314"/>
      <c r="K119" s="314"/>
      <c r="L119" s="314"/>
      <c r="M119" s="314"/>
      <c r="N119" s="314"/>
      <c r="O119" s="314"/>
      <c r="P119" s="314"/>
      <c r="Q119" s="314"/>
      <c r="R119" s="314"/>
      <c r="S119" s="314"/>
      <c r="T119" s="286"/>
      <c r="U119" s="286"/>
      <c r="V119" s="343"/>
      <c r="W119" s="318"/>
      <c r="X119" s="5"/>
    </row>
    <row r="120" spans="1:24" ht="15.75" x14ac:dyDescent="0.25">
      <c r="A120" s="285"/>
      <c r="B120" s="286" t="s">
        <v>173</v>
      </c>
      <c r="C120" s="314"/>
      <c r="D120" s="314"/>
      <c r="E120" s="314"/>
      <c r="F120" s="314"/>
      <c r="G120" s="314"/>
      <c r="H120" s="314"/>
      <c r="I120" s="314"/>
      <c r="J120" s="314"/>
      <c r="K120" s="314"/>
      <c r="L120" s="314"/>
      <c r="M120" s="314"/>
      <c r="N120" s="314"/>
      <c r="O120" s="314"/>
      <c r="P120" s="314"/>
      <c r="Q120" s="314"/>
      <c r="R120" s="314"/>
      <c r="S120" s="314"/>
      <c r="T120" s="337">
        <f>-T185</f>
        <v>0</v>
      </c>
      <c r="U120" s="337"/>
      <c r="V120" s="338"/>
      <c r="W120" s="318"/>
      <c r="X120" s="5"/>
    </row>
    <row r="121" spans="1:24" ht="15.75" x14ac:dyDescent="0.25">
      <c r="A121" s="285"/>
      <c r="B121" s="286" t="s">
        <v>174</v>
      </c>
      <c r="C121" s="314"/>
      <c r="D121" s="314"/>
      <c r="E121" s="314"/>
      <c r="F121" s="314"/>
      <c r="G121" s="314"/>
      <c r="H121" s="314"/>
      <c r="I121" s="314"/>
      <c r="J121" s="314"/>
      <c r="K121" s="314"/>
      <c r="L121" s="314"/>
      <c r="M121" s="314"/>
      <c r="N121" s="314"/>
      <c r="O121" s="314"/>
      <c r="P121" s="314"/>
      <c r="Q121" s="314"/>
      <c r="R121" s="314"/>
      <c r="S121" s="314"/>
      <c r="T121" s="337">
        <v>0</v>
      </c>
      <c r="U121" s="337"/>
      <c r="V121" s="338"/>
      <c r="W121" s="318"/>
      <c r="X121" s="5"/>
    </row>
    <row r="122" spans="1:24" ht="15.75" x14ac:dyDescent="0.25">
      <c r="A122" s="285"/>
      <c r="B122" s="286" t="s">
        <v>38</v>
      </c>
      <c r="C122" s="314"/>
      <c r="D122" s="314"/>
      <c r="E122" s="314"/>
      <c r="F122" s="314"/>
      <c r="G122" s="314"/>
      <c r="H122" s="314"/>
      <c r="I122" s="314"/>
      <c r="J122" s="314"/>
      <c r="K122" s="314"/>
      <c r="L122" s="314"/>
      <c r="M122" s="314"/>
      <c r="N122" s="314"/>
      <c r="O122" s="314"/>
      <c r="P122" s="314"/>
      <c r="Q122" s="314"/>
      <c r="R122" s="314"/>
      <c r="S122" s="314"/>
      <c r="T122" s="337">
        <f>-S185</f>
        <v>-25</v>
      </c>
      <c r="U122" s="337"/>
      <c r="V122" s="338"/>
      <c r="W122" s="318"/>
      <c r="X122" s="5"/>
    </row>
    <row r="123" spans="1:24" ht="15.75" x14ac:dyDescent="0.25">
      <c r="A123" s="285"/>
      <c r="B123" s="286" t="s">
        <v>197</v>
      </c>
      <c r="C123" s="314"/>
      <c r="D123" s="314"/>
      <c r="E123" s="314"/>
      <c r="F123" s="314"/>
      <c r="G123" s="314"/>
      <c r="H123" s="314"/>
      <c r="I123" s="314"/>
      <c r="J123" s="314"/>
      <c r="K123" s="314"/>
      <c r="L123" s="314"/>
      <c r="M123" s="314"/>
      <c r="N123" s="314"/>
      <c r="O123" s="314"/>
      <c r="P123" s="314"/>
      <c r="Q123" s="314"/>
      <c r="R123" s="314"/>
      <c r="S123" s="314"/>
      <c r="T123" s="337">
        <v>-2110</v>
      </c>
      <c r="U123" s="337"/>
      <c r="V123" s="338"/>
      <c r="W123" s="318"/>
      <c r="X123" s="5"/>
    </row>
    <row r="124" spans="1:24" ht="15.75" x14ac:dyDescent="0.25">
      <c r="A124" s="285"/>
      <c r="B124" s="286" t="s">
        <v>195</v>
      </c>
      <c r="C124" s="314"/>
      <c r="D124" s="314"/>
      <c r="E124" s="314"/>
      <c r="F124" s="314"/>
      <c r="G124" s="314"/>
      <c r="H124" s="314"/>
      <c r="I124" s="314"/>
      <c r="J124" s="314"/>
      <c r="K124" s="314"/>
      <c r="L124" s="314"/>
      <c r="M124" s="314"/>
      <c r="N124" s="314"/>
      <c r="O124" s="314"/>
      <c r="P124" s="314"/>
      <c r="Q124" s="314"/>
      <c r="R124" s="314"/>
      <c r="S124" s="314"/>
      <c r="T124" s="337">
        <v>-897</v>
      </c>
      <c r="U124" s="337"/>
      <c r="V124" s="338"/>
      <c r="W124" s="318"/>
      <c r="X124" s="5"/>
    </row>
    <row r="125" spans="1:24" ht="15.75" x14ac:dyDescent="0.25">
      <c r="A125" s="285"/>
      <c r="B125" s="286" t="s">
        <v>194</v>
      </c>
      <c r="C125" s="314"/>
      <c r="D125" s="314"/>
      <c r="E125" s="314"/>
      <c r="F125" s="314"/>
      <c r="G125" s="314"/>
      <c r="H125" s="314"/>
      <c r="I125" s="314"/>
      <c r="J125" s="314"/>
      <c r="K125" s="314"/>
      <c r="L125" s="314"/>
      <c r="M125" s="314"/>
      <c r="N125" s="314"/>
      <c r="O125" s="314"/>
      <c r="P125" s="314"/>
      <c r="Q125" s="314"/>
      <c r="R125" s="314"/>
      <c r="S125" s="314"/>
      <c r="T125" s="337">
        <v>-320</v>
      </c>
      <c r="U125" s="337"/>
      <c r="V125" s="338"/>
      <c r="W125" s="318"/>
      <c r="X125" s="5"/>
    </row>
    <row r="126" spans="1:24" ht="15.75" x14ac:dyDescent="0.25">
      <c r="A126" s="285"/>
      <c r="B126" s="286" t="s">
        <v>222</v>
      </c>
      <c r="C126" s="314"/>
      <c r="D126" s="314"/>
      <c r="E126" s="314"/>
      <c r="F126" s="314"/>
      <c r="G126" s="314"/>
      <c r="H126" s="314"/>
      <c r="I126" s="314"/>
      <c r="J126" s="314"/>
      <c r="K126" s="314"/>
      <c r="L126" s="314"/>
      <c r="M126" s="314"/>
      <c r="N126" s="314"/>
      <c r="O126" s="314"/>
      <c r="P126" s="314"/>
      <c r="Q126" s="314"/>
      <c r="R126" s="314"/>
      <c r="S126" s="314"/>
      <c r="T126" s="337">
        <v>-317</v>
      </c>
      <c r="U126" s="337"/>
      <c r="V126" s="338"/>
      <c r="W126" s="318"/>
      <c r="X126" s="5"/>
    </row>
    <row r="127" spans="1:24" ht="15.75" x14ac:dyDescent="0.25">
      <c r="A127" s="285"/>
      <c r="B127" s="286" t="s">
        <v>189</v>
      </c>
      <c r="C127" s="314"/>
      <c r="D127" s="314"/>
      <c r="E127" s="314"/>
      <c r="F127" s="314"/>
      <c r="G127" s="314"/>
      <c r="H127" s="314"/>
      <c r="I127" s="314"/>
      <c r="J127" s="314"/>
      <c r="K127" s="314"/>
      <c r="L127" s="314"/>
      <c r="M127" s="314"/>
      <c r="N127" s="314"/>
      <c r="O127" s="314"/>
      <c r="P127" s="314"/>
      <c r="Q127" s="314"/>
      <c r="R127" s="314"/>
      <c r="S127" s="314"/>
      <c r="T127" s="337">
        <v>0</v>
      </c>
      <c r="U127" s="337"/>
      <c r="V127" s="338"/>
      <c r="W127" s="318"/>
      <c r="X127" s="5"/>
    </row>
    <row r="128" spans="1:24" ht="15.75" x14ac:dyDescent="0.25">
      <c r="A128" s="285"/>
      <c r="B128" s="286" t="s">
        <v>188</v>
      </c>
      <c r="C128" s="314"/>
      <c r="D128" s="314"/>
      <c r="E128" s="314"/>
      <c r="F128" s="314"/>
      <c r="G128" s="314"/>
      <c r="H128" s="314"/>
      <c r="I128" s="314"/>
      <c r="J128" s="314"/>
      <c r="K128" s="314"/>
      <c r="L128" s="314"/>
      <c r="M128" s="314"/>
      <c r="N128" s="314"/>
      <c r="O128" s="314"/>
      <c r="P128" s="314"/>
      <c r="Q128" s="314"/>
      <c r="R128" s="314"/>
      <c r="S128" s="314"/>
      <c r="T128" s="337">
        <v>0</v>
      </c>
      <c r="U128" s="337"/>
      <c r="V128" s="338"/>
      <c r="W128" s="318"/>
      <c r="X128" s="5"/>
    </row>
    <row r="129" spans="1:24" ht="15.75" x14ac:dyDescent="0.25">
      <c r="A129" s="285"/>
      <c r="B129" s="286" t="s">
        <v>187</v>
      </c>
      <c r="C129" s="314"/>
      <c r="D129" s="314"/>
      <c r="E129" s="314"/>
      <c r="F129" s="314"/>
      <c r="G129" s="314"/>
      <c r="H129" s="314"/>
      <c r="I129" s="314"/>
      <c r="J129" s="314"/>
      <c r="K129" s="314"/>
      <c r="L129" s="314"/>
      <c r="M129" s="314"/>
      <c r="N129" s="314"/>
      <c r="O129" s="314"/>
      <c r="P129" s="314"/>
      <c r="Q129" s="314"/>
      <c r="R129" s="314"/>
      <c r="S129" s="314"/>
      <c r="T129" s="337">
        <v>0</v>
      </c>
      <c r="U129" s="337"/>
      <c r="V129" s="338"/>
      <c r="W129" s="318"/>
      <c r="X129" s="5"/>
    </row>
    <row r="130" spans="1:24" ht="15.75" x14ac:dyDescent="0.25">
      <c r="A130" s="285"/>
      <c r="B130" s="286" t="s">
        <v>39</v>
      </c>
      <c r="C130" s="314"/>
      <c r="D130" s="314"/>
      <c r="E130" s="314"/>
      <c r="F130" s="314"/>
      <c r="G130" s="314"/>
      <c r="H130" s="314"/>
      <c r="I130" s="314"/>
      <c r="J130" s="314"/>
      <c r="K130" s="314"/>
      <c r="L130" s="314"/>
      <c r="M130" s="314"/>
      <c r="N130" s="314"/>
      <c r="O130" s="314"/>
      <c r="P130" s="314"/>
      <c r="Q130" s="314"/>
      <c r="R130" s="314"/>
      <c r="S130" s="314"/>
      <c r="T130" s="337">
        <f>SUM(T120:T129)</f>
        <v>-3669</v>
      </c>
      <c r="U130" s="337"/>
      <c r="V130" s="337">
        <f>SUM(V102:V128)</f>
        <v>-6316</v>
      </c>
      <c r="W130" s="318"/>
      <c r="X130" s="5"/>
    </row>
    <row r="131" spans="1:24" ht="15.75" x14ac:dyDescent="0.25">
      <c r="A131" s="285"/>
      <c r="B131" s="286" t="s">
        <v>40</v>
      </c>
      <c r="C131" s="314"/>
      <c r="D131" s="314"/>
      <c r="E131" s="314"/>
      <c r="F131" s="314"/>
      <c r="G131" s="314"/>
      <c r="H131" s="314"/>
      <c r="I131" s="314"/>
      <c r="J131" s="314"/>
      <c r="K131" s="314"/>
      <c r="L131" s="314"/>
      <c r="M131" s="314"/>
      <c r="N131" s="314"/>
      <c r="O131" s="314"/>
      <c r="P131" s="314"/>
      <c r="Q131" s="314"/>
      <c r="R131" s="314"/>
      <c r="S131" s="314"/>
      <c r="T131" s="337">
        <f>T101+T130+T113</f>
        <v>0</v>
      </c>
      <c r="U131" s="337"/>
      <c r="V131" s="337">
        <f>V101+V130</f>
        <v>0</v>
      </c>
      <c r="W131" s="318"/>
      <c r="X131" s="5"/>
    </row>
    <row r="132" spans="1:24" ht="15.75" x14ac:dyDescent="0.25">
      <c r="A132" s="181"/>
      <c r="B132" s="212"/>
      <c r="C132" s="212"/>
      <c r="D132" s="212"/>
      <c r="E132" s="212"/>
      <c r="F132" s="212"/>
      <c r="G132" s="212"/>
      <c r="H132" s="212"/>
      <c r="I132" s="212"/>
      <c r="J132" s="212"/>
      <c r="K132" s="212"/>
      <c r="L132" s="212"/>
      <c r="M132" s="212"/>
      <c r="N132" s="212"/>
      <c r="O132" s="212"/>
      <c r="P132" s="212"/>
      <c r="Q132" s="212"/>
      <c r="R132" s="212"/>
      <c r="S132" s="212"/>
      <c r="T132" s="335"/>
      <c r="U132" s="335"/>
      <c r="V132" s="335"/>
      <c r="W132" s="212"/>
      <c r="X132" s="5"/>
    </row>
    <row r="133" spans="1:24" ht="15.75" x14ac:dyDescent="0.25">
      <c r="A133" s="181"/>
      <c r="B133" s="183"/>
      <c r="C133" s="183"/>
      <c r="D133" s="183"/>
      <c r="E133" s="183"/>
      <c r="F133" s="183"/>
      <c r="G133" s="183"/>
      <c r="H133" s="183"/>
      <c r="I133" s="183"/>
      <c r="J133" s="183"/>
      <c r="K133" s="183"/>
      <c r="L133" s="183"/>
      <c r="M133" s="183"/>
      <c r="N133" s="183"/>
      <c r="O133" s="183"/>
      <c r="P133" s="183"/>
      <c r="Q133" s="183"/>
      <c r="R133" s="183"/>
      <c r="S133" s="183"/>
      <c r="T133" s="183"/>
      <c r="U133" s="183"/>
      <c r="V133" s="202"/>
      <c r="W133" s="183"/>
      <c r="X133" s="5"/>
    </row>
    <row r="134" spans="1:24" ht="19.5" thickBot="1" x14ac:dyDescent="0.35">
      <c r="A134" s="197"/>
      <c r="B134" s="270" t="str">
        <f>B64</f>
        <v>PM15 INVESTOR REPORT QUARTER ENDING MAY 2012</v>
      </c>
      <c r="C134" s="198"/>
      <c r="D134" s="198"/>
      <c r="E134" s="198"/>
      <c r="F134" s="198"/>
      <c r="G134" s="198"/>
      <c r="H134" s="198"/>
      <c r="I134" s="198"/>
      <c r="J134" s="198"/>
      <c r="K134" s="198"/>
      <c r="L134" s="198"/>
      <c r="M134" s="198"/>
      <c r="N134" s="198"/>
      <c r="O134" s="198"/>
      <c r="P134" s="198"/>
      <c r="Q134" s="198"/>
      <c r="R134" s="198"/>
      <c r="S134" s="198"/>
      <c r="T134" s="198"/>
      <c r="U134" s="198"/>
      <c r="V134" s="209"/>
      <c r="W134" s="200"/>
      <c r="X134" s="5"/>
    </row>
    <row r="135" spans="1:24" ht="15.75" x14ac:dyDescent="0.25">
      <c r="A135" s="236"/>
      <c r="B135" s="403" t="s">
        <v>41</v>
      </c>
      <c r="C135" s="238"/>
      <c r="D135" s="238"/>
      <c r="E135" s="238"/>
      <c r="F135" s="238"/>
      <c r="G135" s="238"/>
      <c r="H135" s="238"/>
      <c r="I135" s="238"/>
      <c r="J135" s="238"/>
      <c r="K135" s="238"/>
      <c r="L135" s="238"/>
      <c r="M135" s="238"/>
      <c r="N135" s="238"/>
      <c r="O135" s="238"/>
      <c r="P135" s="238"/>
      <c r="Q135" s="238"/>
      <c r="R135" s="238"/>
      <c r="S135" s="238"/>
      <c r="T135" s="238"/>
      <c r="U135" s="238"/>
      <c r="V135" s="239"/>
      <c r="W135" s="238"/>
      <c r="X135" s="5"/>
    </row>
    <row r="136" spans="1:24" ht="15.75" x14ac:dyDescent="0.25">
      <c r="A136" s="181"/>
      <c r="B136" s="191"/>
      <c r="C136" s="183"/>
      <c r="D136" s="183"/>
      <c r="E136" s="183"/>
      <c r="F136" s="183"/>
      <c r="G136" s="183"/>
      <c r="H136" s="183"/>
      <c r="I136" s="183"/>
      <c r="J136" s="183"/>
      <c r="K136" s="183"/>
      <c r="L136" s="183"/>
      <c r="M136" s="183"/>
      <c r="N136" s="183"/>
      <c r="O136" s="183"/>
      <c r="P136" s="183"/>
      <c r="Q136" s="183"/>
      <c r="R136" s="183"/>
      <c r="S136" s="183"/>
      <c r="T136" s="183"/>
      <c r="U136" s="183"/>
      <c r="V136" s="202"/>
      <c r="W136" s="183"/>
      <c r="X136" s="5"/>
    </row>
    <row r="137" spans="1:24" ht="15.75" x14ac:dyDescent="0.25">
      <c r="A137" s="181"/>
      <c r="B137" s="210" t="s">
        <v>42</v>
      </c>
      <c r="C137" s="183"/>
      <c r="D137" s="183"/>
      <c r="E137" s="183"/>
      <c r="F137" s="183"/>
      <c r="G137" s="183"/>
      <c r="H137" s="183"/>
      <c r="I137" s="183"/>
      <c r="J137" s="183"/>
      <c r="K137" s="183"/>
      <c r="L137" s="183"/>
      <c r="M137" s="183"/>
      <c r="N137" s="183"/>
      <c r="O137" s="183"/>
      <c r="P137" s="183"/>
      <c r="Q137" s="183"/>
      <c r="R137" s="183"/>
      <c r="S137" s="183"/>
      <c r="T137" s="183"/>
      <c r="U137" s="183"/>
      <c r="V137" s="202"/>
      <c r="W137" s="183"/>
      <c r="X137" s="5"/>
    </row>
    <row r="138" spans="1:24" ht="15.75" x14ac:dyDescent="0.25">
      <c r="A138" s="285"/>
      <c r="B138" s="286" t="s">
        <v>43</v>
      </c>
      <c r="C138" s="286"/>
      <c r="D138" s="286"/>
      <c r="E138" s="286"/>
      <c r="F138" s="286"/>
      <c r="G138" s="286"/>
      <c r="H138" s="286"/>
      <c r="I138" s="286"/>
      <c r="J138" s="286"/>
      <c r="K138" s="286"/>
      <c r="L138" s="286"/>
      <c r="M138" s="286"/>
      <c r="N138" s="286"/>
      <c r="O138" s="286"/>
      <c r="P138" s="286"/>
      <c r="Q138" s="286"/>
      <c r="R138" s="286"/>
      <c r="S138" s="286"/>
      <c r="T138" s="286"/>
      <c r="U138" s="286"/>
      <c r="V138" s="338">
        <f>+V34*0.019</f>
        <v>19021.526999999998</v>
      </c>
      <c r="W138" s="289"/>
      <c r="X138" s="5"/>
    </row>
    <row r="139" spans="1:24" ht="15.75" x14ac:dyDescent="0.25">
      <c r="A139" s="285"/>
      <c r="B139" s="286" t="s">
        <v>44</v>
      </c>
      <c r="C139" s="286"/>
      <c r="D139" s="286"/>
      <c r="E139" s="286"/>
      <c r="F139" s="286"/>
      <c r="G139" s="286"/>
      <c r="H139" s="286"/>
      <c r="I139" s="286"/>
      <c r="J139" s="286"/>
      <c r="K139" s="286"/>
      <c r="L139" s="286"/>
      <c r="M139" s="286"/>
      <c r="N139" s="286"/>
      <c r="O139" s="286"/>
      <c r="P139" s="286"/>
      <c r="Q139" s="286"/>
      <c r="R139" s="286"/>
      <c r="S139" s="286"/>
      <c r="T139" s="286"/>
      <c r="U139" s="286"/>
      <c r="V139" s="338">
        <v>19022</v>
      </c>
      <c r="W139" s="289"/>
      <c r="X139" s="5"/>
    </row>
    <row r="140" spans="1:24" ht="15.75" x14ac:dyDescent="0.25">
      <c r="A140" s="285"/>
      <c r="B140" s="286" t="s">
        <v>136</v>
      </c>
      <c r="C140" s="286"/>
      <c r="D140" s="286"/>
      <c r="E140" s="286"/>
      <c r="F140" s="286"/>
      <c r="G140" s="286"/>
      <c r="H140" s="286"/>
      <c r="I140" s="286"/>
      <c r="J140" s="286"/>
      <c r="K140" s="286"/>
      <c r="L140" s="286"/>
      <c r="M140" s="286"/>
      <c r="N140" s="286"/>
      <c r="O140" s="286"/>
      <c r="P140" s="286"/>
      <c r="Q140" s="286"/>
      <c r="R140" s="286"/>
      <c r="S140" s="286"/>
      <c r="T140" s="286"/>
      <c r="U140" s="286"/>
      <c r="V140" s="338"/>
      <c r="W140" s="289"/>
      <c r="X140" s="5"/>
    </row>
    <row r="141" spans="1:24" ht="15.75" x14ac:dyDescent="0.25">
      <c r="A141" s="285"/>
      <c r="B141" s="286" t="s">
        <v>123</v>
      </c>
      <c r="C141" s="286"/>
      <c r="D141" s="286"/>
      <c r="E141" s="286"/>
      <c r="F141" s="286"/>
      <c r="G141" s="286"/>
      <c r="H141" s="286"/>
      <c r="I141" s="286"/>
      <c r="J141" s="286"/>
      <c r="K141" s="286"/>
      <c r="L141" s="286"/>
      <c r="M141" s="286"/>
      <c r="N141" s="286"/>
      <c r="O141" s="286"/>
      <c r="P141" s="286"/>
      <c r="Q141" s="286"/>
      <c r="R141" s="286"/>
      <c r="S141" s="286"/>
      <c r="T141" s="286"/>
      <c r="U141" s="286"/>
      <c r="V141" s="338">
        <v>0</v>
      </c>
      <c r="W141" s="289"/>
      <c r="X141" s="5"/>
    </row>
    <row r="142" spans="1:24" ht="15.75" x14ac:dyDescent="0.25">
      <c r="A142" s="285"/>
      <c r="B142" s="286" t="s">
        <v>124</v>
      </c>
      <c r="C142" s="286"/>
      <c r="D142" s="286"/>
      <c r="E142" s="286"/>
      <c r="F142" s="286"/>
      <c r="G142" s="286"/>
      <c r="H142" s="286"/>
      <c r="I142" s="286"/>
      <c r="J142" s="286"/>
      <c r="K142" s="286"/>
      <c r="L142" s="286"/>
      <c r="M142" s="286"/>
      <c r="N142" s="286"/>
      <c r="O142" s="286"/>
      <c r="P142" s="286"/>
      <c r="Q142" s="286"/>
      <c r="R142" s="286"/>
      <c r="S142" s="286"/>
      <c r="T142" s="286"/>
      <c r="U142" s="286"/>
      <c r="V142" s="338">
        <v>0</v>
      </c>
      <c r="W142" s="289"/>
      <c r="X142" s="5"/>
    </row>
    <row r="143" spans="1:24" ht="15.75" x14ac:dyDescent="0.25">
      <c r="A143" s="285"/>
      <c r="B143" s="286" t="s">
        <v>175</v>
      </c>
      <c r="C143" s="286"/>
      <c r="D143" s="286"/>
      <c r="E143" s="286"/>
      <c r="F143" s="286"/>
      <c r="G143" s="286"/>
      <c r="H143" s="286"/>
      <c r="I143" s="286"/>
      <c r="J143" s="286"/>
      <c r="K143" s="286"/>
      <c r="L143" s="286"/>
      <c r="M143" s="286"/>
      <c r="N143" s="286"/>
      <c r="O143" s="286"/>
      <c r="P143" s="286"/>
      <c r="Q143" s="286"/>
      <c r="R143" s="286"/>
      <c r="S143" s="286"/>
      <c r="T143" s="286"/>
      <c r="U143" s="286"/>
      <c r="V143" s="338">
        <v>0</v>
      </c>
      <c r="W143" s="289"/>
      <c r="X143" s="5"/>
    </row>
    <row r="144" spans="1:24" ht="15.75" x14ac:dyDescent="0.25">
      <c r="A144" s="285"/>
      <c r="B144" s="286" t="s">
        <v>45</v>
      </c>
      <c r="C144" s="286"/>
      <c r="D144" s="286"/>
      <c r="E144" s="286"/>
      <c r="F144" s="286"/>
      <c r="G144" s="286"/>
      <c r="H144" s="286"/>
      <c r="I144" s="286"/>
      <c r="J144" s="286"/>
      <c r="K144" s="286"/>
      <c r="L144" s="286"/>
      <c r="M144" s="286"/>
      <c r="N144" s="286"/>
      <c r="O144" s="286"/>
      <c r="P144" s="286"/>
      <c r="Q144" s="286"/>
      <c r="R144" s="286"/>
      <c r="S144" s="286"/>
      <c r="T144" s="286"/>
      <c r="U144" s="286"/>
      <c r="V144" s="338">
        <v>0</v>
      </c>
      <c r="W144" s="289"/>
      <c r="X144" s="5"/>
    </row>
    <row r="145" spans="1:25" ht="15.75" x14ac:dyDescent="0.25">
      <c r="A145" s="285"/>
      <c r="B145" s="286" t="s">
        <v>129</v>
      </c>
      <c r="C145" s="286"/>
      <c r="D145" s="286"/>
      <c r="E145" s="286"/>
      <c r="F145" s="286"/>
      <c r="G145" s="286"/>
      <c r="H145" s="286"/>
      <c r="I145" s="286"/>
      <c r="J145" s="286"/>
      <c r="K145" s="286"/>
      <c r="L145" s="286"/>
      <c r="M145" s="286"/>
      <c r="N145" s="286"/>
      <c r="O145" s="286"/>
      <c r="P145" s="286"/>
      <c r="Q145" s="286"/>
      <c r="R145" s="286"/>
      <c r="S145" s="286"/>
      <c r="T145" s="286"/>
      <c r="U145" s="286"/>
      <c r="V145" s="338">
        <v>0</v>
      </c>
      <c r="W145" s="289"/>
      <c r="X145" s="5"/>
    </row>
    <row r="146" spans="1:25" ht="15.75" x14ac:dyDescent="0.25">
      <c r="A146" s="285"/>
      <c r="B146" s="286" t="s">
        <v>241</v>
      </c>
      <c r="C146" s="286"/>
      <c r="D146" s="286"/>
      <c r="E146" s="286"/>
      <c r="F146" s="286"/>
      <c r="G146" s="286"/>
      <c r="H146" s="286"/>
      <c r="I146" s="286"/>
      <c r="J146" s="286"/>
      <c r="K146" s="286"/>
      <c r="L146" s="286"/>
      <c r="M146" s="286"/>
      <c r="N146" s="286"/>
      <c r="O146" s="286"/>
      <c r="P146" s="286"/>
      <c r="Q146" s="286"/>
      <c r="R146" s="286"/>
      <c r="S146" s="286"/>
      <c r="T146" s="286"/>
      <c r="U146" s="286"/>
      <c r="V146" s="338">
        <v>0</v>
      </c>
      <c r="W146" s="289"/>
      <c r="X146" s="5"/>
      <c r="Y146" s="109"/>
    </row>
    <row r="147" spans="1:25" ht="15.75" x14ac:dyDescent="0.25">
      <c r="A147" s="285"/>
      <c r="B147" s="286" t="s">
        <v>46</v>
      </c>
      <c r="C147" s="286"/>
      <c r="D147" s="286"/>
      <c r="E147" s="286"/>
      <c r="F147" s="286"/>
      <c r="G147" s="286"/>
      <c r="H147" s="286"/>
      <c r="I147" s="286"/>
      <c r="J147" s="286"/>
      <c r="K147" s="286"/>
      <c r="L147" s="286"/>
      <c r="M147" s="286"/>
      <c r="N147" s="286"/>
      <c r="O147" s="286"/>
      <c r="P147" s="286"/>
      <c r="Q147" s="286"/>
      <c r="R147" s="286"/>
      <c r="S147" s="286"/>
      <c r="T147" s="286"/>
      <c r="U147" s="286"/>
      <c r="V147" s="338">
        <f>SUM(V139:V146)</f>
        <v>19022</v>
      </c>
      <c r="W147" s="289"/>
      <c r="X147" s="5"/>
    </row>
    <row r="148" spans="1:25" ht="15.75" x14ac:dyDescent="0.25">
      <c r="A148" s="285"/>
      <c r="B148" s="314"/>
      <c r="C148" s="314"/>
      <c r="D148" s="314"/>
      <c r="E148" s="314"/>
      <c r="F148" s="314"/>
      <c r="G148" s="314"/>
      <c r="H148" s="314"/>
      <c r="I148" s="314"/>
      <c r="J148" s="314"/>
      <c r="K148" s="314"/>
      <c r="L148" s="314"/>
      <c r="M148" s="314"/>
      <c r="N148" s="314"/>
      <c r="O148" s="314"/>
      <c r="P148" s="314"/>
      <c r="Q148" s="314"/>
      <c r="R148" s="314"/>
      <c r="S148" s="314"/>
      <c r="T148" s="314"/>
      <c r="U148" s="314"/>
      <c r="V148" s="345"/>
      <c r="W148" s="318"/>
      <c r="X148" s="5"/>
    </row>
    <row r="149" spans="1:25" ht="15.75" x14ac:dyDescent="0.25">
      <c r="A149" s="285"/>
      <c r="B149" s="342" t="s">
        <v>269</v>
      </c>
      <c r="C149" s="314"/>
      <c r="D149" s="314"/>
      <c r="E149" s="314"/>
      <c r="F149" s="314"/>
      <c r="G149" s="314"/>
      <c r="H149" s="314"/>
      <c r="I149" s="314"/>
      <c r="J149" s="314"/>
      <c r="K149" s="314"/>
      <c r="L149" s="314"/>
      <c r="M149" s="314"/>
      <c r="N149" s="314"/>
      <c r="O149" s="314"/>
      <c r="P149" s="314"/>
      <c r="Q149" s="314"/>
      <c r="R149" s="314"/>
      <c r="S149" s="314"/>
      <c r="T149" s="314"/>
      <c r="U149" s="314"/>
      <c r="V149" s="345"/>
      <c r="W149" s="318"/>
      <c r="X149" s="5"/>
    </row>
    <row r="150" spans="1:25" ht="15.75" x14ac:dyDescent="0.25">
      <c r="A150" s="285"/>
      <c r="B150" s="286" t="s">
        <v>155</v>
      </c>
      <c r="C150" s="286"/>
      <c r="D150" s="286"/>
      <c r="E150" s="286"/>
      <c r="F150" s="286"/>
      <c r="G150" s="286"/>
      <c r="H150" s="286"/>
      <c r="I150" s="286"/>
      <c r="J150" s="286"/>
      <c r="K150" s="286"/>
      <c r="L150" s="286"/>
      <c r="M150" s="286"/>
      <c r="N150" s="286"/>
      <c r="O150" s="286"/>
      <c r="P150" s="286"/>
      <c r="Q150" s="286"/>
      <c r="R150" s="286"/>
      <c r="S150" s="286"/>
      <c r="T150" s="286"/>
      <c r="U150" s="286"/>
      <c r="V150" s="338">
        <v>0</v>
      </c>
      <c r="W150" s="289"/>
      <c r="X150" s="5"/>
    </row>
    <row r="151" spans="1:25" ht="15.75" x14ac:dyDescent="0.25">
      <c r="A151" s="285"/>
      <c r="B151" s="286" t="s">
        <v>172</v>
      </c>
      <c r="C151" s="286"/>
      <c r="D151" s="286"/>
      <c r="E151" s="286"/>
      <c r="F151" s="286"/>
      <c r="G151" s="286"/>
      <c r="H151" s="286"/>
      <c r="I151" s="286"/>
      <c r="J151" s="286"/>
      <c r="K151" s="286"/>
      <c r="L151" s="286"/>
      <c r="M151" s="286"/>
      <c r="N151" s="286"/>
      <c r="O151" s="286"/>
      <c r="P151" s="286"/>
      <c r="Q151" s="286"/>
      <c r="R151" s="286"/>
      <c r="S151" s="286"/>
      <c r="T151" s="286"/>
      <c r="U151" s="286"/>
      <c r="V151" s="338">
        <v>0</v>
      </c>
      <c r="W151" s="289"/>
      <c r="X151" s="5"/>
    </row>
    <row r="152" spans="1:25" ht="15.75" x14ac:dyDescent="0.25">
      <c r="A152" s="285"/>
      <c r="B152" s="286" t="s">
        <v>226</v>
      </c>
      <c r="C152" s="286"/>
      <c r="D152" s="286"/>
      <c r="E152" s="286"/>
      <c r="F152" s="286"/>
      <c r="G152" s="286"/>
      <c r="H152" s="286"/>
      <c r="I152" s="286"/>
      <c r="J152" s="286"/>
      <c r="K152" s="286"/>
      <c r="L152" s="286"/>
      <c r="M152" s="286"/>
      <c r="N152" s="286"/>
      <c r="O152" s="286"/>
      <c r="P152" s="286"/>
      <c r="Q152" s="286"/>
      <c r="R152" s="286"/>
      <c r="S152" s="286"/>
      <c r="T152" s="286"/>
      <c r="U152" s="286"/>
      <c r="V152" s="338">
        <v>0</v>
      </c>
      <c r="W152" s="289"/>
      <c r="X152" s="5"/>
    </row>
    <row r="153" spans="1:25" ht="15.75" x14ac:dyDescent="0.25">
      <c r="A153" s="285"/>
      <c r="B153" s="314"/>
      <c r="C153" s="314"/>
      <c r="D153" s="314"/>
      <c r="E153" s="314"/>
      <c r="F153" s="314"/>
      <c r="G153" s="314"/>
      <c r="H153" s="314"/>
      <c r="I153" s="314"/>
      <c r="J153" s="314"/>
      <c r="K153" s="314"/>
      <c r="L153" s="314"/>
      <c r="M153" s="314"/>
      <c r="N153" s="314"/>
      <c r="O153" s="314"/>
      <c r="P153" s="314"/>
      <c r="Q153" s="314"/>
      <c r="R153" s="314"/>
      <c r="S153" s="314"/>
      <c r="T153" s="314"/>
      <c r="U153" s="314"/>
      <c r="V153" s="345"/>
      <c r="W153" s="318"/>
      <c r="X153" s="5"/>
    </row>
    <row r="154" spans="1:25" ht="15.75" x14ac:dyDescent="0.25">
      <c r="A154" s="181"/>
      <c r="B154" s="212"/>
      <c r="C154" s="212"/>
      <c r="D154" s="212"/>
      <c r="E154" s="212"/>
      <c r="F154" s="212"/>
      <c r="G154" s="212"/>
      <c r="H154" s="212"/>
      <c r="I154" s="212"/>
      <c r="J154" s="212"/>
      <c r="K154" s="212"/>
      <c r="L154" s="212"/>
      <c r="M154" s="212"/>
      <c r="N154" s="212"/>
      <c r="O154" s="212"/>
      <c r="P154" s="212"/>
      <c r="Q154" s="212"/>
      <c r="R154" s="212"/>
      <c r="S154" s="212"/>
      <c r="T154" s="212"/>
      <c r="U154" s="212"/>
      <c r="V154" s="344"/>
      <c r="W154" s="212"/>
      <c r="X154" s="5"/>
    </row>
    <row r="155" spans="1:25" ht="15.75" x14ac:dyDescent="0.25">
      <c r="A155" s="181"/>
      <c r="B155" s="210" t="s">
        <v>24</v>
      </c>
      <c r="C155" s="183"/>
      <c r="D155" s="183"/>
      <c r="E155" s="183"/>
      <c r="F155" s="183"/>
      <c r="G155" s="183"/>
      <c r="H155" s="183"/>
      <c r="I155" s="183"/>
      <c r="J155" s="183"/>
      <c r="K155" s="183"/>
      <c r="L155" s="183"/>
      <c r="M155" s="183"/>
      <c r="N155" s="183"/>
      <c r="O155" s="183"/>
      <c r="P155" s="183"/>
      <c r="Q155" s="183"/>
      <c r="R155" s="183"/>
      <c r="S155" s="183"/>
      <c r="T155" s="183"/>
      <c r="U155" s="183"/>
      <c r="V155" s="202"/>
      <c r="W155" s="183"/>
      <c r="X155" s="5"/>
    </row>
    <row r="156" spans="1:25" ht="15.75" x14ac:dyDescent="0.25">
      <c r="A156" s="285"/>
      <c r="B156" s="286" t="s">
        <v>47</v>
      </c>
      <c r="C156" s="286"/>
      <c r="D156" s="286"/>
      <c r="E156" s="286"/>
      <c r="F156" s="286"/>
      <c r="G156" s="286"/>
      <c r="H156" s="286"/>
      <c r="I156" s="286"/>
      <c r="J156" s="286"/>
      <c r="K156" s="286"/>
      <c r="L156" s="286"/>
      <c r="M156" s="286"/>
      <c r="N156" s="286"/>
      <c r="O156" s="286"/>
      <c r="P156" s="286"/>
      <c r="Q156" s="286"/>
      <c r="R156" s="286"/>
      <c r="S156" s="286"/>
      <c r="T156" s="286"/>
      <c r="U156" s="286"/>
      <c r="V156" s="343" t="s">
        <v>118</v>
      </c>
      <c r="W156" s="318"/>
      <c r="X156" s="5"/>
    </row>
    <row r="157" spans="1:25" ht="15.75" x14ac:dyDescent="0.25">
      <c r="A157" s="285"/>
      <c r="B157" s="286" t="s">
        <v>48</v>
      </c>
      <c r="C157" s="288"/>
      <c r="D157" s="288"/>
      <c r="E157" s="288"/>
      <c r="F157" s="288"/>
      <c r="G157" s="288"/>
      <c r="H157" s="288"/>
      <c r="I157" s="288"/>
      <c r="J157" s="288"/>
      <c r="K157" s="288"/>
      <c r="L157" s="288"/>
      <c r="M157" s="288"/>
      <c r="N157" s="288"/>
      <c r="O157" s="288"/>
      <c r="P157" s="288"/>
      <c r="Q157" s="288"/>
      <c r="R157" s="288"/>
      <c r="S157" s="288"/>
      <c r="T157" s="288"/>
      <c r="U157" s="288"/>
      <c r="V157" s="343" t="s">
        <v>118</v>
      </c>
      <c r="W157" s="318"/>
      <c r="X157" s="5"/>
    </row>
    <row r="158" spans="1:25" ht="15.75" x14ac:dyDescent="0.25">
      <c r="A158" s="285"/>
      <c r="B158" s="286" t="s">
        <v>49</v>
      </c>
      <c r="C158" s="286"/>
      <c r="D158" s="286"/>
      <c r="E158" s="286"/>
      <c r="F158" s="286"/>
      <c r="G158" s="286"/>
      <c r="H158" s="286"/>
      <c r="I158" s="286"/>
      <c r="J158" s="286"/>
      <c r="K158" s="286"/>
      <c r="L158" s="286"/>
      <c r="M158" s="286"/>
      <c r="N158" s="286"/>
      <c r="O158" s="286"/>
      <c r="P158" s="286"/>
      <c r="Q158" s="286"/>
      <c r="R158" s="286"/>
      <c r="S158" s="286"/>
      <c r="T158" s="286"/>
      <c r="U158" s="286"/>
      <c r="V158" s="343" t="s">
        <v>118</v>
      </c>
      <c r="W158" s="318"/>
      <c r="X158" s="5"/>
    </row>
    <row r="159" spans="1:25" ht="15.75" x14ac:dyDescent="0.25">
      <c r="A159" s="285"/>
      <c r="B159" s="286" t="s">
        <v>50</v>
      </c>
      <c r="C159" s="286"/>
      <c r="D159" s="286"/>
      <c r="E159" s="286"/>
      <c r="F159" s="286"/>
      <c r="G159" s="286"/>
      <c r="H159" s="286"/>
      <c r="I159" s="286"/>
      <c r="J159" s="286"/>
      <c r="K159" s="286"/>
      <c r="L159" s="286"/>
      <c r="M159" s="286"/>
      <c r="N159" s="286"/>
      <c r="O159" s="286"/>
      <c r="P159" s="286"/>
      <c r="Q159" s="286"/>
      <c r="R159" s="286"/>
      <c r="S159" s="286"/>
      <c r="T159" s="286"/>
      <c r="U159" s="286"/>
      <c r="V159" s="343" t="s">
        <v>118</v>
      </c>
      <c r="W159" s="318"/>
      <c r="X159" s="5"/>
    </row>
    <row r="160" spans="1:25" ht="15.75" x14ac:dyDescent="0.25">
      <c r="A160" s="181"/>
      <c r="B160" s="212"/>
      <c r="C160" s="212"/>
      <c r="D160" s="212"/>
      <c r="E160" s="212"/>
      <c r="F160" s="212"/>
      <c r="G160" s="212"/>
      <c r="H160" s="212"/>
      <c r="I160" s="212"/>
      <c r="J160" s="212"/>
      <c r="K160" s="212"/>
      <c r="L160" s="212"/>
      <c r="M160" s="212"/>
      <c r="N160" s="212"/>
      <c r="O160" s="212"/>
      <c r="P160" s="212"/>
      <c r="Q160" s="212"/>
      <c r="R160" s="212"/>
      <c r="S160" s="212"/>
      <c r="T160" s="212"/>
      <c r="U160" s="212"/>
      <c r="V160" s="344"/>
      <c r="W160" s="212"/>
      <c r="X160" s="5"/>
    </row>
    <row r="161" spans="1:256" ht="15.75" x14ac:dyDescent="0.25">
      <c r="A161" s="181"/>
      <c r="B161" s="210" t="s">
        <v>51</v>
      </c>
      <c r="C161" s="183"/>
      <c r="D161" s="183"/>
      <c r="E161" s="183"/>
      <c r="F161" s="183"/>
      <c r="G161" s="183"/>
      <c r="H161" s="183"/>
      <c r="I161" s="183"/>
      <c r="J161" s="183"/>
      <c r="K161" s="183"/>
      <c r="L161" s="183"/>
      <c r="M161" s="183"/>
      <c r="N161" s="183"/>
      <c r="O161" s="183"/>
      <c r="P161" s="183"/>
      <c r="Q161" s="183"/>
      <c r="R161" s="183"/>
      <c r="S161" s="183"/>
      <c r="T161" s="183"/>
      <c r="U161" s="183"/>
      <c r="V161" s="211"/>
      <c r="W161" s="183"/>
      <c r="X161" s="5"/>
    </row>
    <row r="162" spans="1:256" ht="15.75" x14ac:dyDescent="0.25">
      <c r="A162" s="285"/>
      <c r="B162" s="286" t="s">
        <v>52</v>
      </c>
      <c r="C162" s="286"/>
      <c r="D162" s="286"/>
      <c r="E162" s="286"/>
      <c r="F162" s="286"/>
      <c r="G162" s="286"/>
      <c r="H162" s="286"/>
      <c r="I162" s="286"/>
      <c r="J162" s="286"/>
      <c r="K162" s="286"/>
      <c r="L162" s="286"/>
      <c r="M162" s="286"/>
      <c r="N162" s="286"/>
      <c r="O162" s="286"/>
      <c r="P162" s="286"/>
      <c r="Q162" s="286"/>
      <c r="R162" s="286"/>
      <c r="S162" s="286"/>
      <c r="T162" s="286"/>
      <c r="U162" s="286"/>
      <c r="V162" s="338">
        <v>0</v>
      </c>
      <c r="W162" s="289"/>
      <c r="X162" s="5"/>
    </row>
    <row r="163" spans="1:256" ht="15.75" x14ac:dyDescent="0.25">
      <c r="A163" s="285"/>
      <c r="B163" s="286" t="s">
        <v>53</v>
      </c>
      <c r="C163" s="286"/>
      <c r="D163" s="286"/>
      <c r="E163" s="286"/>
      <c r="F163" s="286"/>
      <c r="G163" s="286"/>
      <c r="H163" s="286"/>
      <c r="I163" s="286"/>
      <c r="J163" s="286"/>
      <c r="K163" s="286"/>
      <c r="L163" s="286"/>
      <c r="M163" s="286"/>
      <c r="N163" s="286"/>
      <c r="O163" s="286"/>
      <c r="P163" s="286"/>
      <c r="Q163" s="286"/>
      <c r="R163" s="286"/>
      <c r="S163" s="286"/>
      <c r="T163" s="286"/>
      <c r="U163" s="286"/>
      <c r="V163" s="338">
        <v>31</v>
      </c>
      <c r="W163" s="289"/>
      <c r="X163" s="5"/>
    </row>
    <row r="164" spans="1:256" ht="15.75" x14ac:dyDescent="0.25">
      <c r="A164" s="285"/>
      <c r="B164" s="286" t="s">
        <v>54</v>
      </c>
      <c r="C164" s="286"/>
      <c r="D164" s="286"/>
      <c r="E164" s="286"/>
      <c r="F164" s="286"/>
      <c r="G164" s="286"/>
      <c r="H164" s="286"/>
      <c r="I164" s="286"/>
      <c r="J164" s="286"/>
      <c r="K164" s="286"/>
      <c r="L164" s="286"/>
      <c r="M164" s="286"/>
      <c r="N164" s="286"/>
      <c r="O164" s="286"/>
      <c r="P164" s="286"/>
      <c r="Q164" s="286"/>
      <c r="R164" s="286"/>
      <c r="S164" s="286"/>
      <c r="T164" s="286"/>
      <c r="U164" s="286"/>
      <c r="V164" s="338">
        <f>V163+V162</f>
        <v>31</v>
      </c>
      <c r="W164" s="289"/>
      <c r="X164" s="5"/>
    </row>
    <row r="165" spans="1:256" ht="15.75" x14ac:dyDescent="0.25">
      <c r="A165" s="285"/>
      <c r="B165" s="286" t="s">
        <v>303</v>
      </c>
      <c r="C165" s="286"/>
      <c r="D165" s="286"/>
      <c r="E165" s="286"/>
      <c r="F165" s="286"/>
      <c r="G165" s="286"/>
      <c r="H165" s="286"/>
      <c r="I165" s="286"/>
      <c r="J165" s="286"/>
      <c r="K165" s="286"/>
      <c r="L165" s="286"/>
      <c r="M165" s="286"/>
      <c r="N165" s="286"/>
      <c r="O165" s="286"/>
      <c r="P165" s="286"/>
      <c r="Q165" s="286"/>
      <c r="R165" s="286"/>
      <c r="S165" s="286"/>
      <c r="T165" s="286"/>
      <c r="U165" s="286"/>
      <c r="V165" s="338">
        <f>V113</f>
        <v>-31</v>
      </c>
      <c r="W165" s="289"/>
      <c r="X165" s="5"/>
    </row>
    <row r="166" spans="1:256" ht="15.75" x14ac:dyDescent="0.25">
      <c r="A166" s="285"/>
      <c r="B166" s="286" t="s">
        <v>55</v>
      </c>
      <c r="C166" s="286"/>
      <c r="D166" s="286"/>
      <c r="E166" s="286"/>
      <c r="F166" s="286"/>
      <c r="G166" s="286"/>
      <c r="H166" s="286"/>
      <c r="I166" s="286"/>
      <c r="J166" s="286"/>
      <c r="K166" s="286"/>
      <c r="L166" s="286"/>
      <c r="M166" s="286"/>
      <c r="N166" s="286"/>
      <c r="O166" s="286"/>
      <c r="P166" s="286"/>
      <c r="Q166" s="286"/>
      <c r="R166" s="286"/>
      <c r="S166" s="286"/>
      <c r="T166" s="286"/>
      <c r="U166" s="286"/>
      <c r="V166" s="338">
        <f>V164+V165</f>
        <v>0</v>
      </c>
      <c r="W166" s="289"/>
      <c r="X166" s="5"/>
    </row>
    <row r="167" spans="1:256" ht="15.75" x14ac:dyDescent="0.25">
      <c r="A167" s="285"/>
      <c r="B167" s="286" t="s">
        <v>274</v>
      </c>
      <c r="C167" s="286"/>
      <c r="D167" s="286"/>
      <c r="E167" s="286"/>
      <c r="F167" s="286"/>
      <c r="G167" s="286"/>
      <c r="H167" s="286"/>
      <c r="I167" s="286"/>
      <c r="J167" s="286"/>
      <c r="K167" s="286"/>
      <c r="L167" s="286"/>
      <c r="M167" s="286"/>
      <c r="N167" s="286"/>
      <c r="O167" s="286"/>
      <c r="P167" s="286"/>
      <c r="Q167" s="286"/>
      <c r="R167" s="286"/>
      <c r="S167" s="286"/>
      <c r="T167" s="286"/>
      <c r="U167" s="286"/>
      <c r="V167" s="338">
        <v>0</v>
      </c>
      <c r="W167" s="289"/>
      <c r="X167" s="5"/>
    </row>
    <row r="168" spans="1:256" ht="16.5" thickBot="1" x14ac:dyDescent="0.3">
      <c r="A168" s="181"/>
      <c r="B168" s="212"/>
      <c r="C168" s="212"/>
      <c r="D168" s="212"/>
      <c r="E168" s="212"/>
      <c r="F168" s="212"/>
      <c r="G168" s="212"/>
      <c r="H168" s="212"/>
      <c r="I168" s="212"/>
      <c r="J168" s="212"/>
      <c r="K168" s="212"/>
      <c r="L168" s="212"/>
      <c r="M168" s="212"/>
      <c r="N168" s="212"/>
      <c r="O168" s="212"/>
      <c r="P168" s="212"/>
      <c r="Q168" s="212"/>
      <c r="R168" s="212"/>
      <c r="S168" s="212"/>
      <c r="T168" s="212"/>
      <c r="U168" s="212"/>
      <c r="V168" s="344"/>
      <c r="W168" s="212"/>
      <c r="X168" s="5"/>
    </row>
    <row r="169" spans="1:256" ht="15.75" x14ac:dyDescent="0.25">
      <c r="A169" s="179"/>
      <c r="B169" s="180"/>
      <c r="C169" s="180"/>
      <c r="D169" s="180"/>
      <c r="E169" s="180"/>
      <c r="F169" s="180"/>
      <c r="G169" s="180"/>
      <c r="H169" s="180"/>
      <c r="I169" s="180"/>
      <c r="J169" s="180"/>
      <c r="K169" s="180"/>
      <c r="L169" s="180"/>
      <c r="M169" s="180"/>
      <c r="N169" s="180"/>
      <c r="O169" s="180"/>
      <c r="P169" s="180"/>
      <c r="Q169" s="180"/>
      <c r="R169" s="180"/>
      <c r="S169" s="180"/>
      <c r="T169" s="180"/>
      <c r="U169" s="180"/>
      <c r="V169" s="201"/>
      <c r="W169" s="180"/>
      <c r="X169" s="5"/>
    </row>
    <row r="170" spans="1:256" s="158" customFormat="1" ht="15.75" x14ac:dyDescent="0.25">
      <c r="A170" s="181"/>
      <c r="B170" s="210" t="s">
        <v>230</v>
      </c>
      <c r="C170" s="212"/>
      <c r="D170" s="212"/>
      <c r="E170" s="212"/>
      <c r="F170" s="212"/>
      <c r="G170" s="212"/>
      <c r="H170" s="212"/>
      <c r="I170" s="212"/>
      <c r="J170" s="212"/>
      <c r="K170" s="212"/>
      <c r="L170" s="212"/>
      <c r="M170" s="212"/>
      <c r="N170" s="212"/>
      <c r="O170" s="212"/>
      <c r="P170" s="212"/>
      <c r="Q170" s="212"/>
      <c r="R170" s="212"/>
      <c r="S170" s="212"/>
      <c r="T170" s="212"/>
      <c r="U170" s="212"/>
      <c r="V170" s="213"/>
      <c r="W170" s="212"/>
      <c r="X170" s="5"/>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s="160" customFormat="1" ht="15.75" x14ac:dyDescent="0.25">
      <c r="A171" s="285"/>
      <c r="B171" s="286" t="s">
        <v>231</v>
      </c>
      <c r="C171" s="286"/>
      <c r="D171" s="286"/>
      <c r="E171" s="286"/>
      <c r="F171" s="286"/>
      <c r="G171" s="286"/>
      <c r="H171" s="286"/>
      <c r="I171" s="286"/>
      <c r="J171" s="286"/>
      <c r="K171" s="286"/>
      <c r="L171" s="286"/>
      <c r="M171" s="286"/>
      <c r="N171" s="286"/>
      <c r="O171" s="286"/>
      <c r="P171" s="286"/>
      <c r="Q171" s="286"/>
      <c r="R171" s="286"/>
      <c r="S171" s="286"/>
      <c r="T171" s="286"/>
      <c r="U171" s="286"/>
      <c r="V171" s="338">
        <f>+'Aug 08'!V173</f>
        <v>0</v>
      </c>
      <c r="W171" s="289"/>
      <c r="X171" s="5"/>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s="160" customFormat="1" ht="15.75" x14ac:dyDescent="0.25">
      <c r="A172" s="285"/>
      <c r="B172" s="286" t="s">
        <v>234</v>
      </c>
      <c r="C172" s="286"/>
      <c r="D172" s="286"/>
      <c r="E172" s="286"/>
      <c r="F172" s="286"/>
      <c r="G172" s="286"/>
      <c r="H172" s="286"/>
      <c r="I172" s="286"/>
      <c r="J172" s="286"/>
      <c r="K172" s="286"/>
      <c r="L172" s="286"/>
      <c r="M172" s="286"/>
      <c r="N172" s="286"/>
      <c r="O172" s="286"/>
      <c r="P172" s="286"/>
      <c r="Q172" s="286"/>
      <c r="R172" s="286"/>
      <c r="S172" s="286"/>
      <c r="T172" s="286"/>
      <c r="U172" s="286"/>
      <c r="V172" s="338">
        <f>+V94</f>
        <v>0</v>
      </c>
      <c r="W172" s="289"/>
      <c r="X172" s="5"/>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s="160" customFormat="1" ht="15.75" x14ac:dyDescent="0.25">
      <c r="A173" s="285"/>
      <c r="B173" s="286" t="s">
        <v>232</v>
      </c>
      <c r="C173" s="286"/>
      <c r="D173" s="286"/>
      <c r="E173" s="286"/>
      <c r="F173" s="286"/>
      <c r="G173" s="286"/>
      <c r="H173" s="286"/>
      <c r="I173" s="286"/>
      <c r="J173" s="286"/>
      <c r="K173" s="286"/>
      <c r="L173" s="286"/>
      <c r="M173" s="286"/>
      <c r="N173" s="286"/>
      <c r="O173" s="286"/>
      <c r="P173" s="286"/>
      <c r="Q173" s="286"/>
      <c r="R173" s="286"/>
      <c r="S173" s="286"/>
      <c r="T173" s="286"/>
      <c r="U173" s="286"/>
      <c r="V173" s="338">
        <f>+V171-V172</f>
        <v>0</v>
      </c>
      <c r="W173" s="289"/>
      <c r="X173" s="5"/>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s="163" customFormat="1" ht="16.5" thickBot="1" x14ac:dyDescent="0.3">
      <c r="A174" s="197"/>
      <c r="B174" s="212"/>
      <c r="C174" s="212"/>
      <c r="D174" s="212"/>
      <c r="E174" s="212"/>
      <c r="F174" s="212"/>
      <c r="G174" s="212"/>
      <c r="H174" s="212"/>
      <c r="I174" s="212"/>
      <c r="J174" s="212"/>
      <c r="K174" s="212"/>
      <c r="L174" s="212"/>
      <c r="M174" s="212"/>
      <c r="N174" s="212"/>
      <c r="O174" s="212"/>
      <c r="P174" s="212"/>
      <c r="Q174" s="212"/>
      <c r="R174" s="212"/>
      <c r="S174" s="212"/>
      <c r="T174" s="212"/>
      <c r="U174" s="212"/>
      <c r="V174" s="344"/>
      <c r="W174" s="212"/>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4" customFormat="1" ht="15.75" x14ac:dyDescent="0.25">
      <c r="A175" s="179"/>
      <c r="B175" s="180"/>
      <c r="C175" s="180"/>
      <c r="D175" s="180"/>
      <c r="E175" s="180"/>
      <c r="F175" s="180"/>
      <c r="G175" s="180"/>
      <c r="H175" s="180"/>
      <c r="I175" s="180"/>
      <c r="J175" s="180"/>
      <c r="K175" s="180"/>
      <c r="L175" s="180"/>
      <c r="M175" s="180"/>
      <c r="N175" s="180"/>
      <c r="O175" s="180"/>
      <c r="P175" s="180"/>
      <c r="Q175" s="180"/>
      <c r="R175" s="180"/>
      <c r="S175" s="180"/>
      <c r="T175" s="180"/>
      <c r="U175" s="180"/>
      <c r="V175" s="201"/>
      <c r="W175" s="180"/>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ht="15.75" x14ac:dyDescent="0.25">
      <c r="A176" s="181"/>
      <c r="B176" s="210" t="s">
        <v>56</v>
      </c>
      <c r="C176" s="183"/>
      <c r="D176" s="183"/>
      <c r="E176" s="183"/>
      <c r="F176" s="183"/>
      <c r="G176" s="183"/>
      <c r="H176" s="183"/>
      <c r="I176" s="183"/>
      <c r="J176" s="183"/>
      <c r="K176" s="183"/>
      <c r="L176" s="183"/>
      <c r="M176" s="183"/>
      <c r="N176" s="183"/>
      <c r="O176" s="183"/>
      <c r="P176" s="183"/>
      <c r="Q176" s="183"/>
      <c r="R176" s="183"/>
      <c r="S176" s="183"/>
      <c r="T176" s="183"/>
      <c r="U176" s="183"/>
      <c r="V176" s="202"/>
      <c r="W176" s="183"/>
      <c r="X176" s="5"/>
    </row>
    <row r="177" spans="1:24" ht="15.75" x14ac:dyDescent="0.25">
      <c r="A177" s="181"/>
      <c r="B177" s="191"/>
      <c r="C177" s="183"/>
      <c r="D177" s="183"/>
      <c r="E177" s="183"/>
      <c r="F177" s="183"/>
      <c r="G177" s="183"/>
      <c r="H177" s="183"/>
      <c r="I177" s="183"/>
      <c r="J177" s="183"/>
      <c r="K177" s="183"/>
      <c r="L177" s="183"/>
      <c r="M177" s="183"/>
      <c r="N177" s="183"/>
      <c r="O177" s="183"/>
      <c r="P177" s="183"/>
      <c r="Q177" s="183"/>
      <c r="R177" s="183"/>
      <c r="S177" s="183"/>
      <c r="T177" s="183"/>
      <c r="U177" s="183"/>
      <c r="V177" s="202"/>
      <c r="W177" s="183"/>
      <c r="X177" s="5"/>
    </row>
    <row r="178" spans="1:24" ht="15.75" x14ac:dyDescent="0.25">
      <c r="A178" s="285"/>
      <c r="B178" s="286" t="s">
        <v>57</v>
      </c>
      <c r="C178" s="286"/>
      <c r="D178" s="286"/>
      <c r="E178" s="286"/>
      <c r="F178" s="286"/>
      <c r="G178" s="286"/>
      <c r="H178" s="286"/>
      <c r="I178" s="286"/>
      <c r="J178" s="286"/>
      <c r="K178" s="286"/>
      <c r="L178" s="286"/>
      <c r="M178" s="286"/>
      <c r="N178" s="286"/>
      <c r="O178" s="286"/>
      <c r="P178" s="286"/>
      <c r="Q178" s="286"/>
      <c r="R178" s="286"/>
      <c r="S178" s="286"/>
      <c r="T178" s="286"/>
      <c r="U178" s="286"/>
      <c r="V178" s="338">
        <f>V71</f>
        <v>824172</v>
      </c>
      <c r="W178" s="289"/>
      <c r="X178" s="5"/>
    </row>
    <row r="179" spans="1:24" ht="15.75" x14ac:dyDescent="0.25">
      <c r="A179" s="285"/>
      <c r="B179" s="286" t="s">
        <v>58</v>
      </c>
      <c r="C179" s="286"/>
      <c r="D179" s="286"/>
      <c r="E179" s="286"/>
      <c r="F179" s="286"/>
      <c r="G179" s="286"/>
      <c r="H179" s="286"/>
      <c r="I179" s="286"/>
      <c r="J179" s="286"/>
      <c r="K179" s="286"/>
      <c r="L179" s="286"/>
      <c r="M179" s="286"/>
      <c r="N179" s="286"/>
      <c r="O179" s="286"/>
      <c r="P179" s="286"/>
      <c r="Q179" s="286"/>
      <c r="R179" s="286"/>
      <c r="S179" s="286"/>
      <c r="T179" s="286"/>
      <c r="U179" s="286"/>
      <c r="V179" s="338">
        <f>V84</f>
        <v>824172</v>
      </c>
      <c r="W179" s="289"/>
      <c r="X179" s="5"/>
    </row>
    <row r="180" spans="1:24" ht="16.5" thickBot="1" x14ac:dyDescent="0.3">
      <c r="A180" s="181"/>
      <c r="B180" s="212"/>
      <c r="C180" s="212"/>
      <c r="D180" s="212"/>
      <c r="E180" s="212"/>
      <c r="F180" s="212"/>
      <c r="G180" s="212"/>
      <c r="H180" s="212"/>
      <c r="I180" s="212"/>
      <c r="J180" s="212"/>
      <c r="K180" s="212"/>
      <c r="L180" s="212"/>
      <c r="M180" s="212"/>
      <c r="N180" s="212"/>
      <c r="O180" s="212"/>
      <c r="P180" s="212"/>
      <c r="Q180" s="212"/>
      <c r="R180" s="212"/>
      <c r="S180" s="212"/>
      <c r="T180" s="212"/>
      <c r="U180" s="212"/>
      <c r="V180" s="344"/>
      <c r="W180" s="212"/>
      <c r="X180" s="5"/>
    </row>
    <row r="181" spans="1:24" ht="15.75" x14ac:dyDescent="0.25">
      <c r="A181" s="179"/>
      <c r="B181" s="180"/>
      <c r="C181" s="180"/>
      <c r="D181" s="180"/>
      <c r="E181" s="180"/>
      <c r="F181" s="180"/>
      <c r="G181" s="180"/>
      <c r="H181" s="180"/>
      <c r="I181" s="180"/>
      <c r="J181" s="180"/>
      <c r="K181" s="180"/>
      <c r="L181" s="180"/>
      <c r="M181" s="180"/>
      <c r="N181" s="180"/>
      <c r="O181" s="180"/>
      <c r="P181" s="180"/>
      <c r="Q181" s="180"/>
      <c r="R181" s="180"/>
      <c r="S181" s="180"/>
      <c r="T181" s="180"/>
      <c r="U181" s="180"/>
      <c r="V181" s="201"/>
      <c r="W181" s="180"/>
      <c r="X181" s="5"/>
    </row>
    <row r="182" spans="1:24" ht="15.75" x14ac:dyDescent="0.25">
      <c r="A182" s="181"/>
      <c r="B182" s="210" t="s">
        <v>59</v>
      </c>
      <c r="C182" s="206"/>
      <c r="D182" s="206"/>
      <c r="E182" s="206"/>
      <c r="F182" s="206"/>
      <c r="G182" s="206"/>
      <c r="H182" s="214"/>
      <c r="I182" s="214"/>
      <c r="J182" s="214"/>
      <c r="K182" s="214"/>
      <c r="L182" s="214"/>
      <c r="M182" s="214"/>
      <c r="N182" s="214"/>
      <c r="O182" s="214"/>
      <c r="P182" s="214"/>
      <c r="Q182" s="214"/>
      <c r="R182" s="214"/>
      <c r="S182" s="214" t="s">
        <v>101</v>
      </c>
      <c r="T182" s="214" t="s">
        <v>176</v>
      </c>
      <c r="U182" s="185"/>
      <c r="V182" s="215" t="s">
        <v>114</v>
      </c>
      <c r="W182" s="216"/>
      <c r="X182" s="5"/>
    </row>
    <row r="183" spans="1:24" ht="15.75" x14ac:dyDescent="0.25">
      <c r="A183" s="285"/>
      <c r="B183" s="286" t="s">
        <v>60</v>
      </c>
      <c r="C183" s="286"/>
      <c r="D183" s="286"/>
      <c r="E183" s="286"/>
      <c r="F183" s="286"/>
      <c r="G183" s="286"/>
      <c r="H183" s="286"/>
      <c r="I183" s="286"/>
      <c r="J183" s="286"/>
      <c r="K183" s="286"/>
      <c r="L183" s="286"/>
      <c r="M183" s="286"/>
      <c r="N183" s="286"/>
      <c r="O183" s="286"/>
      <c r="P183" s="286"/>
      <c r="Q183" s="286"/>
      <c r="R183" s="286"/>
      <c r="S183" s="338">
        <f>+V34*0.16</f>
        <v>160181.28</v>
      </c>
      <c r="T183" s="325"/>
      <c r="U183" s="286"/>
      <c r="V183" s="338"/>
      <c r="W183" s="289"/>
      <c r="X183" s="5"/>
    </row>
    <row r="184" spans="1:24" ht="15.75" x14ac:dyDescent="0.25">
      <c r="A184" s="285"/>
      <c r="B184" s="286" t="s">
        <v>61</v>
      </c>
      <c r="C184" s="286"/>
      <c r="D184" s="286"/>
      <c r="E184" s="286"/>
      <c r="F184" s="286"/>
      <c r="G184" s="286"/>
      <c r="H184" s="286"/>
      <c r="I184" s="286"/>
      <c r="J184" s="286"/>
      <c r="K184" s="286"/>
      <c r="L184" s="286"/>
      <c r="M184" s="286"/>
      <c r="N184" s="286"/>
      <c r="O184" s="286"/>
      <c r="P184" s="286"/>
      <c r="Q184" s="286"/>
      <c r="R184" s="286"/>
      <c r="S184" s="338">
        <f>+'Feb 12'!S186</f>
        <v>10717</v>
      </c>
      <c r="T184" s="338">
        <f>+'Feb 12'!T186</f>
        <v>6090</v>
      </c>
      <c r="U184" s="286"/>
      <c r="V184" s="338">
        <f>S184+T184</f>
        <v>16807</v>
      </c>
      <c r="W184" s="289"/>
      <c r="X184" s="5"/>
    </row>
    <row r="185" spans="1:24" ht="15.75" x14ac:dyDescent="0.25">
      <c r="A185" s="285"/>
      <c r="B185" s="286" t="s">
        <v>62</v>
      </c>
      <c r="C185" s="286"/>
      <c r="D185" s="286"/>
      <c r="E185" s="286"/>
      <c r="F185" s="286"/>
      <c r="G185" s="286"/>
      <c r="H185" s="286"/>
      <c r="I185" s="286"/>
      <c r="J185" s="286"/>
      <c r="K185" s="286"/>
      <c r="L185" s="286"/>
      <c r="M185" s="286"/>
      <c r="N185" s="286"/>
      <c r="O185" s="286"/>
      <c r="P185" s="286"/>
      <c r="Q185" s="286"/>
      <c r="R185" s="286"/>
      <c r="S185" s="337">
        <v>25</v>
      </c>
      <c r="T185" s="337">
        <v>0</v>
      </c>
      <c r="U185" s="286"/>
      <c r="V185" s="338">
        <f>S185+T185</f>
        <v>25</v>
      </c>
      <c r="W185" s="289"/>
      <c r="X185" s="5"/>
    </row>
    <row r="186" spans="1:24" ht="15.75" x14ac:dyDescent="0.25">
      <c r="A186" s="285"/>
      <c r="B186" s="286" t="s">
        <v>63</v>
      </c>
      <c r="C186" s="286"/>
      <c r="D186" s="286"/>
      <c r="E186" s="286"/>
      <c r="F186" s="286"/>
      <c r="G186" s="286"/>
      <c r="H186" s="286"/>
      <c r="I186" s="286"/>
      <c r="J186" s="286"/>
      <c r="K186" s="286"/>
      <c r="L186" s="286"/>
      <c r="M186" s="286"/>
      <c r="N186" s="286"/>
      <c r="O186" s="286"/>
      <c r="P186" s="286"/>
      <c r="Q186" s="286"/>
      <c r="R186" s="286"/>
      <c r="S186" s="338">
        <f>S184+S185</f>
        <v>10742</v>
      </c>
      <c r="T186" s="338">
        <f>T185+T184</f>
        <v>6090</v>
      </c>
      <c r="U186" s="286"/>
      <c r="V186" s="338">
        <f>S186+T186</f>
        <v>16832</v>
      </c>
      <c r="W186" s="289"/>
      <c r="X186" s="5"/>
    </row>
    <row r="187" spans="1:24" ht="15.75" x14ac:dyDescent="0.25">
      <c r="A187" s="285"/>
      <c r="B187" s="286" t="s">
        <v>64</v>
      </c>
      <c r="C187" s="286"/>
      <c r="D187" s="286"/>
      <c r="E187" s="286"/>
      <c r="F187" s="286"/>
      <c r="G187" s="286"/>
      <c r="H187" s="286"/>
      <c r="I187" s="286"/>
      <c r="J187" s="286"/>
      <c r="K187" s="286"/>
      <c r="L187" s="286"/>
      <c r="M187" s="286"/>
      <c r="N187" s="286"/>
      <c r="O187" s="286"/>
      <c r="P187" s="286"/>
      <c r="Q187" s="286"/>
      <c r="R187" s="286"/>
      <c r="S187" s="338">
        <f>S183-S186-T186</f>
        <v>143349.28</v>
      </c>
      <c r="T187" s="325"/>
      <c r="U187" s="286"/>
      <c r="V187" s="338"/>
      <c r="W187" s="289"/>
      <c r="X187" s="5"/>
    </row>
    <row r="188" spans="1:24" ht="16.5" thickBot="1" x14ac:dyDescent="0.3">
      <c r="A188" s="181"/>
      <c r="B188" s="212"/>
      <c r="C188" s="212"/>
      <c r="D188" s="212"/>
      <c r="E188" s="212"/>
      <c r="F188" s="212"/>
      <c r="G188" s="212"/>
      <c r="H188" s="212"/>
      <c r="I188" s="212"/>
      <c r="J188" s="212"/>
      <c r="K188" s="212"/>
      <c r="L188" s="212"/>
      <c r="M188" s="212"/>
      <c r="N188" s="212"/>
      <c r="O188" s="212"/>
      <c r="P188" s="212"/>
      <c r="Q188" s="212"/>
      <c r="R188" s="212"/>
      <c r="S188" s="212"/>
      <c r="T188" s="212"/>
      <c r="U188" s="212"/>
      <c r="V188" s="344"/>
      <c r="W188" s="212"/>
      <c r="X188" s="5"/>
    </row>
    <row r="189" spans="1:24" ht="15.75" x14ac:dyDescent="0.25">
      <c r="A189" s="179"/>
      <c r="B189" s="180"/>
      <c r="C189" s="180"/>
      <c r="D189" s="180"/>
      <c r="E189" s="180"/>
      <c r="F189" s="180"/>
      <c r="G189" s="180"/>
      <c r="H189" s="180"/>
      <c r="I189" s="180"/>
      <c r="J189" s="180"/>
      <c r="K189" s="180"/>
      <c r="L189" s="180"/>
      <c r="M189" s="180"/>
      <c r="N189" s="180"/>
      <c r="O189" s="180"/>
      <c r="P189" s="180"/>
      <c r="Q189" s="180"/>
      <c r="R189" s="180"/>
      <c r="S189" s="180"/>
      <c r="T189" s="180"/>
      <c r="U189" s="180"/>
      <c r="V189" s="201"/>
      <c r="W189" s="180"/>
      <c r="X189" s="5"/>
    </row>
    <row r="190" spans="1:24" ht="15.75" x14ac:dyDescent="0.25">
      <c r="A190" s="181"/>
      <c r="B190" s="210" t="s">
        <v>65</v>
      </c>
      <c r="C190" s="183"/>
      <c r="D190" s="183"/>
      <c r="E190" s="183"/>
      <c r="F190" s="183"/>
      <c r="G190" s="183"/>
      <c r="H190" s="183"/>
      <c r="I190" s="183"/>
      <c r="J190" s="183"/>
      <c r="K190" s="183"/>
      <c r="L190" s="183"/>
      <c r="M190" s="183"/>
      <c r="N190" s="183"/>
      <c r="O190" s="183"/>
      <c r="P190" s="183"/>
      <c r="Q190" s="183"/>
      <c r="R190" s="183"/>
      <c r="S190" s="183"/>
      <c r="T190" s="183"/>
      <c r="U190" s="183"/>
      <c r="V190" s="217"/>
      <c r="W190" s="183"/>
      <c r="X190" s="5"/>
    </row>
    <row r="191" spans="1:24" ht="15.75" x14ac:dyDescent="0.25">
      <c r="A191" s="285"/>
      <c r="B191" s="286" t="s">
        <v>66</v>
      </c>
      <c r="C191" s="286"/>
      <c r="D191" s="286"/>
      <c r="E191" s="286"/>
      <c r="F191" s="286"/>
      <c r="G191" s="286"/>
      <c r="H191" s="286"/>
      <c r="I191" s="286"/>
      <c r="J191" s="286"/>
      <c r="K191" s="286"/>
      <c r="L191" s="286"/>
      <c r="M191" s="286"/>
      <c r="N191" s="286"/>
      <c r="O191" s="286"/>
      <c r="P191" s="286"/>
      <c r="Q191" s="286"/>
      <c r="R191" s="286"/>
      <c r="S191" s="286"/>
      <c r="T191" s="286"/>
      <c r="U191" s="286"/>
      <c r="V191" s="343">
        <f>(V101+V103+V104+V105+V106)/-(V107+V108)</f>
        <v>2.8847320525783622</v>
      </c>
      <c r="W191" s="289" t="s">
        <v>115</v>
      </c>
      <c r="X191" s="5"/>
    </row>
    <row r="192" spans="1:24" ht="15.75" x14ac:dyDescent="0.25">
      <c r="A192" s="285"/>
      <c r="B192" s="286" t="s">
        <v>67</v>
      </c>
      <c r="C192" s="286"/>
      <c r="D192" s="286"/>
      <c r="E192" s="286"/>
      <c r="F192" s="286"/>
      <c r="G192" s="286"/>
      <c r="H192" s="286"/>
      <c r="I192" s="286"/>
      <c r="J192" s="286"/>
      <c r="K192" s="286"/>
      <c r="L192" s="286"/>
      <c r="M192" s="286"/>
      <c r="N192" s="286"/>
      <c r="O192" s="286"/>
      <c r="P192" s="286"/>
      <c r="Q192" s="286"/>
      <c r="R192" s="286"/>
      <c r="S192" s="286"/>
      <c r="T192" s="286"/>
      <c r="U192" s="286"/>
      <c r="V192" s="347">
        <v>1.74</v>
      </c>
      <c r="W192" s="289" t="s">
        <v>115</v>
      </c>
      <c r="X192" s="5"/>
    </row>
    <row r="193" spans="1:24" ht="15.75" x14ac:dyDescent="0.25">
      <c r="A193" s="285"/>
      <c r="B193" s="286" t="s">
        <v>68</v>
      </c>
      <c r="C193" s="286"/>
      <c r="D193" s="286"/>
      <c r="E193" s="286"/>
      <c r="F193" s="286"/>
      <c r="G193" s="286"/>
      <c r="H193" s="286"/>
      <c r="I193" s="286"/>
      <c r="J193" s="286"/>
      <c r="K193" s="286"/>
      <c r="L193" s="286"/>
      <c r="M193" s="286"/>
      <c r="N193" s="286"/>
      <c r="O193" s="286"/>
      <c r="P193" s="286"/>
      <c r="Q193" s="286"/>
      <c r="R193" s="286"/>
      <c r="S193" s="286"/>
      <c r="T193" s="286"/>
      <c r="U193" s="286"/>
      <c r="V193" s="343">
        <f>(V101+V103+V104+V105+V106+V107+V108)/-(V109+V110)</f>
        <v>14.735177865612648</v>
      </c>
      <c r="W193" s="289" t="s">
        <v>115</v>
      </c>
      <c r="X193" s="5"/>
    </row>
    <row r="194" spans="1:24" ht="15.75" x14ac:dyDescent="0.25">
      <c r="A194" s="285"/>
      <c r="B194" s="286" t="s">
        <v>69</v>
      </c>
      <c r="C194" s="286"/>
      <c r="D194" s="286"/>
      <c r="E194" s="286"/>
      <c r="F194" s="286"/>
      <c r="G194" s="286"/>
      <c r="H194" s="286"/>
      <c r="I194" s="286"/>
      <c r="J194" s="286"/>
      <c r="K194" s="286"/>
      <c r="L194" s="286"/>
      <c r="M194" s="286"/>
      <c r="N194" s="286"/>
      <c r="O194" s="286"/>
      <c r="P194" s="286"/>
      <c r="Q194" s="286"/>
      <c r="R194" s="286"/>
      <c r="S194" s="286"/>
      <c r="T194" s="286"/>
      <c r="U194" s="286"/>
      <c r="V194" s="347">
        <v>7.34</v>
      </c>
      <c r="W194" s="289" t="s">
        <v>115</v>
      </c>
      <c r="X194" s="5"/>
    </row>
    <row r="195" spans="1:24" ht="15.75" x14ac:dyDescent="0.25">
      <c r="A195" s="285"/>
      <c r="B195" s="286" t="s">
        <v>198</v>
      </c>
      <c r="C195" s="286"/>
      <c r="D195" s="286"/>
      <c r="E195" s="286"/>
      <c r="F195" s="286"/>
      <c r="G195" s="286"/>
      <c r="H195" s="286"/>
      <c r="I195" s="286"/>
      <c r="J195" s="286"/>
      <c r="K195" s="286"/>
      <c r="L195" s="286"/>
      <c r="M195" s="286"/>
      <c r="N195" s="286"/>
      <c r="O195" s="286"/>
      <c r="P195" s="286"/>
      <c r="Q195" s="286"/>
      <c r="R195" s="286"/>
      <c r="S195" s="286"/>
      <c r="T195" s="286"/>
      <c r="U195" s="286"/>
      <c r="V195" s="343">
        <f>(V101+V103+V104+V105+V106+V107+V108+V109+V110)/-(V111)</f>
        <v>11.102236421725239</v>
      </c>
      <c r="W195" s="289" t="s">
        <v>115</v>
      </c>
      <c r="X195" s="5"/>
    </row>
    <row r="196" spans="1:24" ht="15.75" x14ac:dyDescent="0.25">
      <c r="A196" s="285"/>
      <c r="B196" s="286" t="s">
        <v>199</v>
      </c>
      <c r="C196" s="286"/>
      <c r="D196" s="286"/>
      <c r="E196" s="286"/>
      <c r="F196" s="286"/>
      <c r="G196" s="286"/>
      <c r="H196" s="286"/>
      <c r="I196" s="286"/>
      <c r="J196" s="286"/>
      <c r="K196" s="286"/>
      <c r="L196" s="286"/>
      <c r="M196" s="286"/>
      <c r="N196" s="286"/>
      <c r="O196" s="286"/>
      <c r="P196" s="286"/>
      <c r="Q196" s="286"/>
      <c r="R196" s="286"/>
      <c r="S196" s="286"/>
      <c r="T196" s="286"/>
      <c r="U196" s="286"/>
      <c r="V196" s="347">
        <v>5.69</v>
      </c>
      <c r="W196" s="289" t="s">
        <v>115</v>
      </c>
      <c r="X196" s="5"/>
    </row>
    <row r="197" spans="1:24" ht="15.75" x14ac:dyDescent="0.25">
      <c r="A197" s="285"/>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9"/>
      <c r="X197" s="5"/>
    </row>
    <row r="198" spans="1:24" ht="15.75" x14ac:dyDescent="0.25">
      <c r="A198" s="181"/>
      <c r="B198" s="346"/>
      <c r="C198" s="346"/>
      <c r="D198" s="346"/>
      <c r="E198" s="346"/>
      <c r="F198" s="346"/>
      <c r="G198" s="346"/>
      <c r="H198" s="346"/>
      <c r="I198" s="346"/>
      <c r="J198" s="346"/>
      <c r="K198" s="346"/>
      <c r="L198" s="346"/>
      <c r="M198" s="346"/>
      <c r="N198" s="346"/>
      <c r="O198" s="346"/>
      <c r="P198" s="346"/>
      <c r="Q198" s="346"/>
      <c r="R198" s="346"/>
      <c r="S198" s="346"/>
      <c r="T198" s="346"/>
      <c r="U198" s="346"/>
      <c r="V198" s="346"/>
      <c r="W198" s="346"/>
      <c r="X198" s="5"/>
    </row>
    <row r="199" spans="1:24" ht="15.75" x14ac:dyDescent="0.25">
      <c r="A199" s="181"/>
      <c r="B199" s="255"/>
      <c r="C199" s="255"/>
      <c r="D199" s="255"/>
      <c r="E199" s="255"/>
      <c r="F199" s="255"/>
      <c r="G199" s="255"/>
      <c r="H199" s="255"/>
      <c r="I199" s="255"/>
      <c r="J199" s="255"/>
      <c r="K199" s="255"/>
      <c r="L199" s="255"/>
      <c r="M199" s="255"/>
      <c r="N199" s="255"/>
      <c r="O199" s="255"/>
      <c r="P199" s="255"/>
      <c r="Q199" s="255"/>
      <c r="R199" s="255"/>
      <c r="S199" s="255"/>
      <c r="T199" s="255"/>
      <c r="U199" s="255"/>
      <c r="V199" s="255"/>
      <c r="W199" s="255"/>
      <c r="X199" s="5"/>
    </row>
    <row r="200" spans="1:24" ht="19.5" thickBot="1" x14ac:dyDescent="0.35">
      <c r="A200" s="197"/>
      <c r="B200" s="270" t="str">
        <f>B134</f>
        <v>PM15 INVESTOR REPORT QUARTER ENDING MAY 2012</v>
      </c>
      <c r="C200" s="271"/>
      <c r="D200" s="271"/>
      <c r="E200" s="271"/>
      <c r="F200" s="271"/>
      <c r="G200" s="271"/>
      <c r="H200" s="271"/>
      <c r="I200" s="271"/>
      <c r="J200" s="271"/>
      <c r="K200" s="271"/>
      <c r="L200" s="271"/>
      <c r="M200" s="271"/>
      <c r="N200" s="271"/>
      <c r="O200" s="271"/>
      <c r="P200" s="271"/>
      <c r="Q200" s="271"/>
      <c r="R200" s="271"/>
      <c r="S200" s="271"/>
      <c r="T200" s="271"/>
      <c r="U200" s="271"/>
      <c r="V200" s="271"/>
      <c r="W200" s="272"/>
      <c r="X200" s="5"/>
    </row>
    <row r="201" spans="1:24" ht="15.75" x14ac:dyDescent="0.25">
      <c r="A201" s="236"/>
      <c r="B201" s="403" t="s">
        <v>70</v>
      </c>
      <c r="C201" s="404"/>
      <c r="D201" s="404"/>
      <c r="E201" s="404"/>
      <c r="F201" s="404"/>
      <c r="G201" s="405"/>
      <c r="H201" s="405"/>
      <c r="I201" s="405"/>
      <c r="J201" s="405"/>
      <c r="K201" s="405"/>
      <c r="L201" s="405"/>
      <c r="M201" s="405"/>
      <c r="N201" s="405"/>
      <c r="O201" s="405"/>
      <c r="P201" s="405"/>
      <c r="Q201" s="405"/>
      <c r="R201" s="405"/>
      <c r="S201" s="405"/>
      <c r="T201" s="405">
        <v>41060</v>
      </c>
      <c r="U201" s="238"/>
      <c r="V201" s="238"/>
      <c r="W201" s="238"/>
      <c r="X201" s="5"/>
    </row>
    <row r="202" spans="1:24" ht="15.75" x14ac:dyDescent="0.25">
      <c r="A202" s="218"/>
      <c r="B202" s="219"/>
      <c r="C202" s="220"/>
      <c r="D202" s="220"/>
      <c r="E202" s="220"/>
      <c r="F202" s="220"/>
      <c r="G202" s="221"/>
      <c r="H202" s="221"/>
      <c r="I202" s="221"/>
      <c r="J202" s="221"/>
      <c r="K202" s="221"/>
      <c r="L202" s="221"/>
      <c r="M202" s="221"/>
      <c r="N202" s="221"/>
      <c r="O202" s="221"/>
      <c r="P202" s="221"/>
      <c r="Q202" s="221"/>
      <c r="R202" s="221"/>
      <c r="S202" s="221"/>
      <c r="T202" s="221"/>
      <c r="U202" s="183"/>
      <c r="V202" s="183"/>
      <c r="W202" s="183"/>
      <c r="X202" s="5"/>
    </row>
    <row r="203" spans="1:24" ht="15.75" x14ac:dyDescent="0.25">
      <c r="A203" s="350"/>
      <c r="B203" s="286" t="s">
        <v>71</v>
      </c>
      <c r="C203" s="406"/>
      <c r="D203" s="406"/>
      <c r="E203" s="406"/>
      <c r="F203" s="406"/>
      <c r="G203" s="397"/>
      <c r="H203" s="397"/>
      <c r="I203" s="397"/>
      <c r="J203" s="397"/>
      <c r="K203" s="397"/>
      <c r="L203" s="397"/>
      <c r="M203" s="397"/>
      <c r="N203" s="397"/>
      <c r="O203" s="397"/>
      <c r="P203" s="397"/>
      <c r="Q203" s="397"/>
      <c r="R203" s="397"/>
      <c r="S203" s="397"/>
      <c r="T203" s="321">
        <v>5.3830000000000003E-2</v>
      </c>
      <c r="U203" s="286"/>
      <c r="V203" s="286"/>
      <c r="W203" s="289"/>
      <c r="X203" s="5"/>
    </row>
    <row r="204" spans="1:24" ht="15.75" x14ac:dyDescent="0.25">
      <c r="A204" s="350"/>
      <c r="B204" s="286" t="s">
        <v>151</v>
      </c>
      <c r="C204" s="406"/>
      <c r="D204" s="406"/>
      <c r="E204" s="406"/>
      <c r="F204" s="406"/>
      <c r="G204" s="397"/>
      <c r="H204" s="397"/>
      <c r="I204" s="397"/>
      <c r="J204" s="397"/>
      <c r="K204" s="397"/>
      <c r="L204" s="397"/>
      <c r="M204" s="397"/>
      <c r="N204" s="397"/>
      <c r="O204" s="397"/>
      <c r="P204" s="397"/>
      <c r="Q204" s="397"/>
      <c r="R204" s="397"/>
      <c r="S204" s="397"/>
      <c r="T204" s="321">
        <v>6.25E-2</v>
      </c>
      <c r="U204" s="286"/>
      <c r="V204" s="286"/>
      <c r="W204" s="289"/>
      <c r="X204" s="5"/>
    </row>
    <row r="205" spans="1:24" ht="15.75" x14ac:dyDescent="0.25">
      <c r="A205" s="350"/>
      <c r="B205" s="286" t="s">
        <v>72</v>
      </c>
      <c r="C205" s="406"/>
      <c r="D205" s="406"/>
      <c r="E205" s="406"/>
      <c r="F205" s="406"/>
      <c r="G205" s="397"/>
      <c r="H205" s="397"/>
      <c r="I205" s="397"/>
      <c r="J205" s="397"/>
      <c r="K205" s="397"/>
      <c r="L205" s="397"/>
      <c r="M205" s="397"/>
      <c r="N205" s="397"/>
      <c r="O205" s="397"/>
      <c r="P205" s="397"/>
      <c r="Q205" s="397"/>
      <c r="R205" s="397"/>
      <c r="S205" s="397"/>
      <c r="T205" s="321">
        <f>T203-T204</f>
        <v>-8.6699999999999972E-3</v>
      </c>
      <c r="U205" s="286"/>
      <c r="V205" s="286"/>
      <c r="W205" s="289"/>
      <c r="X205" s="5"/>
    </row>
    <row r="206" spans="1:24" ht="15.75" x14ac:dyDescent="0.25">
      <c r="A206" s="350"/>
      <c r="B206" s="286" t="s">
        <v>73</v>
      </c>
      <c r="C206" s="406"/>
      <c r="D206" s="406"/>
      <c r="E206" s="406"/>
      <c r="F206" s="406"/>
      <c r="G206" s="397"/>
      <c r="H206" s="397"/>
      <c r="I206" s="397"/>
      <c r="J206" s="397"/>
      <c r="K206" s="397"/>
      <c r="L206" s="397"/>
      <c r="M206" s="397"/>
      <c r="N206" s="397"/>
      <c r="O206" s="397"/>
      <c r="P206" s="397"/>
      <c r="Q206" s="397"/>
      <c r="R206" s="397"/>
      <c r="S206" s="397"/>
      <c r="T206" s="321">
        <v>2.9270000000000001E-2</v>
      </c>
      <c r="U206" s="286"/>
      <c r="V206" s="286"/>
      <c r="W206" s="289"/>
      <c r="X206" s="5"/>
    </row>
    <row r="207" spans="1:24" ht="15.75" x14ac:dyDescent="0.25">
      <c r="A207" s="350"/>
      <c r="B207" s="286" t="s">
        <v>218</v>
      </c>
      <c r="C207" s="406"/>
      <c r="D207" s="406"/>
      <c r="E207" s="406"/>
      <c r="F207" s="406"/>
      <c r="G207" s="397"/>
      <c r="H207" s="397"/>
      <c r="I207" s="397"/>
      <c r="J207" s="397"/>
      <c r="K207" s="397"/>
      <c r="L207" s="397"/>
      <c r="M207" s="397"/>
      <c r="N207" s="397"/>
      <c r="O207" s="397"/>
      <c r="P207" s="397"/>
      <c r="Q207" s="397"/>
      <c r="R207" s="397"/>
      <c r="S207" s="397"/>
      <c r="T207" s="321">
        <f>V43</f>
        <v>1.2191915560427537E-2</v>
      </c>
      <c r="U207" s="286"/>
      <c r="V207" s="286"/>
      <c r="W207" s="289"/>
      <c r="X207" s="5"/>
    </row>
    <row r="208" spans="1:24" ht="15.75" x14ac:dyDescent="0.25">
      <c r="A208" s="350"/>
      <c r="B208" s="286" t="s">
        <v>74</v>
      </c>
      <c r="C208" s="406"/>
      <c r="D208" s="406"/>
      <c r="E208" s="406"/>
      <c r="F208" s="406"/>
      <c r="G208" s="397"/>
      <c r="H208" s="397"/>
      <c r="I208" s="397"/>
      <c r="J208" s="397"/>
      <c r="K208" s="397"/>
      <c r="L208" s="397"/>
      <c r="M208" s="397"/>
      <c r="N208" s="397"/>
      <c r="O208" s="397"/>
      <c r="P208" s="397"/>
      <c r="Q208" s="397"/>
      <c r="R208" s="397"/>
      <c r="S208" s="397"/>
      <c r="T208" s="321">
        <f>T206-T207</f>
        <v>1.7078084439572462E-2</v>
      </c>
      <c r="U208" s="286"/>
      <c r="V208" s="286"/>
      <c r="W208" s="289"/>
      <c r="X208" s="5"/>
    </row>
    <row r="209" spans="1:24" ht="15.75" x14ac:dyDescent="0.25">
      <c r="A209" s="350"/>
      <c r="B209" s="286" t="s">
        <v>227</v>
      </c>
      <c r="C209" s="406"/>
      <c r="D209" s="406"/>
      <c r="E209" s="406"/>
      <c r="F209" s="406"/>
      <c r="G209" s="397"/>
      <c r="H209" s="397"/>
      <c r="I209" s="397"/>
      <c r="J209" s="397"/>
      <c r="K209" s="397"/>
      <c r="L209" s="397"/>
      <c r="M209" s="397"/>
      <c r="N209" s="397"/>
      <c r="O209" s="397"/>
      <c r="P209" s="397"/>
      <c r="Q209" s="397"/>
      <c r="R209" s="397"/>
      <c r="S209" s="397"/>
      <c r="T209" s="321">
        <f>V101/N71</f>
        <v>7.6297148158527986E-3</v>
      </c>
      <c r="U209" s="286"/>
      <c r="V209" s="286"/>
      <c r="W209" s="289"/>
      <c r="X209" s="5"/>
    </row>
    <row r="210" spans="1:24" ht="15.75" x14ac:dyDescent="0.25">
      <c r="A210" s="350"/>
      <c r="B210" s="286" t="s">
        <v>207</v>
      </c>
      <c r="C210" s="406"/>
      <c r="D210" s="406"/>
      <c r="E210" s="406"/>
      <c r="F210" s="406"/>
      <c r="G210" s="397"/>
      <c r="H210" s="397"/>
      <c r="I210" s="397"/>
      <c r="J210" s="397"/>
      <c r="K210" s="397"/>
      <c r="L210" s="397"/>
      <c r="M210" s="397"/>
      <c r="N210" s="397"/>
      <c r="O210" s="397"/>
      <c r="P210" s="397"/>
      <c r="Q210" s="397"/>
      <c r="R210" s="397"/>
      <c r="S210" s="397"/>
      <c r="T210" s="352">
        <v>51105</v>
      </c>
      <c r="U210" s="286"/>
      <c r="V210" s="286"/>
      <c r="W210" s="289"/>
      <c r="X210" s="5"/>
    </row>
    <row r="211" spans="1:24" ht="15.75" x14ac:dyDescent="0.25">
      <c r="A211" s="350"/>
      <c r="B211" s="286" t="s">
        <v>208</v>
      </c>
      <c r="C211" s="406"/>
      <c r="D211" s="406"/>
      <c r="E211" s="406"/>
      <c r="F211" s="406"/>
      <c r="G211" s="397"/>
      <c r="H211" s="397"/>
      <c r="I211" s="397"/>
      <c r="J211" s="397"/>
      <c r="K211" s="397"/>
      <c r="L211" s="397"/>
      <c r="M211" s="397"/>
      <c r="N211" s="397"/>
      <c r="O211" s="397"/>
      <c r="P211" s="397"/>
      <c r="Q211" s="397"/>
      <c r="R211" s="397"/>
      <c r="S211" s="397"/>
      <c r="T211" s="352">
        <v>51105</v>
      </c>
      <c r="U211" s="286"/>
      <c r="V211" s="286"/>
      <c r="W211" s="289"/>
      <c r="X211" s="5"/>
    </row>
    <row r="212" spans="1:24" ht="15.75" x14ac:dyDescent="0.25">
      <c r="A212" s="350"/>
      <c r="B212" s="286" t="s">
        <v>209</v>
      </c>
      <c r="C212" s="406"/>
      <c r="D212" s="406"/>
      <c r="E212" s="406"/>
      <c r="F212" s="406"/>
      <c r="G212" s="397"/>
      <c r="H212" s="397"/>
      <c r="I212" s="397"/>
      <c r="J212" s="397"/>
      <c r="K212" s="397"/>
      <c r="L212" s="397"/>
      <c r="M212" s="397"/>
      <c r="N212" s="397"/>
      <c r="O212" s="397"/>
      <c r="P212" s="397"/>
      <c r="Q212" s="397"/>
      <c r="R212" s="397"/>
      <c r="S212" s="397"/>
      <c r="T212" s="352">
        <v>51105</v>
      </c>
      <c r="U212" s="286"/>
      <c r="V212" s="286"/>
      <c r="W212" s="289"/>
      <c r="X212" s="5"/>
    </row>
    <row r="213" spans="1:24" ht="15.75" x14ac:dyDescent="0.25">
      <c r="A213" s="350"/>
      <c r="B213" s="286" t="s">
        <v>75</v>
      </c>
      <c r="C213" s="406"/>
      <c r="D213" s="406"/>
      <c r="E213" s="406"/>
      <c r="F213" s="406"/>
      <c r="G213" s="397"/>
      <c r="H213" s="397"/>
      <c r="I213" s="397"/>
      <c r="J213" s="397"/>
      <c r="K213" s="397"/>
      <c r="L213" s="397"/>
      <c r="M213" s="397"/>
      <c r="N213" s="397"/>
      <c r="O213" s="397"/>
      <c r="P213" s="397"/>
      <c r="Q213" s="397"/>
      <c r="R213" s="397"/>
      <c r="S213" s="397"/>
      <c r="T213" s="327">
        <v>21.06</v>
      </c>
      <c r="U213" s="286" t="s">
        <v>110</v>
      </c>
      <c r="V213" s="286"/>
      <c r="W213" s="289"/>
      <c r="X213" s="5"/>
    </row>
    <row r="214" spans="1:24" ht="15.75" x14ac:dyDescent="0.25">
      <c r="A214" s="350"/>
      <c r="B214" s="286" t="s">
        <v>76</v>
      </c>
      <c r="C214" s="406"/>
      <c r="D214" s="406"/>
      <c r="E214" s="406"/>
      <c r="F214" s="406"/>
      <c r="G214" s="397"/>
      <c r="H214" s="397"/>
      <c r="I214" s="397"/>
      <c r="J214" s="397"/>
      <c r="K214" s="397"/>
      <c r="L214" s="397"/>
      <c r="M214" s="397"/>
      <c r="N214" s="397"/>
      <c r="O214" s="397"/>
      <c r="P214" s="397"/>
      <c r="Q214" s="397"/>
      <c r="R214" s="397"/>
      <c r="S214" s="397"/>
      <c r="T214" s="327">
        <v>16.36</v>
      </c>
      <c r="U214" s="286" t="s">
        <v>110</v>
      </c>
      <c r="V214" s="286"/>
      <c r="W214" s="289"/>
      <c r="X214" s="5"/>
    </row>
    <row r="215" spans="1:24" ht="15.75" x14ac:dyDescent="0.25">
      <c r="A215" s="350"/>
      <c r="B215" s="286" t="s">
        <v>77</v>
      </c>
      <c r="C215" s="406"/>
      <c r="D215" s="406"/>
      <c r="E215" s="406"/>
      <c r="F215" s="406"/>
      <c r="G215" s="397"/>
      <c r="H215" s="397"/>
      <c r="I215" s="397"/>
      <c r="J215" s="397"/>
      <c r="K215" s="397"/>
      <c r="L215" s="397"/>
      <c r="M215" s="397"/>
      <c r="N215" s="397"/>
      <c r="O215" s="397"/>
      <c r="P215" s="397"/>
      <c r="Q215" s="397"/>
      <c r="R215" s="397"/>
      <c r="S215" s="397"/>
      <c r="T215" s="321">
        <f>+P68/N68</f>
        <v>4.4321443412545783E-3</v>
      </c>
      <c r="U215" s="286"/>
      <c r="V215" s="286"/>
      <c r="W215" s="289"/>
      <c r="X215" s="5"/>
    </row>
    <row r="216" spans="1:24" ht="15.75" x14ac:dyDescent="0.25">
      <c r="A216" s="350"/>
      <c r="B216" s="286" t="s">
        <v>78</v>
      </c>
      <c r="C216" s="406"/>
      <c r="D216" s="406"/>
      <c r="E216" s="406"/>
      <c r="F216" s="406"/>
      <c r="G216" s="397"/>
      <c r="H216" s="397"/>
      <c r="I216" s="397"/>
      <c r="J216" s="397"/>
      <c r="K216" s="397"/>
      <c r="L216" s="397"/>
      <c r="M216" s="397"/>
      <c r="N216" s="397"/>
      <c r="O216" s="397"/>
      <c r="P216" s="397"/>
      <c r="Q216" s="397"/>
      <c r="R216" s="397"/>
      <c r="S216" s="397"/>
      <c r="T216" s="321">
        <v>4.1700000000000001E-2</v>
      </c>
      <c r="U216" s="286"/>
      <c r="V216" s="286"/>
      <c r="W216" s="289"/>
      <c r="X216" s="5"/>
    </row>
    <row r="217" spans="1:24" ht="15.75" x14ac:dyDescent="0.25">
      <c r="A217" s="218"/>
      <c r="B217" s="348"/>
      <c r="C217" s="348"/>
      <c r="D217" s="348"/>
      <c r="E217" s="348"/>
      <c r="F217" s="348"/>
      <c r="G217" s="212"/>
      <c r="H217" s="212"/>
      <c r="I217" s="212"/>
      <c r="J217" s="212"/>
      <c r="K217" s="212"/>
      <c r="L217" s="212"/>
      <c r="M217" s="212"/>
      <c r="N217" s="212"/>
      <c r="O217" s="212"/>
      <c r="P217" s="212"/>
      <c r="Q217" s="212"/>
      <c r="R217" s="212"/>
      <c r="S217" s="212"/>
      <c r="T217" s="344"/>
      <c r="U217" s="212"/>
      <c r="V217" s="349"/>
      <c r="W217" s="212"/>
      <c r="X217" s="5"/>
    </row>
    <row r="218" spans="1:24" ht="15.75" x14ac:dyDescent="0.25">
      <c r="A218" s="242"/>
      <c r="B218" s="399" t="s">
        <v>79</v>
      </c>
      <c r="C218" s="400"/>
      <c r="D218" s="400"/>
      <c r="E218" s="400"/>
      <c r="F218" s="407"/>
      <c r="G218" s="400"/>
      <c r="H218" s="400"/>
      <c r="I218" s="400"/>
      <c r="J218" s="400"/>
      <c r="K218" s="400"/>
      <c r="L218" s="400"/>
      <c r="M218" s="400"/>
      <c r="N218" s="400"/>
      <c r="O218" s="400"/>
      <c r="P218" s="400"/>
      <c r="Q218" s="400"/>
      <c r="R218" s="400"/>
      <c r="S218" s="400" t="s">
        <v>102</v>
      </c>
      <c r="T218" s="407" t="s">
        <v>108</v>
      </c>
      <c r="U218" s="225"/>
      <c r="V218" s="225"/>
      <c r="W218" s="225"/>
      <c r="X218" s="5"/>
    </row>
    <row r="219" spans="1:24" ht="15.75" x14ac:dyDescent="0.25">
      <c r="A219" s="222"/>
      <c r="B219" s="250" t="s">
        <v>80</v>
      </c>
      <c r="C219" s="249"/>
      <c r="D219" s="249"/>
      <c r="E219" s="249"/>
      <c r="F219" s="250"/>
      <c r="G219" s="250"/>
      <c r="H219" s="268"/>
      <c r="I219" s="268"/>
      <c r="J219" s="268"/>
      <c r="K219" s="268"/>
      <c r="L219" s="268"/>
      <c r="M219" s="268"/>
      <c r="N219" s="268"/>
      <c r="O219" s="268"/>
      <c r="P219" s="268"/>
      <c r="Q219" s="268"/>
      <c r="R219" s="268"/>
      <c r="S219" s="268">
        <v>2</v>
      </c>
      <c r="T219" s="269">
        <v>307</v>
      </c>
      <c r="U219" s="250"/>
      <c r="V219" s="266"/>
      <c r="W219" s="223"/>
      <c r="X219" s="5"/>
    </row>
    <row r="220" spans="1:24" ht="15.75" x14ac:dyDescent="0.25">
      <c r="A220" s="358"/>
      <c r="B220" s="286" t="s">
        <v>145</v>
      </c>
      <c r="C220" s="337"/>
      <c r="D220" s="337"/>
      <c r="E220" s="337"/>
      <c r="F220" s="286"/>
      <c r="G220" s="286"/>
      <c r="H220" s="296"/>
      <c r="I220" s="296"/>
      <c r="J220" s="296"/>
      <c r="K220" s="296"/>
      <c r="L220" s="296"/>
      <c r="M220" s="296"/>
      <c r="N220" s="296"/>
      <c r="O220" s="296"/>
      <c r="P220" s="296"/>
      <c r="Q220" s="296"/>
      <c r="R220" s="296"/>
      <c r="S220" s="359">
        <f>+R272</f>
        <v>138</v>
      </c>
      <c r="T220" s="360">
        <f>+T272</f>
        <v>21712</v>
      </c>
      <c r="U220" s="286"/>
      <c r="V220" s="361"/>
      <c r="W220" s="362"/>
      <c r="X220" s="5"/>
    </row>
    <row r="221" spans="1:24" ht="15.75" x14ac:dyDescent="0.25">
      <c r="A221" s="358"/>
      <c r="B221" s="286" t="s">
        <v>81</v>
      </c>
      <c r="C221" s="337"/>
      <c r="D221" s="337"/>
      <c r="E221" s="337"/>
      <c r="F221" s="286"/>
      <c r="G221" s="286"/>
      <c r="H221" s="296"/>
      <c r="I221" s="296"/>
      <c r="J221" s="296"/>
      <c r="K221" s="296"/>
      <c r="L221" s="296"/>
      <c r="M221" s="296"/>
      <c r="N221" s="296"/>
      <c r="O221" s="296"/>
      <c r="P221" s="296"/>
      <c r="Q221" s="296"/>
      <c r="R221" s="296"/>
      <c r="S221" s="359">
        <f>+R284</f>
        <v>1</v>
      </c>
      <c r="T221" s="360">
        <f>+T284</f>
        <v>57</v>
      </c>
      <c r="U221" s="286"/>
      <c r="V221" s="361"/>
      <c r="W221" s="362"/>
      <c r="X221" s="5"/>
    </row>
    <row r="222" spans="1:24" ht="15.75" x14ac:dyDescent="0.25">
      <c r="A222" s="358"/>
      <c r="B222" s="313" t="s">
        <v>82</v>
      </c>
      <c r="C222" s="363"/>
      <c r="D222" s="363"/>
      <c r="E222" s="363"/>
      <c r="F222" s="314"/>
      <c r="G222" s="314"/>
      <c r="H222" s="314"/>
      <c r="I222" s="314"/>
      <c r="J222" s="314"/>
      <c r="K222" s="314"/>
      <c r="L222" s="314"/>
      <c r="M222" s="314"/>
      <c r="N222" s="314"/>
      <c r="O222" s="314"/>
      <c r="P222" s="314"/>
      <c r="Q222" s="314"/>
      <c r="R222" s="314"/>
      <c r="S222" s="286"/>
      <c r="T222" s="360">
        <v>0</v>
      </c>
      <c r="U222" s="314"/>
      <c r="V222" s="364"/>
      <c r="W222" s="362"/>
      <c r="X222" s="5"/>
    </row>
    <row r="223" spans="1:24" ht="15.75" x14ac:dyDescent="0.25">
      <c r="A223" s="358"/>
      <c r="B223" s="313" t="s">
        <v>228</v>
      </c>
      <c r="C223" s="363"/>
      <c r="D223" s="363"/>
      <c r="E223" s="363"/>
      <c r="F223" s="314"/>
      <c r="G223" s="314"/>
      <c r="H223" s="314"/>
      <c r="I223" s="314"/>
      <c r="J223" s="314"/>
      <c r="K223" s="314"/>
      <c r="L223" s="314"/>
      <c r="M223" s="314"/>
      <c r="N223" s="314"/>
      <c r="O223" s="314"/>
      <c r="P223" s="314"/>
      <c r="Q223" s="314"/>
      <c r="R223" s="314"/>
      <c r="S223" s="286"/>
      <c r="T223" s="360">
        <f>+N81</f>
        <v>0</v>
      </c>
      <c r="U223" s="314"/>
      <c r="V223" s="364"/>
      <c r="W223" s="362"/>
      <c r="X223" s="5"/>
    </row>
    <row r="224" spans="1:24" ht="15.75" x14ac:dyDescent="0.25">
      <c r="A224" s="365"/>
      <c r="B224" s="313" t="s">
        <v>83</v>
      </c>
      <c r="C224" s="366"/>
      <c r="D224" s="366"/>
      <c r="E224" s="366"/>
      <c r="F224" s="366"/>
      <c r="G224" s="314"/>
      <c r="H224" s="314"/>
      <c r="I224" s="314"/>
      <c r="J224" s="314"/>
      <c r="K224" s="314"/>
      <c r="L224" s="314"/>
      <c r="M224" s="314"/>
      <c r="N224" s="314"/>
      <c r="O224" s="314"/>
      <c r="P224" s="314"/>
      <c r="Q224" s="314"/>
      <c r="R224" s="314"/>
      <c r="S224" s="286"/>
      <c r="T224" s="360"/>
      <c r="U224" s="314"/>
      <c r="V224" s="364"/>
      <c r="W224" s="367"/>
      <c r="X224" s="5"/>
    </row>
    <row r="225" spans="1:25" ht="15.75" x14ac:dyDescent="0.25">
      <c r="A225" s="365"/>
      <c r="B225" s="286" t="s">
        <v>84</v>
      </c>
      <c r="C225" s="366"/>
      <c r="D225" s="366"/>
      <c r="E225" s="366"/>
      <c r="F225" s="366"/>
      <c r="G225" s="314"/>
      <c r="H225" s="314"/>
      <c r="I225" s="314"/>
      <c r="J225" s="314"/>
      <c r="K225" s="314"/>
      <c r="L225" s="314"/>
      <c r="M225" s="314"/>
      <c r="N225" s="314"/>
      <c r="O225" s="314"/>
      <c r="P225" s="314"/>
      <c r="Q225" s="314"/>
      <c r="R225" s="314"/>
      <c r="S225" s="296"/>
      <c r="T225" s="360">
        <f>V163</f>
        <v>31</v>
      </c>
      <c r="U225" s="314"/>
      <c r="V225" s="364"/>
      <c r="W225" s="367"/>
      <c r="X225" s="5"/>
    </row>
    <row r="226" spans="1:25" ht="15.75" x14ac:dyDescent="0.25">
      <c r="A226" s="358"/>
      <c r="B226" s="286" t="s">
        <v>85</v>
      </c>
      <c r="C226" s="363"/>
      <c r="D226" s="363"/>
      <c r="E226" s="363"/>
      <c r="F226" s="363"/>
      <c r="G226" s="314"/>
      <c r="H226" s="314"/>
      <c r="I226" s="314"/>
      <c r="J226" s="314"/>
      <c r="K226" s="314"/>
      <c r="L226" s="314"/>
      <c r="M226" s="314"/>
      <c r="N226" s="314"/>
      <c r="O226" s="314"/>
      <c r="P226" s="314"/>
      <c r="Q226" s="314"/>
      <c r="R226" s="314"/>
      <c r="S226" s="296"/>
      <c r="T226" s="360">
        <f>'Feb 12'!T226+T225</f>
        <v>3880</v>
      </c>
      <c r="U226" s="314"/>
      <c r="V226" s="364"/>
      <c r="W226" s="367"/>
      <c r="X226" s="5"/>
    </row>
    <row r="227" spans="1:25" ht="15.75" x14ac:dyDescent="0.25">
      <c r="A227" s="365"/>
      <c r="B227" s="313" t="s">
        <v>285</v>
      </c>
      <c r="C227" s="366"/>
      <c r="D227" s="366"/>
      <c r="E227" s="366"/>
      <c r="F227" s="366"/>
      <c r="G227" s="314"/>
      <c r="H227" s="314"/>
      <c r="I227" s="314"/>
      <c r="J227" s="314"/>
      <c r="K227" s="314"/>
      <c r="L227" s="314"/>
      <c r="M227" s="314"/>
      <c r="N227" s="314"/>
      <c r="O227" s="314"/>
      <c r="P227" s="314"/>
      <c r="Q227" s="314"/>
      <c r="R227" s="314"/>
      <c r="S227" s="296"/>
      <c r="T227" s="360"/>
      <c r="U227" s="314"/>
      <c r="V227" s="364"/>
      <c r="W227" s="367"/>
      <c r="X227" s="5"/>
    </row>
    <row r="228" spans="1:25" ht="15.75" x14ac:dyDescent="0.25">
      <c r="A228" s="365"/>
      <c r="B228" s="286" t="s">
        <v>282</v>
      </c>
      <c r="C228" s="366"/>
      <c r="D228" s="366"/>
      <c r="E228" s="366"/>
      <c r="F228" s="366"/>
      <c r="G228" s="314"/>
      <c r="H228" s="314"/>
      <c r="I228" s="314"/>
      <c r="J228" s="314"/>
      <c r="K228" s="314"/>
      <c r="L228" s="314"/>
      <c r="M228" s="314"/>
      <c r="N228" s="314"/>
      <c r="O228" s="314"/>
      <c r="P228" s="314"/>
      <c r="Q228" s="314"/>
      <c r="R228" s="314"/>
      <c r="S228" s="296">
        <v>0</v>
      </c>
      <c r="T228" s="360">
        <v>0</v>
      </c>
      <c r="U228" s="314"/>
      <c r="V228" s="364"/>
      <c r="W228" s="367"/>
      <c r="X228" s="5"/>
    </row>
    <row r="229" spans="1:25" ht="15.75" x14ac:dyDescent="0.25">
      <c r="A229" s="358"/>
      <c r="B229" s="286" t="s">
        <v>86</v>
      </c>
      <c r="C229" s="368"/>
      <c r="D229" s="368"/>
      <c r="E229" s="368"/>
      <c r="F229" s="369"/>
      <c r="G229" s="314"/>
      <c r="H229" s="314"/>
      <c r="I229" s="314"/>
      <c r="J229" s="314"/>
      <c r="K229" s="314"/>
      <c r="L229" s="314"/>
      <c r="M229" s="314"/>
      <c r="N229" s="314"/>
      <c r="O229" s="314"/>
      <c r="P229" s="314"/>
      <c r="Q229" s="314"/>
      <c r="R229" s="314"/>
      <c r="S229" s="286"/>
      <c r="T229" s="370">
        <v>0</v>
      </c>
      <c r="U229" s="314"/>
      <c r="V229" s="364"/>
      <c r="W229" s="367"/>
      <c r="X229" s="5"/>
    </row>
    <row r="230" spans="1:25" ht="15.75" x14ac:dyDescent="0.25">
      <c r="A230" s="358"/>
      <c r="B230" s="286" t="s">
        <v>87</v>
      </c>
      <c r="C230" s="368"/>
      <c r="D230" s="368"/>
      <c r="E230" s="368"/>
      <c r="F230" s="369"/>
      <c r="G230" s="314"/>
      <c r="H230" s="314"/>
      <c r="I230" s="314"/>
      <c r="J230" s="314"/>
      <c r="K230" s="314"/>
      <c r="L230" s="314"/>
      <c r="M230" s="314"/>
      <c r="N230" s="314"/>
      <c r="O230" s="314"/>
      <c r="P230" s="314"/>
      <c r="Q230" s="314"/>
      <c r="R230" s="314"/>
      <c r="S230" s="286"/>
      <c r="T230" s="370">
        <v>0</v>
      </c>
      <c r="U230" s="314"/>
      <c r="V230" s="364"/>
      <c r="W230" s="367"/>
      <c r="X230" s="5"/>
    </row>
    <row r="231" spans="1:25" ht="15.75" x14ac:dyDescent="0.25">
      <c r="A231" s="358"/>
      <c r="B231" s="313" t="s">
        <v>216</v>
      </c>
      <c r="C231" s="368"/>
      <c r="D231" s="368"/>
      <c r="E231" s="368"/>
      <c r="F231" s="369"/>
      <c r="G231" s="314"/>
      <c r="H231" s="314"/>
      <c r="I231" s="314"/>
      <c r="J231" s="314"/>
      <c r="K231" s="314"/>
      <c r="L231" s="314"/>
      <c r="M231" s="314"/>
      <c r="N231" s="314"/>
      <c r="O231" s="314"/>
      <c r="P231" s="314"/>
      <c r="Q231" s="314"/>
      <c r="R231" s="314"/>
      <c r="S231" s="286"/>
      <c r="T231" s="371"/>
      <c r="U231" s="314"/>
      <c r="V231" s="364"/>
      <c r="W231" s="367"/>
      <c r="X231" s="5"/>
    </row>
    <row r="232" spans="1:25" ht="15.75" x14ac:dyDescent="0.25">
      <c r="A232" s="358"/>
      <c r="B232" s="286" t="s">
        <v>282</v>
      </c>
      <c r="C232" s="368"/>
      <c r="D232" s="368"/>
      <c r="E232" s="368"/>
      <c r="F232" s="369"/>
      <c r="G232" s="314"/>
      <c r="H232" s="314"/>
      <c r="I232" s="314"/>
      <c r="J232" s="314"/>
      <c r="K232" s="314"/>
      <c r="L232" s="314"/>
      <c r="M232" s="314"/>
      <c r="N232" s="314"/>
      <c r="O232" s="314"/>
      <c r="P232" s="314"/>
      <c r="Q232" s="314"/>
      <c r="R232" s="314"/>
      <c r="S232" s="296">
        <v>2</v>
      </c>
      <c r="T232" s="360">
        <v>216</v>
      </c>
      <c r="U232" s="314"/>
      <c r="V232" s="364"/>
      <c r="W232" s="367"/>
      <c r="X232" s="5"/>
    </row>
    <row r="233" spans="1:25" ht="15.75" x14ac:dyDescent="0.25">
      <c r="A233" s="358"/>
      <c r="B233" s="286" t="s">
        <v>217</v>
      </c>
      <c r="C233" s="368"/>
      <c r="D233" s="368"/>
      <c r="E233" s="368"/>
      <c r="F233" s="369"/>
      <c r="G233" s="314"/>
      <c r="H233" s="314"/>
      <c r="I233" s="314"/>
      <c r="J233" s="314"/>
      <c r="K233" s="314"/>
      <c r="L233" s="314"/>
      <c r="M233" s="314"/>
      <c r="N233" s="314"/>
      <c r="O233" s="314"/>
      <c r="P233" s="314"/>
      <c r="Q233" s="314"/>
      <c r="R233" s="314"/>
      <c r="S233" s="286"/>
      <c r="T233" s="370">
        <v>9.9600000000000009</v>
      </c>
      <c r="U233" s="314"/>
      <c r="V233" s="364"/>
      <c r="W233" s="367"/>
      <c r="X233" s="5"/>
    </row>
    <row r="234" spans="1:25" ht="15.75" x14ac:dyDescent="0.25">
      <c r="A234" s="358"/>
      <c r="B234" s="366"/>
      <c r="C234" s="368"/>
      <c r="D234" s="368"/>
      <c r="E234" s="368"/>
      <c r="F234" s="369"/>
      <c r="G234" s="314"/>
      <c r="H234" s="314"/>
      <c r="I234" s="314"/>
      <c r="J234" s="314"/>
      <c r="K234" s="314"/>
      <c r="L234" s="314"/>
      <c r="M234" s="314"/>
      <c r="N234" s="314"/>
      <c r="O234" s="314"/>
      <c r="P234" s="314"/>
      <c r="Q234" s="314"/>
      <c r="R234" s="314"/>
      <c r="S234" s="286"/>
      <c r="T234" s="371"/>
      <c r="U234" s="314"/>
      <c r="V234" s="364"/>
      <c r="W234" s="367"/>
      <c r="X234" s="5"/>
    </row>
    <row r="235" spans="1:25" ht="15.75" x14ac:dyDescent="0.25">
      <c r="A235" s="358"/>
      <c r="B235" s="366"/>
      <c r="C235" s="368"/>
      <c r="D235" s="368"/>
      <c r="E235" s="368"/>
      <c r="F235" s="369"/>
      <c r="G235" s="314"/>
      <c r="H235" s="314"/>
      <c r="I235" s="314"/>
      <c r="J235" s="314"/>
      <c r="K235" s="314"/>
      <c r="L235" s="314"/>
      <c r="M235" s="314"/>
      <c r="N235" s="314"/>
      <c r="O235" s="314"/>
      <c r="P235" s="314"/>
      <c r="Q235" s="314"/>
      <c r="R235" s="314"/>
      <c r="S235" s="314"/>
      <c r="T235" s="372"/>
      <c r="U235" s="314"/>
      <c r="V235" s="364"/>
      <c r="W235" s="367"/>
      <c r="X235" s="5"/>
    </row>
    <row r="236" spans="1:25" ht="18.75" x14ac:dyDescent="0.3">
      <c r="A236" s="358"/>
      <c r="B236" s="373" t="s">
        <v>168</v>
      </c>
      <c r="C236" s="368"/>
      <c r="D236" s="368"/>
      <c r="E236" s="368"/>
      <c r="F236" s="369"/>
      <c r="G236" s="314"/>
      <c r="H236" s="314"/>
      <c r="I236" s="314"/>
      <c r="J236" s="314"/>
      <c r="K236" s="314"/>
      <c r="L236" s="314"/>
      <c r="M236" s="314"/>
      <c r="N236" s="314"/>
      <c r="O236" s="314"/>
      <c r="P236" s="374" t="s">
        <v>167</v>
      </c>
      <c r="Q236" s="314"/>
      <c r="R236" s="314"/>
      <c r="S236" s="314"/>
      <c r="T236" s="372"/>
      <c r="U236" s="314"/>
      <c r="V236" s="364"/>
      <c r="W236" s="367"/>
      <c r="X236" s="5"/>
    </row>
    <row r="237" spans="1:25" ht="15.75" x14ac:dyDescent="0.25">
      <c r="A237" s="353"/>
      <c r="B237" s="348"/>
      <c r="C237" s="354"/>
      <c r="D237" s="354"/>
      <c r="E237" s="354"/>
      <c r="F237" s="355"/>
      <c r="G237" s="212"/>
      <c r="H237" s="212"/>
      <c r="I237" s="212"/>
      <c r="J237" s="212"/>
      <c r="K237" s="212"/>
      <c r="L237" s="212"/>
      <c r="M237" s="212"/>
      <c r="N237" s="212"/>
      <c r="O237" s="212"/>
      <c r="P237" s="212"/>
      <c r="Q237" s="212"/>
      <c r="R237" s="212"/>
      <c r="S237" s="212"/>
      <c r="T237" s="356"/>
      <c r="U237" s="212"/>
      <c r="V237" s="349"/>
      <c r="W237" s="357"/>
      <c r="X237" s="5"/>
    </row>
    <row r="238" spans="1:25" ht="15.75" x14ac:dyDescent="0.25">
      <c r="A238" s="224"/>
      <c r="B238" s="399" t="s">
        <v>297</v>
      </c>
      <c r="C238" s="400"/>
      <c r="D238" s="400"/>
      <c r="E238" s="400"/>
      <c r="F238" s="407"/>
      <c r="G238" s="400"/>
      <c r="H238" s="400"/>
      <c r="I238" s="400"/>
      <c r="J238" s="400"/>
      <c r="K238" s="400"/>
      <c r="L238" s="400"/>
      <c r="M238" s="400"/>
      <c r="N238" s="400"/>
      <c r="O238" s="400"/>
      <c r="P238" s="400"/>
      <c r="Q238" s="400"/>
      <c r="R238" s="407" t="s">
        <v>102</v>
      </c>
      <c r="S238" s="400" t="s">
        <v>103</v>
      </c>
      <c r="T238" s="407" t="s">
        <v>109</v>
      </c>
      <c r="U238" s="400" t="s">
        <v>103</v>
      </c>
      <c r="V238" s="225"/>
      <c r="W238" s="399"/>
      <c r="X238" s="5"/>
    </row>
    <row r="239" spans="1:25" ht="15.75" x14ac:dyDescent="0.25">
      <c r="A239" s="193"/>
      <c r="B239" s="249" t="s">
        <v>88</v>
      </c>
      <c r="C239" s="265"/>
      <c r="D239" s="265"/>
      <c r="E239" s="265"/>
      <c r="F239" s="250"/>
      <c r="G239" s="265"/>
      <c r="H239" s="265"/>
      <c r="I239" s="265"/>
      <c r="J239" s="265"/>
      <c r="K239" s="265"/>
      <c r="L239" s="265"/>
      <c r="M239" s="265"/>
      <c r="N239" s="265"/>
      <c r="O239" s="265"/>
      <c r="P239" s="265"/>
      <c r="Q239" s="265"/>
      <c r="R239" s="249">
        <f t="shared" ref="R239:R246" si="1">+R251+R263+R275</f>
        <v>5677</v>
      </c>
      <c r="S239" s="252">
        <f t="shared" ref="S239:S246" si="2">R239/$R$248</f>
        <v>0.98354123354123357</v>
      </c>
      <c r="T239" s="253">
        <f t="shared" ref="T239:T246" si="3">+T251+T263+T275</f>
        <v>807661</v>
      </c>
      <c r="U239" s="252">
        <f t="shared" ref="U239:U246" si="4">T239/$T$248</f>
        <v>0.97996656037817353</v>
      </c>
      <c r="V239" s="266"/>
      <c r="W239" s="408"/>
      <c r="X239" s="5"/>
    </row>
    <row r="240" spans="1:25" ht="15.75" x14ac:dyDescent="0.25">
      <c r="A240" s="285"/>
      <c r="B240" s="337" t="s">
        <v>89</v>
      </c>
      <c r="C240" s="378"/>
      <c r="D240" s="378"/>
      <c r="E240" s="378"/>
      <c r="F240" s="286"/>
      <c r="G240" s="379"/>
      <c r="H240" s="378"/>
      <c r="I240" s="378"/>
      <c r="J240" s="378"/>
      <c r="K240" s="378"/>
      <c r="L240" s="378"/>
      <c r="M240" s="378"/>
      <c r="N240" s="378"/>
      <c r="O240" s="378"/>
      <c r="P240" s="378"/>
      <c r="Q240" s="378"/>
      <c r="R240" s="337">
        <f t="shared" si="1"/>
        <v>43</v>
      </c>
      <c r="S240" s="379">
        <f t="shared" si="2"/>
        <v>7.4497574497574496E-3</v>
      </c>
      <c r="T240" s="338">
        <f t="shared" si="3"/>
        <v>8233</v>
      </c>
      <c r="U240" s="379">
        <f t="shared" si="4"/>
        <v>9.9894196842406687E-3</v>
      </c>
      <c r="V240" s="361"/>
      <c r="W240" s="409"/>
      <c r="X240" s="5"/>
      <c r="Y240" s="109"/>
    </row>
    <row r="241" spans="1:25" ht="15.75" x14ac:dyDescent="0.25">
      <c r="A241" s="285"/>
      <c r="B241" s="337" t="s">
        <v>90</v>
      </c>
      <c r="C241" s="378"/>
      <c r="D241" s="378"/>
      <c r="E241" s="378"/>
      <c r="F241" s="286"/>
      <c r="G241" s="379"/>
      <c r="H241" s="378"/>
      <c r="I241" s="378"/>
      <c r="J241" s="378"/>
      <c r="K241" s="378"/>
      <c r="L241" s="378"/>
      <c r="M241" s="378"/>
      <c r="N241" s="378"/>
      <c r="O241" s="378"/>
      <c r="P241" s="378"/>
      <c r="Q241" s="378"/>
      <c r="R241" s="337">
        <f t="shared" si="1"/>
        <v>9</v>
      </c>
      <c r="S241" s="379">
        <f t="shared" si="2"/>
        <v>1.5592515592515593E-3</v>
      </c>
      <c r="T241" s="338">
        <f t="shared" si="3"/>
        <v>1570</v>
      </c>
      <c r="U241" s="379">
        <f t="shared" si="4"/>
        <v>1.9049421722650125E-3</v>
      </c>
      <c r="V241" s="361"/>
      <c r="W241" s="409"/>
      <c r="X241" s="5"/>
    </row>
    <row r="242" spans="1:25" ht="15.75" x14ac:dyDescent="0.25">
      <c r="A242" s="285"/>
      <c r="B242" s="337" t="s">
        <v>156</v>
      </c>
      <c r="C242" s="378"/>
      <c r="D242" s="378"/>
      <c r="E242" s="378"/>
      <c r="F242" s="286"/>
      <c r="G242" s="379"/>
      <c r="H242" s="378"/>
      <c r="I242" s="378"/>
      <c r="J242" s="378"/>
      <c r="K242" s="378"/>
      <c r="L242" s="378"/>
      <c r="M242" s="378"/>
      <c r="N242" s="378"/>
      <c r="O242" s="378"/>
      <c r="P242" s="378"/>
      <c r="Q242" s="378"/>
      <c r="R242" s="337">
        <f t="shared" si="1"/>
        <v>3</v>
      </c>
      <c r="S242" s="379">
        <f t="shared" si="2"/>
        <v>5.1975051975051978E-4</v>
      </c>
      <c r="T242" s="338">
        <f t="shared" si="3"/>
        <v>293</v>
      </c>
      <c r="U242" s="379">
        <f t="shared" si="4"/>
        <v>3.5550831622525398E-4</v>
      </c>
      <c r="V242" s="361"/>
      <c r="W242" s="409"/>
      <c r="X242" s="5"/>
      <c r="Y242" s="109"/>
    </row>
    <row r="243" spans="1:25" ht="15.75" x14ac:dyDescent="0.25">
      <c r="A243" s="285"/>
      <c r="B243" s="337" t="s">
        <v>157</v>
      </c>
      <c r="C243" s="378"/>
      <c r="D243" s="378"/>
      <c r="E243" s="378"/>
      <c r="F243" s="286"/>
      <c r="G243" s="379"/>
      <c r="H243" s="378"/>
      <c r="I243" s="378"/>
      <c r="J243" s="378"/>
      <c r="K243" s="378"/>
      <c r="L243" s="378"/>
      <c r="M243" s="378"/>
      <c r="N243" s="378"/>
      <c r="O243" s="378"/>
      <c r="P243" s="378"/>
      <c r="Q243" s="378"/>
      <c r="R243" s="337">
        <f t="shared" si="1"/>
        <v>0</v>
      </c>
      <c r="S243" s="379">
        <f t="shared" si="2"/>
        <v>0</v>
      </c>
      <c r="T243" s="338">
        <f t="shared" si="3"/>
        <v>0</v>
      </c>
      <c r="U243" s="379">
        <f t="shared" si="4"/>
        <v>0</v>
      </c>
      <c r="V243" s="361"/>
      <c r="W243" s="409"/>
      <c r="X243" s="5"/>
    </row>
    <row r="244" spans="1:25" ht="15.75" x14ac:dyDescent="0.25">
      <c r="A244" s="285"/>
      <c r="B244" s="337" t="s">
        <v>158</v>
      </c>
      <c r="C244" s="378"/>
      <c r="D244" s="378"/>
      <c r="E244" s="378"/>
      <c r="F244" s="286"/>
      <c r="G244" s="379"/>
      <c r="H244" s="378"/>
      <c r="I244" s="378"/>
      <c r="J244" s="378"/>
      <c r="K244" s="378"/>
      <c r="L244" s="378"/>
      <c r="M244" s="378"/>
      <c r="N244" s="378"/>
      <c r="O244" s="378"/>
      <c r="P244" s="378"/>
      <c r="Q244" s="378"/>
      <c r="R244" s="337">
        <f t="shared" si="1"/>
        <v>4</v>
      </c>
      <c r="S244" s="379">
        <f t="shared" si="2"/>
        <v>6.93000693000693E-4</v>
      </c>
      <c r="T244" s="338">
        <f t="shared" si="3"/>
        <v>952</v>
      </c>
      <c r="U244" s="379">
        <f t="shared" si="4"/>
        <v>1.1550986929912688E-3</v>
      </c>
      <c r="V244" s="361"/>
      <c r="W244" s="409"/>
      <c r="X244" s="5"/>
      <c r="Y244" s="109"/>
    </row>
    <row r="245" spans="1:25" ht="15.75" x14ac:dyDescent="0.25">
      <c r="A245" s="285"/>
      <c r="B245" s="337" t="s">
        <v>159</v>
      </c>
      <c r="C245" s="378"/>
      <c r="D245" s="378"/>
      <c r="E245" s="378"/>
      <c r="F245" s="286"/>
      <c r="G245" s="379"/>
      <c r="H245" s="378"/>
      <c r="I245" s="378"/>
      <c r="J245" s="378"/>
      <c r="K245" s="378"/>
      <c r="L245" s="378"/>
      <c r="M245" s="378"/>
      <c r="N245" s="378"/>
      <c r="O245" s="378"/>
      <c r="P245" s="378"/>
      <c r="Q245" s="378"/>
      <c r="R245" s="337">
        <f t="shared" si="1"/>
        <v>18</v>
      </c>
      <c r="S245" s="379">
        <f t="shared" si="2"/>
        <v>3.1185031185031187E-3</v>
      </c>
      <c r="T245" s="338">
        <f t="shared" si="3"/>
        <v>2442</v>
      </c>
      <c r="U245" s="379">
        <f t="shared" si="4"/>
        <v>2.9629737481981916E-3</v>
      </c>
      <c r="V245" s="361"/>
      <c r="W245" s="409"/>
      <c r="X245" s="5"/>
    </row>
    <row r="246" spans="1:25" ht="15.75" x14ac:dyDescent="0.25">
      <c r="A246" s="285"/>
      <c r="B246" s="337" t="s">
        <v>160</v>
      </c>
      <c r="C246" s="378"/>
      <c r="D246" s="378"/>
      <c r="E246" s="378"/>
      <c r="F246" s="286"/>
      <c r="G246" s="379"/>
      <c r="H246" s="378"/>
      <c r="I246" s="378"/>
      <c r="J246" s="378"/>
      <c r="K246" s="378"/>
      <c r="L246" s="378"/>
      <c r="M246" s="378"/>
      <c r="N246" s="378"/>
      <c r="O246" s="378"/>
      <c r="P246" s="378"/>
      <c r="Q246" s="378"/>
      <c r="R246" s="386">
        <f t="shared" si="1"/>
        <v>18</v>
      </c>
      <c r="S246" s="379">
        <f t="shared" si="2"/>
        <v>3.1185031185031187E-3</v>
      </c>
      <c r="T246" s="383">
        <f t="shared" si="3"/>
        <v>3021</v>
      </c>
      <c r="U246" s="387">
        <f t="shared" si="4"/>
        <v>3.6654970079061165E-3</v>
      </c>
      <c r="V246" s="361"/>
      <c r="W246" s="409"/>
      <c r="X246" s="5"/>
      <c r="Y246" s="109"/>
    </row>
    <row r="247" spans="1:25" ht="15.75" x14ac:dyDescent="0.25">
      <c r="A247" s="285"/>
      <c r="B247" s="337"/>
      <c r="C247" s="378"/>
      <c r="D247" s="378"/>
      <c r="E247" s="378"/>
      <c r="F247" s="286"/>
      <c r="G247" s="379"/>
      <c r="H247" s="378"/>
      <c r="I247" s="378"/>
      <c r="J247" s="378"/>
      <c r="K247" s="378"/>
      <c r="L247" s="378"/>
      <c r="M247" s="378"/>
      <c r="N247" s="378"/>
      <c r="O247" s="378"/>
      <c r="P247" s="378"/>
      <c r="Q247" s="378"/>
      <c r="R247" s="337"/>
      <c r="S247" s="379"/>
      <c r="T247" s="338"/>
      <c r="U247" s="379"/>
      <c r="V247" s="361"/>
      <c r="W247" s="409"/>
      <c r="X247" s="5"/>
    </row>
    <row r="248" spans="1:25" ht="15.75" x14ac:dyDescent="0.25">
      <c r="A248" s="285"/>
      <c r="B248" s="286"/>
      <c r="C248" s="286"/>
      <c r="D248" s="286"/>
      <c r="E248" s="286"/>
      <c r="F248" s="286"/>
      <c r="G248" s="286"/>
      <c r="H248" s="381"/>
      <c r="I248" s="381"/>
      <c r="J248" s="381"/>
      <c r="K248" s="381"/>
      <c r="L248" s="381"/>
      <c r="M248" s="381"/>
      <c r="N248" s="381"/>
      <c r="O248" s="381"/>
      <c r="P248" s="381"/>
      <c r="Q248" s="381"/>
      <c r="R248" s="337">
        <f>SUM(R239:R247)</f>
        <v>5772</v>
      </c>
      <c r="S248" s="379">
        <f>SUM(S239:S247)</f>
        <v>1</v>
      </c>
      <c r="T248" s="338">
        <f>SUM(T239:T247)</f>
        <v>824172</v>
      </c>
      <c r="U248" s="379">
        <f>SUM(U239:U247)</f>
        <v>1</v>
      </c>
      <c r="V248" s="286"/>
      <c r="W248" s="289"/>
      <c r="X248" s="5"/>
    </row>
    <row r="249" spans="1:25" ht="15.75" x14ac:dyDescent="0.25">
      <c r="A249" s="181"/>
      <c r="B249" s="212"/>
      <c r="C249" s="212"/>
      <c r="D249" s="212"/>
      <c r="E249" s="212"/>
      <c r="F249" s="212"/>
      <c r="G249" s="212"/>
      <c r="H249" s="375"/>
      <c r="I249" s="375"/>
      <c r="J249" s="375"/>
      <c r="K249" s="375"/>
      <c r="L249" s="375"/>
      <c r="M249" s="375"/>
      <c r="N249" s="375"/>
      <c r="O249" s="375"/>
      <c r="P249" s="375"/>
      <c r="Q249" s="375"/>
      <c r="R249" s="335"/>
      <c r="S249" s="376"/>
      <c r="T249" s="377"/>
      <c r="U249" s="376"/>
      <c r="V249" s="212"/>
      <c r="W249" s="212"/>
      <c r="X249" s="5"/>
    </row>
    <row r="250" spans="1:25" ht="15.75" x14ac:dyDescent="0.25">
      <c r="A250" s="224"/>
      <c r="B250" s="399" t="s">
        <v>162</v>
      </c>
      <c r="C250" s="400"/>
      <c r="D250" s="400"/>
      <c r="E250" s="400"/>
      <c r="F250" s="407"/>
      <c r="G250" s="400"/>
      <c r="H250" s="400"/>
      <c r="I250" s="400"/>
      <c r="J250" s="400"/>
      <c r="K250" s="400"/>
      <c r="L250" s="400"/>
      <c r="M250" s="400"/>
      <c r="N250" s="400"/>
      <c r="O250" s="400"/>
      <c r="P250" s="400"/>
      <c r="Q250" s="400"/>
      <c r="R250" s="407" t="s">
        <v>102</v>
      </c>
      <c r="S250" s="400" t="s">
        <v>103</v>
      </c>
      <c r="T250" s="407" t="s">
        <v>109</v>
      </c>
      <c r="U250" s="400" t="s">
        <v>103</v>
      </c>
      <c r="V250" s="225"/>
      <c r="W250" s="399"/>
      <c r="X250" s="5"/>
    </row>
    <row r="251" spans="1:25" ht="15.75" x14ac:dyDescent="0.25">
      <c r="A251" s="193"/>
      <c r="B251" s="249" t="s">
        <v>88</v>
      </c>
      <c r="C251" s="265"/>
      <c r="D251" s="265"/>
      <c r="E251" s="265"/>
      <c r="F251" s="250"/>
      <c r="G251" s="265"/>
      <c r="H251" s="265"/>
      <c r="I251" s="265"/>
      <c r="J251" s="265"/>
      <c r="K251" s="265"/>
      <c r="L251" s="265"/>
      <c r="M251" s="265"/>
      <c r="N251" s="265"/>
      <c r="O251" s="265"/>
      <c r="P251" s="265"/>
      <c r="Q251" s="265"/>
      <c r="R251" s="249">
        <v>5595</v>
      </c>
      <c r="S251" s="252">
        <f t="shared" ref="S251:S258" si="5">R251/$R$260</f>
        <v>0.99325403870051487</v>
      </c>
      <c r="T251" s="253">
        <v>794825</v>
      </c>
      <c r="U251" s="252">
        <f t="shared" ref="U251:U258" si="6">T251/$T$260</f>
        <v>0.99055586781205951</v>
      </c>
      <c r="V251" s="266"/>
      <c r="W251" s="408"/>
      <c r="X251" s="5"/>
    </row>
    <row r="252" spans="1:25" ht="15.75" x14ac:dyDescent="0.25">
      <c r="A252" s="285"/>
      <c r="B252" s="337" t="s">
        <v>89</v>
      </c>
      <c r="C252" s="378"/>
      <c r="D252" s="378"/>
      <c r="E252" s="378"/>
      <c r="F252" s="286"/>
      <c r="G252" s="379"/>
      <c r="H252" s="378"/>
      <c r="I252" s="378"/>
      <c r="J252" s="378"/>
      <c r="K252" s="378"/>
      <c r="L252" s="378"/>
      <c r="M252" s="378"/>
      <c r="N252" s="378"/>
      <c r="O252" s="378"/>
      <c r="P252" s="378"/>
      <c r="Q252" s="378"/>
      <c r="R252" s="337">
        <v>34</v>
      </c>
      <c r="S252" s="379">
        <f t="shared" si="5"/>
        <v>6.0358601100656845E-3</v>
      </c>
      <c r="T252" s="338">
        <v>6836</v>
      </c>
      <c r="U252" s="379">
        <f t="shared" si="6"/>
        <v>8.5194098227449298E-3</v>
      </c>
      <c r="V252" s="361"/>
      <c r="W252" s="409"/>
      <c r="X252" s="5"/>
      <c r="Y252" s="109"/>
    </row>
    <row r="253" spans="1:25" ht="15.75" x14ac:dyDescent="0.25">
      <c r="A253" s="285"/>
      <c r="B253" s="337" t="s">
        <v>90</v>
      </c>
      <c r="C253" s="378"/>
      <c r="D253" s="378"/>
      <c r="E253" s="378"/>
      <c r="F253" s="286"/>
      <c r="G253" s="379"/>
      <c r="H253" s="378"/>
      <c r="I253" s="378"/>
      <c r="J253" s="378"/>
      <c r="K253" s="378"/>
      <c r="L253" s="378"/>
      <c r="M253" s="378"/>
      <c r="N253" s="378"/>
      <c r="O253" s="378"/>
      <c r="P253" s="378"/>
      <c r="Q253" s="378"/>
      <c r="R253" s="337">
        <v>3</v>
      </c>
      <c r="S253" s="379">
        <f t="shared" si="5"/>
        <v>5.325758920646192E-4</v>
      </c>
      <c r="T253" s="338">
        <v>640</v>
      </c>
      <c r="U253" s="379">
        <f t="shared" si="6"/>
        <v>7.976041963950783E-4</v>
      </c>
      <c r="V253" s="361"/>
      <c r="W253" s="409"/>
      <c r="X253" s="5"/>
    </row>
    <row r="254" spans="1:25" ht="15.75" x14ac:dyDescent="0.25">
      <c r="A254" s="285"/>
      <c r="B254" s="337" t="s">
        <v>156</v>
      </c>
      <c r="C254" s="378"/>
      <c r="D254" s="378"/>
      <c r="E254" s="378"/>
      <c r="F254" s="286"/>
      <c r="G254" s="379"/>
      <c r="H254" s="378"/>
      <c r="I254" s="378"/>
      <c r="J254" s="378"/>
      <c r="K254" s="378"/>
      <c r="L254" s="378"/>
      <c r="M254" s="378"/>
      <c r="N254" s="378"/>
      <c r="O254" s="378"/>
      <c r="P254" s="378"/>
      <c r="Q254" s="378"/>
      <c r="R254" s="337">
        <v>0</v>
      </c>
      <c r="S254" s="379">
        <f t="shared" si="5"/>
        <v>0</v>
      </c>
      <c r="T254" s="338">
        <v>0</v>
      </c>
      <c r="U254" s="379">
        <f t="shared" si="6"/>
        <v>0</v>
      </c>
      <c r="V254" s="361"/>
      <c r="W254" s="409"/>
      <c r="X254" s="5"/>
      <c r="Y254" s="109"/>
    </row>
    <row r="255" spans="1:25" ht="15.75" x14ac:dyDescent="0.25">
      <c r="A255" s="285"/>
      <c r="B255" s="337" t="s">
        <v>157</v>
      </c>
      <c r="C255" s="378"/>
      <c r="D255" s="378"/>
      <c r="E255" s="378"/>
      <c r="F255" s="286"/>
      <c r="G255" s="379"/>
      <c r="H255" s="378"/>
      <c r="I255" s="378"/>
      <c r="J255" s="378"/>
      <c r="K255" s="378"/>
      <c r="L255" s="378"/>
      <c r="M255" s="378"/>
      <c r="N255" s="378"/>
      <c r="O255" s="378"/>
      <c r="P255" s="378"/>
      <c r="Q255" s="378"/>
      <c r="R255" s="337">
        <v>0</v>
      </c>
      <c r="S255" s="379">
        <f t="shared" si="5"/>
        <v>0</v>
      </c>
      <c r="T255" s="338">
        <v>0</v>
      </c>
      <c r="U255" s="379">
        <f t="shared" si="6"/>
        <v>0</v>
      </c>
      <c r="V255" s="361"/>
      <c r="W255" s="409"/>
      <c r="X255" s="5"/>
    </row>
    <row r="256" spans="1:25" ht="15.75" x14ac:dyDescent="0.25">
      <c r="A256" s="285"/>
      <c r="B256" s="337" t="s">
        <v>158</v>
      </c>
      <c r="C256" s="378"/>
      <c r="D256" s="378"/>
      <c r="E256" s="378"/>
      <c r="F256" s="286"/>
      <c r="G256" s="379"/>
      <c r="H256" s="378"/>
      <c r="I256" s="378"/>
      <c r="J256" s="378"/>
      <c r="K256" s="378"/>
      <c r="L256" s="378"/>
      <c r="M256" s="378"/>
      <c r="N256" s="378"/>
      <c r="O256" s="378"/>
      <c r="P256" s="378"/>
      <c r="Q256" s="378"/>
      <c r="R256" s="337">
        <v>0</v>
      </c>
      <c r="S256" s="379">
        <f t="shared" si="5"/>
        <v>0</v>
      </c>
      <c r="T256" s="338">
        <v>0</v>
      </c>
      <c r="U256" s="379">
        <f t="shared" si="6"/>
        <v>0</v>
      </c>
      <c r="V256" s="361"/>
      <c r="W256" s="409"/>
      <c r="X256" s="5"/>
      <c r="Y256" s="109"/>
    </row>
    <row r="257" spans="1:25" ht="15.75" x14ac:dyDescent="0.25">
      <c r="A257" s="285"/>
      <c r="B257" s="337" t="s">
        <v>159</v>
      </c>
      <c r="C257" s="378"/>
      <c r="D257" s="378"/>
      <c r="E257" s="378"/>
      <c r="F257" s="286"/>
      <c r="G257" s="379"/>
      <c r="H257" s="378"/>
      <c r="I257" s="378"/>
      <c r="J257" s="378"/>
      <c r="K257" s="378"/>
      <c r="L257" s="378"/>
      <c r="M257" s="378"/>
      <c r="N257" s="378"/>
      <c r="O257" s="378"/>
      <c r="P257" s="378"/>
      <c r="Q257" s="378"/>
      <c r="R257" s="337">
        <v>1</v>
      </c>
      <c r="S257" s="379">
        <f t="shared" si="5"/>
        <v>1.7752529735487306E-4</v>
      </c>
      <c r="T257" s="338">
        <v>102</v>
      </c>
      <c r="U257" s="379">
        <f t="shared" si="6"/>
        <v>1.2711816880046561E-4</v>
      </c>
      <c r="V257" s="361"/>
      <c r="W257" s="409"/>
      <c r="X257" s="5"/>
    </row>
    <row r="258" spans="1:25" ht="15.75" x14ac:dyDescent="0.25">
      <c r="A258" s="285"/>
      <c r="B258" s="337" t="s">
        <v>160</v>
      </c>
      <c r="C258" s="378"/>
      <c r="D258" s="378"/>
      <c r="E258" s="378"/>
      <c r="F258" s="286"/>
      <c r="G258" s="379"/>
      <c r="H258" s="378"/>
      <c r="I258" s="378"/>
      <c r="J258" s="378"/>
      <c r="K258" s="378"/>
      <c r="L258" s="378"/>
      <c r="M258" s="378"/>
      <c r="N258" s="378"/>
      <c r="O258" s="378"/>
      <c r="P258" s="378"/>
      <c r="Q258" s="378"/>
      <c r="R258" s="337">
        <v>0</v>
      </c>
      <c r="S258" s="379">
        <f t="shared" si="5"/>
        <v>0</v>
      </c>
      <c r="T258" s="338">
        <v>0</v>
      </c>
      <c r="U258" s="379">
        <f t="shared" si="6"/>
        <v>0</v>
      </c>
      <c r="V258" s="361"/>
      <c r="W258" s="409"/>
      <c r="X258" s="5"/>
      <c r="Y258" s="109"/>
    </row>
    <row r="259" spans="1:25" ht="15.75" x14ac:dyDescent="0.25">
      <c r="A259" s="285"/>
      <c r="B259" s="337"/>
      <c r="C259" s="378"/>
      <c r="D259" s="378"/>
      <c r="E259" s="378"/>
      <c r="F259" s="286"/>
      <c r="G259" s="379"/>
      <c r="H259" s="378"/>
      <c r="I259" s="378"/>
      <c r="J259" s="378"/>
      <c r="K259" s="378"/>
      <c r="L259" s="378"/>
      <c r="M259" s="378"/>
      <c r="N259" s="378"/>
      <c r="O259" s="378"/>
      <c r="P259" s="378"/>
      <c r="Q259" s="378"/>
      <c r="R259" s="337"/>
      <c r="S259" s="379"/>
      <c r="T259" s="338"/>
      <c r="U259" s="379"/>
      <c r="V259" s="361"/>
      <c r="W259" s="409"/>
      <c r="X259" s="5"/>
    </row>
    <row r="260" spans="1:25" ht="15.75" x14ac:dyDescent="0.25">
      <c r="A260" s="285"/>
      <c r="B260" s="286"/>
      <c r="C260" s="286"/>
      <c r="D260" s="286"/>
      <c r="E260" s="286"/>
      <c r="F260" s="286"/>
      <c r="G260" s="286"/>
      <c r="H260" s="381"/>
      <c r="I260" s="381"/>
      <c r="J260" s="381"/>
      <c r="K260" s="381"/>
      <c r="L260" s="381"/>
      <c r="M260" s="381"/>
      <c r="N260" s="381"/>
      <c r="O260" s="381"/>
      <c r="P260" s="381"/>
      <c r="Q260" s="381"/>
      <c r="R260" s="337">
        <f>SUM(R251:R259)</f>
        <v>5633</v>
      </c>
      <c r="S260" s="379">
        <f>SUM(S251:S259)</f>
        <v>1</v>
      </c>
      <c r="T260" s="338">
        <f>SUM(T251:T259)</f>
        <v>802403</v>
      </c>
      <c r="U260" s="379">
        <f>SUM(U251:U259)</f>
        <v>1</v>
      </c>
      <c r="V260" s="286"/>
      <c r="W260" s="289"/>
      <c r="X260" s="5"/>
    </row>
    <row r="261" spans="1:25" ht="15.75" x14ac:dyDescent="0.25">
      <c r="A261" s="181"/>
      <c r="B261" s="212"/>
      <c r="C261" s="212"/>
      <c r="D261" s="212"/>
      <c r="E261" s="212"/>
      <c r="F261" s="212"/>
      <c r="G261" s="212"/>
      <c r="H261" s="375"/>
      <c r="I261" s="375"/>
      <c r="J261" s="375"/>
      <c r="K261" s="375"/>
      <c r="L261" s="375"/>
      <c r="M261" s="375"/>
      <c r="N261" s="375"/>
      <c r="O261" s="375"/>
      <c r="P261" s="375"/>
      <c r="Q261" s="375"/>
      <c r="R261" s="335"/>
      <c r="S261" s="376"/>
      <c r="T261" s="377"/>
      <c r="U261" s="376"/>
      <c r="V261" s="212"/>
      <c r="W261" s="212"/>
      <c r="X261" s="5"/>
    </row>
    <row r="262" spans="1:25" ht="15.75" x14ac:dyDescent="0.25">
      <c r="A262" s="244"/>
      <c r="B262" s="399" t="s">
        <v>236</v>
      </c>
      <c r="C262" s="400"/>
      <c r="D262" s="400"/>
      <c r="E262" s="400"/>
      <c r="F262" s="407"/>
      <c r="G262" s="400"/>
      <c r="H262" s="400"/>
      <c r="I262" s="400"/>
      <c r="J262" s="400"/>
      <c r="K262" s="400"/>
      <c r="L262" s="400"/>
      <c r="M262" s="400"/>
      <c r="N262" s="400"/>
      <c r="O262" s="400"/>
      <c r="P262" s="400"/>
      <c r="Q262" s="400"/>
      <c r="R262" s="407" t="s">
        <v>102</v>
      </c>
      <c r="S262" s="400" t="s">
        <v>103</v>
      </c>
      <c r="T262" s="407" t="s">
        <v>109</v>
      </c>
      <c r="U262" s="400" t="s">
        <v>103</v>
      </c>
      <c r="V262" s="245"/>
      <c r="W262" s="246"/>
      <c r="X262" s="5"/>
    </row>
    <row r="263" spans="1:25" ht="15.75" x14ac:dyDescent="0.25">
      <c r="A263" s="193"/>
      <c r="B263" s="249" t="s">
        <v>88</v>
      </c>
      <c r="C263" s="265"/>
      <c r="D263" s="265"/>
      <c r="E263" s="265"/>
      <c r="F263" s="250"/>
      <c r="G263" s="265"/>
      <c r="H263" s="265"/>
      <c r="I263" s="265"/>
      <c r="J263" s="265"/>
      <c r="K263" s="265"/>
      <c r="L263" s="265"/>
      <c r="M263" s="265"/>
      <c r="N263" s="265"/>
      <c r="O263" s="265"/>
      <c r="P263" s="265"/>
      <c r="Q263" s="265"/>
      <c r="R263" s="249">
        <v>82</v>
      </c>
      <c r="S263" s="252">
        <f t="shared" ref="S263:S269" si="7">R263/$R$272</f>
        <v>0.59420289855072461</v>
      </c>
      <c r="T263" s="253">
        <v>12836</v>
      </c>
      <c r="U263" s="252">
        <f t="shared" ref="U263:U270" si="8">T263/$T$272</f>
        <v>0.5911938098747237</v>
      </c>
      <c r="V263" s="250"/>
      <c r="W263" s="250"/>
      <c r="X263" s="5"/>
    </row>
    <row r="264" spans="1:25" ht="15.75" x14ac:dyDescent="0.25">
      <c r="A264" s="285"/>
      <c r="B264" s="337" t="s">
        <v>89</v>
      </c>
      <c r="C264" s="378"/>
      <c r="D264" s="378"/>
      <c r="E264" s="378"/>
      <c r="F264" s="286"/>
      <c r="G264" s="379"/>
      <c r="H264" s="378"/>
      <c r="I264" s="378"/>
      <c r="J264" s="378"/>
      <c r="K264" s="378"/>
      <c r="L264" s="378"/>
      <c r="M264" s="378"/>
      <c r="N264" s="378"/>
      <c r="O264" s="378"/>
      <c r="P264" s="378"/>
      <c r="Q264" s="378"/>
      <c r="R264" s="337">
        <v>9</v>
      </c>
      <c r="S264" s="379">
        <f t="shared" si="7"/>
        <v>6.5217391304347824E-2</v>
      </c>
      <c r="T264" s="338">
        <v>1397</v>
      </c>
      <c r="U264" s="379">
        <f t="shared" si="8"/>
        <v>6.4342299189388358E-2</v>
      </c>
      <c r="V264" s="286"/>
      <c r="W264" s="289"/>
      <c r="X264" s="5"/>
    </row>
    <row r="265" spans="1:25" ht="15.75" x14ac:dyDescent="0.25">
      <c r="A265" s="285"/>
      <c r="B265" s="337" t="s">
        <v>90</v>
      </c>
      <c r="C265" s="378"/>
      <c r="D265" s="378"/>
      <c r="E265" s="378"/>
      <c r="F265" s="286"/>
      <c r="G265" s="379"/>
      <c r="H265" s="378"/>
      <c r="I265" s="378"/>
      <c r="J265" s="378"/>
      <c r="K265" s="378"/>
      <c r="L265" s="378"/>
      <c r="M265" s="378"/>
      <c r="N265" s="378"/>
      <c r="O265" s="378"/>
      <c r="P265" s="378"/>
      <c r="Q265" s="378"/>
      <c r="R265" s="337">
        <v>6</v>
      </c>
      <c r="S265" s="379">
        <f t="shared" si="7"/>
        <v>4.3478260869565216E-2</v>
      </c>
      <c r="T265" s="338">
        <v>930</v>
      </c>
      <c r="U265" s="379">
        <f t="shared" si="8"/>
        <v>4.2833456153279291E-2</v>
      </c>
      <c r="V265" s="286"/>
      <c r="W265" s="289"/>
      <c r="X265" s="5"/>
    </row>
    <row r="266" spans="1:25" ht="15.75" x14ac:dyDescent="0.25">
      <c r="A266" s="285"/>
      <c r="B266" s="337" t="s">
        <v>156</v>
      </c>
      <c r="C266" s="378"/>
      <c r="D266" s="378"/>
      <c r="E266" s="378"/>
      <c r="F266" s="286"/>
      <c r="G266" s="379"/>
      <c r="H266" s="378"/>
      <c r="I266" s="378"/>
      <c r="J266" s="378"/>
      <c r="K266" s="378"/>
      <c r="L266" s="378"/>
      <c r="M266" s="378"/>
      <c r="N266" s="378"/>
      <c r="O266" s="378"/>
      <c r="P266" s="378"/>
      <c r="Q266" s="378"/>
      <c r="R266" s="337">
        <v>3</v>
      </c>
      <c r="S266" s="379">
        <f t="shared" si="7"/>
        <v>2.1739130434782608E-2</v>
      </c>
      <c r="T266" s="338">
        <v>293</v>
      </c>
      <c r="U266" s="379">
        <f t="shared" si="8"/>
        <v>1.3494841562269712E-2</v>
      </c>
      <c r="V266" s="286"/>
      <c r="W266" s="289"/>
      <c r="X266" s="5"/>
    </row>
    <row r="267" spans="1:25" ht="15.75" x14ac:dyDescent="0.25">
      <c r="A267" s="285"/>
      <c r="B267" s="337" t="s">
        <v>157</v>
      </c>
      <c r="C267" s="378"/>
      <c r="D267" s="378"/>
      <c r="E267" s="378"/>
      <c r="F267" s="286"/>
      <c r="G267" s="379"/>
      <c r="H267" s="378"/>
      <c r="I267" s="378"/>
      <c r="J267" s="378"/>
      <c r="K267" s="378"/>
      <c r="L267" s="378"/>
      <c r="M267" s="378"/>
      <c r="N267" s="378"/>
      <c r="O267" s="378"/>
      <c r="P267" s="378"/>
      <c r="Q267" s="378"/>
      <c r="R267" s="337">
        <v>0</v>
      </c>
      <c r="S267" s="379">
        <f t="shared" si="7"/>
        <v>0</v>
      </c>
      <c r="T267" s="338">
        <v>0</v>
      </c>
      <c r="U267" s="379">
        <f t="shared" si="8"/>
        <v>0</v>
      </c>
      <c r="V267" s="286"/>
      <c r="W267" s="289"/>
      <c r="X267" s="5"/>
    </row>
    <row r="268" spans="1:25" ht="15.75" x14ac:dyDescent="0.25">
      <c r="A268" s="285"/>
      <c r="B268" s="337" t="s">
        <v>158</v>
      </c>
      <c r="C268" s="378"/>
      <c r="D268" s="378"/>
      <c r="E268" s="378"/>
      <c r="F268" s="286"/>
      <c r="G268" s="379"/>
      <c r="H268" s="378"/>
      <c r="I268" s="378"/>
      <c r="J268" s="378"/>
      <c r="K268" s="378"/>
      <c r="L268" s="378"/>
      <c r="M268" s="378"/>
      <c r="N268" s="378"/>
      <c r="O268" s="378"/>
      <c r="P268" s="378"/>
      <c r="Q268" s="378"/>
      <c r="R268" s="337">
        <v>4</v>
      </c>
      <c r="S268" s="379">
        <f t="shared" si="7"/>
        <v>2.8985507246376812E-2</v>
      </c>
      <c r="T268" s="338">
        <v>952</v>
      </c>
      <c r="U268" s="379">
        <f t="shared" si="8"/>
        <v>4.3846720707442888E-2</v>
      </c>
      <c r="V268" s="286"/>
      <c r="W268" s="289"/>
      <c r="X268" s="5"/>
    </row>
    <row r="269" spans="1:25" ht="15.75" x14ac:dyDescent="0.25">
      <c r="A269" s="285"/>
      <c r="B269" s="337" t="s">
        <v>159</v>
      </c>
      <c r="C269" s="378"/>
      <c r="D269" s="378"/>
      <c r="E269" s="378"/>
      <c r="F269" s="286"/>
      <c r="G269" s="379"/>
      <c r="H269" s="378"/>
      <c r="I269" s="378"/>
      <c r="J269" s="378"/>
      <c r="K269" s="378"/>
      <c r="L269" s="378"/>
      <c r="M269" s="378"/>
      <c r="N269" s="378"/>
      <c r="O269" s="378"/>
      <c r="P269" s="378"/>
      <c r="Q269" s="378"/>
      <c r="R269" s="337">
        <v>17</v>
      </c>
      <c r="S269" s="379">
        <f t="shared" si="7"/>
        <v>0.12318840579710146</v>
      </c>
      <c r="T269" s="338">
        <v>2340</v>
      </c>
      <c r="U269" s="379">
        <f t="shared" si="8"/>
        <v>0.10777450257921886</v>
      </c>
      <c r="V269" s="286"/>
      <c r="W269" s="289"/>
      <c r="X269" s="5"/>
    </row>
    <row r="270" spans="1:25" ht="15.75" x14ac:dyDescent="0.25">
      <c r="A270" s="285"/>
      <c r="B270" s="337" t="s">
        <v>160</v>
      </c>
      <c r="C270" s="378"/>
      <c r="D270" s="378"/>
      <c r="E270" s="378"/>
      <c r="F270" s="286"/>
      <c r="G270" s="379"/>
      <c r="H270" s="378"/>
      <c r="I270" s="378"/>
      <c r="J270" s="378"/>
      <c r="K270" s="378"/>
      <c r="L270" s="378"/>
      <c r="M270" s="378"/>
      <c r="N270" s="378"/>
      <c r="O270" s="378"/>
      <c r="P270" s="378"/>
      <c r="Q270" s="378"/>
      <c r="R270" s="337">
        <v>17</v>
      </c>
      <c r="S270" s="379">
        <f>R270/$R$272</f>
        <v>0.12318840579710146</v>
      </c>
      <c r="T270" s="338">
        <v>2964</v>
      </c>
      <c r="U270" s="379">
        <f t="shared" si="8"/>
        <v>0.13651436993367722</v>
      </c>
      <c r="V270" s="286"/>
      <c r="W270" s="289"/>
      <c r="X270" s="5"/>
    </row>
    <row r="271" spans="1:25" ht="15.75" x14ac:dyDescent="0.25">
      <c r="A271" s="285"/>
      <c r="B271" s="337"/>
      <c r="C271" s="378"/>
      <c r="D271" s="378"/>
      <c r="E271" s="378"/>
      <c r="F271" s="286"/>
      <c r="G271" s="379"/>
      <c r="H271" s="378"/>
      <c r="I271" s="378"/>
      <c r="J271" s="378"/>
      <c r="K271" s="378"/>
      <c r="L271" s="378"/>
      <c r="M271" s="378"/>
      <c r="N271" s="378"/>
      <c r="O271" s="378"/>
      <c r="P271" s="378"/>
      <c r="Q271" s="378"/>
      <c r="R271" s="337"/>
      <c r="S271" s="379"/>
      <c r="T271" s="338"/>
      <c r="U271" s="379"/>
      <c r="V271" s="286"/>
      <c r="W271" s="289"/>
      <c r="X271" s="5"/>
    </row>
    <row r="272" spans="1:25" ht="15.75" x14ac:dyDescent="0.25">
      <c r="A272" s="285"/>
      <c r="B272" s="286"/>
      <c r="C272" s="286"/>
      <c r="D272" s="286"/>
      <c r="E272" s="286"/>
      <c r="F272" s="286"/>
      <c r="G272" s="286"/>
      <c r="H272" s="381"/>
      <c r="I272" s="381"/>
      <c r="J272" s="381"/>
      <c r="K272" s="381"/>
      <c r="L272" s="381"/>
      <c r="M272" s="381"/>
      <c r="N272" s="381"/>
      <c r="O272" s="381"/>
      <c r="P272" s="381"/>
      <c r="Q272" s="381"/>
      <c r="R272" s="337">
        <f>SUM(R263:R271)</f>
        <v>138</v>
      </c>
      <c r="S272" s="379">
        <f>SUM(S263:S271)</f>
        <v>0.99999999999999989</v>
      </c>
      <c r="T272" s="338">
        <f>SUM(T263:T271)</f>
        <v>21712</v>
      </c>
      <c r="U272" s="379">
        <f>SUM(U263:U271)</f>
        <v>1</v>
      </c>
      <c r="V272" s="286"/>
      <c r="W272" s="289"/>
      <c r="X272" s="5"/>
    </row>
    <row r="273" spans="1:24" ht="15.75" x14ac:dyDescent="0.25">
      <c r="A273" s="181"/>
      <c r="B273" s="212"/>
      <c r="C273" s="212"/>
      <c r="D273" s="212"/>
      <c r="E273" s="212"/>
      <c r="F273" s="212"/>
      <c r="G273" s="212"/>
      <c r="H273" s="375"/>
      <c r="I273" s="375"/>
      <c r="J273" s="375"/>
      <c r="K273" s="375"/>
      <c r="L273" s="375"/>
      <c r="M273" s="375"/>
      <c r="N273" s="375"/>
      <c r="O273" s="375"/>
      <c r="P273" s="375"/>
      <c r="Q273" s="375"/>
      <c r="R273" s="335"/>
      <c r="S273" s="376"/>
      <c r="T273" s="377"/>
      <c r="U273" s="376"/>
      <c r="V273" s="212"/>
      <c r="W273" s="212"/>
      <c r="X273" s="5"/>
    </row>
    <row r="274" spans="1:24" ht="15.75" x14ac:dyDescent="0.25">
      <c r="A274" s="244"/>
      <c r="B274" s="399" t="s">
        <v>163</v>
      </c>
      <c r="C274" s="245"/>
      <c r="D274" s="245"/>
      <c r="E274" s="245"/>
      <c r="F274" s="245"/>
      <c r="G274" s="245"/>
      <c r="H274" s="247"/>
      <c r="I274" s="247"/>
      <c r="J274" s="247"/>
      <c r="K274" s="247"/>
      <c r="L274" s="247"/>
      <c r="M274" s="247"/>
      <c r="N274" s="247"/>
      <c r="O274" s="247"/>
      <c r="P274" s="247"/>
      <c r="Q274" s="247"/>
      <c r="R274" s="407" t="s">
        <v>102</v>
      </c>
      <c r="S274" s="400" t="s">
        <v>103</v>
      </c>
      <c r="T274" s="407" t="s">
        <v>109</v>
      </c>
      <c r="U274" s="400" t="s">
        <v>103</v>
      </c>
      <c r="V274" s="245"/>
      <c r="W274" s="246"/>
      <c r="X274" s="5"/>
    </row>
    <row r="275" spans="1:24" ht="15.75" x14ac:dyDescent="0.25">
      <c r="A275" s="248"/>
      <c r="B275" s="249" t="s">
        <v>88</v>
      </c>
      <c r="C275" s="250"/>
      <c r="D275" s="250"/>
      <c r="E275" s="250"/>
      <c r="F275" s="250"/>
      <c r="G275" s="250"/>
      <c r="H275" s="251"/>
      <c r="I275" s="251"/>
      <c r="J275" s="251"/>
      <c r="K275" s="251"/>
      <c r="L275" s="251"/>
      <c r="M275" s="251"/>
      <c r="N275" s="251"/>
      <c r="O275" s="251"/>
      <c r="P275" s="251"/>
      <c r="Q275" s="251"/>
      <c r="R275" s="249">
        <v>0</v>
      </c>
      <c r="S275" s="252">
        <v>0</v>
      </c>
      <c r="T275" s="253">
        <v>0</v>
      </c>
      <c r="U275" s="252">
        <v>0</v>
      </c>
      <c r="V275" s="250"/>
      <c r="W275" s="250"/>
      <c r="X275" s="5"/>
    </row>
    <row r="276" spans="1:24" ht="15.75" x14ac:dyDescent="0.25">
      <c r="A276" s="295"/>
      <c r="B276" s="337" t="s">
        <v>89</v>
      </c>
      <c r="C276" s="286"/>
      <c r="D276" s="286"/>
      <c r="E276" s="286"/>
      <c r="F276" s="286"/>
      <c r="G276" s="286"/>
      <c r="H276" s="381"/>
      <c r="I276" s="381"/>
      <c r="J276" s="381"/>
      <c r="K276" s="381"/>
      <c r="L276" s="381"/>
      <c r="M276" s="381"/>
      <c r="N276" s="381"/>
      <c r="O276" s="381"/>
      <c r="P276" s="381"/>
      <c r="Q276" s="381"/>
      <c r="R276" s="337">
        <v>0</v>
      </c>
      <c r="S276" s="379">
        <v>0</v>
      </c>
      <c r="T276" s="338">
        <v>0</v>
      </c>
      <c r="U276" s="379">
        <v>0</v>
      </c>
      <c r="V276" s="286"/>
      <c r="W276" s="289"/>
      <c r="X276" s="5"/>
    </row>
    <row r="277" spans="1:24" ht="15.75" x14ac:dyDescent="0.25">
      <c r="A277" s="295"/>
      <c r="B277" s="337" t="s">
        <v>90</v>
      </c>
      <c r="C277" s="286"/>
      <c r="D277" s="286"/>
      <c r="E277" s="286"/>
      <c r="F277" s="286"/>
      <c r="G277" s="286"/>
      <c r="H277" s="381"/>
      <c r="I277" s="381"/>
      <c r="J277" s="381"/>
      <c r="K277" s="381"/>
      <c r="L277" s="381"/>
      <c r="M277" s="381"/>
      <c r="N277" s="381"/>
      <c r="O277" s="381"/>
      <c r="P277" s="381"/>
      <c r="Q277" s="381"/>
      <c r="R277" s="337">
        <v>0</v>
      </c>
      <c r="S277" s="379">
        <v>0</v>
      </c>
      <c r="T277" s="338">
        <v>0</v>
      </c>
      <c r="U277" s="379">
        <v>0</v>
      </c>
      <c r="V277" s="286"/>
      <c r="W277" s="289"/>
      <c r="X277" s="5"/>
    </row>
    <row r="278" spans="1:24" ht="15.75" x14ac:dyDescent="0.25">
      <c r="A278" s="295"/>
      <c r="B278" s="337" t="s">
        <v>156</v>
      </c>
      <c r="C278" s="286"/>
      <c r="D278" s="286"/>
      <c r="E278" s="286"/>
      <c r="F278" s="286"/>
      <c r="G278" s="286"/>
      <c r="H278" s="381"/>
      <c r="I278" s="381"/>
      <c r="J278" s="381"/>
      <c r="K278" s="381"/>
      <c r="L278" s="381"/>
      <c r="M278" s="381"/>
      <c r="N278" s="381"/>
      <c r="O278" s="381"/>
      <c r="P278" s="381"/>
      <c r="Q278" s="381"/>
      <c r="R278" s="337">
        <v>0</v>
      </c>
      <c r="S278" s="379">
        <v>0</v>
      </c>
      <c r="T278" s="338">
        <v>0</v>
      </c>
      <c r="U278" s="379">
        <v>0</v>
      </c>
      <c r="V278" s="286"/>
      <c r="W278" s="289"/>
      <c r="X278" s="5"/>
    </row>
    <row r="279" spans="1:24" ht="15.75" x14ac:dyDescent="0.25">
      <c r="A279" s="295"/>
      <c r="B279" s="337" t="s">
        <v>157</v>
      </c>
      <c r="C279" s="286"/>
      <c r="D279" s="286"/>
      <c r="E279" s="286"/>
      <c r="F279" s="286"/>
      <c r="G279" s="286"/>
      <c r="H279" s="381"/>
      <c r="I279" s="381"/>
      <c r="J279" s="381"/>
      <c r="K279" s="381"/>
      <c r="L279" s="381"/>
      <c r="M279" s="381"/>
      <c r="N279" s="381"/>
      <c r="O279" s="381"/>
      <c r="P279" s="381"/>
      <c r="Q279" s="381"/>
      <c r="R279" s="337">
        <v>0</v>
      </c>
      <c r="S279" s="379">
        <v>0</v>
      </c>
      <c r="T279" s="338">
        <v>0</v>
      </c>
      <c r="U279" s="379">
        <v>0</v>
      </c>
      <c r="V279" s="286"/>
      <c r="W279" s="289"/>
      <c r="X279" s="5"/>
    </row>
    <row r="280" spans="1:24" ht="15.75" x14ac:dyDescent="0.25">
      <c r="A280" s="295"/>
      <c r="B280" s="337" t="s">
        <v>158</v>
      </c>
      <c r="C280" s="286"/>
      <c r="D280" s="286"/>
      <c r="E280" s="286"/>
      <c r="F280" s="286"/>
      <c r="G280" s="286"/>
      <c r="H280" s="381"/>
      <c r="I280" s="381"/>
      <c r="J280" s="381"/>
      <c r="K280" s="381"/>
      <c r="L280" s="381"/>
      <c r="M280" s="381"/>
      <c r="N280" s="381"/>
      <c r="O280" s="381"/>
      <c r="P280" s="381"/>
      <c r="Q280" s="381"/>
      <c r="R280" s="337">
        <v>0</v>
      </c>
      <c r="S280" s="379">
        <v>0</v>
      </c>
      <c r="T280" s="338">
        <v>0</v>
      </c>
      <c r="U280" s="379">
        <v>0</v>
      </c>
      <c r="V280" s="286"/>
      <c r="W280" s="289"/>
      <c r="X280" s="5"/>
    </row>
    <row r="281" spans="1:24" ht="15.75" x14ac:dyDescent="0.25">
      <c r="A281" s="295"/>
      <c r="B281" s="337" t="s">
        <v>159</v>
      </c>
      <c r="C281" s="286"/>
      <c r="D281" s="286"/>
      <c r="E281" s="286"/>
      <c r="F281" s="286"/>
      <c r="G281" s="286"/>
      <c r="H281" s="381"/>
      <c r="I281" s="381"/>
      <c r="J281" s="381"/>
      <c r="K281" s="381"/>
      <c r="L281" s="381"/>
      <c r="M281" s="381"/>
      <c r="N281" s="381"/>
      <c r="O281" s="381"/>
      <c r="P281" s="381"/>
      <c r="Q281" s="381"/>
      <c r="R281" s="337">
        <v>0</v>
      </c>
      <c r="S281" s="379">
        <v>0</v>
      </c>
      <c r="T281" s="338">
        <v>0</v>
      </c>
      <c r="U281" s="379">
        <v>0</v>
      </c>
      <c r="V281" s="286"/>
      <c r="W281" s="289"/>
      <c r="X281" s="5"/>
    </row>
    <row r="282" spans="1:24" ht="15.75" x14ac:dyDescent="0.25">
      <c r="A282" s="295"/>
      <c r="B282" s="337" t="s">
        <v>160</v>
      </c>
      <c r="C282" s="286"/>
      <c r="D282" s="286"/>
      <c r="E282" s="286"/>
      <c r="F282" s="286"/>
      <c r="G282" s="286"/>
      <c r="H282" s="381"/>
      <c r="I282" s="381"/>
      <c r="J282" s="381"/>
      <c r="K282" s="381"/>
      <c r="L282" s="381"/>
      <c r="M282" s="381"/>
      <c r="N282" s="381"/>
      <c r="O282" s="381"/>
      <c r="P282" s="381"/>
      <c r="Q282" s="381"/>
      <c r="R282" s="337">
        <v>1</v>
      </c>
      <c r="S282" s="379">
        <f>+R282/R284</f>
        <v>1</v>
      </c>
      <c r="T282" s="338">
        <v>57</v>
      </c>
      <c r="U282" s="379">
        <f>+T282/T284</f>
        <v>1</v>
      </c>
      <c r="V282" s="286"/>
      <c r="W282" s="289"/>
      <c r="X282" s="5"/>
    </row>
    <row r="283" spans="1:24" ht="15.75" x14ac:dyDescent="0.25">
      <c r="A283" s="295"/>
      <c r="B283" s="337"/>
      <c r="C283" s="286"/>
      <c r="D283" s="286"/>
      <c r="E283" s="286"/>
      <c r="F283" s="286"/>
      <c r="G283" s="286"/>
      <c r="H283" s="381"/>
      <c r="I283" s="381"/>
      <c r="J283" s="381"/>
      <c r="K283" s="381"/>
      <c r="L283" s="381"/>
      <c r="M283" s="381"/>
      <c r="N283" s="381"/>
      <c r="O283" s="381"/>
      <c r="P283" s="381"/>
      <c r="Q283" s="381"/>
      <c r="R283" s="337"/>
      <c r="S283" s="379"/>
      <c r="T283" s="338"/>
      <c r="U283" s="379"/>
      <c r="V283" s="286"/>
      <c r="W283" s="289"/>
      <c r="X283" s="5"/>
    </row>
    <row r="284" spans="1:24" ht="15.75" x14ac:dyDescent="0.25">
      <c r="A284" s="295"/>
      <c r="B284" s="286" t="s">
        <v>114</v>
      </c>
      <c r="C284" s="286"/>
      <c r="D284" s="286"/>
      <c r="E284" s="286"/>
      <c r="F284" s="286"/>
      <c r="G284" s="286"/>
      <c r="H284" s="381"/>
      <c r="I284" s="381"/>
      <c r="J284" s="381"/>
      <c r="K284" s="381"/>
      <c r="L284" s="381"/>
      <c r="M284" s="381"/>
      <c r="N284" s="381"/>
      <c r="O284" s="381"/>
      <c r="P284" s="381"/>
      <c r="Q284" s="381"/>
      <c r="R284" s="337">
        <f>SUM(R275:R282)</f>
        <v>1</v>
      </c>
      <c r="S284" s="379">
        <f>SUM(S275:S282)</f>
        <v>1</v>
      </c>
      <c r="T284" s="338">
        <f>SUM(T275:T282)</f>
        <v>57</v>
      </c>
      <c r="U284" s="379">
        <f>SUM(U275:U282)</f>
        <v>1</v>
      </c>
      <c r="V284" s="286"/>
      <c r="W284" s="289"/>
      <c r="X284" s="5"/>
    </row>
    <row r="285" spans="1:24" ht="15.75" x14ac:dyDescent="0.25">
      <c r="A285" s="295"/>
      <c r="B285" s="286"/>
      <c r="C285" s="286"/>
      <c r="D285" s="286"/>
      <c r="E285" s="286"/>
      <c r="F285" s="286"/>
      <c r="G285" s="286"/>
      <c r="H285" s="381"/>
      <c r="I285" s="381"/>
      <c r="J285" s="381"/>
      <c r="K285" s="381"/>
      <c r="L285" s="381"/>
      <c r="M285" s="381"/>
      <c r="N285" s="381"/>
      <c r="O285" s="381"/>
      <c r="P285" s="381"/>
      <c r="Q285" s="381"/>
      <c r="R285" s="337"/>
      <c r="S285" s="379"/>
      <c r="T285" s="338"/>
      <c r="U285" s="379"/>
      <c r="V285" s="286"/>
      <c r="W285" s="289"/>
      <c r="X285" s="5"/>
    </row>
    <row r="286" spans="1:24" ht="15.75" x14ac:dyDescent="0.25">
      <c r="A286" s="295"/>
      <c r="B286" s="297" t="s">
        <v>164</v>
      </c>
      <c r="C286" s="286"/>
      <c r="D286" s="286"/>
      <c r="E286" s="286"/>
      <c r="F286" s="286"/>
      <c r="G286" s="286"/>
      <c r="H286" s="381"/>
      <c r="I286" s="381"/>
      <c r="J286" s="381"/>
      <c r="K286" s="381"/>
      <c r="L286" s="381"/>
      <c r="M286" s="381"/>
      <c r="N286" s="381"/>
      <c r="O286" s="381"/>
      <c r="P286" s="381"/>
      <c r="Q286" s="381"/>
      <c r="R286" s="384">
        <f>R284+R272+R260</f>
        <v>5772</v>
      </c>
      <c r="S286" s="379"/>
      <c r="T286" s="410">
        <f>+T284+T272+T260</f>
        <v>824172</v>
      </c>
      <c r="U286" s="379"/>
      <c r="V286" s="286"/>
      <c r="W286" s="289"/>
      <c r="X286" s="5"/>
    </row>
    <row r="287" spans="1:24" ht="15.75" x14ac:dyDescent="0.25">
      <c r="A287" s="254"/>
      <c r="B287" s="346"/>
      <c r="C287" s="346"/>
      <c r="D287" s="346"/>
      <c r="E287" s="346"/>
      <c r="F287" s="346"/>
      <c r="G287" s="346"/>
      <c r="H287" s="382"/>
      <c r="I287" s="382"/>
      <c r="J287" s="382"/>
      <c r="K287" s="382"/>
      <c r="L287" s="382"/>
      <c r="M287" s="382"/>
      <c r="N287" s="382"/>
      <c r="O287" s="382"/>
      <c r="P287" s="382"/>
      <c r="Q287" s="382"/>
      <c r="R287" s="382"/>
      <c r="S287" s="382"/>
      <c r="T287" s="383"/>
      <c r="U287" s="382"/>
      <c r="V287" s="346"/>
      <c r="W287" s="346"/>
      <c r="X287" s="5"/>
    </row>
    <row r="288" spans="1:24" ht="15.75" x14ac:dyDescent="0.25">
      <c r="A288" s="254"/>
      <c r="B288" s="255"/>
      <c r="C288" s="255"/>
      <c r="D288" s="255"/>
      <c r="E288" s="255"/>
      <c r="F288" s="255"/>
      <c r="G288" s="255"/>
      <c r="H288" s="256"/>
      <c r="I288" s="256"/>
      <c r="J288" s="256"/>
      <c r="K288" s="256"/>
      <c r="L288" s="256"/>
      <c r="M288" s="256"/>
      <c r="N288" s="256"/>
      <c r="O288" s="256"/>
      <c r="P288" s="256"/>
      <c r="Q288" s="256"/>
      <c r="R288" s="256"/>
      <c r="S288" s="256"/>
      <c r="T288" s="257"/>
      <c r="U288" s="256"/>
      <c r="V288" s="255"/>
      <c r="W288" s="255"/>
      <c r="X288" s="5"/>
    </row>
    <row r="289" spans="1:24" ht="15.75" x14ac:dyDescent="0.25">
      <c r="A289" s="258"/>
      <c r="B289" s="388" t="s">
        <v>91</v>
      </c>
      <c r="C289" s="255"/>
      <c r="D289" s="255"/>
      <c r="E289" s="255"/>
      <c r="F289" s="391" t="s">
        <v>97</v>
      </c>
      <c r="G289" s="255"/>
      <c r="H289" s="388" t="s">
        <v>99</v>
      </c>
      <c r="I289" s="388"/>
      <c r="J289" s="388"/>
      <c r="K289" s="261"/>
      <c r="L289" s="261"/>
      <c r="M289" s="261"/>
      <c r="N289" s="261"/>
      <c r="O289" s="261"/>
      <c r="P289" s="261"/>
      <c r="Q289" s="261"/>
      <c r="R289" s="261"/>
      <c r="S289" s="261"/>
      <c r="T289" s="261"/>
      <c r="U289" s="261"/>
      <c r="V289" s="261"/>
      <c r="W289" s="261"/>
      <c r="X289" s="5"/>
    </row>
    <row r="290" spans="1:24" ht="15.75" x14ac:dyDescent="0.25">
      <c r="A290" s="258"/>
      <c r="B290" s="261"/>
      <c r="C290" s="255"/>
      <c r="D290" s="255"/>
      <c r="E290" s="255"/>
      <c r="F290" s="255"/>
      <c r="G290" s="255"/>
      <c r="H290" s="255"/>
      <c r="I290" s="255"/>
      <c r="J290" s="255"/>
      <c r="K290" s="261"/>
      <c r="L290" s="261"/>
      <c r="M290" s="261"/>
      <c r="N290" s="261"/>
      <c r="O290" s="261"/>
      <c r="P290" s="261"/>
      <c r="Q290" s="261"/>
      <c r="R290" s="261"/>
      <c r="S290" s="261"/>
      <c r="T290" s="261"/>
      <c r="U290" s="261"/>
      <c r="V290" s="261"/>
      <c r="W290" s="261"/>
      <c r="X290" s="5"/>
    </row>
    <row r="291" spans="1:24" ht="15.75" x14ac:dyDescent="0.25">
      <c r="A291" s="258"/>
      <c r="B291" s="388" t="s">
        <v>92</v>
      </c>
      <c r="C291" s="388"/>
      <c r="D291" s="388"/>
      <c r="E291" s="388"/>
      <c r="F291" s="411" t="s">
        <v>148</v>
      </c>
      <c r="G291" s="388"/>
      <c r="H291" s="388" t="s">
        <v>152</v>
      </c>
      <c r="I291" s="388"/>
      <c r="J291" s="388"/>
      <c r="K291" s="261"/>
      <c r="L291" s="261"/>
      <c r="M291" s="261"/>
      <c r="N291" s="261"/>
      <c r="O291" s="261"/>
      <c r="P291" s="261"/>
      <c r="Q291" s="261"/>
      <c r="R291" s="261"/>
      <c r="S291" s="261"/>
      <c r="T291" s="261"/>
      <c r="U291" s="261"/>
      <c r="V291" s="261"/>
      <c r="W291" s="261"/>
      <c r="X291" s="5"/>
    </row>
    <row r="292" spans="1:24" ht="15.75" x14ac:dyDescent="0.25">
      <c r="A292" s="258"/>
      <c r="B292" s="388" t="s">
        <v>265</v>
      </c>
      <c r="C292" s="388"/>
      <c r="D292" s="388"/>
      <c r="E292" s="388"/>
      <c r="F292" s="411" t="s">
        <v>266</v>
      </c>
      <c r="G292" s="388"/>
      <c r="H292" s="388" t="s">
        <v>267</v>
      </c>
      <c r="I292" s="388"/>
      <c r="J292" s="388"/>
      <c r="K292" s="261"/>
      <c r="L292" s="261"/>
      <c r="M292" s="261"/>
      <c r="N292" s="261"/>
      <c r="O292" s="261"/>
      <c r="P292" s="261"/>
      <c r="Q292" s="261"/>
      <c r="R292" s="261"/>
      <c r="S292" s="261"/>
      <c r="T292" s="261"/>
      <c r="U292" s="261"/>
      <c r="V292" s="261"/>
      <c r="W292" s="261"/>
      <c r="X292" s="5"/>
    </row>
    <row r="293" spans="1:24" ht="15.75" x14ac:dyDescent="0.25">
      <c r="A293" s="258"/>
      <c r="B293" s="388" t="s">
        <v>93</v>
      </c>
      <c r="C293" s="388"/>
      <c r="D293" s="388"/>
      <c r="E293" s="388"/>
      <c r="F293" s="411" t="s">
        <v>147</v>
      </c>
      <c r="G293" s="388"/>
      <c r="H293" s="388" t="s">
        <v>153</v>
      </c>
      <c r="I293" s="388"/>
      <c r="J293" s="388"/>
      <c r="K293" s="261"/>
      <c r="L293" s="261"/>
      <c r="M293" s="261"/>
      <c r="N293" s="261"/>
      <c r="O293" s="261"/>
      <c r="P293" s="261"/>
      <c r="Q293" s="261"/>
      <c r="R293" s="261"/>
      <c r="S293" s="261"/>
      <c r="T293" s="261"/>
      <c r="U293" s="261"/>
      <c r="V293" s="261"/>
      <c r="W293" s="261"/>
      <c r="X293" s="5"/>
    </row>
    <row r="294" spans="1:24" ht="15.75" x14ac:dyDescent="0.25">
      <c r="A294" s="258"/>
      <c r="B294" s="388"/>
      <c r="C294" s="388"/>
      <c r="D294" s="388"/>
      <c r="E294" s="388"/>
      <c r="F294" s="388"/>
      <c r="G294" s="263"/>
      <c r="H294" s="261"/>
      <c r="I294" s="261"/>
      <c r="J294" s="261"/>
      <c r="K294" s="261"/>
      <c r="L294" s="261"/>
      <c r="M294" s="261"/>
      <c r="N294" s="261"/>
      <c r="O294" s="261"/>
      <c r="P294" s="261"/>
      <c r="Q294" s="261"/>
      <c r="R294" s="261"/>
      <c r="S294" s="261"/>
      <c r="T294" s="261"/>
      <c r="U294" s="261"/>
      <c r="V294" s="261"/>
      <c r="W294" s="261"/>
      <c r="X294" s="5"/>
    </row>
    <row r="295" spans="1:24" ht="15.75" x14ac:dyDescent="0.25">
      <c r="A295" s="258"/>
      <c r="B295" s="388"/>
      <c r="C295" s="388"/>
      <c r="D295" s="388"/>
      <c r="E295" s="388"/>
      <c r="F295" s="388"/>
      <c r="G295" s="263"/>
      <c r="H295" s="261"/>
      <c r="I295" s="261"/>
      <c r="J295" s="261"/>
      <c r="K295" s="261"/>
      <c r="L295" s="261"/>
      <c r="M295" s="261"/>
      <c r="N295" s="261"/>
      <c r="O295" s="261"/>
      <c r="P295" s="261"/>
      <c r="Q295" s="261"/>
      <c r="R295" s="261"/>
      <c r="S295" s="261"/>
      <c r="T295" s="261"/>
      <c r="U295" s="261"/>
      <c r="V295" s="261"/>
      <c r="W295" s="261"/>
      <c r="X295" s="5"/>
    </row>
    <row r="296" spans="1:24" ht="19.5" thickBot="1" x14ac:dyDescent="0.35">
      <c r="A296" s="258"/>
      <c r="B296" s="264" t="str">
        <f>B200</f>
        <v>PM15 INVESTOR REPORT QUARTER ENDING MAY 2012</v>
      </c>
      <c r="C296" s="388"/>
      <c r="D296" s="388"/>
      <c r="E296" s="388"/>
      <c r="F296" s="388"/>
      <c r="G296" s="263"/>
      <c r="H296" s="261"/>
      <c r="I296" s="261"/>
      <c r="J296" s="261"/>
      <c r="K296" s="261"/>
      <c r="L296" s="261"/>
      <c r="M296" s="261"/>
      <c r="N296" s="261"/>
      <c r="O296" s="261"/>
      <c r="P296" s="261"/>
      <c r="Q296" s="261"/>
      <c r="R296" s="261"/>
      <c r="S296" s="261"/>
      <c r="T296" s="261"/>
      <c r="U296" s="261"/>
      <c r="V296" s="261"/>
      <c r="W296" s="261"/>
      <c r="X296" s="5"/>
    </row>
    <row r="297" spans="1:24" x14ac:dyDescent="0.2">
      <c r="A297" s="100"/>
      <c r="B297" s="100"/>
      <c r="C297" s="100"/>
      <c r="D297" s="100"/>
      <c r="E297" s="100"/>
      <c r="F297" s="100"/>
      <c r="G297" s="100"/>
      <c r="H297" s="100"/>
      <c r="I297" s="100"/>
      <c r="J297" s="100"/>
      <c r="K297" s="100"/>
      <c r="L297" s="100"/>
      <c r="M297" s="100"/>
      <c r="N297" s="100"/>
      <c r="O297" s="100"/>
      <c r="P297" s="100"/>
      <c r="Q297" s="100"/>
      <c r="R297" s="100"/>
      <c r="S297" s="100"/>
      <c r="T297" s="100"/>
      <c r="U297" s="100"/>
      <c r="V297" s="100"/>
      <c r="W297" s="100"/>
    </row>
  </sheetData>
  <hyperlinks>
    <hyperlink ref="P236" r:id="rId1" xr:uid="{00000000-0004-0000-1200-000000000000}"/>
    <hyperlink ref="I9" r:id="rId2" xr:uid="{00000000-0004-0000-12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4" max="14" man="1"/>
    <brk id="200" max="14"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6"/>
  </sheetPr>
  <dimension ref="A1:IV285"/>
  <sheetViews>
    <sheetView showGridLines="0" showOutlineSymbols="0" zoomScale="70" zoomScaleNormal="70" workbookViewId="0"/>
  </sheetViews>
  <sheetFormatPr defaultColWidth="9.6640625" defaultRowHeight="15" x14ac:dyDescent="0.2"/>
  <cols>
    <col min="1" max="1" width="4" style="1" customWidth="1"/>
    <col min="2" max="2" width="71.21875" style="1" customWidth="1"/>
    <col min="3" max="3" width="2.21875" style="1" customWidth="1"/>
    <col min="4" max="4" width="19.33203125" style="1" customWidth="1"/>
    <col min="5" max="5" width="2.21875" style="1" customWidth="1"/>
    <col min="6" max="6" width="25.109375" style="1" customWidth="1"/>
    <col min="7" max="7" width="2.21875" style="1" customWidth="1"/>
    <col min="8" max="8" width="16.21875" style="1" customWidth="1"/>
    <col min="9" max="9" width="2.88671875" style="1" customWidth="1"/>
    <col min="10" max="10" width="16.21875" style="1" customWidth="1"/>
    <col min="11" max="11" width="2.21875" style="1" customWidth="1"/>
    <col min="12" max="12" width="17.88671875" style="1" customWidth="1"/>
    <col min="13" max="13" width="2.33203125" style="1" customWidth="1"/>
    <col min="14" max="14" width="14.88671875" style="1" customWidth="1"/>
    <col min="15" max="15" width="2.33203125" style="1" customWidth="1"/>
    <col min="16" max="16" width="15.5546875" style="1" customWidth="1"/>
    <col min="17" max="17" width="2.21875" style="1" customWidth="1"/>
    <col min="18" max="18" width="15.5546875" style="1" customWidth="1"/>
    <col min="19" max="20" width="12.6640625" style="1" customWidth="1"/>
    <col min="21" max="21" width="7.77734375" style="1" customWidth="1"/>
    <col min="22" max="22" width="14.6640625" style="1" customWidth="1"/>
    <col min="23" max="23" width="11.77734375" style="1" customWidth="1"/>
    <col min="24" max="16384" width="9.6640625" style="1"/>
  </cols>
  <sheetData>
    <row r="1" spans="1:24" ht="20.25" x14ac:dyDescent="0.3">
      <c r="A1" s="2"/>
      <c r="B1" s="3" t="s">
        <v>237</v>
      </c>
      <c r="C1" s="4"/>
      <c r="D1" s="4"/>
      <c r="E1" s="4"/>
      <c r="F1" s="4"/>
      <c r="G1" s="4"/>
      <c r="H1" s="4"/>
      <c r="I1" s="4"/>
      <c r="J1" s="4"/>
      <c r="K1" s="4"/>
      <c r="L1" s="4"/>
      <c r="M1" s="4"/>
      <c r="N1" s="4"/>
      <c r="O1" s="4"/>
      <c r="P1" s="4"/>
      <c r="Q1" s="4"/>
      <c r="R1" s="4"/>
      <c r="S1" s="4"/>
      <c r="T1" s="4"/>
      <c r="U1" s="4"/>
      <c r="V1" s="4"/>
      <c r="W1" s="4"/>
      <c r="X1" s="5"/>
    </row>
    <row r="2" spans="1:24" ht="15.75" x14ac:dyDescent="0.25">
      <c r="A2" s="6"/>
      <c r="B2" s="7"/>
      <c r="C2" s="8"/>
      <c r="D2" s="8"/>
      <c r="E2" s="8"/>
      <c r="F2" s="8"/>
      <c r="G2" s="8"/>
      <c r="H2" s="8"/>
      <c r="I2" s="8"/>
      <c r="J2" s="8"/>
      <c r="K2" s="8"/>
      <c r="L2" s="8"/>
      <c r="M2" s="8"/>
      <c r="N2" s="8"/>
      <c r="O2" s="8"/>
      <c r="P2" s="8"/>
      <c r="Q2" s="8"/>
      <c r="R2" s="8"/>
      <c r="S2" s="8"/>
      <c r="T2" s="8"/>
      <c r="U2" s="8"/>
      <c r="V2" s="8"/>
      <c r="W2" s="8"/>
      <c r="X2" s="5"/>
    </row>
    <row r="3" spans="1:24" ht="15.75" x14ac:dyDescent="0.25">
      <c r="A3" s="9"/>
      <c r="B3" s="111" t="s">
        <v>238</v>
      </c>
      <c r="C3" s="8"/>
      <c r="D3" s="8"/>
      <c r="E3" s="8"/>
      <c r="F3" s="8"/>
      <c r="G3" s="8"/>
      <c r="H3" s="8"/>
      <c r="I3" s="8"/>
      <c r="J3" s="8"/>
      <c r="K3" s="8"/>
      <c r="L3" s="8"/>
      <c r="M3" s="8"/>
      <c r="N3" s="8"/>
      <c r="O3" s="8"/>
      <c r="P3" s="8"/>
      <c r="Q3" s="8"/>
      <c r="R3" s="8"/>
      <c r="S3" s="8"/>
      <c r="T3" s="8"/>
      <c r="U3" s="8"/>
      <c r="V3" s="8"/>
      <c r="W3" s="8"/>
      <c r="X3" s="5"/>
    </row>
    <row r="4" spans="1:24" ht="15.75" x14ac:dyDescent="0.25">
      <c r="A4" s="6"/>
      <c r="B4" s="7"/>
      <c r="C4" s="8"/>
      <c r="D4" s="8"/>
      <c r="E4" s="8"/>
      <c r="F4" s="8"/>
      <c r="G4" s="8"/>
      <c r="H4" s="8"/>
      <c r="I4" s="8"/>
      <c r="J4" s="8"/>
      <c r="K4" s="8"/>
      <c r="L4" s="8"/>
      <c r="M4" s="8"/>
      <c r="N4" s="8"/>
      <c r="O4" s="8"/>
      <c r="P4" s="8"/>
      <c r="Q4" s="8"/>
      <c r="R4" s="8"/>
      <c r="S4" s="8"/>
      <c r="T4" s="8"/>
      <c r="U4" s="8"/>
      <c r="V4" s="8"/>
      <c r="W4" s="8"/>
      <c r="X4" s="5"/>
    </row>
    <row r="5" spans="1:24" ht="15.75" x14ac:dyDescent="0.25">
      <c r="A5" s="6"/>
      <c r="B5" s="11" t="s">
        <v>137</v>
      </c>
      <c r="C5" s="8"/>
      <c r="D5" s="8"/>
      <c r="E5" s="8"/>
      <c r="F5" s="8"/>
      <c r="G5" s="8"/>
      <c r="H5" s="8"/>
      <c r="I5" s="8"/>
      <c r="J5" s="8"/>
      <c r="K5" s="8"/>
      <c r="L5" s="8"/>
      <c r="M5" s="8"/>
      <c r="N5" s="8"/>
      <c r="O5" s="8"/>
      <c r="P5" s="8"/>
      <c r="Q5" s="8"/>
      <c r="R5" s="8"/>
      <c r="S5" s="8"/>
      <c r="T5" s="8"/>
      <c r="U5" s="8"/>
      <c r="V5" s="8"/>
      <c r="W5" s="8"/>
      <c r="X5" s="5"/>
    </row>
    <row r="6" spans="1:24" ht="15.75" x14ac:dyDescent="0.25">
      <c r="A6" s="6"/>
      <c r="B6" s="11" t="s">
        <v>139</v>
      </c>
      <c r="C6" s="8"/>
      <c r="D6" s="8"/>
      <c r="E6" s="8"/>
      <c r="F6" s="8"/>
      <c r="G6" s="8"/>
      <c r="H6" s="8"/>
      <c r="I6" s="8"/>
      <c r="J6" s="8"/>
      <c r="K6" s="8"/>
      <c r="L6" s="8"/>
      <c r="M6" s="8"/>
      <c r="N6" s="8"/>
      <c r="O6" s="8"/>
      <c r="P6" s="8"/>
      <c r="Q6" s="8"/>
      <c r="R6" s="8"/>
      <c r="S6" s="8"/>
      <c r="T6" s="8"/>
      <c r="U6" s="8"/>
      <c r="V6" s="8"/>
      <c r="W6" s="8"/>
      <c r="X6" s="5"/>
    </row>
    <row r="7" spans="1:24" ht="15.75" x14ac:dyDescent="0.25">
      <c r="A7" s="6"/>
      <c r="B7" s="11" t="s">
        <v>138</v>
      </c>
      <c r="C7" s="8"/>
      <c r="D7" s="8"/>
      <c r="E7" s="8"/>
      <c r="F7" s="8"/>
      <c r="G7" s="8"/>
      <c r="H7" s="8"/>
      <c r="I7" s="8"/>
      <c r="J7" s="8"/>
      <c r="K7" s="8"/>
      <c r="L7" s="8"/>
      <c r="M7" s="8"/>
      <c r="N7" s="8"/>
      <c r="O7" s="8"/>
      <c r="P7" s="8"/>
      <c r="Q7" s="8"/>
      <c r="R7" s="8"/>
      <c r="S7" s="8"/>
      <c r="T7" s="8"/>
      <c r="U7" s="8"/>
      <c r="V7" s="8"/>
      <c r="W7" s="8"/>
      <c r="X7" s="5"/>
    </row>
    <row r="8" spans="1:24" ht="15.75" x14ac:dyDescent="0.25">
      <c r="A8" s="6"/>
      <c r="B8" s="11"/>
      <c r="C8" s="8"/>
      <c r="D8" s="8"/>
      <c r="E8" s="8"/>
      <c r="F8" s="8"/>
      <c r="G8" s="8"/>
      <c r="H8" s="8"/>
      <c r="I8" s="8"/>
      <c r="J8" s="8"/>
      <c r="K8" s="8"/>
      <c r="L8" s="8"/>
      <c r="M8" s="8"/>
      <c r="N8" s="8"/>
      <c r="O8" s="8"/>
      <c r="P8" s="8"/>
      <c r="Q8" s="8"/>
      <c r="R8" s="8"/>
      <c r="S8" s="8"/>
      <c r="T8" s="8"/>
      <c r="U8" s="8"/>
      <c r="V8" s="8"/>
      <c r="W8" s="8"/>
      <c r="X8" s="5"/>
    </row>
    <row r="9" spans="1:24" ht="18.75" x14ac:dyDescent="0.3">
      <c r="A9" s="6"/>
      <c r="B9" s="144" t="s">
        <v>166</v>
      </c>
      <c r="C9" s="8"/>
      <c r="D9" s="8"/>
      <c r="E9" s="8"/>
      <c r="F9" s="8"/>
      <c r="G9" s="8"/>
      <c r="H9" s="8"/>
      <c r="I9" s="145" t="s">
        <v>167</v>
      </c>
      <c r="J9" s="8"/>
      <c r="K9" s="8"/>
      <c r="L9" s="145"/>
      <c r="M9" s="8"/>
      <c r="N9" s="145"/>
      <c r="O9" s="8"/>
      <c r="P9" s="8"/>
      <c r="Q9" s="8"/>
      <c r="R9" s="8"/>
      <c r="S9" s="8"/>
      <c r="T9" s="8"/>
      <c r="U9" s="8"/>
      <c r="V9" s="8"/>
      <c r="W9" s="8"/>
      <c r="X9" s="5"/>
    </row>
    <row r="10" spans="1:24" ht="15.75" x14ac:dyDescent="0.25">
      <c r="A10" s="6"/>
      <c r="B10" s="11"/>
      <c r="C10" s="13"/>
      <c r="D10" s="13"/>
      <c r="E10" s="13"/>
      <c r="F10" s="8"/>
      <c r="G10" s="8"/>
      <c r="H10" s="8"/>
      <c r="I10" s="8"/>
      <c r="J10" s="8"/>
      <c r="K10" s="8"/>
      <c r="L10" s="8"/>
      <c r="M10" s="8"/>
      <c r="N10" s="8"/>
      <c r="O10" s="8"/>
      <c r="P10" s="8"/>
      <c r="Q10" s="8"/>
      <c r="R10" s="8"/>
      <c r="S10" s="8"/>
      <c r="T10" s="8"/>
      <c r="U10" s="8"/>
      <c r="V10" s="8"/>
      <c r="W10" s="8"/>
      <c r="X10" s="5"/>
    </row>
    <row r="11" spans="1:24" ht="15.75" x14ac:dyDescent="0.25">
      <c r="A11" s="6"/>
      <c r="B11" s="14" t="s">
        <v>0</v>
      </c>
      <c r="C11" s="8"/>
      <c r="D11" s="8"/>
      <c r="E11" s="8"/>
      <c r="F11" s="8"/>
      <c r="G11" s="8"/>
      <c r="H11" s="8"/>
      <c r="I11" s="8"/>
      <c r="J11" s="8"/>
      <c r="K11" s="8"/>
      <c r="L11" s="8"/>
      <c r="M11" s="8"/>
      <c r="N11" s="8"/>
      <c r="O11" s="8"/>
      <c r="P11" s="8"/>
      <c r="Q11" s="8"/>
      <c r="R11" s="8"/>
      <c r="S11" s="8"/>
      <c r="T11" s="8"/>
      <c r="U11" s="8"/>
      <c r="V11" s="8"/>
      <c r="W11" s="8"/>
      <c r="X11" s="5"/>
    </row>
    <row r="12" spans="1:24" ht="16.5" thickBot="1" x14ac:dyDescent="0.3">
      <c r="A12" s="6"/>
      <c r="B12" s="13"/>
      <c r="C12" s="8"/>
      <c r="D12" s="8"/>
      <c r="E12" s="8"/>
      <c r="F12" s="8"/>
      <c r="G12" s="8"/>
      <c r="H12" s="8"/>
      <c r="I12" s="8"/>
      <c r="J12" s="8"/>
      <c r="K12" s="8"/>
      <c r="L12" s="8"/>
      <c r="M12" s="8"/>
      <c r="N12" s="8"/>
      <c r="O12" s="8"/>
      <c r="P12" s="8"/>
      <c r="Q12" s="8"/>
      <c r="R12" s="8"/>
      <c r="S12" s="8"/>
      <c r="T12" s="8"/>
      <c r="U12" s="8"/>
      <c r="V12" s="8"/>
      <c r="W12" s="8"/>
      <c r="X12" s="5"/>
    </row>
    <row r="13" spans="1:24" ht="15.75" x14ac:dyDescent="0.25">
      <c r="A13" s="2"/>
      <c r="B13" s="4"/>
      <c r="C13" s="4"/>
      <c r="D13" s="4"/>
      <c r="E13" s="4"/>
      <c r="F13" s="4"/>
      <c r="G13" s="4"/>
      <c r="H13" s="4"/>
      <c r="I13" s="4"/>
      <c r="J13" s="4"/>
      <c r="K13" s="4"/>
      <c r="L13" s="4"/>
      <c r="M13" s="4"/>
      <c r="N13" s="4"/>
      <c r="O13" s="4"/>
      <c r="P13" s="4"/>
      <c r="Q13" s="4"/>
      <c r="R13" s="4"/>
      <c r="S13" s="4"/>
      <c r="T13" s="4"/>
      <c r="U13" s="4"/>
      <c r="V13" s="4"/>
      <c r="W13" s="4"/>
      <c r="X13" s="5"/>
    </row>
    <row r="14" spans="1:24" ht="15.75" x14ac:dyDescent="0.25">
      <c r="A14" s="6"/>
      <c r="B14" s="14" t="s">
        <v>1</v>
      </c>
      <c r="C14" s="15"/>
      <c r="D14" s="15"/>
      <c r="E14" s="15"/>
      <c r="F14" s="15"/>
      <c r="G14" s="15"/>
      <c r="H14" s="15"/>
      <c r="I14" s="15"/>
      <c r="J14" s="15"/>
      <c r="K14" s="15"/>
      <c r="L14" s="15"/>
      <c r="M14" s="15"/>
      <c r="N14" s="15"/>
      <c r="O14" s="15"/>
      <c r="P14" s="15"/>
      <c r="Q14" s="15"/>
      <c r="R14" s="15"/>
      <c r="S14" s="15"/>
      <c r="T14" s="15"/>
      <c r="U14" s="15"/>
      <c r="V14" s="16" t="s">
        <v>239</v>
      </c>
      <c r="W14" s="15"/>
      <c r="X14" s="5"/>
    </row>
    <row r="15" spans="1:24" ht="15.75" x14ac:dyDescent="0.25">
      <c r="A15" s="6"/>
      <c r="B15" s="14" t="s">
        <v>2</v>
      </c>
      <c r="C15" s="15"/>
      <c r="D15" s="15"/>
      <c r="E15" s="15"/>
      <c r="F15" s="15"/>
      <c r="G15" s="15"/>
      <c r="H15" s="18"/>
      <c r="I15" s="18"/>
      <c r="J15" s="18"/>
      <c r="K15" s="18"/>
      <c r="L15" s="18"/>
      <c r="M15" s="18"/>
      <c r="N15" s="18"/>
      <c r="O15" s="18"/>
      <c r="P15" s="18"/>
      <c r="Q15" s="18"/>
      <c r="R15" s="18" t="s">
        <v>104</v>
      </c>
      <c r="S15" s="134">
        <v>0.47189999999999999</v>
      </c>
      <c r="T15" s="17" t="s">
        <v>140</v>
      </c>
      <c r="U15" s="134">
        <v>0.52810000000000001</v>
      </c>
      <c r="V15" s="16"/>
      <c r="W15" s="15"/>
      <c r="X15" s="5"/>
    </row>
    <row r="16" spans="1:24" ht="15.75" x14ac:dyDescent="0.25">
      <c r="A16" s="6"/>
      <c r="B16" s="14" t="s">
        <v>3</v>
      </c>
      <c r="C16" s="15"/>
      <c r="D16" s="15"/>
      <c r="E16" s="15"/>
      <c r="F16" s="15"/>
      <c r="G16" s="15"/>
      <c r="H16" s="18"/>
      <c r="I16" s="18"/>
      <c r="J16" s="18"/>
      <c r="K16" s="18"/>
      <c r="L16" s="18"/>
      <c r="M16" s="18"/>
      <c r="N16" s="18"/>
      <c r="O16" s="18"/>
      <c r="P16" s="18"/>
      <c r="Q16" s="18"/>
      <c r="R16" s="18" t="s">
        <v>104</v>
      </c>
      <c r="S16" s="134">
        <v>0.48230000000000001</v>
      </c>
      <c r="T16" s="17" t="s">
        <v>140</v>
      </c>
      <c r="U16" s="134">
        <v>0.51770000000000005</v>
      </c>
      <c r="V16" s="16"/>
      <c r="W16" s="15"/>
      <c r="X16" s="5"/>
    </row>
    <row r="17" spans="1:24" ht="15.75" x14ac:dyDescent="0.25">
      <c r="A17" s="6"/>
      <c r="B17" s="14" t="s">
        <v>4</v>
      </c>
      <c r="C17" s="15"/>
      <c r="D17" s="15"/>
      <c r="E17" s="15"/>
      <c r="F17" s="15"/>
      <c r="G17" s="15"/>
      <c r="H17" s="15"/>
      <c r="I17" s="15"/>
      <c r="J17" s="15"/>
      <c r="K17" s="15"/>
      <c r="L17" s="15"/>
      <c r="M17" s="15"/>
      <c r="N17" s="15"/>
      <c r="O17" s="15"/>
      <c r="P17" s="15"/>
      <c r="Q17" s="15"/>
      <c r="R17" s="15"/>
      <c r="S17" s="15"/>
      <c r="T17" s="15"/>
      <c r="U17" s="15"/>
      <c r="V17" s="19">
        <v>39282</v>
      </c>
      <c r="W17" s="15"/>
      <c r="X17" s="5"/>
    </row>
    <row r="18" spans="1:24" ht="15.75" x14ac:dyDescent="0.25">
      <c r="A18" s="6"/>
      <c r="B18" s="14" t="s">
        <v>5</v>
      </c>
      <c r="C18" s="15"/>
      <c r="D18" s="15"/>
      <c r="E18" s="15"/>
      <c r="F18" s="15"/>
      <c r="G18" s="15"/>
      <c r="H18" s="15"/>
      <c r="I18" s="15"/>
      <c r="J18" s="15"/>
      <c r="K18" s="15"/>
      <c r="L18" s="15"/>
      <c r="M18" s="15"/>
      <c r="N18" s="15"/>
      <c r="O18" s="15"/>
      <c r="P18" s="15"/>
      <c r="Q18" s="15"/>
      <c r="R18" s="15"/>
      <c r="S18" s="15"/>
      <c r="T18" s="15"/>
      <c r="U18" s="15"/>
      <c r="V18" s="19">
        <v>39532</v>
      </c>
      <c r="W18" s="15"/>
      <c r="X18" s="5"/>
    </row>
    <row r="19" spans="1:24" ht="15.75" x14ac:dyDescent="0.25">
      <c r="A19" s="6"/>
      <c r="B19" s="8"/>
      <c r="C19" s="8"/>
      <c r="D19" s="8"/>
      <c r="E19" s="8"/>
      <c r="F19" s="8"/>
      <c r="G19" s="8"/>
      <c r="H19" s="8"/>
      <c r="I19" s="8"/>
      <c r="J19" s="8"/>
      <c r="K19" s="8"/>
      <c r="L19" s="8"/>
      <c r="M19" s="8"/>
      <c r="N19" s="8"/>
      <c r="O19" s="8"/>
      <c r="P19" s="8"/>
      <c r="Q19" s="8"/>
      <c r="R19" s="8"/>
      <c r="S19" s="8"/>
      <c r="T19" s="8"/>
      <c r="U19" s="8"/>
      <c r="V19" s="20"/>
      <c r="W19" s="8"/>
      <c r="X19" s="5"/>
    </row>
    <row r="20" spans="1:24" ht="15.75" x14ac:dyDescent="0.25">
      <c r="A20" s="6"/>
      <c r="B20" s="21" t="s">
        <v>6</v>
      </c>
      <c r="C20" s="8"/>
      <c r="D20" s="8"/>
      <c r="E20" s="8"/>
      <c r="F20" s="8"/>
      <c r="G20" s="8"/>
      <c r="H20" s="8"/>
      <c r="I20" s="8"/>
      <c r="J20" s="8"/>
      <c r="K20" s="8"/>
      <c r="L20" s="8"/>
      <c r="M20" s="8"/>
      <c r="N20" s="8"/>
      <c r="O20" s="8"/>
      <c r="P20" s="8"/>
      <c r="Q20" s="8"/>
      <c r="R20" s="8"/>
      <c r="S20" s="8"/>
      <c r="T20" s="20" t="s">
        <v>105</v>
      </c>
      <c r="U20" s="8"/>
      <c r="V20" s="173"/>
      <c r="W20" s="8"/>
      <c r="X20" s="5"/>
    </row>
    <row r="21" spans="1:24" ht="15.75" x14ac:dyDescent="0.25">
      <c r="A21" s="6"/>
      <c r="B21" s="8"/>
      <c r="C21" s="8"/>
      <c r="D21" s="8"/>
      <c r="E21" s="8"/>
      <c r="F21" s="8"/>
      <c r="G21" s="8"/>
      <c r="H21" s="8"/>
      <c r="I21" s="8"/>
      <c r="J21" s="8"/>
      <c r="K21" s="8"/>
      <c r="L21" s="8"/>
      <c r="M21" s="8"/>
      <c r="N21" s="8"/>
      <c r="O21" s="8"/>
      <c r="P21" s="8"/>
      <c r="Q21" s="8"/>
      <c r="R21" s="8"/>
      <c r="S21" s="8"/>
      <c r="T21" s="8"/>
      <c r="U21" s="8"/>
      <c r="V21" s="22"/>
      <c r="W21" s="8"/>
      <c r="X21" s="5"/>
    </row>
    <row r="22" spans="1:24" ht="15.75" x14ac:dyDescent="0.25">
      <c r="A22" s="6"/>
      <c r="B22" s="8"/>
      <c r="C22" s="112"/>
      <c r="D22" s="112" t="s">
        <v>177</v>
      </c>
      <c r="E22" s="112"/>
      <c r="F22" s="112" t="s">
        <v>178</v>
      </c>
      <c r="G22" s="112"/>
      <c r="H22" s="112" t="s">
        <v>179</v>
      </c>
      <c r="I22" s="112"/>
      <c r="J22" s="112" t="s">
        <v>219</v>
      </c>
      <c r="K22" s="112"/>
      <c r="L22" s="112" t="s">
        <v>180</v>
      </c>
      <c r="M22" s="112"/>
      <c r="N22" s="112" t="s">
        <v>181</v>
      </c>
      <c r="O22" s="112"/>
      <c r="P22" s="112" t="s">
        <v>182</v>
      </c>
      <c r="Q22" s="112"/>
      <c r="R22" s="112"/>
      <c r="S22" s="113"/>
      <c r="T22" s="23"/>
      <c r="U22" s="173"/>
      <c r="V22" s="173"/>
      <c r="W22" s="8"/>
      <c r="X22" s="5"/>
    </row>
    <row r="23" spans="1:24" ht="15.75" x14ac:dyDescent="0.25">
      <c r="A23" s="24"/>
      <c r="B23" s="25" t="s">
        <v>7</v>
      </c>
      <c r="C23" s="26"/>
      <c r="D23" s="26" t="s">
        <v>212</v>
      </c>
      <c r="E23" s="26"/>
      <c r="F23" s="26" t="s">
        <v>141</v>
      </c>
      <c r="G23" s="26"/>
      <c r="H23" s="26" t="s">
        <v>141</v>
      </c>
      <c r="I23" s="26"/>
      <c r="J23" s="26" t="s">
        <v>141</v>
      </c>
      <c r="K23" s="26"/>
      <c r="L23" s="26" t="s">
        <v>183</v>
      </c>
      <c r="M23" s="26"/>
      <c r="N23" s="26" t="s">
        <v>183</v>
      </c>
      <c r="O23" s="26"/>
      <c r="P23" s="26" t="s">
        <v>142</v>
      </c>
      <c r="Q23" s="26"/>
      <c r="R23" s="26"/>
      <c r="S23" s="26"/>
      <c r="T23" s="26"/>
      <c r="U23" s="174"/>
      <c r="V23" s="174"/>
      <c r="W23" s="25"/>
      <c r="X23" s="5"/>
    </row>
    <row r="24" spans="1:24" ht="15.75" x14ac:dyDescent="0.25">
      <c r="A24" s="24"/>
      <c r="B24" s="25" t="s">
        <v>8</v>
      </c>
      <c r="C24" s="26"/>
      <c r="D24" s="26" t="s">
        <v>213</v>
      </c>
      <c r="E24" s="26"/>
      <c r="F24" s="26" t="s">
        <v>143</v>
      </c>
      <c r="G24" s="26"/>
      <c r="H24" s="26" t="s">
        <v>143</v>
      </c>
      <c r="I24" s="26"/>
      <c r="J24" s="26" t="s">
        <v>143</v>
      </c>
      <c r="K24" s="26"/>
      <c r="L24" s="26" t="s">
        <v>165</v>
      </c>
      <c r="M24" s="26"/>
      <c r="N24" s="26" t="s">
        <v>165</v>
      </c>
      <c r="O24" s="26"/>
      <c r="P24" s="26" t="s">
        <v>144</v>
      </c>
      <c r="Q24" s="26"/>
      <c r="R24" s="26"/>
      <c r="S24" s="26"/>
      <c r="T24" s="26"/>
      <c r="U24" s="174"/>
      <c r="V24" s="174"/>
      <c r="W24" s="25"/>
      <c r="X24" s="5"/>
    </row>
    <row r="25" spans="1:24" ht="15.75" x14ac:dyDescent="0.25">
      <c r="A25" s="28"/>
      <c r="B25" s="130" t="s">
        <v>190</v>
      </c>
      <c r="C25" s="123"/>
      <c r="D25" s="26" t="s">
        <v>214</v>
      </c>
      <c r="E25" s="26"/>
      <c r="F25" s="26" t="s">
        <v>143</v>
      </c>
      <c r="G25" s="26"/>
      <c r="H25" s="26" t="s">
        <v>143</v>
      </c>
      <c r="I25" s="26"/>
      <c r="J25" s="26" t="s">
        <v>143</v>
      </c>
      <c r="K25" s="26"/>
      <c r="L25" s="26" t="s">
        <v>165</v>
      </c>
      <c r="M25" s="26"/>
      <c r="N25" s="26" t="s">
        <v>165</v>
      </c>
      <c r="O25" s="26"/>
      <c r="P25" s="26" t="s">
        <v>144</v>
      </c>
      <c r="Q25" s="26"/>
      <c r="R25" s="26"/>
      <c r="S25" s="123"/>
      <c r="T25" s="26"/>
      <c r="U25" s="174"/>
      <c r="V25" s="174"/>
      <c r="W25" s="25"/>
      <c r="X25" s="5"/>
    </row>
    <row r="26" spans="1:24" ht="15.75" x14ac:dyDescent="0.25">
      <c r="A26" s="28"/>
      <c r="B26" s="29" t="s">
        <v>9</v>
      </c>
      <c r="C26" s="123"/>
      <c r="D26" s="123" t="s">
        <v>212</v>
      </c>
      <c r="E26" s="123"/>
      <c r="F26" s="123" t="s">
        <v>141</v>
      </c>
      <c r="G26" s="123"/>
      <c r="H26" s="123" t="s">
        <v>141</v>
      </c>
      <c r="I26" s="123"/>
      <c r="J26" s="123" t="s">
        <v>141</v>
      </c>
      <c r="K26" s="123"/>
      <c r="L26" s="123" t="s">
        <v>183</v>
      </c>
      <c r="M26" s="123"/>
      <c r="N26" s="123" t="s">
        <v>183</v>
      </c>
      <c r="O26" s="123"/>
      <c r="P26" s="123" t="s">
        <v>142</v>
      </c>
      <c r="Q26" s="123"/>
      <c r="R26" s="123"/>
      <c r="S26" s="123"/>
      <c r="T26" s="26"/>
      <c r="U26" s="174"/>
      <c r="V26" s="174"/>
      <c r="W26" s="25"/>
      <c r="X26" s="5"/>
    </row>
    <row r="27" spans="1:24" ht="15.75" x14ac:dyDescent="0.25">
      <c r="A27" s="24"/>
      <c r="B27" s="29" t="s">
        <v>191</v>
      </c>
      <c r="C27" s="26"/>
      <c r="D27" s="123" t="s">
        <v>213</v>
      </c>
      <c r="E27" s="123"/>
      <c r="F27" s="123" t="s">
        <v>143</v>
      </c>
      <c r="G27" s="123"/>
      <c r="H27" s="123" t="s">
        <v>143</v>
      </c>
      <c r="I27" s="123"/>
      <c r="J27" s="123" t="s">
        <v>143</v>
      </c>
      <c r="K27" s="123"/>
      <c r="L27" s="123" t="s">
        <v>165</v>
      </c>
      <c r="M27" s="123"/>
      <c r="N27" s="123" t="s">
        <v>165</v>
      </c>
      <c r="O27" s="123"/>
      <c r="P27" s="123" t="s">
        <v>144</v>
      </c>
      <c r="Q27" s="123"/>
      <c r="R27" s="123"/>
      <c r="S27" s="26"/>
      <c r="T27" s="30"/>
      <c r="U27" s="174"/>
      <c r="V27" s="174"/>
      <c r="W27" s="25"/>
      <c r="X27" s="5"/>
    </row>
    <row r="28" spans="1:24" ht="15.75" x14ac:dyDescent="0.25">
      <c r="A28" s="24"/>
      <c r="B28" s="149" t="s">
        <v>192</v>
      </c>
      <c r="C28" s="26"/>
      <c r="D28" s="123" t="s">
        <v>214</v>
      </c>
      <c r="E28" s="123"/>
      <c r="F28" s="123" t="s">
        <v>143</v>
      </c>
      <c r="G28" s="123"/>
      <c r="H28" s="123" t="s">
        <v>143</v>
      </c>
      <c r="I28" s="123"/>
      <c r="J28" s="123" t="s">
        <v>143</v>
      </c>
      <c r="K28" s="123"/>
      <c r="L28" s="123" t="s">
        <v>165</v>
      </c>
      <c r="M28" s="123"/>
      <c r="N28" s="123" t="s">
        <v>165</v>
      </c>
      <c r="O28" s="123"/>
      <c r="P28" s="123" t="s">
        <v>144</v>
      </c>
      <c r="Q28" s="123"/>
      <c r="R28" s="123"/>
      <c r="S28" s="26"/>
      <c r="T28" s="30"/>
      <c r="U28" s="174"/>
      <c r="V28" s="174"/>
      <c r="W28" s="25"/>
      <c r="X28" s="5"/>
    </row>
    <row r="29" spans="1:24" ht="15.75" x14ac:dyDescent="0.25">
      <c r="A29" s="24"/>
      <c r="B29" s="25" t="s">
        <v>10</v>
      </c>
      <c r="C29" s="32"/>
      <c r="D29" s="26" t="s">
        <v>242</v>
      </c>
      <c r="E29" s="26"/>
      <c r="F29" s="30" t="s">
        <v>244</v>
      </c>
      <c r="G29" s="26"/>
      <c r="H29" s="26" t="s">
        <v>245</v>
      </c>
      <c r="I29" s="26"/>
      <c r="J29" s="26" t="s">
        <v>247</v>
      </c>
      <c r="K29" s="26"/>
      <c r="L29" s="26" t="s">
        <v>248</v>
      </c>
      <c r="M29" s="26"/>
      <c r="N29" s="26" t="s">
        <v>249</v>
      </c>
      <c r="O29" s="26"/>
      <c r="P29" s="26" t="s">
        <v>250</v>
      </c>
      <c r="Q29" s="26"/>
      <c r="R29" s="26"/>
      <c r="S29" s="31"/>
      <c r="T29" s="31"/>
      <c r="U29" s="175"/>
      <c r="V29" s="31"/>
      <c r="W29" s="34"/>
      <c r="X29" s="5"/>
    </row>
    <row r="30" spans="1:24" ht="15.75" x14ac:dyDescent="0.25">
      <c r="A30" s="24"/>
      <c r="B30" s="25" t="s">
        <v>10</v>
      </c>
      <c r="C30" s="32"/>
      <c r="D30" s="26" t="s">
        <v>243</v>
      </c>
      <c r="E30" s="26"/>
      <c r="F30" s="30" t="s">
        <v>118</v>
      </c>
      <c r="G30" s="26"/>
      <c r="H30" s="26" t="s">
        <v>118</v>
      </c>
      <c r="I30" s="26"/>
      <c r="J30" s="26" t="s">
        <v>246</v>
      </c>
      <c r="K30" s="26"/>
      <c r="L30" s="26" t="s">
        <v>118</v>
      </c>
      <c r="M30" s="26"/>
      <c r="N30" s="26" t="s">
        <v>118</v>
      </c>
      <c r="O30" s="26"/>
      <c r="P30" s="26" t="s">
        <v>118</v>
      </c>
      <c r="Q30" s="26"/>
      <c r="R30" s="26"/>
      <c r="S30" s="31"/>
      <c r="T30" s="31"/>
      <c r="U30" s="175"/>
      <c r="V30" s="31"/>
      <c r="W30" s="34"/>
      <c r="X30" s="5"/>
    </row>
    <row r="31" spans="1:24" ht="15.75" x14ac:dyDescent="0.25">
      <c r="A31" s="28"/>
      <c r="B31" s="25" t="s">
        <v>133</v>
      </c>
      <c r="C31" s="36"/>
      <c r="D31" s="143">
        <v>1000000</v>
      </c>
      <c r="E31" s="32"/>
      <c r="F31" s="31">
        <v>209500</v>
      </c>
      <c r="G31" s="31"/>
      <c r="H31" s="124">
        <v>110000</v>
      </c>
      <c r="I31" s="124"/>
      <c r="J31" s="143">
        <v>150000</v>
      </c>
      <c r="K31" s="31"/>
      <c r="L31" s="31">
        <v>17000</v>
      </c>
      <c r="M31" s="31"/>
      <c r="N31" s="124">
        <v>85500</v>
      </c>
      <c r="O31" s="31"/>
      <c r="P31" s="124">
        <v>110500</v>
      </c>
      <c r="Q31" s="31"/>
      <c r="R31" s="124"/>
      <c r="S31" s="35"/>
      <c r="T31" s="35"/>
      <c r="U31" s="37"/>
      <c r="V31" s="35"/>
      <c r="W31" s="34"/>
      <c r="X31" s="5"/>
    </row>
    <row r="32" spans="1:24" ht="15.75" x14ac:dyDescent="0.25">
      <c r="A32" s="24"/>
      <c r="B32" s="25" t="s">
        <v>132</v>
      </c>
      <c r="C32" s="32"/>
      <c r="D32" s="143">
        <f>D31*D38</f>
        <v>986394.6</v>
      </c>
      <c r="E32" s="32"/>
      <c r="F32" s="31">
        <f>F31*F38</f>
        <v>206649.66870000001</v>
      </c>
      <c r="G32" s="31"/>
      <c r="H32" s="124">
        <f>H31*H38</f>
        <v>108503.45</v>
      </c>
      <c r="I32" s="124"/>
      <c r="J32" s="143">
        <f>J31*J38</f>
        <v>147959.19</v>
      </c>
      <c r="K32" s="31"/>
      <c r="L32" s="31">
        <f>L31*L38</f>
        <v>17000</v>
      </c>
      <c r="M32" s="31"/>
      <c r="N32" s="124">
        <f>N31*N38</f>
        <v>85500</v>
      </c>
      <c r="O32" s="31"/>
      <c r="P32" s="124">
        <f>P31*P38</f>
        <v>110500</v>
      </c>
      <c r="Q32" s="31"/>
      <c r="R32" s="124"/>
      <c r="S32" s="31"/>
      <c r="T32" s="31"/>
      <c r="U32" s="175"/>
      <c r="V32" s="31"/>
      <c r="W32" s="34"/>
      <c r="X32" s="5"/>
    </row>
    <row r="33" spans="1:27" ht="15.75" x14ac:dyDescent="0.25">
      <c r="A33" s="24"/>
      <c r="B33" s="29" t="s">
        <v>134</v>
      </c>
      <c r="C33" s="32"/>
      <c r="D33" s="170">
        <f>D37*D31</f>
        <v>980753.4</v>
      </c>
      <c r="E33" s="36"/>
      <c r="F33" s="35">
        <f>F37*F31</f>
        <v>205467.83730000001</v>
      </c>
      <c r="G33" s="35"/>
      <c r="H33" s="125">
        <f>H31*H37</f>
        <v>107882.94</v>
      </c>
      <c r="I33" s="125"/>
      <c r="J33" s="170">
        <f>J37*J31</f>
        <v>147113.01</v>
      </c>
      <c r="K33" s="35"/>
      <c r="L33" s="35">
        <f>L31*L37</f>
        <v>17000</v>
      </c>
      <c r="M33" s="35"/>
      <c r="N33" s="125">
        <f>N31*N37</f>
        <v>85500</v>
      </c>
      <c r="O33" s="35"/>
      <c r="P33" s="125">
        <f>P31*P37</f>
        <v>110500</v>
      </c>
      <c r="Q33" s="35"/>
      <c r="R33" s="125"/>
      <c r="S33" s="31"/>
      <c r="T33" s="31"/>
      <c r="U33" s="175"/>
      <c r="V33" s="31"/>
      <c r="W33" s="34"/>
      <c r="X33" s="5"/>
    </row>
    <row r="34" spans="1:27" ht="15.75" x14ac:dyDescent="0.25">
      <c r="A34" s="28"/>
      <c r="B34" s="25" t="s">
        <v>286</v>
      </c>
      <c r="C34" s="36"/>
      <c r="D34" s="31">
        <v>492951</v>
      </c>
      <c r="E34" s="32"/>
      <c r="F34" s="31">
        <v>209500</v>
      </c>
      <c r="G34" s="31"/>
      <c r="H34" s="31">
        <v>74677</v>
      </c>
      <c r="I34" s="31"/>
      <c r="J34" s="31">
        <v>73943</v>
      </c>
      <c r="K34" s="31"/>
      <c r="L34" s="31">
        <v>17000</v>
      </c>
      <c r="M34" s="31"/>
      <c r="N34" s="31">
        <v>58045</v>
      </c>
      <c r="O34" s="31"/>
      <c r="P34" s="31">
        <v>75017</v>
      </c>
      <c r="Q34" s="31"/>
      <c r="R34" s="31"/>
      <c r="S34" s="35"/>
      <c r="T34" s="35"/>
      <c r="U34" s="37"/>
      <c r="V34" s="150">
        <f>SUM(C34:R34)</f>
        <v>1001133</v>
      </c>
      <c r="W34" s="34"/>
      <c r="X34" s="5"/>
    </row>
    <row r="35" spans="1:27" ht="15.75" x14ac:dyDescent="0.25">
      <c r="A35" s="28"/>
      <c r="B35" s="25" t="s">
        <v>287</v>
      </c>
      <c r="C35" s="126"/>
      <c r="D35" s="31">
        <f>D34*D38</f>
        <v>486244.20446460001</v>
      </c>
      <c r="E35" s="32"/>
      <c r="F35" s="31">
        <f>F34*F38</f>
        <v>206649.66870000001</v>
      </c>
      <c r="G35" s="31"/>
      <c r="H35" s="31">
        <f>H34*H38</f>
        <v>73661.019415000002</v>
      </c>
      <c r="I35" s="31"/>
      <c r="J35" s="31">
        <f>J34*J38</f>
        <v>72936.975907800006</v>
      </c>
      <c r="K35" s="31"/>
      <c r="L35" s="31">
        <f>L34*L38</f>
        <v>17000</v>
      </c>
      <c r="M35" s="31"/>
      <c r="N35" s="31">
        <f>N34*N38</f>
        <v>58045</v>
      </c>
      <c r="O35" s="31"/>
      <c r="P35" s="31">
        <f>P34*P38</f>
        <v>75017</v>
      </c>
      <c r="Q35" s="31"/>
      <c r="R35" s="31"/>
      <c r="S35" s="31"/>
      <c r="T35" s="31"/>
      <c r="U35" s="175"/>
      <c r="V35" s="150">
        <f>SUM(C35:R35)</f>
        <v>989553.8684874</v>
      </c>
      <c r="W35" s="34"/>
      <c r="X35" s="5"/>
    </row>
    <row r="36" spans="1:27" ht="15.75" x14ac:dyDescent="0.25">
      <c r="A36" s="28"/>
      <c r="B36" s="29" t="s">
        <v>288</v>
      </c>
      <c r="C36" s="126"/>
      <c r="D36" s="35">
        <f>D34*D37</f>
        <v>483463.36928340001</v>
      </c>
      <c r="E36" s="36"/>
      <c r="F36" s="35">
        <f>F34*F37</f>
        <v>205467.83730000001</v>
      </c>
      <c r="G36" s="35"/>
      <c r="H36" s="35">
        <f>H34*H37</f>
        <v>73239.766457999998</v>
      </c>
      <c r="I36" s="35"/>
      <c r="J36" s="35">
        <f>J34*J37</f>
        <v>72519.848656200003</v>
      </c>
      <c r="K36" s="35"/>
      <c r="L36" s="35">
        <f>L34*L37</f>
        <v>17000</v>
      </c>
      <c r="M36" s="35"/>
      <c r="N36" s="35">
        <f>N34*N37</f>
        <v>58045</v>
      </c>
      <c r="O36" s="35"/>
      <c r="P36" s="35">
        <f>P34*P37</f>
        <v>75017</v>
      </c>
      <c r="Q36" s="35"/>
      <c r="R36" s="35"/>
      <c r="S36" s="128"/>
      <c r="T36" s="128"/>
      <c r="U36" s="175"/>
      <c r="V36" s="151">
        <f>SUM(C36:R36)</f>
        <v>984752.82169760007</v>
      </c>
      <c r="W36" s="34"/>
      <c r="X36" s="5"/>
    </row>
    <row r="37" spans="1:27" ht="15.75" x14ac:dyDescent="0.25">
      <c r="A37" s="24"/>
      <c r="B37" s="122" t="s">
        <v>130</v>
      </c>
      <c r="C37" s="25"/>
      <c r="D37" s="168">
        <v>0.9807534</v>
      </c>
      <c r="E37" s="168"/>
      <c r="F37" s="168">
        <v>0.9807534</v>
      </c>
      <c r="G37" s="168"/>
      <c r="H37" s="168">
        <v>0.98075400000000001</v>
      </c>
      <c r="I37" s="168"/>
      <c r="J37" s="168">
        <v>0.9807534</v>
      </c>
      <c r="K37" s="168"/>
      <c r="L37" s="168">
        <v>1</v>
      </c>
      <c r="M37" s="168"/>
      <c r="N37" s="168">
        <v>1</v>
      </c>
      <c r="O37" s="168"/>
      <c r="P37" s="168">
        <v>1</v>
      </c>
      <c r="Q37" s="168"/>
      <c r="R37" s="168"/>
      <c r="S37" s="30"/>
      <c r="T37" s="30"/>
      <c r="U37" s="174"/>
      <c r="V37" s="174"/>
      <c r="W37" s="25"/>
      <c r="X37" s="5"/>
    </row>
    <row r="38" spans="1:27" ht="15.75" x14ac:dyDescent="0.25">
      <c r="A38" s="24"/>
      <c r="B38" s="122" t="s">
        <v>131</v>
      </c>
      <c r="C38" s="25"/>
      <c r="D38" s="168">
        <v>0.98639460000000001</v>
      </c>
      <c r="E38" s="168"/>
      <c r="F38" s="168">
        <v>0.98639460000000001</v>
      </c>
      <c r="G38" s="168"/>
      <c r="H38" s="168">
        <v>0.98639500000000002</v>
      </c>
      <c r="I38" s="168"/>
      <c r="J38" s="168">
        <v>0.98639460000000001</v>
      </c>
      <c r="K38" s="168"/>
      <c r="L38" s="168">
        <v>1</v>
      </c>
      <c r="M38" s="168"/>
      <c r="N38" s="168">
        <v>1</v>
      </c>
      <c r="O38" s="168"/>
      <c r="P38" s="168">
        <v>1</v>
      </c>
      <c r="Q38" s="168"/>
      <c r="R38" s="168"/>
      <c r="S38" s="39"/>
      <c r="T38" s="38"/>
      <c r="U38" s="174"/>
      <c r="V38" s="39"/>
      <c r="W38" s="25"/>
      <c r="X38" s="5"/>
    </row>
    <row r="39" spans="1:27" ht="15.75" x14ac:dyDescent="0.25">
      <c r="A39" s="24"/>
      <c r="B39" s="25" t="s">
        <v>11</v>
      </c>
      <c r="C39" s="25"/>
      <c r="D39" s="30" t="s">
        <v>224</v>
      </c>
      <c r="E39" s="25"/>
      <c r="F39" s="30" t="s">
        <v>251</v>
      </c>
      <c r="G39" s="30"/>
      <c r="H39" s="30" t="s">
        <v>252</v>
      </c>
      <c r="I39" s="30"/>
      <c r="J39" s="30" t="s">
        <v>253</v>
      </c>
      <c r="K39" s="30"/>
      <c r="L39" s="30" t="s">
        <v>254</v>
      </c>
      <c r="M39" s="30"/>
      <c r="N39" s="30" t="s">
        <v>254</v>
      </c>
      <c r="O39" s="30"/>
      <c r="P39" s="30" t="s">
        <v>255</v>
      </c>
      <c r="Q39" s="30"/>
      <c r="R39" s="30"/>
      <c r="S39" s="39"/>
      <c r="T39" s="38"/>
      <c r="U39" s="174"/>
      <c r="V39" s="174"/>
      <c r="W39" s="25"/>
      <c r="X39" s="5"/>
    </row>
    <row r="40" spans="1:27" ht="15.75" x14ac:dyDescent="0.25">
      <c r="A40" s="24"/>
      <c r="B40" s="25" t="s">
        <v>12</v>
      </c>
      <c r="C40" s="25"/>
      <c r="D40" s="38">
        <v>3.1212500000000001E-2</v>
      </c>
      <c r="E40" s="25"/>
      <c r="F40" s="38">
        <v>6.5612500000000004E-2</v>
      </c>
      <c r="G40" s="39"/>
      <c r="H40" s="38">
        <v>5.0680000000000003E-2</v>
      </c>
      <c r="I40" s="38"/>
      <c r="J40" s="38">
        <v>5.1006299999999997E-2</v>
      </c>
      <c r="K40" s="39"/>
      <c r="L40" s="38">
        <v>6.7012500000000003E-2</v>
      </c>
      <c r="M40" s="39"/>
      <c r="N40" s="38">
        <v>5.2179999999999997E-2</v>
      </c>
      <c r="O40" s="39"/>
      <c r="P40" s="38">
        <v>5.4980000000000001E-2</v>
      </c>
      <c r="Q40" s="39"/>
      <c r="R40" s="38"/>
      <c r="S40" s="39"/>
      <c r="T40" s="38"/>
      <c r="U40" s="174"/>
      <c r="V40" s="30"/>
      <c r="W40" s="25"/>
      <c r="X40" s="5"/>
      <c r="AA40" s="1" t="s">
        <v>193</v>
      </c>
    </row>
    <row r="41" spans="1:27" ht="15.75" x14ac:dyDescent="0.25">
      <c r="A41" s="24"/>
      <c r="B41" s="25" t="s">
        <v>13</v>
      </c>
      <c r="C41" s="25"/>
      <c r="D41" s="38">
        <v>4.6518799999999999E-2</v>
      </c>
      <c r="E41" s="25"/>
      <c r="F41" s="38">
        <v>6.2570399999999998E-2</v>
      </c>
      <c r="G41" s="39"/>
      <c r="H41" s="38">
        <v>4.419E-2</v>
      </c>
      <c r="I41" s="38"/>
      <c r="J41" s="38">
        <v>5.4893299999999999E-2</v>
      </c>
      <c r="K41" s="39"/>
      <c r="L41" s="38">
        <v>6.3970399999999997E-2</v>
      </c>
      <c r="M41" s="39"/>
      <c r="N41" s="38">
        <v>4.5690000000000001E-2</v>
      </c>
      <c r="O41" s="39"/>
      <c r="P41" s="38">
        <v>4.8489999999999998E-2</v>
      </c>
      <c r="Q41" s="38"/>
      <c r="R41" s="38"/>
      <c r="S41" s="39"/>
      <c r="T41" s="38"/>
      <c r="U41" s="174"/>
      <c r="V41" s="39" t="s">
        <v>193</v>
      </c>
      <c r="W41" s="25"/>
      <c r="X41" s="5"/>
    </row>
    <row r="42" spans="1:27" ht="15.75" x14ac:dyDescent="0.25">
      <c r="A42" s="24"/>
      <c r="B42" s="25" t="s">
        <v>289</v>
      </c>
      <c r="C42" s="25"/>
      <c r="D42" s="30" t="s">
        <v>273</v>
      </c>
      <c r="E42" s="25"/>
      <c r="F42" s="30" t="s">
        <v>251</v>
      </c>
      <c r="G42" s="30"/>
      <c r="H42" s="30" t="s">
        <v>229</v>
      </c>
      <c r="I42" s="30"/>
      <c r="J42" s="30" t="s">
        <v>229</v>
      </c>
      <c r="K42" s="30"/>
      <c r="L42" s="30" t="s">
        <v>254</v>
      </c>
      <c r="M42" s="30"/>
      <c r="N42" s="30" t="s">
        <v>262</v>
      </c>
      <c r="O42" s="30"/>
      <c r="P42" s="30" t="s">
        <v>263</v>
      </c>
      <c r="Q42" s="30"/>
      <c r="R42" s="30"/>
      <c r="S42" s="39"/>
      <c r="T42" s="38"/>
      <c r="U42" s="174"/>
      <c r="V42" s="174"/>
      <c r="W42" s="25"/>
      <c r="X42" s="5"/>
    </row>
    <row r="43" spans="1:27" ht="15.75" x14ac:dyDescent="0.25">
      <c r="A43" s="24"/>
      <c r="B43" s="25" t="s">
        <v>290</v>
      </c>
      <c r="C43" s="110"/>
      <c r="D43" s="38">
        <v>6.4499500000000001E-2</v>
      </c>
      <c r="E43" s="38"/>
      <c r="F43" s="38">
        <f>+F40</f>
        <v>6.5612500000000004E-2</v>
      </c>
      <c r="G43" s="38"/>
      <c r="H43" s="38">
        <v>6.5687499999999996E-2</v>
      </c>
      <c r="I43" s="38"/>
      <c r="J43" s="38">
        <v>6.5702499999999997E-2</v>
      </c>
      <c r="K43" s="38"/>
      <c r="L43" s="38">
        <f>+L40</f>
        <v>6.7012500000000003E-2</v>
      </c>
      <c r="M43" s="38"/>
      <c r="N43" s="38">
        <v>6.7379499999999995E-2</v>
      </c>
      <c r="O43" s="38"/>
      <c r="P43" s="38">
        <v>7.0459499999999994E-2</v>
      </c>
      <c r="Q43" s="39"/>
      <c r="R43" s="38"/>
      <c r="S43" s="30"/>
      <c r="T43" s="30"/>
      <c r="U43" s="174"/>
      <c r="V43" s="39">
        <f>SUMPRODUCT(D43:R43,D35:R35)/V35</f>
        <v>6.5572958967897249E-2</v>
      </c>
      <c r="W43" s="25"/>
      <c r="X43" s="5"/>
    </row>
    <row r="44" spans="1:27" ht="15.75" x14ac:dyDescent="0.25">
      <c r="A44" s="24"/>
      <c r="B44" s="25" t="s">
        <v>291</v>
      </c>
      <c r="C44" s="110"/>
      <c r="D44" s="38">
        <v>6.1457400000000002E-2</v>
      </c>
      <c r="E44" s="38"/>
      <c r="F44" s="38">
        <f>+F41</f>
        <v>6.2570399999999998E-2</v>
      </c>
      <c r="G44" s="38"/>
      <c r="H44" s="38">
        <v>6.2645400000000004E-2</v>
      </c>
      <c r="I44" s="38"/>
      <c r="J44" s="38">
        <v>6.2660400000000005E-2</v>
      </c>
      <c r="K44" s="38"/>
      <c r="L44" s="38">
        <f>+L41</f>
        <v>6.3970399999999997E-2</v>
      </c>
      <c r="M44" s="38"/>
      <c r="N44" s="38">
        <v>6.4337400000000003E-2</v>
      </c>
      <c r="O44" s="38"/>
      <c r="P44" s="38">
        <v>6.7417400000000002E-2</v>
      </c>
      <c r="Q44" s="39"/>
      <c r="R44" s="38"/>
      <c r="S44" s="30"/>
      <c r="T44" s="30"/>
      <c r="U44" s="174"/>
      <c r="V44" s="174"/>
      <c r="W44" s="25"/>
      <c r="X44" s="5"/>
    </row>
    <row r="45" spans="1:27" ht="15.75" x14ac:dyDescent="0.25">
      <c r="A45" s="24"/>
      <c r="B45" s="25" t="s">
        <v>14</v>
      </c>
      <c r="C45" s="25"/>
      <c r="D45" s="110">
        <v>40709</v>
      </c>
      <c r="E45" s="110"/>
      <c r="F45" s="110">
        <v>40709</v>
      </c>
      <c r="G45" s="110"/>
      <c r="H45" s="110">
        <v>40709</v>
      </c>
      <c r="I45" s="110"/>
      <c r="J45" s="110">
        <v>40709</v>
      </c>
      <c r="K45" s="110"/>
      <c r="L45" s="110">
        <v>40709</v>
      </c>
      <c r="M45" s="110"/>
      <c r="N45" s="110">
        <v>40709</v>
      </c>
      <c r="O45" s="110"/>
      <c r="P45" s="110">
        <v>40709</v>
      </c>
      <c r="Q45" s="110"/>
      <c r="R45" s="110"/>
      <c r="S45" s="30"/>
      <c r="T45" s="30"/>
      <c r="U45" s="174"/>
      <c r="V45" s="174"/>
      <c r="W45" s="25"/>
      <c r="X45" s="5"/>
    </row>
    <row r="46" spans="1:27" ht="15.75" x14ac:dyDescent="0.25">
      <c r="A46" s="24"/>
      <c r="B46" s="25" t="s">
        <v>15</v>
      </c>
      <c r="C46" s="25"/>
      <c r="D46" s="110" t="s">
        <v>118</v>
      </c>
      <c r="E46" s="110"/>
      <c r="F46" s="110">
        <v>41075</v>
      </c>
      <c r="G46" s="110"/>
      <c r="H46" s="110">
        <v>41075</v>
      </c>
      <c r="I46" s="110"/>
      <c r="J46" s="110">
        <v>41075</v>
      </c>
      <c r="K46" s="30"/>
      <c r="L46" s="110">
        <v>41075</v>
      </c>
      <c r="M46" s="30"/>
      <c r="N46" s="110">
        <v>41075</v>
      </c>
      <c r="O46" s="30"/>
      <c r="P46" s="110">
        <v>41075</v>
      </c>
      <c r="Q46" s="30"/>
      <c r="R46" s="110"/>
      <c r="S46" s="30"/>
      <c r="T46" s="30"/>
      <c r="U46" s="174"/>
      <c r="V46" s="174"/>
      <c r="W46" s="25"/>
      <c r="X46" s="5"/>
    </row>
    <row r="47" spans="1:27" ht="15.75" x14ac:dyDescent="0.25">
      <c r="A47" s="24"/>
      <c r="B47" s="25" t="s">
        <v>119</v>
      </c>
      <c r="C47" s="25"/>
      <c r="D47" s="171" t="s">
        <v>118</v>
      </c>
      <c r="E47" s="25"/>
      <c r="F47" s="30" t="s">
        <v>256</v>
      </c>
      <c r="G47" s="30"/>
      <c r="H47" s="30" t="s">
        <v>257</v>
      </c>
      <c r="I47" s="30"/>
      <c r="J47" s="30" t="s">
        <v>258</v>
      </c>
      <c r="K47" s="30"/>
      <c r="L47" s="30" t="s">
        <v>259</v>
      </c>
      <c r="M47" s="30"/>
      <c r="N47" s="30" t="s">
        <v>259</v>
      </c>
      <c r="O47" s="30"/>
      <c r="P47" s="30" t="s">
        <v>260</v>
      </c>
      <c r="Q47" s="30"/>
      <c r="R47" s="30"/>
      <c r="S47" s="40"/>
      <c r="T47" s="40"/>
      <c r="U47" s="40"/>
      <c r="V47" s="40"/>
      <c r="W47" s="25"/>
      <c r="X47" s="5"/>
    </row>
    <row r="48" spans="1:27" ht="15.75" x14ac:dyDescent="0.25">
      <c r="A48" s="24"/>
      <c r="B48" s="25" t="s">
        <v>292</v>
      </c>
      <c r="C48" s="25"/>
      <c r="D48" s="30" t="s">
        <v>200</v>
      </c>
      <c r="E48" s="25"/>
      <c r="F48" s="30" t="s">
        <v>256</v>
      </c>
      <c r="G48" s="30"/>
      <c r="H48" s="30" t="s">
        <v>261</v>
      </c>
      <c r="I48" s="30"/>
      <c r="J48" s="30" t="s">
        <v>261</v>
      </c>
      <c r="K48" s="30"/>
      <c r="L48" s="30" t="s">
        <v>259</v>
      </c>
      <c r="M48" s="30"/>
      <c r="N48" s="30" t="s">
        <v>263</v>
      </c>
      <c r="O48" s="30"/>
      <c r="P48" s="30" t="s">
        <v>264</v>
      </c>
      <c r="Q48" s="30"/>
      <c r="R48" s="30"/>
      <c r="S48" s="25"/>
      <c r="T48" s="25"/>
      <c r="U48" s="25"/>
      <c r="V48" s="39"/>
      <c r="W48" s="25"/>
      <c r="X48" s="5"/>
    </row>
    <row r="49" spans="1:25" ht="15.75" x14ac:dyDescent="0.25">
      <c r="A49" s="24"/>
      <c r="B49" s="25"/>
      <c r="C49" s="25"/>
      <c r="D49" s="30"/>
      <c r="E49" s="25"/>
      <c r="F49" s="30"/>
      <c r="G49" s="30"/>
      <c r="H49" s="30"/>
      <c r="I49" s="30"/>
      <c r="J49" s="30"/>
      <c r="K49" s="30"/>
      <c r="L49" s="30"/>
      <c r="M49" s="30"/>
      <c r="N49" s="30"/>
      <c r="O49" s="30"/>
      <c r="P49" s="30"/>
      <c r="Q49" s="30"/>
      <c r="R49" s="30"/>
      <c r="S49" s="25"/>
      <c r="T49" s="25"/>
      <c r="U49" s="25"/>
      <c r="V49" s="39" t="s">
        <v>193</v>
      </c>
      <c r="W49" s="25"/>
      <c r="X49" s="5"/>
    </row>
    <row r="50" spans="1:25" ht="15.75" x14ac:dyDescent="0.25">
      <c r="A50" s="24"/>
      <c r="B50" s="25" t="s">
        <v>169</v>
      </c>
      <c r="C50" s="25"/>
      <c r="D50" s="30"/>
      <c r="E50" s="25"/>
      <c r="F50" s="30"/>
      <c r="G50" s="30"/>
      <c r="H50" s="30"/>
      <c r="I50" s="30"/>
      <c r="J50" s="30"/>
      <c r="K50" s="30"/>
      <c r="L50" s="30"/>
      <c r="M50" s="30"/>
      <c r="N50" s="30"/>
      <c r="O50" s="30"/>
      <c r="P50" s="30"/>
      <c r="Q50" s="30"/>
      <c r="R50" s="30"/>
      <c r="S50" s="25"/>
      <c r="T50" s="25"/>
      <c r="U50" s="25"/>
      <c r="V50" s="39">
        <f>SUM(L34:R34)/SUM(D34:J34)</f>
        <v>0.17632136449250416</v>
      </c>
      <c r="W50" s="25"/>
      <c r="X50" s="5"/>
    </row>
    <row r="51" spans="1:25" ht="15.75" x14ac:dyDescent="0.25">
      <c r="A51" s="24"/>
      <c r="B51" s="25" t="s">
        <v>170</v>
      </c>
      <c r="C51" s="25"/>
      <c r="D51" s="25"/>
      <c r="E51" s="25"/>
      <c r="F51" s="41"/>
      <c r="G51" s="25"/>
      <c r="H51" s="25"/>
      <c r="I51" s="25"/>
      <c r="J51" s="25"/>
      <c r="K51" s="25"/>
      <c r="L51" s="25"/>
      <c r="M51" s="25"/>
      <c r="N51" s="25"/>
      <c r="O51" s="25"/>
      <c r="P51" s="25"/>
      <c r="Q51" s="25"/>
      <c r="R51" s="25"/>
      <c r="S51" s="25"/>
      <c r="T51" s="25"/>
      <c r="U51" s="25"/>
      <c r="V51" s="39">
        <f>SUM(L36:R36)/SUM(D36:J36)</f>
        <v>0.1797815383842401</v>
      </c>
      <c r="W51" s="25"/>
      <c r="X51" s="5"/>
    </row>
    <row r="52" spans="1:25" ht="15.75" x14ac:dyDescent="0.25">
      <c r="A52" s="24"/>
      <c r="B52" s="25" t="s">
        <v>171</v>
      </c>
      <c r="C52" s="25"/>
      <c r="D52" s="25"/>
      <c r="E52" s="25"/>
      <c r="F52" s="25"/>
      <c r="G52" s="25"/>
      <c r="H52" s="25"/>
      <c r="I52" s="25"/>
      <c r="J52" s="25"/>
      <c r="K52" s="25"/>
      <c r="L52" s="25"/>
      <c r="M52" s="25"/>
      <c r="N52" s="25"/>
      <c r="O52" s="25"/>
      <c r="P52" s="25"/>
      <c r="Q52" s="25"/>
      <c r="R52" s="25"/>
      <c r="S52" s="25"/>
      <c r="T52" s="30"/>
      <c r="U52" s="30"/>
      <c r="V52" s="31" t="s">
        <v>268</v>
      </c>
      <c r="W52" s="25"/>
      <c r="X52" s="5"/>
    </row>
    <row r="53" spans="1:25" ht="15.75" x14ac:dyDescent="0.25">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75" x14ac:dyDescent="0.25">
      <c r="A54" s="24"/>
      <c r="B54" s="25" t="s">
        <v>202</v>
      </c>
      <c r="C54" s="25"/>
      <c r="D54" s="25"/>
      <c r="E54" s="25"/>
      <c r="F54" s="25"/>
      <c r="G54" s="25"/>
      <c r="H54" s="25"/>
      <c r="I54" s="25"/>
      <c r="J54" s="25"/>
      <c r="K54" s="25"/>
      <c r="L54" s="25"/>
      <c r="M54" s="25"/>
      <c r="N54" s="25"/>
      <c r="O54" s="25"/>
      <c r="P54" s="25"/>
      <c r="Q54" s="25"/>
      <c r="R54" s="25"/>
      <c r="S54" s="25"/>
      <c r="T54" s="25"/>
      <c r="U54" s="25"/>
      <c r="V54" s="152" t="s">
        <v>203</v>
      </c>
      <c r="W54" s="25"/>
      <c r="X54" s="5"/>
    </row>
    <row r="55" spans="1:25" ht="15.75" x14ac:dyDescent="0.25">
      <c r="A55" s="24"/>
      <c r="B55" s="25" t="s">
        <v>270</v>
      </c>
      <c r="C55" s="25"/>
      <c r="D55" s="25"/>
      <c r="E55" s="25"/>
      <c r="F55" s="25"/>
      <c r="G55" s="25"/>
      <c r="H55" s="25"/>
      <c r="I55" s="25"/>
      <c r="J55" s="25"/>
      <c r="K55" s="25"/>
      <c r="L55" s="25"/>
      <c r="M55" s="25"/>
      <c r="N55" s="25"/>
      <c r="O55" s="25"/>
      <c r="P55" s="25"/>
      <c r="Q55" s="25"/>
      <c r="R55" s="25"/>
      <c r="S55" s="25"/>
      <c r="T55" s="30"/>
      <c r="U55" s="30"/>
      <c r="V55" s="153" t="s">
        <v>111</v>
      </c>
      <c r="W55" s="25"/>
      <c r="X55" s="5"/>
    </row>
    <row r="56" spans="1:25" ht="15.75" x14ac:dyDescent="0.25">
      <c r="A56" s="24"/>
      <c r="B56" s="29" t="s">
        <v>201</v>
      </c>
      <c r="C56" s="29"/>
      <c r="D56" s="29"/>
      <c r="E56" s="29"/>
      <c r="F56" s="29"/>
      <c r="G56" s="29"/>
      <c r="H56" s="29"/>
      <c r="I56" s="29"/>
      <c r="J56" s="29"/>
      <c r="K56" s="29"/>
      <c r="L56" s="29"/>
      <c r="M56" s="29"/>
      <c r="N56" s="29"/>
      <c r="O56" s="29"/>
      <c r="P56" s="29"/>
      <c r="Q56" s="29"/>
      <c r="R56" s="29"/>
      <c r="S56" s="29"/>
      <c r="T56" s="43"/>
      <c r="U56" s="43"/>
      <c r="V56" s="44">
        <v>39524</v>
      </c>
      <c r="W56" s="25"/>
      <c r="X56" s="5"/>
    </row>
    <row r="57" spans="1:25" ht="15.75" x14ac:dyDescent="0.25">
      <c r="A57" s="24"/>
      <c r="B57" s="25" t="s">
        <v>121</v>
      </c>
      <c r="C57" s="25"/>
      <c r="D57" s="25"/>
      <c r="E57" s="25"/>
      <c r="F57" s="25"/>
      <c r="G57" s="25"/>
      <c r="H57" s="58"/>
      <c r="I57" s="58"/>
      <c r="J57" s="58"/>
      <c r="K57" s="58"/>
      <c r="L57" s="58"/>
      <c r="M57" s="58"/>
      <c r="N57" s="58"/>
      <c r="O57" s="58"/>
      <c r="P57" s="58"/>
      <c r="Q57" s="58"/>
      <c r="R57" s="25">
        <f>+V57-T57+1</f>
        <v>151</v>
      </c>
      <c r="S57" s="58"/>
      <c r="T57" s="45">
        <v>39282</v>
      </c>
      <c r="U57" s="46"/>
      <c r="V57" s="45">
        <v>39432</v>
      </c>
      <c r="W57" s="25"/>
      <c r="X57" s="5"/>
    </row>
    <row r="58" spans="1:25" ht="15.75" x14ac:dyDescent="0.25">
      <c r="A58" s="24"/>
      <c r="B58" s="25" t="s">
        <v>122</v>
      </c>
      <c r="C58" s="25"/>
      <c r="D58" s="25"/>
      <c r="E58" s="25"/>
      <c r="F58" s="25"/>
      <c r="G58" s="25"/>
      <c r="H58" s="25"/>
      <c r="I58" s="25"/>
      <c r="J58" s="25"/>
      <c r="K58" s="25"/>
      <c r="L58" s="25"/>
      <c r="M58" s="25"/>
      <c r="N58" s="25"/>
      <c r="O58" s="25"/>
      <c r="P58" s="25"/>
      <c r="Q58" s="25"/>
      <c r="R58" s="25">
        <f>+V58-T58+1</f>
        <v>91</v>
      </c>
      <c r="S58" s="25"/>
      <c r="T58" s="45">
        <v>39433</v>
      </c>
      <c r="U58" s="46"/>
      <c r="V58" s="45">
        <v>39523</v>
      </c>
      <c r="W58" s="25"/>
      <c r="X58" s="5"/>
    </row>
    <row r="59" spans="1:25" ht="15.75" x14ac:dyDescent="0.25">
      <c r="A59" s="24"/>
      <c r="B59" s="25" t="s">
        <v>223</v>
      </c>
      <c r="C59" s="25"/>
      <c r="D59" s="25"/>
      <c r="E59" s="25"/>
      <c r="F59" s="25"/>
      <c r="G59" s="25"/>
      <c r="H59" s="25"/>
      <c r="I59" s="25"/>
      <c r="J59" s="25"/>
      <c r="K59" s="25"/>
      <c r="L59" s="25"/>
      <c r="M59" s="25"/>
      <c r="N59" s="25"/>
      <c r="O59" s="25"/>
      <c r="P59" s="25"/>
      <c r="Q59" s="25"/>
      <c r="R59" s="25"/>
      <c r="S59" s="25"/>
      <c r="T59" s="45"/>
      <c r="U59" s="46"/>
      <c r="V59" s="45" t="s">
        <v>120</v>
      </c>
      <c r="W59" s="25"/>
      <c r="X59" s="5"/>
    </row>
    <row r="60" spans="1:25" ht="15.75" x14ac:dyDescent="0.25">
      <c r="A60" s="24"/>
      <c r="B60" s="25" t="s">
        <v>271</v>
      </c>
      <c r="C60" s="25"/>
      <c r="D60" s="25"/>
      <c r="E60" s="25"/>
      <c r="F60" s="25"/>
      <c r="G60" s="25"/>
      <c r="H60" s="25"/>
      <c r="I60" s="25"/>
      <c r="J60" s="25"/>
      <c r="K60" s="25"/>
      <c r="L60" s="25"/>
      <c r="M60" s="25"/>
      <c r="N60" s="25"/>
      <c r="O60" s="25"/>
      <c r="P60" s="25"/>
      <c r="Q60" s="25"/>
      <c r="R60" s="25"/>
      <c r="S60" s="25"/>
      <c r="T60" s="45"/>
      <c r="U60" s="46"/>
      <c r="V60" s="45" t="s">
        <v>154</v>
      </c>
      <c r="W60" s="25"/>
      <c r="X60" s="5"/>
      <c r="Y60" s="133"/>
    </row>
    <row r="61" spans="1:25" ht="15.75" x14ac:dyDescent="0.25">
      <c r="A61" s="24"/>
      <c r="B61" s="25" t="s">
        <v>16</v>
      </c>
      <c r="C61" s="25"/>
      <c r="D61" s="25"/>
      <c r="E61" s="25"/>
      <c r="F61" s="25"/>
      <c r="G61" s="25"/>
      <c r="H61" s="25"/>
      <c r="I61" s="25"/>
      <c r="J61" s="25"/>
      <c r="K61" s="25"/>
      <c r="L61" s="25"/>
      <c r="M61" s="25"/>
      <c r="N61" s="25"/>
      <c r="O61" s="25"/>
      <c r="P61" s="25"/>
      <c r="Q61" s="25"/>
      <c r="R61" s="25"/>
      <c r="S61" s="25"/>
      <c r="T61" s="45"/>
      <c r="U61" s="46"/>
      <c r="V61" s="45">
        <v>39510</v>
      </c>
      <c r="W61" s="25"/>
      <c r="X61" s="5"/>
    </row>
    <row r="62" spans="1:25" ht="15.75" x14ac:dyDescent="0.25">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75" x14ac:dyDescent="0.25">
      <c r="A63" s="6"/>
      <c r="B63" s="8"/>
      <c r="C63" s="8"/>
      <c r="D63" s="8"/>
      <c r="E63" s="8"/>
      <c r="F63" s="8"/>
      <c r="G63" s="8"/>
      <c r="H63" s="8"/>
      <c r="I63" s="8"/>
      <c r="J63" s="8"/>
      <c r="K63" s="8"/>
      <c r="L63" s="8"/>
      <c r="M63" s="8"/>
      <c r="N63" s="8"/>
      <c r="O63" s="8"/>
      <c r="P63" s="8"/>
      <c r="Q63" s="8"/>
      <c r="R63" s="8"/>
      <c r="S63" s="8"/>
      <c r="T63" s="47"/>
      <c r="U63" s="48"/>
      <c r="V63" s="47"/>
      <c r="W63" s="8"/>
      <c r="X63" s="5"/>
    </row>
    <row r="64" spans="1:25" ht="19.5" thickBot="1" x14ac:dyDescent="0.35">
      <c r="A64" s="101"/>
      <c r="B64" s="102" t="s">
        <v>275</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75" x14ac:dyDescent="0.25">
      <c r="A65" s="2"/>
      <c r="B65" s="4"/>
      <c r="C65" s="4"/>
      <c r="D65" s="4"/>
      <c r="E65" s="4"/>
      <c r="F65" s="4"/>
      <c r="G65" s="4"/>
      <c r="H65" s="4"/>
      <c r="I65" s="4"/>
      <c r="J65" s="4"/>
      <c r="K65" s="4"/>
      <c r="L65" s="4"/>
      <c r="M65" s="4"/>
      <c r="N65" s="4"/>
      <c r="O65" s="4"/>
      <c r="P65" s="4"/>
      <c r="Q65" s="4"/>
      <c r="R65" s="4"/>
      <c r="S65" s="4"/>
      <c r="T65" s="4"/>
      <c r="U65" s="4"/>
      <c r="V65" s="50"/>
      <c r="W65" s="4"/>
      <c r="X65" s="5"/>
    </row>
    <row r="66" spans="1:24" ht="15.75" x14ac:dyDescent="0.25">
      <c r="A66" s="6"/>
      <c r="B66" s="51" t="s">
        <v>17</v>
      </c>
      <c r="C66" s="8"/>
      <c r="D66" s="8"/>
      <c r="E66" s="8"/>
      <c r="F66" s="8"/>
      <c r="G66" s="8"/>
      <c r="H66" s="8"/>
      <c r="I66" s="8"/>
      <c r="J66" s="8"/>
      <c r="K66" s="8"/>
      <c r="L66" s="8"/>
      <c r="M66" s="8"/>
      <c r="N66" s="8"/>
      <c r="O66" s="8"/>
      <c r="P66" s="8"/>
      <c r="Q66" s="8"/>
      <c r="R66" s="8"/>
      <c r="S66" s="8"/>
      <c r="T66" s="8"/>
      <c r="U66" s="8"/>
      <c r="V66" s="52"/>
      <c r="W66" s="8"/>
      <c r="X66" s="5"/>
    </row>
    <row r="67" spans="1:24" ht="15.75" x14ac:dyDescent="0.25">
      <c r="A67" s="6"/>
      <c r="B67" s="13"/>
      <c r="C67" s="8"/>
      <c r="D67" s="8"/>
      <c r="E67" s="8"/>
      <c r="F67" s="8"/>
      <c r="G67" s="8"/>
      <c r="H67" s="8"/>
      <c r="I67" s="8"/>
      <c r="J67" s="8"/>
      <c r="K67" s="8"/>
      <c r="L67" s="8"/>
      <c r="M67" s="8"/>
      <c r="N67" s="8"/>
      <c r="O67" s="8"/>
      <c r="P67" s="8"/>
      <c r="Q67" s="8"/>
      <c r="R67" s="8"/>
      <c r="S67" s="8"/>
      <c r="T67" s="8"/>
      <c r="U67" s="8"/>
      <c r="V67" s="52"/>
      <c r="W67" s="8"/>
      <c r="X67" s="5"/>
    </row>
    <row r="68" spans="1:24" ht="47.25" x14ac:dyDescent="0.25">
      <c r="A68" s="6"/>
      <c r="B68" s="114" t="s">
        <v>18</v>
      </c>
      <c r="C68" s="115"/>
      <c r="D68" s="115"/>
      <c r="E68" s="115"/>
      <c r="F68" s="115"/>
      <c r="G68" s="115"/>
      <c r="H68" s="115"/>
      <c r="I68" s="115"/>
      <c r="J68" s="115"/>
      <c r="K68" s="115"/>
      <c r="L68" s="115" t="s">
        <v>94</v>
      </c>
      <c r="M68" s="115"/>
      <c r="N68" s="115" t="s">
        <v>96</v>
      </c>
      <c r="O68" s="115"/>
      <c r="P68" s="115" t="s">
        <v>98</v>
      </c>
      <c r="Q68" s="115"/>
      <c r="R68" s="115" t="s">
        <v>100</v>
      </c>
      <c r="S68" s="115"/>
      <c r="T68" s="115" t="s">
        <v>106</v>
      </c>
      <c r="U68" s="115"/>
      <c r="V68" s="116" t="s">
        <v>112</v>
      </c>
      <c r="W68" s="117"/>
      <c r="X68" s="5"/>
    </row>
    <row r="69" spans="1:24" ht="15.75" x14ac:dyDescent="0.25">
      <c r="A69" s="24"/>
      <c r="B69" s="25" t="s">
        <v>19</v>
      </c>
      <c r="C69" s="34"/>
      <c r="D69" s="34"/>
      <c r="E69" s="34"/>
      <c r="F69" s="34"/>
      <c r="G69" s="34"/>
      <c r="H69" s="34"/>
      <c r="I69" s="34"/>
      <c r="J69" s="34"/>
      <c r="K69" s="34"/>
      <c r="L69" s="34">
        <v>812446</v>
      </c>
      <c r="M69" s="34"/>
      <c r="N69" s="53">
        <v>989554</v>
      </c>
      <c r="O69" s="34"/>
      <c r="P69" s="34">
        <f>4801+2862+326</f>
        <v>7989</v>
      </c>
      <c r="Q69" s="34"/>
      <c r="R69" s="34">
        <f>2862+326</f>
        <v>3188</v>
      </c>
      <c r="S69" s="34"/>
      <c r="T69" s="34">
        <v>0</v>
      </c>
      <c r="U69" s="34"/>
      <c r="V69" s="53">
        <f>+N69-P69+R69-T69</f>
        <v>984753</v>
      </c>
      <c r="W69" s="25"/>
      <c r="X69" s="5"/>
    </row>
    <row r="70" spans="1:24" ht="15.75" x14ac:dyDescent="0.25">
      <c r="A70" s="24"/>
      <c r="B70" s="25" t="s">
        <v>20</v>
      </c>
      <c r="C70" s="34"/>
      <c r="D70" s="34"/>
      <c r="E70" s="34"/>
      <c r="F70" s="34"/>
      <c r="G70" s="34"/>
      <c r="H70" s="34"/>
      <c r="I70" s="34"/>
      <c r="J70" s="34"/>
      <c r="K70" s="34"/>
      <c r="L70" s="34">
        <v>0</v>
      </c>
      <c r="M70" s="34"/>
      <c r="N70" s="53">
        <v>0</v>
      </c>
      <c r="O70" s="34"/>
      <c r="P70" s="34">
        <v>0</v>
      </c>
      <c r="Q70" s="34"/>
      <c r="R70" s="34">
        <v>0</v>
      </c>
      <c r="S70" s="34"/>
      <c r="T70" s="34">
        <v>0</v>
      </c>
      <c r="U70" s="34"/>
      <c r="V70" s="53">
        <f>+L70-P70</f>
        <v>0</v>
      </c>
      <c r="W70" s="25"/>
      <c r="X70" s="5"/>
    </row>
    <row r="71" spans="1:24" ht="15.75" x14ac:dyDescent="0.25">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75" x14ac:dyDescent="0.25">
      <c r="A72" s="24"/>
      <c r="B72" s="25" t="s">
        <v>21</v>
      </c>
      <c r="C72" s="34"/>
      <c r="D72" s="34"/>
      <c r="E72" s="34"/>
      <c r="F72" s="34"/>
      <c r="G72" s="34"/>
      <c r="H72" s="34"/>
      <c r="I72" s="34"/>
      <c r="J72" s="34"/>
      <c r="K72" s="34"/>
      <c r="L72" s="34">
        <f>SUM(L69:L71)</f>
        <v>812446</v>
      </c>
      <c r="M72" s="34"/>
      <c r="N72" s="54">
        <f>N69+N70</f>
        <v>989554</v>
      </c>
      <c r="O72" s="34"/>
      <c r="P72" s="34">
        <f>SUM(P69:P71)</f>
        <v>7989</v>
      </c>
      <c r="Q72" s="34"/>
      <c r="R72" s="34">
        <f>SUM(R69:R71)</f>
        <v>3188</v>
      </c>
      <c r="S72" s="34"/>
      <c r="T72" s="34">
        <f>SUM(T69:T71)</f>
        <v>0</v>
      </c>
      <c r="U72" s="34"/>
      <c r="V72" s="54">
        <f>SUM(V69:V71)</f>
        <v>984753</v>
      </c>
      <c r="W72" s="25"/>
      <c r="X72" s="5"/>
    </row>
    <row r="73" spans="1:24" ht="15.75" x14ac:dyDescent="0.25">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75" x14ac:dyDescent="0.25">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75" x14ac:dyDescent="0.25">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75" x14ac:dyDescent="0.25">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75" x14ac:dyDescent="0.25">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75" x14ac:dyDescent="0.25">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75" x14ac:dyDescent="0.25">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75" x14ac:dyDescent="0.25">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75" x14ac:dyDescent="0.25">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75" x14ac:dyDescent="0.25">
      <c r="A82" s="24"/>
      <c r="B82" s="25" t="s">
        <v>117</v>
      </c>
      <c r="C82" s="34"/>
      <c r="D82" s="34"/>
      <c r="E82" s="34"/>
      <c r="F82" s="34"/>
      <c r="G82" s="34"/>
      <c r="H82" s="34"/>
      <c r="I82" s="34"/>
      <c r="J82" s="34"/>
      <c r="K82" s="34"/>
      <c r="L82" s="34">
        <v>188687</v>
      </c>
      <c r="M82" s="34"/>
      <c r="N82" s="34">
        <v>0</v>
      </c>
      <c r="O82" s="34"/>
      <c r="P82" s="34">
        <v>0</v>
      </c>
      <c r="Q82" s="34"/>
      <c r="R82" s="34"/>
      <c r="S82" s="34"/>
      <c r="T82" s="34"/>
      <c r="U82" s="34"/>
      <c r="V82" s="54">
        <f>SUM(N82:R82)</f>
        <v>0</v>
      </c>
      <c r="W82" s="25"/>
      <c r="X82" s="5"/>
    </row>
    <row r="83" spans="1:24" ht="15.75" x14ac:dyDescent="0.25">
      <c r="A83" s="24"/>
      <c r="B83" s="25" t="s">
        <v>146</v>
      </c>
      <c r="C83" s="34"/>
      <c r="D83" s="34"/>
      <c r="E83" s="34"/>
      <c r="F83" s="34"/>
      <c r="G83" s="34"/>
      <c r="H83" s="34"/>
      <c r="I83" s="34"/>
      <c r="J83" s="34"/>
      <c r="K83" s="34"/>
      <c r="L83" s="34">
        <v>0</v>
      </c>
      <c r="M83" s="34"/>
      <c r="N83" s="34">
        <v>0</v>
      </c>
      <c r="O83" s="34"/>
      <c r="P83" s="34">
        <v>0</v>
      </c>
      <c r="Q83" s="34"/>
      <c r="R83" s="34"/>
      <c r="S83" s="34"/>
      <c r="T83" s="34"/>
      <c r="U83" s="34"/>
      <c r="V83" s="54">
        <f>+N83+P83</f>
        <v>0</v>
      </c>
      <c r="W83" s="25"/>
      <c r="X83" s="5"/>
    </row>
    <row r="84" spans="1:24" ht="15.75" x14ac:dyDescent="0.25">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75" x14ac:dyDescent="0.25">
      <c r="A85" s="24"/>
      <c r="B85" s="25" t="s">
        <v>26</v>
      </c>
      <c r="C85" s="34"/>
      <c r="D85" s="34"/>
      <c r="E85" s="34"/>
      <c r="F85" s="54"/>
      <c r="G85" s="34"/>
      <c r="H85" s="54"/>
      <c r="I85" s="54"/>
      <c r="J85" s="54"/>
      <c r="K85" s="54"/>
      <c r="L85" s="54">
        <f>SUM(L72:L84)</f>
        <v>1001133</v>
      </c>
      <c r="M85" s="34"/>
      <c r="N85" s="54">
        <f>SUM(N72:N84)</f>
        <v>989554</v>
      </c>
      <c r="O85" s="34"/>
      <c r="P85" s="34"/>
      <c r="Q85" s="34"/>
      <c r="R85" s="34"/>
      <c r="S85" s="34"/>
      <c r="T85" s="54"/>
      <c r="U85" s="34"/>
      <c r="V85" s="54">
        <f>SUM(V72:V84)</f>
        <v>984753</v>
      </c>
      <c r="W85" s="25"/>
      <c r="X85" s="5"/>
    </row>
    <row r="86" spans="1:24" ht="15.75" x14ac:dyDescent="0.25">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75" x14ac:dyDescent="0.25">
      <c r="A87" s="6"/>
      <c r="B87" s="8"/>
      <c r="C87" s="8"/>
      <c r="D87" s="8"/>
      <c r="E87" s="8"/>
      <c r="F87" s="8"/>
      <c r="G87" s="8"/>
      <c r="H87" s="8"/>
      <c r="I87" s="8"/>
      <c r="J87" s="8"/>
      <c r="K87" s="8"/>
      <c r="L87" s="8"/>
      <c r="M87" s="8"/>
      <c r="N87" s="8"/>
      <c r="O87" s="8"/>
      <c r="P87" s="8"/>
      <c r="Q87" s="8"/>
      <c r="R87" s="8"/>
      <c r="S87" s="8"/>
      <c r="T87" s="8"/>
      <c r="U87" s="8"/>
      <c r="V87" s="8"/>
      <c r="W87" s="8"/>
      <c r="X87" s="5"/>
    </row>
    <row r="88" spans="1:24" ht="15.75" x14ac:dyDescent="0.25">
      <c r="A88" s="6"/>
      <c r="B88" s="51" t="s">
        <v>27</v>
      </c>
      <c r="C88" s="14"/>
      <c r="D88" s="14"/>
      <c r="E88" s="14"/>
      <c r="F88" s="14"/>
      <c r="G88" s="14"/>
      <c r="H88" s="17"/>
      <c r="I88" s="17"/>
      <c r="J88" s="17"/>
      <c r="K88" s="17"/>
      <c r="L88" s="155" t="s">
        <v>95</v>
      </c>
      <c r="M88" s="17"/>
      <c r="N88" s="154">
        <f>+T201</f>
        <v>39507</v>
      </c>
      <c r="O88" s="17"/>
      <c r="P88" s="17"/>
      <c r="Q88" s="17"/>
      <c r="R88" s="17"/>
      <c r="S88" s="17"/>
      <c r="T88" s="17" t="s">
        <v>107</v>
      </c>
      <c r="U88" s="17"/>
      <c r="V88" s="17" t="s">
        <v>113</v>
      </c>
      <c r="W88" s="8"/>
      <c r="X88" s="5"/>
    </row>
    <row r="89" spans="1:24" ht="15.75" x14ac:dyDescent="0.25">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75" x14ac:dyDescent="0.25">
      <c r="A90" s="24"/>
      <c r="B90" s="25" t="s">
        <v>29</v>
      </c>
      <c r="C90" s="25"/>
      <c r="D90" s="25"/>
      <c r="E90" s="25"/>
      <c r="F90" s="25"/>
      <c r="G90" s="25"/>
      <c r="H90" s="40"/>
      <c r="I90" s="40"/>
      <c r="J90" s="40"/>
      <c r="K90" s="57"/>
      <c r="L90" s="40"/>
      <c r="M90" s="25"/>
      <c r="N90" s="127"/>
      <c r="O90" s="25"/>
      <c r="P90" s="25"/>
      <c r="Q90" s="25"/>
      <c r="R90" s="25"/>
      <c r="S90" s="25"/>
      <c r="T90" s="34">
        <v>7989</v>
      </c>
      <c r="U90" s="25"/>
      <c r="V90" s="53"/>
      <c r="W90" s="25"/>
      <c r="X90" s="5"/>
    </row>
    <row r="91" spans="1:24" ht="15.75" x14ac:dyDescent="0.25">
      <c r="A91" s="24"/>
      <c r="B91" s="25" t="s">
        <v>215</v>
      </c>
      <c r="C91" s="25"/>
      <c r="D91" s="25"/>
      <c r="E91" s="25"/>
      <c r="F91" s="25"/>
      <c r="G91" s="25"/>
      <c r="H91" s="40"/>
      <c r="I91" s="40"/>
      <c r="J91" s="40"/>
      <c r="K91" s="57"/>
      <c r="L91" s="40"/>
      <c r="M91" s="25"/>
      <c r="N91" s="127"/>
      <c r="O91" s="25"/>
      <c r="P91" s="25"/>
      <c r="Q91" s="25"/>
      <c r="R91" s="25"/>
      <c r="S91" s="25"/>
      <c r="T91" s="34"/>
      <c r="U91" s="25"/>
      <c r="V91" s="53">
        <f>6808+6807-241-216</f>
        <v>13158</v>
      </c>
      <c r="W91" s="25"/>
      <c r="X91" s="5"/>
    </row>
    <row r="92" spans="1:24" ht="15.75" x14ac:dyDescent="0.25">
      <c r="A92" s="24"/>
      <c r="B92" s="25" t="s">
        <v>210</v>
      </c>
      <c r="C92" s="25"/>
      <c r="D92" s="25"/>
      <c r="E92" s="25"/>
      <c r="F92" s="25"/>
      <c r="G92" s="25"/>
      <c r="H92" s="40"/>
      <c r="I92" s="40"/>
      <c r="J92" s="40"/>
      <c r="K92" s="57"/>
      <c r="L92" s="40"/>
      <c r="M92" s="25"/>
      <c r="N92" s="127"/>
      <c r="O92" s="25"/>
      <c r="P92" s="25"/>
      <c r="Q92" s="25"/>
      <c r="R92" s="25"/>
      <c r="S92" s="25"/>
      <c r="T92" s="34"/>
      <c r="U92" s="25"/>
      <c r="V92" s="53">
        <f>157+53</f>
        <v>210</v>
      </c>
      <c r="W92" s="25"/>
      <c r="X92" s="5"/>
    </row>
    <row r="93" spans="1:24" ht="15.75" x14ac:dyDescent="0.25">
      <c r="A93" s="24"/>
      <c r="B93" s="25" t="s">
        <v>211</v>
      </c>
      <c r="C93" s="25"/>
      <c r="D93" s="25"/>
      <c r="E93" s="25"/>
      <c r="F93" s="25"/>
      <c r="G93" s="25"/>
      <c r="H93" s="40"/>
      <c r="I93" s="40"/>
      <c r="J93" s="40"/>
      <c r="K93" s="57"/>
      <c r="L93" s="40"/>
      <c r="M93" s="25"/>
      <c r="N93" s="127"/>
      <c r="O93" s="25"/>
      <c r="P93" s="25"/>
      <c r="Q93" s="25"/>
      <c r="R93" s="25"/>
      <c r="S93" s="25"/>
      <c r="T93" s="34"/>
      <c r="U93" s="25"/>
      <c r="V93" s="53">
        <v>851</v>
      </c>
      <c r="W93" s="25"/>
      <c r="X93" s="5"/>
    </row>
    <row r="94" spans="1:24" ht="15.75" x14ac:dyDescent="0.25">
      <c r="A94" s="24"/>
      <c r="B94" s="25" t="s">
        <v>233</v>
      </c>
      <c r="C94" s="25"/>
      <c r="D94" s="25"/>
      <c r="E94" s="25"/>
      <c r="F94" s="25"/>
      <c r="G94" s="25"/>
      <c r="H94" s="40"/>
      <c r="I94" s="40"/>
      <c r="J94" s="40"/>
      <c r="K94" s="57"/>
      <c r="L94" s="40"/>
      <c r="M94" s="25"/>
      <c r="N94" s="127"/>
      <c r="O94" s="25"/>
      <c r="P94" s="25"/>
      <c r="Q94" s="25"/>
      <c r="R94" s="25"/>
      <c r="S94" s="25"/>
      <c r="T94" s="34"/>
      <c r="U94" s="25"/>
      <c r="V94" s="53">
        <f>-3+804</f>
        <v>801</v>
      </c>
      <c r="W94" s="25"/>
      <c r="X94" s="5"/>
    </row>
    <row r="95" spans="1:24" ht="15.75" x14ac:dyDescent="0.25">
      <c r="A95" s="24"/>
      <c r="B95" s="25" t="s">
        <v>235</v>
      </c>
      <c r="C95" s="25"/>
      <c r="D95" s="25"/>
      <c r="E95" s="25"/>
      <c r="F95" s="25"/>
      <c r="G95" s="25"/>
      <c r="H95" s="40"/>
      <c r="I95" s="40"/>
      <c r="J95" s="40"/>
      <c r="K95" s="57"/>
      <c r="L95" s="40"/>
      <c r="M95" s="25"/>
      <c r="N95" s="127"/>
      <c r="O95" s="25"/>
      <c r="P95" s="25"/>
      <c r="Q95" s="25"/>
      <c r="R95" s="25"/>
      <c r="S95" s="25"/>
      <c r="T95" s="34"/>
      <c r="U95" s="25"/>
      <c r="V95" s="53">
        <v>1643</v>
      </c>
      <c r="W95" s="25"/>
      <c r="X95" s="5"/>
    </row>
    <row r="96" spans="1:24" ht="15.75" x14ac:dyDescent="0.25">
      <c r="A96" s="24"/>
      <c r="B96" s="25" t="s">
        <v>135</v>
      </c>
      <c r="C96" s="25"/>
      <c r="D96" s="25"/>
      <c r="E96" s="25"/>
      <c r="F96" s="25"/>
      <c r="G96" s="25"/>
      <c r="H96" s="25"/>
      <c r="I96" s="25"/>
      <c r="J96" s="25"/>
      <c r="K96" s="25"/>
      <c r="L96" s="25"/>
      <c r="M96" s="25"/>
      <c r="N96" s="25"/>
      <c r="O96" s="25"/>
      <c r="P96" s="25"/>
      <c r="Q96" s="25"/>
      <c r="R96" s="25"/>
      <c r="S96" s="25"/>
      <c r="T96" s="34"/>
      <c r="U96" s="25"/>
      <c r="V96" s="53">
        <v>0</v>
      </c>
      <c r="W96" s="25"/>
      <c r="X96" s="5"/>
    </row>
    <row r="97" spans="1:25" ht="15.75" x14ac:dyDescent="0.25">
      <c r="A97" s="24"/>
      <c r="B97" s="25" t="s">
        <v>272</v>
      </c>
      <c r="C97" s="25"/>
      <c r="D97" s="25"/>
      <c r="E97" s="25"/>
      <c r="F97" s="25"/>
      <c r="G97" s="25"/>
      <c r="H97" s="25"/>
      <c r="I97" s="25"/>
      <c r="J97" s="25"/>
      <c r="K97" s="25"/>
      <c r="L97" s="25"/>
      <c r="M97" s="25"/>
      <c r="N97" s="25"/>
      <c r="O97" s="25"/>
      <c r="P97" s="25"/>
      <c r="Q97" s="25"/>
      <c r="R97" s="25"/>
      <c r="S97" s="25"/>
      <c r="T97" s="34"/>
      <c r="U97" s="25"/>
      <c r="V97" s="53">
        <v>3025</v>
      </c>
      <c r="W97" s="25"/>
      <c r="X97" s="5"/>
    </row>
    <row r="98" spans="1:25" ht="15.75" x14ac:dyDescent="0.25">
      <c r="A98" s="24"/>
      <c r="B98" s="25" t="s">
        <v>30</v>
      </c>
      <c r="C98" s="25"/>
      <c r="D98" s="25"/>
      <c r="E98" s="25"/>
      <c r="F98" s="25"/>
      <c r="G98" s="25"/>
      <c r="H98" s="25"/>
      <c r="I98" s="25"/>
      <c r="J98" s="25"/>
      <c r="K98" s="25"/>
      <c r="L98" s="25"/>
      <c r="M98" s="25"/>
      <c r="N98" s="25"/>
      <c r="O98" s="25"/>
      <c r="P98" s="25"/>
      <c r="Q98" s="25"/>
      <c r="R98" s="25"/>
      <c r="S98" s="25"/>
      <c r="T98" s="34">
        <f>SUM(T89:T97)</f>
        <v>7989</v>
      </c>
      <c r="U98" s="25"/>
      <c r="V98" s="54">
        <f>SUM(V89:V97)</f>
        <v>19688</v>
      </c>
      <c r="W98" s="25"/>
      <c r="X98" s="5"/>
    </row>
    <row r="99" spans="1:25" ht="15.75" x14ac:dyDescent="0.25">
      <c r="A99" s="24"/>
      <c r="B99" s="25" t="s">
        <v>161</v>
      </c>
      <c r="C99" s="25"/>
      <c r="D99" s="25"/>
      <c r="E99" s="25"/>
      <c r="F99" s="25"/>
      <c r="G99" s="25"/>
      <c r="H99" s="25"/>
      <c r="I99" s="25"/>
      <c r="J99" s="25"/>
      <c r="K99" s="25"/>
      <c r="L99" s="25"/>
      <c r="M99" s="25"/>
      <c r="N99" s="25"/>
      <c r="O99" s="25"/>
      <c r="P99" s="25"/>
      <c r="Q99" s="25"/>
      <c r="R99" s="25"/>
      <c r="S99" s="25"/>
      <c r="T99" s="34">
        <f>-V99</f>
        <v>-22</v>
      </c>
      <c r="U99" s="25"/>
      <c r="V99" s="54">
        <v>22</v>
      </c>
      <c r="W99" s="25"/>
      <c r="X99" s="5"/>
    </row>
    <row r="100" spans="1:25" ht="15.75" x14ac:dyDescent="0.25">
      <c r="A100" s="24"/>
      <c r="B100" s="25" t="s">
        <v>31</v>
      </c>
      <c r="C100" s="25"/>
      <c r="D100" s="25"/>
      <c r="E100" s="25"/>
      <c r="F100" s="25"/>
      <c r="G100" s="25"/>
      <c r="H100" s="25"/>
      <c r="I100" s="25"/>
      <c r="J100" s="25"/>
      <c r="K100" s="25"/>
      <c r="L100" s="25"/>
      <c r="M100" s="25"/>
      <c r="N100" s="25"/>
      <c r="O100" s="25"/>
      <c r="P100" s="25"/>
      <c r="Q100" s="25"/>
      <c r="R100" s="25"/>
      <c r="S100" s="25"/>
      <c r="T100" s="34">
        <f>-V100</f>
        <v>0</v>
      </c>
      <c r="U100" s="25"/>
      <c r="V100" s="53">
        <v>0</v>
      </c>
      <c r="W100" s="25"/>
      <c r="X100" s="5"/>
    </row>
    <row r="101" spans="1:25" ht="15.75" x14ac:dyDescent="0.25">
      <c r="A101" s="24"/>
      <c r="B101" s="25" t="s">
        <v>274</v>
      </c>
      <c r="C101" s="25"/>
      <c r="D101" s="25"/>
      <c r="E101" s="25"/>
      <c r="F101" s="25"/>
      <c r="G101" s="25"/>
      <c r="H101" s="25"/>
      <c r="I101" s="25"/>
      <c r="J101" s="25"/>
      <c r="K101" s="25"/>
      <c r="L101" s="25"/>
      <c r="M101" s="25"/>
      <c r="N101" s="25"/>
      <c r="O101" s="25"/>
      <c r="P101" s="25"/>
      <c r="Q101" s="25"/>
      <c r="R101" s="25"/>
      <c r="S101" s="25"/>
      <c r="T101" s="34"/>
      <c r="U101" s="25"/>
      <c r="V101" s="53">
        <v>0</v>
      </c>
      <c r="W101" s="25"/>
      <c r="X101" s="5"/>
    </row>
    <row r="102" spans="1:25" ht="15.75" x14ac:dyDescent="0.25">
      <c r="A102" s="24"/>
      <c r="B102" s="25" t="s">
        <v>32</v>
      </c>
      <c r="C102" s="25"/>
      <c r="D102" s="25"/>
      <c r="E102" s="25"/>
      <c r="F102" s="25"/>
      <c r="G102" s="25"/>
      <c r="H102" s="25"/>
      <c r="I102" s="25"/>
      <c r="J102" s="25"/>
      <c r="K102" s="25"/>
      <c r="L102" s="25"/>
      <c r="M102" s="25"/>
      <c r="N102" s="25"/>
      <c r="O102" s="25"/>
      <c r="P102" s="25"/>
      <c r="Q102" s="25"/>
      <c r="R102" s="25"/>
      <c r="S102" s="25"/>
      <c r="T102" s="34">
        <f>T98+T100+T99</f>
        <v>7967</v>
      </c>
      <c r="U102" s="25"/>
      <c r="V102" s="54">
        <f>V98+V100+V99+V101</f>
        <v>19710</v>
      </c>
      <c r="W102" s="25"/>
      <c r="X102" s="5"/>
    </row>
    <row r="103" spans="1:25" ht="15.75" x14ac:dyDescent="0.25">
      <c r="A103" s="24"/>
      <c r="B103" s="118" t="s">
        <v>33</v>
      </c>
      <c r="C103" s="25"/>
      <c r="D103" s="25"/>
      <c r="E103" s="25"/>
      <c r="F103" s="25"/>
      <c r="G103" s="25"/>
      <c r="H103" s="25"/>
      <c r="I103" s="25"/>
      <c r="J103" s="25"/>
      <c r="K103" s="25"/>
      <c r="L103" s="25"/>
      <c r="M103" s="25"/>
      <c r="N103" s="25"/>
      <c r="O103" s="25"/>
      <c r="P103" s="25"/>
      <c r="Q103" s="25"/>
      <c r="R103" s="25"/>
      <c r="S103" s="25"/>
      <c r="T103" s="34"/>
      <c r="U103" s="25"/>
      <c r="V103" s="53"/>
      <c r="W103" s="25"/>
      <c r="X103" s="5"/>
    </row>
    <row r="104" spans="1:25" ht="15.75" x14ac:dyDescent="0.25">
      <c r="A104" s="24">
        <v>1</v>
      </c>
      <c r="B104" s="25" t="s">
        <v>34</v>
      </c>
      <c r="C104" s="25"/>
      <c r="D104" s="25"/>
      <c r="E104" s="25"/>
      <c r="F104" s="25"/>
      <c r="G104" s="25"/>
      <c r="H104" s="25"/>
      <c r="I104" s="25"/>
      <c r="J104" s="25"/>
      <c r="K104" s="25"/>
      <c r="L104" s="25"/>
      <c r="M104" s="25"/>
      <c r="N104" s="25"/>
      <c r="O104" s="25"/>
      <c r="P104" s="25"/>
      <c r="Q104" s="25"/>
      <c r="R104" s="25"/>
      <c r="S104" s="25"/>
      <c r="T104" s="25"/>
      <c r="U104" s="25"/>
      <c r="V104" s="53">
        <v>0</v>
      </c>
      <c r="W104" s="25"/>
      <c r="X104" s="5"/>
    </row>
    <row r="105" spans="1:25" ht="15.75" x14ac:dyDescent="0.25">
      <c r="A105" s="24">
        <f>+A104+1</f>
        <v>2</v>
      </c>
      <c r="B105" s="25" t="s">
        <v>221</v>
      </c>
      <c r="C105" s="25"/>
      <c r="D105" s="25"/>
      <c r="E105" s="25"/>
      <c r="F105" s="25"/>
      <c r="G105" s="25"/>
      <c r="H105" s="25"/>
      <c r="I105" s="25"/>
      <c r="J105" s="25"/>
      <c r="K105" s="25"/>
      <c r="L105" s="25"/>
      <c r="M105" s="25"/>
      <c r="N105" s="25"/>
      <c r="O105" s="25"/>
      <c r="P105" s="25"/>
      <c r="Q105" s="25"/>
      <c r="R105" s="25"/>
      <c r="S105" s="25"/>
      <c r="T105" s="25"/>
      <c r="U105" s="25"/>
      <c r="V105" s="53">
        <v>-2</v>
      </c>
      <c r="W105" s="25"/>
      <c r="X105" s="5"/>
    </row>
    <row r="106" spans="1:25" ht="15.75" x14ac:dyDescent="0.25">
      <c r="A106" s="24">
        <f>+A105+1</f>
        <v>3</v>
      </c>
      <c r="B106" s="25" t="s">
        <v>204</v>
      </c>
      <c r="C106" s="25"/>
      <c r="D106" s="25"/>
      <c r="E106" s="25"/>
      <c r="F106" s="25"/>
      <c r="G106" s="25"/>
      <c r="H106" s="25"/>
      <c r="I106" s="25"/>
      <c r="J106" s="25"/>
      <c r="K106" s="25"/>
      <c r="L106" s="25"/>
      <c r="M106" s="25"/>
      <c r="N106" s="25"/>
      <c r="O106" s="25"/>
      <c r="P106" s="25"/>
      <c r="Q106" s="25"/>
      <c r="R106" s="25"/>
      <c r="S106" s="25"/>
      <c r="T106" s="25"/>
      <c r="U106" s="25"/>
      <c r="V106" s="53">
        <f>-370-13-12</f>
        <v>-395</v>
      </c>
      <c r="W106" s="25"/>
      <c r="X106" s="5"/>
    </row>
    <row r="107" spans="1:25" ht="15.75" x14ac:dyDescent="0.25">
      <c r="A107" s="24" t="s">
        <v>127</v>
      </c>
      <c r="B107" s="25" t="s">
        <v>116</v>
      </c>
      <c r="C107" s="25"/>
      <c r="D107" s="25"/>
      <c r="E107" s="25"/>
      <c r="F107" s="25"/>
      <c r="G107" s="25"/>
      <c r="H107" s="25"/>
      <c r="I107" s="25"/>
      <c r="J107" s="25"/>
      <c r="K107" s="25"/>
      <c r="L107" s="25"/>
      <c r="M107" s="25"/>
      <c r="N107" s="25"/>
      <c r="O107" s="25"/>
      <c r="P107" s="25"/>
      <c r="Q107" s="25"/>
      <c r="R107" s="25"/>
      <c r="S107" s="25"/>
      <c r="T107" s="25"/>
      <c r="U107" s="25"/>
      <c r="V107" s="53">
        <v>0</v>
      </c>
      <c r="W107" s="25"/>
      <c r="X107" s="5"/>
    </row>
    <row r="108" spans="1:25" ht="15.75" x14ac:dyDescent="0.25">
      <c r="A108" s="24" t="s">
        <v>128</v>
      </c>
      <c r="B108" s="25" t="s">
        <v>220</v>
      </c>
      <c r="C108" s="25"/>
      <c r="D108" s="25"/>
      <c r="E108" s="25"/>
      <c r="F108" s="25"/>
      <c r="G108" s="25"/>
      <c r="H108" s="25"/>
      <c r="I108" s="25"/>
      <c r="J108" s="25"/>
      <c r="K108" s="25"/>
      <c r="L108" s="25"/>
      <c r="M108" s="25"/>
      <c r="N108" s="25"/>
      <c r="O108" s="25"/>
      <c r="P108" s="25"/>
      <c r="Q108" s="25"/>
      <c r="R108" s="25"/>
      <c r="S108" s="25"/>
      <c r="T108" s="25"/>
      <c r="U108" s="25"/>
      <c r="V108" s="53">
        <v>-10220</v>
      </c>
      <c r="W108" s="25"/>
      <c r="X108" s="5"/>
      <c r="Y108" s="109"/>
    </row>
    <row r="109" spans="1:25" ht="15.75" x14ac:dyDescent="0.25">
      <c r="A109" s="24" t="s">
        <v>150</v>
      </c>
      <c r="B109" s="25" t="s">
        <v>184</v>
      </c>
      <c r="C109" s="25"/>
      <c r="D109" s="25"/>
      <c r="E109" s="25"/>
      <c r="F109" s="25"/>
      <c r="G109" s="25"/>
      <c r="H109" s="25"/>
      <c r="I109" s="25"/>
      <c r="J109" s="25"/>
      <c r="K109" s="25"/>
      <c r="L109" s="25"/>
      <c r="M109" s="25"/>
      <c r="N109" s="25"/>
      <c r="O109" s="25"/>
      <c r="P109" s="25"/>
      <c r="Q109" s="25"/>
      <c r="R109" s="25"/>
      <c r="S109" s="25"/>
      <c r="T109" s="25"/>
      <c r="U109" s="25"/>
      <c r="V109" s="53">
        <v>-3380</v>
      </c>
      <c r="W109" s="25"/>
      <c r="X109" s="5"/>
      <c r="Y109" s="109"/>
    </row>
    <row r="110" spans="1:25" ht="15.75" x14ac:dyDescent="0.25">
      <c r="A110" s="24" t="s">
        <v>205</v>
      </c>
      <c r="B110" s="25" t="s">
        <v>185</v>
      </c>
      <c r="C110" s="25"/>
      <c r="D110" s="25"/>
      <c r="E110" s="25"/>
      <c r="F110" s="25"/>
      <c r="G110" s="25"/>
      <c r="H110" s="25"/>
      <c r="I110" s="25"/>
      <c r="J110" s="25"/>
      <c r="K110" s="25"/>
      <c r="L110" s="25"/>
      <c r="M110" s="25"/>
      <c r="N110" s="25"/>
      <c r="O110" s="25"/>
      <c r="P110" s="25"/>
      <c r="Q110" s="25"/>
      <c r="R110" s="25"/>
      <c r="S110" s="25"/>
      <c r="T110" s="25"/>
      <c r="U110" s="25"/>
      <c r="V110" s="53">
        <v>-975</v>
      </c>
      <c r="W110" s="25"/>
      <c r="X110" s="5"/>
      <c r="Y110" s="109"/>
    </row>
    <row r="111" spans="1:25" ht="15.75" x14ac:dyDescent="0.25">
      <c r="A111" s="24" t="s">
        <v>206</v>
      </c>
      <c r="B111" s="25" t="s">
        <v>186</v>
      </c>
      <c r="C111" s="25"/>
      <c r="D111" s="25"/>
      <c r="E111" s="25"/>
      <c r="F111" s="25"/>
      <c r="G111" s="25"/>
      <c r="H111" s="25"/>
      <c r="I111" s="25"/>
      <c r="J111" s="25"/>
      <c r="K111" s="25"/>
      <c r="L111" s="25"/>
      <c r="M111" s="25"/>
      <c r="N111" s="25"/>
      <c r="O111" s="25"/>
      <c r="P111" s="25"/>
      <c r="Q111" s="25"/>
      <c r="R111" s="25"/>
      <c r="S111" s="25"/>
      <c r="T111" s="25"/>
      <c r="U111" s="25"/>
      <c r="V111" s="53">
        <v>-284</v>
      </c>
      <c r="W111" s="25"/>
      <c r="X111" s="5"/>
      <c r="Y111" s="109"/>
    </row>
    <row r="112" spans="1:25" ht="15.75" x14ac:dyDescent="0.25">
      <c r="A112" s="24">
        <v>6</v>
      </c>
      <c r="B112" s="25" t="s">
        <v>196</v>
      </c>
      <c r="C112" s="25"/>
      <c r="D112" s="25"/>
      <c r="E112" s="25"/>
      <c r="F112" s="25"/>
      <c r="G112" s="25"/>
      <c r="H112" s="25"/>
      <c r="I112" s="25"/>
      <c r="J112" s="25"/>
      <c r="K112" s="25"/>
      <c r="L112" s="25"/>
      <c r="M112" s="25"/>
      <c r="N112" s="25"/>
      <c r="O112" s="25"/>
      <c r="P112" s="25"/>
      <c r="Q112" s="25"/>
      <c r="R112" s="25"/>
      <c r="S112" s="25"/>
      <c r="T112" s="25"/>
      <c r="U112" s="25"/>
      <c r="V112" s="53">
        <v>-1318</v>
      </c>
      <c r="W112" s="25"/>
      <c r="X112" s="5"/>
      <c r="Y112" s="109"/>
    </row>
    <row r="113" spans="1:24" ht="15.75" x14ac:dyDescent="0.25">
      <c r="A113" s="24">
        <v>7</v>
      </c>
      <c r="B113" s="25" t="s">
        <v>35</v>
      </c>
      <c r="C113" s="25"/>
      <c r="D113" s="25"/>
      <c r="E113" s="25"/>
      <c r="F113" s="25"/>
      <c r="G113" s="25"/>
      <c r="H113" s="25"/>
      <c r="I113" s="25"/>
      <c r="J113" s="25"/>
      <c r="K113" s="25"/>
      <c r="L113" s="25"/>
      <c r="M113" s="25"/>
      <c r="N113" s="25"/>
      <c r="O113" s="25"/>
      <c r="P113" s="25"/>
      <c r="Q113" s="25"/>
      <c r="R113" s="25"/>
      <c r="S113" s="25"/>
      <c r="T113" s="25"/>
      <c r="U113" s="25"/>
      <c r="V113" s="53">
        <v>-9</v>
      </c>
      <c r="W113" s="25"/>
      <c r="X113" s="5"/>
    </row>
    <row r="114" spans="1:24" ht="15.75" x14ac:dyDescent="0.25">
      <c r="A114" s="24">
        <f t="shared" ref="A114:A119" si="0">+A113+1</f>
        <v>8</v>
      </c>
      <c r="B114" s="25" t="s">
        <v>45</v>
      </c>
      <c r="C114" s="25"/>
      <c r="D114" s="25"/>
      <c r="E114" s="25"/>
      <c r="F114" s="25"/>
      <c r="G114" s="25"/>
      <c r="H114" s="25"/>
      <c r="I114" s="25"/>
      <c r="J114" s="25"/>
      <c r="K114" s="25"/>
      <c r="L114" s="25"/>
      <c r="M114" s="25"/>
      <c r="N114" s="25"/>
      <c r="O114" s="25"/>
      <c r="P114" s="25"/>
      <c r="Q114" s="25"/>
      <c r="R114" s="25"/>
      <c r="S114" s="25"/>
      <c r="T114" s="25">
        <v>0</v>
      </c>
      <c r="U114" s="25"/>
      <c r="V114" s="53">
        <v>0</v>
      </c>
      <c r="W114" s="25"/>
      <c r="X114" s="5"/>
    </row>
    <row r="115" spans="1:24" ht="15.75" x14ac:dyDescent="0.25">
      <c r="A115" s="24">
        <f t="shared" si="0"/>
        <v>9</v>
      </c>
      <c r="B115" s="25" t="s">
        <v>125</v>
      </c>
      <c r="C115" s="25"/>
      <c r="D115" s="25"/>
      <c r="E115" s="25"/>
      <c r="F115" s="25"/>
      <c r="G115" s="25"/>
      <c r="H115" s="25"/>
      <c r="I115" s="25"/>
      <c r="J115" s="25"/>
      <c r="K115" s="25"/>
      <c r="L115" s="25"/>
      <c r="M115" s="25"/>
      <c r="N115" s="25"/>
      <c r="O115" s="25"/>
      <c r="P115" s="25"/>
      <c r="Q115" s="25"/>
      <c r="R115" s="25"/>
      <c r="S115" s="25"/>
      <c r="T115" s="25"/>
      <c r="U115" s="25"/>
      <c r="V115" s="53">
        <v>0</v>
      </c>
      <c r="W115" s="25"/>
      <c r="X115" s="5"/>
    </row>
    <row r="116" spans="1:24" ht="15.75" x14ac:dyDescent="0.25">
      <c r="A116" s="24">
        <f t="shared" si="0"/>
        <v>10</v>
      </c>
      <c r="B116" s="25" t="s">
        <v>225</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4" ht="15.75" x14ac:dyDescent="0.25">
      <c r="A117" s="24">
        <f t="shared" si="0"/>
        <v>11</v>
      </c>
      <c r="B117" s="25" t="s">
        <v>36</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4" ht="15.75" x14ac:dyDescent="0.25">
      <c r="A118" s="24">
        <f t="shared" si="0"/>
        <v>12</v>
      </c>
      <c r="B118" s="25" t="s">
        <v>149</v>
      </c>
      <c r="C118" s="25"/>
      <c r="D118" s="25"/>
      <c r="E118" s="25"/>
      <c r="F118" s="25"/>
      <c r="G118" s="25"/>
      <c r="H118" s="25"/>
      <c r="I118" s="25"/>
      <c r="J118" s="25"/>
      <c r="K118" s="25"/>
      <c r="L118" s="25"/>
      <c r="M118" s="25"/>
      <c r="N118" s="25"/>
      <c r="O118" s="25"/>
      <c r="P118" s="25"/>
      <c r="Q118" s="25"/>
      <c r="R118" s="25"/>
      <c r="S118" s="25"/>
      <c r="T118" s="25"/>
      <c r="U118" s="25"/>
      <c r="V118" s="53">
        <v>-821</v>
      </c>
      <c r="W118" s="25"/>
      <c r="X118" s="5"/>
    </row>
    <row r="119" spans="1:24" ht="15.75" x14ac:dyDescent="0.25">
      <c r="A119" s="24">
        <f t="shared" si="0"/>
        <v>13</v>
      </c>
      <c r="B119" s="25" t="s">
        <v>126</v>
      </c>
      <c r="C119" s="25"/>
      <c r="D119" s="25"/>
      <c r="E119" s="25"/>
      <c r="F119" s="25"/>
      <c r="G119" s="25"/>
      <c r="H119" s="25"/>
      <c r="I119" s="25"/>
      <c r="J119" s="25"/>
      <c r="K119" s="25"/>
      <c r="L119" s="25"/>
      <c r="M119" s="25"/>
      <c r="N119" s="25"/>
      <c r="O119" s="25"/>
      <c r="P119" s="25"/>
      <c r="Q119" s="25"/>
      <c r="R119" s="25"/>
      <c r="S119" s="25"/>
      <c r="T119" s="25"/>
      <c r="U119" s="25"/>
      <c r="V119" s="53">
        <f>-V102-SUM(V104:V118)</f>
        <v>-2306</v>
      </c>
      <c r="W119" s="25"/>
      <c r="X119" s="5"/>
    </row>
    <row r="120" spans="1:24" ht="15.75" x14ac:dyDescent="0.25">
      <c r="A120" s="24"/>
      <c r="B120" s="118" t="s">
        <v>37</v>
      </c>
      <c r="C120" s="25"/>
      <c r="D120" s="25"/>
      <c r="E120" s="25"/>
      <c r="F120" s="25"/>
      <c r="G120" s="25"/>
      <c r="H120" s="25"/>
      <c r="I120" s="25"/>
      <c r="J120" s="25"/>
      <c r="K120" s="25"/>
      <c r="L120" s="25"/>
      <c r="M120" s="25"/>
      <c r="N120" s="25"/>
      <c r="O120" s="25"/>
      <c r="P120" s="25"/>
      <c r="Q120" s="25"/>
      <c r="R120" s="25"/>
      <c r="S120" s="25"/>
      <c r="T120" s="25"/>
      <c r="U120" s="25"/>
      <c r="V120" s="59"/>
      <c r="W120" s="25"/>
      <c r="X120" s="5"/>
    </row>
    <row r="121" spans="1:24" ht="15.75" x14ac:dyDescent="0.25">
      <c r="A121" s="24"/>
      <c r="B121" s="25" t="s">
        <v>173</v>
      </c>
      <c r="C121" s="25"/>
      <c r="D121" s="25"/>
      <c r="E121" s="25"/>
      <c r="F121" s="25"/>
      <c r="G121" s="25"/>
      <c r="H121" s="25"/>
      <c r="I121" s="25"/>
      <c r="J121" s="25"/>
      <c r="K121" s="25"/>
      <c r="L121" s="25"/>
      <c r="M121" s="25"/>
      <c r="N121" s="25"/>
      <c r="O121" s="25"/>
      <c r="P121" s="25"/>
      <c r="Q121" s="25"/>
      <c r="R121" s="25"/>
      <c r="S121" s="25"/>
      <c r="T121" s="34">
        <f>-T185</f>
        <v>-1399</v>
      </c>
      <c r="U121" s="34"/>
      <c r="V121" s="53"/>
      <c r="W121" s="25"/>
      <c r="X121" s="5"/>
    </row>
    <row r="122" spans="1:24" ht="15.75" x14ac:dyDescent="0.25">
      <c r="A122" s="24"/>
      <c r="B122" s="25" t="s">
        <v>174</v>
      </c>
      <c r="C122" s="25"/>
      <c r="D122" s="25"/>
      <c r="E122" s="25"/>
      <c r="F122" s="25"/>
      <c r="G122" s="25"/>
      <c r="H122" s="25"/>
      <c r="I122" s="25"/>
      <c r="J122" s="25"/>
      <c r="K122" s="25"/>
      <c r="L122" s="25"/>
      <c r="M122" s="25"/>
      <c r="N122" s="25"/>
      <c r="O122" s="25"/>
      <c r="P122" s="25"/>
      <c r="Q122" s="25"/>
      <c r="R122" s="25"/>
      <c r="S122" s="25"/>
      <c r="T122" s="34">
        <v>-10</v>
      </c>
      <c r="U122" s="34"/>
      <c r="V122" s="53"/>
      <c r="W122" s="25"/>
      <c r="X122" s="5"/>
    </row>
    <row r="123" spans="1:24" ht="15.75" x14ac:dyDescent="0.25">
      <c r="A123" s="24"/>
      <c r="B123" s="25" t="s">
        <v>38</v>
      </c>
      <c r="C123" s="25"/>
      <c r="D123" s="25"/>
      <c r="E123" s="25"/>
      <c r="F123" s="25"/>
      <c r="G123" s="25"/>
      <c r="H123" s="25"/>
      <c r="I123" s="25"/>
      <c r="J123" s="25"/>
      <c r="K123" s="25"/>
      <c r="L123" s="25"/>
      <c r="M123" s="25"/>
      <c r="N123" s="25"/>
      <c r="O123" s="25"/>
      <c r="P123" s="25"/>
      <c r="Q123" s="25"/>
      <c r="R123" s="25"/>
      <c r="S123" s="25"/>
      <c r="T123" s="34">
        <f>-S185</f>
        <v>-1757</v>
      </c>
      <c r="U123" s="34"/>
      <c r="V123" s="53"/>
      <c r="W123" s="25"/>
      <c r="X123" s="5"/>
    </row>
    <row r="124" spans="1:24" ht="15.75" x14ac:dyDescent="0.25">
      <c r="A124" s="24"/>
      <c r="B124" s="25" t="s">
        <v>197</v>
      </c>
      <c r="C124" s="25"/>
      <c r="D124" s="25"/>
      <c r="E124" s="25"/>
      <c r="F124" s="25"/>
      <c r="G124" s="25"/>
      <c r="H124" s="25"/>
      <c r="I124" s="25"/>
      <c r="J124" s="25"/>
      <c r="K124" s="25"/>
      <c r="L124" s="25"/>
      <c r="M124" s="25"/>
      <c r="N124" s="25"/>
      <c r="O124" s="25"/>
      <c r="P124" s="25"/>
      <c r="Q124" s="25"/>
      <c r="R124" s="25"/>
      <c r="S124" s="25"/>
      <c r="T124" s="34">
        <v>-2781</v>
      </c>
      <c r="U124" s="34"/>
      <c r="V124" s="53"/>
      <c r="W124" s="25"/>
      <c r="X124" s="5"/>
    </row>
    <row r="125" spans="1:24" ht="15.75" x14ac:dyDescent="0.25">
      <c r="A125" s="24"/>
      <c r="B125" s="25" t="s">
        <v>195</v>
      </c>
      <c r="C125" s="25"/>
      <c r="D125" s="25"/>
      <c r="E125" s="25"/>
      <c r="F125" s="25"/>
      <c r="G125" s="25"/>
      <c r="H125" s="25"/>
      <c r="I125" s="25"/>
      <c r="J125" s="25"/>
      <c r="K125" s="25"/>
      <c r="L125" s="25"/>
      <c r="M125" s="25"/>
      <c r="N125" s="25"/>
      <c r="O125" s="25"/>
      <c r="P125" s="25"/>
      <c r="Q125" s="25"/>
      <c r="R125" s="25"/>
      <c r="S125" s="25"/>
      <c r="T125" s="34">
        <v>-1182</v>
      </c>
      <c r="U125" s="34"/>
      <c r="V125" s="53"/>
      <c r="W125" s="25"/>
      <c r="X125" s="5"/>
    </row>
    <row r="126" spans="1:24" ht="15.75" x14ac:dyDescent="0.25">
      <c r="A126" s="24"/>
      <c r="B126" s="25" t="s">
        <v>194</v>
      </c>
      <c r="C126" s="25"/>
      <c r="D126" s="25"/>
      <c r="E126" s="25"/>
      <c r="F126" s="25"/>
      <c r="G126" s="25"/>
      <c r="H126" s="25"/>
      <c r="I126" s="25"/>
      <c r="J126" s="25"/>
      <c r="K126" s="25"/>
      <c r="L126" s="25"/>
      <c r="M126" s="25"/>
      <c r="N126" s="25"/>
      <c r="O126" s="25"/>
      <c r="P126" s="25"/>
      <c r="Q126" s="25"/>
      <c r="R126" s="25"/>
      <c r="S126" s="25"/>
      <c r="T126" s="34">
        <v>-421</v>
      </c>
      <c r="U126" s="34"/>
      <c r="V126" s="53"/>
      <c r="W126" s="25"/>
      <c r="X126" s="5"/>
    </row>
    <row r="127" spans="1:24" ht="15.75" x14ac:dyDescent="0.25">
      <c r="A127" s="24"/>
      <c r="B127" s="25" t="s">
        <v>222</v>
      </c>
      <c r="C127" s="25"/>
      <c r="D127" s="25"/>
      <c r="E127" s="25"/>
      <c r="F127" s="25"/>
      <c r="G127" s="25"/>
      <c r="H127" s="25"/>
      <c r="I127" s="25"/>
      <c r="J127" s="25"/>
      <c r="K127" s="25"/>
      <c r="L127" s="25"/>
      <c r="M127" s="25"/>
      <c r="N127" s="25"/>
      <c r="O127" s="25"/>
      <c r="P127" s="25"/>
      <c r="Q127" s="25"/>
      <c r="R127" s="25"/>
      <c r="S127" s="25"/>
      <c r="T127" s="34">
        <v>-417</v>
      </c>
      <c r="U127" s="34"/>
      <c r="V127" s="53"/>
      <c r="W127" s="25"/>
      <c r="X127" s="5"/>
    </row>
    <row r="128" spans="1:24" ht="15.75" x14ac:dyDescent="0.25">
      <c r="A128" s="24"/>
      <c r="B128" s="25" t="s">
        <v>189</v>
      </c>
      <c r="C128" s="25"/>
      <c r="D128" s="25"/>
      <c r="E128" s="25"/>
      <c r="F128" s="25"/>
      <c r="G128" s="25"/>
      <c r="H128" s="25"/>
      <c r="I128" s="25"/>
      <c r="J128" s="25"/>
      <c r="K128" s="25"/>
      <c r="L128" s="25"/>
      <c r="M128" s="25"/>
      <c r="N128" s="25"/>
      <c r="O128" s="25"/>
      <c r="P128" s="25"/>
      <c r="Q128" s="25"/>
      <c r="R128" s="25"/>
      <c r="S128" s="25"/>
      <c r="T128" s="34">
        <v>0</v>
      </c>
      <c r="U128" s="34"/>
      <c r="V128" s="53"/>
      <c r="W128" s="25"/>
      <c r="X128" s="5"/>
    </row>
    <row r="129" spans="1:24" ht="15.75" x14ac:dyDescent="0.25">
      <c r="A129" s="24"/>
      <c r="B129" s="25" t="s">
        <v>188</v>
      </c>
      <c r="C129" s="25"/>
      <c r="D129" s="25"/>
      <c r="E129" s="25"/>
      <c r="F129" s="25"/>
      <c r="G129" s="25"/>
      <c r="H129" s="25"/>
      <c r="I129" s="25"/>
      <c r="J129" s="25"/>
      <c r="K129" s="25"/>
      <c r="L129" s="25"/>
      <c r="M129" s="25"/>
      <c r="N129" s="25"/>
      <c r="O129" s="25"/>
      <c r="P129" s="25"/>
      <c r="Q129" s="25"/>
      <c r="R129" s="25"/>
      <c r="S129" s="25"/>
      <c r="T129" s="34">
        <v>0</v>
      </c>
      <c r="U129" s="34"/>
      <c r="V129" s="53"/>
      <c r="W129" s="25"/>
      <c r="X129" s="5"/>
    </row>
    <row r="130" spans="1:24" ht="15.75" x14ac:dyDescent="0.25">
      <c r="A130" s="24"/>
      <c r="B130" s="25" t="s">
        <v>187</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75" x14ac:dyDescent="0.25">
      <c r="A131" s="24"/>
      <c r="B131" s="25" t="s">
        <v>39</v>
      </c>
      <c r="C131" s="25"/>
      <c r="D131" s="25"/>
      <c r="E131" s="25"/>
      <c r="F131" s="25"/>
      <c r="G131" s="25"/>
      <c r="H131" s="25"/>
      <c r="I131" s="25"/>
      <c r="J131" s="25"/>
      <c r="K131" s="25"/>
      <c r="L131" s="25"/>
      <c r="M131" s="25"/>
      <c r="N131" s="25"/>
      <c r="O131" s="25"/>
      <c r="P131" s="25"/>
      <c r="Q131" s="25"/>
      <c r="R131" s="25"/>
      <c r="S131" s="25"/>
      <c r="T131" s="34">
        <f>SUM(T121:T130)</f>
        <v>-7967</v>
      </c>
      <c r="U131" s="34"/>
      <c r="V131" s="34">
        <f>SUM(V103:V129)</f>
        <v>-19710</v>
      </c>
      <c r="W131" s="25"/>
      <c r="X131" s="5"/>
    </row>
    <row r="132" spans="1:24" ht="15.75" x14ac:dyDescent="0.25">
      <c r="A132" s="24"/>
      <c r="B132" s="25" t="s">
        <v>40</v>
      </c>
      <c r="C132" s="25"/>
      <c r="D132" s="25"/>
      <c r="E132" s="25"/>
      <c r="F132" s="25"/>
      <c r="G132" s="25"/>
      <c r="H132" s="25"/>
      <c r="I132" s="25"/>
      <c r="J132" s="25"/>
      <c r="K132" s="25"/>
      <c r="L132" s="25"/>
      <c r="M132" s="25"/>
      <c r="N132" s="25"/>
      <c r="O132" s="25"/>
      <c r="P132" s="25"/>
      <c r="Q132" s="25"/>
      <c r="R132" s="25"/>
      <c r="S132" s="25"/>
      <c r="T132" s="34">
        <f>T102+T131+T114</f>
        <v>0</v>
      </c>
      <c r="U132" s="34"/>
      <c r="V132" s="34">
        <f>V102+V131</f>
        <v>0</v>
      </c>
      <c r="W132" s="25"/>
      <c r="X132" s="5"/>
    </row>
    <row r="133" spans="1:24" ht="15.75" x14ac:dyDescent="0.25">
      <c r="A133" s="24"/>
      <c r="B133" s="25"/>
      <c r="C133" s="25"/>
      <c r="D133" s="25"/>
      <c r="E133" s="25"/>
      <c r="F133" s="25"/>
      <c r="G133" s="25"/>
      <c r="H133" s="25"/>
      <c r="I133" s="25"/>
      <c r="J133" s="25"/>
      <c r="K133" s="25"/>
      <c r="L133" s="25"/>
      <c r="M133" s="25"/>
      <c r="N133" s="25"/>
      <c r="O133" s="25"/>
      <c r="P133" s="25"/>
      <c r="Q133" s="25"/>
      <c r="R133" s="25"/>
      <c r="S133" s="25"/>
      <c r="T133" s="34"/>
      <c r="U133" s="34"/>
      <c r="V133" s="34"/>
      <c r="W133" s="25"/>
      <c r="X133" s="5"/>
    </row>
    <row r="134" spans="1:24" ht="15.75" x14ac:dyDescent="0.25">
      <c r="A134" s="6"/>
      <c r="B134" s="8"/>
      <c r="C134" s="8"/>
      <c r="D134" s="8"/>
      <c r="E134" s="8"/>
      <c r="F134" s="8"/>
      <c r="G134" s="8"/>
      <c r="H134" s="8"/>
      <c r="I134" s="8"/>
      <c r="J134" s="8"/>
      <c r="K134" s="8"/>
      <c r="L134" s="8"/>
      <c r="M134" s="8"/>
      <c r="N134" s="8"/>
      <c r="O134" s="8"/>
      <c r="P134" s="8"/>
      <c r="Q134" s="8"/>
      <c r="R134" s="8"/>
      <c r="S134" s="8"/>
      <c r="T134" s="8"/>
      <c r="U134" s="8"/>
      <c r="V134" s="52"/>
      <c r="W134" s="8"/>
      <c r="X134" s="5"/>
    </row>
    <row r="135" spans="1:24" ht="19.5" thickBot="1" x14ac:dyDescent="0.35">
      <c r="A135" s="101"/>
      <c r="B135" s="102" t="str">
        <f>B64</f>
        <v>PM15 INVESTOR REPORT QUARTER ENDING FEBRUARY 2008</v>
      </c>
      <c r="C135" s="103"/>
      <c r="D135" s="103"/>
      <c r="E135" s="103"/>
      <c r="F135" s="103"/>
      <c r="G135" s="103"/>
      <c r="H135" s="103"/>
      <c r="I135" s="103"/>
      <c r="J135" s="103"/>
      <c r="K135" s="103"/>
      <c r="L135" s="103"/>
      <c r="M135" s="103"/>
      <c r="N135" s="103"/>
      <c r="O135" s="103"/>
      <c r="P135" s="103"/>
      <c r="Q135" s="103"/>
      <c r="R135" s="103"/>
      <c r="S135" s="103"/>
      <c r="T135" s="103"/>
      <c r="U135" s="103"/>
      <c r="V135" s="106"/>
      <c r="W135" s="105"/>
      <c r="X135" s="5"/>
    </row>
    <row r="136" spans="1:24" ht="15.75" x14ac:dyDescent="0.25">
      <c r="A136" s="2"/>
      <c r="B136" s="60" t="s">
        <v>41</v>
      </c>
      <c r="C136" s="4"/>
      <c r="D136" s="4"/>
      <c r="E136" s="4"/>
      <c r="F136" s="4"/>
      <c r="G136" s="4"/>
      <c r="H136" s="4"/>
      <c r="I136" s="4"/>
      <c r="J136" s="4"/>
      <c r="K136" s="4"/>
      <c r="L136" s="4"/>
      <c r="M136" s="4"/>
      <c r="N136" s="4"/>
      <c r="O136" s="4"/>
      <c r="P136" s="4"/>
      <c r="Q136" s="4"/>
      <c r="R136" s="4"/>
      <c r="S136" s="4"/>
      <c r="T136" s="4"/>
      <c r="U136" s="4"/>
      <c r="V136" s="50"/>
      <c r="W136" s="4"/>
      <c r="X136" s="5"/>
    </row>
    <row r="137" spans="1:24" ht="15.75" x14ac:dyDescent="0.25">
      <c r="A137" s="6"/>
      <c r="B137" s="21"/>
      <c r="C137" s="8"/>
      <c r="D137" s="8"/>
      <c r="E137" s="8"/>
      <c r="F137" s="8"/>
      <c r="G137" s="8"/>
      <c r="H137" s="8"/>
      <c r="I137" s="8"/>
      <c r="J137" s="8"/>
      <c r="K137" s="8"/>
      <c r="L137" s="8"/>
      <c r="M137" s="8"/>
      <c r="N137" s="8"/>
      <c r="O137" s="8"/>
      <c r="P137" s="8"/>
      <c r="Q137" s="8"/>
      <c r="R137" s="8"/>
      <c r="S137" s="8"/>
      <c r="T137" s="8"/>
      <c r="U137" s="8"/>
      <c r="V137" s="52"/>
      <c r="W137" s="8"/>
      <c r="X137" s="5"/>
    </row>
    <row r="138" spans="1:24" ht="15.75" x14ac:dyDescent="0.25">
      <c r="A138" s="6"/>
      <c r="B138" s="119" t="s">
        <v>42</v>
      </c>
      <c r="C138" s="8"/>
      <c r="D138" s="8"/>
      <c r="E138" s="8"/>
      <c r="F138" s="8"/>
      <c r="G138" s="8"/>
      <c r="H138" s="8"/>
      <c r="I138" s="8"/>
      <c r="J138" s="8"/>
      <c r="K138" s="8"/>
      <c r="L138" s="8"/>
      <c r="M138" s="8"/>
      <c r="N138" s="8"/>
      <c r="O138" s="8"/>
      <c r="P138" s="8"/>
      <c r="Q138" s="8"/>
      <c r="R138" s="8"/>
      <c r="S138" s="8"/>
      <c r="T138" s="8"/>
      <c r="U138" s="8"/>
      <c r="V138" s="52"/>
      <c r="W138" s="8"/>
      <c r="X138" s="5"/>
    </row>
    <row r="139" spans="1:24" ht="15.75" x14ac:dyDescent="0.25">
      <c r="A139" s="24"/>
      <c r="B139" s="25" t="s">
        <v>43</v>
      </c>
      <c r="C139" s="25"/>
      <c r="D139" s="25"/>
      <c r="E139" s="25"/>
      <c r="F139" s="25"/>
      <c r="G139" s="25"/>
      <c r="H139" s="25"/>
      <c r="I139" s="25"/>
      <c r="J139" s="25"/>
      <c r="K139" s="25"/>
      <c r="L139" s="25"/>
      <c r="M139" s="25"/>
      <c r="N139" s="25"/>
      <c r="O139" s="25"/>
      <c r="P139" s="25"/>
      <c r="Q139" s="25"/>
      <c r="R139" s="25"/>
      <c r="S139" s="25"/>
      <c r="T139" s="25"/>
      <c r="U139" s="25"/>
      <c r="V139" s="53">
        <f>+V34*0.019</f>
        <v>19021.526999999998</v>
      </c>
      <c r="W139" s="25"/>
      <c r="X139" s="5"/>
    </row>
    <row r="140" spans="1:24" ht="15.75" x14ac:dyDescent="0.25">
      <c r="A140" s="24"/>
      <c r="B140" s="25" t="s">
        <v>44</v>
      </c>
      <c r="C140" s="25"/>
      <c r="D140" s="25"/>
      <c r="E140" s="25"/>
      <c r="F140" s="25"/>
      <c r="G140" s="25"/>
      <c r="H140" s="25"/>
      <c r="I140" s="25"/>
      <c r="J140" s="25"/>
      <c r="K140" s="25"/>
      <c r="L140" s="25"/>
      <c r="M140" s="25"/>
      <c r="N140" s="25"/>
      <c r="O140" s="25"/>
      <c r="P140" s="25"/>
      <c r="Q140" s="25"/>
      <c r="R140" s="25"/>
      <c r="S140" s="25"/>
      <c r="T140" s="25"/>
      <c r="U140" s="25"/>
      <c r="V140" s="53">
        <v>19022</v>
      </c>
      <c r="W140" s="25"/>
      <c r="X140" s="5"/>
    </row>
    <row r="141" spans="1:24" ht="15.75" x14ac:dyDescent="0.25">
      <c r="A141" s="24"/>
      <c r="B141" s="25" t="s">
        <v>136</v>
      </c>
      <c r="C141" s="25"/>
      <c r="D141" s="25"/>
      <c r="E141" s="25"/>
      <c r="F141" s="25"/>
      <c r="G141" s="25"/>
      <c r="H141" s="25"/>
      <c r="I141" s="25"/>
      <c r="J141" s="25"/>
      <c r="K141" s="25"/>
      <c r="L141" s="25"/>
      <c r="M141" s="25"/>
      <c r="N141" s="25"/>
      <c r="O141" s="25"/>
      <c r="P141" s="25"/>
      <c r="Q141" s="25"/>
      <c r="R141" s="25"/>
      <c r="S141" s="25"/>
      <c r="T141" s="25"/>
      <c r="U141" s="25"/>
      <c r="V141" s="53"/>
      <c r="W141" s="25"/>
      <c r="X141" s="5"/>
    </row>
    <row r="142" spans="1:24" ht="15.75" x14ac:dyDescent="0.25">
      <c r="A142" s="24"/>
      <c r="B142" s="25" t="s">
        <v>123</v>
      </c>
      <c r="C142" s="25"/>
      <c r="D142" s="25"/>
      <c r="E142" s="25"/>
      <c r="F142" s="25"/>
      <c r="G142" s="25"/>
      <c r="H142" s="25"/>
      <c r="I142" s="25"/>
      <c r="J142" s="25"/>
      <c r="K142" s="25"/>
      <c r="L142" s="25"/>
      <c r="M142" s="25"/>
      <c r="N142" s="25"/>
      <c r="O142" s="25"/>
      <c r="P142" s="25"/>
      <c r="Q142" s="25"/>
      <c r="R142" s="25"/>
      <c r="S142" s="25"/>
      <c r="T142" s="25"/>
      <c r="U142" s="25"/>
      <c r="V142" s="53">
        <v>0</v>
      </c>
      <c r="W142" s="25"/>
      <c r="X142" s="5"/>
    </row>
    <row r="143" spans="1:24" ht="15.75" x14ac:dyDescent="0.25">
      <c r="A143" s="24"/>
      <c r="B143" s="25" t="s">
        <v>124</v>
      </c>
      <c r="C143" s="25"/>
      <c r="D143" s="25"/>
      <c r="E143" s="25"/>
      <c r="F143" s="25"/>
      <c r="G143" s="25"/>
      <c r="H143" s="25"/>
      <c r="I143" s="25"/>
      <c r="J143" s="25"/>
      <c r="K143" s="25"/>
      <c r="L143" s="25"/>
      <c r="M143" s="25"/>
      <c r="N143" s="25"/>
      <c r="O143" s="25"/>
      <c r="P143" s="25"/>
      <c r="Q143" s="25"/>
      <c r="R143" s="25"/>
      <c r="S143" s="25"/>
      <c r="T143" s="25"/>
      <c r="U143" s="25"/>
      <c r="V143" s="53">
        <v>0</v>
      </c>
      <c r="W143" s="25"/>
      <c r="X143" s="5"/>
    </row>
    <row r="144" spans="1:24" ht="15.75" x14ac:dyDescent="0.25">
      <c r="A144" s="24"/>
      <c r="B144" s="25" t="s">
        <v>175</v>
      </c>
      <c r="C144" s="25"/>
      <c r="D144" s="25"/>
      <c r="E144" s="25"/>
      <c r="F144" s="25"/>
      <c r="G144" s="25"/>
      <c r="H144" s="25"/>
      <c r="I144" s="25"/>
      <c r="J144" s="25"/>
      <c r="K144" s="25"/>
      <c r="L144" s="25"/>
      <c r="M144" s="25"/>
      <c r="N144" s="25"/>
      <c r="O144" s="25"/>
      <c r="P144" s="25"/>
      <c r="Q144" s="25"/>
      <c r="R144" s="25"/>
      <c r="S144" s="25"/>
      <c r="T144" s="25"/>
      <c r="U144" s="25"/>
      <c r="V144" s="53">
        <v>0</v>
      </c>
      <c r="W144" s="25"/>
      <c r="X144" s="5"/>
    </row>
    <row r="145" spans="1:25" ht="15.75" x14ac:dyDescent="0.25">
      <c r="A145" s="24"/>
      <c r="B145" s="25" t="s">
        <v>45</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75" x14ac:dyDescent="0.25">
      <c r="A146" s="24"/>
      <c r="B146" s="25" t="s">
        <v>129</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75" x14ac:dyDescent="0.25">
      <c r="A147" s="24"/>
      <c r="B147" s="25" t="s">
        <v>241</v>
      </c>
      <c r="C147" s="25"/>
      <c r="D147" s="25"/>
      <c r="E147" s="25"/>
      <c r="F147" s="25"/>
      <c r="G147" s="25"/>
      <c r="H147" s="25"/>
      <c r="I147" s="25"/>
      <c r="J147" s="25"/>
      <c r="K147" s="25"/>
      <c r="L147" s="25"/>
      <c r="M147" s="25"/>
      <c r="N147" s="25"/>
      <c r="O147" s="25"/>
      <c r="P147" s="25"/>
      <c r="Q147" s="25"/>
      <c r="R147" s="25"/>
      <c r="S147" s="25"/>
      <c r="T147" s="25"/>
      <c r="U147" s="25"/>
      <c r="V147" s="53">
        <v>0</v>
      </c>
      <c r="W147" s="25"/>
      <c r="X147" s="5"/>
      <c r="Y147" s="109"/>
    </row>
    <row r="148" spans="1:25" ht="15.75" x14ac:dyDescent="0.25">
      <c r="A148" s="24"/>
      <c r="B148" s="25" t="s">
        <v>46</v>
      </c>
      <c r="C148" s="25"/>
      <c r="D148" s="25"/>
      <c r="E148" s="25"/>
      <c r="F148" s="25"/>
      <c r="G148" s="25"/>
      <c r="H148" s="25"/>
      <c r="I148" s="25"/>
      <c r="J148" s="25"/>
      <c r="K148" s="25"/>
      <c r="L148" s="25"/>
      <c r="M148" s="25"/>
      <c r="N148" s="25"/>
      <c r="O148" s="25"/>
      <c r="P148" s="25"/>
      <c r="Q148" s="25"/>
      <c r="R148" s="25"/>
      <c r="S148" s="25"/>
      <c r="T148" s="25"/>
      <c r="U148" s="25"/>
      <c r="V148" s="53">
        <f>SUM(V140:V147)</f>
        <v>19022</v>
      </c>
      <c r="W148" s="25"/>
      <c r="X148" s="5"/>
    </row>
    <row r="149" spans="1:25" ht="15.75" x14ac:dyDescent="0.25">
      <c r="A149" s="24"/>
      <c r="B149" s="25"/>
      <c r="C149" s="25"/>
      <c r="D149" s="25"/>
      <c r="E149" s="25"/>
      <c r="F149" s="25"/>
      <c r="G149" s="25"/>
      <c r="H149" s="25"/>
      <c r="I149" s="25"/>
      <c r="J149" s="25"/>
      <c r="K149" s="25"/>
      <c r="L149" s="25"/>
      <c r="M149" s="25"/>
      <c r="N149" s="25"/>
      <c r="O149" s="25"/>
      <c r="P149" s="25"/>
      <c r="Q149" s="25"/>
      <c r="R149" s="25"/>
      <c r="S149" s="25"/>
      <c r="T149" s="25"/>
      <c r="U149" s="25"/>
      <c r="V149" s="53"/>
      <c r="W149" s="25"/>
      <c r="X149" s="5"/>
    </row>
    <row r="150" spans="1:25" ht="15.75" x14ac:dyDescent="0.25">
      <c r="A150" s="24"/>
      <c r="B150" s="135" t="s">
        <v>269</v>
      </c>
      <c r="C150" s="25"/>
      <c r="D150" s="25"/>
      <c r="E150" s="25"/>
      <c r="F150" s="25"/>
      <c r="G150" s="25"/>
      <c r="H150" s="25"/>
      <c r="I150" s="25"/>
      <c r="J150" s="25"/>
      <c r="K150" s="25"/>
      <c r="L150" s="25"/>
      <c r="M150" s="25"/>
      <c r="N150" s="25"/>
      <c r="O150" s="25"/>
      <c r="P150" s="25"/>
      <c r="Q150" s="25"/>
      <c r="R150" s="25"/>
      <c r="S150" s="25"/>
      <c r="T150" s="25"/>
      <c r="U150" s="25"/>
      <c r="V150" s="53"/>
      <c r="W150" s="25"/>
      <c r="X150" s="5"/>
    </row>
    <row r="151" spans="1:25" ht="15.75" x14ac:dyDescent="0.25">
      <c r="A151" s="24"/>
      <c r="B151" s="25" t="s">
        <v>155</v>
      </c>
      <c r="C151" s="25"/>
      <c r="D151" s="25"/>
      <c r="E151" s="25"/>
      <c r="F151" s="25"/>
      <c r="G151" s="25"/>
      <c r="H151" s="25"/>
      <c r="I151" s="25"/>
      <c r="J151" s="25"/>
      <c r="K151" s="25"/>
      <c r="L151" s="25"/>
      <c r="M151" s="25"/>
      <c r="N151" s="25"/>
      <c r="O151" s="25"/>
      <c r="P151" s="25"/>
      <c r="Q151" s="25"/>
      <c r="R151" s="25"/>
      <c r="S151" s="25"/>
      <c r="T151" s="25"/>
      <c r="U151" s="25"/>
      <c r="V151" s="53">
        <v>0</v>
      </c>
      <c r="W151" s="25"/>
      <c r="X151" s="5"/>
    </row>
    <row r="152" spans="1:25" ht="15.75" x14ac:dyDescent="0.25">
      <c r="A152" s="24"/>
      <c r="B152" s="25" t="s">
        <v>172</v>
      </c>
      <c r="C152" s="25"/>
      <c r="D152" s="25"/>
      <c r="E152" s="25"/>
      <c r="F152" s="25"/>
      <c r="G152" s="25"/>
      <c r="H152" s="25"/>
      <c r="I152" s="25"/>
      <c r="J152" s="25"/>
      <c r="K152" s="25"/>
      <c r="L152" s="25"/>
      <c r="M152" s="25"/>
      <c r="N152" s="25"/>
      <c r="O152" s="25"/>
      <c r="P152" s="25"/>
      <c r="Q152" s="25"/>
      <c r="R152" s="25"/>
      <c r="S152" s="25"/>
      <c r="T152" s="25"/>
      <c r="U152" s="25"/>
      <c r="V152" s="53">
        <v>0</v>
      </c>
      <c r="W152" s="25"/>
      <c r="X152" s="5"/>
    </row>
    <row r="153" spans="1:25" ht="15.75" x14ac:dyDescent="0.25">
      <c r="A153" s="24"/>
      <c r="B153" s="25" t="s">
        <v>226</v>
      </c>
      <c r="C153" s="25"/>
      <c r="D153" s="25"/>
      <c r="E153" s="25"/>
      <c r="F153" s="25"/>
      <c r="G153" s="25"/>
      <c r="H153" s="25"/>
      <c r="I153" s="25"/>
      <c r="J153" s="25"/>
      <c r="K153" s="25"/>
      <c r="L153" s="25"/>
      <c r="M153" s="25"/>
      <c r="N153" s="25"/>
      <c r="O153" s="25"/>
      <c r="P153" s="25"/>
      <c r="Q153" s="25"/>
      <c r="R153" s="25"/>
      <c r="S153" s="25"/>
      <c r="T153" s="25"/>
      <c r="U153" s="25"/>
      <c r="V153" s="53">
        <v>0</v>
      </c>
      <c r="W153" s="25"/>
      <c r="X153" s="5"/>
    </row>
    <row r="154" spans="1:25" ht="15.75" x14ac:dyDescent="0.25">
      <c r="A154" s="24"/>
      <c r="B154" s="25"/>
      <c r="C154" s="25"/>
      <c r="D154" s="25"/>
      <c r="E154" s="25"/>
      <c r="F154" s="25"/>
      <c r="G154" s="25"/>
      <c r="H154" s="25"/>
      <c r="I154" s="25"/>
      <c r="J154" s="25"/>
      <c r="K154" s="25"/>
      <c r="L154" s="25"/>
      <c r="M154" s="25"/>
      <c r="N154" s="25"/>
      <c r="O154" s="25"/>
      <c r="P154" s="25"/>
      <c r="Q154" s="25"/>
      <c r="R154" s="25"/>
      <c r="S154" s="25"/>
      <c r="T154" s="25"/>
      <c r="U154" s="25"/>
      <c r="V154" s="53"/>
      <c r="W154" s="25"/>
      <c r="X154" s="5"/>
    </row>
    <row r="155" spans="1:25" ht="15.75" x14ac:dyDescent="0.25">
      <c r="A155" s="24"/>
      <c r="B155" s="25"/>
      <c r="C155" s="25"/>
      <c r="D155" s="25"/>
      <c r="E155" s="25"/>
      <c r="F155" s="25"/>
      <c r="G155" s="25"/>
      <c r="H155" s="25"/>
      <c r="I155" s="25"/>
      <c r="J155" s="25"/>
      <c r="K155" s="25"/>
      <c r="L155" s="25"/>
      <c r="M155" s="25"/>
      <c r="N155" s="25"/>
      <c r="O155" s="25"/>
      <c r="P155" s="25"/>
      <c r="Q155" s="25"/>
      <c r="R155" s="25"/>
      <c r="S155" s="25"/>
      <c r="T155" s="25"/>
      <c r="U155" s="25"/>
      <c r="V155" s="61"/>
      <c r="W155" s="25"/>
      <c r="X155" s="5"/>
    </row>
    <row r="156" spans="1:25" ht="15.75" x14ac:dyDescent="0.25">
      <c r="A156" s="6"/>
      <c r="B156" s="119" t="s">
        <v>24</v>
      </c>
      <c r="C156" s="8"/>
      <c r="D156" s="8"/>
      <c r="E156" s="8"/>
      <c r="F156" s="8"/>
      <c r="G156" s="8"/>
      <c r="H156" s="8"/>
      <c r="I156" s="8"/>
      <c r="J156" s="8"/>
      <c r="K156" s="8"/>
      <c r="L156" s="8"/>
      <c r="M156" s="8"/>
      <c r="N156" s="8"/>
      <c r="O156" s="8"/>
      <c r="P156" s="8"/>
      <c r="Q156" s="8"/>
      <c r="R156" s="8"/>
      <c r="S156" s="8"/>
      <c r="T156" s="8"/>
      <c r="U156" s="8"/>
      <c r="V156" s="52"/>
      <c r="W156" s="8"/>
      <c r="X156" s="5"/>
    </row>
    <row r="157" spans="1:25" ht="15.75" x14ac:dyDescent="0.25">
      <c r="A157" s="24"/>
      <c r="B157" s="25" t="s">
        <v>47</v>
      </c>
      <c r="C157" s="25"/>
      <c r="D157" s="25"/>
      <c r="E157" s="25"/>
      <c r="F157" s="25"/>
      <c r="G157" s="25"/>
      <c r="H157" s="25"/>
      <c r="I157" s="25"/>
      <c r="J157" s="25"/>
      <c r="K157" s="25"/>
      <c r="L157" s="25"/>
      <c r="M157" s="25"/>
      <c r="N157" s="25"/>
      <c r="O157" s="25"/>
      <c r="P157" s="25"/>
      <c r="Q157" s="25"/>
      <c r="R157" s="25"/>
      <c r="S157" s="25"/>
      <c r="T157" s="25"/>
      <c r="U157" s="25"/>
      <c r="V157" s="59" t="s">
        <v>118</v>
      </c>
      <c r="W157" s="25"/>
      <c r="X157" s="5"/>
    </row>
    <row r="158" spans="1:25" ht="15.75" x14ac:dyDescent="0.25">
      <c r="A158" s="24"/>
      <c r="B158" s="25" t="s">
        <v>48</v>
      </c>
      <c r="C158" s="174"/>
      <c r="D158" s="174"/>
      <c r="E158" s="174"/>
      <c r="F158" s="174"/>
      <c r="G158" s="174"/>
      <c r="H158" s="174"/>
      <c r="I158" s="174"/>
      <c r="J158" s="174"/>
      <c r="K158" s="174"/>
      <c r="L158" s="174"/>
      <c r="M158" s="174"/>
      <c r="N158" s="174"/>
      <c r="O158" s="174"/>
      <c r="P158" s="174"/>
      <c r="Q158" s="174"/>
      <c r="R158" s="174"/>
      <c r="S158" s="174"/>
      <c r="T158" s="174"/>
      <c r="U158" s="174"/>
      <c r="V158" s="59" t="s">
        <v>118</v>
      </c>
      <c r="W158" s="25"/>
      <c r="X158" s="5"/>
    </row>
    <row r="159" spans="1:25" ht="15.75" x14ac:dyDescent="0.25">
      <c r="A159" s="24"/>
      <c r="B159" s="25" t="s">
        <v>49</v>
      </c>
      <c r="C159" s="25"/>
      <c r="D159" s="25"/>
      <c r="E159" s="25"/>
      <c r="F159" s="25"/>
      <c r="G159" s="25"/>
      <c r="H159" s="25"/>
      <c r="I159" s="25"/>
      <c r="J159" s="25"/>
      <c r="K159" s="25"/>
      <c r="L159" s="25"/>
      <c r="M159" s="25"/>
      <c r="N159" s="25"/>
      <c r="O159" s="25"/>
      <c r="P159" s="25"/>
      <c r="Q159" s="25"/>
      <c r="R159" s="25"/>
      <c r="S159" s="25"/>
      <c r="T159" s="25"/>
      <c r="U159" s="25"/>
      <c r="V159" s="59" t="s">
        <v>118</v>
      </c>
      <c r="W159" s="25"/>
      <c r="X159" s="5"/>
    </row>
    <row r="160" spans="1:25" ht="15.75" x14ac:dyDescent="0.25">
      <c r="A160" s="24"/>
      <c r="B160" s="25" t="s">
        <v>50</v>
      </c>
      <c r="C160" s="25"/>
      <c r="D160" s="25"/>
      <c r="E160" s="25"/>
      <c r="F160" s="25"/>
      <c r="G160" s="25"/>
      <c r="H160" s="25"/>
      <c r="I160" s="25"/>
      <c r="J160" s="25"/>
      <c r="K160" s="25"/>
      <c r="L160" s="25"/>
      <c r="M160" s="25"/>
      <c r="N160" s="25"/>
      <c r="O160" s="25"/>
      <c r="P160" s="25"/>
      <c r="Q160" s="25"/>
      <c r="R160" s="25"/>
      <c r="S160" s="25"/>
      <c r="T160" s="25"/>
      <c r="U160" s="25"/>
      <c r="V160" s="59" t="s">
        <v>118</v>
      </c>
      <c r="W160" s="25"/>
      <c r="X160" s="5"/>
    </row>
    <row r="161" spans="1:256" ht="15.75" x14ac:dyDescent="0.25">
      <c r="A161" s="24"/>
      <c r="B161" s="25"/>
      <c r="C161" s="25"/>
      <c r="D161" s="25"/>
      <c r="E161" s="25"/>
      <c r="F161" s="25"/>
      <c r="G161" s="25"/>
      <c r="H161" s="25"/>
      <c r="I161" s="25"/>
      <c r="J161" s="25"/>
      <c r="K161" s="25"/>
      <c r="L161" s="25"/>
      <c r="M161" s="25"/>
      <c r="N161" s="25"/>
      <c r="O161" s="25"/>
      <c r="P161" s="25"/>
      <c r="Q161" s="25"/>
      <c r="R161" s="25"/>
      <c r="S161" s="25"/>
      <c r="T161" s="25"/>
      <c r="U161" s="25"/>
      <c r="V161" s="61"/>
      <c r="W161" s="25"/>
      <c r="X161" s="5"/>
    </row>
    <row r="162" spans="1:256" ht="15.75" x14ac:dyDescent="0.25">
      <c r="A162" s="6"/>
      <c r="B162" s="119" t="s">
        <v>51</v>
      </c>
      <c r="C162" s="8"/>
      <c r="D162" s="8"/>
      <c r="E162" s="8"/>
      <c r="F162" s="8"/>
      <c r="G162" s="8"/>
      <c r="H162" s="8"/>
      <c r="I162" s="8"/>
      <c r="J162" s="8"/>
      <c r="K162" s="8"/>
      <c r="L162" s="8"/>
      <c r="M162" s="8"/>
      <c r="N162" s="8"/>
      <c r="O162" s="8"/>
      <c r="P162" s="8"/>
      <c r="Q162" s="8"/>
      <c r="R162" s="8"/>
      <c r="S162" s="8"/>
      <c r="T162" s="8"/>
      <c r="U162" s="8"/>
      <c r="V162" s="63"/>
      <c r="W162" s="8"/>
      <c r="X162" s="5"/>
    </row>
    <row r="163" spans="1:256" ht="15.75" x14ac:dyDescent="0.25">
      <c r="A163" s="24"/>
      <c r="B163" s="25" t="s">
        <v>52</v>
      </c>
      <c r="C163" s="25"/>
      <c r="D163" s="25"/>
      <c r="E163" s="25"/>
      <c r="F163" s="25"/>
      <c r="G163" s="25"/>
      <c r="H163" s="25"/>
      <c r="I163" s="25"/>
      <c r="J163" s="25"/>
      <c r="K163" s="25"/>
      <c r="L163" s="25"/>
      <c r="M163" s="25"/>
      <c r="N163" s="25"/>
      <c r="O163" s="25"/>
      <c r="P163" s="25"/>
      <c r="Q163" s="25"/>
      <c r="R163" s="25"/>
      <c r="S163" s="25"/>
      <c r="T163" s="25"/>
      <c r="U163" s="25"/>
      <c r="V163" s="53">
        <v>0</v>
      </c>
      <c r="W163" s="25"/>
      <c r="X163" s="5"/>
    </row>
    <row r="164" spans="1:256" ht="15.75" x14ac:dyDescent="0.25">
      <c r="A164" s="24"/>
      <c r="B164" s="25" t="s">
        <v>53</v>
      </c>
      <c r="C164" s="25"/>
      <c r="D164" s="25"/>
      <c r="E164" s="25"/>
      <c r="F164" s="25"/>
      <c r="G164" s="25"/>
      <c r="H164" s="25"/>
      <c r="I164" s="25"/>
      <c r="J164" s="25"/>
      <c r="K164" s="25"/>
      <c r="L164" s="25"/>
      <c r="M164" s="25"/>
      <c r="N164" s="25"/>
      <c r="O164" s="25"/>
      <c r="P164" s="25"/>
      <c r="Q164" s="25"/>
      <c r="R164" s="25"/>
      <c r="S164" s="25"/>
      <c r="T164" s="25"/>
      <c r="U164" s="25"/>
      <c r="V164" s="53">
        <v>0</v>
      </c>
      <c r="W164" s="25"/>
      <c r="X164" s="5"/>
    </row>
    <row r="165" spans="1:256" ht="15.75" x14ac:dyDescent="0.25">
      <c r="A165" s="24"/>
      <c r="B165" s="25" t="s">
        <v>54</v>
      </c>
      <c r="C165" s="25"/>
      <c r="D165" s="25"/>
      <c r="E165" s="25"/>
      <c r="F165" s="25"/>
      <c r="G165" s="25"/>
      <c r="H165" s="25"/>
      <c r="I165" s="25"/>
      <c r="J165" s="25"/>
      <c r="K165" s="25"/>
      <c r="L165" s="25"/>
      <c r="M165" s="25"/>
      <c r="N165" s="25"/>
      <c r="O165" s="25"/>
      <c r="P165" s="25"/>
      <c r="Q165" s="25"/>
      <c r="R165" s="25"/>
      <c r="S165" s="25"/>
      <c r="T165" s="25"/>
      <c r="U165" s="25"/>
      <c r="V165" s="53">
        <f>V164+V163</f>
        <v>0</v>
      </c>
      <c r="W165" s="25"/>
      <c r="X165" s="5"/>
    </row>
    <row r="166" spans="1:256" ht="15.75" x14ac:dyDescent="0.25">
      <c r="A166" s="24"/>
      <c r="B166" s="25" t="s">
        <v>303</v>
      </c>
      <c r="C166" s="25"/>
      <c r="D166" s="25"/>
      <c r="E166" s="25"/>
      <c r="F166" s="25"/>
      <c r="G166" s="25"/>
      <c r="H166" s="25"/>
      <c r="I166" s="25"/>
      <c r="J166" s="25"/>
      <c r="K166" s="25"/>
      <c r="L166" s="25"/>
      <c r="M166" s="25"/>
      <c r="N166" s="25"/>
      <c r="O166" s="25"/>
      <c r="P166" s="25"/>
      <c r="Q166" s="25"/>
      <c r="R166" s="25"/>
      <c r="S166" s="25"/>
      <c r="T166" s="25"/>
      <c r="U166" s="25"/>
      <c r="V166" s="53">
        <f>V115</f>
        <v>0</v>
      </c>
      <c r="W166" s="25"/>
      <c r="X166" s="5"/>
    </row>
    <row r="167" spans="1:256" ht="15.75" x14ac:dyDescent="0.25">
      <c r="A167" s="24"/>
      <c r="B167" s="25" t="s">
        <v>55</v>
      </c>
      <c r="C167" s="25"/>
      <c r="D167" s="25"/>
      <c r="E167" s="25"/>
      <c r="F167" s="25"/>
      <c r="G167" s="25"/>
      <c r="H167" s="25"/>
      <c r="I167" s="25"/>
      <c r="J167" s="25"/>
      <c r="K167" s="25"/>
      <c r="L167" s="25"/>
      <c r="M167" s="25"/>
      <c r="N167" s="25"/>
      <c r="O167" s="25"/>
      <c r="P167" s="25"/>
      <c r="Q167" s="25"/>
      <c r="R167" s="25"/>
      <c r="S167" s="25"/>
      <c r="T167" s="25"/>
      <c r="U167" s="25"/>
      <c r="V167" s="53">
        <f>V165+V166</f>
        <v>0</v>
      </c>
      <c r="W167" s="25"/>
      <c r="X167" s="5"/>
    </row>
    <row r="168" spans="1:256" ht="16.5" thickBot="1" x14ac:dyDescent="0.3">
      <c r="A168" s="24"/>
      <c r="B168" s="25"/>
      <c r="C168" s="25"/>
      <c r="D168" s="25"/>
      <c r="E168" s="25"/>
      <c r="F168" s="25"/>
      <c r="G168" s="25"/>
      <c r="H168" s="25"/>
      <c r="I168" s="25"/>
      <c r="J168" s="25"/>
      <c r="K168" s="25"/>
      <c r="L168" s="25"/>
      <c r="M168" s="25"/>
      <c r="N168" s="25"/>
      <c r="O168" s="25"/>
      <c r="P168" s="25"/>
      <c r="Q168" s="25"/>
      <c r="R168" s="25"/>
      <c r="S168" s="25"/>
      <c r="T168" s="25"/>
      <c r="U168" s="25"/>
      <c r="V168" s="61"/>
      <c r="W168" s="25"/>
      <c r="X168" s="5"/>
    </row>
    <row r="169" spans="1:256" ht="15.75" x14ac:dyDescent="0.25">
      <c r="A169" s="2"/>
      <c r="B169" s="4"/>
      <c r="C169" s="4"/>
      <c r="D169" s="4"/>
      <c r="E169" s="4"/>
      <c r="F169" s="4"/>
      <c r="G169" s="4"/>
      <c r="H169" s="4"/>
      <c r="I169" s="4"/>
      <c r="J169" s="4"/>
      <c r="K169" s="4"/>
      <c r="L169" s="4"/>
      <c r="M169" s="4"/>
      <c r="N169" s="4"/>
      <c r="O169" s="4"/>
      <c r="P169" s="4"/>
      <c r="Q169" s="4"/>
      <c r="R169" s="4"/>
      <c r="S169" s="4"/>
      <c r="T169" s="4"/>
      <c r="U169" s="4"/>
      <c r="V169" s="50"/>
      <c r="W169" s="4"/>
      <c r="X169" s="5"/>
    </row>
    <row r="170" spans="1:256" s="158" customFormat="1" ht="15.75" x14ac:dyDescent="0.25">
      <c r="A170" s="6"/>
      <c r="B170" s="119" t="s">
        <v>230</v>
      </c>
      <c r="C170" s="157"/>
      <c r="D170" s="157"/>
      <c r="E170" s="157"/>
      <c r="F170" s="157"/>
      <c r="G170" s="157"/>
      <c r="H170" s="157"/>
      <c r="I170" s="157"/>
      <c r="J170" s="157"/>
      <c r="K170" s="157"/>
      <c r="L170" s="157"/>
      <c r="M170" s="157"/>
      <c r="N170" s="157"/>
      <c r="O170" s="157"/>
      <c r="P170" s="157"/>
      <c r="Q170" s="157"/>
      <c r="R170" s="157"/>
      <c r="S170" s="157"/>
      <c r="T170" s="157"/>
      <c r="U170" s="157"/>
      <c r="V170" s="165"/>
      <c r="W170" s="157"/>
      <c r="X170" s="5"/>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s="160" customFormat="1" ht="15.75" x14ac:dyDescent="0.25">
      <c r="A171" s="24"/>
      <c r="B171" s="159" t="s">
        <v>231</v>
      </c>
      <c r="C171" s="159"/>
      <c r="D171" s="159"/>
      <c r="E171" s="159"/>
      <c r="F171" s="159"/>
      <c r="G171" s="159"/>
      <c r="H171" s="159"/>
      <c r="I171" s="159"/>
      <c r="J171" s="159"/>
      <c r="K171" s="159"/>
      <c r="L171" s="159"/>
      <c r="M171" s="159"/>
      <c r="N171" s="159"/>
      <c r="O171" s="159"/>
      <c r="P171" s="159"/>
      <c r="Q171" s="159"/>
      <c r="R171" s="159"/>
      <c r="S171" s="159"/>
      <c r="T171" s="159"/>
      <c r="U171" s="159"/>
      <c r="V171" s="166">
        <f>+'Nov 07'!V173</f>
        <v>3028</v>
      </c>
      <c r="W171" s="159"/>
      <c r="X171" s="5"/>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s="160" customFormat="1" ht="15.75" x14ac:dyDescent="0.25">
      <c r="A172" s="24"/>
      <c r="B172" s="159" t="s">
        <v>234</v>
      </c>
      <c r="C172" s="159"/>
      <c r="D172" s="159"/>
      <c r="E172" s="159"/>
      <c r="F172" s="159"/>
      <c r="G172" s="159"/>
      <c r="H172" s="159"/>
      <c r="I172" s="159"/>
      <c r="J172" s="159"/>
      <c r="K172" s="159"/>
      <c r="L172" s="159"/>
      <c r="M172" s="159"/>
      <c r="N172" s="159"/>
      <c r="O172" s="159"/>
      <c r="P172" s="159"/>
      <c r="Q172" s="159"/>
      <c r="R172" s="159"/>
      <c r="S172" s="159"/>
      <c r="T172" s="159"/>
      <c r="U172" s="159"/>
      <c r="V172" s="166">
        <f>+V95</f>
        <v>1643</v>
      </c>
      <c r="W172" s="159"/>
      <c r="X172" s="5"/>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s="160" customFormat="1" ht="15.75" x14ac:dyDescent="0.25">
      <c r="A173" s="24"/>
      <c r="B173" s="159" t="s">
        <v>232</v>
      </c>
      <c r="C173" s="159"/>
      <c r="D173" s="159"/>
      <c r="E173" s="159"/>
      <c r="F173" s="159"/>
      <c r="G173" s="159"/>
      <c r="H173" s="159"/>
      <c r="I173" s="159"/>
      <c r="J173" s="159"/>
      <c r="K173" s="159"/>
      <c r="L173" s="159"/>
      <c r="M173" s="159"/>
      <c r="N173" s="159"/>
      <c r="O173" s="159"/>
      <c r="P173" s="159"/>
      <c r="Q173" s="159"/>
      <c r="R173" s="159"/>
      <c r="S173" s="159"/>
      <c r="T173" s="159"/>
      <c r="U173" s="159"/>
      <c r="V173" s="166">
        <f>+V171-V172</f>
        <v>1385</v>
      </c>
      <c r="W173" s="159"/>
      <c r="X173" s="5"/>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s="163" customFormat="1" ht="16.5" thickBot="1" x14ac:dyDescent="0.3">
      <c r="A174" s="167"/>
      <c r="B174" s="161"/>
      <c r="C174" s="161"/>
      <c r="D174" s="161"/>
      <c r="E174" s="161"/>
      <c r="F174" s="161"/>
      <c r="G174" s="161"/>
      <c r="H174" s="161"/>
      <c r="I174" s="161"/>
      <c r="J174" s="161"/>
      <c r="K174" s="161"/>
      <c r="L174" s="161"/>
      <c r="M174" s="161"/>
      <c r="N174" s="161"/>
      <c r="O174" s="161"/>
      <c r="P174" s="161"/>
      <c r="Q174" s="161"/>
      <c r="R174" s="161"/>
      <c r="S174" s="161"/>
      <c r="T174" s="161"/>
      <c r="U174" s="161"/>
      <c r="V174" s="162"/>
      <c r="W174" s="161"/>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4" customFormat="1" ht="15.75" x14ac:dyDescent="0.25">
      <c r="A175" s="2"/>
      <c r="B175" s="4"/>
      <c r="C175" s="4"/>
      <c r="D175" s="4"/>
      <c r="E175" s="4"/>
      <c r="F175" s="4"/>
      <c r="G175" s="4"/>
      <c r="H175" s="4"/>
      <c r="I175" s="4"/>
      <c r="J175" s="4"/>
      <c r="K175" s="4"/>
      <c r="L175" s="4"/>
      <c r="M175" s="4"/>
      <c r="N175" s="4"/>
      <c r="O175" s="4"/>
      <c r="P175" s="4"/>
      <c r="Q175" s="4"/>
      <c r="R175" s="4"/>
      <c r="S175" s="4"/>
      <c r="T175" s="4"/>
      <c r="U175" s="4"/>
      <c r="V175" s="50"/>
      <c r="W175" s="4"/>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ht="15.75" x14ac:dyDescent="0.25">
      <c r="A176" s="6"/>
      <c r="B176" s="119" t="s">
        <v>56</v>
      </c>
      <c r="C176" s="8"/>
      <c r="D176" s="8"/>
      <c r="E176" s="8"/>
      <c r="F176" s="8"/>
      <c r="G176" s="8"/>
      <c r="H176" s="8"/>
      <c r="I176" s="8"/>
      <c r="J176" s="8"/>
      <c r="K176" s="8"/>
      <c r="L176" s="8"/>
      <c r="M176" s="8"/>
      <c r="N176" s="8"/>
      <c r="O176" s="8"/>
      <c r="P176" s="8"/>
      <c r="Q176" s="8"/>
      <c r="R176" s="8"/>
      <c r="S176" s="8"/>
      <c r="T176" s="8"/>
      <c r="U176" s="8"/>
      <c r="V176" s="52"/>
      <c r="W176" s="8"/>
      <c r="X176" s="5"/>
    </row>
    <row r="177" spans="1:24" ht="15.75" x14ac:dyDescent="0.25">
      <c r="A177" s="6"/>
      <c r="B177" s="21"/>
      <c r="C177" s="8"/>
      <c r="D177" s="8"/>
      <c r="E177" s="8"/>
      <c r="F177" s="8"/>
      <c r="G177" s="8"/>
      <c r="H177" s="8"/>
      <c r="I177" s="8"/>
      <c r="J177" s="8"/>
      <c r="K177" s="8"/>
      <c r="L177" s="8"/>
      <c r="M177" s="8"/>
      <c r="N177" s="8"/>
      <c r="O177" s="8"/>
      <c r="P177" s="8"/>
      <c r="Q177" s="8"/>
      <c r="R177" s="8"/>
      <c r="S177" s="8"/>
      <c r="T177" s="8"/>
      <c r="U177" s="8"/>
      <c r="V177" s="52"/>
      <c r="W177" s="8"/>
      <c r="X177" s="5"/>
    </row>
    <row r="178" spans="1:24" ht="15.75" x14ac:dyDescent="0.25">
      <c r="A178" s="24"/>
      <c r="B178" s="25" t="s">
        <v>57</v>
      </c>
      <c r="C178" s="25"/>
      <c r="D178" s="25"/>
      <c r="E178" s="25"/>
      <c r="F178" s="25"/>
      <c r="G178" s="25"/>
      <c r="H178" s="25"/>
      <c r="I178" s="25"/>
      <c r="J178" s="25"/>
      <c r="K178" s="25"/>
      <c r="L178" s="25"/>
      <c r="M178" s="25"/>
      <c r="N178" s="25"/>
      <c r="O178" s="25"/>
      <c r="P178" s="25"/>
      <c r="Q178" s="25"/>
      <c r="R178" s="25"/>
      <c r="S178" s="25"/>
      <c r="T178" s="25"/>
      <c r="U178" s="25"/>
      <c r="V178" s="53">
        <f>V72</f>
        <v>984753</v>
      </c>
      <c r="W178" s="25"/>
      <c r="X178" s="5"/>
    </row>
    <row r="179" spans="1:24" ht="15.75" x14ac:dyDescent="0.25">
      <c r="A179" s="24"/>
      <c r="B179" s="25" t="s">
        <v>58</v>
      </c>
      <c r="C179" s="25"/>
      <c r="D179" s="25"/>
      <c r="E179" s="25"/>
      <c r="F179" s="25"/>
      <c r="G179" s="25"/>
      <c r="H179" s="25"/>
      <c r="I179" s="25"/>
      <c r="J179" s="25"/>
      <c r="K179" s="25"/>
      <c r="L179" s="25"/>
      <c r="M179" s="25"/>
      <c r="N179" s="25"/>
      <c r="O179" s="25"/>
      <c r="P179" s="25"/>
      <c r="Q179" s="25"/>
      <c r="R179" s="25"/>
      <c r="S179" s="25"/>
      <c r="T179" s="25"/>
      <c r="U179" s="25"/>
      <c r="V179" s="53">
        <f>V85</f>
        <v>984753</v>
      </c>
      <c r="W179" s="25"/>
      <c r="X179" s="5"/>
    </row>
    <row r="180" spans="1:24" ht="16.5" thickBot="1" x14ac:dyDescent="0.3">
      <c r="A180" s="24"/>
      <c r="B180" s="25"/>
      <c r="C180" s="25"/>
      <c r="D180" s="25"/>
      <c r="E180" s="25"/>
      <c r="F180" s="25"/>
      <c r="G180" s="25"/>
      <c r="H180" s="25"/>
      <c r="I180" s="25"/>
      <c r="J180" s="25"/>
      <c r="K180" s="25"/>
      <c r="L180" s="25"/>
      <c r="M180" s="25"/>
      <c r="N180" s="25"/>
      <c r="O180" s="25"/>
      <c r="P180" s="25"/>
      <c r="Q180" s="25"/>
      <c r="R180" s="25"/>
      <c r="S180" s="25"/>
      <c r="T180" s="25"/>
      <c r="U180" s="25"/>
      <c r="V180" s="61"/>
      <c r="W180" s="25"/>
      <c r="X180" s="5"/>
    </row>
    <row r="181" spans="1:24" ht="15.75" x14ac:dyDescent="0.25">
      <c r="A181" s="2"/>
      <c r="B181" s="4"/>
      <c r="C181" s="4"/>
      <c r="D181" s="4"/>
      <c r="E181" s="4"/>
      <c r="F181" s="4"/>
      <c r="G181" s="4"/>
      <c r="H181" s="4"/>
      <c r="I181" s="4"/>
      <c r="J181" s="4"/>
      <c r="K181" s="4"/>
      <c r="L181" s="4"/>
      <c r="M181" s="4"/>
      <c r="N181" s="4"/>
      <c r="O181" s="4"/>
      <c r="P181" s="4"/>
      <c r="Q181" s="4"/>
      <c r="R181" s="4"/>
      <c r="S181" s="4"/>
      <c r="T181" s="4"/>
      <c r="U181" s="4"/>
      <c r="V181" s="50"/>
      <c r="W181" s="4"/>
      <c r="X181" s="5"/>
    </row>
    <row r="182" spans="1:24" ht="15.75" x14ac:dyDescent="0.25">
      <c r="A182" s="6"/>
      <c r="B182" s="119" t="s">
        <v>59</v>
      </c>
      <c r="C182" s="117"/>
      <c r="D182" s="117"/>
      <c r="E182" s="117"/>
      <c r="F182" s="117"/>
      <c r="G182" s="117"/>
      <c r="H182" s="120"/>
      <c r="I182" s="120"/>
      <c r="J182" s="120"/>
      <c r="K182" s="120"/>
      <c r="L182" s="120"/>
      <c r="M182" s="120"/>
      <c r="N182" s="120"/>
      <c r="O182" s="120"/>
      <c r="P182" s="120"/>
      <c r="Q182" s="120"/>
      <c r="R182" s="120"/>
      <c r="S182" s="120" t="s">
        <v>101</v>
      </c>
      <c r="T182" s="120" t="s">
        <v>176</v>
      </c>
      <c r="U182" s="111"/>
      <c r="V182" s="121" t="s">
        <v>114</v>
      </c>
      <c r="W182" s="10"/>
      <c r="X182" s="5"/>
    </row>
    <row r="183" spans="1:24" ht="15.75" x14ac:dyDescent="0.25">
      <c r="A183" s="24"/>
      <c r="B183" s="25" t="s">
        <v>60</v>
      </c>
      <c r="C183" s="25"/>
      <c r="D183" s="25"/>
      <c r="E183" s="25"/>
      <c r="F183" s="25"/>
      <c r="G183" s="25"/>
      <c r="H183" s="25"/>
      <c r="I183" s="25"/>
      <c r="J183" s="25"/>
      <c r="K183" s="25"/>
      <c r="L183" s="25"/>
      <c r="M183" s="25"/>
      <c r="N183" s="25"/>
      <c r="O183" s="25"/>
      <c r="P183" s="25"/>
      <c r="Q183" s="25"/>
      <c r="R183" s="25"/>
      <c r="S183" s="53">
        <f>+V34*0.16</f>
        <v>160181.28</v>
      </c>
      <c r="T183" s="40"/>
      <c r="U183" s="25"/>
      <c r="V183" s="53"/>
      <c r="W183" s="25"/>
      <c r="X183" s="5"/>
    </row>
    <row r="184" spans="1:24" ht="15.75" x14ac:dyDescent="0.25">
      <c r="A184" s="24"/>
      <c r="B184" s="25" t="s">
        <v>61</v>
      </c>
      <c r="C184" s="25"/>
      <c r="D184" s="25"/>
      <c r="E184" s="25"/>
      <c r="F184" s="25"/>
      <c r="G184" s="25"/>
      <c r="H184" s="25"/>
      <c r="I184" s="25"/>
      <c r="J184" s="25"/>
      <c r="K184" s="25"/>
      <c r="L184" s="25"/>
      <c r="M184" s="25"/>
      <c r="N184" s="25"/>
      <c r="O184" s="25"/>
      <c r="P184" s="25"/>
      <c r="Q184" s="25"/>
      <c r="R184" s="25"/>
      <c r="S184" s="53">
        <f>+'Nov 07'!S186</f>
        <v>2283</v>
      </c>
      <c r="T184" s="53">
        <f>+'Nov 07'!T186</f>
        <v>3603</v>
      </c>
      <c r="U184" s="25"/>
      <c r="V184" s="53">
        <f>S184+T184</f>
        <v>5886</v>
      </c>
      <c r="W184" s="25"/>
      <c r="X184" s="5"/>
    </row>
    <row r="185" spans="1:24" ht="15.75" x14ac:dyDescent="0.25">
      <c r="A185" s="24"/>
      <c r="B185" s="25" t="s">
        <v>62</v>
      </c>
      <c r="C185" s="25"/>
      <c r="D185" s="25"/>
      <c r="E185" s="25"/>
      <c r="F185" s="25"/>
      <c r="G185" s="25"/>
      <c r="H185" s="25"/>
      <c r="I185" s="25"/>
      <c r="J185" s="25"/>
      <c r="K185" s="25"/>
      <c r="L185" s="25"/>
      <c r="M185" s="25"/>
      <c r="N185" s="25"/>
      <c r="O185" s="25"/>
      <c r="P185" s="25"/>
      <c r="Q185" s="25"/>
      <c r="R185" s="25"/>
      <c r="S185" s="34">
        <v>1757</v>
      </c>
      <c r="T185" s="34">
        <v>1399</v>
      </c>
      <c r="U185" s="25"/>
      <c r="V185" s="53">
        <f>S185+T185</f>
        <v>3156</v>
      </c>
      <c r="W185" s="25"/>
      <c r="X185" s="5"/>
    </row>
    <row r="186" spans="1:24" ht="15.75" x14ac:dyDescent="0.25">
      <c r="A186" s="24"/>
      <c r="B186" s="25" t="s">
        <v>63</v>
      </c>
      <c r="C186" s="25"/>
      <c r="D186" s="25"/>
      <c r="E186" s="25"/>
      <c r="F186" s="25"/>
      <c r="G186" s="25"/>
      <c r="H186" s="25"/>
      <c r="I186" s="25"/>
      <c r="J186" s="25"/>
      <c r="K186" s="25"/>
      <c r="L186" s="25"/>
      <c r="M186" s="25"/>
      <c r="N186" s="25"/>
      <c r="O186" s="25"/>
      <c r="P186" s="25"/>
      <c r="Q186" s="25"/>
      <c r="R186" s="25"/>
      <c r="S186" s="53">
        <f>S184+S185</f>
        <v>4040</v>
      </c>
      <c r="T186" s="53">
        <f>T185+T184</f>
        <v>5002</v>
      </c>
      <c r="U186" s="25"/>
      <c r="V186" s="53">
        <f>S186+T186</f>
        <v>9042</v>
      </c>
      <c r="W186" s="25"/>
      <c r="X186" s="5"/>
    </row>
    <row r="187" spans="1:24" ht="15.75" x14ac:dyDescent="0.25">
      <c r="A187" s="24"/>
      <c r="B187" s="25" t="s">
        <v>64</v>
      </c>
      <c r="C187" s="25"/>
      <c r="D187" s="25"/>
      <c r="E187" s="25"/>
      <c r="F187" s="25"/>
      <c r="G187" s="25"/>
      <c r="H187" s="25"/>
      <c r="I187" s="25"/>
      <c r="J187" s="25"/>
      <c r="K187" s="25"/>
      <c r="L187" s="25"/>
      <c r="M187" s="25"/>
      <c r="N187" s="25"/>
      <c r="O187" s="25"/>
      <c r="P187" s="25"/>
      <c r="Q187" s="25"/>
      <c r="R187" s="25"/>
      <c r="S187" s="53">
        <f>S183-S186-T186</f>
        <v>151139.28</v>
      </c>
      <c r="T187" s="40"/>
      <c r="U187" s="25"/>
      <c r="V187" s="53"/>
      <c r="W187" s="25"/>
      <c r="X187" s="5"/>
    </row>
    <row r="188" spans="1:24" ht="16.5" thickBot="1" x14ac:dyDescent="0.3">
      <c r="A188" s="24"/>
      <c r="B188" s="25"/>
      <c r="C188" s="25"/>
      <c r="D188" s="25"/>
      <c r="E188" s="25"/>
      <c r="F188" s="25"/>
      <c r="G188" s="25"/>
      <c r="H188" s="25"/>
      <c r="I188" s="25"/>
      <c r="J188" s="25"/>
      <c r="K188" s="25"/>
      <c r="L188" s="25"/>
      <c r="M188" s="25"/>
      <c r="N188" s="25"/>
      <c r="O188" s="25"/>
      <c r="P188" s="25"/>
      <c r="Q188" s="25"/>
      <c r="R188" s="25"/>
      <c r="S188" s="25"/>
      <c r="T188" s="25"/>
      <c r="U188" s="25"/>
      <c r="V188" s="61"/>
      <c r="W188" s="25"/>
      <c r="X188" s="5"/>
    </row>
    <row r="189" spans="1:24" ht="15.75" x14ac:dyDescent="0.25">
      <c r="A189" s="2"/>
      <c r="B189" s="4"/>
      <c r="C189" s="4"/>
      <c r="D189" s="4"/>
      <c r="E189" s="4"/>
      <c r="F189" s="4"/>
      <c r="G189" s="4"/>
      <c r="H189" s="4"/>
      <c r="I189" s="4"/>
      <c r="J189" s="4"/>
      <c r="K189" s="4"/>
      <c r="L189" s="4"/>
      <c r="M189" s="4"/>
      <c r="N189" s="4"/>
      <c r="O189" s="4"/>
      <c r="P189" s="4"/>
      <c r="Q189" s="4"/>
      <c r="R189" s="4"/>
      <c r="S189" s="4"/>
      <c r="T189" s="4"/>
      <c r="U189" s="4"/>
      <c r="V189" s="50"/>
      <c r="W189" s="4"/>
      <c r="X189" s="5"/>
    </row>
    <row r="190" spans="1:24" ht="15.75" x14ac:dyDescent="0.25">
      <c r="A190" s="6"/>
      <c r="B190" s="119" t="s">
        <v>65</v>
      </c>
      <c r="C190" s="8"/>
      <c r="D190" s="8"/>
      <c r="E190" s="8"/>
      <c r="F190" s="8"/>
      <c r="G190" s="8"/>
      <c r="H190" s="8"/>
      <c r="I190" s="8"/>
      <c r="J190" s="8"/>
      <c r="K190" s="8"/>
      <c r="L190" s="8"/>
      <c r="M190" s="8"/>
      <c r="N190" s="8"/>
      <c r="O190" s="8"/>
      <c r="P190" s="8"/>
      <c r="Q190" s="8"/>
      <c r="R190" s="8"/>
      <c r="S190" s="8"/>
      <c r="T190" s="8"/>
      <c r="U190" s="8"/>
      <c r="V190" s="65"/>
      <c r="W190" s="8"/>
      <c r="X190" s="5"/>
    </row>
    <row r="191" spans="1:24" ht="15.75" x14ac:dyDescent="0.25">
      <c r="A191" s="24"/>
      <c r="B191" s="25" t="s">
        <v>66</v>
      </c>
      <c r="C191" s="25"/>
      <c r="D191" s="25"/>
      <c r="E191" s="25"/>
      <c r="F191" s="25"/>
      <c r="G191" s="25"/>
      <c r="H191" s="25"/>
      <c r="I191" s="25"/>
      <c r="J191" s="25"/>
      <c r="K191" s="25"/>
      <c r="L191" s="25"/>
      <c r="M191" s="25"/>
      <c r="N191" s="25"/>
      <c r="O191" s="25"/>
      <c r="P191" s="25"/>
      <c r="Q191" s="25"/>
      <c r="R191" s="25"/>
      <c r="S191" s="25"/>
      <c r="T191" s="25"/>
      <c r="U191" s="25"/>
      <c r="V191" s="59">
        <f>(V102+V104+V105+V106+V107)/-(V108+V109)</f>
        <v>1.4200735294117648</v>
      </c>
      <c r="W191" s="25" t="s">
        <v>115</v>
      </c>
      <c r="X191" s="5"/>
    </row>
    <row r="192" spans="1:24" ht="15.75" x14ac:dyDescent="0.25">
      <c r="A192" s="24"/>
      <c r="B192" s="25" t="s">
        <v>67</v>
      </c>
      <c r="C192" s="25"/>
      <c r="D192" s="25"/>
      <c r="E192" s="25"/>
      <c r="F192" s="25"/>
      <c r="G192" s="25"/>
      <c r="H192" s="25"/>
      <c r="I192" s="25"/>
      <c r="J192" s="25"/>
      <c r="K192" s="25"/>
      <c r="L192" s="25"/>
      <c r="M192" s="25"/>
      <c r="N192" s="25"/>
      <c r="O192" s="25"/>
      <c r="P192" s="25"/>
      <c r="Q192" s="25"/>
      <c r="R192" s="25"/>
      <c r="S192" s="25"/>
      <c r="T192" s="25"/>
      <c r="U192" s="25"/>
      <c r="V192" s="66">
        <v>1.28</v>
      </c>
      <c r="W192" s="25" t="s">
        <v>115</v>
      </c>
      <c r="X192" s="5"/>
    </row>
    <row r="193" spans="1:24" ht="15.75" x14ac:dyDescent="0.25">
      <c r="A193" s="24"/>
      <c r="B193" s="25" t="s">
        <v>68</v>
      </c>
      <c r="C193" s="25"/>
      <c r="D193" s="25"/>
      <c r="E193" s="25"/>
      <c r="F193" s="25"/>
      <c r="G193" s="25"/>
      <c r="H193" s="25"/>
      <c r="I193" s="25"/>
      <c r="J193" s="25"/>
      <c r="K193" s="25"/>
      <c r="L193" s="25"/>
      <c r="M193" s="25"/>
      <c r="N193" s="25"/>
      <c r="O193" s="25"/>
      <c r="P193" s="25"/>
      <c r="Q193" s="25"/>
      <c r="R193" s="25"/>
      <c r="S193" s="25"/>
      <c r="T193" s="25"/>
      <c r="U193" s="25"/>
      <c r="V193" s="59">
        <f>(V102+V104+V105+V106+V107+V108+V109)/-(V110+V111)</f>
        <v>4.5377283558379666</v>
      </c>
      <c r="W193" s="25" t="s">
        <v>115</v>
      </c>
      <c r="X193" s="5"/>
    </row>
    <row r="194" spans="1:24" ht="15.75" x14ac:dyDescent="0.25">
      <c r="A194" s="24"/>
      <c r="B194" s="25" t="s">
        <v>69</v>
      </c>
      <c r="C194" s="25"/>
      <c r="D194" s="25"/>
      <c r="E194" s="25"/>
      <c r="F194" s="25"/>
      <c r="G194" s="25"/>
      <c r="H194" s="25"/>
      <c r="I194" s="25"/>
      <c r="J194" s="25"/>
      <c r="K194" s="25"/>
      <c r="L194" s="25"/>
      <c r="M194" s="25"/>
      <c r="N194" s="25"/>
      <c r="O194" s="25"/>
      <c r="P194" s="25"/>
      <c r="Q194" s="25"/>
      <c r="R194" s="25"/>
      <c r="S194" s="25"/>
      <c r="T194" s="25"/>
      <c r="U194" s="25"/>
      <c r="V194" s="66">
        <v>3.02</v>
      </c>
      <c r="W194" s="25" t="s">
        <v>115</v>
      </c>
      <c r="X194" s="5"/>
    </row>
    <row r="195" spans="1:24" ht="15.75" x14ac:dyDescent="0.25">
      <c r="A195" s="24"/>
      <c r="B195" s="25" t="s">
        <v>198</v>
      </c>
      <c r="C195" s="25"/>
      <c r="D195" s="25"/>
      <c r="E195" s="25"/>
      <c r="F195" s="25"/>
      <c r="G195" s="25"/>
      <c r="H195" s="25"/>
      <c r="I195" s="25"/>
      <c r="J195" s="25"/>
      <c r="K195" s="25"/>
      <c r="L195" s="25"/>
      <c r="M195" s="25"/>
      <c r="N195" s="25"/>
      <c r="O195" s="25"/>
      <c r="P195" s="25"/>
      <c r="Q195" s="25"/>
      <c r="R195" s="25"/>
      <c r="S195" s="25"/>
      <c r="T195" s="25"/>
      <c r="U195" s="25"/>
      <c r="V195" s="59">
        <f>(V102+V104+V105+V106+V107+V108+V109+V110+V111)/-(V112)</f>
        <v>3.3793626707132018</v>
      </c>
      <c r="W195" s="25" t="s">
        <v>115</v>
      </c>
      <c r="X195" s="5"/>
    </row>
    <row r="196" spans="1:24" ht="15.75" x14ac:dyDescent="0.25">
      <c r="A196" s="24"/>
      <c r="B196" s="25" t="s">
        <v>199</v>
      </c>
      <c r="C196" s="25"/>
      <c r="D196" s="25"/>
      <c r="E196" s="25"/>
      <c r="F196" s="25"/>
      <c r="G196" s="25"/>
      <c r="H196" s="25"/>
      <c r="I196" s="25"/>
      <c r="J196" s="25"/>
      <c r="K196" s="25"/>
      <c r="L196" s="25"/>
      <c r="M196" s="25"/>
      <c r="N196" s="25"/>
      <c r="O196" s="25"/>
      <c r="P196" s="25"/>
      <c r="Q196" s="25"/>
      <c r="R196" s="25"/>
      <c r="S196" s="25"/>
      <c r="T196" s="25"/>
      <c r="U196" s="25"/>
      <c r="V196" s="66">
        <v>1.92</v>
      </c>
      <c r="W196" s="25" t="s">
        <v>115</v>
      </c>
      <c r="X196" s="5"/>
    </row>
    <row r="197" spans="1:24" ht="15.75" x14ac:dyDescent="0.25">
      <c r="A197" s="24"/>
      <c r="B197" s="25"/>
      <c r="C197" s="25"/>
      <c r="D197" s="25"/>
      <c r="E197" s="25"/>
      <c r="F197" s="25"/>
      <c r="G197" s="25"/>
      <c r="H197" s="25"/>
      <c r="I197" s="25"/>
      <c r="J197" s="25"/>
      <c r="K197" s="25"/>
      <c r="L197" s="25"/>
      <c r="M197" s="25"/>
      <c r="N197" s="25"/>
      <c r="O197" s="25"/>
      <c r="P197" s="25"/>
      <c r="Q197" s="25"/>
      <c r="R197" s="25"/>
      <c r="S197" s="25"/>
      <c r="T197" s="25"/>
      <c r="U197" s="25"/>
      <c r="V197" s="25"/>
      <c r="W197" s="25"/>
      <c r="X197" s="5"/>
    </row>
    <row r="198" spans="1:24" ht="15.75" x14ac:dyDescent="0.25">
      <c r="A198" s="24"/>
      <c r="B198" s="25"/>
      <c r="C198" s="25"/>
      <c r="D198" s="25"/>
      <c r="E198" s="25"/>
      <c r="F198" s="25"/>
      <c r="G198" s="25"/>
      <c r="H198" s="25"/>
      <c r="I198" s="25"/>
      <c r="J198" s="25"/>
      <c r="K198" s="25"/>
      <c r="L198" s="25"/>
      <c r="M198" s="25"/>
      <c r="N198" s="25"/>
      <c r="O198" s="25"/>
      <c r="P198" s="25"/>
      <c r="Q198" s="25"/>
      <c r="R198" s="25"/>
      <c r="S198" s="25"/>
      <c r="T198" s="25"/>
      <c r="U198" s="25"/>
      <c r="V198" s="25"/>
      <c r="W198" s="25"/>
      <c r="X198" s="5"/>
    </row>
    <row r="199" spans="1:24" ht="15.75" x14ac:dyDescent="0.25">
      <c r="A199" s="6"/>
      <c r="B199" s="8"/>
      <c r="C199" s="8"/>
      <c r="D199" s="8"/>
      <c r="E199" s="8"/>
      <c r="F199" s="8"/>
      <c r="G199" s="8"/>
      <c r="H199" s="8"/>
      <c r="I199" s="8"/>
      <c r="J199" s="8"/>
      <c r="K199" s="8"/>
      <c r="L199" s="8"/>
      <c r="M199" s="8"/>
      <c r="N199" s="8"/>
      <c r="O199" s="8"/>
      <c r="P199" s="8"/>
      <c r="Q199" s="8"/>
      <c r="R199" s="8"/>
      <c r="S199" s="8"/>
      <c r="T199" s="8"/>
      <c r="U199" s="8"/>
      <c r="V199" s="8"/>
      <c r="W199" s="8"/>
      <c r="X199" s="5"/>
    </row>
    <row r="200" spans="1:24" ht="19.5" thickBot="1" x14ac:dyDescent="0.35">
      <c r="A200" s="101"/>
      <c r="B200" s="102" t="str">
        <f>B135</f>
        <v>PM15 INVESTOR REPORT QUARTER ENDING FEBRUARY 2008</v>
      </c>
      <c r="C200" s="176"/>
      <c r="D200" s="176"/>
      <c r="E200" s="176"/>
      <c r="F200" s="176"/>
      <c r="G200" s="176"/>
      <c r="H200" s="176"/>
      <c r="I200" s="176"/>
      <c r="J200" s="176"/>
      <c r="K200" s="176"/>
      <c r="L200" s="176"/>
      <c r="M200" s="176"/>
      <c r="N200" s="176"/>
      <c r="O200" s="176"/>
      <c r="P200" s="176"/>
      <c r="Q200" s="176"/>
      <c r="R200" s="176"/>
      <c r="S200" s="176"/>
      <c r="T200" s="176"/>
      <c r="U200" s="176"/>
      <c r="V200" s="176"/>
      <c r="W200" s="177"/>
      <c r="X200" s="5"/>
    </row>
    <row r="201" spans="1:24" ht="15.75" x14ac:dyDescent="0.25">
      <c r="A201" s="67"/>
      <c r="B201" s="60" t="s">
        <v>70</v>
      </c>
      <c r="C201" s="68"/>
      <c r="D201" s="68"/>
      <c r="E201" s="68"/>
      <c r="F201" s="68"/>
      <c r="G201" s="69"/>
      <c r="H201" s="69"/>
      <c r="I201" s="69"/>
      <c r="J201" s="69"/>
      <c r="K201" s="69"/>
      <c r="L201" s="69"/>
      <c r="M201" s="69"/>
      <c r="N201" s="69"/>
      <c r="O201" s="69"/>
      <c r="P201" s="69"/>
      <c r="Q201" s="69"/>
      <c r="R201" s="69"/>
      <c r="S201" s="69"/>
      <c r="T201" s="70">
        <v>39507</v>
      </c>
      <c r="U201" s="4"/>
      <c r="V201" s="4"/>
      <c r="W201" s="4"/>
      <c r="X201" s="5"/>
    </row>
    <row r="202" spans="1:24" ht="15.75" x14ac:dyDescent="0.25">
      <c r="A202" s="71"/>
      <c r="B202" s="72"/>
      <c r="C202" s="73"/>
      <c r="D202" s="73"/>
      <c r="E202" s="73"/>
      <c r="F202" s="73"/>
      <c r="G202" s="74"/>
      <c r="H202" s="74"/>
      <c r="I202" s="74"/>
      <c r="J202" s="74"/>
      <c r="K202" s="74"/>
      <c r="L202" s="74"/>
      <c r="M202" s="74"/>
      <c r="N202" s="74"/>
      <c r="O202" s="74"/>
      <c r="P202" s="74"/>
      <c r="Q202" s="74"/>
      <c r="R202" s="74"/>
      <c r="S202" s="74"/>
      <c r="T202" s="74"/>
      <c r="U202" s="8"/>
      <c r="V202" s="8"/>
      <c r="W202" s="8"/>
      <c r="X202" s="5"/>
    </row>
    <row r="203" spans="1:24" ht="15.75" x14ac:dyDescent="0.25">
      <c r="A203" s="75"/>
      <c r="B203" s="76" t="s">
        <v>71</v>
      </c>
      <c r="C203" s="77"/>
      <c r="D203" s="77"/>
      <c r="E203" s="77"/>
      <c r="F203" s="77"/>
      <c r="G203" s="64"/>
      <c r="H203" s="64"/>
      <c r="I203" s="64"/>
      <c r="J203" s="64"/>
      <c r="K203" s="64"/>
      <c r="L203" s="64"/>
      <c r="M203" s="64"/>
      <c r="N203" s="64"/>
      <c r="O203" s="64"/>
      <c r="P203" s="64"/>
      <c r="Q203" s="64"/>
      <c r="R203" s="64"/>
      <c r="S203" s="64"/>
      <c r="T203" s="78">
        <v>5.3830000000000003E-2</v>
      </c>
      <c r="U203" s="25"/>
      <c r="V203" s="25"/>
      <c r="W203" s="25"/>
      <c r="X203" s="5"/>
    </row>
    <row r="204" spans="1:24" ht="15.75" x14ac:dyDescent="0.25">
      <c r="A204" s="75"/>
      <c r="B204" s="76" t="s">
        <v>151</v>
      </c>
      <c r="C204" s="77"/>
      <c r="D204" s="77"/>
      <c r="E204" s="77"/>
      <c r="F204" s="77"/>
      <c r="G204" s="64"/>
      <c r="H204" s="64"/>
      <c r="I204" s="64"/>
      <c r="J204" s="64"/>
      <c r="K204" s="64"/>
      <c r="L204" s="64"/>
      <c r="M204" s="64"/>
      <c r="N204" s="64"/>
      <c r="O204" s="64"/>
      <c r="P204" s="64"/>
      <c r="Q204" s="64"/>
      <c r="R204" s="64"/>
      <c r="S204" s="64"/>
      <c r="T204" s="39">
        <v>6.25E-2</v>
      </c>
      <c r="U204" s="25"/>
      <c r="V204" s="25"/>
      <c r="W204" s="25"/>
      <c r="X204" s="5"/>
    </row>
    <row r="205" spans="1:24" ht="15.75" x14ac:dyDescent="0.25">
      <c r="A205" s="75"/>
      <c r="B205" s="76" t="s">
        <v>72</v>
      </c>
      <c r="C205" s="77"/>
      <c r="D205" s="77"/>
      <c r="E205" s="77"/>
      <c r="F205" s="77"/>
      <c r="G205" s="64"/>
      <c r="H205" s="64"/>
      <c r="I205" s="64"/>
      <c r="J205" s="64"/>
      <c r="K205" s="64"/>
      <c r="L205" s="64"/>
      <c r="M205" s="64"/>
      <c r="N205" s="64"/>
      <c r="O205" s="64"/>
      <c r="P205" s="64"/>
      <c r="Q205" s="64"/>
      <c r="R205" s="64"/>
      <c r="S205" s="64"/>
      <c r="T205" s="78">
        <f>T203-T204</f>
        <v>-8.6699999999999972E-3</v>
      </c>
      <c r="U205" s="25"/>
      <c r="V205" s="25"/>
      <c r="W205" s="25"/>
      <c r="X205" s="5"/>
    </row>
    <row r="206" spans="1:24" ht="15.75" x14ac:dyDescent="0.25">
      <c r="A206" s="75"/>
      <c r="B206" s="76" t="s">
        <v>73</v>
      </c>
      <c r="C206" s="77"/>
      <c r="D206" s="77"/>
      <c r="E206" s="77"/>
      <c r="F206" s="77"/>
      <c r="G206" s="64"/>
      <c r="H206" s="64"/>
      <c r="I206" s="64"/>
      <c r="J206" s="64"/>
      <c r="K206" s="64"/>
      <c r="L206" s="64"/>
      <c r="M206" s="64"/>
      <c r="N206" s="64"/>
      <c r="O206" s="64"/>
      <c r="P206" s="64"/>
      <c r="Q206" s="64"/>
      <c r="R206" s="64"/>
      <c r="S206" s="64"/>
      <c r="T206" s="78">
        <v>5.3780000000000001E-2</v>
      </c>
      <c r="U206" s="25"/>
      <c r="V206" s="25"/>
      <c r="W206" s="25"/>
      <c r="X206" s="5"/>
    </row>
    <row r="207" spans="1:24" ht="15.75" x14ac:dyDescent="0.25">
      <c r="A207" s="75"/>
      <c r="B207" s="76" t="s">
        <v>218</v>
      </c>
      <c r="C207" s="77"/>
      <c r="D207" s="77"/>
      <c r="E207" s="77"/>
      <c r="F207" s="77"/>
      <c r="G207" s="64"/>
      <c r="H207" s="64"/>
      <c r="I207" s="64"/>
      <c r="J207" s="64"/>
      <c r="K207" s="64"/>
      <c r="L207" s="64"/>
      <c r="M207" s="64"/>
      <c r="N207" s="64"/>
      <c r="O207" s="64"/>
      <c r="P207" s="64"/>
      <c r="Q207" s="64"/>
      <c r="R207" s="64"/>
      <c r="S207" s="64"/>
      <c r="T207" s="78">
        <f>V43</f>
        <v>6.5572958967897249E-2</v>
      </c>
      <c r="U207" s="25"/>
      <c r="V207" s="25"/>
      <c r="W207" s="25"/>
      <c r="X207" s="5"/>
    </row>
    <row r="208" spans="1:24" ht="15.75" x14ac:dyDescent="0.25">
      <c r="A208" s="75"/>
      <c r="B208" s="76" t="s">
        <v>74</v>
      </c>
      <c r="C208" s="77"/>
      <c r="D208" s="77"/>
      <c r="E208" s="77"/>
      <c r="F208" s="77"/>
      <c r="G208" s="64"/>
      <c r="H208" s="64"/>
      <c r="I208" s="64"/>
      <c r="J208" s="64"/>
      <c r="K208" s="64"/>
      <c r="L208" s="64"/>
      <c r="M208" s="64"/>
      <c r="N208" s="64"/>
      <c r="O208" s="64"/>
      <c r="P208" s="64"/>
      <c r="Q208" s="64"/>
      <c r="R208" s="64"/>
      <c r="S208" s="64"/>
      <c r="T208" s="78">
        <f>T206-T207</f>
        <v>-1.1792958967897248E-2</v>
      </c>
      <c r="U208" s="25"/>
      <c r="V208" s="25"/>
      <c r="W208" s="25"/>
      <c r="X208" s="5"/>
    </row>
    <row r="209" spans="1:24" ht="15.75" x14ac:dyDescent="0.25">
      <c r="A209" s="75"/>
      <c r="B209" s="76" t="s">
        <v>227</v>
      </c>
      <c r="C209" s="77"/>
      <c r="D209" s="77"/>
      <c r="E209" s="77"/>
      <c r="F209" s="77"/>
      <c r="G209" s="64"/>
      <c r="H209" s="64"/>
      <c r="I209" s="64"/>
      <c r="J209" s="64"/>
      <c r="K209" s="64"/>
      <c r="L209" s="64"/>
      <c r="M209" s="64"/>
      <c r="N209" s="64"/>
      <c r="O209" s="64"/>
      <c r="P209" s="64"/>
      <c r="Q209" s="64"/>
      <c r="R209" s="64"/>
      <c r="S209" s="64"/>
      <c r="T209" s="78">
        <f>V102/N72</f>
        <v>1.9918064097563144E-2</v>
      </c>
      <c r="U209" s="25"/>
      <c r="V209" s="25"/>
      <c r="W209" s="25"/>
      <c r="X209" s="5"/>
    </row>
    <row r="210" spans="1:24" ht="15.75" x14ac:dyDescent="0.25">
      <c r="A210" s="75"/>
      <c r="B210" s="76" t="s">
        <v>207</v>
      </c>
      <c r="C210" s="77"/>
      <c r="D210" s="77"/>
      <c r="E210" s="77"/>
      <c r="F210" s="77"/>
      <c r="G210" s="64"/>
      <c r="H210" s="64"/>
      <c r="I210" s="64"/>
      <c r="J210" s="64"/>
      <c r="K210" s="64"/>
      <c r="L210" s="64"/>
      <c r="M210" s="64"/>
      <c r="N210" s="64"/>
      <c r="O210" s="64"/>
      <c r="P210" s="64"/>
      <c r="Q210" s="64"/>
      <c r="R210" s="64"/>
      <c r="S210" s="64"/>
      <c r="T210" s="172">
        <v>51105</v>
      </c>
      <c r="U210" s="25"/>
      <c r="V210" s="25"/>
      <c r="W210" s="25"/>
      <c r="X210" s="5"/>
    </row>
    <row r="211" spans="1:24" ht="15.75" x14ac:dyDescent="0.25">
      <c r="A211" s="75"/>
      <c r="B211" s="76" t="s">
        <v>208</v>
      </c>
      <c r="C211" s="77"/>
      <c r="D211" s="77"/>
      <c r="E211" s="77"/>
      <c r="F211" s="77"/>
      <c r="G211" s="64"/>
      <c r="H211" s="64"/>
      <c r="I211" s="64"/>
      <c r="J211" s="64"/>
      <c r="K211" s="64"/>
      <c r="L211" s="64"/>
      <c r="M211" s="64"/>
      <c r="N211" s="64"/>
      <c r="O211" s="64"/>
      <c r="P211" s="64"/>
      <c r="Q211" s="64"/>
      <c r="R211" s="64"/>
      <c r="S211" s="64"/>
      <c r="T211" s="172">
        <v>51105</v>
      </c>
      <c r="U211" s="25"/>
      <c r="V211" s="25"/>
      <c r="W211" s="25"/>
      <c r="X211" s="5"/>
    </row>
    <row r="212" spans="1:24" ht="15.75" x14ac:dyDescent="0.25">
      <c r="A212" s="75"/>
      <c r="B212" s="76" t="s">
        <v>209</v>
      </c>
      <c r="C212" s="77"/>
      <c r="D212" s="77"/>
      <c r="E212" s="77"/>
      <c r="F212" s="77"/>
      <c r="G212" s="64"/>
      <c r="H212" s="64"/>
      <c r="I212" s="64"/>
      <c r="J212" s="64"/>
      <c r="K212" s="64"/>
      <c r="L212" s="64"/>
      <c r="M212" s="64"/>
      <c r="N212" s="64"/>
      <c r="O212" s="64"/>
      <c r="P212" s="64"/>
      <c r="Q212" s="64"/>
      <c r="R212" s="64"/>
      <c r="S212" s="64"/>
      <c r="T212" s="172">
        <v>51105</v>
      </c>
      <c r="U212" s="25"/>
      <c r="V212" s="25"/>
      <c r="W212" s="25"/>
      <c r="X212" s="5"/>
    </row>
    <row r="213" spans="1:24" ht="15.75" x14ac:dyDescent="0.25">
      <c r="A213" s="75"/>
      <c r="B213" s="76" t="s">
        <v>75</v>
      </c>
      <c r="C213" s="77"/>
      <c r="D213" s="77"/>
      <c r="E213" s="77"/>
      <c r="F213" s="77"/>
      <c r="G213" s="64"/>
      <c r="H213" s="64"/>
      <c r="I213" s="64"/>
      <c r="J213" s="64"/>
      <c r="K213" s="64"/>
      <c r="L213" s="64"/>
      <c r="M213" s="64"/>
      <c r="N213" s="64"/>
      <c r="O213" s="64"/>
      <c r="P213" s="64"/>
      <c r="Q213" s="64"/>
      <c r="R213" s="64"/>
      <c r="S213" s="64"/>
      <c r="T213" s="132">
        <v>21.06</v>
      </c>
      <c r="U213" s="25" t="s">
        <v>110</v>
      </c>
      <c r="V213" s="25"/>
      <c r="W213" s="25"/>
      <c r="X213" s="5"/>
    </row>
    <row r="214" spans="1:24" ht="15.75" x14ac:dyDescent="0.25">
      <c r="A214" s="75"/>
      <c r="B214" s="76" t="s">
        <v>76</v>
      </c>
      <c r="C214" s="77"/>
      <c r="D214" s="77"/>
      <c r="E214" s="77"/>
      <c r="F214" s="77"/>
      <c r="G214" s="64"/>
      <c r="H214" s="64"/>
      <c r="I214" s="64"/>
      <c r="J214" s="64"/>
      <c r="K214" s="64"/>
      <c r="L214" s="64"/>
      <c r="M214" s="64"/>
      <c r="N214" s="64"/>
      <c r="O214" s="64"/>
      <c r="P214" s="64"/>
      <c r="Q214" s="64"/>
      <c r="R214" s="64"/>
      <c r="S214" s="64"/>
      <c r="T214" s="132">
        <v>20.5</v>
      </c>
      <c r="U214" s="25" t="s">
        <v>110</v>
      </c>
      <c r="V214" s="25"/>
      <c r="W214" s="25"/>
      <c r="X214" s="5"/>
    </row>
    <row r="215" spans="1:24" ht="15.75" x14ac:dyDescent="0.25">
      <c r="A215" s="75"/>
      <c r="B215" s="76" t="s">
        <v>77</v>
      </c>
      <c r="C215" s="77"/>
      <c r="D215" s="77"/>
      <c r="E215" s="77"/>
      <c r="F215" s="77"/>
      <c r="G215" s="64"/>
      <c r="H215" s="64"/>
      <c r="I215" s="64"/>
      <c r="J215" s="64"/>
      <c r="K215" s="64"/>
      <c r="L215" s="64"/>
      <c r="M215" s="64"/>
      <c r="N215" s="64"/>
      <c r="O215" s="64"/>
      <c r="P215" s="64"/>
      <c r="Q215" s="64"/>
      <c r="R215" s="64"/>
      <c r="S215" s="64"/>
      <c r="T215" s="78">
        <f>+P69/N69</f>
        <v>8.073334047459765E-3</v>
      </c>
      <c r="U215" s="25"/>
      <c r="V215" s="25"/>
      <c r="W215" s="25"/>
      <c r="X215" s="5"/>
    </row>
    <row r="216" spans="1:24" ht="15.75" x14ac:dyDescent="0.25">
      <c r="A216" s="75"/>
      <c r="B216" s="76" t="s">
        <v>78</v>
      </c>
      <c r="C216" s="77"/>
      <c r="D216" s="77"/>
      <c r="E216" s="77"/>
      <c r="F216" s="77"/>
      <c r="G216" s="64"/>
      <c r="H216" s="64"/>
      <c r="I216" s="64"/>
      <c r="J216" s="64"/>
      <c r="K216" s="64"/>
      <c r="L216" s="64"/>
      <c r="M216" s="64"/>
      <c r="N216" s="64"/>
      <c r="O216" s="64"/>
      <c r="P216" s="64"/>
      <c r="Q216" s="64"/>
      <c r="R216" s="64"/>
      <c r="S216" s="64"/>
      <c r="T216" s="78">
        <v>3.6499999999999998E-2</v>
      </c>
      <c r="U216" s="25"/>
      <c r="V216" s="25"/>
      <c r="W216" s="25"/>
      <c r="X216" s="5"/>
    </row>
    <row r="217" spans="1:24" ht="15.75" x14ac:dyDescent="0.25">
      <c r="A217" s="75"/>
      <c r="B217" s="76"/>
      <c r="C217" s="76"/>
      <c r="D217" s="76"/>
      <c r="E217" s="76"/>
      <c r="F217" s="76"/>
      <c r="G217" s="25"/>
      <c r="H217" s="25"/>
      <c r="I217" s="25"/>
      <c r="J217" s="25"/>
      <c r="K217" s="25"/>
      <c r="L217" s="25"/>
      <c r="M217" s="25"/>
      <c r="N217" s="25"/>
      <c r="O217" s="25"/>
      <c r="P217" s="25"/>
      <c r="Q217" s="25"/>
      <c r="R217" s="25"/>
      <c r="S217" s="25"/>
      <c r="T217" s="61"/>
      <c r="U217" s="25"/>
      <c r="V217" s="79"/>
      <c r="W217" s="25"/>
      <c r="X217" s="5"/>
    </row>
    <row r="218" spans="1:24" ht="15.75" x14ac:dyDescent="0.25">
      <c r="A218" s="80"/>
      <c r="B218" s="14" t="s">
        <v>79</v>
      </c>
      <c r="C218" s="81"/>
      <c r="D218" s="81"/>
      <c r="E218" s="81"/>
      <c r="F218" s="82"/>
      <c r="G218" s="81"/>
      <c r="H218" s="17"/>
      <c r="I218" s="17"/>
      <c r="J218" s="17"/>
      <c r="K218" s="17"/>
      <c r="L218" s="17"/>
      <c r="M218" s="17"/>
      <c r="N218" s="17"/>
      <c r="O218" s="17"/>
      <c r="P218" s="17"/>
      <c r="Q218" s="17"/>
      <c r="R218" s="17"/>
      <c r="S218" s="17" t="s">
        <v>102</v>
      </c>
      <c r="T218" s="83" t="s">
        <v>108</v>
      </c>
      <c r="U218" s="8"/>
      <c r="V218" s="8"/>
      <c r="W218" s="8"/>
      <c r="X218" s="5"/>
    </row>
    <row r="219" spans="1:24" ht="15.75" x14ac:dyDescent="0.25">
      <c r="A219" s="84"/>
      <c r="B219" s="76" t="s">
        <v>80</v>
      </c>
      <c r="C219" s="54"/>
      <c r="D219" s="54"/>
      <c r="E219" s="54"/>
      <c r="F219" s="25"/>
      <c r="G219" s="25"/>
      <c r="H219" s="30"/>
      <c r="I219" s="30"/>
      <c r="J219" s="30"/>
      <c r="K219" s="30"/>
      <c r="L219" s="30"/>
      <c r="M219" s="30"/>
      <c r="N219" s="30"/>
      <c r="O219" s="30"/>
      <c r="P219" s="30"/>
      <c r="Q219" s="30"/>
      <c r="R219" s="30"/>
      <c r="S219" s="30">
        <v>0</v>
      </c>
      <c r="T219" s="85">
        <v>0</v>
      </c>
      <c r="U219" s="25"/>
      <c r="V219" s="79"/>
      <c r="W219" s="86"/>
      <c r="X219" s="5"/>
    </row>
    <row r="220" spans="1:24" ht="15.75" x14ac:dyDescent="0.25">
      <c r="A220" s="84"/>
      <c r="B220" s="76" t="s">
        <v>145</v>
      </c>
      <c r="C220" s="54"/>
      <c r="D220" s="54"/>
      <c r="E220" s="54"/>
      <c r="F220" s="25"/>
      <c r="G220" s="25"/>
      <c r="H220" s="30"/>
      <c r="I220" s="30"/>
      <c r="J220" s="30"/>
      <c r="K220" s="30"/>
      <c r="L220" s="30"/>
      <c r="M220" s="30"/>
      <c r="N220" s="30"/>
      <c r="O220" s="30"/>
      <c r="P220" s="30"/>
      <c r="Q220" s="30"/>
      <c r="R220" s="30"/>
      <c r="S220" s="148">
        <f>+R260</f>
        <v>25</v>
      </c>
      <c r="T220" s="85">
        <f>+T260</f>
        <v>3163</v>
      </c>
      <c r="U220" s="25"/>
      <c r="V220" s="79"/>
      <c r="W220" s="86"/>
      <c r="X220" s="5"/>
    </row>
    <row r="221" spans="1:24" ht="15.75" x14ac:dyDescent="0.25">
      <c r="A221" s="84"/>
      <c r="B221" s="76" t="s">
        <v>81</v>
      </c>
      <c r="C221" s="54"/>
      <c r="D221" s="54"/>
      <c r="E221" s="54"/>
      <c r="F221" s="25"/>
      <c r="G221" s="25"/>
      <c r="H221" s="30"/>
      <c r="I221" s="30"/>
      <c r="J221" s="30"/>
      <c r="K221" s="30"/>
      <c r="L221" s="30"/>
      <c r="M221" s="30"/>
      <c r="N221" s="30"/>
      <c r="O221" s="30"/>
      <c r="P221" s="30"/>
      <c r="Q221" s="30"/>
      <c r="R221" s="30"/>
      <c r="S221" s="30">
        <v>0</v>
      </c>
      <c r="T221" s="85">
        <v>0</v>
      </c>
      <c r="U221" s="25"/>
      <c r="V221" s="79"/>
      <c r="W221" s="86"/>
      <c r="X221" s="5"/>
    </row>
    <row r="222" spans="1:24" ht="15.75" x14ac:dyDescent="0.25">
      <c r="A222" s="84"/>
      <c r="B222" s="122" t="s">
        <v>82</v>
      </c>
      <c r="C222" s="54"/>
      <c r="D222" s="54"/>
      <c r="E222" s="54"/>
      <c r="F222" s="25"/>
      <c r="G222" s="25"/>
      <c r="H222" s="25"/>
      <c r="I222" s="25"/>
      <c r="J222" s="25"/>
      <c r="K222" s="25"/>
      <c r="L222" s="25"/>
      <c r="M222" s="25"/>
      <c r="N222" s="25"/>
      <c r="O222" s="25"/>
      <c r="P222" s="25"/>
      <c r="Q222" s="25"/>
      <c r="R222" s="25"/>
      <c r="S222" s="25"/>
      <c r="T222" s="85">
        <v>0</v>
      </c>
      <c r="U222" s="25"/>
      <c r="V222" s="79"/>
      <c r="W222" s="86"/>
      <c r="X222" s="5"/>
    </row>
    <row r="223" spans="1:24" ht="15.75" x14ac:dyDescent="0.25">
      <c r="A223" s="84"/>
      <c r="B223" s="122" t="s">
        <v>228</v>
      </c>
      <c r="C223" s="54"/>
      <c r="D223" s="54"/>
      <c r="E223" s="54"/>
      <c r="F223" s="25"/>
      <c r="G223" s="25"/>
      <c r="H223" s="25"/>
      <c r="I223" s="25"/>
      <c r="J223" s="25"/>
      <c r="K223" s="25"/>
      <c r="L223" s="25"/>
      <c r="M223" s="25"/>
      <c r="N223" s="25"/>
      <c r="O223" s="25"/>
      <c r="P223" s="25"/>
      <c r="Q223" s="25"/>
      <c r="R223" s="25"/>
      <c r="S223" s="25"/>
      <c r="T223" s="85">
        <f>+N82</f>
        <v>0</v>
      </c>
      <c r="U223" s="25"/>
      <c r="V223" s="79"/>
      <c r="W223" s="86"/>
      <c r="X223" s="5"/>
    </row>
    <row r="224" spans="1:24" ht="15.75" x14ac:dyDescent="0.25">
      <c r="A224" s="87"/>
      <c r="B224" s="122" t="s">
        <v>83</v>
      </c>
      <c r="C224" s="76"/>
      <c r="D224" s="76"/>
      <c r="E224" s="76"/>
      <c r="F224" s="76"/>
      <c r="G224" s="25"/>
      <c r="H224" s="25"/>
      <c r="I224" s="25"/>
      <c r="J224" s="25"/>
      <c r="K224" s="25"/>
      <c r="L224" s="25"/>
      <c r="M224" s="25"/>
      <c r="N224" s="25"/>
      <c r="O224" s="25"/>
      <c r="P224" s="25"/>
      <c r="Q224" s="25"/>
      <c r="R224" s="25"/>
      <c r="S224" s="25"/>
      <c r="T224" s="85"/>
      <c r="U224" s="25"/>
      <c r="V224" s="79"/>
      <c r="W224" s="88"/>
      <c r="X224" s="5"/>
    </row>
    <row r="225" spans="1:25" ht="15.75" x14ac:dyDescent="0.25">
      <c r="A225" s="87"/>
      <c r="B225" s="130" t="s">
        <v>84</v>
      </c>
      <c r="C225" s="76"/>
      <c r="D225" s="76"/>
      <c r="E225" s="76"/>
      <c r="F225" s="76"/>
      <c r="G225" s="25"/>
      <c r="H225" s="25"/>
      <c r="I225" s="25"/>
      <c r="J225" s="25"/>
      <c r="K225" s="25"/>
      <c r="L225" s="25"/>
      <c r="M225" s="25"/>
      <c r="N225" s="25"/>
      <c r="O225" s="25"/>
      <c r="P225" s="25"/>
      <c r="Q225" s="25"/>
      <c r="R225" s="25"/>
      <c r="S225" s="30"/>
      <c r="T225" s="85">
        <f>V164</f>
        <v>0</v>
      </c>
      <c r="U225" s="25"/>
      <c r="V225" s="79"/>
      <c r="W225" s="88"/>
      <c r="X225" s="5"/>
    </row>
    <row r="226" spans="1:25" ht="15.75" x14ac:dyDescent="0.25">
      <c r="A226" s="84"/>
      <c r="B226" s="76" t="s">
        <v>85</v>
      </c>
      <c r="C226" s="54"/>
      <c r="D226" s="54"/>
      <c r="E226" s="54"/>
      <c r="F226" s="54"/>
      <c r="G226" s="25"/>
      <c r="H226" s="25"/>
      <c r="I226" s="25"/>
      <c r="J226" s="25"/>
      <c r="K226" s="25"/>
      <c r="L226" s="25"/>
      <c r="M226" s="25"/>
      <c r="N226" s="25"/>
      <c r="O226" s="25"/>
      <c r="P226" s="25"/>
      <c r="Q226" s="25"/>
      <c r="R226" s="25"/>
      <c r="S226" s="30"/>
      <c r="T226" s="85">
        <f>+'Nov 07'!T226+T225</f>
        <v>0</v>
      </c>
      <c r="U226" s="25"/>
      <c r="V226" s="79"/>
      <c r="W226" s="88"/>
      <c r="X226" s="5"/>
    </row>
    <row r="227" spans="1:25" ht="15.75" x14ac:dyDescent="0.25">
      <c r="A227" s="87"/>
      <c r="B227" s="122" t="s">
        <v>285</v>
      </c>
      <c r="C227" s="76"/>
      <c r="D227" s="76"/>
      <c r="E227" s="76"/>
      <c r="F227" s="76"/>
      <c r="G227" s="25"/>
      <c r="H227" s="25"/>
      <c r="I227" s="25"/>
      <c r="J227" s="25"/>
      <c r="K227" s="25"/>
      <c r="L227" s="25"/>
      <c r="M227" s="25"/>
      <c r="N227" s="25"/>
      <c r="O227" s="25"/>
      <c r="P227" s="25"/>
      <c r="Q227" s="25"/>
      <c r="R227" s="25"/>
      <c r="S227" s="30"/>
      <c r="T227" s="85"/>
      <c r="U227" s="25"/>
      <c r="V227" s="79"/>
      <c r="W227" s="88"/>
      <c r="X227" s="5"/>
    </row>
    <row r="228" spans="1:25" ht="15.75" x14ac:dyDescent="0.25">
      <c r="A228" s="87"/>
      <c r="B228" s="76" t="s">
        <v>282</v>
      </c>
      <c r="C228" s="76"/>
      <c r="D228" s="76"/>
      <c r="E228" s="76"/>
      <c r="F228" s="76"/>
      <c r="G228" s="25"/>
      <c r="H228" s="25"/>
      <c r="I228" s="25"/>
      <c r="J228" s="25"/>
      <c r="K228" s="25"/>
      <c r="L228" s="25"/>
      <c r="M228" s="25"/>
      <c r="N228" s="25"/>
      <c r="O228" s="25"/>
      <c r="P228" s="25"/>
      <c r="Q228" s="25"/>
      <c r="R228" s="25"/>
      <c r="S228" s="30">
        <v>0</v>
      </c>
      <c r="T228" s="85">
        <v>0</v>
      </c>
      <c r="U228" s="25"/>
      <c r="V228" s="79"/>
      <c r="W228" s="88"/>
      <c r="X228" s="5"/>
    </row>
    <row r="229" spans="1:25" ht="15.75" x14ac:dyDescent="0.25">
      <c r="A229" s="84"/>
      <c r="B229" s="76" t="s">
        <v>86</v>
      </c>
      <c r="C229" s="89"/>
      <c r="D229" s="89"/>
      <c r="E229" s="89"/>
      <c r="F229" s="90"/>
      <c r="G229" s="25"/>
      <c r="H229" s="25"/>
      <c r="I229" s="25"/>
      <c r="J229" s="25"/>
      <c r="K229" s="25"/>
      <c r="L229" s="25"/>
      <c r="M229" s="25"/>
      <c r="N229" s="25"/>
      <c r="O229" s="25"/>
      <c r="P229" s="25"/>
      <c r="Q229" s="25"/>
      <c r="R229" s="25"/>
      <c r="S229" s="25"/>
      <c r="T229" s="62">
        <v>0</v>
      </c>
      <c r="U229" s="25"/>
      <c r="V229" s="79"/>
      <c r="W229" s="88"/>
      <c r="X229" s="5"/>
    </row>
    <row r="230" spans="1:25" ht="15.75" x14ac:dyDescent="0.25">
      <c r="A230" s="84"/>
      <c r="B230" s="76" t="s">
        <v>87</v>
      </c>
      <c r="C230" s="89"/>
      <c r="D230" s="89"/>
      <c r="E230" s="89"/>
      <c r="F230" s="90"/>
      <c r="G230" s="25"/>
      <c r="H230" s="25"/>
      <c r="I230" s="25"/>
      <c r="J230" s="25"/>
      <c r="K230" s="25"/>
      <c r="L230" s="25"/>
      <c r="M230" s="25"/>
      <c r="N230" s="25"/>
      <c r="O230" s="25"/>
      <c r="P230" s="25"/>
      <c r="Q230" s="25"/>
      <c r="R230" s="25"/>
      <c r="S230" s="25"/>
      <c r="T230" s="62">
        <v>0</v>
      </c>
      <c r="U230" s="25"/>
      <c r="V230" s="79"/>
      <c r="W230" s="88"/>
      <c r="X230" s="5"/>
    </row>
    <row r="231" spans="1:25" ht="15.75" x14ac:dyDescent="0.25">
      <c r="A231" s="84"/>
      <c r="B231" s="122" t="s">
        <v>216</v>
      </c>
      <c r="C231" s="89"/>
      <c r="D231" s="89"/>
      <c r="E231" s="89"/>
      <c r="F231" s="90"/>
      <c r="G231" s="25"/>
      <c r="H231" s="25"/>
      <c r="I231" s="25"/>
      <c r="J231" s="25"/>
      <c r="K231" s="25"/>
      <c r="L231" s="25"/>
      <c r="M231" s="25"/>
      <c r="N231" s="25"/>
      <c r="O231" s="25"/>
      <c r="P231" s="25"/>
      <c r="Q231" s="25"/>
      <c r="R231" s="25"/>
      <c r="S231" s="25"/>
      <c r="T231" s="91"/>
      <c r="U231" s="25"/>
      <c r="V231" s="79"/>
      <c r="W231" s="88"/>
      <c r="X231" s="5"/>
    </row>
    <row r="232" spans="1:25" ht="15.75" x14ac:dyDescent="0.25">
      <c r="A232" s="84"/>
      <c r="B232" s="76" t="s">
        <v>282</v>
      </c>
      <c r="C232" s="89"/>
      <c r="D232" s="89"/>
      <c r="E232" s="89"/>
      <c r="F232" s="90"/>
      <c r="G232" s="25"/>
      <c r="H232" s="25"/>
      <c r="I232" s="25"/>
      <c r="J232" s="25"/>
      <c r="K232" s="25"/>
      <c r="L232" s="25"/>
      <c r="M232" s="25"/>
      <c r="N232" s="25"/>
      <c r="O232" s="25"/>
      <c r="P232" s="25"/>
      <c r="Q232" s="25"/>
      <c r="R232" s="25"/>
      <c r="S232" s="30">
        <v>0</v>
      </c>
      <c r="T232" s="85">
        <v>0</v>
      </c>
      <c r="U232" s="25"/>
      <c r="V232" s="79"/>
      <c r="W232" s="88"/>
      <c r="X232" s="5"/>
    </row>
    <row r="233" spans="1:25" ht="15.75" x14ac:dyDescent="0.25">
      <c r="A233" s="84"/>
      <c r="B233" s="76" t="s">
        <v>217</v>
      </c>
      <c r="C233" s="89"/>
      <c r="D233" s="89"/>
      <c r="E233" s="89"/>
      <c r="F233" s="90"/>
      <c r="G233" s="25"/>
      <c r="H233" s="25"/>
      <c r="I233" s="25"/>
      <c r="J233" s="25"/>
      <c r="K233" s="25"/>
      <c r="L233" s="25"/>
      <c r="M233" s="25"/>
      <c r="N233" s="25"/>
      <c r="O233" s="25"/>
      <c r="P233" s="25"/>
      <c r="Q233" s="25"/>
      <c r="R233" s="25"/>
      <c r="S233" s="25"/>
      <c r="T233" s="62">
        <v>0</v>
      </c>
      <c r="U233" s="25"/>
      <c r="V233" s="79"/>
      <c r="W233" s="88"/>
      <c r="X233" s="5"/>
    </row>
    <row r="234" spans="1:25" ht="15.75" x14ac:dyDescent="0.25">
      <c r="A234" s="84"/>
      <c r="B234" s="76"/>
      <c r="C234" s="89"/>
      <c r="D234" s="89"/>
      <c r="E234" s="89"/>
      <c r="F234" s="90"/>
      <c r="G234" s="25"/>
      <c r="H234" s="25"/>
      <c r="I234" s="25"/>
      <c r="J234" s="25"/>
      <c r="K234" s="25"/>
      <c r="L234" s="25"/>
      <c r="M234" s="25"/>
      <c r="N234" s="25"/>
      <c r="O234" s="25"/>
      <c r="P234" s="25"/>
      <c r="Q234" s="25"/>
      <c r="R234" s="25"/>
      <c r="S234" s="25"/>
      <c r="T234" s="91"/>
      <c r="U234" s="25"/>
      <c r="V234" s="79"/>
      <c r="W234" s="88"/>
      <c r="X234" s="5"/>
    </row>
    <row r="235" spans="1:25" ht="15.75" x14ac:dyDescent="0.25">
      <c r="A235" s="84"/>
      <c r="B235" s="76"/>
      <c r="C235" s="89"/>
      <c r="D235" s="89"/>
      <c r="E235" s="89"/>
      <c r="F235" s="90"/>
      <c r="G235" s="25"/>
      <c r="H235" s="25"/>
      <c r="I235" s="25"/>
      <c r="J235" s="25"/>
      <c r="K235" s="25"/>
      <c r="L235" s="25"/>
      <c r="M235" s="25"/>
      <c r="N235" s="25"/>
      <c r="O235" s="25"/>
      <c r="P235" s="25"/>
      <c r="Q235" s="25"/>
      <c r="R235" s="25"/>
      <c r="S235" s="25"/>
      <c r="T235" s="91"/>
      <c r="U235" s="25"/>
      <c r="V235" s="79"/>
      <c r="W235" s="88"/>
      <c r="X235" s="5"/>
    </row>
    <row r="236" spans="1:25" ht="18.75" x14ac:dyDescent="0.3">
      <c r="A236" s="84"/>
      <c r="B236" s="146" t="s">
        <v>168</v>
      </c>
      <c r="C236" s="89"/>
      <c r="D236" s="89"/>
      <c r="E236" s="89"/>
      <c r="F236" s="90"/>
      <c r="G236" s="25"/>
      <c r="H236" s="25"/>
      <c r="I236" s="25"/>
      <c r="J236" s="25"/>
      <c r="K236" s="25"/>
      <c r="L236" s="25"/>
      <c r="M236" s="25"/>
      <c r="N236" s="25"/>
      <c r="O236" s="25"/>
      <c r="P236" s="147" t="s">
        <v>167</v>
      </c>
      <c r="Q236" s="25"/>
      <c r="R236" s="25"/>
      <c r="S236" s="25"/>
      <c r="T236" s="91"/>
      <c r="U236" s="25"/>
      <c r="V236" s="79"/>
      <c r="W236" s="88"/>
      <c r="X236" s="5"/>
    </row>
    <row r="237" spans="1:25" ht="15.75" x14ac:dyDescent="0.25">
      <c r="A237" s="84"/>
      <c r="B237" s="76"/>
      <c r="C237" s="89"/>
      <c r="D237" s="89"/>
      <c r="E237" s="89"/>
      <c r="F237" s="90"/>
      <c r="G237" s="25"/>
      <c r="H237" s="25"/>
      <c r="I237" s="25"/>
      <c r="J237" s="25"/>
      <c r="K237" s="25"/>
      <c r="L237" s="25"/>
      <c r="M237" s="25"/>
      <c r="N237" s="25"/>
      <c r="O237" s="25"/>
      <c r="P237" s="25"/>
      <c r="Q237" s="25"/>
      <c r="R237" s="25"/>
      <c r="S237" s="25"/>
      <c r="T237" s="91"/>
      <c r="U237" s="25"/>
      <c r="V237" s="79"/>
      <c r="W237" s="88"/>
      <c r="X237" s="5"/>
    </row>
    <row r="238" spans="1:25" ht="15.75" x14ac:dyDescent="0.25">
      <c r="A238" s="6"/>
      <c r="B238" s="14" t="s">
        <v>162</v>
      </c>
      <c r="C238" s="81"/>
      <c r="D238" s="81"/>
      <c r="E238" s="81"/>
      <c r="F238" s="82"/>
      <c r="G238" s="81"/>
      <c r="H238" s="17"/>
      <c r="I238" s="17"/>
      <c r="J238" s="17"/>
      <c r="K238" s="17"/>
      <c r="L238" s="17"/>
      <c r="M238" s="17"/>
      <c r="N238" s="17"/>
      <c r="O238" s="17"/>
      <c r="P238" s="17"/>
      <c r="Q238" s="17"/>
      <c r="R238" s="83" t="s">
        <v>102</v>
      </c>
      <c r="S238" s="17" t="s">
        <v>103</v>
      </c>
      <c r="T238" s="83" t="s">
        <v>109</v>
      </c>
      <c r="U238" s="17" t="s">
        <v>103</v>
      </c>
      <c r="V238" s="8"/>
      <c r="W238" s="92"/>
      <c r="X238" s="5"/>
    </row>
    <row r="239" spans="1:25" ht="15.75" x14ac:dyDescent="0.25">
      <c r="A239" s="24"/>
      <c r="B239" s="54" t="s">
        <v>88</v>
      </c>
      <c r="C239" s="93"/>
      <c r="D239" s="93"/>
      <c r="E239" s="93"/>
      <c r="F239" s="25"/>
      <c r="G239" s="93"/>
      <c r="H239" s="93"/>
      <c r="I239" s="93"/>
      <c r="J239" s="93"/>
      <c r="K239" s="93"/>
      <c r="L239" s="93"/>
      <c r="M239" s="93"/>
      <c r="N239" s="93"/>
      <c r="O239" s="93"/>
      <c r="P239" s="93"/>
      <c r="Q239" s="93"/>
      <c r="R239" s="54">
        <v>6672</v>
      </c>
      <c r="S239" s="94">
        <f t="shared" ref="S239:S246" si="1">R239/$R$248</f>
        <v>0.99552372426141456</v>
      </c>
      <c r="T239" s="53">
        <v>977649</v>
      </c>
      <c r="U239" s="131">
        <f t="shared" ref="U239:U246" si="2">T239/$T$248</f>
        <v>0.99598508542263064</v>
      </c>
      <c r="V239" s="79"/>
      <c r="W239" s="88"/>
      <c r="X239" s="5"/>
    </row>
    <row r="240" spans="1:25" ht="15.75" x14ac:dyDescent="0.25">
      <c r="A240" s="24"/>
      <c r="B240" s="54" t="s">
        <v>89</v>
      </c>
      <c r="C240" s="93"/>
      <c r="D240" s="93"/>
      <c r="E240" s="93"/>
      <c r="F240" s="25"/>
      <c r="G240" s="94"/>
      <c r="H240" s="93"/>
      <c r="I240" s="93"/>
      <c r="J240" s="93"/>
      <c r="K240" s="93"/>
      <c r="L240" s="93"/>
      <c r="M240" s="93"/>
      <c r="N240" s="93"/>
      <c r="O240" s="93"/>
      <c r="P240" s="93"/>
      <c r="Q240" s="93"/>
      <c r="R240" s="54">
        <v>20</v>
      </c>
      <c r="S240" s="94">
        <f t="shared" si="1"/>
        <v>2.9841838257236644E-3</v>
      </c>
      <c r="T240" s="53">
        <v>2663</v>
      </c>
      <c r="U240" s="131">
        <f t="shared" si="2"/>
        <v>2.7129453234038653E-3</v>
      </c>
      <c r="V240" s="79"/>
      <c r="W240" s="88"/>
      <c r="X240" s="5"/>
      <c r="Y240" s="109"/>
    </row>
    <row r="241" spans="1:25" ht="15.75" x14ac:dyDescent="0.25">
      <c r="A241" s="24"/>
      <c r="B241" s="54" t="s">
        <v>90</v>
      </c>
      <c r="C241" s="93"/>
      <c r="D241" s="93"/>
      <c r="E241" s="93"/>
      <c r="F241" s="25"/>
      <c r="G241" s="94"/>
      <c r="H241" s="93"/>
      <c r="I241" s="93"/>
      <c r="J241" s="93"/>
      <c r="K241" s="93"/>
      <c r="L241" s="93"/>
      <c r="M241" s="93"/>
      <c r="N241" s="93"/>
      <c r="O241" s="93"/>
      <c r="P241" s="93"/>
      <c r="Q241" s="93"/>
      <c r="R241" s="54">
        <v>9</v>
      </c>
      <c r="S241" s="94">
        <f t="shared" si="1"/>
        <v>1.3428827215756492E-3</v>
      </c>
      <c r="T241" s="53">
        <v>1179</v>
      </c>
      <c r="U241" s="131">
        <f t="shared" si="2"/>
        <v>1.201112480770994E-3</v>
      </c>
      <c r="V241" s="79"/>
      <c r="W241" s="88"/>
      <c r="X241" s="5"/>
    </row>
    <row r="242" spans="1:25" ht="15.75" x14ac:dyDescent="0.25">
      <c r="A242" s="24"/>
      <c r="B242" s="54" t="s">
        <v>156</v>
      </c>
      <c r="C242" s="93"/>
      <c r="D242" s="93"/>
      <c r="E242" s="93"/>
      <c r="F242" s="25"/>
      <c r="G242" s="94"/>
      <c r="H242" s="93"/>
      <c r="I242" s="93"/>
      <c r="J242" s="93"/>
      <c r="K242" s="93"/>
      <c r="L242" s="93"/>
      <c r="M242" s="93"/>
      <c r="N242" s="93"/>
      <c r="O242" s="93"/>
      <c r="P242" s="93"/>
      <c r="Q242" s="93"/>
      <c r="R242" s="54">
        <v>1</v>
      </c>
      <c r="S242" s="94">
        <f t="shared" si="1"/>
        <v>1.4920919128618324E-4</v>
      </c>
      <c r="T242" s="53">
        <v>99</v>
      </c>
      <c r="U242" s="131">
        <f t="shared" si="2"/>
        <v>1.0085677319451095E-4</v>
      </c>
      <c r="V242" s="79"/>
      <c r="W242" s="88"/>
      <c r="X242" s="5"/>
      <c r="Y242" s="109"/>
    </row>
    <row r="243" spans="1:25" ht="15.75" x14ac:dyDescent="0.25">
      <c r="A243" s="24"/>
      <c r="B243" s="54" t="s">
        <v>157</v>
      </c>
      <c r="C243" s="93"/>
      <c r="D243" s="93"/>
      <c r="E243" s="93"/>
      <c r="F243" s="25"/>
      <c r="G243" s="94"/>
      <c r="H243" s="93"/>
      <c r="I243" s="93"/>
      <c r="J243" s="93"/>
      <c r="K243" s="93"/>
      <c r="L243" s="93"/>
      <c r="M243" s="93"/>
      <c r="N243" s="93"/>
      <c r="O243" s="93"/>
      <c r="P243" s="93"/>
      <c r="Q243" s="93"/>
      <c r="R243" s="54">
        <v>0</v>
      </c>
      <c r="S243" s="94">
        <f t="shared" si="1"/>
        <v>0</v>
      </c>
      <c r="T243" s="53">
        <v>0</v>
      </c>
      <c r="U243" s="131">
        <f t="shared" si="2"/>
        <v>0</v>
      </c>
      <c r="V243" s="79"/>
      <c r="W243" s="88"/>
      <c r="X243" s="5"/>
    </row>
    <row r="244" spans="1:25" ht="15.75" x14ac:dyDescent="0.25">
      <c r="A244" s="24"/>
      <c r="B244" s="54" t="s">
        <v>158</v>
      </c>
      <c r="C244" s="93"/>
      <c r="D244" s="93"/>
      <c r="E244" s="93"/>
      <c r="F244" s="25"/>
      <c r="G244" s="94"/>
      <c r="H244" s="93"/>
      <c r="I244" s="93"/>
      <c r="J244" s="93"/>
      <c r="K244" s="93"/>
      <c r="L244" s="93"/>
      <c r="M244" s="93"/>
      <c r="N244" s="93"/>
      <c r="O244" s="93"/>
      <c r="P244" s="93"/>
      <c r="Q244" s="93"/>
      <c r="R244" s="54">
        <v>0</v>
      </c>
      <c r="S244" s="94">
        <f t="shared" si="1"/>
        <v>0</v>
      </c>
      <c r="T244" s="53">
        <v>0</v>
      </c>
      <c r="U244" s="131">
        <f t="shared" si="2"/>
        <v>0</v>
      </c>
      <c r="V244" s="79"/>
      <c r="W244" s="88"/>
      <c r="X244" s="5"/>
      <c r="Y244" s="109"/>
    </row>
    <row r="245" spans="1:25" ht="15.75" x14ac:dyDescent="0.25">
      <c r="A245" s="24"/>
      <c r="B245" s="54" t="s">
        <v>159</v>
      </c>
      <c r="C245" s="93"/>
      <c r="D245" s="93"/>
      <c r="E245" s="93"/>
      <c r="F245" s="25"/>
      <c r="G245" s="94"/>
      <c r="H245" s="93"/>
      <c r="I245" s="93"/>
      <c r="J245" s="93"/>
      <c r="K245" s="93"/>
      <c r="L245" s="93"/>
      <c r="M245" s="93"/>
      <c r="N245" s="93"/>
      <c r="O245" s="93"/>
      <c r="P245" s="93"/>
      <c r="Q245" s="93"/>
      <c r="R245" s="54">
        <v>0</v>
      </c>
      <c r="S245" s="94">
        <f t="shared" si="1"/>
        <v>0</v>
      </c>
      <c r="T245" s="53">
        <v>0</v>
      </c>
      <c r="U245" s="131">
        <f t="shared" si="2"/>
        <v>0</v>
      </c>
      <c r="V245" s="79"/>
      <c r="W245" s="88"/>
      <c r="X245" s="5"/>
    </row>
    <row r="246" spans="1:25" ht="15.75" x14ac:dyDescent="0.25">
      <c r="A246" s="24"/>
      <c r="B246" s="54" t="s">
        <v>160</v>
      </c>
      <c r="C246" s="93"/>
      <c r="D246" s="93"/>
      <c r="E246" s="93"/>
      <c r="F246" s="25"/>
      <c r="G246" s="94"/>
      <c r="H246" s="93"/>
      <c r="I246" s="93"/>
      <c r="J246" s="93"/>
      <c r="K246" s="93"/>
      <c r="L246" s="93"/>
      <c r="M246" s="93"/>
      <c r="N246" s="93"/>
      <c r="O246" s="93"/>
      <c r="P246" s="93"/>
      <c r="Q246" s="93"/>
      <c r="R246" s="54">
        <v>0</v>
      </c>
      <c r="S246" s="94">
        <f t="shared" si="1"/>
        <v>0</v>
      </c>
      <c r="T246" s="53">
        <v>0</v>
      </c>
      <c r="U246" s="131">
        <f t="shared" si="2"/>
        <v>0</v>
      </c>
      <c r="V246" s="79"/>
      <c r="W246" s="88"/>
      <c r="X246" s="5"/>
      <c r="Y246" s="109"/>
    </row>
    <row r="247" spans="1:25" ht="15.75" x14ac:dyDescent="0.25">
      <c r="A247" s="24"/>
      <c r="B247" s="54"/>
      <c r="C247" s="93"/>
      <c r="D247" s="93"/>
      <c r="E247" s="93"/>
      <c r="F247" s="25"/>
      <c r="G247" s="94"/>
      <c r="H247" s="93"/>
      <c r="I247" s="93"/>
      <c r="J247" s="93"/>
      <c r="K247" s="93"/>
      <c r="L247" s="93"/>
      <c r="M247" s="93"/>
      <c r="N247" s="93"/>
      <c r="O247" s="93"/>
      <c r="P247" s="93"/>
      <c r="Q247" s="93"/>
      <c r="R247" s="54"/>
      <c r="S247" s="94"/>
      <c r="T247" s="53"/>
      <c r="U247" s="131"/>
      <c r="V247" s="79"/>
      <c r="W247" s="88"/>
      <c r="X247" s="5"/>
    </row>
    <row r="248" spans="1:25" ht="15.75" x14ac:dyDescent="0.25">
      <c r="A248" s="24"/>
      <c r="B248" s="25"/>
      <c r="C248" s="25"/>
      <c r="D248" s="25"/>
      <c r="E248" s="25"/>
      <c r="F248" s="25"/>
      <c r="G248" s="25"/>
      <c r="H248" s="95"/>
      <c r="I248" s="95"/>
      <c r="J248" s="95"/>
      <c r="K248" s="95"/>
      <c r="L248" s="95"/>
      <c r="M248" s="95"/>
      <c r="N248" s="95"/>
      <c r="O248" s="95"/>
      <c r="P248" s="95"/>
      <c r="Q248" s="95"/>
      <c r="R248" s="34">
        <f>SUM(R239:R247)</f>
        <v>6702</v>
      </c>
      <c r="S248" s="131">
        <f>SUM(S239:S247)</f>
        <v>1</v>
      </c>
      <c r="T248" s="53">
        <f>SUM(T239:T247)</f>
        <v>981590</v>
      </c>
      <c r="U248" s="131">
        <f>SUM(U239:U247)</f>
        <v>1</v>
      </c>
      <c r="V248" s="25"/>
      <c r="W248" s="25"/>
      <c r="X248" s="5"/>
    </row>
    <row r="249" spans="1:25" ht="15.75" x14ac:dyDescent="0.25">
      <c r="A249" s="24"/>
      <c r="B249" s="25"/>
      <c r="C249" s="25"/>
      <c r="D249" s="25"/>
      <c r="E249" s="25"/>
      <c r="F249" s="25"/>
      <c r="G249" s="25"/>
      <c r="H249" s="95"/>
      <c r="I249" s="95"/>
      <c r="J249" s="95"/>
      <c r="K249" s="95"/>
      <c r="L249" s="95"/>
      <c r="M249" s="95"/>
      <c r="N249" s="95"/>
      <c r="O249" s="95"/>
      <c r="P249" s="95"/>
      <c r="Q249" s="95"/>
      <c r="R249" s="34"/>
      <c r="S249" s="131"/>
      <c r="T249" s="53"/>
      <c r="U249" s="131"/>
      <c r="V249" s="25"/>
      <c r="W249" s="25"/>
      <c r="X249" s="5"/>
    </row>
    <row r="250" spans="1:25" ht="15.75" x14ac:dyDescent="0.25">
      <c r="A250" s="138"/>
      <c r="B250" s="14" t="s">
        <v>236</v>
      </c>
      <c r="C250" s="81"/>
      <c r="D250" s="81"/>
      <c r="E250" s="81"/>
      <c r="F250" s="82"/>
      <c r="G250" s="81"/>
      <c r="H250" s="17"/>
      <c r="I250" s="17"/>
      <c r="J250" s="17"/>
      <c r="K250" s="17"/>
      <c r="L250" s="17"/>
      <c r="M250" s="17"/>
      <c r="N250" s="17"/>
      <c r="O250" s="17"/>
      <c r="P250" s="17"/>
      <c r="Q250" s="17"/>
      <c r="R250" s="83" t="s">
        <v>102</v>
      </c>
      <c r="S250" s="17" t="s">
        <v>103</v>
      </c>
      <c r="T250" s="83" t="s">
        <v>109</v>
      </c>
      <c r="U250" s="17" t="s">
        <v>103</v>
      </c>
      <c r="V250" s="136"/>
      <c r="W250" s="137"/>
      <c r="X250" s="5"/>
    </row>
    <row r="251" spans="1:25" ht="15.75" x14ac:dyDescent="0.25">
      <c r="A251" s="24"/>
      <c r="B251" s="54" t="s">
        <v>88</v>
      </c>
      <c r="C251" s="93"/>
      <c r="D251" s="93"/>
      <c r="E251" s="93"/>
      <c r="F251" s="25"/>
      <c r="G251" s="93"/>
      <c r="H251" s="93"/>
      <c r="I251" s="93"/>
      <c r="J251" s="93"/>
      <c r="K251" s="93"/>
      <c r="L251" s="93"/>
      <c r="M251" s="93"/>
      <c r="N251" s="93"/>
      <c r="O251" s="93"/>
      <c r="P251" s="93"/>
      <c r="Q251" s="93"/>
      <c r="R251" s="54">
        <v>10</v>
      </c>
      <c r="S251" s="94">
        <f t="shared" ref="S251:S258" si="3">R251/$R$260</f>
        <v>0.4</v>
      </c>
      <c r="T251" s="53">
        <v>1305</v>
      </c>
      <c r="U251" s="131">
        <f t="shared" ref="U251:U258" si="4">T251/$T$260</f>
        <v>0.41258299083148908</v>
      </c>
      <c r="V251" s="25"/>
      <c r="W251" s="25"/>
      <c r="X251" s="5"/>
    </row>
    <row r="252" spans="1:25" ht="15.75" x14ac:dyDescent="0.25">
      <c r="A252" s="24"/>
      <c r="B252" s="54" t="s">
        <v>89</v>
      </c>
      <c r="C252" s="93"/>
      <c r="D252" s="93"/>
      <c r="E252" s="93"/>
      <c r="F252" s="25"/>
      <c r="G252" s="94"/>
      <c r="H252" s="93"/>
      <c r="I252" s="93"/>
      <c r="J252" s="93"/>
      <c r="K252" s="93"/>
      <c r="L252" s="93"/>
      <c r="M252" s="93"/>
      <c r="N252" s="93"/>
      <c r="O252" s="93"/>
      <c r="P252" s="93"/>
      <c r="Q252" s="93"/>
      <c r="R252" s="54">
        <v>0</v>
      </c>
      <c r="S252" s="94">
        <f t="shared" si="3"/>
        <v>0</v>
      </c>
      <c r="T252" s="53">
        <v>0</v>
      </c>
      <c r="U252" s="131">
        <f t="shared" si="4"/>
        <v>0</v>
      </c>
      <c r="V252" s="25"/>
      <c r="W252" s="25"/>
      <c r="X252" s="5"/>
    </row>
    <row r="253" spans="1:25" ht="15.75" x14ac:dyDescent="0.25">
      <c r="A253" s="24"/>
      <c r="B253" s="54" t="s">
        <v>90</v>
      </c>
      <c r="C253" s="93"/>
      <c r="D253" s="93"/>
      <c r="E253" s="93"/>
      <c r="F253" s="25"/>
      <c r="G253" s="94"/>
      <c r="H253" s="93"/>
      <c r="I253" s="93"/>
      <c r="J253" s="93"/>
      <c r="K253" s="93"/>
      <c r="L253" s="93"/>
      <c r="M253" s="93"/>
      <c r="N253" s="93"/>
      <c r="O253" s="93"/>
      <c r="P253" s="93"/>
      <c r="Q253" s="93"/>
      <c r="R253" s="54">
        <v>2</v>
      </c>
      <c r="S253" s="94">
        <f t="shared" si="3"/>
        <v>0.08</v>
      </c>
      <c r="T253" s="53">
        <v>177</v>
      </c>
      <c r="U253" s="131">
        <f t="shared" si="4"/>
        <v>5.5959532089788176E-2</v>
      </c>
      <c r="V253" s="25"/>
      <c r="W253" s="25"/>
      <c r="X253" s="5"/>
    </row>
    <row r="254" spans="1:25" ht="15.75" x14ac:dyDescent="0.25">
      <c r="A254" s="24"/>
      <c r="B254" s="54" t="s">
        <v>156</v>
      </c>
      <c r="C254" s="93"/>
      <c r="D254" s="93"/>
      <c r="E254" s="93"/>
      <c r="F254" s="25"/>
      <c r="G254" s="94"/>
      <c r="H254" s="93"/>
      <c r="I254" s="93"/>
      <c r="J254" s="93"/>
      <c r="K254" s="93"/>
      <c r="L254" s="93"/>
      <c r="M254" s="93"/>
      <c r="N254" s="93"/>
      <c r="O254" s="93"/>
      <c r="P254" s="93"/>
      <c r="Q254" s="93"/>
      <c r="R254" s="54">
        <v>4</v>
      </c>
      <c r="S254" s="94">
        <f t="shared" si="3"/>
        <v>0.16</v>
      </c>
      <c r="T254" s="53">
        <v>366</v>
      </c>
      <c r="U254" s="131">
        <f t="shared" si="4"/>
        <v>0.11571293076193487</v>
      </c>
      <c r="V254" s="25"/>
      <c r="W254" s="25"/>
      <c r="X254" s="5"/>
    </row>
    <row r="255" spans="1:25" ht="15.75" x14ac:dyDescent="0.25">
      <c r="A255" s="24"/>
      <c r="B255" s="54" t="s">
        <v>157</v>
      </c>
      <c r="C255" s="93"/>
      <c r="D255" s="93"/>
      <c r="E255" s="93"/>
      <c r="F255" s="25"/>
      <c r="G255" s="94"/>
      <c r="H255" s="93"/>
      <c r="I255" s="93"/>
      <c r="J255" s="93"/>
      <c r="K255" s="93"/>
      <c r="L255" s="93"/>
      <c r="M255" s="93"/>
      <c r="N255" s="93"/>
      <c r="O255" s="93"/>
      <c r="P255" s="93"/>
      <c r="Q255" s="93"/>
      <c r="R255" s="54">
        <v>3</v>
      </c>
      <c r="S255" s="94">
        <f t="shared" si="3"/>
        <v>0.12</v>
      </c>
      <c r="T255" s="53">
        <v>293</v>
      </c>
      <c r="U255" s="131">
        <f t="shared" si="4"/>
        <v>9.2633575719253874E-2</v>
      </c>
      <c r="V255" s="25"/>
      <c r="W255" s="25"/>
      <c r="X255" s="5"/>
    </row>
    <row r="256" spans="1:25" ht="15.75" x14ac:dyDescent="0.25">
      <c r="A256" s="24"/>
      <c r="B256" s="54" t="s">
        <v>158</v>
      </c>
      <c r="C256" s="93"/>
      <c r="D256" s="93"/>
      <c r="E256" s="93"/>
      <c r="F256" s="25"/>
      <c r="G256" s="94"/>
      <c r="H256" s="93"/>
      <c r="I256" s="93"/>
      <c r="J256" s="93"/>
      <c r="K256" s="93"/>
      <c r="L256" s="93"/>
      <c r="M256" s="93"/>
      <c r="N256" s="93"/>
      <c r="O256" s="93"/>
      <c r="P256" s="93"/>
      <c r="Q256" s="93"/>
      <c r="R256" s="54">
        <v>2</v>
      </c>
      <c r="S256" s="94">
        <f t="shared" si="3"/>
        <v>0.08</v>
      </c>
      <c r="T256" s="53">
        <v>238</v>
      </c>
      <c r="U256" s="131">
        <f t="shared" si="4"/>
        <v>7.5245020550110661E-2</v>
      </c>
      <c r="V256" s="25"/>
      <c r="W256" s="25"/>
      <c r="X256" s="5"/>
    </row>
    <row r="257" spans="1:24" ht="15.75" x14ac:dyDescent="0.25">
      <c r="A257" s="24"/>
      <c r="B257" s="54" t="s">
        <v>159</v>
      </c>
      <c r="C257" s="93"/>
      <c r="D257" s="93"/>
      <c r="E257" s="93"/>
      <c r="F257" s="25"/>
      <c r="G257" s="94"/>
      <c r="H257" s="93"/>
      <c r="I257" s="93"/>
      <c r="J257" s="93"/>
      <c r="K257" s="93"/>
      <c r="L257" s="93"/>
      <c r="M257" s="93"/>
      <c r="N257" s="93"/>
      <c r="O257" s="93"/>
      <c r="P257" s="93"/>
      <c r="Q257" s="93"/>
      <c r="R257" s="54">
        <v>4</v>
      </c>
      <c r="S257" s="94">
        <f t="shared" si="3"/>
        <v>0.16</v>
      </c>
      <c r="T257" s="53">
        <v>784</v>
      </c>
      <c r="U257" s="131">
        <f t="shared" si="4"/>
        <v>0.24786595004742334</v>
      </c>
      <c r="V257" s="25"/>
      <c r="W257" s="25"/>
      <c r="X257" s="5"/>
    </row>
    <row r="258" spans="1:24" ht="15.75" x14ac:dyDescent="0.25">
      <c r="A258" s="24"/>
      <c r="B258" s="54" t="s">
        <v>160</v>
      </c>
      <c r="C258" s="93"/>
      <c r="D258" s="93"/>
      <c r="E258" s="93"/>
      <c r="F258" s="25"/>
      <c r="G258" s="94"/>
      <c r="H258" s="93"/>
      <c r="I258" s="93"/>
      <c r="J258" s="93"/>
      <c r="K258" s="93"/>
      <c r="L258" s="93"/>
      <c r="M258" s="93"/>
      <c r="N258" s="93"/>
      <c r="O258" s="93"/>
      <c r="P258" s="93"/>
      <c r="Q258" s="93"/>
      <c r="R258" s="54">
        <v>0</v>
      </c>
      <c r="S258" s="94">
        <f t="shared" si="3"/>
        <v>0</v>
      </c>
      <c r="T258" s="53">
        <v>0</v>
      </c>
      <c r="U258" s="131">
        <f t="shared" si="4"/>
        <v>0</v>
      </c>
      <c r="V258" s="25"/>
      <c r="W258" s="25"/>
      <c r="X258" s="5"/>
    </row>
    <row r="259" spans="1:24" ht="15.75" x14ac:dyDescent="0.25">
      <c r="A259" s="24"/>
      <c r="B259" s="54"/>
      <c r="C259" s="93"/>
      <c r="D259" s="93"/>
      <c r="E259" s="93"/>
      <c r="F259" s="25"/>
      <c r="G259" s="94"/>
      <c r="H259" s="93"/>
      <c r="I259" s="93"/>
      <c r="J259" s="93"/>
      <c r="K259" s="93"/>
      <c r="L259" s="93"/>
      <c r="M259" s="93"/>
      <c r="N259" s="93"/>
      <c r="O259" s="93"/>
      <c r="P259" s="93"/>
      <c r="Q259" s="93"/>
      <c r="R259" s="54"/>
      <c r="S259" s="94"/>
      <c r="T259" s="53"/>
      <c r="U259" s="131"/>
      <c r="V259" s="25"/>
      <c r="W259" s="25"/>
      <c r="X259" s="5"/>
    </row>
    <row r="260" spans="1:24" ht="15.75" x14ac:dyDescent="0.25">
      <c r="A260" s="24"/>
      <c r="B260" s="25"/>
      <c r="C260" s="25"/>
      <c r="D260" s="25"/>
      <c r="E260" s="25"/>
      <c r="F260" s="25"/>
      <c r="G260" s="25"/>
      <c r="H260" s="95"/>
      <c r="I260" s="95"/>
      <c r="J260" s="95"/>
      <c r="K260" s="95"/>
      <c r="L260" s="95"/>
      <c r="M260" s="95"/>
      <c r="N260" s="95"/>
      <c r="O260" s="95"/>
      <c r="P260" s="95"/>
      <c r="Q260" s="95"/>
      <c r="R260" s="34">
        <f>SUM(R251:R259)</f>
        <v>25</v>
      </c>
      <c r="S260" s="131">
        <f>SUM(S251:S259)</f>
        <v>1</v>
      </c>
      <c r="T260" s="53">
        <f>SUM(T251:T259)</f>
        <v>3163</v>
      </c>
      <c r="U260" s="131">
        <f>SUM(U251:U259)</f>
        <v>1</v>
      </c>
      <c r="V260" s="25"/>
      <c r="W260" s="25"/>
      <c r="X260" s="5"/>
    </row>
    <row r="261" spans="1:24" ht="15.75" x14ac:dyDescent="0.25">
      <c r="A261" s="24"/>
      <c r="B261" s="25"/>
      <c r="C261" s="25"/>
      <c r="D261" s="25"/>
      <c r="E261" s="25"/>
      <c r="F261" s="25"/>
      <c r="G261" s="25"/>
      <c r="H261" s="95"/>
      <c r="I261" s="95"/>
      <c r="J261" s="95"/>
      <c r="K261" s="95"/>
      <c r="L261" s="95"/>
      <c r="M261" s="95"/>
      <c r="N261" s="95"/>
      <c r="O261" s="95"/>
      <c r="P261" s="95"/>
      <c r="Q261" s="95"/>
      <c r="R261" s="34"/>
      <c r="S261" s="131"/>
      <c r="T261" s="53"/>
      <c r="U261" s="131"/>
      <c r="V261" s="25"/>
      <c r="W261" s="25"/>
      <c r="X261" s="5"/>
    </row>
    <row r="262" spans="1:24" ht="15.75" x14ac:dyDescent="0.25">
      <c r="A262" s="138"/>
      <c r="B262" s="14" t="s">
        <v>163</v>
      </c>
      <c r="C262" s="136"/>
      <c r="D262" s="136"/>
      <c r="E262" s="136"/>
      <c r="F262" s="136"/>
      <c r="G262" s="136"/>
      <c r="H262" s="142"/>
      <c r="I262" s="142"/>
      <c r="J262" s="142"/>
      <c r="K262" s="142"/>
      <c r="L262" s="142"/>
      <c r="M262" s="142"/>
      <c r="N262" s="142"/>
      <c r="O262" s="142"/>
      <c r="P262" s="142"/>
      <c r="Q262" s="142"/>
      <c r="R262" s="83" t="s">
        <v>102</v>
      </c>
      <c r="S262" s="17" t="s">
        <v>103</v>
      </c>
      <c r="T262" s="83" t="s">
        <v>109</v>
      </c>
      <c r="U262" s="17" t="s">
        <v>103</v>
      </c>
      <c r="V262" s="136"/>
      <c r="W262" s="137"/>
      <c r="X262" s="5"/>
    </row>
    <row r="263" spans="1:24" ht="15.75" x14ac:dyDescent="0.25">
      <c r="A263" s="24"/>
      <c r="B263" s="54" t="s">
        <v>88</v>
      </c>
      <c r="C263" s="25"/>
      <c r="D263" s="25"/>
      <c r="E263" s="25"/>
      <c r="F263" s="25"/>
      <c r="G263" s="25"/>
      <c r="H263" s="95"/>
      <c r="I263" s="95"/>
      <c r="J263" s="95"/>
      <c r="K263" s="95"/>
      <c r="L263" s="95"/>
      <c r="M263" s="95"/>
      <c r="N263" s="95"/>
      <c r="O263" s="95"/>
      <c r="P263" s="95"/>
      <c r="Q263" s="95"/>
      <c r="R263" s="54">
        <v>0</v>
      </c>
      <c r="S263" s="94">
        <v>0</v>
      </c>
      <c r="T263" s="53">
        <v>0</v>
      </c>
      <c r="U263" s="131">
        <v>0</v>
      </c>
      <c r="V263" s="25"/>
      <c r="W263" s="25"/>
      <c r="X263" s="5"/>
    </row>
    <row r="264" spans="1:24" ht="15.75" x14ac:dyDescent="0.25">
      <c r="A264" s="24"/>
      <c r="B264" s="54" t="s">
        <v>89</v>
      </c>
      <c r="C264" s="25"/>
      <c r="D264" s="25"/>
      <c r="E264" s="25"/>
      <c r="F264" s="25"/>
      <c r="G264" s="25"/>
      <c r="H264" s="95"/>
      <c r="I264" s="95"/>
      <c r="J264" s="95"/>
      <c r="K264" s="95"/>
      <c r="L264" s="95"/>
      <c r="M264" s="95"/>
      <c r="N264" s="95"/>
      <c r="O264" s="95"/>
      <c r="P264" s="95"/>
      <c r="Q264" s="95"/>
      <c r="R264" s="54">
        <v>0</v>
      </c>
      <c r="S264" s="94">
        <v>0</v>
      </c>
      <c r="T264" s="53">
        <v>0</v>
      </c>
      <c r="U264" s="131">
        <v>0</v>
      </c>
      <c r="V264" s="25"/>
      <c r="W264" s="25"/>
      <c r="X264" s="5"/>
    </row>
    <row r="265" spans="1:24" ht="15.75" x14ac:dyDescent="0.25">
      <c r="A265" s="24"/>
      <c r="B265" s="54" t="s">
        <v>90</v>
      </c>
      <c r="C265" s="25"/>
      <c r="D265" s="25"/>
      <c r="E265" s="25"/>
      <c r="F265" s="25"/>
      <c r="G265" s="25"/>
      <c r="H265" s="95"/>
      <c r="I265" s="95"/>
      <c r="J265" s="95"/>
      <c r="K265" s="95"/>
      <c r="L265" s="95"/>
      <c r="M265" s="95"/>
      <c r="N265" s="95"/>
      <c r="O265" s="95"/>
      <c r="P265" s="95"/>
      <c r="Q265" s="95"/>
      <c r="R265" s="54">
        <v>0</v>
      </c>
      <c r="S265" s="94">
        <v>0</v>
      </c>
      <c r="T265" s="53">
        <v>0</v>
      </c>
      <c r="U265" s="131">
        <v>0</v>
      </c>
      <c r="V265" s="25"/>
      <c r="W265" s="25"/>
      <c r="X265" s="5"/>
    </row>
    <row r="266" spans="1:24" ht="15.75" x14ac:dyDescent="0.25">
      <c r="A266" s="24"/>
      <c r="B266" s="54" t="s">
        <v>156</v>
      </c>
      <c r="C266" s="25"/>
      <c r="D266" s="25"/>
      <c r="E266" s="25"/>
      <c r="F266" s="25"/>
      <c r="G266" s="25"/>
      <c r="H266" s="95"/>
      <c r="I266" s="95"/>
      <c r="J266" s="95"/>
      <c r="K266" s="95"/>
      <c r="L266" s="95"/>
      <c r="M266" s="95"/>
      <c r="N266" s="95"/>
      <c r="O266" s="95"/>
      <c r="P266" s="95"/>
      <c r="Q266" s="95"/>
      <c r="R266" s="54">
        <v>0</v>
      </c>
      <c r="S266" s="94">
        <v>0</v>
      </c>
      <c r="T266" s="53">
        <v>0</v>
      </c>
      <c r="U266" s="131">
        <v>0</v>
      </c>
      <c r="V266" s="25"/>
      <c r="W266" s="25"/>
      <c r="X266" s="5"/>
    </row>
    <row r="267" spans="1:24" ht="15.75" x14ac:dyDescent="0.25">
      <c r="A267" s="24"/>
      <c r="B267" s="54" t="s">
        <v>157</v>
      </c>
      <c r="C267" s="25"/>
      <c r="D267" s="25"/>
      <c r="E267" s="25"/>
      <c r="F267" s="25"/>
      <c r="G267" s="25"/>
      <c r="H267" s="95"/>
      <c r="I267" s="95"/>
      <c r="J267" s="95"/>
      <c r="K267" s="95"/>
      <c r="L267" s="95"/>
      <c r="M267" s="95"/>
      <c r="N267" s="95"/>
      <c r="O267" s="95"/>
      <c r="P267" s="95"/>
      <c r="Q267" s="95"/>
      <c r="R267" s="54">
        <v>0</v>
      </c>
      <c r="S267" s="94">
        <v>0</v>
      </c>
      <c r="T267" s="53">
        <v>0</v>
      </c>
      <c r="U267" s="131">
        <v>0</v>
      </c>
      <c r="V267" s="25"/>
      <c r="W267" s="25"/>
      <c r="X267" s="5"/>
    </row>
    <row r="268" spans="1:24" ht="15.75" x14ac:dyDescent="0.25">
      <c r="A268" s="24"/>
      <c r="B268" s="54" t="s">
        <v>158</v>
      </c>
      <c r="C268" s="25"/>
      <c r="D268" s="25"/>
      <c r="E268" s="25"/>
      <c r="F268" s="25"/>
      <c r="G268" s="25"/>
      <c r="H268" s="95"/>
      <c r="I268" s="95"/>
      <c r="J268" s="95"/>
      <c r="K268" s="95"/>
      <c r="L268" s="95"/>
      <c r="M268" s="95"/>
      <c r="N268" s="95"/>
      <c r="O268" s="95"/>
      <c r="P268" s="95"/>
      <c r="Q268" s="95"/>
      <c r="R268" s="54">
        <v>0</v>
      </c>
      <c r="S268" s="94">
        <v>0</v>
      </c>
      <c r="T268" s="53">
        <v>0</v>
      </c>
      <c r="U268" s="131">
        <v>0</v>
      </c>
      <c r="V268" s="25"/>
      <c r="W268" s="25"/>
      <c r="X268" s="5"/>
    </row>
    <row r="269" spans="1:24" ht="15.75" x14ac:dyDescent="0.25">
      <c r="A269" s="24"/>
      <c r="B269" s="54" t="s">
        <v>159</v>
      </c>
      <c r="C269" s="25"/>
      <c r="D269" s="25"/>
      <c r="E269" s="25"/>
      <c r="F269" s="25"/>
      <c r="G269" s="25"/>
      <c r="H269" s="95"/>
      <c r="I269" s="95"/>
      <c r="J269" s="95"/>
      <c r="K269" s="95"/>
      <c r="L269" s="95"/>
      <c r="M269" s="95"/>
      <c r="N269" s="95"/>
      <c r="O269" s="95"/>
      <c r="P269" s="95"/>
      <c r="Q269" s="95"/>
      <c r="R269" s="54">
        <v>0</v>
      </c>
      <c r="S269" s="94">
        <v>0</v>
      </c>
      <c r="T269" s="53">
        <v>0</v>
      </c>
      <c r="U269" s="131">
        <v>0</v>
      </c>
      <c r="V269" s="25"/>
      <c r="W269" s="25"/>
      <c r="X269" s="5"/>
    </row>
    <row r="270" spans="1:24" ht="15.75" x14ac:dyDescent="0.25">
      <c r="A270" s="24"/>
      <c r="B270" s="54" t="s">
        <v>160</v>
      </c>
      <c r="C270" s="25"/>
      <c r="D270" s="25"/>
      <c r="E270" s="25"/>
      <c r="F270" s="25"/>
      <c r="G270" s="25"/>
      <c r="H270" s="95"/>
      <c r="I270" s="95"/>
      <c r="J270" s="95"/>
      <c r="K270" s="95"/>
      <c r="L270" s="95"/>
      <c r="M270" s="95"/>
      <c r="N270" s="95"/>
      <c r="O270" s="95"/>
      <c r="P270" s="95"/>
      <c r="Q270" s="95"/>
      <c r="R270" s="54">
        <v>0</v>
      </c>
      <c r="S270" s="94">
        <v>0</v>
      </c>
      <c r="T270" s="53">
        <v>0</v>
      </c>
      <c r="U270" s="131">
        <v>0</v>
      </c>
      <c r="V270" s="25"/>
      <c r="W270" s="25"/>
      <c r="X270" s="5"/>
    </row>
    <row r="271" spans="1:24" ht="15.75" x14ac:dyDescent="0.25">
      <c r="A271" s="24"/>
      <c r="B271" s="54"/>
      <c r="C271" s="25"/>
      <c r="D271" s="25"/>
      <c r="E271" s="25"/>
      <c r="F271" s="25"/>
      <c r="G271" s="25"/>
      <c r="H271" s="95"/>
      <c r="I271" s="95"/>
      <c r="J271" s="95"/>
      <c r="K271" s="95"/>
      <c r="L271" s="95"/>
      <c r="M271" s="95"/>
      <c r="N271" s="95"/>
      <c r="O271" s="95"/>
      <c r="P271" s="95"/>
      <c r="Q271" s="95"/>
      <c r="R271" s="54"/>
      <c r="S271" s="94"/>
      <c r="T271" s="53"/>
      <c r="U271" s="131"/>
      <c r="V271" s="25"/>
      <c r="W271" s="25"/>
      <c r="X271" s="5"/>
    </row>
    <row r="272" spans="1:24" ht="15.75" x14ac:dyDescent="0.25">
      <c r="A272" s="24"/>
      <c r="B272" s="25" t="s">
        <v>114</v>
      </c>
      <c r="C272" s="25"/>
      <c r="D272" s="25"/>
      <c r="E272" s="25"/>
      <c r="F272" s="25"/>
      <c r="G272" s="25"/>
      <c r="H272" s="95"/>
      <c r="I272" s="95"/>
      <c r="J272" s="95"/>
      <c r="K272" s="95"/>
      <c r="L272" s="95"/>
      <c r="M272" s="95"/>
      <c r="N272" s="95"/>
      <c r="O272" s="95"/>
      <c r="P272" s="95"/>
      <c r="Q272" s="95"/>
      <c r="R272" s="34">
        <f>SUM(R263:R270)</f>
        <v>0</v>
      </c>
      <c r="S272" s="94">
        <f>SUM(S263:S270)</f>
        <v>0</v>
      </c>
      <c r="T272" s="53">
        <f>SUM(T263:T270)</f>
        <v>0</v>
      </c>
      <c r="U272" s="131">
        <f>SUM(U263:U270)</f>
        <v>0</v>
      </c>
      <c r="V272" s="25"/>
      <c r="W272" s="25"/>
      <c r="X272" s="5"/>
    </row>
    <row r="273" spans="1:24" ht="15.75" x14ac:dyDescent="0.25">
      <c r="A273" s="24"/>
      <c r="B273" s="25"/>
      <c r="C273" s="25"/>
      <c r="D273" s="25"/>
      <c r="E273" s="25"/>
      <c r="F273" s="25"/>
      <c r="G273" s="25"/>
      <c r="H273" s="95"/>
      <c r="I273" s="95"/>
      <c r="J273" s="95"/>
      <c r="K273" s="95"/>
      <c r="L273" s="95"/>
      <c r="M273" s="95"/>
      <c r="N273" s="95"/>
      <c r="O273" s="95"/>
      <c r="P273" s="95"/>
      <c r="Q273" s="95"/>
      <c r="R273" s="34"/>
      <c r="S273" s="131"/>
      <c r="T273" s="53"/>
      <c r="U273" s="131"/>
      <c r="V273" s="25"/>
      <c r="W273" s="25"/>
      <c r="X273" s="5"/>
    </row>
    <row r="274" spans="1:24" ht="15.75" x14ac:dyDescent="0.25">
      <c r="A274" s="24"/>
      <c r="B274" s="139" t="s">
        <v>164</v>
      </c>
      <c r="C274" s="25"/>
      <c r="D274" s="25"/>
      <c r="E274" s="25"/>
      <c r="F274" s="25"/>
      <c r="G274" s="25"/>
      <c r="H274" s="95"/>
      <c r="I274" s="95"/>
      <c r="J274" s="95"/>
      <c r="K274" s="95"/>
      <c r="L274" s="95"/>
      <c r="M274" s="95"/>
      <c r="N274" s="95"/>
      <c r="O274" s="95"/>
      <c r="P274" s="95"/>
      <c r="Q274" s="95"/>
      <c r="R274" s="156">
        <f>R272+R260+R248</f>
        <v>6727</v>
      </c>
      <c r="S274" s="140"/>
      <c r="T274" s="141">
        <f>+T272+T260+T248</f>
        <v>984753</v>
      </c>
      <c r="U274" s="140"/>
      <c r="V274" s="25"/>
      <c r="W274" s="25"/>
      <c r="X274" s="5"/>
    </row>
    <row r="275" spans="1:24" ht="15.75" x14ac:dyDescent="0.25">
      <c r="A275" s="24"/>
      <c r="B275" s="25"/>
      <c r="C275" s="25"/>
      <c r="D275" s="25"/>
      <c r="E275" s="25"/>
      <c r="F275" s="25"/>
      <c r="G275" s="25"/>
      <c r="H275" s="95"/>
      <c r="I275" s="95"/>
      <c r="J275" s="95"/>
      <c r="K275" s="95"/>
      <c r="L275" s="95"/>
      <c r="M275" s="95"/>
      <c r="N275" s="95"/>
      <c r="O275" s="95"/>
      <c r="P275" s="95"/>
      <c r="Q275" s="95"/>
      <c r="R275" s="95"/>
      <c r="S275" s="95"/>
      <c r="T275" s="53"/>
      <c r="U275" s="95"/>
      <c r="V275" s="25"/>
      <c r="W275" s="25"/>
      <c r="X275" s="5"/>
    </row>
    <row r="276" spans="1:24" ht="15.75" x14ac:dyDescent="0.25">
      <c r="A276" s="6"/>
      <c r="B276" s="8"/>
      <c r="C276" s="8"/>
      <c r="D276" s="8"/>
      <c r="E276" s="8"/>
      <c r="F276" s="8"/>
      <c r="G276" s="8"/>
      <c r="H276" s="96"/>
      <c r="I276" s="96"/>
      <c r="J276" s="96"/>
      <c r="K276" s="96"/>
      <c r="L276" s="96"/>
      <c r="M276" s="96"/>
      <c r="N276" s="96"/>
      <c r="O276" s="96"/>
      <c r="P276" s="96"/>
      <c r="Q276" s="96"/>
      <c r="R276" s="96"/>
      <c r="S276" s="96"/>
      <c r="T276" s="97"/>
      <c r="U276" s="96"/>
      <c r="V276" s="8"/>
      <c r="W276" s="8"/>
      <c r="X276" s="5"/>
    </row>
    <row r="277" spans="1:24" ht="15.75" x14ac:dyDescent="0.25">
      <c r="A277" s="178"/>
      <c r="B277" s="14" t="s">
        <v>91</v>
      </c>
      <c r="C277" s="15"/>
      <c r="D277" s="15"/>
      <c r="E277" s="15"/>
      <c r="F277" s="17" t="s">
        <v>97</v>
      </c>
      <c r="G277" s="15"/>
      <c r="H277" s="14" t="s">
        <v>99</v>
      </c>
      <c r="I277" s="14"/>
      <c r="J277" s="14"/>
      <c r="K277" s="173"/>
      <c r="L277" s="173"/>
      <c r="M277" s="173"/>
      <c r="N277" s="173"/>
      <c r="O277" s="173"/>
      <c r="P277" s="173"/>
      <c r="Q277" s="173"/>
      <c r="R277" s="173"/>
      <c r="S277" s="173"/>
      <c r="T277" s="173"/>
      <c r="U277" s="173"/>
      <c r="V277" s="173"/>
      <c r="W277" s="173"/>
      <c r="X277" s="5"/>
    </row>
    <row r="278" spans="1:24" ht="15.75" x14ac:dyDescent="0.25">
      <c r="A278" s="178"/>
      <c r="B278" s="173"/>
      <c r="C278" s="8"/>
      <c r="D278" s="8"/>
      <c r="E278" s="8"/>
      <c r="F278" s="8"/>
      <c r="G278" s="8"/>
      <c r="H278" s="8"/>
      <c r="I278" s="8"/>
      <c r="J278" s="8"/>
      <c r="K278" s="173"/>
      <c r="L278" s="173"/>
      <c r="M278" s="173"/>
      <c r="N278" s="173"/>
      <c r="O278" s="173"/>
      <c r="P278" s="173"/>
      <c r="Q278" s="173"/>
      <c r="R278" s="173"/>
      <c r="S278" s="173"/>
      <c r="T278" s="173"/>
      <c r="U278" s="173"/>
      <c r="V278" s="173"/>
      <c r="W278" s="173"/>
      <c r="X278" s="5"/>
    </row>
    <row r="279" spans="1:24" ht="15.75" x14ac:dyDescent="0.25">
      <c r="A279" s="178"/>
      <c r="B279" s="13" t="s">
        <v>92</v>
      </c>
      <c r="C279" s="13"/>
      <c r="D279" s="13"/>
      <c r="E279" s="13"/>
      <c r="F279" s="129" t="s">
        <v>148</v>
      </c>
      <c r="G279" s="13"/>
      <c r="H279" s="13" t="s">
        <v>152</v>
      </c>
      <c r="I279" s="13"/>
      <c r="J279" s="13"/>
      <c r="K279" s="173"/>
      <c r="L279" s="173"/>
      <c r="M279" s="173"/>
      <c r="N279" s="173"/>
      <c r="O279" s="173"/>
      <c r="P279" s="173"/>
      <c r="Q279" s="173"/>
      <c r="R279" s="173"/>
      <c r="S279" s="173"/>
      <c r="T279" s="173"/>
      <c r="U279" s="173"/>
      <c r="V279" s="173"/>
      <c r="W279" s="173"/>
      <c r="X279" s="5"/>
    </row>
    <row r="280" spans="1:24" ht="15.75" x14ac:dyDescent="0.25">
      <c r="A280" s="178"/>
      <c r="B280" s="13" t="s">
        <v>265</v>
      </c>
      <c r="C280" s="13"/>
      <c r="D280" s="13"/>
      <c r="E280" s="13"/>
      <c r="F280" s="129" t="s">
        <v>266</v>
      </c>
      <c r="G280" s="13"/>
      <c r="H280" s="13" t="s">
        <v>267</v>
      </c>
      <c r="I280" s="13"/>
      <c r="J280" s="13"/>
      <c r="K280" s="173"/>
      <c r="L280" s="173"/>
      <c r="M280" s="173"/>
      <c r="N280" s="173"/>
      <c r="O280" s="173"/>
      <c r="P280" s="173"/>
      <c r="Q280" s="173"/>
      <c r="R280" s="173"/>
      <c r="S280" s="173"/>
      <c r="T280" s="173"/>
      <c r="U280" s="173"/>
      <c r="V280" s="173"/>
      <c r="W280" s="173"/>
      <c r="X280" s="5"/>
    </row>
    <row r="281" spans="1:24" ht="15.75" x14ac:dyDescent="0.25">
      <c r="A281" s="178"/>
      <c r="B281" s="13" t="s">
        <v>93</v>
      </c>
      <c r="C281" s="13"/>
      <c r="D281" s="13"/>
      <c r="E281" s="13"/>
      <c r="F281" s="129" t="s">
        <v>147</v>
      </c>
      <c r="G281" s="13"/>
      <c r="H281" s="13" t="s">
        <v>153</v>
      </c>
      <c r="I281" s="13"/>
      <c r="J281" s="13"/>
      <c r="K281" s="173"/>
      <c r="L281" s="173"/>
      <c r="M281" s="173"/>
      <c r="N281" s="173"/>
      <c r="O281" s="173"/>
      <c r="P281" s="173"/>
      <c r="Q281" s="173"/>
      <c r="R281" s="173"/>
      <c r="S281" s="173"/>
      <c r="T281" s="173"/>
      <c r="U281" s="173"/>
      <c r="V281" s="173"/>
      <c r="W281" s="173"/>
      <c r="X281" s="5"/>
    </row>
    <row r="282" spans="1:24" ht="15.75" x14ac:dyDescent="0.25">
      <c r="A282" s="178"/>
      <c r="B282" s="13"/>
      <c r="C282" s="13"/>
      <c r="D282" s="13"/>
      <c r="E282" s="13"/>
      <c r="F282" s="13"/>
      <c r="G282" s="99"/>
      <c r="H282" s="173"/>
      <c r="I282" s="173"/>
      <c r="J282" s="173"/>
      <c r="K282" s="173"/>
      <c r="L282" s="173"/>
      <c r="M282" s="173"/>
      <c r="N282" s="173"/>
      <c r="O282" s="173"/>
      <c r="P282" s="173"/>
      <c r="Q282" s="173"/>
      <c r="R282" s="173"/>
      <c r="S282" s="173"/>
      <c r="T282" s="173"/>
      <c r="U282" s="173"/>
      <c r="V282" s="173"/>
      <c r="W282" s="173"/>
      <c r="X282" s="5"/>
    </row>
    <row r="283" spans="1:24" ht="15.75" x14ac:dyDescent="0.25">
      <c r="A283" s="178"/>
      <c r="B283" s="13"/>
      <c r="C283" s="13"/>
      <c r="D283" s="13"/>
      <c r="E283" s="13"/>
      <c r="F283" s="13"/>
      <c r="G283" s="99"/>
      <c r="H283" s="173"/>
      <c r="I283" s="173"/>
      <c r="J283" s="173"/>
      <c r="K283" s="173"/>
      <c r="L283" s="173"/>
      <c r="M283" s="173"/>
      <c r="N283" s="173"/>
      <c r="O283" s="173"/>
      <c r="P283" s="173"/>
      <c r="Q283" s="173"/>
      <c r="R283" s="173"/>
      <c r="S283" s="173"/>
      <c r="T283" s="173"/>
      <c r="U283" s="173"/>
      <c r="V283" s="173"/>
      <c r="W283" s="173"/>
      <c r="X283" s="5"/>
    </row>
    <row r="284" spans="1:24" ht="19.5" thickBot="1" x14ac:dyDescent="0.35">
      <c r="A284" s="178"/>
      <c r="B284" s="49" t="str">
        <f>B200</f>
        <v>PM15 INVESTOR REPORT QUARTER ENDING FEBRUARY 2008</v>
      </c>
      <c r="C284" s="13"/>
      <c r="D284" s="13"/>
      <c r="E284" s="13"/>
      <c r="F284" s="13"/>
      <c r="G284" s="99"/>
      <c r="H284" s="173"/>
      <c r="I284" s="173"/>
      <c r="J284" s="173"/>
      <c r="K284" s="173"/>
      <c r="L284" s="173"/>
      <c r="M284" s="173"/>
      <c r="N284" s="173"/>
      <c r="O284" s="173"/>
      <c r="P284" s="173"/>
      <c r="Q284" s="173"/>
      <c r="R284" s="173"/>
      <c r="S284" s="173"/>
      <c r="T284" s="173"/>
      <c r="U284" s="173"/>
      <c r="V284" s="173"/>
      <c r="W284" s="173"/>
      <c r="X284" s="5"/>
    </row>
    <row r="285" spans="1:24" x14ac:dyDescent="0.2">
      <c r="A285" s="100"/>
      <c r="B285" s="100"/>
      <c r="C285" s="100"/>
      <c r="D285" s="100"/>
      <c r="E285" s="100"/>
      <c r="F285" s="100"/>
      <c r="G285" s="100"/>
      <c r="H285" s="100"/>
      <c r="I285" s="100"/>
      <c r="J285" s="100"/>
      <c r="K285" s="100"/>
      <c r="L285" s="100"/>
      <c r="M285" s="100"/>
      <c r="N285" s="100"/>
      <c r="O285" s="100"/>
      <c r="P285" s="100"/>
      <c r="Q285" s="100"/>
      <c r="R285" s="100"/>
      <c r="S285" s="100"/>
      <c r="T285" s="100"/>
      <c r="U285" s="100"/>
      <c r="V285" s="100"/>
      <c r="W285" s="100"/>
    </row>
  </sheetData>
  <phoneticPr fontId="0" type="noConversion"/>
  <hyperlinks>
    <hyperlink ref="P236" r:id="rId1" xr:uid="{00000000-0004-0000-0100-000000000000}"/>
    <hyperlink ref="I9" r:id="rId2" xr:uid="{00000000-0004-0000-01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5" max="14" man="1"/>
    <brk id="200" max="14" man="1"/>
  </rowBreaks>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sheetPr>
  <dimension ref="A1:IV297"/>
  <sheetViews>
    <sheetView showGridLines="0" showOutlineSymbols="0" zoomScale="70" zoomScaleNormal="70" workbookViewId="0"/>
  </sheetViews>
  <sheetFormatPr defaultColWidth="9.6640625" defaultRowHeight="15" x14ac:dyDescent="0.2"/>
  <cols>
    <col min="1" max="1" width="4" style="1" customWidth="1"/>
    <col min="2" max="2" width="71.21875" style="1" customWidth="1"/>
    <col min="3" max="3" width="2.21875" style="1" customWidth="1"/>
    <col min="4" max="4" width="19.33203125" style="1" customWidth="1"/>
    <col min="5" max="5" width="2.21875" style="1" customWidth="1"/>
    <col min="6" max="6" width="25.109375" style="1" customWidth="1"/>
    <col min="7" max="7" width="2.21875" style="1" customWidth="1"/>
    <col min="8" max="8" width="16.21875" style="1" customWidth="1"/>
    <col min="9" max="9" width="2.88671875" style="1" customWidth="1"/>
    <col min="10" max="10" width="16.21875" style="1" customWidth="1"/>
    <col min="11" max="11" width="2.21875" style="1" customWidth="1"/>
    <col min="12" max="12" width="17.88671875" style="1" customWidth="1"/>
    <col min="13" max="13" width="2.33203125" style="1" customWidth="1"/>
    <col min="14" max="14" width="14.88671875" style="1" customWidth="1"/>
    <col min="15" max="15" width="2.33203125" style="1" customWidth="1"/>
    <col min="16" max="16" width="15.5546875" style="1" customWidth="1"/>
    <col min="17" max="17" width="2.21875" style="1" customWidth="1"/>
    <col min="18" max="18" width="15.5546875" style="1" customWidth="1"/>
    <col min="19" max="20" width="12.6640625" style="1" customWidth="1"/>
    <col min="21" max="21" width="7.77734375" style="1" customWidth="1"/>
    <col min="22" max="22" width="14.6640625" style="1" customWidth="1"/>
    <col min="23" max="23" width="11.77734375" style="1" customWidth="1"/>
    <col min="24" max="16384" width="9.6640625" style="1"/>
  </cols>
  <sheetData>
    <row r="1" spans="1:24" ht="20.25" x14ac:dyDescent="0.3">
      <c r="A1" s="179"/>
      <c r="B1" s="274" t="s">
        <v>237</v>
      </c>
      <c r="C1" s="180"/>
      <c r="D1" s="180"/>
      <c r="E1" s="180"/>
      <c r="F1" s="180"/>
      <c r="G1" s="180"/>
      <c r="H1" s="180"/>
      <c r="I1" s="180"/>
      <c r="J1" s="180"/>
      <c r="K1" s="180"/>
      <c r="L1" s="180"/>
      <c r="M1" s="180"/>
      <c r="N1" s="180"/>
      <c r="O1" s="180"/>
      <c r="P1" s="180"/>
      <c r="Q1" s="180"/>
      <c r="R1" s="180"/>
      <c r="S1" s="180"/>
      <c r="T1" s="180"/>
      <c r="U1" s="180"/>
      <c r="V1" s="180"/>
      <c r="W1" s="180"/>
      <c r="X1" s="5"/>
    </row>
    <row r="2" spans="1:24" ht="15.75" x14ac:dyDescent="0.25">
      <c r="A2" s="181"/>
      <c r="B2" s="182"/>
      <c r="C2" s="183"/>
      <c r="D2" s="183"/>
      <c r="E2" s="183"/>
      <c r="F2" s="183"/>
      <c r="G2" s="183"/>
      <c r="H2" s="183"/>
      <c r="I2" s="183"/>
      <c r="J2" s="183"/>
      <c r="K2" s="183"/>
      <c r="L2" s="183"/>
      <c r="M2" s="183"/>
      <c r="N2" s="183"/>
      <c r="O2" s="183"/>
      <c r="P2" s="183"/>
      <c r="Q2" s="183"/>
      <c r="R2" s="183"/>
      <c r="S2" s="183"/>
      <c r="T2" s="183"/>
      <c r="U2" s="183"/>
      <c r="V2" s="183"/>
      <c r="W2" s="183"/>
      <c r="X2" s="5"/>
    </row>
    <row r="3" spans="1:24" ht="15.75" x14ac:dyDescent="0.25">
      <c r="A3" s="184"/>
      <c r="B3" s="185" t="s">
        <v>238</v>
      </c>
      <c r="C3" s="183"/>
      <c r="D3" s="183"/>
      <c r="E3" s="183"/>
      <c r="F3" s="183"/>
      <c r="G3" s="183"/>
      <c r="H3" s="183"/>
      <c r="I3" s="183"/>
      <c r="J3" s="183"/>
      <c r="K3" s="183"/>
      <c r="L3" s="183"/>
      <c r="M3" s="183"/>
      <c r="N3" s="183"/>
      <c r="O3" s="183"/>
      <c r="P3" s="183"/>
      <c r="Q3" s="183"/>
      <c r="R3" s="183"/>
      <c r="S3" s="183"/>
      <c r="T3" s="183"/>
      <c r="U3" s="183"/>
      <c r="V3" s="183"/>
      <c r="W3" s="183"/>
      <c r="X3" s="5"/>
    </row>
    <row r="4" spans="1:24" ht="15.75" x14ac:dyDescent="0.25">
      <c r="A4" s="181"/>
      <c r="B4" s="182"/>
      <c r="C4" s="183"/>
      <c r="D4" s="183"/>
      <c r="E4" s="183"/>
      <c r="F4" s="183"/>
      <c r="G4" s="183"/>
      <c r="H4" s="183"/>
      <c r="I4" s="183"/>
      <c r="J4" s="183"/>
      <c r="K4" s="183"/>
      <c r="L4" s="183"/>
      <c r="M4" s="183"/>
      <c r="N4" s="183"/>
      <c r="O4" s="183"/>
      <c r="P4" s="183"/>
      <c r="Q4" s="183"/>
      <c r="R4" s="183"/>
      <c r="S4" s="183"/>
      <c r="T4" s="183"/>
      <c r="U4" s="183"/>
      <c r="V4" s="183"/>
      <c r="W4" s="183"/>
      <c r="X4" s="5"/>
    </row>
    <row r="5" spans="1:24" ht="15.75" x14ac:dyDescent="0.25">
      <c r="A5" s="181"/>
      <c r="B5" s="275" t="s">
        <v>137</v>
      </c>
      <c r="C5" s="183"/>
      <c r="D5" s="183"/>
      <c r="E5" s="183"/>
      <c r="F5" s="183"/>
      <c r="G5" s="183"/>
      <c r="H5" s="183"/>
      <c r="I5" s="183"/>
      <c r="J5" s="183"/>
      <c r="K5" s="183"/>
      <c r="L5" s="183"/>
      <c r="M5" s="183"/>
      <c r="N5" s="183"/>
      <c r="O5" s="183"/>
      <c r="P5" s="183"/>
      <c r="Q5" s="183"/>
      <c r="R5" s="183"/>
      <c r="S5" s="183"/>
      <c r="T5" s="183"/>
      <c r="U5" s="183"/>
      <c r="V5" s="183"/>
      <c r="W5" s="183"/>
      <c r="X5" s="5"/>
    </row>
    <row r="6" spans="1:24" ht="15.75" x14ac:dyDescent="0.25">
      <c r="A6" s="181"/>
      <c r="B6" s="275" t="s">
        <v>139</v>
      </c>
      <c r="C6" s="183"/>
      <c r="D6" s="183"/>
      <c r="E6" s="183"/>
      <c r="F6" s="183"/>
      <c r="G6" s="183"/>
      <c r="H6" s="183"/>
      <c r="I6" s="183"/>
      <c r="J6" s="183"/>
      <c r="K6" s="183"/>
      <c r="L6" s="183"/>
      <c r="M6" s="183"/>
      <c r="N6" s="183"/>
      <c r="O6" s="183"/>
      <c r="P6" s="183"/>
      <c r="Q6" s="183"/>
      <c r="R6" s="183"/>
      <c r="S6" s="183"/>
      <c r="T6" s="183"/>
      <c r="U6" s="183"/>
      <c r="V6" s="183"/>
      <c r="W6" s="183"/>
      <c r="X6" s="5"/>
    </row>
    <row r="7" spans="1:24" ht="15.75" x14ac:dyDescent="0.25">
      <c r="A7" s="181"/>
      <c r="B7" s="275" t="s">
        <v>138</v>
      </c>
      <c r="C7" s="183"/>
      <c r="D7" s="183"/>
      <c r="E7" s="183"/>
      <c r="F7" s="183"/>
      <c r="G7" s="183"/>
      <c r="H7" s="183"/>
      <c r="I7" s="183"/>
      <c r="J7" s="183"/>
      <c r="K7" s="183"/>
      <c r="L7" s="183"/>
      <c r="M7" s="183"/>
      <c r="N7" s="183"/>
      <c r="O7" s="183"/>
      <c r="P7" s="183"/>
      <c r="Q7" s="183"/>
      <c r="R7" s="183"/>
      <c r="S7" s="183"/>
      <c r="T7" s="183"/>
      <c r="U7" s="183"/>
      <c r="V7" s="183"/>
      <c r="W7" s="183"/>
      <c r="X7" s="5"/>
    </row>
    <row r="8" spans="1:24" ht="15.75" x14ac:dyDescent="0.25">
      <c r="A8" s="181"/>
      <c r="B8" s="186"/>
      <c r="C8" s="183"/>
      <c r="D8" s="183"/>
      <c r="E8" s="183"/>
      <c r="F8" s="183"/>
      <c r="G8" s="183"/>
      <c r="H8" s="183"/>
      <c r="I8" s="183"/>
      <c r="J8" s="183"/>
      <c r="K8" s="183"/>
      <c r="L8" s="183"/>
      <c r="M8" s="183"/>
      <c r="N8" s="183"/>
      <c r="O8" s="183"/>
      <c r="P8" s="183"/>
      <c r="Q8" s="183"/>
      <c r="R8" s="183"/>
      <c r="S8" s="183"/>
      <c r="T8" s="183"/>
      <c r="U8" s="183"/>
      <c r="V8" s="183"/>
      <c r="W8" s="183"/>
      <c r="X8" s="5"/>
    </row>
    <row r="9" spans="1:24" ht="18.75" x14ac:dyDescent="0.3">
      <c r="A9" s="181"/>
      <c r="B9" s="187" t="s">
        <v>166</v>
      </c>
      <c r="C9" s="183"/>
      <c r="D9" s="183"/>
      <c r="E9" s="183"/>
      <c r="F9" s="183"/>
      <c r="G9" s="183"/>
      <c r="H9" s="183"/>
      <c r="I9" s="188" t="s">
        <v>167</v>
      </c>
      <c r="J9" s="183"/>
      <c r="K9" s="183"/>
      <c r="L9" s="188"/>
      <c r="M9" s="183"/>
      <c r="N9" s="188"/>
      <c r="O9" s="183"/>
      <c r="P9" s="183"/>
      <c r="Q9" s="183"/>
      <c r="R9" s="183"/>
      <c r="S9" s="183"/>
      <c r="T9" s="183"/>
      <c r="U9" s="183"/>
      <c r="V9" s="183"/>
      <c r="W9" s="183"/>
      <c r="X9" s="5"/>
    </row>
    <row r="10" spans="1:24" ht="15.75" x14ac:dyDescent="0.25">
      <c r="A10" s="181"/>
      <c r="B10" s="186"/>
      <c r="C10" s="189"/>
      <c r="D10" s="189"/>
      <c r="E10" s="189"/>
      <c r="F10" s="183"/>
      <c r="G10" s="183"/>
      <c r="H10" s="183"/>
      <c r="I10" s="183"/>
      <c r="J10" s="183"/>
      <c r="K10" s="183"/>
      <c r="L10" s="183"/>
      <c r="M10" s="183"/>
      <c r="N10" s="183"/>
      <c r="O10" s="183"/>
      <c r="P10" s="183"/>
      <c r="Q10" s="183"/>
      <c r="R10" s="183"/>
      <c r="S10" s="183"/>
      <c r="T10" s="183"/>
      <c r="U10" s="183"/>
      <c r="V10" s="183"/>
      <c r="W10" s="183"/>
      <c r="X10" s="5"/>
    </row>
    <row r="11" spans="1:24" ht="15.75" x14ac:dyDescent="0.25">
      <c r="A11" s="181"/>
      <c r="B11" s="388" t="s">
        <v>0</v>
      </c>
      <c r="C11" s="183"/>
      <c r="D11" s="183"/>
      <c r="E11" s="183"/>
      <c r="F11" s="183"/>
      <c r="G11" s="183"/>
      <c r="H11" s="183"/>
      <c r="I11" s="183"/>
      <c r="J11" s="183"/>
      <c r="K11" s="183"/>
      <c r="L11" s="183"/>
      <c r="M11" s="183"/>
      <c r="N11" s="183"/>
      <c r="O11" s="183"/>
      <c r="P11" s="183"/>
      <c r="Q11" s="183"/>
      <c r="R11" s="183"/>
      <c r="S11" s="183"/>
      <c r="T11" s="183"/>
      <c r="U11" s="183"/>
      <c r="V11" s="183"/>
      <c r="W11" s="183"/>
      <c r="X11" s="5"/>
    </row>
    <row r="12" spans="1:24" ht="16.5" thickBot="1" x14ac:dyDescent="0.3">
      <c r="A12" s="181"/>
      <c r="B12" s="189"/>
      <c r="C12" s="183"/>
      <c r="D12" s="183"/>
      <c r="E12" s="183"/>
      <c r="F12" s="183"/>
      <c r="G12" s="183"/>
      <c r="H12" s="183"/>
      <c r="I12" s="183"/>
      <c r="J12" s="183"/>
      <c r="K12" s="183"/>
      <c r="L12" s="183"/>
      <c r="M12" s="183"/>
      <c r="N12" s="183"/>
      <c r="O12" s="183"/>
      <c r="P12" s="183"/>
      <c r="Q12" s="183"/>
      <c r="R12" s="183"/>
      <c r="S12" s="183"/>
      <c r="T12" s="183"/>
      <c r="U12" s="183"/>
      <c r="V12" s="183"/>
      <c r="W12" s="183"/>
      <c r="X12" s="5"/>
    </row>
    <row r="13" spans="1:24" ht="15.75" x14ac:dyDescent="0.25">
      <c r="A13" s="179"/>
      <c r="B13" s="180"/>
      <c r="C13" s="180"/>
      <c r="D13" s="180"/>
      <c r="E13" s="180"/>
      <c r="F13" s="180"/>
      <c r="G13" s="180"/>
      <c r="H13" s="180"/>
      <c r="I13" s="180"/>
      <c r="J13" s="180"/>
      <c r="K13" s="180"/>
      <c r="L13" s="180"/>
      <c r="M13" s="180"/>
      <c r="N13" s="180"/>
      <c r="O13" s="180"/>
      <c r="P13" s="180"/>
      <c r="Q13" s="180"/>
      <c r="R13" s="180"/>
      <c r="S13" s="180"/>
      <c r="T13" s="180"/>
      <c r="U13" s="180"/>
      <c r="V13" s="180"/>
      <c r="W13" s="180"/>
      <c r="X13" s="5"/>
    </row>
    <row r="14" spans="1:24" ht="15.75" x14ac:dyDescent="0.25">
      <c r="A14" s="181"/>
      <c r="B14" s="388" t="s">
        <v>1</v>
      </c>
      <c r="C14" s="255"/>
      <c r="D14" s="255"/>
      <c r="E14" s="255"/>
      <c r="F14" s="255"/>
      <c r="G14" s="255"/>
      <c r="H14" s="255"/>
      <c r="I14" s="255"/>
      <c r="J14" s="255"/>
      <c r="K14" s="255"/>
      <c r="L14" s="255"/>
      <c r="M14" s="255"/>
      <c r="N14" s="255"/>
      <c r="O14" s="255"/>
      <c r="P14" s="255"/>
      <c r="Q14" s="255"/>
      <c r="R14" s="255"/>
      <c r="S14" s="255"/>
      <c r="T14" s="255"/>
      <c r="U14" s="255"/>
      <c r="V14" s="276" t="s">
        <v>239</v>
      </c>
      <c r="W14" s="255"/>
      <c r="X14" s="5"/>
    </row>
    <row r="15" spans="1:24" ht="15.75" x14ac:dyDescent="0.25">
      <c r="A15" s="181"/>
      <c r="B15" s="388" t="s">
        <v>2</v>
      </c>
      <c r="C15" s="255"/>
      <c r="D15" s="255"/>
      <c r="E15" s="255"/>
      <c r="F15" s="255"/>
      <c r="G15" s="255"/>
      <c r="H15" s="389"/>
      <c r="I15" s="389"/>
      <c r="J15" s="389"/>
      <c r="K15" s="389"/>
      <c r="L15" s="389"/>
      <c r="M15" s="389"/>
      <c r="N15" s="389"/>
      <c r="O15" s="389"/>
      <c r="P15" s="389"/>
      <c r="Q15" s="389"/>
      <c r="R15" s="389" t="s">
        <v>104</v>
      </c>
      <c r="S15" s="390">
        <v>0.47189999999999999</v>
      </c>
      <c r="T15" s="391" t="s">
        <v>140</v>
      </c>
      <c r="U15" s="390">
        <v>0.52810000000000001</v>
      </c>
      <c r="V15" s="276"/>
      <c r="W15" s="255"/>
      <c r="X15" s="5"/>
    </row>
    <row r="16" spans="1:24" ht="15.75" x14ac:dyDescent="0.25">
      <c r="A16" s="181"/>
      <c r="B16" s="388" t="s">
        <v>3</v>
      </c>
      <c r="C16" s="255"/>
      <c r="D16" s="255"/>
      <c r="E16" s="255"/>
      <c r="F16" s="255"/>
      <c r="G16" s="255"/>
      <c r="H16" s="389"/>
      <c r="I16" s="389"/>
      <c r="J16" s="389"/>
      <c r="K16" s="389"/>
      <c r="L16" s="389"/>
      <c r="M16" s="389"/>
      <c r="N16" s="389"/>
      <c r="O16" s="389"/>
      <c r="P16" s="389"/>
      <c r="Q16" s="389"/>
      <c r="R16" s="389" t="s">
        <v>104</v>
      </c>
      <c r="S16" s="390">
        <v>0.5413</v>
      </c>
      <c r="T16" s="391" t="s">
        <v>140</v>
      </c>
      <c r="U16" s="390">
        <v>0.4587</v>
      </c>
      <c r="V16" s="276"/>
      <c r="W16" s="255"/>
      <c r="X16" s="5"/>
    </row>
    <row r="17" spans="1:24" ht="15.75" x14ac:dyDescent="0.25">
      <c r="A17" s="181"/>
      <c r="B17" s="388" t="s">
        <v>4</v>
      </c>
      <c r="C17" s="255"/>
      <c r="D17" s="255"/>
      <c r="E17" s="255"/>
      <c r="F17" s="255"/>
      <c r="G17" s="255"/>
      <c r="H17" s="255"/>
      <c r="I17" s="255"/>
      <c r="J17" s="255"/>
      <c r="K17" s="255"/>
      <c r="L17" s="255"/>
      <c r="M17" s="255"/>
      <c r="N17" s="255"/>
      <c r="O17" s="255"/>
      <c r="P17" s="255"/>
      <c r="Q17" s="255"/>
      <c r="R17" s="255"/>
      <c r="S17" s="255"/>
      <c r="T17" s="255"/>
      <c r="U17" s="255"/>
      <c r="V17" s="392">
        <v>39282</v>
      </c>
      <c r="W17" s="255"/>
      <c r="X17" s="5"/>
    </row>
    <row r="18" spans="1:24" ht="15.75" x14ac:dyDescent="0.25">
      <c r="A18" s="181"/>
      <c r="B18" s="388" t="s">
        <v>5</v>
      </c>
      <c r="C18" s="255"/>
      <c r="D18" s="255"/>
      <c r="E18" s="255"/>
      <c r="F18" s="255"/>
      <c r="G18" s="255"/>
      <c r="H18" s="255"/>
      <c r="I18" s="255"/>
      <c r="J18" s="255"/>
      <c r="K18" s="255"/>
      <c r="L18" s="255"/>
      <c r="M18" s="255"/>
      <c r="N18" s="255"/>
      <c r="O18" s="255"/>
      <c r="P18" s="255"/>
      <c r="Q18" s="255"/>
      <c r="R18" s="255"/>
      <c r="S18" s="255"/>
      <c r="T18" s="255"/>
      <c r="U18" s="255"/>
      <c r="V18" s="392">
        <v>41173</v>
      </c>
      <c r="W18" s="255"/>
      <c r="X18" s="5"/>
    </row>
    <row r="19" spans="1:24" ht="15.75" x14ac:dyDescent="0.25">
      <c r="A19" s="181"/>
      <c r="B19" s="183"/>
      <c r="C19" s="183"/>
      <c r="D19" s="183"/>
      <c r="E19" s="183"/>
      <c r="F19" s="183"/>
      <c r="G19" s="183"/>
      <c r="H19" s="183"/>
      <c r="I19" s="183"/>
      <c r="J19" s="183"/>
      <c r="K19" s="183"/>
      <c r="L19" s="183"/>
      <c r="M19" s="183"/>
      <c r="N19" s="183"/>
      <c r="O19" s="183"/>
      <c r="P19" s="183"/>
      <c r="Q19" s="183"/>
      <c r="R19" s="183"/>
      <c r="S19" s="183"/>
      <c r="T19" s="183"/>
      <c r="U19" s="183"/>
      <c r="V19" s="190"/>
      <c r="W19" s="183"/>
      <c r="X19" s="5"/>
    </row>
    <row r="20" spans="1:24" ht="15.75" x14ac:dyDescent="0.25">
      <c r="A20" s="181"/>
      <c r="B20" s="280" t="s">
        <v>6</v>
      </c>
      <c r="C20" s="255"/>
      <c r="D20" s="255"/>
      <c r="E20" s="255"/>
      <c r="F20" s="255"/>
      <c r="G20" s="255"/>
      <c r="H20" s="255"/>
      <c r="I20" s="255"/>
      <c r="J20" s="255"/>
      <c r="K20" s="255"/>
      <c r="L20" s="255"/>
      <c r="M20" s="255"/>
      <c r="N20" s="255"/>
      <c r="O20" s="255"/>
      <c r="P20" s="255"/>
      <c r="Q20" s="255"/>
      <c r="R20" s="255"/>
      <c r="S20" s="255"/>
      <c r="T20" s="281" t="s">
        <v>105</v>
      </c>
      <c r="U20" s="255"/>
      <c r="V20" s="261"/>
      <c r="W20" s="183"/>
      <c r="X20" s="5"/>
    </row>
    <row r="21" spans="1:24" ht="15.75" x14ac:dyDescent="0.25">
      <c r="A21" s="181"/>
      <c r="B21" s="183"/>
      <c r="C21" s="183"/>
      <c r="D21" s="183"/>
      <c r="E21" s="183"/>
      <c r="F21" s="183"/>
      <c r="G21" s="183"/>
      <c r="H21" s="183"/>
      <c r="I21" s="183"/>
      <c r="J21" s="183"/>
      <c r="K21" s="183"/>
      <c r="L21" s="183"/>
      <c r="M21" s="183"/>
      <c r="N21" s="183"/>
      <c r="O21" s="183"/>
      <c r="P21" s="183"/>
      <c r="Q21" s="183"/>
      <c r="R21" s="183"/>
      <c r="S21" s="183"/>
      <c r="T21" s="183"/>
      <c r="U21" s="183"/>
      <c r="V21" s="192"/>
      <c r="W21" s="183"/>
      <c r="X21" s="5"/>
    </row>
    <row r="22" spans="1:24" ht="15.75" x14ac:dyDescent="0.25">
      <c r="A22" s="224"/>
      <c r="B22" s="225"/>
      <c r="C22" s="226"/>
      <c r="D22" s="226" t="s">
        <v>177</v>
      </c>
      <c r="E22" s="226"/>
      <c r="F22" s="226" t="s">
        <v>178</v>
      </c>
      <c r="G22" s="226"/>
      <c r="H22" s="226" t="s">
        <v>179</v>
      </c>
      <c r="I22" s="226"/>
      <c r="J22" s="226" t="s">
        <v>219</v>
      </c>
      <c r="K22" s="226"/>
      <c r="L22" s="226" t="s">
        <v>180</v>
      </c>
      <c r="M22" s="226"/>
      <c r="N22" s="226" t="s">
        <v>181</v>
      </c>
      <c r="O22" s="226"/>
      <c r="P22" s="226" t="s">
        <v>182</v>
      </c>
      <c r="Q22" s="226"/>
      <c r="R22" s="226"/>
      <c r="S22" s="228"/>
      <c r="T22" s="228"/>
      <c r="U22" s="229"/>
      <c r="V22" s="229"/>
      <c r="W22" s="225"/>
      <c r="X22" s="5"/>
    </row>
    <row r="23" spans="1:24" ht="15.75" x14ac:dyDescent="0.25">
      <c r="A23" s="193"/>
      <c r="B23" s="250" t="s">
        <v>7</v>
      </c>
      <c r="C23" s="282"/>
      <c r="D23" s="282" t="s">
        <v>212</v>
      </c>
      <c r="E23" s="282"/>
      <c r="F23" s="282" t="s">
        <v>141</v>
      </c>
      <c r="G23" s="282"/>
      <c r="H23" s="282" t="s">
        <v>141</v>
      </c>
      <c r="I23" s="282"/>
      <c r="J23" s="282" t="s">
        <v>141</v>
      </c>
      <c r="K23" s="282"/>
      <c r="L23" s="282" t="s">
        <v>183</v>
      </c>
      <c r="M23" s="282"/>
      <c r="N23" s="282" t="s">
        <v>183</v>
      </c>
      <c r="O23" s="282"/>
      <c r="P23" s="282" t="s">
        <v>142</v>
      </c>
      <c r="Q23" s="282"/>
      <c r="R23" s="282"/>
      <c r="S23" s="282"/>
      <c r="T23" s="282"/>
      <c r="U23" s="273"/>
      <c r="V23" s="273"/>
      <c r="W23" s="250"/>
      <c r="X23" s="5"/>
    </row>
    <row r="24" spans="1:24" ht="15.75" x14ac:dyDescent="0.25">
      <c r="A24" s="285"/>
      <c r="B24" s="286" t="s">
        <v>8</v>
      </c>
      <c r="C24" s="287"/>
      <c r="D24" s="287" t="s">
        <v>213</v>
      </c>
      <c r="E24" s="287"/>
      <c r="F24" s="287" t="s">
        <v>143</v>
      </c>
      <c r="G24" s="287"/>
      <c r="H24" s="287" t="s">
        <v>143</v>
      </c>
      <c r="I24" s="287"/>
      <c r="J24" s="287" t="s">
        <v>143</v>
      </c>
      <c r="K24" s="287"/>
      <c r="L24" s="287" t="s">
        <v>165</v>
      </c>
      <c r="M24" s="287"/>
      <c r="N24" s="287" t="s">
        <v>165</v>
      </c>
      <c r="O24" s="287"/>
      <c r="P24" s="287" t="s">
        <v>144</v>
      </c>
      <c r="Q24" s="287"/>
      <c r="R24" s="287"/>
      <c r="S24" s="287"/>
      <c r="T24" s="287"/>
      <c r="U24" s="288"/>
      <c r="V24" s="288"/>
      <c r="W24" s="289"/>
      <c r="X24" s="5"/>
    </row>
    <row r="25" spans="1:24" ht="15.75" x14ac:dyDescent="0.25">
      <c r="A25" s="290"/>
      <c r="B25" s="286" t="s">
        <v>190</v>
      </c>
      <c r="C25" s="292"/>
      <c r="D25" s="287" t="s">
        <v>214</v>
      </c>
      <c r="E25" s="287"/>
      <c r="F25" s="287" t="s">
        <v>143</v>
      </c>
      <c r="G25" s="287"/>
      <c r="H25" s="287" t="s">
        <v>143</v>
      </c>
      <c r="I25" s="287"/>
      <c r="J25" s="287" t="s">
        <v>143</v>
      </c>
      <c r="K25" s="287"/>
      <c r="L25" s="287" t="s">
        <v>165</v>
      </c>
      <c r="M25" s="287"/>
      <c r="N25" s="287" t="s">
        <v>165</v>
      </c>
      <c r="O25" s="287"/>
      <c r="P25" s="287" t="s">
        <v>144</v>
      </c>
      <c r="Q25" s="287"/>
      <c r="R25" s="287"/>
      <c r="S25" s="292"/>
      <c r="T25" s="287"/>
      <c r="U25" s="288"/>
      <c r="V25" s="288"/>
      <c r="W25" s="289"/>
      <c r="X25" s="5"/>
    </row>
    <row r="26" spans="1:24" ht="15.75" x14ac:dyDescent="0.25">
      <c r="A26" s="393"/>
      <c r="B26" s="297" t="s">
        <v>9</v>
      </c>
      <c r="C26" s="292"/>
      <c r="D26" s="292" t="s">
        <v>141</v>
      </c>
      <c r="E26" s="292"/>
      <c r="F26" s="292" t="s">
        <v>141</v>
      </c>
      <c r="G26" s="292"/>
      <c r="H26" s="292" t="s">
        <v>141</v>
      </c>
      <c r="I26" s="292"/>
      <c r="J26" s="292" t="s">
        <v>141</v>
      </c>
      <c r="K26" s="292"/>
      <c r="L26" s="292" t="s">
        <v>183</v>
      </c>
      <c r="M26" s="292"/>
      <c r="N26" s="292" t="s">
        <v>183</v>
      </c>
      <c r="O26" s="292"/>
      <c r="P26" s="292" t="s">
        <v>142</v>
      </c>
      <c r="Q26" s="292"/>
      <c r="R26" s="292"/>
      <c r="S26" s="292"/>
      <c r="T26" s="287"/>
      <c r="U26" s="288"/>
      <c r="V26" s="288"/>
      <c r="W26" s="289"/>
      <c r="X26" s="5"/>
    </row>
    <row r="27" spans="1:24" ht="15.75" x14ac:dyDescent="0.25">
      <c r="A27" s="295"/>
      <c r="B27" s="297" t="s">
        <v>191</v>
      </c>
      <c r="C27" s="287"/>
      <c r="D27" s="292" t="s">
        <v>143</v>
      </c>
      <c r="E27" s="292"/>
      <c r="F27" s="292" t="s">
        <v>143</v>
      </c>
      <c r="G27" s="292"/>
      <c r="H27" s="292" t="s">
        <v>143</v>
      </c>
      <c r="I27" s="292"/>
      <c r="J27" s="292" t="s">
        <v>143</v>
      </c>
      <c r="K27" s="292"/>
      <c r="L27" s="292" t="s">
        <v>307</v>
      </c>
      <c r="M27" s="292"/>
      <c r="N27" s="292" t="s">
        <v>307</v>
      </c>
      <c r="O27" s="292"/>
      <c r="P27" s="292" t="s">
        <v>308</v>
      </c>
      <c r="Q27" s="292"/>
      <c r="R27" s="292"/>
      <c r="S27" s="287"/>
      <c r="T27" s="296"/>
      <c r="U27" s="288"/>
      <c r="V27" s="288"/>
      <c r="W27" s="289"/>
      <c r="X27" s="5"/>
    </row>
    <row r="28" spans="1:24" ht="15.75" x14ac:dyDescent="0.25">
      <c r="A28" s="295"/>
      <c r="B28" s="297" t="s">
        <v>192</v>
      </c>
      <c r="C28" s="287"/>
      <c r="D28" s="292" t="s">
        <v>143</v>
      </c>
      <c r="E28" s="292"/>
      <c r="F28" s="292" t="s">
        <v>143</v>
      </c>
      <c r="G28" s="292"/>
      <c r="H28" s="292" t="s">
        <v>143</v>
      </c>
      <c r="I28" s="292"/>
      <c r="J28" s="292" t="s">
        <v>143</v>
      </c>
      <c r="K28" s="292"/>
      <c r="L28" s="292" t="s">
        <v>165</v>
      </c>
      <c r="M28" s="292"/>
      <c r="N28" s="292" t="s">
        <v>165</v>
      </c>
      <c r="O28" s="292"/>
      <c r="P28" s="292" t="s">
        <v>309</v>
      </c>
      <c r="Q28" s="292"/>
      <c r="R28" s="292"/>
      <c r="S28" s="287"/>
      <c r="T28" s="296"/>
      <c r="U28" s="288"/>
      <c r="V28" s="288"/>
      <c r="W28" s="289"/>
      <c r="X28" s="5"/>
    </row>
    <row r="29" spans="1:24" ht="15.75" x14ac:dyDescent="0.25">
      <c r="A29" s="295"/>
      <c r="B29" s="286" t="s">
        <v>10</v>
      </c>
      <c r="C29" s="298"/>
      <c r="D29" s="287" t="s">
        <v>242</v>
      </c>
      <c r="E29" s="287"/>
      <c r="F29" s="296" t="s">
        <v>244</v>
      </c>
      <c r="G29" s="287"/>
      <c r="H29" s="287" t="s">
        <v>245</v>
      </c>
      <c r="I29" s="287"/>
      <c r="J29" s="287" t="s">
        <v>247</v>
      </c>
      <c r="K29" s="287"/>
      <c r="L29" s="287" t="s">
        <v>248</v>
      </c>
      <c r="M29" s="287"/>
      <c r="N29" s="287" t="s">
        <v>249</v>
      </c>
      <c r="O29" s="287"/>
      <c r="P29" s="287" t="s">
        <v>250</v>
      </c>
      <c r="Q29" s="287"/>
      <c r="R29" s="287"/>
      <c r="S29" s="299"/>
      <c r="T29" s="299"/>
      <c r="U29" s="300"/>
      <c r="V29" s="299"/>
      <c r="W29" s="301"/>
      <c r="X29" s="5"/>
    </row>
    <row r="30" spans="1:24" ht="15.75" x14ac:dyDescent="0.25">
      <c r="A30" s="295"/>
      <c r="B30" s="286" t="s">
        <v>10</v>
      </c>
      <c r="C30" s="298"/>
      <c r="D30" s="287" t="s">
        <v>243</v>
      </c>
      <c r="E30" s="287"/>
      <c r="F30" s="296" t="s">
        <v>118</v>
      </c>
      <c r="G30" s="287"/>
      <c r="H30" s="287" t="s">
        <v>118</v>
      </c>
      <c r="I30" s="287"/>
      <c r="J30" s="287" t="s">
        <v>246</v>
      </c>
      <c r="K30" s="287"/>
      <c r="L30" s="287" t="s">
        <v>118</v>
      </c>
      <c r="M30" s="287"/>
      <c r="N30" s="287" t="s">
        <v>118</v>
      </c>
      <c r="O30" s="287"/>
      <c r="P30" s="287" t="s">
        <v>118</v>
      </c>
      <c r="Q30" s="287"/>
      <c r="R30" s="287"/>
      <c r="S30" s="299"/>
      <c r="T30" s="299"/>
      <c r="U30" s="300"/>
      <c r="V30" s="299"/>
      <c r="W30" s="301"/>
      <c r="X30" s="5"/>
    </row>
    <row r="31" spans="1:24" ht="15.75" x14ac:dyDescent="0.25">
      <c r="A31" s="393"/>
      <c r="B31" s="286" t="s">
        <v>133</v>
      </c>
      <c r="C31" s="310"/>
      <c r="D31" s="303">
        <v>1000000</v>
      </c>
      <c r="E31" s="298"/>
      <c r="F31" s="299">
        <v>209500</v>
      </c>
      <c r="G31" s="299"/>
      <c r="H31" s="304">
        <v>110000</v>
      </c>
      <c r="I31" s="304"/>
      <c r="J31" s="303">
        <v>150000</v>
      </c>
      <c r="K31" s="299"/>
      <c r="L31" s="299">
        <v>17000</v>
      </c>
      <c r="M31" s="299"/>
      <c r="N31" s="304">
        <v>85500</v>
      </c>
      <c r="O31" s="299"/>
      <c r="P31" s="304">
        <v>110500</v>
      </c>
      <c r="Q31" s="299"/>
      <c r="R31" s="304"/>
      <c r="S31" s="312"/>
      <c r="T31" s="312"/>
      <c r="U31" s="306"/>
      <c r="V31" s="312"/>
      <c r="W31" s="301"/>
      <c r="X31" s="5"/>
    </row>
    <row r="32" spans="1:24" ht="15.75" x14ac:dyDescent="0.25">
      <c r="A32" s="295"/>
      <c r="B32" s="286" t="s">
        <v>132</v>
      </c>
      <c r="C32" s="298"/>
      <c r="D32" s="303">
        <f>D31*D38</f>
        <v>792072.4</v>
      </c>
      <c r="E32" s="298"/>
      <c r="F32" s="299">
        <f>F31*F38</f>
        <v>165939.37730000002</v>
      </c>
      <c r="G32" s="299"/>
      <c r="H32" s="304">
        <f>H31*H38</f>
        <v>87128.51400000001</v>
      </c>
      <c r="I32" s="304"/>
      <c r="J32" s="303">
        <f>J31*J38</f>
        <v>118810.86</v>
      </c>
      <c r="K32" s="299"/>
      <c r="L32" s="299">
        <f>L31*L38</f>
        <v>17000</v>
      </c>
      <c r="M32" s="299"/>
      <c r="N32" s="304">
        <f>N31*N38</f>
        <v>85500</v>
      </c>
      <c r="O32" s="299"/>
      <c r="P32" s="304">
        <f>P31*P38</f>
        <v>110500</v>
      </c>
      <c r="Q32" s="299"/>
      <c r="R32" s="304"/>
      <c r="S32" s="299"/>
      <c r="T32" s="299"/>
      <c r="U32" s="300"/>
      <c r="V32" s="299"/>
      <c r="W32" s="301"/>
      <c r="X32" s="5"/>
    </row>
    <row r="33" spans="1:27" ht="15.75" x14ac:dyDescent="0.25">
      <c r="A33" s="295"/>
      <c r="B33" s="297" t="s">
        <v>134</v>
      </c>
      <c r="C33" s="298"/>
      <c r="D33" s="394">
        <f>D37*D31</f>
        <v>785484.2</v>
      </c>
      <c r="E33" s="310"/>
      <c r="F33" s="312">
        <f>F37*F31</f>
        <v>164559.14939999999</v>
      </c>
      <c r="G33" s="312"/>
      <c r="H33" s="395">
        <f>H31*H37</f>
        <v>86403.834000000003</v>
      </c>
      <c r="I33" s="395"/>
      <c r="J33" s="394">
        <f>J37*J31</f>
        <v>117822.62999999999</v>
      </c>
      <c r="K33" s="312"/>
      <c r="L33" s="312">
        <f>L31*L37</f>
        <v>17000</v>
      </c>
      <c r="M33" s="312"/>
      <c r="N33" s="395">
        <f>N31*N37</f>
        <v>85500</v>
      </c>
      <c r="O33" s="312"/>
      <c r="P33" s="395">
        <f>P31*P37</f>
        <v>110500</v>
      </c>
      <c r="Q33" s="312"/>
      <c r="R33" s="395"/>
      <c r="S33" s="299"/>
      <c r="T33" s="299"/>
      <c r="U33" s="300"/>
      <c r="V33" s="299"/>
      <c r="W33" s="301"/>
      <c r="X33" s="5"/>
    </row>
    <row r="34" spans="1:27" ht="15.75" x14ac:dyDescent="0.25">
      <c r="A34" s="393"/>
      <c r="B34" s="286" t="s">
        <v>286</v>
      </c>
      <c r="C34" s="310"/>
      <c r="D34" s="299">
        <v>492951</v>
      </c>
      <c r="E34" s="298"/>
      <c r="F34" s="299">
        <v>209500</v>
      </c>
      <c r="G34" s="299"/>
      <c r="H34" s="299">
        <v>74677</v>
      </c>
      <c r="I34" s="299"/>
      <c r="J34" s="299">
        <v>73943</v>
      </c>
      <c r="K34" s="299"/>
      <c r="L34" s="299">
        <v>17000</v>
      </c>
      <c r="M34" s="299"/>
      <c r="N34" s="299">
        <v>58045</v>
      </c>
      <c r="O34" s="299"/>
      <c r="P34" s="299">
        <v>75017</v>
      </c>
      <c r="Q34" s="299"/>
      <c r="R34" s="299"/>
      <c r="S34" s="312"/>
      <c r="T34" s="312"/>
      <c r="U34" s="306"/>
      <c r="V34" s="299">
        <f>SUM(C34:R34)</f>
        <v>1001133</v>
      </c>
      <c r="W34" s="301"/>
      <c r="X34" s="5"/>
    </row>
    <row r="35" spans="1:27" ht="15.75" x14ac:dyDescent="0.25">
      <c r="A35" s="393"/>
      <c r="B35" s="286" t="s">
        <v>287</v>
      </c>
      <c r="C35" s="310"/>
      <c r="D35" s="299">
        <f>D34*D38</f>
        <v>390452.88165240001</v>
      </c>
      <c r="E35" s="298"/>
      <c r="F35" s="299">
        <f>F34*F38</f>
        <v>165939.37730000002</v>
      </c>
      <c r="G35" s="299"/>
      <c r="H35" s="299">
        <f>H34*H38</f>
        <v>59149.963999800006</v>
      </c>
      <c r="I35" s="299"/>
      <c r="J35" s="299">
        <f>J34*J38</f>
        <v>58568.209473200004</v>
      </c>
      <c r="K35" s="299"/>
      <c r="L35" s="299">
        <f>L34*L38</f>
        <v>17000</v>
      </c>
      <c r="M35" s="299"/>
      <c r="N35" s="299">
        <f>N34*N38</f>
        <v>58045</v>
      </c>
      <c r="O35" s="299"/>
      <c r="P35" s="299">
        <f>P34*P38</f>
        <v>75017</v>
      </c>
      <c r="Q35" s="299"/>
      <c r="R35" s="299"/>
      <c r="S35" s="299"/>
      <c r="T35" s="299"/>
      <c r="U35" s="300"/>
      <c r="V35" s="299">
        <f>SUM(C35:R35)</f>
        <v>824172.43242540013</v>
      </c>
      <c r="W35" s="301"/>
      <c r="X35" s="5"/>
    </row>
    <row r="36" spans="1:27" ht="15.75" x14ac:dyDescent="0.25">
      <c r="A36" s="393"/>
      <c r="B36" s="297" t="s">
        <v>288</v>
      </c>
      <c r="C36" s="310"/>
      <c r="D36" s="312">
        <f>D34*D37</f>
        <v>387205.22187419998</v>
      </c>
      <c r="E36" s="310"/>
      <c r="F36" s="312">
        <f>F34*F37</f>
        <v>164559.14939999999</v>
      </c>
      <c r="G36" s="312"/>
      <c r="H36" s="312">
        <f>H34*H37</f>
        <v>58657.9919238</v>
      </c>
      <c r="I36" s="312"/>
      <c r="J36" s="312">
        <f>J34*J37</f>
        <v>58081.058200599997</v>
      </c>
      <c r="K36" s="312"/>
      <c r="L36" s="312">
        <f>L34*L37</f>
        <v>17000</v>
      </c>
      <c r="M36" s="312"/>
      <c r="N36" s="312">
        <f>N34*N37</f>
        <v>58045</v>
      </c>
      <c r="O36" s="312"/>
      <c r="P36" s="312">
        <f>P34*P37</f>
        <v>75017</v>
      </c>
      <c r="Q36" s="312"/>
      <c r="R36" s="312"/>
      <c r="S36" s="311"/>
      <c r="T36" s="311"/>
      <c r="U36" s="300"/>
      <c r="V36" s="312">
        <f>SUM(C36:R36)</f>
        <v>818565.42139859998</v>
      </c>
      <c r="W36" s="301"/>
      <c r="X36" s="5"/>
    </row>
    <row r="37" spans="1:27" ht="15.75" x14ac:dyDescent="0.25">
      <c r="A37" s="285"/>
      <c r="B37" s="313" t="s">
        <v>130</v>
      </c>
      <c r="C37" s="314"/>
      <c r="D37" s="315">
        <v>0.78548419999999997</v>
      </c>
      <c r="E37" s="315"/>
      <c r="F37" s="315">
        <v>0.78548519999999999</v>
      </c>
      <c r="G37" s="315"/>
      <c r="H37" s="315">
        <v>0.7854894</v>
      </c>
      <c r="I37" s="315"/>
      <c r="J37" s="315">
        <v>0.78548419999999997</v>
      </c>
      <c r="K37" s="315"/>
      <c r="L37" s="315">
        <v>1</v>
      </c>
      <c r="M37" s="315"/>
      <c r="N37" s="315">
        <v>1</v>
      </c>
      <c r="O37" s="315"/>
      <c r="P37" s="315">
        <v>1</v>
      </c>
      <c r="Q37" s="315"/>
      <c r="R37" s="315"/>
      <c r="S37" s="316"/>
      <c r="T37" s="316"/>
      <c r="U37" s="317"/>
      <c r="V37" s="317"/>
      <c r="W37" s="318"/>
      <c r="X37" s="5"/>
    </row>
    <row r="38" spans="1:27" ht="15.75" x14ac:dyDescent="0.25">
      <c r="A38" s="285"/>
      <c r="B38" s="313" t="s">
        <v>131</v>
      </c>
      <c r="C38" s="314"/>
      <c r="D38" s="315">
        <v>0.79207240000000001</v>
      </c>
      <c r="E38" s="315"/>
      <c r="F38" s="315">
        <v>0.79207340000000004</v>
      </c>
      <c r="G38" s="315"/>
      <c r="H38" s="315">
        <v>0.79207740000000004</v>
      </c>
      <c r="I38" s="315"/>
      <c r="J38" s="315">
        <v>0.79207240000000001</v>
      </c>
      <c r="K38" s="315"/>
      <c r="L38" s="315">
        <v>1</v>
      </c>
      <c r="M38" s="315"/>
      <c r="N38" s="315">
        <v>1</v>
      </c>
      <c r="O38" s="315"/>
      <c r="P38" s="315">
        <v>1</v>
      </c>
      <c r="Q38" s="315"/>
      <c r="R38" s="315"/>
      <c r="S38" s="319"/>
      <c r="T38" s="320"/>
      <c r="U38" s="317"/>
      <c r="V38" s="319"/>
      <c r="W38" s="318"/>
      <c r="X38" s="5"/>
    </row>
    <row r="39" spans="1:27" ht="15.75" x14ac:dyDescent="0.25">
      <c r="A39" s="285"/>
      <c r="B39" s="286" t="s">
        <v>11</v>
      </c>
      <c r="C39" s="286"/>
      <c r="D39" s="296" t="s">
        <v>304</v>
      </c>
      <c r="E39" s="286"/>
      <c r="F39" s="296" t="s">
        <v>256</v>
      </c>
      <c r="G39" s="296"/>
      <c r="H39" s="296" t="s">
        <v>257</v>
      </c>
      <c r="I39" s="296"/>
      <c r="J39" s="296" t="s">
        <v>258</v>
      </c>
      <c r="K39" s="296"/>
      <c r="L39" s="296" t="s">
        <v>259</v>
      </c>
      <c r="M39" s="296"/>
      <c r="N39" s="296" t="s">
        <v>259</v>
      </c>
      <c r="O39" s="296"/>
      <c r="P39" s="296" t="s">
        <v>260</v>
      </c>
      <c r="Q39" s="296"/>
      <c r="R39" s="296"/>
      <c r="S39" s="321"/>
      <c r="T39" s="322"/>
      <c r="U39" s="288"/>
      <c r="V39" s="288"/>
      <c r="W39" s="289"/>
      <c r="X39" s="5"/>
    </row>
    <row r="40" spans="1:27" ht="15.75" x14ac:dyDescent="0.25">
      <c r="A40" s="285"/>
      <c r="B40" s="286" t="s">
        <v>12</v>
      </c>
      <c r="C40" s="286"/>
      <c r="D40" s="322">
        <v>4.1949999999999999E-3</v>
      </c>
      <c r="E40" s="286"/>
      <c r="F40" s="322">
        <v>1.2108799999999999E-2</v>
      </c>
      <c r="G40" s="321"/>
      <c r="H40" s="322">
        <v>9.0200000000000002E-3</v>
      </c>
      <c r="I40" s="322"/>
      <c r="J40" s="322">
        <v>6.8785000000000001E-3</v>
      </c>
      <c r="K40" s="321"/>
      <c r="L40" s="322">
        <v>1.49088E-2</v>
      </c>
      <c r="M40" s="321"/>
      <c r="N40" s="322">
        <v>1.2019999999999999E-2</v>
      </c>
      <c r="O40" s="321"/>
      <c r="P40" s="322">
        <v>1.762E-2</v>
      </c>
      <c r="Q40" s="321"/>
      <c r="R40" s="322"/>
      <c r="S40" s="321"/>
      <c r="T40" s="322"/>
      <c r="U40" s="288"/>
      <c r="V40" s="296"/>
      <c r="W40" s="289"/>
      <c r="X40" s="5"/>
      <c r="AA40" s="1" t="s">
        <v>193</v>
      </c>
    </row>
    <row r="41" spans="1:27" ht="15.75" x14ac:dyDescent="0.25">
      <c r="A41" s="285"/>
      <c r="B41" s="286" t="s">
        <v>13</v>
      </c>
      <c r="C41" s="286"/>
      <c r="D41" s="322">
        <v>3.2875000000000001E-3</v>
      </c>
      <c r="E41" s="286"/>
      <c r="F41" s="322">
        <v>1.16869E-2</v>
      </c>
      <c r="G41" s="321"/>
      <c r="H41" s="322">
        <v>9.9600000000000001E-3</v>
      </c>
      <c r="I41" s="322"/>
      <c r="J41" s="322">
        <v>5.8364999999999997E-3</v>
      </c>
      <c r="K41" s="321"/>
      <c r="L41" s="322">
        <v>1.30869E-2</v>
      </c>
      <c r="M41" s="321"/>
      <c r="N41" s="322">
        <v>1.146E-2</v>
      </c>
      <c r="O41" s="321"/>
      <c r="P41" s="322">
        <v>1.426E-2</v>
      </c>
      <c r="Q41" s="321"/>
      <c r="R41" s="322"/>
      <c r="S41" s="321"/>
      <c r="T41" s="322"/>
      <c r="U41" s="288"/>
      <c r="V41" s="321" t="s">
        <v>193</v>
      </c>
      <c r="W41" s="289"/>
      <c r="X41" s="5"/>
    </row>
    <row r="42" spans="1:27" ht="15.75" x14ac:dyDescent="0.25">
      <c r="A42" s="285"/>
      <c r="B42" s="286" t="s">
        <v>289</v>
      </c>
      <c r="C42" s="286"/>
      <c r="D42" s="296" t="s">
        <v>311</v>
      </c>
      <c r="E42" s="286"/>
      <c r="F42" s="296" t="s">
        <v>256</v>
      </c>
      <c r="G42" s="296"/>
      <c r="H42" s="296" t="s">
        <v>261</v>
      </c>
      <c r="I42" s="296"/>
      <c r="J42" s="296" t="s">
        <v>261</v>
      </c>
      <c r="K42" s="296"/>
      <c r="L42" s="296" t="s">
        <v>259</v>
      </c>
      <c r="M42" s="296"/>
      <c r="N42" s="296" t="s">
        <v>263</v>
      </c>
      <c r="O42" s="296"/>
      <c r="P42" s="296" t="s">
        <v>264</v>
      </c>
      <c r="Q42" s="296"/>
      <c r="R42" s="296"/>
      <c r="S42" s="321"/>
      <c r="T42" s="322"/>
      <c r="U42" s="288"/>
      <c r="V42" s="288"/>
      <c r="W42" s="289"/>
      <c r="X42" s="5"/>
    </row>
    <row r="43" spans="1:27" ht="15.75" x14ac:dyDescent="0.25">
      <c r="A43" s="285"/>
      <c r="B43" s="286" t="s">
        <v>290</v>
      </c>
      <c r="C43" s="323"/>
      <c r="D43" s="322">
        <v>1.1505700000000001E-2</v>
      </c>
      <c r="E43" s="322"/>
      <c r="F43" s="322">
        <f>+F40</f>
        <v>1.2108799999999999E-2</v>
      </c>
      <c r="G43" s="322"/>
      <c r="H43" s="322">
        <v>1.22588E-2</v>
      </c>
      <c r="I43" s="322"/>
      <c r="J43" s="322">
        <v>1.2288800000000001E-2</v>
      </c>
      <c r="K43" s="322"/>
      <c r="L43" s="322">
        <f>+L40</f>
        <v>1.49088E-2</v>
      </c>
      <c r="M43" s="322"/>
      <c r="N43" s="322">
        <v>1.5642799999999998E-2</v>
      </c>
      <c r="O43" s="322"/>
      <c r="P43" s="322">
        <v>2.1802800000000001E-2</v>
      </c>
      <c r="Q43" s="321"/>
      <c r="R43" s="322"/>
      <c r="S43" s="296"/>
      <c r="T43" s="296"/>
      <c r="U43" s="288"/>
      <c r="V43" s="321">
        <f>SUMPRODUCT(D43:R43,D35:R35)/V35</f>
        <v>1.303564302134763E-2</v>
      </c>
      <c r="W43" s="289"/>
      <c r="X43" s="5"/>
    </row>
    <row r="44" spans="1:27" ht="15.75" x14ac:dyDescent="0.25">
      <c r="A44" s="285"/>
      <c r="B44" s="286" t="s">
        <v>291</v>
      </c>
      <c r="C44" s="323"/>
      <c r="D44" s="322">
        <v>1.1478850000000001E-2</v>
      </c>
      <c r="E44" s="322"/>
      <c r="F44" s="322">
        <f>+F41</f>
        <v>1.16869E-2</v>
      </c>
      <c r="G44" s="322"/>
      <c r="H44" s="322">
        <v>1.17619E-2</v>
      </c>
      <c r="I44" s="322"/>
      <c r="J44" s="322">
        <v>1.17769E-2</v>
      </c>
      <c r="K44" s="322"/>
      <c r="L44" s="322">
        <f>+L41</f>
        <v>1.30869E-2</v>
      </c>
      <c r="M44" s="322"/>
      <c r="N44" s="322">
        <v>1.34539E-2</v>
      </c>
      <c r="O44" s="322"/>
      <c r="P44" s="322">
        <v>1.6533900000000001E-2</v>
      </c>
      <c r="Q44" s="321"/>
      <c r="R44" s="322"/>
      <c r="S44" s="296"/>
      <c r="T44" s="296"/>
      <c r="U44" s="288"/>
      <c r="V44" s="288"/>
      <c r="W44" s="289"/>
      <c r="X44" s="5"/>
    </row>
    <row r="45" spans="1:27" ht="15.75" x14ac:dyDescent="0.25">
      <c r="A45" s="285"/>
      <c r="B45" s="286" t="s">
        <v>14</v>
      </c>
      <c r="C45" s="286"/>
      <c r="D45" s="323">
        <v>40709</v>
      </c>
      <c r="E45" s="323"/>
      <c r="F45" s="323">
        <v>40709</v>
      </c>
      <c r="G45" s="323"/>
      <c r="H45" s="323">
        <v>40709</v>
      </c>
      <c r="I45" s="323"/>
      <c r="J45" s="323">
        <v>40709</v>
      </c>
      <c r="K45" s="323"/>
      <c r="L45" s="323">
        <v>40709</v>
      </c>
      <c r="M45" s="323"/>
      <c r="N45" s="323">
        <v>40709</v>
      </c>
      <c r="O45" s="323"/>
      <c r="P45" s="323">
        <v>40709</v>
      </c>
      <c r="Q45" s="323"/>
      <c r="R45" s="323"/>
      <c r="S45" s="296"/>
      <c r="T45" s="296"/>
      <c r="U45" s="288"/>
      <c r="V45" s="288"/>
      <c r="W45" s="289"/>
      <c r="X45" s="5"/>
    </row>
    <row r="46" spans="1:27" ht="15.75" x14ac:dyDescent="0.25">
      <c r="A46" s="285"/>
      <c r="B46" s="286" t="s">
        <v>15</v>
      </c>
      <c r="C46" s="286"/>
      <c r="D46" s="323">
        <v>41075</v>
      </c>
      <c r="E46" s="323"/>
      <c r="F46" s="323">
        <v>41075</v>
      </c>
      <c r="G46" s="323"/>
      <c r="H46" s="323">
        <v>41075</v>
      </c>
      <c r="I46" s="323"/>
      <c r="J46" s="323">
        <v>41075</v>
      </c>
      <c r="K46" s="296"/>
      <c r="L46" s="323">
        <v>41075</v>
      </c>
      <c r="M46" s="296"/>
      <c r="N46" s="323">
        <v>41075</v>
      </c>
      <c r="O46" s="296"/>
      <c r="P46" s="323">
        <v>41075</v>
      </c>
      <c r="Q46" s="296"/>
      <c r="R46" s="323"/>
      <c r="S46" s="296"/>
      <c r="T46" s="296"/>
      <c r="U46" s="288"/>
      <c r="V46" s="288"/>
      <c r="W46" s="289"/>
      <c r="X46" s="5"/>
    </row>
    <row r="47" spans="1:27" ht="15.75" x14ac:dyDescent="0.25">
      <c r="A47" s="285"/>
      <c r="B47" s="286" t="s">
        <v>119</v>
      </c>
      <c r="C47" s="286"/>
      <c r="D47" s="296" t="s">
        <v>304</v>
      </c>
      <c r="E47" s="286"/>
      <c r="F47" s="296" t="s">
        <v>256</v>
      </c>
      <c r="G47" s="296"/>
      <c r="H47" s="296" t="s">
        <v>257</v>
      </c>
      <c r="I47" s="296"/>
      <c r="J47" s="296" t="s">
        <v>258</v>
      </c>
      <c r="K47" s="296"/>
      <c r="L47" s="296" t="s">
        <v>259</v>
      </c>
      <c r="M47" s="296"/>
      <c r="N47" s="296" t="s">
        <v>259</v>
      </c>
      <c r="O47" s="296"/>
      <c r="P47" s="296" t="s">
        <v>260</v>
      </c>
      <c r="Q47" s="296"/>
      <c r="R47" s="296"/>
      <c r="S47" s="325"/>
      <c r="T47" s="325"/>
      <c r="U47" s="325"/>
      <c r="V47" s="325"/>
      <c r="W47" s="289"/>
      <c r="X47" s="5"/>
    </row>
    <row r="48" spans="1:27" ht="15.75" x14ac:dyDescent="0.25">
      <c r="A48" s="285"/>
      <c r="B48" s="286" t="s">
        <v>292</v>
      </c>
      <c r="C48" s="286"/>
      <c r="D48" s="296" t="s">
        <v>311</v>
      </c>
      <c r="E48" s="286"/>
      <c r="F48" s="296" t="s">
        <v>256</v>
      </c>
      <c r="G48" s="296"/>
      <c r="H48" s="296" t="s">
        <v>261</v>
      </c>
      <c r="I48" s="296"/>
      <c r="J48" s="296" t="s">
        <v>261</v>
      </c>
      <c r="K48" s="296"/>
      <c r="L48" s="296" t="s">
        <v>259</v>
      </c>
      <c r="M48" s="296"/>
      <c r="N48" s="296" t="s">
        <v>263</v>
      </c>
      <c r="O48" s="296"/>
      <c r="P48" s="296" t="s">
        <v>264</v>
      </c>
      <c r="Q48" s="296"/>
      <c r="R48" s="296"/>
      <c r="S48" s="286"/>
      <c r="T48" s="286"/>
      <c r="U48" s="286"/>
      <c r="V48" s="321"/>
      <c r="W48" s="289"/>
      <c r="X48" s="5"/>
    </row>
    <row r="49" spans="1:25" ht="15.75" x14ac:dyDescent="0.25">
      <c r="A49" s="285"/>
      <c r="B49" s="286"/>
      <c r="C49" s="286"/>
      <c r="D49" s="296"/>
      <c r="E49" s="286"/>
      <c r="F49" s="296"/>
      <c r="G49" s="296"/>
      <c r="H49" s="296"/>
      <c r="I49" s="296"/>
      <c r="J49" s="296"/>
      <c r="K49" s="296"/>
      <c r="L49" s="296"/>
      <c r="M49" s="296"/>
      <c r="N49" s="296"/>
      <c r="O49" s="296"/>
      <c r="P49" s="296"/>
      <c r="Q49" s="296"/>
      <c r="R49" s="296"/>
      <c r="S49" s="286"/>
      <c r="T49" s="286"/>
      <c r="U49" s="286"/>
      <c r="V49" s="321" t="s">
        <v>193</v>
      </c>
      <c r="W49" s="289"/>
      <c r="X49" s="5"/>
    </row>
    <row r="50" spans="1:25" ht="15.75" x14ac:dyDescent="0.25">
      <c r="A50" s="285"/>
      <c r="B50" s="286" t="s">
        <v>169</v>
      </c>
      <c r="C50" s="286"/>
      <c r="D50" s="296"/>
      <c r="E50" s="286"/>
      <c r="F50" s="296"/>
      <c r="G50" s="296"/>
      <c r="H50" s="296"/>
      <c r="I50" s="296"/>
      <c r="J50" s="296"/>
      <c r="K50" s="296"/>
      <c r="L50" s="296"/>
      <c r="M50" s="296"/>
      <c r="N50" s="296"/>
      <c r="O50" s="296"/>
      <c r="P50" s="296"/>
      <c r="Q50" s="296"/>
      <c r="R50" s="296"/>
      <c r="S50" s="286"/>
      <c r="T50" s="286"/>
      <c r="U50" s="286"/>
      <c r="V50" s="321">
        <f>SUM(L34:R34)/SUM(D34:J34)</f>
        <v>0.17632136449250416</v>
      </c>
      <c r="W50" s="289"/>
      <c r="X50" s="5"/>
    </row>
    <row r="51" spans="1:25" ht="15.75" x14ac:dyDescent="0.25">
      <c r="A51" s="285"/>
      <c r="B51" s="286" t="s">
        <v>170</v>
      </c>
      <c r="C51" s="286"/>
      <c r="D51" s="286"/>
      <c r="E51" s="286"/>
      <c r="F51" s="326"/>
      <c r="G51" s="286"/>
      <c r="H51" s="286"/>
      <c r="I51" s="286"/>
      <c r="J51" s="286"/>
      <c r="K51" s="286"/>
      <c r="L51" s="286"/>
      <c r="M51" s="286"/>
      <c r="N51" s="286"/>
      <c r="O51" s="286"/>
      <c r="P51" s="286"/>
      <c r="Q51" s="286"/>
      <c r="R51" s="286"/>
      <c r="S51" s="286"/>
      <c r="T51" s="286"/>
      <c r="U51" s="286"/>
      <c r="V51" s="321">
        <f>SUM(L36:R36)/SUM(D36:J36)</f>
        <v>0.22447454298147032</v>
      </c>
      <c r="W51" s="289"/>
      <c r="X51" s="5"/>
    </row>
    <row r="52" spans="1:25" ht="15.75" x14ac:dyDescent="0.25">
      <c r="A52" s="285"/>
      <c r="B52" s="286" t="s">
        <v>171</v>
      </c>
      <c r="C52" s="286"/>
      <c r="D52" s="286"/>
      <c r="E52" s="286"/>
      <c r="F52" s="286"/>
      <c r="G52" s="286"/>
      <c r="H52" s="286"/>
      <c r="I52" s="286"/>
      <c r="J52" s="286"/>
      <c r="K52" s="286"/>
      <c r="L52" s="286"/>
      <c r="M52" s="286"/>
      <c r="N52" s="286"/>
      <c r="O52" s="286"/>
      <c r="P52" s="286"/>
      <c r="Q52" s="286"/>
      <c r="R52" s="286"/>
      <c r="S52" s="286"/>
      <c r="T52" s="296"/>
      <c r="U52" s="296"/>
      <c r="V52" s="299" t="s">
        <v>268</v>
      </c>
      <c r="W52" s="289"/>
      <c r="X52" s="5"/>
    </row>
    <row r="53" spans="1:25" ht="15.75" x14ac:dyDescent="0.25">
      <c r="A53" s="285"/>
      <c r="B53" s="286"/>
      <c r="C53" s="286"/>
      <c r="D53" s="286"/>
      <c r="E53" s="286"/>
      <c r="F53" s="286"/>
      <c r="G53" s="286"/>
      <c r="H53" s="286"/>
      <c r="I53" s="286"/>
      <c r="J53" s="286"/>
      <c r="K53" s="286"/>
      <c r="L53" s="286"/>
      <c r="M53" s="286"/>
      <c r="N53" s="286"/>
      <c r="O53" s="286"/>
      <c r="P53" s="286"/>
      <c r="Q53" s="286"/>
      <c r="R53" s="286"/>
      <c r="S53" s="286"/>
      <c r="T53" s="286"/>
      <c r="U53" s="286"/>
      <c r="V53" s="327"/>
      <c r="W53" s="289"/>
      <c r="X53" s="5"/>
    </row>
    <row r="54" spans="1:25" ht="15.75" x14ac:dyDescent="0.25">
      <c r="A54" s="285"/>
      <c r="B54" s="286" t="s">
        <v>202</v>
      </c>
      <c r="C54" s="286"/>
      <c r="D54" s="286"/>
      <c r="E54" s="286"/>
      <c r="F54" s="286"/>
      <c r="G54" s="286"/>
      <c r="H54" s="286"/>
      <c r="I54" s="286"/>
      <c r="J54" s="286"/>
      <c r="K54" s="286"/>
      <c r="L54" s="286"/>
      <c r="M54" s="286"/>
      <c r="N54" s="286"/>
      <c r="O54" s="286"/>
      <c r="P54" s="286"/>
      <c r="Q54" s="286"/>
      <c r="R54" s="286"/>
      <c r="S54" s="286"/>
      <c r="T54" s="286"/>
      <c r="U54" s="286"/>
      <c r="V54" s="311" t="s">
        <v>203</v>
      </c>
      <c r="W54" s="289"/>
      <c r="X54" s="5"/>
    </row>
    <row r="55" spans="1:25" ht="15.75" x14ac:dyDescent="0.25">
      <c r="A55" s="285"/>
      <c r="B55" s="286" t="s">
        <v>270</v>
      </c>
      <c r="C55" s="286"/>
      <c r="D55" s="286"/>
      <c r="E55" s="286"/>
      <c r="F55" s="286"/>
      <c r="G55" s="286"/>
      <c r="H55" s="286"/>
      <c r="I55" s="286"/>
      <c r="J55" s="286"/>
      <c r="K55" s="286"/>
      <c r="L55" s="286"/>
      <c r="M55" s="286"/>
      <c r="N55" s="286"/>
      <c r="O55" s="286"/>
      <c r="P55" s="286"/>
      <c r="Q55" s="286"/>
      <c r="R55" s="286"/>
      <c r="S55" s="286"/>
      <c r="T55" s="296"/>
      <c r="U55" s="296"/>
      <c r="V55" s="396" t="s">
        <v>111</v>
      </c>
      <c r="W55" s="289"/>
      <c r="X55" s="5"/>
    </row>
    <row r="56" spans="1:25" ht="15.75" x14ac:dyDescent="0.25">
      <c r="A56" s="285"/>
      <c r="B56" s="297" t="s">
        <v>201</v>
      </c>
      <c r="C56" s="297"/>
      <c r="D56" s="297"/>
      <c r="E56" s="297"/>
      <c r="F56" s="297"/>
      <c r="G56" s="297"/>
      <c r="H56" s="297"/>
      <c r="I56" s="297"/>
      <c r="J56" s="297"/>
      <c r="K56" s="297"/>
      <c r="L56" s="297"/>
      <c r="M56" s="297"/>
      <c r="N56" s="297"/>
      <c r="O56" s="297"/>
      <c r="P56" s="297"/>
      <c r="Q56" s="297"/>
      <c r="R56" s="297"/>
      <c r="S56" s="297"/>
      <c r="T56" s="397"/>
      <c r="U56" s="397"/>
      <c r="V56" s="398">
        <v>41169</v>
      </c>
      <c r="W56" s="289"/>
      <c r="X56" s="5"/>
    </row>
    <row r="57" spans="1:25" ht="15.75" x14ac:dyDescent="0.25">
      <c r="A57" s="285"/>
      <c r="B57" s="286" t="s">
        <v>121</v>
      </c>
      <c r="C57" s="286"/>
      <c r="D57" s="286"/>
      <c r="E57" s="286"/>
      <c r="F57" s="286"/>
      <c r="G57" s="286"/>
      <c r="H57" s="332"/>
      <c r="I57" s="332"/>
      <c r="J57" s="332"/>
      <c r="K57" s="332"/>
      <c r="L57" s="332"/>
      <c r="M57" s="332"/>
      <c r="N57" s="332"/>
      <c r="O57" s="332"/>
      <c r="P57" s="332"/>
      <c r="Q57" s="332"/>
      <c r="R57" s="286">
        <f>+V57-T57+1</f>
        <v>92</v>
      </c>
      <c r="S57" s="332"/>
      <c r="T57" s="333">
        <v>40983</v>
      </c>
      <c r="U57" s="334"/>
      <c r="V57" s="333">
        <v>41074</v>
      </c>
      <c r="W57" s="289"/>
      <c r="X57" s="5"/>
    </row>
    <row r="58" spans="1:25" ht="15.75" x14ac:dyDescent="0.25">
      <c r="A58" s="285"/>
      <c r="B58" s="286" t="s">
        <v>122</v>
      </c>
      <c r="C58" s="286"/>
      <c r="D58" s="286"/>
      <c r="E58" s="286"/>
      <c r="F58" s="286"/>
      <c r="G58" s="286"/>
      <c r="H58" s="286"/>
      <c r="I58" s="286"/>
      <c r="J58" s="286"/>
      <c r="K58" s="286"/>
      <c r="L58" s="286"/>
      <c r="M58" s="286"/>
      <c r="N58" s="286"/>
      <c r="O58" s="286"/>
      <c r="P58" s="286"/>
      <c r="Q58" s="286"/>
      <c r="R58" s="286">
        <f>+V58-T58+1</f>
        <v>94</v>
      </c>
      <c r="S58" s="286"/>
      <c r="T58" s="333">
        <v>41075</v>
      </c>
      <c r="U58" s="334"/>
      <c r="V58" s="333">
        <v>41168</v>
      </c>
      <c r="W58" s="289"/>
      <c r="X58" s="5"/>
    </row>
    <row r="59" spans="1:25" ht="15.75" x14ac:dyDescent="0.25">
      <c r="A59" s="285"/>
      <c r="B59" s="286" t="s">
        <v>223</v>
      </c>
      <c r="C59" s="286"/>
      <c r="D59" s="286"/>
      <c r="E59" s="286"/>
      <c r="F59" s="286"/>
      <c r="G59" s="286"/>
      <c r="H59" s="286"/>
      <c r="I59" s="286"/>
      <c r="J59" s="286"/>
      <c r="K59" s="286"/>
      <c r="L59" s="286"/>
      <c r="M59" s="286"/>
      <c r="N59" s="286"/>
      <c r="O59" s="286"/>
      <c r="P59" s="286"/>
      <c r="Q59" s="286"/>
      <c r="R59" s="286"/>
      <c r="S59" s="286"/>
      <c r="T59" s="333"/>
      <c r="U59" s="334"/>
      <c r="V59" s="333" t="s">
        <v>120</v>
      </c>
      <c r="W59" s="289"/>
      <c r="X59" s="5"/>
    </row>
    <row r="60" spans="1:25" ht="15.75" x14ac:dyDescent="0.25">
      <c r="A60" s="285"/>
      <c r="B60" s="286" t="s">
        <v>271</v>
      </c>
      <c r="C60" s="286"/>
      <c r="D60" s="286"/>
      <c r="E60" s="286"/>
      <c r="F60" s="286"/>
      <c r="G60" s="286"/>
      <c r="H60" s="286"/>
      <c r="I60" s="286"/>
      <c r="J60" s="286"/>
      <c r="K60" s="286"/>
      <c r="L60" s="286"/>
      <c r="M60" s="286"/>
      <c r="N60" s="286"/>
      <c r="O60" s="286"/>
      <c r="P60" s="286"/>
      <c r="Q60" s="286"/>
      <c r="R60" s="286"/>
      <c r="S60" s="286"/>
      <c r="T60" s="333"/>
      <c r="U60" s="334"/>
      <c r="V60" s="333" t="s">
        <v>154</v>
      </c>
      <c r="W60" s="289"/>
      <c r="X60" s="5"/>
      <c r="Y60" s="133"/>
    </row>
    <row r="61" spans="1:25" ht="15.75" x14ac:dyDescent="0.25">
      <c r="A61" s="285"/>
      <c r="B61" s="286" t="s">
        <v>16</v>
      </c>
      <c r="C61" s="286"/>
      <c r="D61" s="286"/>
      <c r="E61" s="286"/>
      <c r="F61" s="286"/>
      <c r="G61" s="286"/>
      <c r="H61" s="286"/>
      <c r="I61" s="286"/>
      <c r="J61" s="286"/>
      <c r="K61" s="286"/>
      <c r="L61" s="286"/>
      <c r="M61" s="286"/>
      <c r="N61" s="286"/>
      <c r="O61" s="286"/>
      <c r="P61" s="286"/>
      <c r="Q61" s="286"/>
      <c r="R61" s="286"/>
      <c r="S61" s="286"/>
      <c r="T61" s="333"/>
      <c r="U61" s="334"/>
      <c r="V61" s="333">
        <v>41155</v>
      </c>
      <c r="W61" s="289"/>
      <c r="X61" s="5"/>
    </row>
    <row r="62" spans="1:25" ht="15.75" x14ac:dyDescent="0.25">
      <c r="A62" s="181"/>
      <c r="B62" s="212"/>
      <c r="C62" s="212"/>
      <c r="D62" s="212"/>
      <c r="E62" s="212"/>
      <c r="F62" s="212"/>
      <c r="G62" s="212"/>
      <c r="H62" s="212"/>
      <c r="I62" s="212"/>
      <c r="J62" s="212"/>
      <c r="K62" s="212"/>
      <c r="L62" s="212"/>
      <c r="M62" s="212"/>
      <c r="N62" s="212"/>
      <c r="O62" s="212"/>
      <c r="P62" s="212"/>
      <c r="Q62" s="212"/>
      <c r="R62" s="212"/>
      <c r="S62" s="212"/>
      <c r="T62" s="283"/>
      <c r="U62" s="284"/>
      <c r="V62" s="283"/>
      <c r="W62" s="212"/>
      <c r="X62" s="5"/>
    </row>
    <row r="63" spans="1:25" ht="15.75" x14ac:dyDescent="0.25">
      <c r="A63" s="181"/>
      <c r="B63" s="183"/>
      <c r="C63" s="183"/>
      <c r="D63" s="183"/>
      <c r="E63" s="183"/>
      <c r="F63" s="183"/>
      <c r="G63" s="183"/>
      <c r="H63" s="183"/>
      <c r="I63" s="183"/>
      <c r="J63" s="183"/>
      <c r="K63" s="183"/>
      <c r="L63" s="183"/>
      <c r="M63" s="183"/>
      <c r="N63" s="183"/>
      <c r="O63" s="183"/>
      <c r="P63" s="183"/>
      <c r="Q63" s="183"/>
      <c r="R63" s="183"/>
      <c r="S63" s="183"/>
      <c r="T63" s="195"/>
      <c r="U63" s="196"/>
      <c r="V63" s="195"/>
      <c r="W63" s="183"/>
      <c r="X63" s="5"/>
    </row>
    <row r="64" spans="1:25" ht="19.5" thickBot="1" x14ac:dyDescent="0.35">
      <c r="A64" s="197"/>
      <c r="B64" s="270" t="s">
        <v>310</v>
      </c>
      <c r="C64" s="198"/>
      <c r="D64" s="198"/>
      <c r="E64" s="198"/>
      <c r="F64" s="198"/>
      <c r="G64" s="198"/>
      <c r="H64" s="198"/>
      <c r="I64" s="198"/>
      <c r="J64" s="198"/>
      <c r="K64" s="198"/>
      <c r="L64" s="198"/>
      <c r="M64" s="198"/>
      <c r="N64" s="198"/>
      <c r="O64" s="198"/>
      <c r="P64" s="198"/>
      <c r="Q64" s="198"/>
      <c r="R64" s="198"/>
      <c r="S64" s="198"/>
      <c r="T64" s="198"/>
      <c r="U64" s="198"/>
      <c r="V64" s="199"/>
      <c r="W64" s="200"/>
      <c r="X64" s="5"/>
    </row>
    <row r="65" spans="1:24" ht="15.75" x14ac:dyDescent="0.25">
      <c r="A65" s="224"/>
      <c r="B65" s="230" t="s">
        <v>17</v>
      </c>
      <c r="C65" s="225"/>
      <c r="D65" s="225"/>
      <c r="E65" s="225"/>
      <c r="F65" s="225"/>
      <c r="G65" s="225"/>
      <c r="H65" s="225"/>
      <c r="I65" s="225"/>
      <c r="J65" s="225"/>
      <c r="K65" s="225"/>
      <c r="L65" s="225"/>
      <c r="M65" s="225"/>
      <c r="N65" s="225"/>
      <c r="O65" s="225"/>
      <c r="P65" s="225"/>
      <c r="Q65" s="225"/>
      <c r="R65" s="225"/>
      <c r="S65" s="225"/>
      <c r="T65" s="225"/>
      <c r="U65" s="225"/>
      <c r="V65" s="231"/>
      <c r="W65" s="225"/>
      <c r="X65" s="5"/>
    </row>
    <row r="66" spans="1:24" ht="15.75" x14ac:dyDescent="0.25">
      <c r="A66" s="181"/>
      <c r="B66" s="189"/>
      <c r="C66" s="183"/>
      <c r="D66" s="183"/>
      <c r="E66" s="183"/>
      <c r="F66" s="183"/>
      <c r="G66" s="183"/>
      <c r="H66" s="183"/>
      <c r="I66" s="183"/>
      <c r="J66" s="183"/>
      <c r="K66" s="183"/>
      <c r="L66" s="183"/>
      <c r="M66" s="183"/>
      <c r="N66" s="183"/>
      <c r="O66" s="183"/>
      <c r="P66" s="183"/>
      <c r="Q66" s="183"/>
      <c r="R66" s="183"/>
      <c r="S66" s="183"/>
      <c r="T66" s="183"/>
      <c r="U66" s="183"/>
      <c r="V66" s="202"/>
      <c r="W66" s="183"/>
      <c r="X66" s="5"/>
    </row>
    <row r="67" spans="1:24" ht="47.25" x14ac:dyDescent="0.25">
      <c r="A67" s="181"/>
      <c r="B67" s="203" t="s">
        <v>18</v>
      </c>
      <c r="C67" s="204"/>
      <c r="D67" s="204"/>
      <c r="E67" s="204"/>
      <c r="F67" s="204"/>
      <c r="G67" s="204"/>
      <c r="H67" s="204"/>
      <c r="I67" s="204"/>
      <c r="J67" s="204"/>
      <c r="K67" s="204"/>
      <c r="L67" s="204" t="s">
        <v>94</v>
      </c>
      <c r="M67" s="204"/>
      <c r="N67" s="204" t="s">
        <v>96</v>
      </c>
      <c r="O67" s="204"/>
      <c r="P67" s="204" t="s">
        <v>98</v>
      </c>
      <c r="Q67" s="204"/>
      <c r="R67" s="204" t="s">
        <v>100</v>
      </c>
      <c r="S67" s="204"/>
      <c r="T67" s="204" t="s">
        <v>106</v>
      </c>
      <c r="U67" s="204"/>
      <c r="V67" s="205" t="s">
        <v>112</v>
      </c>
      <c r="W67" s="206"/>
      <c r="X67" s="5"/>
    </row>
    <row r="68" spans="1:24" ht="15.75" x14ac:dyDescent="0.25">
      <c r="A68" s="285"/>
      <c r="B68" s="286" t="s">
        <v>19</v>
      </c>
      <c r="C68" s="337"/>
      <c r="D68" s="337"/>
      <c r="E68" s="337"/>
      <c r="F68" s="337"/>
      <c r="G68" s="337"/>
      <c r="H68" s="337"/>
      <c r="I68" s="337"/>
      <c r="J68" s="337"/>
      <c r="K68" s="337"/>
      <c r="L68" s="337">
        <v>812446</v>
      </c>
      <c r="M68" s="337"/>
      <c r="N68" s="338">
        <v>824172</v>
      </c>
      <c r="O68" s="337"/>
      <c r="P68" s="337">
        <f>5607+4</f>
        <v>5611</v>
      </c>
      <c r="Q68" s="337"/>
      <c r="R68" s="337">
        <v>4</v>
      </c>
      <c r="S68" s="337"/>
      <c r="T68" s="337">
        <v>0</v>
      </c>
      <c r="U68" s="337"/>
      <c r="V68" s="338">
        <f>+N68-P68+R68-T68</f>
        <v>818565</v>
      </c>
      <c r="W68" s="289"/>
      <c r="X68" s="5"/>
    </row>
    <row r="69" spans="1:24" ht="15.75" x14ac:dyDescent="0.25">
      <c r="A69" s="285"/>
      <c r="B69" s="286" t="s">
        <v>20</v>
      </c>
      <c r="C69" s="337"/>
      <c r="D69" s="337"/>
      <c r="E69" s="337"/>
      <c r="F69" s="337"/>
      <c r="G69" s="337"/>
      <c r="H69" s="337"/>
      <c r="I69" s="337"/>
      <c r="J69" s="337"/>
      <c r="K69" s="337"/>
      <c r="L69" s="337">
        <v>0</v>
      </c>
      <c r="M69" s="337"/>
      <c r="N69" s="338">
        <v>0</v>
      </c>
      <c r="O69" s="337"/>
      <c r="P69" s="337">
        <v>0</v>
      </c>
      <c r="Q69" s="337"/>
      <c r="R69" s="337">
        <v>0</v>
      </c>
      <c r="S69" s="337"/>
      <c r="T69" s="337">
        <v>0</v>
      </c>
      <c r="U69" s="337"/>
      <c r="V69" s="338">
        <f>+L69-P69</f>
        <v>0</v>
      </c>
      <c r="W69" s="289"/>
      <c r="X69" s="5"/>
    </row>
    <row r="70" spans="1:24" ht="15.75" x14ac:dyDescent="0.25">
      <c r="A70" s="285"/>
      <c r="B70" s="286"/>
      <c r="C70" s="337"/>
      <c r="D70" s="337"/>
      <c r="E70" s="337"/>
      <c r="F70" s="337"/>
      <c r="G70" s="337"/>
      <c r="H70" s="337"/>
      <c r="I70" s="337"/>
      <c r="J70" s="337"/>
      <c r="K70" s="337"/>
      <c r="L70" s="337"/>
      <c r="M70" s="337"/>
      <c r="N70" s="338"/>
      <c r="O70" s="337"/>
      <c r="P70" s="337"/>
      <c r="Q70" s="337"/>
      <c r="R70" s="337"/>
      <c r="S70" s="337"/>
      <c r="T70" s="337"/>
      <c r="U70" s="337"/>
      <c r="V70" s="338"/>
      <c r="W70" s="289"/>
      <c r="X70" s="5"/>
    </row>
    <row r="71" spans="1:24" ht="15.75" x14ac:dyDescent="0.25">
      <c r="A71" s="285"/>
      <c r="B71" s="286" t="s">
        <v>21</v>
      </c>
      <c r="C71" s="337"/>
      <c r="D71" s="337"/>
      <c r="E71" s="337"/>
      <c r="F71" s="337"/>
      <c r="G71" s="337"/>
      <c r="H71" s="337"/>
      <c r="I71" s="337"/>
      <c r="J71" s="337"/>
      <c r="K71" s="337"/>
      <c r="L71" s="337">
        <f>SUM(L68:L70)</f>
        <v>812446</v>
      </c>
      <c r="M71" s="337"/>
      <c r="N71" s="337">
        <f>N68+N69</f>
        <v>824172</v>
      </c>
      <c r="O71" s="337"/>
      <c r="P71" s="337">
        <f>SUM(P68:P70)</f>
        <v>5611</v>
      </c>
      <c r="Q71" s="337"/>
      <c r="R71" s="337">
        <f>SUM(R68:R70)</f>
        <v>4</v>
      </c>
      <c r="S71" s="337"/>
      <c r="T71" s="337">
        <f>SUM(T68:T70)</f>
        <v>0</v>
      </c>
      <c r="U71" s="337"/>
      <c r="V71" s="337">
        <f>SUM(V68:V70)</f>
        <v>818565</v>
      </c>
      <c r="W71" s="289"/>
      <c r="X71" s="5"/>
    </row>
    <row r="72" spans="1:24" ht="15.75" x14ac:dyDescent="0.25">
      <c r="A72" s="181"/>
      <c r="B72" s="212"/>
      <c r="C72" s="335"/>
      <c r="D72" s="335"/>
      <c r="E72" s="335"/>
      <c r="F72" s="335"/>
      <c r="G72" s="335"/>
      <c r="H72" s="335"/>
      <c r="I72" s="335"/>
      <c r="J72" s="335"/>
      <c r="K72" s="335"/>
      <c r="L72" s="335"/>
      <c r="M72" s="335"/>
      <c r="N72" s="335"/>
      <c r="O72" s="335"/>
      <c r="P72" s="335"/>
      <c r="Q72" s="335"/>
      <c r="R72" s="335"/>
      <c r="S72" s="335"/>
      <c r="T72" s="335"/>
      <c r="U72" s="335"/>
      <c r="V72" s="336"/>
      <c r="W72" s="212"/>
      <c r="X72" s="5"/>
    </row>
    <row r="73" spans="1:24" ht="15.75" x14ac:dyDescent="0.25">
      <c r="A73" s="181"/>
      <c r="B73" s="185" t="s">
        <v>22</v>
      </c>
      <c r="C73" s="207"/>
      <c r="D73" s="207"/>
      <c r="E73" s="207"/>
      <c r="F73" s="207"/>
      <c r="G73" s="207"/>
      <c r="H73" s="207"/>
      <c r="I73" s="207"/>
      <c r="J73" s="207"/>
      <c r="K73" s="207"/>
      <c r="L73" s="207"/>
      <c r="M73" s="207"/>
      <c r="N73" s="207"/>
      <c r="O73" s="207"/>
      <c r="P73" s="207"/>
      <c r="Q73" s="207"/>
      <c r="R73" s="207"/>
      <c r="S73" s="207"/>
      <c r="T73" s="207"/>
      <c r="U73" s="207"/>
      <c r="V73" s="208"/>
      <c r="W73" s="183"/>
      <c r="X73" s="5"/>
    </row>
    <row r="74" spans="1:24" ht="15.75" x14ac:dyDescent="0.25">
      <c r="A74" s="181"/>
      <c r="B74" s="183"/>
      <c r="C74" s="207"/>
      <c r="D74" s="207"/>
      <c r="E74" s="207"/>
      <c r="F74" s="207"/>
      <c r="G74" s="207"/>
      <c r="H74" s="207"/>
      <c r="I74" s="207"/>
      <c r="J74" s="207"/>
      <c r="K74" s="207"/>
      <c r="L74" s="207"/>
      <c r="M74" s="207"/>
      <c r="N74" s="207"/>
      <c r="O74" s="207"/>
      <c r="P74" s="207"/>
      <c r="Q74" s="207"/>
      <c r="R74" s="207"/>
      <c r="S74" s="207"/>
      <c r="T74" s="207"/>
      <c r="U74" s="207"/>
      <c r="V74" s="208"/>
      <c r="W74" s="183"/>
      <c r="X74" s="5"/>
    </row>
    <row r="75" spans="1:24" ht="15.75" x14ac:dyDescent="0.25">
      <c r="A75" s="285"/>
      <c r="B75" s="286" t="s">
        <v>19</v>
      </c>
      <c r="C75" s="337"/>
      <c r="D75" s="337"/>
      <c r="E75" s="337"/>
      <c r="F75" s="337"/>
      <c r="G75" s="337"/>
      <c r="H75" s="337"/>
      <c r="I75" s="337"/>
      <c r="J75" s="337"/>
      <c r="K75" s="337"/>
      <c r="L75" s="337"/>
      <c r="M75" s="337"/>
      <c r="N75" s="337"/>
      <c r="O75" s="337"/>
      <c r="P75" s="337"/>
      <c r="Q75" s="337"/>
      <c r="R75" s="337"/>
      <c r="S75" s="337"/>
      <c r="T75" s="337"/>
      <c r="U75" s="337"/>
      <c r="V75" s="337"/>
      <c r="W75" s="289"/>
      <c r="X75" s="5"/>
    </row>
    <row r="76" spans="1:24" ht="15.75" x14ac:dyDescent="0.25">
      <c r="A76" s="285"/>
      <c r="B76" s="286" t="s">
        <v>20</v>
      </c>
      <c r="C76" s="337"/>
      <c r="D76" s="337"/>
      <c r="E76" s="337"/>
      <c r="F76" s="337"/>
      <c r="G76" s="337"/>
      <c r="H76" s="337"/>
      <c r="I76" s="337"/>
      <c r="J76" s="337"/>
      <c r="K76" s="337"/>
      <c r="L76" s="337"/>
      <c r="M76" s="337"/>
      <c r="N76" s="337"/>
      <c r="O76" s="337"/>
      <c r="P76" s="337"/>
      <c r="Q76" s="337"/>
      <c r="R76" s="337"/>
      <c r="S76" s="337"/>
      <c r="T76" s="337"/>
      <c r="U76" s="337"/>
      <c r="V76" s="337"/>
      <c r="W76" s="289"/>
      <c r="X76" s="5"/>
    </row>
    <row r="77" spans="1:24" ht="15.75" x14ac:dyDescent="0.25">
      <c r="A77" s="285"/>
      <c r="B77" s="286"/>
      <c r="C77" s="337"/>
      <c r="D77" s="337"/>
      <c r="E77" s="337"/>
      <c r="F77" s="337"/>
      <c r="G77" s="337"/>
      <c r="H77" s="337"/>
      <c r="I77" s="337"/>
      <c r="J77" s="337"/>
      <c r="K77" s="337"/>
      <c r="L77" s="337"/>
      <c r="M77" s="337"/>
      <c r="N77" s="337"/>
      <c r="O77" s="337"/>
      <c r="P77" s="337"/>
      <c r="Q77" s="337"/>
      <c r="R77" s="337"/>
      <c r="S77" s="337"/>
      <c r="T77" s="337"/>
      <c r="U77" s="337"/>
      <c r="V77" s="337"/>
      <c r="W77" s="289"/>
      <c r="X77" s="5"/>
    </row>
    <row r="78" spans="1:24" ht="15.75" x14ac:dyDescent="0.25">
      <c r="A78" s="285"/>
      <c r="B78" s="286" t="s">
        <v>21</v>
      </c>
      <c r="C78" s="337"/>
      <c r="D78" s="337"/>
      <c r="E78" s="337"/>
      <c r="F78" s="337"/>
      <c r="G78" s="337"/>
      <c r="H78" s="337"/>
      <c r="I78" s="337"/>
      <c r="J78" s="337"/>
      <c r="K78" s="337"/>
      <c r="L78" s="337"/>
      <c r="M78" s="337"/>
      <c r="N78" s="337"/>
      <c r="O78" s="337"/>
      <c r="P78" s="337"/>
      <c r="Q78" s="337"/>
      <c r="R78" s="337"/>
      <c r="S78" s="337"/>
      <c r="T78" s="337"/>
      <c r="U78" s="337"/>
      <c r="V78" s="337"/>
      <c r="W78" s="289"/>
      <c r="X78" s="5"/>
    </row>
    <row r="79" spans="1:24" ht="15.75" x14ac:dyDescent="0.25">
      <c r="A79" s="285"/>
      <c r="B79" s="286"/>
      <c r="C79" s="337"/>
      <c r="D79" s="337"/>
      <c r="E79" s="337"/>
      <c r="F79" s="337"/>
      <c r="G79" s="337"/>
      <c r="H79" s="337"/>
      <c r="I79" s="337"/>
      <c r="J79" s="337"/>
      <c r="K79" s="337"/>
      <c r="L79" s="337"/>
      <c r="M79" s="337"/>
      <c r="N79" s="337"/>
      <c r="O79" s="337"/>
      <c r="P79" s="337"/>
      <c r="Q79" s="337"/>
      <c r="R79" s="337"/>
      <c r="S79" s="337"/>
      <c r="T79" s="337"/>
      <c r="U79" s="337"/>
      <c r="V79" s="337"/>
      <c r="W79" s="289"/>
      <c r="X79" s="5"/>
    </row>
    <row r="80" spans="1:24" ht="15.75" x14ac:dyDescent="0.25">
      <c r="A80" s="285"/>
      <c r="B80" s="286" t="s">
        <v>23</v>
      </c>
      <c r="C80" s="337"/>
      <c r="D80" s="337"/>
      <c r="E80" s="337"/>
      <c r="F80" s="337"/>
      <c r="G80" s="337"/>
      <c r="H80" s="337"/>
      <c r="I80" s="337"/>
      <c r="J80" s="337"/>
      <c r="K80" s="337"/>
      <c r="L80" s="337">
        <v>0</v>
      </c>
      <c r="M80" s="337"/>
      <c r="N80" s="337">
        <v>0</v>
      </c>
      <c r="O80" s="337"/>
      <c r="P80" s="337"/>
      <c r="Q80" s="337"/>
      <c r="R80" s="337"/>
      <c r="S80" s="337"/>
      <c r="T80" s="337"/>
      <c r="U80" s="337"/>
      <c r="V80" s="338">
        <v>0</v>
      </c>
      <c r="W80" s="289"/>
      <c r="X80" s="5"/>
    </row>
    <row r="81" spans="1:24" ht="15.75" x14ac:dyDescent="0.25">
      <c r="A81" s="285"/>
      <c r="B81" s="286" t="s">
        <v>117</v>
      </c>
      <c r="C81" s="337"/>
      <c r="D81" s="337"/>
      <c r="E81" s="337"/>
      <c r="F81" s="337"/>
      <c r="G81" s="337"/>
      <c r="H81" s="337"/>
      <c r="I81" s="337"/>
      <c r="J81" s="337"/>
      <c r="K81" s="337"/>
      <c r="L81" s="337">
        <v>188687</v>
      </c>
      <c r="M81" s="337"/>
      <c r="N81" s="337">
        <v>0</v>
      </c>
      <c r="O81" s="337"/>
      <c r="P81" s="337">
        <v>0</v>
      </c>
      <c r="Q81" s="337"/>
      <c r="R81" s="337"/>
      <c r="S81" s="337"/>
      <c r="T81" s="337"/>
      <c r="U81" s="337"/>
      <c r="V81" s="337">
        <f>SUM(N81:R81)</f>
        <v>0</v>
      </c>
      <c r="W81" s="289"/>
      <c r="X81" s="5"/>
    </row>
    <row r="82" spans="1:24" ht="15.75" x14ac:dyDescent="0.25">
      <c r="A82" s="285"/>
      <c r="B82" s="286"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89"/>
      <c r="X82" s="5"/>
    </row>
    <row r="83" spans="1:24" ht="15.75" x14ac:dyDescent="0.25">
      <c r="A83" s="285"/>
      <c r="B83" s="286" t="s">
        <v>25</v>
      </c>
      <c r="C83" s="337"/>
      <c r="D83" s="337"/>
      <c r="E83" s="337"/>
      <c r="F83" s="337"/>
      <c r="G83" s="337"/>
      <c r="H83" s="337"/>
      <c r="I83" s="337"/>
      <c r="J83" s="337"/>
      <c r="K83" s="337"/>
      <c r="L83" s="337">
        <v>0</v>
      </c>
      <c r="M83" s="337"/>
      <c r="N83" s="337">
        <v>0</v>
      </c>
      <c r="O83" s="337"/>
      <c r="P83" s="337"/>
      <c r="Q83" s="337"/>
      <c r="R83" s="337"/>
      <c r="S83" s="337"/>
      <c r="T83" s="337"/>
      <c r="U83" s="337"/>
      <c r="V83" s="337">
        <v>0</v>
      </c>
      <c r="W83" s="289"/>
      <c r="X83" s="5"/>
    </row>
    <row r="84" spans="1:24" ht="15.75" x14ac:dyDescent="0.25">
      <c r="A84" s="285"/>
      <c r="B84" s="286" t="s">
        <v>26</v>
      </c>
      <c r="C84" s="337"/>
      <c r="D84" s="337"/>
      <c r="E84" s="337"/>
      <c r="F84" s="337"/>
      <c r="G84" s="337"/>
      <c r="H84" s="337"/>
      <c r="I84" s="337"/>
      <c r="J84" s="337"/>
      <c r="K84" s="337"/>
      <c r="L84" s="337">
        <f>SUM(L71:L83)</f>
        <v>1001133</v>
      </c>
      <c r="M84" s="337"/>
      <c r="N84" s="337">
        <f>SUM(N71:N83)</f>
        <v>824172</v>
      </c>
      <c r="O84" s="337"/>
      <c r="P84" s="337"/>
      <c r="Q84" s="337"/>
      <c r="R84" s="337"/>
      <c r="S84" s="337"/>
      <c r="T84" s="337"/>
      <c r="U84" s="337"/>
      <c r="V84" s="337">
        <f>SUM(V71:V83)</f>
        <v>818565</v>
      </c>
      <c r="W84" s="289"/>
      <c r="X84" s="5"/>
    </row>
    <row r="85" spans="1:24" ht="15.75" x14ac:dyDescent="0.25">
      <c r="A85" s="181"/>
      <c r="B85" s="212"/>
      <c r="C85" s="335"/>
      <c r="D85" s="335"/>
      <c r="E85" s="335"/>
      <c r="F85" s="335"/>
      <c r="G85" s="335"/>
      <c r="H85" s="335"/>
      <c r="I85" s="335"/>
      <c r="J85" s="335"/>
      <c r="K85" s="335"/>
      <c r="L85" s="335"/>
      <c r="M85" s="335"/>
      <c r="N85" s="335"/>
      <c r="O85" s="335"/>
      <c r="P85" s="335"/>
      <c r="Q85" s="335"/>
      <c r="R85" s="335"/>
      <c r="S85" s="335"/>
      <c r="T85" s="335"/>
      <c r="U85" s="335"/>
      <c r="V85" s="336"/>
      <c r="W85" s="212"/>
      <c r="X85" s="5"/>
    </row>
    <row r="86" spans="1:24" ht="15.75" x14ac:dyDescent="0.25">
      <c r="A86" s="181"/>
      <c r="B86" s="183"/>
      <c r="C86" s="183"/>
      <c r="D86" s="183"/>
      <c r="E86" s="183"/>
      <c r="F86" s="183"/>
      <c r="G86" s="183"/>
      <c r="H86" s="183"/>
      <c r="I86" s="183"/>
      <c r="J86" s="183"/>
      <c r="K86" s="183"/>
      <c r="L86" s="183"/>
      <c r="M86" s="183"/>
      <c r="N86" s="183"/>
      <c r="O86" s="183"/>
      <c r="P86" s="183"/>
      <c r="Q86" s="183"/>
      <c r="R86" s="183"/>
      <c r="S86" s="183"/>
      <c r="T86" s="183"/>
      <c r="U86" s="183"/>
      <c r="V86" s="183"/>
      <c r="W86" s="183"/>
      <c r="X86" s="5"/>
    </row>
    <row r="87" spans="1:24" ht="15.75" x14ac:dyDescent="0.25">
      <c r="A87" s="224"/>
      <c r="B87" s="399" t="s">
        <v>27</v>
      </c>
      <c r="C87" s="399"/>
      <c r="D87" s="399"/>
      <c r="E87" s="399"/>
      <c r="F87" s="399"/>
      <c r="G87" s="399"/>
      <c r="H87" s="400"/>
      <c r="I87" s="400"/>
      <c r="J87" s="400"/>
      <c r="K87" s="400"/>
      <c r="L87" s="401" t="s">
        <v>95</v>
      </c>
      <c r="M87" s="400"/>
      <c r="N87" s="402">
        <f>+T201</f>
        <v>41152</v>
      </c>
      <c r="O87" s="400"/>
      <c r="P87" s="400"/>
      <c r="Q87" s="400"/>
      <c r="R87" s="400"/>
      <c r="S87" s="400"/>
      <c r="T87" s="400" t="s">
        <v>107</v>
      </c>
      <c r="U87" s="400"/>
      <c r="V87" s="400" t="s">
        <v>113</v>
      </c>
      <c r="W87" s="225"/>
      <c r="X87" s="5"/>
    </row>
    <row r="88" spans="1:24" ht="15.75" x14ac:dyDescent="0.25">
      <c r="A88" s="248"/>
      <c r="B88" s="250" t="s">
        <v>28</v>
      </c>
      <c r="C88" s="194"/>
      <c r="D88" s="194"/>
      <c r="E88" s="194"/>
      <c r="F88" s="194"/>
      <c r="G88" s="194"/>
      <c r="H88" s="194"/>
      <c r="I88" s="194"/>
      <c r="J88" s="194"/>
      <c r="K88" s="194"/>
      <c r="L88" s="194"/>
      <c r="M88" s="194"/>
      <c r="N88" s="194"/>
      <c r="O88" s="194"/>
      <c r="P88" s="194"/>
      <c r="Q88" s="194"/>
      <c r="R88" s="194"/>
      <c r="S88" s="194"/>
      <c r="T88" s="249">
        <v>0</v>
      </c>
      <c r="U88" s="250"/>
      <c r="V88" s="253">
        <v>0</v>
      </c>
      <c r="W88" s="194"/>
      <c r="X88" s="5"/>
    </row>
    <row r="89" spans="1:24" ht="15.75" x14ac:dyDescent="0.25">
      <c r="A89" s="295"/>
      <c r="B89" s="286" t="s">
        <v>29</v>
      </c>
      <c r="C89" s="314"/>
      <c r="D89" s="314"/>
      <c r="E89" s="314"/>
      <c r="F89" s="314"/>
      <c r="G89" s="314"/>
      <c r="H89" s="339"/>
      <c r="I89" s="339"/>
      <c r="J89" s="339"/>
      <c r="K89" s="340"/>
      <c r="L89" s="339"/>
      <c r="M89" s="314"/>
      <c r="N89" s="341"/>
      <c r="O89" s="314"/>
      <c r="P89" s="314"/>
      <c r="Q89" s="314"/>
      <c r="R89" s="314"/>
      <c r="S89" s="314"/>
      <c r="T89" s="337">
        <f>5611-541</f>
        <v>5070</v>
      </c>
      <c r="U89" s="286"/>
      <c r="V89" s="338"/>
      <c r="W89" s="318"/>
      <c r="X89" s="5"/>
    </row>
    <row r="90" spans="1:24" ht="15.75" x14ac:dyDescent="0.25">
      <c r="A90" s="295"/>
      <c r="B90" s="286" t="s">
        <v>215</v>
      </c>
      <c r="C90" s="314"/>
      <c r="D90" s="314"/>
      <c r="E90" s="314"/>
      <c r="F90" s="314"/>
      <c r="G90" s="314"/>
      <c r="H90" s="339"/>
      <c r="I90" s="339"/>
      <c r="J90" s="339"/>
      <c r="K90" s="340"/>
      <c r="L90" s="339"/>
      <c r="M90" s="314"/>
      <c r="N90" s="341"/>
      <c r="O90" s="314"/>
      <c r="P90" s="314"/>
      <c r="Q90" s="314"/>
      <c r="R90" s="314"/>
      <c r="S90" s="314"/>
      <c r="T90" s="337"/>
      <c r="U90" s="286"/>
      <c r="V90" s="338">
        <f>3478+3180-347-408</f>
        <v>5903</v>
      </c>
      <c r="W90" s="318"/>
      <c r="X90" s="5"/>
    </row>
    <row r="91" spans="1:24" ht="15.75" x14ac:dyDescent="0.25">
      <c r="A91" s="295"/>
      <c r="B91" s="286" t="s">
        <v>210</v>
      </c>
      <c r="C91" s="314"/>
      <c r="D91" s="314"/>
      <c r="E91" s="314"/>
      <c r="F91" s="314"/>
      <c r="G91" s="314"/>
      <c r="H91" s="339"/>
      <c r="I91" s="339"/>
      <c r="J91" s="339"/>
      <c r="K91" s="340"/>
      <c r="L91" s="339"/>
      <c r="M91" s="314"/>
      <c r="N91" s="341"/>
      <c r="O91" s="314"/>
      <c r="P91" s="314"/>
      <c r="Q91" s="314"/>
      <c r="R91" s="314"/>
      <c r="S91" s="314"/>
      <c r="T91" s="337"/>
      <c r="U91" s="286"/>
      <c r="V91" s="338">
        <f>37+97</f>
        <v>134</v>
      </c>
      <c r="W91" s="318"/>
      <c r="X91" s="5"/>
    </row>
    <row r="92" spans="1:24" ht="15.75" x14ac:dyDescent="0.25">
      <c r="A92" s="295"/>
      <c r="B92" s="286" t="s">
        <v>211</v>
      </c>
      <c r="C92" s="314"/>
      <c r="D92" s="314"/>
      <c r="E92" s="314"/>
      <c r="F92" s="314"/>
      <c r="G92" s="314"/>
      <c r="H92" s="339"/>
      <c r="I92" s="339"/>
      <c r="J92" s="339"/>
      <c r="K92" s="340"/>
      <c r="L92" s="339"/>
      <c r="M92" s="314"/>
      <c r="N92" s="341"/>
      <c r="O92" s="314"/>
      <c r="P92" s="314"/>
      <c r="Q92" s="314"/>
      <c r="R92" s="314"/>
      <c r="S92" s="314"/>
      <c r="T92" s="337"/>
      <c r="U92" s="286"/>
      <c r="V92" s="338">
        <v>25</v>
      </c>
      <c r="W92" s="318"/>
      <c r="X92" s="5"/>
    </row>
    <row r="93" spans="1:24" ht="15.75" x14ac:dyDescent="0.25">
      <c r="A93" s="295"/>
      <c r="B93" s="286" t="s">
        <v>233</v>
      </c>
      <c r="C93" s="314"/>
      <c r="D93" s="314"/>
      <c r="E93" s="314"/>
      <c r="F93" s="314"/>
      <c r="G93" s="314"/>
      <c r="H93" s="339"/>
      <c r="I93" s="339"/>
      <c r="J93" s="339"/>
      <c r="K93" s="340"/>
      <c r="L93" s="339"/>
      <c r="M93" s="314"/>
      <c r="N93" s="341"/>
      <c r="O93" s="314"/>
      <c r="P93" s="314"/>
      <c r="Q93" s="314"/>
      <c r="R93" s="314"/>
      <c r="S93" s="314"/>
      <c r="T93" s="337"/>
      <c r="U93" s="286"/>
      <c r="V93" s="338">
        <v>0</v>
      </c>
      <c r="W93" s="318"/>
      <c r="X93" s="5"/>
    </row>
    <row r="94" spans="1:24" ht="15.75" x14ac:dyDescent="0.25">
      <c r="A94" s="295"/>
      <c r="B94" s="286" t="s">
        <v>235</v>
      </c>
      <c r="C94" s="314"/>
      <c r="D94" s="314"/>
      <c r="E94" s="314"/>
      <c r="F94" s="314"/>
      <c r="G94" s="314"/>
      <c r="H94" s="339"/>
      <c r="I94" s="339"/>
      <c r="J94" s="339"/>
      <c r="K94" s="340"/>
      <c r="L94" s="339"/>
      <c r="M94" s="314"/>
      <c r="N94" s="341"/>
      <c r="O94" s="314"/>
      <c r="P94" s="314"/>
      <c r="Q94" s="314"/>
      <c r="R94" s="314"/>
      <c r="S94" s="314"/>
      <c r="T94" s="337"/>
      <c r="U94" s="286"/>
      <c r="V94" s="338">
        <v>0</v>
      </c>
      <c r="W94" s="318"/>
      <c r="X94" s="5"/>
    </row>
    <row r="95" spans="1:24" ht="15.75" x14ac:dyDescent="0.25">
      <c r="A95" s="295"/>
      <c r="B95" s="286" t="s">
        <v>135</v>
      </c>
      <c r="C95" s="314"/>
      <c r="D95" s="314"/>
      <c r="E95" s="314"/>
      <c r="F95" s="314"/>
      <c r="G95" s="314"/>
      <c r="H95" s="314"/>
      <c r="I95" s="314"/>
      <c r="J95" s="314"/>
      <c r="K95" s="314"/>
      <c r="L95" s="314"/>
      <c r="M95" s="314"/>
      <c r="N95" s="314"/>
      <c r="O95" s="314"/>
      <c r="P95" s="314"/>
      <c r="Q95" s="314"/>
      <c r="R95" s="314"/>
      <c r="S95" s="314"/>
      <c r="T95" s="337"/>
      <c r="U95" s="286"/>
      <c r="V95" s="338">
        <v>0</v>
      </c>
      <c r="W95" s="318"/>
      <c r="X95" s="5"/>
    </row>
    <row r="96" spans="1:24" ht="15.75" x14ac:dyDescent="0.25">
      <c r="A96" s="295"/>
      <c r="B96" s="286" t="s">
        <v>272</v>
      </c>
      <c r="C96" s="314"/>
      <c r="D96" s="314"/>
      <c r="E96" s="314"/>
      <c r="F96" s="314"/>
      <c r="G96" s="314"/>
      <c r="H96" s="314"/>
      <c r="I96" s="314"/>
      <c r="J96" s="314"/>
      <c r="K96" s="314"/>
      <c r="L96" s="314"/>
      <c r="M96" s="314"/>
      <c r="N96" s="314"/>
      <c r="O96" s="314"/>
      <c r="P96" s="314"/>
      <c r="Q96" s="314"/>
      <c r="R96" s="314"/>
      <c r="S96" s="314"/>
      <c r="T96" s="337"/>
      <c r="U96" s="286"/>
      <c r="V96" s="338">
        <v>102</v>
      </c>
      <c r="W96" s="318"/>
      <c r="X96" s="5"/>
    </row>
    <row r="97" spans="1:25" ht="15.75" x14ac:dyDescent="0.25">
      <c r="A97" s="295"/>
      <c r="B97" s="286" t="s">
        <v>30</v>
      </c>
      <c r="C97" s="314"/>
      <c r="D97" s="314"/>
      <c r="E97" s="314"/>
      <c r="F97" s="314"/>
      <c r="G97" s="314"/>
      <c r="H97" s="314"/>
      <c r="I97" s="314"/>
      <c r="J97" s="314"/>
      <c r="K97" s="314"/>
      <c r="L97" s="314"/>
      <c r="M97" s="314"/>
      <c r="N97" s="314"/>
      <c r="O97" s="314"/>
      <c r="P97" s="314"/>
      <c r="Q97" s="314"/>
      <c r="R97" s="314"/>
      <c r="S97" s="314"/>
      <c r="T97" s="337">
        <f>SUM(T88:T96)</f>
        <v>5070</v>
      </c>
      <c r="U97" s="286"/>
      <c r="V97" s="337">
        <f>SUM(V88:V96)</f>
        <v>6164</v>
      </c>
      <c r="W97" s="318"/>
      <c r="X97" s="5"/>
    </row>
    <row r="98" spans="1:25" ht="15.75" x14ac:dyDescent="0.25">
      <c r="A98" s="295"/>
      <c r="B98" s="286" t="s">
        <v>161</v>
      </c>
      <c r="C98" s="314"/>
      <c r="D98" s="314"/>
      <c r="E98" s="314"/>
      <c r="F98" s="314"/>
      <c r="G98" s="314"/>
      <c r="H98" s="314"/>
      <c r="I98" s="314"/>
      <c r="J98" s="314"/>
      <c r="K98" s="314"/>
      <c r="L98" s="314"/>
      <c r="M98" s="314"/>
      <c r="N98" s="314"/>
      <c r="O98" s="314"/>
      <c r="P98" s="314"/>
      <c r="Q98" s="314"/>
      <c r="R98" s="314"/>
      <c r="S98" s="314"/>
      <c r="T98" s="337">
        <f>-V98</f>
        <v>0</v>
      </c>
      <c r="U98" s="286"/>
      <c r="V98" s="337">
        <v>0</v>
      </c>
      <c r="W98" s="318"/>
      <c r="X98" s="5"/>
    </row>
    <row r="99" spans="1:25" ht="15.75" x14ac:dyDescent="0.25">
      <c r="A99" s="295"/>
      <c r="B99" s="286" t="s">
        <v>31</v>
      </c>
      <c r="C99" s="314"/>
      <c r="D99" s="314"/>
      <c r="E99" s="314"/>
      <c r="F99" s="314"/>
      <c r="G99" s="314"/>
      <c r="H99" s="314"/>
      <c r="I99" s="314"/>
      <c r="J99" s="314"/>
      <c r="K99" s="314"/>
      <c r="L99" s="314"/>
      <c r="M99" s="314"/>
      <c r="N99" s="314"/>
      <c r="O99" s="314"/>
      <c r="P99" s="314"/>
      <c r="Q99" s="314"/>
      <c r="R99" s="314"/>
      <c r="S99" s="314"/>
      <c r="T99" s="337">
        <f>-V99</f>
        <v>0</v>
      </c>
      <c r="U99" s="286"/>
      <c r="V99" s="338">
        <v>0</v>
      </c>
      <c r="W99" s="318"/>
      <c r="X99" s="5"/>
    </row>
    <row r="100" spans="1:25" ht="15.75" x14ac:dyDescent="0.25">
      <c r="A100" s="295"/>
      <c r="B100" s="286" t="s">
        <v>274</v>
      </c>
      <c r="C100" s="314"/>
      <c r="D100" s="314"/>
      <c r="E100" s="314"/>
      <c r="F100" s="314"/>
      <c r="G100" s="314"/>
      <c r="H100" s="314"/>
      <c r="I100" s="314"/>
      <c r="J100" s="314"/>
      <c r="K100" s="314"/>
      <c r="L100" s="314"/>
      <c r="M100" s="314"/>
      <c r="N100" s="314"/>
      <c r="O100" s="314"/>
      <c r="P100" s="314"/>
      <c r="Q100" s="314"/>
      <c r="R100" s="314"/>
      <c r="S100" s="314"/>
      <c r="T100" s="337"/>
      <c r="U100" s="286"/>
      <c r="V100" s="338">
        <v>92</v>
      </c>
      <c r="W100" s="318"/>
      <c r="X100" s="5"/>
    </row>
    <row r="101" spans="1:25" ht="15.75" x14ac:dyDescent="0.25">
      <c r="A101" s="295"/>
      <c r="B101" s="286" t="s">
        <v>32</v>
      </c>
      <c r="C101" s="314"/>
      <c r="D101" s="314"/>
      <c r="E101" s="314"/>
      <c r="F101" s="314"/>
      <c r="G101" s="314"/>
      <c r="H101" s="314"/>
      <c r="I101" s="314"/>
      <c r="J101" s="314"/>
      <c r="K101" s="314"/>
      <c r="L101" s="314"/>
      <c r="M101" s="314"/>
      <c r="N101" s="314"/>
      <c r="O101" s="314"/>
      <c r="P101" s="314"/>
      <c r="Q101" s="314"/>
      <c r="R101" s="314"/>
      <c r="S101" s="314"/>
      <c r="T101" s="337">
        <f>T97+T99+T98</f>
        <v>5070</v>
      </c>
      <c r="U101" s="286"/>
      <c r="V101" s="337">
        <f>V97+V99+V98+V100</f>
        <v>6256</v>
      </c>
      <c r="W101" s="318"/>
      <c r="X101" s="5"/>
    </row>
    <row r="102" spans="1:25" ht="15.75" x14ac:dyDescent="0.25">
      <c r="A102" s="285"/>
      <c r="B102" s="342" t="s">
        <v>33</v>
      </c>
      <c r="C102" s="314"/>
      <c r="D102" s="314"/>
      <c r="E102" s="314"/>
      <c r="F102" s="314"/>
      <c r="G102" s="314"/>
      <c r="H102" s="314"/>
      <c r="I102" s="314"/>
      <c r="J102" s="314"/>
      <c r="K102" s="314"/>
      <c r="L102" s="314"/>
      <c r="M102" s="314"/>
      <c r="N102" s="314"/>
      <c r="O102" s="314"/>
      <c r="P102" s="314"/>
      <c r="Q102" s="314"/>
      <c r="R102" s="314"/>
      <c r="S102" s="314"/>
      <c r="T102" s="337"/>
      <c r="U102" s="286"/>
      <c r="V102" s="338"/>
      <c r="W102" s="318"/>
      <c r="X102" s="5"/>
    </row>
    <row r="103" spans="1:25" ht="15.75" x14ac:dyDescent="0.25">
      <c r="A103" s="295">
        <v>1</v>
      </c>
      <c r="B103" s="286" t="s">
        <v>34</v>
      </c>
      <c r="C103" s="286"/>
      <c r="D103" s="286"/>
      <c r="E103" s="314"/>
      <c r="F103" s="314"/>
      <c r="G103" s="314"/>
      <c r="H103" s="314"/>
      <c r="I103" s="314"/>
      <c r="J103" s="314"/>
      <c r="K103" s="314"/>
      <c r="L103" s="314"/>
      <c r="M103" s="314"/>
      <c r="N103" s="314"/>
      <c r="O103" s="314"/>
      <c r="P103" s="314"/>
      <c r="Q103" s="314"/>
      <c r="R103" s="314"/>
      <c r="S103" s="314"/>
      <c r="T103" s="286"/>
      <c r="U103" s="286"/>
      <c r="V103" s="338">
        <v>0</v>
      </c>
      <c r="W103" s="318"/>
      <c r="X103" s="5"/>
    </row>
    <row r="104" spans="1:25" ht="15.75" x14ac:dyDescent="0.25">
      <c r="A104" s="295">
        <f>+A103+1</f>
        <v>2</v>
      </c>
      <c r="B104" s="286" t="s">
        <v>221</v>
      </c>
      <c r="C104" s="286"/>
      <c r="D104" s="286"/>
      <c r="E104" s="314"/>
      <c r="F104" s="314"/>
      <c r="G104" s="314"/>
      <c r="H104" s="314"/>
      <c r="I104" s="314"/>
      <c r="J104" s="314"/>
      <c r="K104" s="314"/>
      <c r="L104" s="314"/>
      <c r="M104" s="314"/>
      <c r="N104" s="314"/>
      <c r="O104" s="314"/>
      <c r="P104" s="314"/>
      <c r="Q104" s="314"/>
      <c r="R104" s="314"/>
      <c r="S104" s="314"/>
      <c r="T104" s="286"/>
      <c r="U104" s="286"/>
      <c r="V104" s="338">
        <v>-2</v>
      </c>
      <c r="W104" s="318"/>
      <c r="X104" s="5"/>
    </row>
    <row r="105" spans="1:25" ht="15.75" x14ac:dyDescent="0.25">
      <c r="A105" s="295">
        <f>+A104+1</f>
        <v>3</v>
      </c>
      <c r="B105" s="286" t="s">
        <v>204</v>
      </c>
      <c r="C105" s="286"/>
      <c r="D105" s="286"/>
      <c r="E105" s="314"/>
      <c r="F105" s="314"/>
      <c r="G105" s="314"/>
      <c r="H105" s="314"/>
      <c r="I105" s="314"/>
      <c r="J105" s="314"/>
      <c r="K105" s="314"/>
      <c r="L105" s="314"/>
      <c r="M105" s="314"/>
      <c r="N105" s="314"/>
      <c r="O105" s="314"/>
      <c r="P105" s="314"/>
      <c r="Q105" s="314"/>
      <c r="R105" s="314"/>
      <c r="S105" s="314"/>
      <c r="T105" s="286"/>
      <c r="U105" s="286"/>
      <c r="V105" s="338">
        <f>-314-214-10</f>
        <v>-538</v>
      </c>
      <c r="W105" s="318"/>
      <c r="X105" s="5"/>
    </row>
    <row r="106" spans="1:25" ht="15.75" x14ac:dyDescent="0.25">
      <c r="A106" s="295" t="s">
        <v>127</v>
      </c>
      <c r="B106" s="286" t="s">
        <v>116</v>
      </c>
      <c r="C106" s="286"/>
      <c r="D106" s="286"/>
      <c r="E106" s="314"/>
      <c r="F106" s="314"/>
      <c r="G106" s="314"/>
      <c r="H106" s="314"/>
      <c r="I106" s="314"/>
      <c r="J106" s="314"/>
      <c r="K106" s="314"/>
      <c r="L106" s="314"/>
      <c r="M106" s="314"/>
      <c r="N106" s="314"/>
      <c r="O106" s="314"/>
      <c r="P106" s="314"/>
      <c r="Q106" s="314"/>
      <c r="R106" s="314"/>
      <c r="S106" s="314"/>
      <c r="T106" s="286"/>
      <c r="U106" s="286"/>
      <c r="V106" s="338">
        <v>0</v>
      </c>
      <c r="W106" s="318"/>
      <c r="X106" s="5"/>
    </row>
    <row r="107" spans="1:25" ht="15.75" x14ac:dyDescent="0.25">
      <c r="A107" s="295" t="s">
        <v>128</v>
      </c>
      <c r="B107" s="286" t="s">
        <v>220</v>
      </c>
      <c r="C107" s="286"/>
      <c r="D107" s="286"/>
      <c r="E107" s="314"/>
      <c r="F107" s="314"/>
      <c r="G107" s="314"/>
      <c r="H107" s="314"/>
      <c r="I107" s="314"/>
      <c r="J107" s="314"/>
      <c r="K107" s="314"/>
      <c r="L107" s="314"/>
      <c r="M107" s="314"/>
      <c r="N107" s="314"/>
      <c r="O107" s="314"/>
      <c r="P107" s="314"/>
      <c r="Q107" s="314"/>
      <c r="R107" s="314"/>
      <c r="S107" s="314"/>
      <c r="T107" s="286"/>
      <c r="U107" s="286"/>
      <c r="V107" s="338">
        <f>-2046+517</f>
        <v>-1529</v>
      </c>
      <c r="W107" s="318"/>
      <c r="X107" s="5"/>
      <c r="Y107" s="109"/>
    </row>
    <row r="108" spans="1:25" ht="15.75" x14ac:dyDescent="0.25">
      <c r="A108" s="295" t="s">
        <v>150</v>
      </c>
      <c r="B108" s="286" t="s">
        <v>184</v>
      </c>
      <c r="C108" s="286"/>
      <c r="D108" s="286"/>
      <c r="E108" s="314"/>
      <c r="F108" s="314"/>
      <c r="G108" s="314"/>
      <c r="H108" s="314"/>
      <c r="I108" s="314"/>
      <c r="J108" s="314"/>
      <c r="K108" s="314"/>
      <c r="L108" s="314"/>
      <c r="M108" s="314"/>
      <c r="N108" s="314"/>
      <c r="O108" s="314"/>
      <c r="P108" s="314"/>
      <c r="Q108" s="314"/>
      <c r="R108" s="314"/>
      <c r="S108" s="314"/>
      <c r="T108" s="286"/>
      <c r="U108" s="286"/>
      <c r="V108" s="338">
        <v>-517</v>
      </c>
      <c r="W108" s="318"/>
      <c r="X108" s="5"/>
      <c r="Y108" s="109"/>
    </row>
    <row r="109" spans="1:25" ht="15.75" x14ac:dyDescent="0.25">
      <c r="A109" s="295" t="s">
        <v>205</v>
      </c>
      <c r="B109" s="286" t="s">
        <v>185</v>
      </c>
      <c r="C109" s="286"/>
      <c r="D109" s="286"/>
      <c r="E109" s="314"/>
      <c r="F109" s="314"/>
      <c r="G109" s="314"/>
      <c r="H109" s="314"/>
      <c r="I109" s="314"/>
      <c r="J109" s="314"/>
      <c r="K109" s="314"/>
      <c r="L109" s="314"/>
      <c r="M109" s="314"/>
      <c r="N109" s="314"/>
      <c r="O109" s="314"/>
      <c r="P109" s="314"/>
      <c r="Q109" s="314"/>
      <c r="R109" s="314"/>
      <c r="S109" s="314"/>
      <c r="T109" s="286"/>
      <c r="U109" s="286"/>
      <c r="V109" s="338">
        <v>-234</v>
      </c>
      <c r="W109" s="318"/>
      <c r="X109" s="5"/>
      <c r="Y109" s="109"/>
    </row>
    <row r="110" spans="1:25" ht="15.75" x14ac:dyDescent="0.25">
      <c r="A110" s="295" t="s">
        <v>206</v>
      </c>
      <c r="B110" s="286" t="s">
        <v>186</v>
      </c>
      <c r="C110" s="286"/>
      <c r="D110" s="286"/>
      <c r="E110" s="314"/>
      <c r="F110" s="314"/>
      <c r="G110" s="314"/>
      <c r="H110" s="314"/>
      <c r="I110" s="314"/>
      <c r="J110" s="314"/>
      <c r="K110" s="314"/>
      <c r="L110" s="314"/>
      <c r="M110" s="314"/>
      <c r="N110" s="314"/>
      <c r="O110" s="314"/>
      <c r="P110" s="314"/>
      <c r="Q110" s="314"/>
      <c r="R110" s="314"/>
      <c r="S110" s="314"/>
      <c r="T110" s="286"/>
      <c r="U110" s="286"/>
      <c r="V110" s="338">
        <v>-65</v>
      </c>
      <c r="W110" s="318"/>
      <c r="X110" s="5"/>
      <c r="Y110" s="109"/>
    </row>
    <row r="111" spans="1:25" ht="15.75" x14ac:dyDescent="0.25">
      <c r="A111" s="295">
        <v>6</v>
      </c>
      <c r="B111" s="286" t="s">
        <v>196</v>
      </c>
      <c r="C111" s="286"/>
      <c r="D111" s="286"/>
      <c r="E111" s="314"/>
      <c r="F111" s="314"/>
      <c r="G111" s="314"/>
      <c r="H111" s="314"/>
      <c r="I111" s="314"/>
      <c r="J111" s="314"/>
      <c r="K111" s="314"/>
      <c r="L111" s="314"/>
      <c r="M111" s="314"/>
      <c r="N111" s="314"/>
      <c r="O111" s="314"/>
      <c r="P111" s="314"/>
      <c r="Q111" s="314"/>
      <c r="R111" s="314"/>
      <c r="S111" s="314"/>
      <c r="T111" s="286"/>
      <c r="U111" s="286"/>
      <c r="V111" s="338">
        <v>-421</v>
      </c>
      <c r="W111" s="318"/>
      <c r="X111" s="5"/>
      <c r="Y111" s="109"/>
    </row>
    <row r="112" spans="1:25" ht="15.75" x14ac:dyDescent="0.25">
      <c r="A112" s="295">
        <v>7</v>
      </c>
      <c r="B112" s="286" t="s">
        <v>35</v>
      </c>
      <c r="C112" s="286"/>
      <c r="D112" s="286"/>
      <c r="E112" s="314"/>
      <c r="F112" s="314"/>
      <c r="G112" s="314"/>
      <c r="H112" s="314"/>
      <c r="I112" s="314"/>
      <c r="J112" s="314"/>
      <c r="K112" s="314"/>
      <c r="L112" s="314"/>
      <c r="M112" s="314"/>
      <c r="N112" s="314"/>
      <c r="O112" s="314"/>
      <c r="P112" s="314"/>
      <c r="Q112" s="314"/>
      <c r="R112" s="314"/>
      <c r="S112" s="314"/>
      <c r="T112" s="286"/>
      <c r="U112" s="286"/>
      <c r="V112" s="338">
        <v>-9</v>
      </c>
      <c r="W112" s="318"/>
      <c r="X112" s="5"/>
    </row>
    <row r="113" spans="1:24" ht="15.75" x14ac:dyDescent="0.25">
      <c r="A113" s="295">
        <f t="shared" ref="A113:A118" si="0">+A112+1</f>
        <v>8</v>
      </c>
      <c r="B113" s="286" t="s">
        <v>45</v>
      </c>
      <c r="C113" s="286"/>
      <c r="D113" s="286"/>
      <c r="E113" s="314"/>
      <c r="F113" s="314"/>
      <c r="G113" s="314"/>
      <c r="H113" s="314"/>
      <c r="I113" s="314"/>
      <c r="J113" s="314"/>
      <c r="K113" s="314"/>
      <c r="L113" s="314"/>
      <c r="M113" s="314"/>
      <c r="N113" s="314"/>
      <c r="O113" s="314"/>
      <c r="P113" s="314"/>
      <c r="Q113" s="314"/>
      <c r="R113" s="314"/>
      <c r="S113" s="314"/>
      <c r="T113" s="337">
        <f>-V113</f>
        <v>541</v>
      </c>
      <c r="U113" s="286"/>
      <c r="V113" s="338">
        <v>-541</v>
      </c>
      <c r="W113" s="318"/>
      <c r="X113" s="5"/>
    </row>
    <row r="114" spans="1:24" ht="15.75" x14ac:dyDescent="0.25">
      <c r="A114" s="295">
        <f t="shared" si="0"/>
        <v>9</v>
      </c>
      <c r="B114" s="286" t="s">
        <v>125</v>
      </c>
      <c r="C114" s="286"/>
      <c r="D114" s="286"/>
      <c r="E114" s="314"/>
      <c r="F114" s="314"/>
      <c r="G114" s="314"/>
      <c r="H114" s="314"/>
      <c r="I114" s="314"/>
      <c r="J114" s="314"/>
      <c r="K114" s="314"/>
      <c r="L114" s="314"/>
      <c r="M114" s="314"/>
      <c r="N114" s="314"/>
      <c r="O114" s="314"/>
      <c r="P114" s="314"/>
      <c r="Q114" s="314"/>
      <c r="R114" s="314"/>
      <c r="S114" s="314"/>
      <c r="T114" s="286"/>
      <c r="U114" s="286"/>
      <c r="V114" s="338">
        <v>0</v>
      </c>
      <c r="W114" s="318"/>
      <c r="X114" s="5"/>
    </row>
    <row r="115" spans="1:24" ht="15.75" x14ac:dyDescent="0.25">
      <c r="A115" s="295">
        <f t="shared" si="0"/>
        <v>10</v>
      </c>
      <c r="B115" s="286" t="s">
        <v>225</v>
      </c>
      <c r="C115" s="286"/>
      <c r="D115" s="286"/>
      <c r="E115" s="314"/>
      <c r="F115" s="314"/>
      <c r="G115" s="314"/>
      <c r="H115" s="314"/>
      <c r="I115" s="314"/>
      <c r="J115" s="314"/>
      <c r="K115" s="314"/>
      <c r="L115" s="314"/>
      <c r="M115" s="314"/>
      <c r="N115" s="314"/>
      <c r="O115" s="314"/>
      <c r="P115" s="314"/>
      <c r="Q115" s="314"/>
      <c r="R115" s="314"/>
      <c r="S115" s="314"/>
      <c r="T115" s="286"/>
      <c r="U115" s="286"/>
      <c r="V115" s="338">
        <v>0</v>
      </c>
      <c r="W115" s="318"/>
      <c r="X115" s="5"/>
    </row>
    <row r="116" spans="1:24" ht="15.75" x14ac:dyDescent="0.25">
      <c r="A116" s="295">
        <f t="shared" si="0"/>
        <v>11</v>
      </c>
      <c r="B116" s="286" t="s">
        <v>36</v>
      </c>
      <c r="C116" s="286"/>
      <c r="D116" s="286"/>
      <c r="E116" s="314"/>
      <c r="F116" s="314"/>
      <c r="G116" s="314"/>
      <c r="H116" s="314"/>
      <c r="I116" s="314"/>
      <c r="J116" s="314"/>
      <c r="K116" s="314"/>
      <c r="L116" s="314"/>
      <c r="M116" s="314"/>
      <c r="N116" s="314"/>
      <c r="O116" s="314"/>
      <c r="P116" s="314"/>
      <c r="Q116" s="314"/>
      <c r="R116" s="314"/>
      <c r="S116" s="314"/>
      <c r="T116" s="286"/>
      <c r="U116" s="286"/>
      <c r="V116" s="338">
        <v>0</v>
      </c>
      <c r="W116" s="318"/>
      <c r="X116" s="5"/>
    </row>
    <row r="117" spans="1:24" ht="15.75" x14ac:dyDescent="0.25">
      <c r="A117" s="295">
        <f t="shared" si="0"/>
        <v>12</v>
      </c>
      <c r="B117" s="286" t="s">
        <v>149</v>
      </c>
      <c r="C117" s="286"/>
      <c r="D117" s="286"/>
      <c r="E117" s="314"/>
      <c r="F117" s="314"/>
      <c r="G117" s="314"/>
      <c r="H117" s="314"/>
      <c r="I117" s="314"/>
      <c r="J117" s="314"/>
      <c r="K117" s="314"/>
      <c r="L117" s="314"/>
      <c r="M117" s="314"/>
      <c r="N117" s="314"/>
      <c r="O117" s="314"/>
      <c r="P117" s="314"/>
      <c r="Q117" s="314"/>
      <c r="R117" s="314"/>
      <c r="S117" s="314"/>
      <c r="T117" s="286"/>
      <c r="U117" s="286"/>
      <c r="V117" s="338">
        <v>-314</v>
      </c>
      <c r="W117" s="318"/>
      <c r="X117" s="5"/>
    </row>
    <row r="118" spans="1:24" ht="15.75" x14ac:dyDescent="0.25">
      <c r="A118" s="295">
        <f t="shared" si="0"/>
        <v>13</v>
      </c>
      <c r="B118" s="286" t="s">
        <v>126</v>
      </c>
      <c r="C118" s="286"/>
      <c r="D118" s="286"/>
      <c r="E118" s="314"/>
      <c r="F118" s="314"/>
      <c r="G118" s="314"/>
      <c r="H118" s="314"/>
      <c r="I118" s="314"/>
      <c r="J118" s="314"/>
      <c r="K118" s="314"/>
      <c r="L118" s="314"/>
      <c r="M118" s="314"/>
      <c r="N118" s="314"/>
      <c r="O118" s="314"/>
      <c r="P118" s="314"/>
      <c r="Q118" s="314"/>
      <c r="R118" s="314"/>
      <c r="S118" s="314"/>
      <c r="T118" s="286"/>
      <c r="U118" s="286"/>
      <c r="V118" s="338">
        <f>-V101-SUM(V103:V117)</f>
        <v>-2086</v>
      </c>
      <c r="W118" s="318"/>
      <c r="X118" s="5"/>
    </row>
    <row r="119" spans="1:24" ht="15.75" x14ac:dyDescent="0.25">
      <c r="A119" s="285"/>
      <c r="B119" s="342" t="s">
        <v>37</v>
      </c>
      <c r="C119" s="314"/>
      <c r="D119" s="314"/>
      <c r="E119" s="314"/>
      <c r="F119" s="314"/>
      <c r="G119" s="314"/>
      <c r="H119" s="314"/>
      <c r="I119" s="314"/>
      <c r="J119" s="314"/>
      <c r="K119" s="314"/>
      <c r="L119" s="314"/>
      <c r="M119" s="314"/>
      <c r="N119" s="314"/>
      <c r="O119" s="314"/>
      <c r="P119" s="314"/>
      <c r="Q119" s="314"/>
      <c r="R119" s="314"/>
      <c r="S119" s="314"/>
      <c r="T119" s="286"/>
      <c r="U119" s="286"/>
      <c r="V119" s="343"/>
      <c r="W119" s="318"/>
      <c r="X119" s="5"/>
    </row>
    <row r="120" spans="1:24" ht="15.75" x14ac:dyDescent="0.25">
      <c r="A120" s="285"/>
      <c r="B120" s="286" t="s">
        <v>173</v>
      </c>
      <c r="C120" s="314"/>
      <c r="D120" s="314"/>
      <c r="E120" s="314"/>
      <c r="F120" s="314"/>
      <c r="G120" s="314"/>
      <c r="H120" s="314"/>
      <c r="I120" s="314"/>
      <c r="J120" s="314"/>
      <c r="K120" s="314"/>
      <c r="L120" s="314"/>
      <c r="M120" s="314"/>
      <c r="N120" s="314"/>
      <c r="O120" s="314"/>
      <c r="P120" s="314"/>
      <c r="Q120" s="314"/>
      <c r="R120" s="314"/>
      <c r="S120" s="314"/>
      <c r="T120" s="337">
        <f>-T185</f>
        <v>0</v>
      </c>
      <c r="U120" s="337"/>
      <c r="V120" s="338"/>
      <c r="W120" s="318"/>
      <c r="X120" s="5"/>
    </row>
    <row r="121" spans="1:24" ht="15.75" x14ac:dyDescent="0.25">
      <c r="A121" s="285"/>
      <c r="B121" s="286" t="s">
        <v>174</v>
      </c>
      <c r="C121" s="314"/>
      <c r="D121" s="314"/>
      <c r="E121" s="314"/>
      <c r="F121" s="314"/>
      <c r="G121" s="314"/>
      <c r="H121" s="314"/>
      <c r="I121" s="314"/>
      <c r="J121" s="314"/>
      <c r="K121" s="314"/>
      <c r="L121" s="314"/>
      <c r="M121" s="314"/>
      <c r="N121" s="314"/>
      <c r="O121" s="314"/>
      <c r="P121" s="314"/>
      <c r="Q121" s="314"/>
      <c r="R121" s="314"/>
      <c r="S121" s="314"/>
      <c r="T121" s="337">
        <v>-4</v>
      </c>
      <c r="U121" s="337"/>
      <c r="V121" s="338"/>
      <c r="W121" s="318"/>
      <c r="X121" s="5"/>
    </row>
    <row r="122" spans="1:24" ht="15.75" x14ac:dyDescent="0.25">
      <c r="A122" s="285"/>
      <c r="B122" s="286" t="s">
        <v>38</v>
      </c>
      <c r="C122" s="314"/>
      <c r="D122" s="314"/>
      <c r="E122" s="314"/>
      <c r="F122" s="314"/>
      <c r="G122" s="314"/>
      <c r="H122" s="314"/>
      <c r="I122" s="314"/>
      <c r="J122" s="314"/>
      <c r="K122" s="314"/>
      <c r="L122" s="314"/>
      <c r="M122" s="314"/>
      <c r="N122" s="314"/>
      <c r="O122" s="314"/>
      <c r="P122" s="314"/>
      <c r="Q122" s="314"/>
      <c r="R122" s="314"/>
      <c r="S122" s="314"/>
      <c r="T122" s="337">
        <f>-S185</f>
        <v>0</v>
      </c>
      <c r="U122" s="337"/>
      <c r="V122" s="338"/>
      <c r="W122" s="318"/>
      <c r="X122" s="5"/>
    </row>
    <row r="123" spans="1:24" ht="15.75" x14ac:dyDescent="0.25">
      <c r="A123" s="285"/>
      <c r="B123" s="286" t="s">
        <v>197</v>
      </c>
      <c r="C123" s="314"/>
      <c r="D123" s="314"/>
      <c r="E123" s="314"/>
      <c r="F123" s="314"/>
      <c r="G123" s="314"/>
      <c r="H123" s="314"/>
      <c r="I123" s="314"/>
      <c r="J123" s="314"/>
      <c r="K123" s="314"/>
      <c r="L123" s="314"/>
      <c r="M123" s="314"/>
      <c r="N123" s="314"/>
      <c r="O123" s="314"/>
      <c r="P123" s="314"/>
      <c r="Q123" s="314"/>
      <c r="R123" s="314"/>
      <c r="S123" s="314"/>
      <c r="T123" s="337">
        <v>-3248</v>
      </c>
      <c r="U123" s="337"/>
      <c r="V123" s="338"/>
      <c r="W123" s="318"/>
      <c r="X123" s="5"/>
    </row>
    <row r="124" spans="1:24" ht="15.75" x14ac:dyDescent="0.25">
      <c r="A124" s="285"/>
      <c r="B124" s="286" t="s">
        <v>195</v>
      </c>
      <c r="C124" s="314"/>
      <c r="D124" s="314"/>
      <c r="E124" s="314"/>
      <c r="F124" s="314"/>
      <c r="G124" s="314"/>
      <c r="H124" s="314"/>
      <c r="I124" s="314"/>
      <c r="J124" s="314"/>
      <c r="K124" s="314"/>
      <c r="L124" s="314"/>
      <c r="M124" s="314"/>
      <c r="N124" s="314"/>
      <c r="O124" s="314"/>
      <c r="P124" s="314"/>
      <c r="Q124" s="314"/>
      <c r="R124" s="314"/>
      <c r="S124" s="314"/>
      <c r="T124" s="337">
        <v>-1380</v>
      </c>
      <c r="U124" s="337"/>
      <c r="V124" s="338"/>
      <c r="W124" s="318"/>
      <c r="X124" s="5"/>
    </row>
    <row r="125" spans="1:24" ht="15.75" x14ac:dyDescent="0.25">
      <c r="A125" s="285"/>
      <c r="B125" s="286" t="s">
        <v>194</v>
      </c>
      <c r="C125" s="314"/>
      <c r="D125" s="314"/>
      <c r="E125" s="314"/>
      <c r="F125" s="314"/>
      <c r="G125" s="314"/>
      <c r="H125" s="314"/>
      <c r="I125" s="314"/>
      <c r="J125" s="314"/>
      <c r="K125" s="314"/>
      <c r="L125" s="314"/>
      <c r="M125" s="314"/>
      <c r="N125" s="314"/>
      <c r="O125" s="314"/>
      <c r="P125" s="314"/>
      <c r="Q125" s="314"/>
      <c r="R125" s="314"/>
      <c r="S125" s="314"/>
      <c r="T125" s="337">
        <v>-492</v>
      </c>
      <c r="U125" s="337"/>
      <c r="V125" s="338"/>
      <c r="W125" s="318"/>
      <c r="X125" s="5"/>
    </row>
    <row r="126" spans="1:24" ht="15.75" x14ac:dyDescent="0.25">
      <c r="A126" s="285"/>
      <c r="B126" s="286" t="s">
        <v>222</v>
      </c>
      <c r="C126" s="314"/>
      <c r="D126" s="314"/>
      <c r="E126" s="314"/>
      <c r="F126" s="314"/>
      <c r="G126" s="314"/>
      <c r="H126" s="314"/>
      <c r="I126" s="314"/>
      <c r="J126" s="314"/>
      <c r="K126" s="314"/>
      <c r="L126" s="314"/>
      <c r="M126" s="314"/>
      <c r="N126" s="314"/>
      <c r="O126" s="314"/>
      <c r="P126" s="314"/>
      <c r="Q126" s="314"/>
      <c r="R126" s="314"/>
      <c r="S126" s="314"/>
      <c r="T126" s="337">
        <v>-487</v>
      </c>
      <c r="U126" s="337"/>
      <c r="V126" s="338"/>
      <c r="W126" s="318"/>
      <c r="X126" s="5"/>
    </row>
    <row r="127" spans="1:24" ht="15.75" x14ac:dyDescent="0.25">
      <c r="A127" s="285"/>
      <c r="B127" s="286" t="s">
        <v>189</v>
      </c>
      <c r="C127" s="314"/>
      <c r="D127" s="314"/>
      <c r="E127" s="314"/>
      <c r="F127" s="314"/>
      <c r="G127" s="314"/>
      <c r="H127" s="314"/>
      <c r="I127" s="314"/>
      <c r="J127" s="314"/>
      <c r="K127" s="314"/>
      <c r="L127" s="314"/>
      <c r="M127" s="314"/>
      <c r="N127" s="314"/>
      <c r="O127" s="314"/>
      <c r="P127" s="314"/>
      <c r="Q127" s="314"/>
      <c r="R127" s="314"/>
      <c r="S127" s="314"/>
      <c r="T127" s="337">
        <v>0</v>
      </c>
      <c r="U127" s="337"/>
      <c r="V127" s="338"/>
      <c r="W127" s="318"/>
      <c r="X127" s="5"/>
    </row>
    <row r="128" spans="1:24" ht="15.75" x14ac:dyDescent="0.25">
      <c r="A128" s="285"/>
      <c r="B128" s="286" t="s">
        <v>188</v>
      </c>
      <c r="C128" s="314"/>
      <c r="D128" s="314"/>
      <c r="E128" s="314"/>
      <c r="F128" s="314"/>
      <c r="G128" s="314"/>
      <c r="H128" s="314"/>
      <c r="I128" s="314"/>
      <c r="J128" s="314"/>
      <c r="K128" s="314"/>
      <c r="L128" s="314"/>
      <c r="M128" s="314"/>
      <c r="N128" s="314"/>
      <c r="O128" s="314"/>
      <c r="P128" s="314"/>
      <c r="Q128" s="314"/>
      <c r="R128" s="314"/>
      <c r="S128" s="314"/>
      <c r="T128" s="337">
        <v>0</v>
      </c>
      <c r="U128" s="337"/>
      <c r="V128" s="338"/>
      <c r="W128" s="318"/>
      <c r="X128" s="5"/>
    </row>
    <row r="129" spans="1:24" ht="15.75" x14ac:dyDescent="0.25">
      <c r="A129" s="285"/>
      <c r="B129" s="286" t="s">
        <v>187</v>
      </c>
      <c r="C129" s="314"/>
      <c r="D129" s="314"/>
      <c r="E129" s="314"/>
      <c r="F129" s="314"/>
      <c r="G129" s="314"/>
      <c r="H129" s="314"/>
      <c r="I129" s="314"/>
      <c r="J129" s="314"/>
      <c r="K129" s="314"/>
      <c r="L129" s="314"/>
      <c r="M129" s="314"/>
      <c r="N129" s="314"/>
      <c r="O129" s="314"/>
      <c r="P129" s="314"/>
      <c r="Q129" s="314"/>
      <c r="R129" s="314"/>
      <c r="S129" s="314"/>
      <c r="T129" s="337">
        <v>0</v>
      </c>
      <c r="U129" s="337"/>
      <c r="V129" s="338"/>
      <c r="W129" s="318"/>
      <c r="X129" s="5"/>
    </row>
    <row r="130" spans="1:24" ht="15.75" x14ac:dyDescent="0.25">
      <c r="A130" s="285"/>
      <c r="B130" s="286" t="s">
        <v>39</v>
      </c>
      <c r="C130" s="314"/>
      <c r="D130" s="314"/>
      <c r="E130" s="314"/>
      <c r="F130" s="314"/>
      <c r="G130" s="314"/>
      <c r="H130" s="314"/>
      <c r="I130" s="314"/>
      <c r="J130" s="314"/>
      <c r="K130" s="314"/>
      <c r="L130" s="314"/>
      <c r="M130" s="314"/>
      <c r="N130" s="314"/>
      <c r="O130" s="314"/>
      <c r="P130" s="314"/>
      <c r="Q130" s="314"/>
      <c r="R130" s="314"/>
      <c r="S130" s="314"/>
      <c r="T130" s="337">
        <f>SUM(T120:T129)</f>
        <v>-5611</v>
      </c>
      <c r="U130" s="337"/>
      <c r="V130" s="337">
        <f>SUM(V102:V128)</f>
        <v>-6256</v>
      </c>
      <c r="W130" s="318"/>
      <c r="X130" s="5"/>
    </row>
    <row r="131" spans="1:24" ht="15.75" x14ac:dyDescent="0.25">
      <c r="A131" s="285"/>
      <c r="B131" s="286" t="s">
        <v>40</v>
      </c>
      <c r="C131" s="314"/>
      <c r="D131" s="314"/>
      <c r="E131" s="314"/>
      <c r="F131" s="314"/>
      <c r="G131" s="314"/>
      <c r="H131" s="314"/>
      <c r="I131" s="314"/>
      <c r="J131" s="314"/>
      <c r="K131" s="314"/>
      <c r="L131" s="314"/>
      <c r="M131" s="314"/>
      <c r="N131" s="314"/>
      <c r="O131" s="314"/>
      <c r="P131" s="314"/>
      <c r="Q131" s="314"/>
      <c r="R131" s="314"/>
      <c r="S131" s="314"/>
      <c r="T131" s="337">
        <f>T101+T130+T113</f>
        <v>0</v>
      </c>
      <c r="U131" s="337"/>
      <c r="V131" s="337">
        <f>V101+V130</f>
        <v>0</v>
      </c>
      <c r="W131" s="318"/>
      <c r="X131" s="5"/>
    </row>
    <row r="132" spans="1:24" ht="15.75" x14ac:dyDescent="0.25">
      <c r="A132" s="181"/>
      <c r="B132" s="212"/>
      <c r="C132" s="212"/>
      <c r="D132" s="212"/>
      <c r="E132" s="212"/>
      <c r="F132" s="212"/>
      <c r="G132" s="212"/>
      <c r="H132" s="212"/>
      <c r="I132" s="212"/>
      <c r="J132" s="212"/>
      <c r="K132" s="212"/>
      <c r="L132" s="212"/>
      <c r="M132" s="212"/>
      <c r="N132" s="212"/>
      <c r="O132" s="212"/>
      <c r="P132" s="212"/>
      <c r="Q132" s="212"/>
      <c r="R132" s="212"/>
      <c r="S132" s="212"/>
      <c r="T132" s="335"/>
      <c r="U132" s="335"/>
      <c r="V132" s="335"/>
      <c r="W132" s="212"/>
      <c r="X132" s="5"/>
    </row>
    <row r="133" spans="1:24" ht="15.75" x14ac:dyDescent="0.25">
      <c r="A133" s="181"/>
      <c r="B133" s="183"/>
      <c r="C133" s="183"/>
      <c r="D133" s="183"/>
      <c r="E133" s="183"/>
      <c r="F133" s="183"/>
      <c r="G133" s="183"/>
      <c r="H133" s="183"/>
      <c r="I133" s="183"/>
      <c r="J133" s="183"/>
      <c r="K133" s="183"/>
      <c r="L133" s="183"/>
      <c r="M133" s="183"/>
      <c r="N133" s="183"/>
      <c r="O133" s="183"/>
      <c r="P133" s="183"/>
      <c r="Q133" s="183"/>
      <c r="R133" s="183"/>
      <c r="S133" s="183"/>
      <c r="T133" s="183"/>
      <c r="U133" s="183"/>
      <c r="V133" s="202"/>
      <c r="W133" s="183"/>
      <c r="X133" s="5"/>
    </row>
    <row r="134" spans="1:24" ht="19.5" thickBot="1" x14ac:dyDescent="0.35">
      <c r="A134" s="197"/>
      <c r="B134" s="270" t="str">
        <f>B64</f>
        <v>PM15 INVESTOR REPORT QUARTER ENDING AUGUST 2012</v>
      </c>
      <c r="C134" s="198"/>
      <c r="D134" s="198"/>
      <c r="E134" s="198"/>
      <c r="F134" s="198"/>
      <c r="G134" s="198"/>
      <c r="H134" s="198"/>
      <c r="I134" s="198"/>
      <c r="J134" s="198"/>
      <c r="K134" s="198"/>
      <c r="L134" s="198"/>
      <c r="M134" s="198"/>
      <c r="N134" s="198"/>
      <c r="O134" s="198"/>
      <c r="P134" s="198"/>
      <c r="Q134" s="198"/>
      <c r="R134" s="198"/>
      <c r="S134" s="198"/>
      <c r="T134" s="198"/>
      <c r="U134" s="198"/>
      <c r="V134" s="209"/>
      <c r="W134" s="200"/>
      <c r="X134" s="5"/>
    </row>
    <row r="135" spans="1:24" ht="15.75" x14ac:dyDescent="0.25">
      <c r="A135" s="236"/>
      <c r="B135" s="403" t="s">
        <v>41</v>
      </c>
      <c r="C135" s="238"/>
      <c r="D135" s="238"/>
      <c r="E135" s="238"/>
      <c r="F135" s="238"/>
      <c r="G135" s="238"/>
      <c r="H135" s="238"/>
      <c r="I135" s="238"/>
      <c r="J135" s="238"/>
      <c r="K135" s="238"/>
      <c r="L135" s="238"/>
      <c r="M135" s="238"/>
      <c r="N135" s="238"/>
      <c r="O135" s="238"/>
      <c r="P135" s="238"/>
      <c r="Q135" s="238"/>
      <c r="R135" s="238"/>
      <c r="S135" s="238"/>
      <c r="T135" s="238"/>
      <c r="U135" s="238"/>
      <c r="V135" s="239"/>
      <c r="W135" s="238"/>
      <c r="X135" s="5"/>
    </row>
    <row r="136" spans="1:24" ht="15.75" x14ac:dyDescent="0.25">
      <c r="A136" s="181"/>
      <c r="B136" s="191"/>
      <c r="C136" s="183"/>
      <c r="D136" s="183"/>
      <c r="E136" s="183"/>
      <c r="F136" s="183"/>
      <c r="G136" s="183"/>
      <c r="H136" s="183"/>
      <c r="I136" s="183"/>
      <c r="J136" s="183"/>
      <c r="K136" s="183"/>
      <c r="L136" s="183"/>
      <c r="M136" s="183"/>
      <c r="N136" s="183"/>
      <c r="O136" s="183"/>
      <c r="P136" s="183"/>
      <c r="Q136" s="183"/>
      <c r="R136" s="183"/>
      <c r="S136" s="183"/>
      <c r="T136" s="183"/>
      <c r="U136" s="183"/>
      <c r="V136" s="202"/>
      <c r="W136" s="183"/>
      <c r="X136" s="5"/>
    </row>
    <row r="137" spans="1:24" ht="15.75" x14ac:dyDescent="0.25">
      <c r="A137" s="181"/>
      <c r="B137" s="210" t="s">
        <v>42</v>
      </c>
      <c r="C137" s="183"/>
      <c r="D137" s="183"/>
      <c r="E137" s="183"/>
      <c r="F137" s="183"/>
      <c r="G137" s="183"/>
      <c r="H137" s="183"/>
      <c r="I137" s="183"/>
      <c r="J137" s="183"/>
      <c r="K137" s="183"/>
      <c r="L137" s="183"/>
      <c r="M137" s="183"/>
      <c r="N137" s="183"/>
      <c r="O137" s="183"/>
      <c r="P137" s="183"/>
      <c r="Q137" s="183"/>
      <c r="R137" s="183"/>
      <c r="S137" s="183"/>
      <c r="T137" s="183"/>
      <c r="U137" s="183"/>
      <c r="V137" s="202"/>
      <c r="W137" s="183"/>
      <c r="X137" s="5"/>
    </row>
    <row r="138" spans="1:24" ht="15.75" x14ac:dyDescent="0.25">
      <c r="A138" s="285"/>
      <c r="B138" s="286" t="s">
        <v>43</v>
      </c>
      <c r="C138" s="286"/>
      <c r="D138" s="286"/>
      <c r="E138" s="286"/>
      <c r="F138" s="286"/>
      <c r="G138" s="286"/>
      <c r="H138" s="286"/>
      <c r="I138" s="286"/>
      <c r="J138" s="286"/>
      <c r="K138" s="286"/>
      <c r="L138" s="286"/>
      <c r="M138" s="286"/>
      <c r="N138" s="286"/>
      <c r="O138" s="286"/>
      <c r="P138" s="286"/>
      <c r="Q138" s="286"/>
      <c r="R138" s="286"/>
      <c r="S138" s="286"/>
      <c r="T138" s="286"/>
      <c r="U138" s="286"/>
      <c r="V138" s="338">
        <f>+V34*0.019</f>
        <v>19021.526999999998</v>
      </c>
      <c r="W138" s="289"/>
      <c r="X138" s="5"/>
    </row>
    <row r="139" spans="1:24" ht="15.75" x14ac:dyDescent="0.25">
      <c r="A139" s="285"/>
      <c r="B139" s="286" t="s">
        <v>44</v>
      </c>
      <c r="C139" s="286"/>
      <c r="D139" s="286"/>
      <c r="E139" s="286"/>
      <c r="F139" s="286"/>
      <c r="G139" s="286"/>
      <c r="H139" s="286"/>
      <c r="I139" s="286"/>
      <c r="J139" s="286"/>
      <c r="K139" s="286"/>
      <c r="L139" s="286"/>
      <c r="M139" s="286"/>
      <c r="N139" s="286"/>
      <c r="O139" s="286"/>
      <c r="P139" s="286"/>
      <c r="Q139" s="286"/>
      <c r="R139" s="286"/>
      <c r="S139" s="286"/>
      <c r="T139" s="286"/>
      <c r="U139" s="286"/>
      <c r="V139" s="338">
        <v>19022</v>
      </c>
      <c r="W139" s="289"/>
      <c r="X139" s="5"/>
    </row>
    <row r="140" spans="1:24" ht="15.75" x14ac:dyDescent="0.25">
      <c r="A140" s="285"/>
      <c r="B140" s="286" t="s">
        <v>136</v>
      </c>
      <c r="C140" s="286"/>
      <c r="D140" s="286"/>
      <c r="E140" s="286"/>
      <c r="F140" s="286"/>
      <c r="G140" s="286"/>
      <c r="H140" s="286"/>
      <c r="I140" s="286"/>
      <c r="J140" s="286"/>
      <c r="K140" s="286"/>
      <c r="L140" s="286"/>
      <c r="M140" s="286"/>
      <c r="N140" s="286"/>
      <c r="O140" s="286"/>
      <c r="P140" s="286"/>
      <c r="Q140" s="286"/>
      <c r="R140" s="286"/>
      <c r="S140" s="286"/>
      <c r="T140" s="286"/>
      <c r="U140" s="286"/>
      <c r="V140" s="338"/>
      <c r="W140" s="289"/>
      <c r="X140" s="5"/>
    </row>
    <row r="141" spans="1:24" ht="15.75" x14ac:dyDescent="0.25">
      <c r="A141" s="285"/>
      <c r="B141" s="286" t="s">
        <v>123</v>
      </c>
      <c r="C141" s="286"/>
      <c r="D141" s="286"/>
      <c r="E141" s="286"/>
      <c r="F141" s="286"/>
      <c r="G141" s="286"/>
      <c r="H141" s="286"/>
      <c r="I141" s="286"/>
      <c r="J141" s="286"/>
      <c r="K141" s="286"/>
      <c r="L141" s="286"/>
      <c r="M141" s="286"/>
      <c r="N141" s="286"/>
      <c r="O141" s="286"/>
      <c r="P141" s="286"/>
      <c r="Q141" s="286"/>
      <c r="R141" s="286"/>
      <c r="S141" s="286"/>
      <c r="T141" s="286"/>
      <c r="U141" s="286"/>
      <c r="V141" s="338">
        <v>0</v>
      </c>
      <c r="W141" s="289"/>
      <c r="X141" s="5"/>
    </row>
    <row r="142" spans="1:24" ht="15.75" x14ac:dyDescent="0.25">
      <c r="A142" s="285"/>
      <c r="B142" s="286" t="s">
        <v>124</v>
      </c>
      <c r="C142" s="286"/>
      <c r="D142" s="286"/>
      <c r="E142" s="286"/>
      <c r="F142" s="286"/>
      <c r="G142" s="286"/>
      <c r="H142" s="286"/>
      <c r="I142" s="286"/>
      <c r="J142" s="286"/>
      <c r="K142" s="286"/>
      <c r="L142" s="286"/>
      <c r="M142" s="286"/>
      <c r="N142" s="286"/>
      <c r="O142" s="286"/>
      <c r="P142" s="286"/>
      <c r="Q142" s="286"/>
      <c r="R142" s="286"/>
      <c r="S142" s="286"/>
      <c r="T142" s="286"/>
      <c r="U142" s="286"/>
      <c r="V142" s="338">
        <v>0</v>
      </c>
      <c r="W142" s="289"/>
      <c r="X142" s="5"/>
    </row>
    <row r="143" spans="1:24" ht="15.75" x14ac:dyDescent="0.25">
      <c r="A143" s="285"/>
      <c r="B143" s="286" t="s">
        <v>175</v>
      </c>
      <c r="C143" s="286"/>
      <c r="D143" s="286"/>
      <c r="E143" s="286"/>
      <c r="F143" s="286"/>
      <c r="G143" s="286"/>
      <c r="H143" s="286"/>
      <c r="I143" s="286"/>
      <c r="J143" s="286"/>
      <c r="K143" s="286"/>
      <c r="L143" s="286"/>
      <c r="M143" s="286"/>
      <c r="N143" s="286"/>
      <c r="O143" s="286"/>
      <c r="P143" s="286"/>
      <c r="Q143" s="286"/>
      <c r="R143" s="286"/>
      <c r="S143" s="286"/>
      <c r="T143" s="286"/>
      <c r="U143" s="286"/>
      <c r="V143" s="338">
        <v>0</v>
      </c>
      <c r="W143" s="289"/>
      <c r="X143" s="5"/>
    </row>
    <row r="144" spans="1:24" ht="15.75" x14ac:dyDescent="0.25">
      <c r="A144" s="285"/>
      <c r="B144" s="286" t="s">
        <v>45</v>
      </c>
      <c r="C144" s="286"/>
      <c r="D144" s="286"/>
      <c r="E144" s="286"/>
      <c r="F144" s="286"/>
      <c r="G144" s="286"/>
      <c r="H144" s="286"/>
      <c r="I144" s="286"/>
      <c r="J144" s="286"/>
      <c r="K144" s="286"/>
      <c r="L144" s="286"/>
      <c r="M144" s="286"/>
      <c r="N144" s="286"/>
      <c r="O144" s="286"/>
      <c r="P144" s="286"/>
      <c r="Q144" s="286"/>
      <c r="R144" s="286"/>
      <c r="S144" s="286"/>
      <c r="T144" s="286"/>
      <c r="U144" s="286"/>
      <c r="V144" s="338">
        <v>0</v>
      </c>
      <c r="W144" s="289"/>
      <c r="X144" s="5"/>
    </row>
    <row r="145" spans="1:25" ht="15.75" x14ac:dyDescent="0.25">
      <c r="A145" s="285"/>
      <c r="B145" s="286" t="s">
        <v>129</v>
      </c>
      <c r="C145" s="286"/>
      <c r="D145" s="286"/>
      <c r="E145" s="286"/>
      <c r="F145" s="286"/>
      <c r="G145" s="286"/>
      <c r="H145" s="286"/>
      <c r="I145" s="286"/>
      <c r="J145" s="286"/>
      <c r="K145" s="286"/>
      <c r="L145" s="286"/>
      <c r="M145" s="286"/>
      <c r="N145" s="286"/>
      <c r="O145" s="286"/>
      <c r="P145" s="286"/>
      <c r="Q145" s="286"/>
      <c r="R145" s="286"/>
      <c r="S145" s="286"/>
      <c r="T145" s="286"/>
      <c r="U145" s="286"/>
      <c r="V145" s="338">
        <v>0</v>
      </c>
      <c r="W145" s="289"/>
      <c r="X145" s="5"/>
    </row>
    <row r="146" spans="1:25" ht="15.75" x14ac:dyDescent="0.25">
      <c r="A146" s="285"/>
      <c r="B146" s="286" t="s">
        <v>241</v>
      </c>
      <c r="C146" s="286"/>
      <c r="D146" s="286"/>
      <c r="E146" s="286"/>
      <c r="F146" s="286"/>
      <c r="G146" s="286"/>
      <c r="H146" s="286"/>
      <c r="I146" s="286"/>
      <c r="J146" s="286"/>
      <c r="K146" s="286"/>
      <c r="L146" s="286"/>
      <c r="M146" s="286"/>
      <c r="N146" s="286"/>
      <c r="O146" s="286"/>
      <c r="P146" s="286"/>
      <c r="Q146" s="286"/>
      <c r="R146" s="286"/>
      <c r="S146" s="286"/>
      <c r="T146" s="286"/>
      <c r="U146" s="286"/>
      <c r="V146" s="338">
        <v>0</v>
      </c>
      <c r="W146" s="289"/>
      <c r="X146" s="5"/>
      <c r="Y146" s="109"/>
    </row>
    <row r="147" spans="1:25" ht="15.75" x14ac:dyDescent="0.25">
      <c r="A147" s="285"/>
      <c r="B147" s="286" t="s">
        <v>46</v>
      </c>
      <c r="C147" s="286"/>
      <c r="D147" s="286"/>
      <c r="E147" s="286"/>
      <c r="F147" s="286"/>
      <c r="G147" s="286"/>
      <c r="H147" s="286"/>
      <c r="I147" s="286"/>
      <c r="J147" s="286"/>
      <c r="K147" s="286"/>
      <c r="L147" s="286"/>
      <c r="M147" s="286"/>
      <c r="N147" s="286"/>
      <c r="O147" s="286"/>
      <c r="P147" s="286"/>
      <c r="Q147" s="286"/>
      <c r="R147" s="286"/>
      <c r="S147" s="286"/>
      <c r="T147" s="286"/>
      <c r="U147" s="286"/>
      <c r="V147" s="338">
        <f>SUM(V139:V146)</f>
        <v>19022</v>
      </c>
      <c r="W147" s="289"/>
      <c r="X147" s="5"/>
    </row>
    <row r="148" spans="1:25" ht="15.75" x14ac:dyDescent="0.25">
      <c r="A148" s="285"/>
      <c r="B148" s="314"/>
      <c r="C148" s="314"/>
      <c r="D148" s="314"/>
      <c r="E148" s="314"/>
      <c r="F148" s="314"/>
      <c r="G148" s="314"/>
      <c r="H148" s="314"/>
      <c r="I148" s="314"/>
      <c r="J148" s="314"/>
      <c r="K148" s="314"/>
      <c r="L148" s="314"/>
      <c r="M148" s="314"/>
      <c r="N148" s="314"/>
      <c r="O148" s="314"/>
      <c r="P148" s="314"/>
      <c r="Q148" s="314"/>
      <c r="R148" s="314"/>
      <c r="S148" s="314"/>
      <c r="T148" s="314"/>
      <c r="U148" s="314"/>
      <c r="V148" s="345"/>
      <c r="W148" s="318"/>
      <c r="X148" s="5"/>
    </row>
    <row r="149" spans="1:25" ht="15.75" x14ac:dyDescent="0.25">
      <c r="A149" s="285"/>
      <c r="B149" s="342" t="s">
        <v>269</v>
      </c>
      <c r="C149" s="314"/>
      <c r="D149" s="314"/>
      <c r="E149" s="314"/>
      <c r="F149" s="314"/>
      <c r="G149" s="314"/>
      <c r="H149" s="314"/>
      <c r="I149" s="314"/>
      <c r="J149" s="314"/>
      <c r="K149" s="314"/>
      <c r="L149" s="314"/>
      <c r="M149" s="314"/>
      <c r="N149" s="314"/>
      <c r="O149" s="314"/>
      <c r="P149" s="314"/>
      <c r="Q149" s="314"/>
      <c r="R149" s="314"/>
      <c r="S149" s="314"/>
      <c r="T149" s="314"/>
      <c r="U149" s="314"/>
      <c r="V149" s="345"/>
      <c r="W149" s="318"/>
      <c r="X149" s="5"/>
    </row>
    <row r="150" spans="1:25" ht="15.75" x14ac:dyDescent="0.25">
      <c r="A150" s="285"/>
      <c r="B150" s="286" t="s">
        <v>155</v>
      </c>
      <c r="C150" s="286"/>
      <c r="D150" s="286"/>
      <c r="E150" s="286"/>
      <c r="F150" s="286"/>
      <c r="G150" s="286"/>
      <c r="H150" s="286"/>
      <c r="I150" s="286"/>
      <c r="J150" s="286"/>
      <c r="K150" s="286"/>
      <c r="L150" s="286"/>
      <c r="M150" s="286"/>
      <c r="N150" s="286"/>
      <c r="O150" s="286"/>
      <c r="P150" s="286"/>
      <c r="Q150" s="286"/>
      <c r="R150" s="286"/>
      <c r="S150" s="286"/>
      <c r="T150" s="286"/>
      <c r="U150" s="286"/>
      <c r="V150" s="338">
        <v>0</v>
      </c>
      <c r="W150" s="289"/>
      <c r="X150" s="5"/>
    </row>
    <row r="151" spans="1:25" ht="15.75" x14ac:dyDescent="0.25">
      <c r="A151" s="285"/>
      <c r="B151" s="286" t="s">
        <v>172</v>
      </c>
      <c r="C151" s="286"/>
      <c r="D151" s="286"/>
      <c r="E151" s="286"/>
      <c r="F151" s="286"/>
      <c r="G151" s="286"/>
      <c r="H151" s="286"/>
      <c r="I151" s="286"/>
      <c r="J151" s="286"/>
      <c r="K151" s="286"/>
      <c r="L151" s="286"/>
      <c r="M151" s="286"/>
      <c r="N151" s="286"/>
      <c r="O151" s="286"/>
      <c r="P151" s="286"/>
      <c r="Q151" s="286"/>
      <c r="R151" s="286"/>
      <c r="S151" s="286"/>
      <c r="T151" s="286"/>
      <c r="U151" s="286"/>
      <c r="V151" s="338">
        <v>0</v>
      </c>
      <c r="W151" s="289"/>
      <c r="X151" s="5"/>
    </row>
    <row r="152" spans="1:25" ht="15.75" x14ac:dyDescent="0.25">
      <c r="A152" s="285"/>
      <c r="B152" s="286" t="s">
        <v>226</v>
      </c>
      <c r="C152" s="286"/>
      <c r="D152" s="286"/>
      <c r="E152" s="286"/>
      <c r="F152" s="286"/>
      <c r="G152" s="286"/>
      <c r="H152" s="286"/>
      <c r="I152" s="286"/>
      <c r="J152" s="286"/>
      <c r="K152" s="286"/>
      <c r="L152" s="286"/>
      <c r="M152" s="286"/>
      <c r="N152" s="286"/>
      <c r="O152" s="286"/>
      <c r="P152" s="286"/>
      <c r="Q152" s="286"/>
      <c r="R152" s="286"/>
      <c r="S152" s="286"/>
      <c r="T152" s="286"/>
      <c r="U152" s="286"/>
      <c r="V152" s="338">
        <v>0</v>
      </c>
      <c r="W152" s="289"/>
      <c r="X152" s="5"/>
    </row>
    <row r="153" spans="1:25" ht="15.75" x14ac:dyDescent="0.25">
      <c r="A153" s="285"/>
      <c r="B153" s="314"/>
      <c r="C153" s="314"/>
      <c r="D153" s="314"/>
      <c r="E153" s="314"/>
      <c r="F153" s="314"/>
      <c r="G153" s="314"/>
      <c r="H153" s="314"/>
      <c r="I153" s="314"/>
      <c r="J153" s="314"/>
      <c r="K153" s="314"/>
      <c r="L153" s="314"/>
      <c r="M153" s="314"/>
      <c r="N153" s="314"/>
      <c r="O153" s="314"/>
      <c r="P153" s="314"/>
      <c r="Q153" s="314"/>
      <c r="R153" s="314"/>
      <c r="S153" s="314"/>
      <c r="T153" s="314"/>
      <c r="U153" s="314"/>
      <c r="V153" s="345"/>
      <c r="W153" s="318"/>
      <c r="X153" s="5"/>
    </row>
    <row r="154" spans="1:25" ht="15.75" x14ac:dyDescent="0.25">
      <c r="A154" s="181"/>
      <c r="B154" s="212"/>
      <c r="C154" s="212"/>
      <c r="D154" s="212"/>
      <c r="E154" s="212"/>
      <c r="F154" s="212"/>
      <c r="G154" s="212"/>
      <c r="H154" s="212"/>
      <c r="I154" s="212"/>
      <c r="J154" s="212"/>
      <c r="K154" s="212"/>
      <c r="L154" s="212"/>
      <c r="M154" s="212"/>
      <c r="N154" s="212"/>
      <c r="O154" s="212"/>
      <c r="P154" s="212"/>
      <c r="Q154" s="212"/>
      <c r="R154" s="212"/>
      <c r="S154" s="212"/>
      <c r="T154" s="212"/>
      <c r="U154" s="212"/>
      <c r="V154" s="344"/>
      <c r="W154" s="212"/>
      <c r="X154" s="5"/>
    </row>
    <row r="155" spans="1:25" ht="15.75" x14ac:dyDescent="0.25">
      <c r="A155" s="181"/>
      <c r="B155" s="210" t="s">
        <v>24</v>
      </c>
      <c r="C155" s="183"/>
      <c r="D155" s="183"/>
      <c r="E155" s="183"/>
      <c r="F155" s="183"/>
      <c r="G155" s="183"/>
      <c r="H155" s="183"/>
      <c r="I155" s="183"/>
      <c r="J155" s="183"/>
      <c r="K155" s="183"/>
      <c r="L155" s="183"/>
      <c r="M155" s="183"/>
      <c r="N155" s="183"/>
      <c r="O155" s="183"/>
      <c r="P155" s="183"/>
      <c r="Q155" s="183"/>
      <c r="R155" s="183"/>
      <c r="S155" s="183"/>
      <c r="T155" s="183"/>
      <c r="U155" s="183"/>
      <c r="V155" s="202"/>
      <c r="W155" s="183"/>
      <c r="X155" s="5"/>
    </row>
    <row r="156" spans="1:25" ht="15.75" x14ac:dyDescent="0.25">
      <c r="A156" s="285"/>
      <c r="B156" s="286" t="s">
        <v>47</v>
      </c>
      <c r="C156" s="286"/>
      <c r="D156" s="286"/>
      <c r="E156" s="286"/>
      <c r="F156" s="286"/>
      <c r="G156" s="286"/>
      <c r="H156" s="286"/>
      <c r="I156" s="286"/>
      <c r="J156" s="286"/>
      <c r="K156" s="286"/>
      <c r="L156" s="286"/>
      <c r="M156" s="286"/>
      <c r="N156" s="286"/>
      <c r="O156" s="286"/>
      <c r="P156" s="286"/>
      <c r="Q156" s="286"/>
      <c r="R156" s="286"/>
      <c r="S156" s="286"/>
      <c r="T156" s="286"/>
      <c r="U156" s="286"/>
      <c r="V156" s="343" t="s">
        <v>118</v>
      </c>
      <c r="W156" s="318"/>
      <c r="X156" s="5"/>
    </row>
    <row r="157" spans="1:25" ht="15.75" x14ac:dyDescent="0.25">
      <c r="A157" s="285"/>
      <c r="B157" s="286" t="s">
        <v>48</v>
      </c>
      <c r="C157" s="288"/>
      <c r="D157" s="288"/>
      <c r="E157" s="288"/>
      <c r="F157" s="288"/>
      <c r="G157" s="288"/>
      <c r="H157" s="288"/>
      <c r="I157" s="288"/>
      <c r="J157" s="288"/>
      <c r="K157" s="288"/>
      <c r="L157" s="288"/>
      <c r="M157" s="288"/>
      <c r="N157" s="288"/>
      <c r="O157" s="288"/>
      <c r="P157" s="288"/>
      <c r="Q157" s="288"/>
      <c r="R157" s="288"/>
      <c r="S157" s="288"/>
      <c r="T157" s="288"/>
      <c r="U157" s="288"/>
      <c r="V157" s="343" t="s">
        <v>118</v>
      </c>
      <c r="W157" s="318"/>
      <c r="X157" s="5"/>
    </row>
    <row r="158" spans="1:25" ht="15.75" x14ac:dyDescent="0.25">
      <c r="A158" s="285"/>
      <c r="B158" s="286" t="s">
        <v>49</v>
      </c>
      <c r="C158" s="286"/>
      <c r="D158" s="286"/>
      <c r="E158" s="286"/>
      <c r="F158" s="286"/>
      <c r="G158" s="286"/>
      <c r="H158" s="286"/>
      <c r="I158" s="286"/>
      <c r="J158" s="286"/>
      <c r="K158" s="286"/>
      <c r="L158" s="286"/>
      <c r="M158" s="286"/>
      <c r="N158" s="286"/>
      <c r="O158" s="286"/>
      <c r="P158" s="286"/>
      <c r="Q158" s="286"/>
      <c r="R158" s="286"/>
      <c r="S158" s="286"/>
      <c r="T158" s="286"/>
      <c r="U158" s="286"/>
      <c r="V158" s="343" t="s">
        <v>118</v>
      </c>
      <c r="W158" s="318"/>
      <c r="X158" s="5"/>
    </row>
    <row r="159" spans="1:25" ht="15.75" x14ac:dyDescent="0.25">
      <c r="A159" s="285"/>
      <c r="B159" s="286" t="s">
        <v>50</v>
      </c>
      <c r="C159" s="286"/>
      <c r="D159" s="286"/>
      <c r="E159" s="286"/>
      <c r="F159" s="286"/>
      <c r="G159" s="286"/>
      <c r="H159" s="286"/>
      <c r="I159" s="286"/>
      <c r="J159" s="286"/>
      <c r="K159" s="286"/>
      <c r="L159" s="286"/>
      <c r="M159" s="286"/>
      <c r="N159" s="286"/>
      <c r="O159" s="286"/>
      <c r="P159" s="286"/>
      <c r="Q159" s="286"/>
      <c r="R159" s="286"/>
      <c r="S159" s="286"/>
      <c r="T159" s="286"/>
      <c r="U159" s="286"/>
      <c r="V159" s="343" t="s">
        <v>118</v>
      </c>
      <c r="W159" s="318"/>
      <c r="X159" s="5"/>
    </row>
    <row r="160" spans="1:25" ht="15.75" x14ac:dyDescent="0.25">
      <c r="A160" s="181"/>
      <c r="B160" s="212"/>
      <c r="C160" s="212"/>
      <c r="D160" s="212"/>
      <c r="E160" s="212"/>
      <c r="F160" s="212"/>
      <c r="G160" s="212"/>
      <c r="H160" s="212"/>
      <c r="I160" s="212"/>
      <c r="J160" s="212"/>
      <c r="K160" s="212"/>
      <c r="L160" s="212"/>
      <c r="M160" s="212"/>
      <c r="N160" s="212"/>
      <c r="O160" s="212"/>
      <c r="P160" s="212"/>
      <c r="Q160" s="212"/>
      <c r="R160" s="212"/>
      <c r="S160" s="212"/>
      <c r="T160" s="212"/>
      <c r="U160" s="212"/>
      <c r="V160" s="344"/>
      <c r="W160" s="212"/>
      <c r="X160" s="5"/>
    </row>
    <row r="161" spans="1:256" ht="15.75" x14ac:dyDescent="0.25">
      <c r="A161" s="181"/>
      <c r="B161" s="210" t="s">
        <v>51</v>
      </c>
      <c r="C161" s="183"/>
      <c r="D161" s="183"/>
      <c r="E161" s="183"/>
      <c r="F161" s="183"/>
      <c r="G161" s="183"/>
      <c r="H161" s="183"/>
      <c r="I161" s="183"/>
      <c r="J161" s="183"/>
      <c r="K161" s="183"/>
      <c r="L161" s="183"/>
      <c r="M161" s="183"/>
      <c r="N161" s="183"/>
      <c r="O161" s="183"/>
      <c r="P161" s="183"/>
      <c r="Q161" s="183"/>
      <c r="R161" s="183"/>
      <c r="S161" s="183"/>
      <c r="T161" s="183"/>
      <c r="U161" s="183"/>
      <c r="V161" s="211"/>
      <c r="W161" s="183"/>
      <c r="X161" s="5"/>
    </row>
    <row r="162" spans="1:256" ht="15.75" x14ac:dyDescent="0.25">
      <c r="A162" s="285"/>
      <c r="B162" s="286" t="s">
        <v>52</v>
      </c>
      <c r="C162" s="286"/>
      <c r="D162" s="286"/>
      <c r="E162" s="286"/>
      <c r="F162" s="286"/>
      <c r="G162" s="286"/>
      <c r="H162" s="286"/>
      <c r="I162" s="286"/>
      <c r="J162" s="286"/>
      <c r="K162" s="286"/>
      <c r="L162" s="286"/>
      <c r="M162" s="286"/>
      <c r="N162" s="286"/>
      <c r="O162" s="286"/>
      <c r="P162" s="286"/>
      <c r="Q162" s="286"/>
      <c r="R162" s="286"/>
      <c r="S162" s="286"/>
      <c r="T162" s="286"/>
      <c r="U162" s="286"/>
      <c r="V162" s="338">
        <v>0</v>
      </c>
      <c r="W162" s="289"/>
      <c r="X162" s="5"/>
    </row>
    <row r="163" spans="1:256" ht="15.75" x14ac:dyDescent="0.25">
      <c r="A163" s="285"/>
      <c r="B163" s="286" t="s">
        <v>53</v>
      </c>
      <c r="C163" s="286"/>
      <c r="D163" s="286"/>
      <c r="E163" s="286"/>
      <c r="F163" s="286"/>
      <c r="G163" s="286"/>
      <c r="H163" s="286"/>
      <c r="I163" s="286"/>
      <c r="J163" s="286"/>
      <c r="K163" s="286"/>
      <c r="L163" s="286"/>
      <c r="M163" s="286"/>
      <c r="N163" s="286"/>
      <c r="O163" s="286"/>
      <c r="P163" s="286"/>
      <c r="Q163" s="286"/>
      <c r="R163" s="286"/>
      <c r="S163" s="286"/>
      <c r="T163" s="286"/>
      <c r="U163" s="286"/>
      <c r="V163" s="338">
        <v>541</v>
      </c>
      <c r="W163" s="289"/>
      <c r="X163" s="5"/>
    </row>
    <row r="164" spans="1:256" ht="15.75" x14ac:dyDescent="0.25">
      <c r="A164" s="285"/>
      <c r="B164" s="286" t="s">
        <v>54</v>
      </c>
      <c r="C164" s="286"/>
      <c r="D164" s="286"/>
      <c r="E164" s="286"/>
      <c r="F164" s="286"/>
      <c r="G164" s="286"/>
      <c r="H164" s="286"/>
      <c r="I164" s="286"/>
      <c r="J164" s="286"/>
      <c r="K164" s="286"/>
      <c r="L164" s="286"/>
      <c r="M164" s="286"/>
      <c r="N164" s="286"/>
      <c r="O164" s="286"/>
      <c r="P164" s="286"/>
      <c r="Q164" s="286"/>
      <c r="R164" s="286"/>
      <c r="S164" s="286"/>
      <c r="T164" s="286"/>
      <c r="U164" s="286"/>
      <c r="V164" s="338">
        <f>V163+V162</f>
        <v>541</v>
      </c>
      <c r="W164" s="289"/>
      <c r="X164" s="5"/>
    </row>
    <row r="165" spans="1:256" ht="15.75" x14ac:dyDescent="0.25">
      <c r="A165" s="285"/>
      <c r="B165" s="286" t="s">
        <v>303</v>
      </c>
      <c r="C165" s="286"/>
      <c r="D165" s="286"/>
      <c r="E165" s="286"/>
      <c r="F165" s="286"/>
      <c r="G165" s="286"/>
      <c r="H165" s="286"/>
      <c r="I165" s="286"/>
      <c r="J165" s="286"/>
      <c r="K165" s="286"/>
      <c r="L165" s="286"/>
      <c r="M165" s="286"/>
      <c r="N165" s="286"/>
      <c r="O165" s="286"/>
      <c r="P165" s="286"/>
      <c r="Q165" s="286"/>
      <c r="R165" s="286"/>
      <c r="S165" s="286"/>
      <c r="T165" s="286"/>
      <c r="U165" s="286"/>
      <c r="V165" s="338">
        <f>V113</f>
        <v>-541</v>
      </c>
      <c r="W165" s="289"/>
      <c r="X165" s="5"/>
    </row>
    <row r="166" spans="1:256" ht="15.75" x14ac:dyDescent="0.25">
      <c r="A166" s="285"/>
      <c r="B166" s="286" t="s">
        <v>55</v>
      </c>
      <c r="C166" s="286"/>
      <c r="D166" s="286"/>
      <c r="E166" s="286"/>
      <c r="F166" s="286"/>
      <c r="G166" s="286"/>
      <c r="H166" s="286"/>
      <c r="I166" s="286"/>
      <c r="J166" s="286"/>
      <c r="K166" s="286"/>
      <c r="L166" s="286"/>
      <c r="M166" s="286"/>
      <c r="N166" s="286"/>
      <c r="O166" s="286"/>
      <c r="P166" s="286"/>
      <c r="Q166" s="286"/>
      <c r="R166" s="286"/>
      <c r="S166" s="286"/>
      <c r="T166" s="286"/>
      <c r="U166" s="286"/>
      <c r="V166" s="338">
        <f>V164+V165</f>
        <v>0</v>
      </c>
      <c r="W166" s="289"/>
      <c r="X166" s="5"/>
    </row>
    <row r="167" spans="1:256" ht="15.75" x14ac:dyDescent="0.25">
      <c r="A167" s="285"/>
      <c r="B167" s="286" t="s">
        <v>274</v>
      </c>
      <c r="C167" s="286"/>
      <c r="D167" s="286"/>
      <c r="E167" s="286"/>
      <c r="F167" s="286"/>
      <c r="G167" s="286"/>
      <c r="H167" s="286"/>
      <c r="I167" s="286"/>
      <c r="J167" s="286"/>
      <c r="K167" s="286"/>
      <c r="L167" s="286"/>
      <c r="M167" s="286"/>
      <c r="N167" s="286"/>
      <c r="O167" s="286"/>
      <c r="P167" s="286"/>
      <c r="Q167" s="286"/>
      <c r="R167" s="286"/>
      <c r="S167" s="286"/>
      <c r="T167" s="286"/>
      <c r="U167" s="286"/>
      <c r="V167" s="338">
        <v>0</v>
      </c>
      <c r="W167" s="289"/>
      <c r="X167" s="5"/>
    </row>
    <row r="168" spans="1:256" ht="16.5" thickBot="1" x14ac:dyDescent="0.3">
      <c r="A168" s="181"/>
      <c r="B168" s="212"/>
      <c r="C168" s="212"/>
      <c r="D168" s="212"/>
      <c r="E168" s="212"/>
      <c r="F168" s="212"/>
      <c r="G168" s="212"/>
      <c r="H168" s="212"/>
      <c r="I168" s="212"/>
      <c r="J168" s="212"/>
      <c r="K168" s="212"/>
      <c r="L168" s="212"/>
      <c r="M168" s="212"/>
      <c r="N168" s="212"/>
      <c r="O168" s="212"/>
      <c r="P168" s="212"/>
      <c r="Q168" s="212"/>
      <c r="R168" s="212"/>
      <c r="S168" s="212"/>
      <c r="T168" s="212"/>
      <c r="U168" s="212"/>
      <c r="V168" s="344"/>
      <c r="W168" s="212"/>
      <c r="X168" s="5"/>
    </row>
    <row r="169" spans="1:256" ht="15.75" x14ac:dyDescent="0.25">
      <c r="A169" s="179"/>
      <c r="B169" s="180"/>
      <c r="C169" s="180"/>
      <c r="D169" s="180"/>
      <c r="E169" s="180"/>
      <c r="F169" s="180"/>
      <c r="G169" s="180"/>
      <c r="H169" s="180"/>
      <c r="I169" s="180"/>
      <c r="J169" s="180"/>
      <c r="K169" s="180"/>
      <c r="L169" s="180"/>
      <c r="M169" s="180"/>
      <c r="N169" s="180"/>
      <c r="O169" s="180"/>
      <c r="P169" s="180"/>
      <c r="Q169" s="180"/>
      <c r="R169" s="180"/>
      <c r="S169" s="180"/>
      <c r="T169" s="180"/>
      <c r="U169" s="180"/>
      <c r="V169" s="201"/>
      <c r="W169" s="180"/>
      <c r="X169" s="5"/>
    </row>
    <row r="170" spans="1:256" s="158" customFormat="1" ht="15.75" x14ac:dyDescent="0.25">
      <c r="A170" s="181"/>
      <c r="B170" s="210" t="s">
        <v>230</v>
      </c>
      <c r="C170" s="212"/>
      <c r="D170" s="212"/>
      <c r="E170" s="212"/>
      <c r="F170" s="212"/>
      <c r="G170" s="212"/>
      <c r="H170" s="212"/>
      <c r="I170" s="212"/>
      <c r="J170" s="212"/>
      <c r="K170" s="212"/>
      <c r="L170" s="212"/>
      <c r="M170" s="212"/>
      <c r="N170" s="212"/>
      <c r="O170" s="212"/>
      <c r="P170" s="212"/>
      <c r="Q170" s="212"/>
      <c r="R170" s="212"/>
      <c r="S170" s="212"/>
      <c r="T170" s="212"/>
      <c r="U170" s="212"/>
      <c r="V170" s="213"/>
      <c r="W170" s="212"/>
      <c r="X170" s="5"/>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s="160" customFormat="1" ht="15.75" x14ac:dyDescent="0.25">
      <c r="A171" s="285"/>
      <c r="B171" s="286" t="s">
        <v>231</v>
      </c>
      <c r="C171" s="286"/>
      <c r="D171" s="286"/>
      <c r="E171" s="286"/>
      <c r="F171" s="286"/>
      <c r="G171" s="286"/>
      <c r="H171" s="286"/>
      <c r="I171" s="286"/>
      <c r="J171" s="286"/>
      <c r="K171" s="286"/>
      <c r="L171" s="286"/>
      <c r="M171" s="286"/>
      <c r="N171" s="286"/>
      <c r="O171" s="286"/>
      <c r="P171" s="286"/>
      <c r="Q171" s="286"/>
      <c r="R171" s="286"/>
      <c r="S171" s="286"/>
      <c r="T171" s="286"/>
      <c r="U171" s="286"/>
      <c r="V171" s="338">
        <f>+'Aug 08'!V173</f>
        <v>0</v>
      </c>
      <c r="W171" s="289"/>
      <c r="X171" s="5"/>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s="160" customFormat="1" ht="15.75" x14ac:dyDescent="0.25">
      <c r="A172" s="285"/>
      <c r="B172" s="286" t="s">
        <v>234</v>
      </c>
      <c r="C172" s="286"/>
      <c r="D172" s="286"/>
      <c r="E172" s="286"/>
      <c r="F172" s="286"/>
      <c r="G172" s="286"/>
      <c r="H172" s="286"/>
      <c r="I172" s="286"/>
      <c r="J172" s="286"/>
      <c r="K172" s="286"/>
      <c r="L172" s="286"/>
      <c r="M172" s="286"/>
      <c r="N172" s="286"/>
      <c r="O172" s="286"/>
      <c r="P172" s="286"/>
      <c r="Q172" s="286"/>
      <c r="R172" s="286"/>
      <c r="S172" s="286"/>
      <c r="T172" s="286"/>
      <c r="U172" s="286"/>
      <c r="V172" s="338">
        <f>+V94</f>
        <v>0</v>
      </c>
      <c r="W172" s="289"/>
      <c r="X172" s="5"/>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s="160" customFormat="1" ht="15.75" x14ac:dyDescent="0.25">
      <c r="A173" s="285"/>
      <c r="B173" s="286" t="s">
        <v>232</v>
      </c>
      <c r="C173" s="286"/>
      <c r="D173" s="286"/>
      <c r="E173" s="286"/>
      <c r="F173" s="286"/>
      <c r="G173" s="286"/>
      <c r="H173" s="286"/>
      <c r="I173" s="286"/>
      <c r="J173" s="286"/>
      <c r="K173" s="286"/>
      <c r="L173" s="286"/>
      <c r="M173" s="286"/>
      <c r="N173" s="286"/>
      <c r="O173" s="286"/>
      <c r="P173" s="286"/>
      <c r="Q173" s="286"/>
      <c r="R173" s="286"/>
      <c r="S173" s="286"/>
      <c r="T173" s="286"/>
      <c r="U173" s="286"/>
      <c r="V173" s="338">
        <f>+V171-V172</f>
        <v>0</v>
      </c>
      <c r="W173" s="289"/>
      <c r="X173" s="5"/>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s="163" customFormat="1" ht="16.5" thickBot="1" x14ac:dyDescent="0.3">
      <c r="A174" s="197"/>
      <c r="B174" s="212"/>
      <c r="C174" s="212"/>
      <c r="D174" s="212"/>
      <c r="E174" s="212"/>
      <c r="F174" s="212"/>
      <c r="G174" s="212"/>
      <c r="H174" s="212"/>
      <c r="I174" s="212"/>
      <c r="J174" s="212"/>
      <c r="K174" s="212"/>
      <c r="L174" s="212"/>
      <c r="M174" s="212"/>
      <c r="N174" s="212"/>
      <c r="O174" s="212"/>
      <c r="P174" s="212"/>
      <c r="Q174" s="212"/>
      <c r="R174" s="212"/>
      <c r="S174" s="212"/>
      <c r="T174" s="212"/>
      <c r="U174" s="212"/>
      <c r="V174" s="344"/>
      <c r="W174" s="212"/>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4" customFormat="1" ht="15.75" x14ac:dyDescent="0.25">
      <c r="A175" s="179"/>
      <c r="B175" s="180"/>
      <c r="C175" s="180"/>
      <c r="D175" s="180"/>
      <c r="E175" s="180"/>
      <c r="F175" s="180"/>
      <c r="G175" s="180"/>
      <c r="H175" s="180"/>
      <c r="I175" s="180"/>
      <c r="J175" s="180"/>
      <c r="K175" s="180"/>
      <c r="L175" s="180"/>
      <c r="M175" s="180"/>
      <c r="N175" s="180"/>
      <c r="O175" s="180"/>
      <c r="P175" s="180"/>
      <c r="Q175" s="180"/>
      <c r="R175" s="180"/>
      <c r="S175" s="180"/>
      <c r="T175" s="180"/>
      <c r="U175" s="180"/>
      <c r="V175" s="201"/>
      <c r="W175" s="180"/>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ht="15.75" x14ac:dyDescent="0.25">
      <c r="A176" s="181"/>
      <c r="B176" s="210" t="s">
        <v>56</v>
      </c>
      <c r="C176" s="183"/>
      <c r="D176" s="183"/>
      <c r="E176" s="183"/>
      <c r="F176" s="183"/>
      <c r="G176" s="183"/>
      <c r="H176" s="183"/>
      <c r="I176" s="183"/>
      <c r="J176" s="183"/>
      <c r="K176" s="183"/>
      <c r="L176" s="183"/>
      <c r="M176" s="183"/>
      <c r="N176" s="183"/>
      <c r="O176" s="183"/>
      <c r="P176" s="183"/>
      <c r="Q176" s="183"/>
      <c r="R176" s="183"/>
      <c r="S176" s="183"/>
      <c r="T176" s="183"/>
      <c r="U176" s="183"/>
      <c r="V176" s="202"/>
      <c r="W176" s="183"/>
      <c r="X176" s="5"/>
    </row>
    <row r="177" spans="1:24" ht="15.75" x14ac:dyDescent="0.25">
      <c r="A177" s="181"/>
      <c r="B177" s="191"/>
      <c r="C177" s="183"/>
      <c r="D177" s="183"/>
      <c r="E177" s="183"/>
      <c r="F177" s="183"/>
      <c r="G177" s="183"/>
      <c r="H177" s="183"/>
      <c r="I177" s="183"/>
      <c r="J177" s="183"/>
      <c r="K177" s="183"/>
      <c r="L177" s="183"/>
      <c r="M177" s="183"/>
      <c r="N177" s="183"/>
      <c r="O177" s="183"/>
      <c r="P177" s="183"/>
      <c r="Q177" s="183"/>
      <c r="R177" s="183"/>
      <c r="S177" s="183"/>
      <c r="T177" s="183"/>
      <c r="U177" s="183"/>
      <c r="V177" s="202"/>
      <c r="W177" s="183"/>
      <c r="X177" s="5"/>
    </row>
    <row r="178" spans="1:24" ht="15.75" x14ac:dyDescent="0.25">
      <c r="A178" s="285"/>
      <c r="B178" s="286" t="s">
        <v>57</v>
      </c>
      <c r="C178" s="286"/>
      <c r="D178" s="286"/>
      <c r="E178" s="286"/>
      <c r="F178" s="286"/>
      <c r="G178" s="286"/>
      <c r="H178" s="286"/>
      <c r="I178" s="286"/>
      <c r="J178" s="286"/>
      <c r="K178" s="286"/>
      <c r="L178" s="286"/>
      <c r="M178" s="286"/>
      <c r="N178" s="286"/>
      <c r="O178" s="286"/>
      <c r="P178" s="286"/>
      <c r="Q178" s="286"/>
      <c r="R178" s="286"/>
      <c r="S178" s="286"/>
      <c r="T178" s="286"/>
      <c r="U178" s="286"/>
      <c r="V178" s="338">
        <f>V71</f>
        <v>818565</v>
      </c>
      <c r="W178" s="289"/>
      <c r="X178" s="5"/>
    </row>
    <row r="179" spans="1:24" ht="15.75" x14ac:dyDescent="0.25">
      <c r="A179" s="285"/>
      <c r="B179" s="286" t="s">
        <v>58</v>
      </c>
      <c r="C179" s="286"/>
      <c r="D179" s="286"/>
      <c r="E179" s="286"/>
      <c r="F179" s="286"/>
      <c r="G179" s="286"/>
      <c r="H179" s="286"/>
      <c r="I179" s="286"/>
      <c r="J179" s="286"/>
      <c r="K179" s="286"/>
      <c r="L179" s="286"/>
      <c r="M179" s="286"/>
      <c r="N179" s="286"/>
      <c r="O179" s="286"/>
      <c r="P179" s="286"/>
      <c r="Q179" s="286"/>
      <c r="R179" s="286"/>
      <c r="S179" s="286"/>
      <c r="T179" s="286"/>
      <c r="U179" s="286"/>
      <c r="V179" s="338">
        <f>V84</f>
        <v>818565</v>
      </c>
      <c r="W179" s="289"/>
      <c r="X179" s="5"/>
    </row>
    <row r="180" spans="1:24" ht="16.5" thickBot="1" x14ac:dyDescent="0.3">
      <c r="A180" s="181"/>
      <c r="B180" s="212"/>
      <c r="C180" s="212"/>
      <c r="D180" s="212"/>
      <c r="E180" s="212"/>
      <c r="F180" s="212"/>
      <c r="G180" s="212"/>
      <c r="H180" s="212"/>
      <c r="I180" s="212"/>
      <c r="J180" s="212"/>
      <c r="K180" s="212"/>
      <c r="L180" s="212"/>
      <c r="M180" s="212"/>
      <c r="N180" s="212"/>
      <c r="O180" s="212"/>
      <c r="P180" s="212"/>
      <c r="Q180" s="212"/>
      <c r="R180" s="212"/>
      <c r="S180" s="212"/>
      <c r="T180" s="212"/>
      <c r="U180" s="212"/>
      <c r="V180" s="344"/>
      <c r="W180" s="212"/>
      <c r="X180" s="5"/>
    </row>
    <row r="181" spans="1:24" ht="15.75" x14ac:dyDescent="0.25">
      <c r="A181" s="179"/>
      <c r="B181" s="180"/>
      <c r="C181" s="180"/>
      <c r="D181" s="180"/>
      <c r="E181" s="180"/>
      <c r="F181" s="180"/>
      <c r="G181" s="180"/>
      <c r="H181" s="180"/>
      <c r="I181" s="180"/>
      <c r="J181" s="180"/>
      <c r="K181" s="180"/>
      <c r="L181" s="180"/>
      <c r="M181" s="180"/>
      <c r="N181" s="180"/>
      <c r="O181" s="180"/>
      <c r="P181" s="180"/>
      <c r="Q181" s="180"/>
      <c r="R181" s="180"/>
      <c r="S181" s="180"/>
      <c r="T181" s="180"/>
      <c r="U181" s="180"/>
      <c r="V181" s="201"/>
      <c r="W181" s="180"/>
      <c r="X181" s="5"/>
    </row>
    <row r="182" spans="1:24" ht="15.75" x14ac:dyDescent="0.25">
      <c r="A182" s="181"/>
      <c r="B182" s="210" t="s">
        <v>59</v>
      </c>
      <c r="C182" s="206"/>
      <c r="D182" s="206"/>
      <c r="E182" s="206"/>
      <c r="F182" s="206"/>
      <c r="G182" s="206"/>
      <c r="H182" s="214"/>
      <c r="I182" s="214"/>
      <c r="J182" s="214"/>
      <c r="K182" s="214"/>
      <c r="L182" s="214"/>
      <c r="M182" s="214"/>
      <c r="N182" s="214"/>
      <c r="O182" s="214"/>
      <c r="P182" s="214"/>
      <c r="Q182" s="214"/>
      <c r="R182" s="214"/>
      <c r="S182" s="214" t="s">
        <v>101</v>
      </c>
      <c r="T182" s="214" t="s">
        <v>176</v>
      </c>
      <c r="U182" s="185"/>
      <c r="V182" s="215" t="s">
        <v>114</v>
      </c>
      <c r="W182" s="216"/>
      <c r="X182" s="5"/>
    </row>
    <row r="183" spans="1:24" ht="15.75" x14ac:dyDescent="0.25">
      <c r="A183" s="285"/>
      <c r="B183" s="286" t="s">
        <v>60</v>
      </c>
      <c r="C183" s="286"/>
      <c r="D183" s="286"/>
      <c r="E183" s="286"/>
      <c r="F183" s="286"/>
      <c r="G183" s="286"/>
      <c r="H183" s="286"/>
      <c r="I183" s="286"/>
      <c r="J183" s="286"/>
      <c r="K183" s="286"/>
      <c r="L183" s="286"/>
      <c r="M183" s="286"/>
      <c r="N183" s="286"/>
      <c r="O183" s="286"/>
      <c r="P183" s="286"/>
      <c r="Q183" s="286"/>
      <c r="R183" s="286"/>
      <c r="S183" s="338">
        <f>+V34*0.16</f>
        <v>160181.28</v>
      </c>
      <c r="T183" s="325"/>
      <c r="U183" s="286"/>
      <c r="V183" s="338"/>
      <c r="W183" s="289"/>
      <c r="X183" s="5"/>
    </row>
    <row r="184" spans="1:24" ht="15.75" x14ac:dyDescent="0.25">
      <c r="A184" s="285"/>
      <c r="B184" s="286" t="s">
        <v>61</v>
      </c>
      <c r="C184" s="286"/>
      <c r="D184" s="286"/>
      <c r="E184" s="286"/>
      <c r="F184" s="286"/>
      <c r="G184" s="286"/>
      <c r="H184" s="286"/>
      <c r="I184" s="286"/>
      <c r="J184" s="286"/>
      <c r="K184" s="286"/>
      <c r="L184" s="286"/>
      <c r="M184" s="286"/>
      <c r="N184" s="286"/>
      <c r="O184" s="286"/>
      <c r="P184" s="286"/>
      <c r="Q184" s="286"/>
      <c r="R184" s="286"/>
      <c r="S184" s="338">
        <f>+'May 12'!S186</f>
        <v>10742</v>
      </c>
      <c r="T184" s="338">
        <f>+'May 12'!T186</f>
        <v>6090</v>
      </c>
      <c r="U184" s="286"/>
      <c r="V184" s="338">
        <f>S184+T184</f>
        <v>16832</v>
      </c>
      <c r="W184" s="289"/>
      <c r="X184" s="5"/>
    </row>
    <row r="185" spans="1:24" ht="15.75" x14ac:dyDescent="0.25">
      <c r="A185" s="285"/>
      <c r="B185" s="286" t="s">
        <v>62</v>
      </c>
      <c r="C185" s="286"/>
      <c r="D185" s="286"/>
      <c r="E185" s="286"/>
      <c r="F185" s="286"/>
      <c r="G185" s="286"/>
      <c r="H185" s="286"/>
      <c r="I185" s="286"/>
      <c r="J185" s="286"/>
      <c r="K185" s="286"/>
      <c r="L185" s="286"/>
      <c r="M185" s="286"/>
      <c r="N185" s="286"/>
      <c r="O185" s="286"/>
      <c r="P185" s="286"/>
      <c r="Q185" s="286"/>
      <c r="R185" s="286"/>
      <c r="S185" s="337">
        <v>0</v>
      </c>
      <c r="T185" s="337">
        <v>0</v>
      </c>
      <c r="U185" s="286"/>
      <c r="V185" s="338">
        <f>S185+T185</f>
        <v>0</v>
      </c>
      <c r="W185" s="289"/>
      <c r="X185" s="5"/>
    </row>
    <row r="186" spans="1:24" ht="15.75" x14ac:dyDescent="0.25">
      <c r="A186" s="285"/>
      <c r="B186" s="286" t="s">
        <v>63</v>
      </c>
      <c r="C186" s="286"/>
      <c r="D186" s="286"/>
      <c r="E186" s="286"/>
      <c r="F186" s="286"/>
      <c r="G186" s="286"/>
      <c r="H186" s="286"/>
      <c r="I186" s="286"/>
      <c r="J186" s="286"/>
      <c r="K186" s="286"/>
      <c r="L186" s="286"/>
      <c r="M186" s="286"/>
      <c r="N186" s="286"/>
      <c r="O186" s="286"/>
      <c r="P186" s="286"/>
      <c r="Q186" s="286"/>
      <c r="R186" s="286"/>
      <c r="S186" s="338">
        <f>S184+S185</f>
        <v>10742</v>
      </c>
      <c r="T186" s="338">
        <f>T185+T184</f>
        <v>6090</v>
      </c>
      <c r="U186" s="286"/>
      <c r="V186" s="338">
        <f>S186+T186</f>
        <v>16832</v>
      </c>
      <c r="W186" s="289"/>
      <c r="X186" s="5"/>
    </row>
    <row r="187" spans="1:24" ht="15.75" x14ac:dyDescent="0.25">
      <c r="A187" s="285"/>
      <c r="B187" s="286" t="s">
        <v>64</v>
      </c>
      <c r="C187" s="286"/>
      <c r="D187" s="286"/>
      <c r="E187" s="286"/>
      <c r="F187" s="286"/>
      <c r="G187" s="286"/>
      <c r="H187" s="286"/>
      <c r="I187" s="286"/>
      <c r="J187" s="286"/>
      <c r="K187" s="286"/>
      <c r="L187" s="286"/>
      <c r="M187" s="286"/>
      <c r="N187" s="286"/>
      <c r="O187" s="286"/>
      <c r="P187" s="286"/>
      <c r="Q187" s="286"/>
      <c r="R187" s="286"/>
      <c r="S187" s="338">
        <f>S183-S186-T186</f>
        <v>143349.28</v>
      </c>
      <c r="T187" s="325"/>
      <c r="U187" s="286"/>
      <c r="V187" s="338"/>
      <c r="W187" s="289"/>
      <c r="X187" s="5"/>
    </row>
    <row r="188" spans="1:24" ht="16.5" thickBot="1" x14ac:dyDescent="0.3">
      <c r="A188" s="181"/>
      <c r="B188" s="212"/>
      <c r="C188" s="212"/>
      <c r="D188" s="212"/>
      <c r="E188" s="212"/>
      <c r="F188" s="212"/>
      <c r="G188" s="212"/>
      <c r="H188" s="212"/>
      <c r="I188" s="212"/>
      <c r="J188" s="212"/>
      <c r="K188" s="212"/>
      <c r="L188" s="212"/>
      <c r="M188" s="212"/>
      <c r="N188" s="212"/>
      <c r="O188" s="212"/>
      <c r="P188" s="212"/>
      <c r="Q188" s="212"/>
      <c r="R188" s="212"/>
      <c r="S188" s="212"/>
      <c r="T188" s="212"/>
      <c r="U188" s="212"/>
      <c r="V188" s="344"/>
      <c r="W188" s="212"/>
      <c r="X188" s="5"/>
    </row>
    <row r="189" spans="1:24" ht="15.75" x14ac:dyDescent="0.25">
      <c r="A189" s="179"/>
      <c r="B189" s="180"/>
      <c r="C189" s="180"/>
      <c r="D189" s="180"/>
      <c r="E189" s="180"/>
      <c r="F189" s="180"/>
      <c r="G189" s="180"/>
      <c r="H189" s="180"/>
      <c r="I189" s="180"/>
      <c r="J189" s="180"/>
      <c r="K189" s="180"/>
      <c r="L189" s="180"/>
      <c r="M189" s="180"/>
      <c r="N189" s="180"/>
      <c r="O189" s="180"/>
      <c r="P189" s="180"/>
      <c r="Q189" s="180"/>
      <c r="R189" s="180"/>
      <c r="S189" s="180"/>
      <c r="T189" s="180"/>
      <c r="U189" s="180"/>
      <c r="V189" s="201"/>
      <c r="W189" s="180"/>
      <c r="X189" s="5"/>
    </row>
    <row r="190" spans="1:24" ht="15.75" x14ac:dyDescent="0.25">
      <c r="A190" s="181"/>
      <c r="B190" s="210" t="s">
        <v>65</v>
      </c>
      <c r="C190" s="183"/>
      <c r="D190" s="183"/>
      <c r="E190" s="183"/>
      <c r="F190" s="183"/>
      <c r="G190" s="183"/>
      <c r="H190" s="183"/>
      <c r="I190" s="183"/>
      <c r="J190" s="183"/>
      <c r="K190" s="183"/>
      <c r="L190" s="183"/>
      <c r="M190" s="183"/>
      <c r="N190" s="183"/>
      <c r="O190" s="183"/>
      <c r="P190" s="183"/>
      <c r="Q190" s="183"/>
      <c r="R190" s="183"/>
      <c r="S190" s="183"/>
      <c r="T190" s="183"/>
      <c r="U190" s="183"/>
      <c r="V190" s="217"/>
      <c r="W190" s="183"/>
      <c r="X190" s="5"/>
    </row>
    <row r="191" spans="1:24" ht="15.75" x14ac:dyDescent="0.25">
      <c r="A191" s="285"/>
      <c r="B191" s="286" t="s">
        <v>66</v>
      </c>
      <c r="C191" s="286"/>
      <c r="D191" s="286"/>
      <c r="E191" s="286"/>
      <c r="F191" s="286"/>
      <c r="G191" s="286"/>
      <c r="H191" s="286"/>
      <c r="I191" s="286"/>
      <c r="J191" s="286"/>
      <c r="K191" s="286"/>
      <c r="L191" s="286"/>
      <c r="M191" s="286"/>
      <c r="N191" s="286"/>
      <c r="O191" s="286"/>
      <c r="P191" s="286"/>
      <c r="Q191" s="286"/>
      <c r="R191" s="286"/>
      <c r="S191" s="286"/>
      <c r="T191" s="286"/>
      <c r="U191" s="286"/>
      <c r="V191" s="343">
        <f>(V101+V103+V104+V105+V106)/-(V107+V108)</f>
        <v>2.7937438905180842</v>
      </c>
      <c r="W191" s="289" t="s">
        <v>115</v>
      </c>
      <c r="X191" s="5"/>
    </row>
    <row r="192" spans="1:24" ht="15.75" x14ac:dyDescent="0.25">
      <c r="A192" s="285"/>
      <c r="B192" s="286" t="s">
        <v>67</v>
      </c>
      <c r="C192" s="286"/>
      <c r="D192" s="286"/>
      <c r="E192" s="286"/>
      <c r="F192" s="286"/>
      <c r="G192" s="286"/>
      <c r="H192" s="286"/>
      <c r="I192" s="286"/>
      <c r="J192" s="286"/>
      <c r="K192" s="286"/>
      <c r="L192" s="286"/>
      <c r="M192" s="286"/>
      <c r="N192" s="286"/>
      <c r="O192" s="286"/>
      <c r="P192" s="286"/>
      <c r="Q192" s="286"/>
      <c r="R192" s="286"/>
      <c r="S192" s="286"/>
      <c r="T192" s="286"/>
      <c r="U192" s="286"/>
      <c r="V192" s="347">
        <v>1.76</v>
      </c>
      <c r="W192" s="289" t="s">
        <v>115</v>
      </c>
      <c r="X192" s="5"/>
    </row>
    <row r="193" spans="1:24" ht="15.75" x14ac:dyDescent="0.25">
      <c r="A193" s="285"/>
      <c r="B193" s="286" t="s">
        <v>68</v>
      </c>
      <c r="C193" s="286"/>
      <c r="D193" s="286"/>
      <c r="E193" s="286"/>
      <c r="F193" s="286"/>
      <c r="G193" s="286"/>
      <c r="H193" s="286"/>
      <c r="I193" s="286"/>
      <c r="J193" s="286"/>
      <c r="K193" s="286"/>
      <c r="L193" s="286"/>
      <c r="M193" s="286"/>
      <c r="N193" s="286"/>
      <c r="O193" s="286"/>
      <c r="P193" s="286"/>
      <c r="Q193" s="286"/>
      <c r="R193" s="286"/>
      <c r="S193" s="286"/>
      <c r="T193" s="286"/>
      <c r="U193" s="286"/>
      <c r="V193" s="343">
        <f>(V101+V103+V104+V105+V106+V107+V108)/-(V109+V110)</f>
        <v>12.274247491638796</v>
      </c>
      <c r="W193" s="289" t="s">
        <v>115</v>
      </c>
      <c r="X193" s="5"/>
    </row>
    <row r="194" spans="1:24" ht="15.75" x14ac:dyDescent="0.25">
      <c r="A194" s="285"/>
      <c r="B194" s="286" t="s">
        <v>69</v>
      </c>
      <c r="C194" s="286"/>
      <c r="D194" s="286"/>
      <c r="E194" s="286"/>
      <c r="F194" s="286"/>
      <c r="G194" s="286"/>
      <c r="H194" s="286"/>
      <c r="I194" s="286"/>
      <c r="J194" s="286"/>
      <c r="K194" s="286"/>
      <c r="L194" s="286"/>
      <c r="M194" s="286"/>
      <c r="N194" s="286"/>
      <c r="O194" s="286"/>
      <c r="P194" s="286"/>
      <c r="Q194" s="286"/>
      <c r="R194" s="286"/>
      <c r="S194" s="286"/>
      <c r="T194" s="286"/>
      <c r="U194" s="286"/>
      <c r="V194" s="347">
        <v>7.48</v>
      </c>
      <c r="W194" s="289" t="s">
        <v>115</v>
      </c>
      <c r="X194" s="5"/>
    </row>
    <row r="195" spans="1:24" ht="15.75" x14ac:dyDescent="0.25">
      <c r="A195" s="285"/>
      <c r="B195" s="286" t="s">
        <v>198</v>
      </c>
      <c r="C195" s="286"/>
      <c r="D195" s="286"/>
      <c r="E195" s="286"/>
      <c r="F195" s="286"/>
      <c r="G195" s="286"/>
      <c r="H195" s="286"/>
      <c r="I195" s="286"/>
      <c r="J195" s="286"/>
      <c r="K195" s="286"/>
      <c r="L195" s="286"/>
      <c r="M195" s="286"/>
      <c r="N195" s="286"/>
      <c r="O195" s="286"/>
      <c r="P195" s="286"/>
      <c r="Q195" s="286"/>
      <c r="R195" s="286"/>
      <c r="S195" s="286"/>
      <c r="T195" s="286"/>
      <c r="U195" s="286"/>
      <c r="V195" s="343">
        <f>(V101+V103+V104+V105+V106+V107+V108+V109+V110)/-(V111)</f>
        <v>8.0071258907363418</v>
      </c>
      <c r="W195" s="289" t="s">
        <v>115</v>
      </c>
      <c r="X195" s="5"/>
    </row>
    <row r="196" spans="1:24" ht="15.75" x14ac:dyDescent="0.25">
      <c r="A196" s="285"/>
      <c r="B196" s="286" t="s">
        <v>199</v>
      </c>
      <c r="C196" s="286"/>
      <c r="D196" s="286"/>
      <c r="E196" s="286"/>
      <c r="F196" s="286"/>
      <c r="G196" s="286"/>
      <c r="H196" s="286"/>
      <c r="I196" s="286"/>
      <c r="J196" s="286"/>
      <c r="K196" s="286"/>
      <c r="L196" s="286"/>
      <c r="M196" s="286"/>
      <c r="N196" s="286"/>
      <c r="O196" s="286"/>
      <c r="P196" s="286"/>
      <c r="Q196" s="286"/>
      <c r="R196" s="286"/>
      <c r="S196" s="286"/>
      <c r="T196" s="286"/>
      <c r="U196" s="286"/>
      <c r="V196" s="347">
        <v>5.77</v>
      </c>
      <c r="W196" s="289" t="s">
        <v>115</v>
      </c>
      <c r="X196" s="5"/>
    </row>
    <row r="197" spans="1:24" ht="15.75" x14ac:dyDescent="0.25">
      <c r="A197" s="285"/>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9"/>
      <c r="X197" s="5"/>
    </row>
    <row r="198" spans="1:24" ht="15.75" x14ac:dyDescent="0.25">
      <c r="A198" s="181"/>
      <c r="B198" s="346"/>
      <c r="C198" s="346"/>
      <c r="D198" s="346"/>
      <c r="E198" s="346"/>
      <c r="F198" s="346"/>
      <c r="G198" s="346"/>
      <c r="H198" s="346"/>
      <c r="I198" s="346"/>
      <c r="J198" s="346"/>
      <c r="K198" s="346"/>
      <c r="L198" s="346"/>
      <c r="M198" s="346"/>
      <c r="N198" s="346"/>
      <c r="O198" s="346"/>
      <c r="P198" s="346"/>
      <c r="Q198" s="346"/>
      <c r="R198" s="346"/>
      <c r="S198" s="346"/>
      <c r="T198" s="346"/>
      <c r="U198" s="346"/>
      <c r="V198" s="346"/>
      <c r="W198" s="346"/>
      <c r="X198" s="5"/>
    </row>
    <row r="199" spans="1:24" ht="15.75" x14ac:dyDescent="0.25">
      <c r="A199" s="181"/>
      <c r="B199" s="255"/>
      <c r="C199" s="255"/>
      <c r="D199" s="255"/>
      <c r="E199" s="255"/>
      <c r="F199" s="255"/>
      <c r="G199" s="255"/>
      <c r="H199" s="255"/>
      <c r="I199" s="255"/>
      <c r="J199" s="255"/>
      <c r="K199" s="255"/>
      <c r="L199" s="255"/>
      <c r="M199" s="255"/>
      <c r="N199" s="255"/>
      <c r="O199" s="255"/>
      <c r="P199" s="255"/>
      <c r="Q199" s="255"/>
      <c r="R199" s="255"/>
      <c r="S199" s="255"/>
      <c r="T199" s="255"/>
      <c r="U199" s="255"/>
      <c r="V199" s="255"/>
      <c r="W199" s="255"/>
      <c r="X199" s="5"/>
    </row>
    <row r="200" spans="1:24" ht="19.5" thickBot="1" x14ac:dyDescent="0.35">
      <c r="A200" s="197"/>
      <c r="B200" s="270" t="str">
        <f>B134</f>
        <v>PM15 INVESTOR REPORT QUARTER ENDING AUGUST 2012</v>
      </c>
      <c r="C200" s="271"/>
      <c r="D200" s="271"/>
      <c r="E200" s="271"/>
      <c r="F200" s="271"/>
      <c r="G200" s="271"/>
      <c r="H200" s="271"/>
      <c r="I200" s="271"/>
      <c r="J200" s="271"/>
      <c r="K200" s="271"/>
      <c r="L200" s="271"/>
      <c r="M200" s="271"/>
      <c r="N200" s="271"/>
      <c r="O200" s="271"/>
      <c r="P200" s="271"/>
      <c r="Q200" s="271"/>
      <c r="R200" s="271"/>
      <c r="S200" s="271"/>
      <c r="T200" s="271"/>
      <c r="U200" s="271"/>
      <c r="V200" s="271"/>
      <c r="W200" s="272"/>
      <c r="X200" s="5"/>
    </row>
    <row r="201" spans="1:24" ht="15.75" x14ac:dyDescent="0.25">
      <c r="A201" s="236"/>
      <c r="B201" s="403" t="s">
        <v>70</v>
      </c>
      <c r="C201" s="404"/>
      <c r="D201" s="404"/>
      <c r="E201" s="404"/>
      <c r="F201" s="404"/>
      <c r="G201" s="405"/>
      <c r="H201" s="405"/>
      <c r="I201" s="405"/>
      <c r="J201" s="405"/>
      <c r="K201" s="405"/>
      <c r="L201" s="405"/>
      <c r="M201" s="405"/>
      <c r="N201" s="405"/>
      <c r="O201" s="405"/>
      <c r="P201" s="405"/>
      <c r="Q201" s="405"/>
      <c r="R201" s="405"/>
      <c r="S201" s="405"/>
      <c r="T201" s="405">
        <v>41152</v>
      </c>
      <c r="U201" s="238"/>
      <c r="V201" s="238"/>
      <c r="W201" s="238"/>
      <c r="X201" s="5"/>
    </row>
    <row r="202" spans="1:24" ht="15.75" x14ac:dyDescent="0.25">
      <c r="A202" s="218"/>
      <c r="B202" s="219"/>
      <c r="C202" s="220"/>
      <c r="D202" s="220"/>
      <c r="E202" s="220"/>
      <c r="F202" s="220"/>
      <c r="G202" s="221"/>
      <c r="H202" s="221"/>
      <c r="I202" s="221"/>
      <c r="J202" s="221"/>
      <c r="K202" s="221"/>
      <c r="L202" s="221"/>
      <c r="M202" s="221"/>
      <c r="N202" s="221"/>
      <c r="O202" s="221"/>
      <c r="P202" s="221"/>
      <c r="Q202" s="221"/>
      <c r="R202" s="221"/>
      <c r="S202" s="221"/>
      <c r="T202" s="221"/>
      <c r="U202" s="183"/>
      <c r="V202" s="183"/>
      <c r="W202" s="183"/>
      <c r="X202" s="5"/>
    </row>
    <row r="203" spans="1:24" ht="15.75" x14ac:dyDescent="0.25">
      <c r="A203" s="350"/>
      <c r="B203" s="286" t="s">
        <v>71</v>
      </c>
      <c r="C203" s="406"/>
      <c r="D203" s="406"/>
      <c r="E203" s="406"/>
      <c r="F203" s="406"/>
      <c r="G203" s="397"/>
      <c r="H203" s="397"/>
      <c r="I203" s="397"/>
      <c r="J203" s="397"/>
      <c r="K203" s="397"/>
      <c r="L203" s="397"/>
      <c r="M203" s="397"/>
      <c r="N203" s="397"/>
      <c r="O203" s="397"/>
      <c r="P203" s="397"/>
      <c r="Q203" s="397"/>
      <c r="R203" s="397"/>
      <c r="S203" s="397"/>
      <c r="T203" s="321">
        <v>5.3830000000000003E-2</v>
      </c>
      <c r="U203" s="286"/>
      <c r="V203" s="286"/>
      <c r="W203" s="289"/>
      <c r="X203" s="5"/>
    </row>
    <row r="204" spans="1:24" ht="15.75" x14ac:dyDescent="0.25">
      <c r="A204" s="350"/>
      <c r="B204" s="286" t="s">
        <v>151</v>
      </c>
      <c r="C204" s="406"/>
      <c r="D204" s="406"/>
      <c r="E204" s="406"/>
      <c r="F204" s="406"/>
      <c r="G204" s="397"/>
      <c r="H204" s="397"/>
      <c r="I204" s="397"/>
      <c r="J204" s="397"/>
      <c r="K204" s="397"/>
      <c r="L204" s="397"/>
      <c r="M204" s="397"/>
      <c r="N204" s="397"/>
      <c r="O204" s="397"/>
      <c r="P204" s="397"/>
      <c r="Q204" s="397"/>
      <c r="R204" s="397"/>
      <c r="S204" s="397"/>
      <c r="T204" s="321">
        <v>6.25E-2</v>
      </c>
      <c r="U204" s="286"/>
      <c r="V204" s="286"/>
      <c r="W204" s="289"/>
      <c r="X204" s="5"/>
    </row>
    <row r="205" spans="1:24" ht="15.75" x14ac:dyDescent="0.25">
      <c r="A205" s="350"/>
      <c r="B205" s="286" t="s">
        <v>72</v>
      </c>
      <c r="C205" s="406"/>
      <c r="D205" s="406"/>
      <c r="E205" s="406"/>
      <c r="F205" s="406"/>
      <c r="G205" s="397"/>
      <c r="H205" s="397"/>
      <c r="I205" s="397"/>
      <c r="J205" s="397"/>
      <c r="K205" s="397"/>
      <c r="L205" s="397"/>
      <c r="M205" s="397"/>
      <c r="N205" s="397"/>
      <c r="O205" s="397"/>
      <c r="P205" s="397"/>
      <c r="Q205" s="397"/>
      <c r="R205" s="397"/>
      <c r="S205" s="397"/>
      <c r="T205" s="321">
        <f>T203-T204</f>
        <v>-8.6699999999999972E-3</v>
      </c>
      <c r="U205" s="286"/>
      <c r="V205" s="286"/>
      <c r="W205" s="289"/>
      <c r="X205" s="5"/>
    </row>
    <row r="206" spans="1:24" ht="15.75" x14ac:dyDescent="0.25">
      <c r="A206" s="350"/>
      <c r="B206" s="286" t="s">
        <v>73</v>
      </c>
      <c r="C206" s="406"/>
      <c r="D206" s="406"/>
      <c r="E206" s="406"/>
      <c r="F206" s="406"/>
      <c r="G206" s="397"/>
      <c r="H206" s="397"/>
      <c r="I206" s="397"/>
      <c r="J206" s="397"/>
      <c r="K206" s="397"/>
      <c r="L206" s="397"/>
      <c r="M206" s="397"/>
      <c r="N206" s="397"/>
      <c r="O206" s="397"/>
      <c r="P206" s="397"/>
      <c r="Q206" s="397"/>
      <c r="R206" s="397"/>
      <c r="S206" s="397"/>
      <c r="T206" s="321">
        <v>2.7990000000000001E-2</v>
      </c>
      <c r="U206" s="286"/>
      <c r="V206" s="286"/>
      <c r="W206" s="289"/>
      <c r="X206" s="5"/>
    </row>
    <row r="207" spans="1:24" ht="15.75" x14ac:dyDescent="0.25">
      <c r="A207" s="350"/>
      <c r="B207" s="286" t="s">
        <v>218</v>
      </c>
      <c r="C207" s="406"/>
      <c r="D207" s="406"/>
      <c r="E207" s="406"/>
      <c r="F207" s="406"/>
      <c r="G207" s="397"/>
      <c r="H207" s="397"/>
      <c r="I207" s="397"/>
      <c r="J207" s="397"/>
      <c r="K207" s="397"/>
      <c r="L207" s="397"/>
      <c r="M207" s="397"/>
      <c r="N207" s="397"/>
      <c r="O207" s="397"/>
      <c r="P207" s="397"/>
      <c r="Q207" s="397"/>
      <c r="R207" s="397"/>
      <c r="S207" s="397"/>
      <c r="T207" s="321">
        <f>V43</f>
        <v>1.303564302134763E-2</v>
      </c>
      <c r="U207" s="286"/>
      <c r="V207" s="286"/>
      <c r="W207" s="289"/>
      <c r="X207" s="5"/>
    </row>
    <row r="208" spans="1:24" ht="15.75" x14ac:dyDescent="0.25">
      <c r="A208" s="350"/>
      <c r="B208" s="286" t="s">
        <v>74</v>
      </c>
      <c r="C208" s="406"/>
      <c r="D208" s="406"/>
      <c r="E208" s="406"/>
      <c r="F208" s="406"/>
      <c r="G208" s="397"/>
      <c r="H208" s="397"/>
      <c r="I208" s="397"/>
      <c r="J208" s="397"/>
      <c r="K208" s="397"/>
      <c r="L208" s="397"/>
      <c r="M208" s="397"/>
      <c r="N208" s="397"/>
      <c r="O208" s="397"/>
      <c r="P208" s="397"/>
      <c r="Q208" s="397"/>
      <c r="R208" s="397"/>
      <c r="S208" s="397"/>
      <c r="T208" s="321">
        <f>T206-T207</f>
        <v>1.4954356978652371E-2</v>
      </c>
      <c r="U208" s="286"/>
      <c r="V208" s="286"/>
      <c r="W208" s="289"/>
      <c r="X208" s="5"/>
    </row>
    <row r="209" spans="1:24" ht="15.75" x14ac:dyDescent="0.25">
      <c r="A209" s="350"/>
      <c r="B209" s="286" t="s">
        <v>227</v>
      </c>
      <c r="C209" s="406"/>
      <c r="D209" s="406"/>
      <c r="E209" s="406"/>
      <c r="F209" s="406"/>
      <c r="G209" s="397"/>
      <c r="H209" s="397"/>
      <c r="I209" s="397"/>
      <c r="J209" s="397"/>
      <c r="K209" s="397"/>
      <c r="L209" s="397"/>
      <c r="M209" s="397"/>
      <c r="N209" s="397"/>
      <c r="O209" s="397"/>
      <c r="P209" s="397"/>
      <c r="Q209" s="397"/>
      <c r="R209" s="397"/>
      <c r="S209" s="397"/>
      <c r="T209" s="321">
        <f>V101/N71</f>
        <v>7.5906485539426237E-3</v>
      </c>
      <c r="U209" s="286"/>
      <c r="V209" s="286"/>
      <c r="W209" s="289"/>
      <c r="X209" s="5"/>
    </row>
    <row r="210" spans="1:24" ht="15.75" x14ac:dyDescent="0.25">
      <c r="A210" s="350"/>
      <c r="B210" s="286" t="s">
        <v>207</v>
      </c>
      <c r="C210" s="406"/>
      <c r="D210" s="406"/>
      <c r="E210" s="406"/>
      <c r="F210" s="406"/>
      <c r="G210" s="397"/>
      <c r="H210" s="397"/>
      <c r="I210" s="397"/>
      <c r="J210" s="397"/>
      <c r="K210" s="397"/>
      <c r="L210" s="397"/>
      <c r="M210" s="397"/>
      <c r="N210" s="397"/>
      <c r="O210" s="397"/>
      <c r="P210" s="397"/>
      <c r="Q210" s="397"/>
      <c r="R210" s="397"/>
      <c r="S210" s="397"/>
      <c r="T210" s="352">
        <v>51105</v>
      </c>
      <c r="U210" s="286"/>
      <c r="V210" s="286"/>
      <c r="W210" s="289"/>
      <c r="X210" s="5"/>
    </row>
    <row r="211" spans="1:24" ht="15.75" x14ac:dyDescent="0.25">
      <c r="A211" s="350"/>
      <c r="B211" s="286" t="s">
        <v>208</v>
      </c>
      <c r="C211" s="406"/>
      <c r="D211" s="406"/>
      <c r="E211" s="406"/>
      <c r="F211" s="406"/>
      <c r="G211" s="397"/>
      <c r="H211" s="397"/>
      <c r="I211" s="397"/>
      <c r="J211" s="397"/>
      <c r="K211" s="397"/>
      <c r="L211" s="397"/>
      <c r="M211" s="397"/>
      <c r="N211" s="397"/>
      <c r="O211" s="397"/>
      <c r="P211" s="397"/>
      <c r="Q211" s="397"/>
      <c r="R211" s="397"/>
      <c r="S211" s="397"/>
      <c r="T211" s="352">
        <v>51105</v>
      </c>
      <c r="U211" s="286"/>
      <c r="V211" s="286"/>
      <c r="W211" s="289"/>
      <c r="X211" s="5"/>
    </row>
    <row r="212" spans="1:24" ht="15.75" x14ac:dyDescent="0.25">
      <c r="A212" s="350"/>
      <c r="B212" s="286" t="s">
        <v>209</v>
      </c>
      <c r="C212" s="406"/>
      <c r="D212" s="406"/>
      <c r="E212" s="406"/>
      <c r="F212" s="406"/>
      <c r="G212" s="397"/>
      <c r="H212" s="397"/>
      <c r="I212" s="397"/>
      <c r="J212" s="397"/>
      <c r="K212" s="397"/>
      <c r="L212" s="397"/>
      <c r="M212" s="397"/>
      <c r="N212" s="397"/>
      <c r="O212" s="397"/>
      <c r="P212" s="397"/>
      <c r="Q212" s="397"/>
      <c r="R212" s="397"/>
      <c r="S212" s="397"/>
      <c r="T212" s="352">
        <v>51105</v>
      </c>
      <c r="U212" s="286"/>
      <c r="V212" s="286"/>
      <c r="W212" s="289"/>
      <c r="X212" s="5"/>
    </row>
    <row r="213" spans="1:24" ht="15.75" x14ac:dyDescent="0.25">
      <c r="A213" s="350"/>
      <c r="B213" s="286" t="s">
        <v>75</v>
      </c>
      <c r="C213" s="406"/>
      <c r="D213" s="406"/>
      <c r="E213" s="406"/>
      <c r="F213" s="406"/>
      <c r="G213" s="397"/>
      <c r="H213" s="397"/>
      <c r="I213" s="397"/>
      <c r="J213" s="397"/>
      <c r="K213" s="397"/>
      <c r="L213" s="397"/>
      <c r="M213" s="397"/>
      <c r="N213" s="397"/>
      <c r="O213" s="397"/>
      <c r="P213" s="397"/>
      <c r="Q213" s="397"/>
      <c r="R213" s="397"/>
      <c r="S213" s="397"/>
      <c r="T213" s="327">
        <v>21.06</v>
      </c>
      <c r="U213" s="286" t="s">
        <v>110</v>
      </c>
      <c r="V213" s="286"/>
      <c r="W213" s="289"/>
      <c r="X213" s="5"/>
    </row>
    <row r="214" spans="1:24" ht="15.75" x14ac:dyDescent="0.25">
      <c r="A214" s="350"/>
      <c r="B214" s="286" t="s">
        <v>76</v>
      </c>
      <c r="C214" s="406"/>
      <c r="D214" s="406"/>
      <c r="E214" s="406"/>
      <c r="F214" s="406"/>
      <c r="G214" s="397"/>
      <c r="H214" s="397"/>
      <c r="I214" s="397"/>
      <c r="J214" s="397"/>
      <c r="K214" s="397"/>
      <c r="L214" s="397"/>
      <c r="M214" s="397"/>
      <c r="N214" s="397"/>
      <c r="O214" s="397"/>
      <c r="P214" s="397"/>
      <c r="Q214" s="397"/>
      <c r="R214" s="397"/>
      <c r="S214" s="397"/>
      <c r="T214" s="327">
        <v>16.12</v>
      </c>
      <c r="U214" s="286" t="s">
        <v>110</v>
      </c>
      <c r="V214" s="286"/>
      <c r="W214" s="289"/>
      <c r="X214" s="5"/>
    </row>
    <row r="215" spans="1:24" ht="15.75" x14ac:dyDescent="0.25">
      <c r="A215" s="350"/>
      <c r="B215" s="286" t="s">
        <v>77</v>
      </c>
      <c r="C215" s="406"/>
      <c r="D215" s="406"/>
      <c r="E215" s="406"/>
      <c r="F215" s="406"/>
      <c r="G215" s="397"/>
      <c r="H215" s="397"/>
      <c r="I215" s="397"/>
      <c r="J215" s="397"/>
      <c r="K215" s="397"/>
      <c r="L215" s="397"/>
      <c r="M215" s="397"/>
      <c r="N215" s="397"/>
      <c r="O215" s="397"/>
      <c r="P215" s="397"/>
      <c r="Q215" s="397"/>
      <c r="R215" s="397"/>
      <c r="S215" s="397"/>
      <c r="T215" s="321">
        <f>+P68/N68</f>
        <v>6.8080449226617743E-3</v>
      </c>
      <c r="U215" s="286"/>
      <c r="V215" s="286"/>
      <c r="W215" s="289"/>
      <c r="X215" s="5"/>
    </row>
    <row r="216" spans="1:24" ht="15.75" x14ac:dyDescent="0.25">
      <c r="A216" s="350"/>
      <c r="B216" s="286" t="s">
        <v>78</v>
      </c>
      <c r="C216" s="406"/>
      <c r="D216" s="406"/>
      <c r="E216" s="406"/>
      <c r="F216" s="406"/>
      <c r="G216" s="397"/>
      <c r="H216" s="397"/>
      <c r="I216" s="397"/>
      <c r="J216" s="397"/>
      <c r="K216" s="397"/>
      <c r="L216" s="397"/>
      <c r="M216" s="397"/>
      <c r="N216" s="397"/>
      <c r="O216" s="397"/>
      <c r="P216" s="397"/>
      <c r="Q216" s="397"/>
      <c r="R216" s="397"/>
      <c r="S216" s="397"/>
      <c r="T216" s="321">
        <v>4.1000000000000002E-2</v>
      </c>
      <c r="U216" s="286"/>
      <c r="V216" s="286"/>
      <c r="W216" s="289"/>
      <c r="X216" s="5"/>
    </row>
    <row r="217" spans="1:24" ht="15.75" x14ac:dyDescent="0.25">
      <c r="A217" s="218"/>
      <c r="B217" s="348"/>
      <c r="C217" s="348"/>
      <c r="D217" s="348"/>
      <c r="E217" s="348"/>
      <c r="F217" s="348"/>
      <c r="G217" s="212"/>
      <c r="H217" s="212"/>
      <c r="I217" s="212"/>
      <c r="J217" s="212"/>
      <c r="K217" s="212"/>
      <c r="L217" s="212"/>
      <c r="M217" s="212"/>
      <c r="N217" s="212"/>
      <c r="O217" s="212"/>
      <c r="P217" s="212"/>
      <c r="Q217" s="212"/>
      <c r="R217" s="212"/>
      <c r="S217" s="212"/>
      <c r="T217" s="344"/>
      <c r="U217" s="212"/>
      <c r="V217" s="349"/>
      <c r="W217" s="212"/>
      <c r="X217" s="5"/>
    </row>
    <row r="218" spans="1:24" ht="15.75" x14ac:dyDescent="0.25">
      <c r="A218" s="242"/>
      <c r="B218" s="399" t="s">
        <v>79</v>
      </c>
      <c r="C218" s="400"/>
      <c r="D218" s="400"/>
      <c r="E218" s="400"/>
      <c r="F218" s="407"/>
      <c r="G218" s="400"/>
      <c r="H218" s="400"/>
      <c r="I218" s="400"/>
      <c r="J218" s="400"/>
      <c r="K218" s="400"/>
      <c r="L218" s="400"/>
      <c r="M218" s="400"/>
      <c r="N218" s="400"/>
      <c r="O218" s="400"/>
      <c r="P218" s="400"/>
      <c r="Q218" s="400"/>
      <c r="R218" s="400"/>
      <c r="S218" s="400" t="s">
        <v>102</v>
      </c>
      <c r="T218" s="407" t="s">
        <v>108</v>
      </c>
      <c r="U218" s="225"/>
      <c r="V218" s="225"/>
      <c r="W218" s="225"/>
      <c r="X218" s="5"/>
    </row>
    <row r="219" spans="1:24" ht="15.75" x14ac:dyDescent="0.25">
      <c r="A219" s="222"/>
      <c r="B219" s="250" t="s">
        <v>80</v>
      </c>
      <c r="C219" s="249"/>
      <c r="D219" s="249"/>
      <c r="E219" s="249"/>
      <c r="F219" s="250"/>
      <c r="G219" s="250"/>
      <c r="H219" s="268"/>
      <c r="I219" s="268"/>
      <c r="J219" s="268"/>
      <c r="K219" s="268"/>
      <c r="L219" s="268"/>
      <c r="M219" s="268"/>
      <c r="N219" s="268"/>
      <c r="O219" s="268"/>
      <c r="P219" s="268"/>
      <c r="Q219" s="268"/>
      <c r="R219" s="268"/>
      <c r="S219" s="268">
        <v>0</v>
      </c>
      <c r="T219" s="269">
        <v>0</v>
      </c>
      <c r="U219" s="250"/>
      <c r="V219" s="266"/>
      <c r="W219" s="223"/>
      <c r="X219" s="5"/>
    </row>
    <row r="220" spans="1:24" ht="15.75" x14ac:dyDescent="0.25">
      <c r="A220" s="358"/>
      <c r="B220" s="286" t="s">
        <v>145</v>
      </c>
      <c r="C220" s="337"/>
      <c r="D220" s="337"/>
      <c r="E220" s="337"/>
      <c r="F220" s="286"/>
      <c r="G220" s="286"/>
      <c r="H220" s="296"/>
      <c r="I220" s="296"/>
      <c r="J220" s="296"/>
      <c r="K220" s="296"/>
      <c r="L220" s="296"/>
      <c r="M220" s="296"/>
      <c r="N220" s="296"/>
      <c r="O220" s="296"/>
      <c r="P220" s="296"/>
      <c r="Q220" s="296"/>
      <c r="R220" s="296"/>
      <c r="S220" s="359">
        <f>+R272</f>
        <v>133</v>
      </c>
      <c r="T220" s="360">
        <f>+T272</f>
        <v>20420</v>
      </c>
      <c r="U220" s="286"/>
      <c r="V220" s="361"/>
      <c r="W220" s="362"/>
      <c r="X220" s="5"/>
    </row>
    <row r="221" spans="1:24" ht="15.75" x14ac:dyDescent="0.25">
      <c r="A221" s="358"/>
      <c r="B221" s="286" t="s">
        <v>81</v>
      </c>
      <c r="C221" s="337"/>
      <c r="D221" s="337"/>
      <c r="E221" s="337"/>
      <c r="F221" s="286"/>
      <c r="G221" s="286"/>
      <c r="H221" s="296"/>
      <c r="I221" s="296"/>
      <c r="J221" s="296"/>
      <c r="K221" s="296"/>
      <c r="L221" s="296"/>
      <c r="M221" s="296"/>
      <c r="N221" s="296"/>
      <c r="O221" s="296"/>
      <c r="P221" s="296"/>
      <c r="Q221" s="296"/>
      <c r="R221" s="296"/>
      <c r="S221" s="359">
        <f>+R284</f>
        <v>1</v>
      </c>
      <c r="T221" s="360">
        <f>+T284</f>
        <v>57</v>
      </c>
      <c r="U221" s="286"/>
      <c r="V221" s="361"/>
      <c r="W221" s="362"/>
      <c r="X221" s="5"/>
    </row>
    <row r="222" spans="1:24" ht="15.75" x14ac:dyDescent="0.25">
      <c r="A222" s="358"/>
      <c r="B222" s="313" t="s">
        <v>82</v>
      </c>
      <c r="C222" s="363"/>
      <c r="D222" s="363"/>
      <c r="E222" s="363"/>
      <c r="F222" s="314"/>
      <c r="G222" s="314"/>
      <c r="H222" s="314"/>
      <c r="I222" s="314"/>
      <c r="J222" s="314"/>
      <c r="K222" s="314"/>
      <c r="L222" s="314"/>
      <c r="M222" s="314"/>
      <c r="N222" s="314"/>
      <c r="O222" s="314"/>
      <c r="P222" s="314"/>
      <c r="Q222" s="314"/>
      <c r="R222" s="314"/>
      <c r="S222" s="286"/>
      <c r="T222" s="360">
        <v>0</v>
      </c>
      <c r="U222" s="314"/>
      <c r="V222" s="364"/>
      <c r="W222" s="362"/>
      <c r="X222" s="5"/>
    </row>
    <row r="223" spans="1:24" ht="15.75" x14ac:dyDescent="0.25">
      <c r="A223" s="358"/>
      <c r="B223" s="313" t="s">
        <v>228</v>
      </c>
      <c r="C223" s="363"/>
      <c r="D223" s="363"/>
      <c r="E223" s="363"/>
      <c r="F223" s="314"/>
      <c r="G223" s="314"/>
      <c r="H223" s="314"/>
      <c r="I223" s="314"/>
      <c r="J223" s="314"/>
      <c r="K223" s="314"/>
      <c r="L223" s="314"/>
      <c r="M223" s="314"/>
      <c r="N223" s="314"/>
      <c r="O223" s="314"/>
      <c r="P223" s="314"/>
      <c r="Q223" s="314"/>
      <c r="R223" s="314"/>
      <c r="S223" s="286"/>
      <c r="T223" s="360">
        <f>+N81</f>
        <v>0</v>
      </c>
      <c r="U223" s="314"/>
      <c r="V223" s="364"/>
      <c r="W223" s="362"/>
      <c r="X223" s="5"/>
    </row>
    <row r="224" spans="1:24" ht="15.75" x14ac:dyDescent="0.25">
      <c r="A224" s="365"/>
      <c r="B224" s="313" t="s">
        <v>83</v>
      </c>
      <c r="C224" s="366"/>
      <c r="D224" s="366"/>
      <c r="E224" s="366"/>
      <c r="F224" s="366"/>
      <c r="G224" s="314"/>
      <c r="H224" s="314"/>
      <c r="I224" s="314"/>
      <c r="J224" s="314"/>
      <c r="K224" s="314"/>
      <c r="L224" s="314"/>
      <c r="M224" s="314"/>
      <c r="N224" s="314"/>
      <c r="O224" s="314"/>
      <c r="P224" s="314"/>
      <c r="Q224" s="314"/>
      <c r="R224" s="314"/>
      <c r="S224" s="286"/>
      <c r="T224" s="360"/>
      <c r="U224" s="314"/>
      <c r="V224" s="364"/>
      <c r="W224" s="367"/>
      <c r="X224" s="5"/>
    </row>
    <row r="225" spans="1:25" ht="15.75" x14ac:dyDescent="0.25">
      <c r="A225" s="365"/>
      <c r="B225" s="286" t="s">
        <v>84</v>
      </c>
      <c r="C225" s="366"/>
      <c r="D225" s="366"/>
      <c r="E225" s="366"/>
      <c r="F225" s="366"/>
      <c r="G225" s="314"/>
      <c r="H225" s="314"/>
      <c r="I225" s="314"/>
      <c r="J225" s="314"/>
      <c r="K225" s="314"/>
      <c r="L225" s="314"/>
      <c r="M225" s="314"/>
      <c r="N225" s="314"/>
      <c r="O225" s="314"/>
      <c r="P225" s="314"/>
      <c r="Q225" s="314"/>
      <c r="R225" s="314"/>
      <c r="S225" s="296"/>
      <c r="T225" s="360">
        <f>V163</f>
        <v>541</v>
      </c>
      <c r="U225" s="314"/>
      <c r="V225" s="364"/>
      <c r="W225" s="367"/>
      <c r="X225" s="5"/>
    </row>
    <row r="226" spans="1:25" ht="15.75" x14ac:dyDescent="0.25">
      <c r="A226" s="358"/>
      <c r="B226" s="286" t="s">
        <v>85</v>
      </c>
      <c r="C226" s="363"/>
      <c r="D226" s="363"/>
      <c r="E226" s="363"/>
      <c r="F226" s="363"/>
      <c r="G226" s="314"/>
      <c r="H226" s="314"/>
      <c r="I226" s="314"/>
      <c r="J226" s="314"/>
      <c r="K226" s="314"/>
      <c r="L226" s="314"/>
      <c r="M226" s="314"/>
      <c r="N226" s="314"/>
      <c r="O226" s="314"/>
      <c r="P226" s="314"/>
      <c r="Q226" s="314"/>
      <c r="R226" s="314"/>
      <c r="S226" s="296"/>
      <c r="T226" s="360">
        <f>'May 12'!T226+T225</f>
        <v>4421</v>
      </c>
      <c r="U226" s="314"/>
      <c r="V226" s="364"/>
      <c r="W226" s="367"/>
      <c r="X226" s="5"/>
    </row>
    <row r="227" spans="1:25" ht="15.75" x14ac:dyDescent="0.25">
      <c r="A227" s="365"/>
      <c r="B227" s="313" t="s">
        <v>285</v>
      </c>
      <c r="C227" s="366"/>
      <c r="D227" s="366"/>
      <c r="E227" s="366"/>
      <c r="F227" s="366"/>
      <c r="G227" s="314"/>
      <c r="H227" s="314"/>
      <c r="I227" s="314"/>
      <c r="J227" s="314"/>
      <c r="K227" s="314"/>
      <c r="L227" s="314"/>
      <c r="M227" s="314"/>
      <c r="N227" s="314"/>
      <c r="O227" s="314"/>
      <c r="P227" s="314"/>
      <c r="Q227" s="314"/>
      <c r="R227" s="314"/>
      <c r="S227" s="296"/>
      <c r="T227" s="360"/>
      <c r="U227" s="314"/>
      <c r="V227" s="364"/>
      <c r="W227" s="367"/>
      <c r="X227" s="5"/>
    </row>
    <row r="228" spans="1:25" ht="15.75" x14ac:dyDescent="0.25">
      <c r="A228" s="365"/>
      <c r="B228" s="286" t="s">
        <v>282</v>
      </c>
      <c r="C228" s="366"/>
      <c r="D228" s="366"/>
      <c r="E228" s="366"/>
      <c r="F228" s="366"/>
      <c r="G228" s="314"/>
      <c r="H228" s="314"/>
      <c r="I228" s="314"/>
      <c r="J228" s="314"/>
      <c r="K228" s="314"/>
      <c r="L228" s="314"/>
      <c r="M228" s="314"/>
      <c r="N228" s="314"/>
      <c r="O228" s="314"/>
      <c r="P228" s="314"/>
      <c r="Q228" s="314"/>
      <c r="R228" s="314"/>
      <c r="S228" s="296">
        <v>0</v>
      </c>
      <c r="T228" s="360">
        <v>0</v>
      </c>
      <c r="U228" s="314"/>
      <c r="V228" s="364"/>
      <c r="W228" s="367"/>
      <c r="X228" s="5"/>
    </row>
    <row r="229" spans="1:25" ht="15.75" x14ac:dyDescent="0.25">
      <c r="A229" s="358"/>
      <c r="B229" s="286" t="s">
        <v>86</v>
      </c>
      <c r="C229" s="368"/>
      <c r="D229" s="368"/>
      <c r="E229" s="368"/>
      <c r="F229" s="369"/>
      <c r="G229" s="314"/>
      <c r="H229" s="314"/>
      <c r="I229" s="314"/>
      <c r="J229" s="314"/>
      <c r="K229" s="314"/>
      <c r="L229" s="314"/>
      <c r="M229" s="314"/>
      <c r="N229" s="314"/>
      <c r="O229" s="314"/>
      <c r="P229" s="314"/>
      <c r="Q229" s="314"/>
      <c r="R229" s="314"/>
      <c r="S229" s="286"/>
      <c r="T229" s="370">
        <v>0</v>
      </c>
      <c r="U229" s="314"/>
      <c r="V229" s="364"/>
      <c r="W229" s="367"/>
      <c r="X229" s="5"/>
    </row>
    <row r="230" spans="1:25" ht="15.75" x14ac:dyDescent="0.25">
      <c r="A230" s="358"/>
      <c r="B230" s="286" t="s">
        <v>87</v>
      </c>
      <c r="C230" s="368"/>
      <c r="D230" s="368"/>
      <c r="E230" s="368"/>
      <c r="F230" s="369"/>
      <c r="G230" s="314"/>
      <c r="H230" s="314"/>
      <c r="I230" s="314"/>
      <c r="J230" s="314"/>
      <c r="K230" s="314"/>
      <c r="L230" s="314"/>
      <c r="M230" s="314"/>
      <c r="N230" s="314"/>
      <c r="O230" s="314"/>
      <c r="P230" s="314"/>
      <c r="Q230" s="314"/>
      <c r="R230" s="314"/>
      <c r="S230" s="286"/>
      <c r="T230" s="370">
        <v>0</v>
      </c>
      <c r="U230" s="314"/>
      <c r="V230" s="364"/>
      <c r="W230" s="367"/>
      <c r="X230" s="5"/>
    </row>
    <row r="231" spans="1:25" ht="15.75" x14ac:dyDescent="0.25">
      <c r="A231" s="358"/>
      <c r="B231" s="313" t="s">
        <v>216</v>
      </c>
      <c r="C231" s="368"/>
      <c r="D231" s="368"/>
      <c r="E231" s="368"/>
      <c r="F231" s="369"/>
      <c r="G231" s="314"/>
      <c r="H231" s="314"/>
      <c r="I231" s="314"/>
      <c r="J231" s="314"/>
      <c r="K231" s="314"/>
      <c r="L231" s="314"/>
      <c r="M231" s="314"/>
      <c r="N231" s="314"/>
      <c r="O231" s="314"/>
      <c r="P231" s="314"/>
      <c r="Q231" s="314"/>
      <c r="R231" s="314"/>
      <c r="S231" s="286"/>
      <c r="T231" s="371"/>
      <c r="U231" s="314"/>
      <c r="V231" s="364"/>
      <c r="W231" s="367"/>
      <c r="X231" s="5"/>
    </row>
    <row r="232" spans="1:25" ht="15.75" x14ac:dyDescent="0.25">
      <c r="A232" s="358"/>
      <c r="B232" s="286" t="s">
        <v>282</v>
      </c>
      <c r="C232" s="368"/>
      <c r="D232" s="368"/>
      <c r="E232" s="368"/>
      <c r="F232" s="369"/>
      <c r="G232" s="314"/>
      <c r="H232" s="314"/>
      <c r="I232" s="314"/>
      <c r="J232" s="314"/>
      <c r="K232" s="314"/>
      <c r="L232" s="314"/>
      <c r="M232" s="314"/>
      <c r="N232" s="314"/>
      <c r="O232" s="314"/>
      <c r="P232" s="314"/>
      <c r="Q232" s="314"/>
      <c r="R232" s="314"/>
      <c r="S232" s="296">
        <v>6</v>
      </c>
      <c r="T232" s="360">
        <v>1075</v>
      </c>
      <c r="U232" s="314"/>
      <c r="V232" s="364"/>
      <c r="W232" s="367"/>
      <c r="X232" s="5"/>
    </row>
    <row r="233" spans="1:25" ht="15.75" x14ac:dyDescent="0.25">
      <c r="A233" s="358"/>
      <c r="B233" s="286" t="s">
        <v>217</v>
      </c>
      <c r="C233" s="368"/>
      <c r="D233" s="368"/>
      <c r="E233" s="368"/>
      <c r="F233" s="369"/>
      <c r="G233" s="314"/>
      <c r="H233" s="314"/>
      <c r="I233" s="314"/>
      <c r="J233" s="314"/>
      <c r="K233" s="314"/>
      <c r="L233" s="314"/>
      <c r="M233" s="314"/>
      <c r="N233" s="314"/>
      <c r="O233" s="314"/>
      <c r="P233" s="314"/>
      <c r="Q233" s="314"/>
      <c r="R233" s="314"/>
      <c r="S233" s="286"/>
      <c r="T233" s="370">
        <v>30.05</v>
      </c>
      <c r="U233" s="314"/>
      <c r="V233" s="364"/>
      <c r="W233" s="367"/>
      <c r="X233" s="5"/>
    </row>
    <row r="234" spans="1:25" ht="15.75" x14ac:dyDescent="0.25">
      <c r="A234" s="358"/>
      <c r="B234" s="366"/>
      <c r="C234" s="368"/>
      <c r="D234" s="368"/>
      <c r="E234" s="368"/>
      <c r="F234" s="369"/>
      <c r="G234" s="314"/>
      <c r="H234" s="314"/>
      <c r="I234" s="314"/>
      <c r="J234" s="314"/>
      <c r="K234" s="314"/>
      <c r="L234" s="314"/>
      <c r="M234" s="314"/>
      <c r="N234" s="314"/>
      <c r="O234" s="314"/>
      <c r="P234" s="314"/>
      <c r="Q234" s="314"/>
      <c r="R234" s="314"/>
      <c r="S234" s="286"/>
      <c r="T234" s="371"/>
      <c r="U234" s="314"/>
      <c r="V234" s="364"/>
      <c r="W234" s="367"/>
      <c r="X234" s="5"/>
    </row>
    <row r="235" spans="1:25" ht="15.75" x14ac:dyDescent="0.25">
      <c r="A235" s="358"/>
      <c r="B235" s="366"/>
      <c r="C235" s="368"/>
      <c r="D235" s="368"/>
      <c r="E235" s="368"/>
      <c r="F235" s="369"/>
      <c r="G235" s="314"/>
      <c r="H235" s="314"/>
      <c r="I235" s="314"/>
      <c r="J235" s="314"/>
      <c r="K235" s="314"/>
      <c r="L235" s="314"/>
      <c r="M235" s="314"/>
      <c r="N235" s="314"/>
      <c r="O235" s="314"/>
      <c r="P235" s="314"/>
      <c r="Q235" s="314"/>
      <c r="R235" s="314"/>
      <c r="S235" s="314"/>
      <c r="T235" s="372"/>
      <c r="U235" s="314"/>
      <c r="V235" s="364"/>
      <c r="W235" s="367"/>
      <c r="X235" s="5"/>
    </row>
    <row r="236" spans="1:25" ht="18.75" x14ac:dyDescent="0.3">
      <c r="A236" s="358"/>
      <c r="B236" s="373" t="s">
        <v>168</v>
      </c>
      <c r="C236" s="368"/>
      <c r="D236" s="368"/>
      <c r="E236" s="368"/>
      <c r="F236" s="369"/>
      <c r="G236" s="314"/>
      <c r="H236" s="314"/>
      <c r="I236" s="314"/>
      <c r="J236" s="314"/>
      <c r="K236" s="314"/>
      <c r="L236" s="314"/>
      <c r="M236" s="314"/>
      <c r="N236" s="314"/>
      <c r="O236" s="314"/>
      <c r="P236" s="374" t="s">
        <v>167</v>
      </c>
      <c r="Q236" s="314"/>
      <c r="R236" s="314"/>
      <c r="S236" s="314"/>
      <c r="T236" s="372"/>
      <c r="U236" s="314"/>
      <c r="V236" s="364"/>
      <c r="W236" s="367"/>
      <c r="X236" s="5"/>
    </row>
    <row r="237" spans="1:25" ht="15.75" x14ac:dyDescent="0.25">
      <c r="A237" s="353"/>
      <c r="B237" s="348"/>
      <c r="C237" s="354"/>
      <c r="D237" s="354"/>
      <c r="E237" s="354"/>
      <c r="F237" s="355"/>
      <c r="G237" s="212"/>
      <c r="H237" s="212"/>
      <c r="I237" s="212"/>
      <c r="J237" s="212"/>
      <c r="K237" s="212"/>
      <c r="L237" s="212"/>
      <c r="M237" s="212"/>
      <c r="N237" s="212"/>
      <c r="O237" s="212"/>
      <c r="P237" s="212"/>
      <c r="Q237" s="212"/>
      <c r="R237" s="212"/>
      <c r="S237" s="212"/>
      <c r="T237" s="356"/>
      <c r="U237" s="212"/>
      <c r="V237" s="349"/>
      <c r="W237" s="357"/>
      <c r="X237" s="5"/>
    </row>
    <row r="238" spans="1:25" ht="15.75" x14ac:dyDescent="0.25">
      <c r="A238" s="224"/>
      <c r="B238" s="399" t="s">
        <v>297</v>
      </c>
      <c r="C238" s="400"/>
      <c r="D238" s="400"/>
      <c r="E238" s="400"/>
      <c r="F238" s="407"/>
      <c r="G238" s="400"/>
      <c r="H238" s="400"/>
      <c r="I238" s="400"/>
      <c r="J238" s="400"/>
      <c r="K238" s="400"/>
      <c r="L238" s="400"/>
      <c r="M238" s="400"/>
      <c r="N238" s="400"/>
      <c r="O238" s="400"/>
      <c r="P238" s="400"/>
      <c r="Q238" s="400"/>
      <c r="R238" s="407" t="s">
        <v>102</v>
      </c>
      <c r="S238" s="400" t="s">
        <v>103</v>
      </c>
      <c r="T238" s="407" t="s">
        <v>109</v>
      </c>
      <c r="U238" s="400" t="s">
        <v>103</v>
      </c>
      <c r="V238" s="225"/>
      <c r="W238" s="399"/>
      <c r="X238" s="5"/>
    </row>
    <row r="239" spans="1:25" ht="15.75" x14ac:dyDescent="0.25">
      <c r="A239" s="193"/>
      <c r="B239" s="249" t="s">
        <v>88</v>
      </c>
      <c r="C239" s="265"/>
      <c r="D239" s="265"/>
      <c r="E239" s="265"/>
      <c r="F239" s="250"/>
      <c r="G239" s="265"/>
      <c r="H239" s="265"/>
      <c r="I239" s="265"/>
      <c r="J239" s="265"/>
      <c r="K239" s="265"/>
      <c r="L239" s="265"/>
      <c r="M239" s="265"/>
      <c r="N239" s="265"/>
      <c r="O239" s="265"/>
      <c r="P239" s="265"/>
      <c r="Q239" s="265"/>
      <c r="R239" s="249">
        <f t="shared" ref="R239:R246" si="1">+R251+R263+R275</f>
        <v>5661</v>
      </c>
      <c r="S239" s="252">
        <f t="shared" ref="S239:S246" si="2">R239/$R$248</f>
        <v>0.98658069013593586</v>
      </c>
      <c r="T239" s="253">
        <f t="shared" ref="T239:T246" si="3">+T251+T263+T275</f>
        <v>805709</v>
      </c>
      <c r="U239" s="252">
        <f t="shared" ref="U239:U246" si="4">T239/$T$248</f>
        <v>0.9842944665359501</v>
      </c>
      <c r="V239" s="266"/>
      <c r="W239" s="408"/>
      <c r="X239" s="5"/>
    </row>
    <row r="240" spans="1:25" ht="15.75" x14ac:dyDescent="0.25">
      <c r="A240" s="285"/>
      <c r="B240" s="337" t="s">
        <v>89</v>
      </c>
      <c r="C240" s="378"/>
      <c r="D240" s="378"/>
      <c r="E240" s="378"/>
      <c r="F240" s="286"/>
      <c r="G240" s="379"/>
      <c r="H240" s="378"/>
      <c r="I240" s="378"/>
      <c r="J240" s="378"/>
      <c r="K240" s="378"/>
      <c r="L240" s="378"/>
      <c r="M240" s="378"/>
      <c r="N240" s="378"/>
      <c r="O240" s="378"/>
      <c r="P240" s="378"/>
      <c r="Q240" s="378"/>
      <c r="R240" s="337">
        <f t="shared" si="1"/>
        <v>33</v>
      </c>
      <c r="S240" s="379">
        <f t="shared" si="2"/>
        <v>5.7511327988846285E-3</v>
      </c>
      <c r="T240" s="338">
        <f t="shared" si="3"/>
        <v>6498</v>
      </c>
      <c r="U240" s="379">
        <f t="shared" si="4"/>
        <v>7.9382822378186221E-3</v>
      </c>
      <c r="V240" s="361"/>
      <c r="W240" s="409"/>
      <c r="X240" s="5"/>
      <c r="Y240" s="109"/>
    </row>
    <row r="241" spans="1:25" ht="15.75" x14ac:dyDescent="0.25">
      <c r="A241" s="285"/>
      <c r="B241" s="337" t="s">
        <v>90</v>
      </c>
      <c r="C241" s="378"/>
      <c r="D241" s="378"/>
      <c r="E241" s="378"/>
      <c r="F241" s="286"/>
      <c r="G241" s="379"/>
      <c r="H241" s="378"/>
      <c r="I241" s="378"/>
      <c r="J241" s="378"/>
      <c r="K241" s="378"/>
      <c r="L241" s="378"/>
      <c r="M241" s="378"/>
      <c r="N241" s="378"/>
      <c r="O241" s="378"/>
      <c r="P241" s="378"/>
      <c r="Q241" s="378"/>
      <c r="R241" s="337">
        <f t="shared" si="1"/>
        <v>5</v>
      </c>
      <c r="S241" s="379">
        <f t="shared" si="2"/>
        <v>8.7138375740676197E-4</v>
      </c>
      <c r="T241" s="338">
        <f t="shared" si="3"/>
        <v>624</v>
      </c>
      <c r="U241" s="379">
        <f t="shared" si="4"/>
        <v>7.6230965164647893E-4</v>
      </c>
      <c r="V241" s="361"/>
      <c r="W241" s="409"/>
      <c r="X241" s="5"/>
    </row>
    <row r="242" spans="1:25" ht="15.75" x14ac:dyDescent="0.25">
      <c r="A242" s="285"/>
      <c r="B242" s="337" t="s">
        <v>156</v>
      </c>
      <c r="C242" s="378"/>
      <c r="D242" s="378"/>
      <c r="E242" s="378"/>
      <c r="F242" s="286"/>
      <c r="G242" s="379"/>
      <c r="H242" s="378"/>
      <c r="I242" s="378"/>
      <c r="J242" s="378"/>
      <c r="K242" s="378"/>
      <c r="L242" s="378"/>
      <c r="M242" s="378"/>
      <c r="N242" s="378"/>
      <c r="O242" s="378"/>
      <c r="P242" s="378"/>
      <c r="Q242" s="378"/>
      <c r="R242" s="337">
        <f t="shared" si="1"/>
        <v>3</v>
      </c>
      <c r="S242" s="379">
        <f t="shared" si="2"/>
        <v>5.2283025444405714E-4</v>
      </c>
      <c r="T242" s="338">
        <f t="shared" si="3"/>
        <v>415</v>
      </c>
      <c r="U242" s="379">
        <f t="shared" si="4"/>
        <v>5.0698478434821911E-4</v>
      </c>
      <c r="V242" s="361"/>
      <c r="W242" s="409"/>
      <c r="X242" s="5"/>
      <c r="Y242" s="109"/>
    </row>
    <row r="243" spans="1:25" ht="15.75" x14ac:dyDescent="0.25">
      <c r="A243" s="285"/>
      <c r="B243" s="337" t="s">
        <v>157</v>
      </c>
      <c r="C243" s="378"/>
      <c r="D243" s="378"/>
      <c r="E243" s="378"/>
      <c r="F243" s="286"/>
      <c r="G243" s="379"/>
      <c r="H243" s="378"/>
      <c r="I243" s="378"/>
      <c r="J243" s="378"/>
      <c r="K243" s="378"/>
      <c r="L243" s="378"/>
      <c r="M243" s="378"/>
      <c r="N243" s="378"/>
      <c r="O243" s="378"/>
      <c r="P243" s="378"/>
      <c r="Q243" s="378"/>
      <c r="R243" s="337">
        <f t="shared" si="1"/>
        <v>4</v>
      </c>
      <c r="S243" s="379">
        <f t="shared" si="2"/>
        <v>6.9710700592540956E-4</v>
      </c>
      <c r="T243" s="338">
        <f t="shared" si="3"/>
        <v>611</v>
      </c>
      <c r="U243" s="379">
        <f t="shared" si="4"/>
        <v>7.4642820057051055E-4</v>
      </c>
      <c r="V243" s="361"/>
      <c r="W243" s="409"/>
      <c r="X243" s="5"/>
    </row>
    <row r="244" spans="1:25" ht="15.75" x14ac:dyDescent="0.25">
      <c r="A244" s="285"/>
      <c r="B244" s="337" t="s">
        <v>158</v>
      </c>
      <c r="C244" s="378"/>
      <c r="D244" s="378"/>
      <c r="E244" s="378"/>
      <c r="F244" s="286"/>
      <c r="G244" s="379"/>
      <c r="H244" s="378"/>
      <c r="I244" s="378"/>
      <c r="J244" s="378"/>
      <c r="K244" s="378"/>
      <c r="L244" s="378"/>
      <c r="M244" s="378"/>
      <c r="N244" s="378"/>
      <c r="O244" s="378"/>
      <c r="P244" s="378"/>
      <c r="Q244" s="378"/>
      <c r="R244" s="337">
        <f t="shared" si="1"/>
        <v>5</v>
      </c>
      <c r="S244" s="379">
        <f t="shared" si="2"/>
        <v>8.7138375740676197E-4</v>
      </c>
      <c r="T244" s="338">
        <f t="shared" si="3"/>
        <v>791</v>
      </c>
      <c r="U244" s="379">
        <f t="shared" si="4"/>
        <v>9.663252154685334E-4</v>
      </c>
      <c r="V244" s="361"/>
      <c r="W244" s="409"/>
      <c r="X244" s="5"/>
      <c r="Y244" s="109"/>
    </row>
    <row r="245" spans="1:25" ht="15.75" x14ac:dyDescent="0.25">
      <c r="A245" s="285"/>
      <c r="B245" s="337" t="s">
        <v>159</v>
      </c>
      <c r="C245" s="378"/>
      <c r="D245" s="378"/>
      <c r="E245" s="378"/>
      <c r="F245" s="286"/>
      <c r="G245" s="379"/>
      <c r="H245" s="378"/>
      <c r="I245" s="378"/>
      <c r="J245" s="378"/>
      <c r="K245" s="378"/>
      <c r="L245" s="378"/>
      <c r="M245" s="378"/>
      <c r="N245" s="378"/>
      <c r="O245" s="378"/>
      <c r="P245" s="378"/>
      <c r="Q245" s="378"/>
      <c r="R245" s="337">
        <f t="shared" si="1"/>
        <v>8</v>
      </c>
      <c r="S245" s="379">
        <f t="shared" si="2"/>
        <v>1.3942140118508191E-3</v>
      </c>
      <c r="T245" s="338">
        <f t="shared" si="3"/>
        <v>1001</v>
      </c>
      <c r="U245" s="379">
        <f t="shared" si="4"/>
        <v>1.2228717328495598E-3</v>
      </c>
      <c r="V245" s="361"/>
      <c r="W245" s="409"/>
      <c r="X245" s="5"/>
    </row>
    <row r="246" spans="1:25" ht="15.75" x14ac:dyDescent="0.25">
      <c r="A246" s="285"/>
      <c r="B246" s="337" t="s">
        <v>160</v>
      </c>
      <c r="C246" s="378"/>
      <c r="D246" s="378"/>
      <c r="E246" s="378"/>
      <c r="F246" s="286"/>
      <c r="G246" s="379"/>
      <c r="H246" s="378"/>
      <c r="I246" s="378"/>
      <c r="J246" s="378"/>
      <c r="K246" s="378"/>
      <c r="L246" s="378"/>
      <c r="M246" s="378"/>
      <c r="N246" s="378"/>
      <c r="O246" s="378"/>
      <c r="P246" s="378"/>
      <c r="Q246" s="378"/>
      <c r="R246" s="386">
        <f t="shared" si="1"/>
        <v>19</v>
      </c>
      <c r="S246" s="379">
        <f t="shared" si="2"/>
        <v>3.3112582781456954E-3</v>
      </c>
      <c r="T246" s="383">
        <f t="shared" si="3"/>
        <v>2916</v>
      </c>
      <c r="U246" s="387">
        <f t="shared" si="4"/>
        <v>3.5623316413479688E-3</v>
      </c>
      <c r="V246" s="361"/>
      <c r="W246" s="409"/>
      <c r="X246" s="5"/>
      <c r="Y246" s="109"/>
    </row>
    <row r="247" spans="1:25" ht="15.75" x14ac:dyDescent="0.25">
      <c r="A247" s="285"/>
      <c r="B247" s="337"/>
      <c r="C247" s="378"/>
      <c r="D247" s="378"/>
      <c r="E247" s="378"/>
      <c r="F247" s="286"/>
      <c r="G247" s="379"/>
      <c r="H247" s="378"/>
      <c r="I247" s="378"/>
      <c r="J247" s="378"/>
      <c r="K247" s="378"/>
      <c r="L247" s="378"/>
      <c r="M247" s="378"/>
      <c r="N247" s="378"/>
      <c r="O247" s="378"/>
      <c r="P247" s="378"/>
      <c r="Q247" s="378"/>
      <c r="R247" s="337"/>
      <c r="S247" s="379"/>
      <c r="T247" s="338"/>
      <c r="U247" s="379"/>
      <c r="V247" s="361"/>
      <c r="W247" s="409"/>
      <c r="X247" s="5"/>
    </row>
    <row r="248" spans="1:25" ht="15.75" x14ac:dyDescent="0.25">
      <c r="A248" s="285"/>
      <c r="B248" s="286"/>
      <c r="C248" s="286"/>
      <c r="D248" s="286"/>
      <c r="E248" s="286"/>
      <c r="F248" s="286"/>
      <c r="G248" s="286"/>
      <c r="H248" s="381"/>
      <c r="I248" s="381"/>
      <c r="J248" s="381"/>
      <c r="K248" s="381"/>
      <c r="L248" s="381"/>
      <c r="M248" s="381"/>
      <c r="N248" s="381"/>
      <c r="O248" s="381"/>
      <c r="P248" s="381"/>
      <c r="Q248" s="381"/>
      <c r="R248" s="337">
        <f>SUM(R239:R247)</f>
        <v>5738</v>
      </c>
      <c r="S248" s="379">
        <f>SUM(S239:S247)</f>
        <v>1</v>
      </c>
      <c r="T248" s="338">
        <f>SUM(T239:T247)</f>
        <v>818565</v>
      </c>
      <c r="U248" s="379">
        <f>SUM(U239:U247)</f>
        <v>1</v>
      </c>
      <c r="V248" s="286"/>
      <c r="W248" s="289"/>
      <c r="X248" s="5"/>
    </row>
    <row r="249" spans="1:25" ht="15.75" x14ac:dyDescent="0.25">
      <c r="A249" s="181"/>
      <c r="B249" s="212"/>
      <c r="C249" s="212"/>
      <c r="D249" s="212"/>
      <c r="E249" s="212"/>
      <c r="F249" s="212"/>
      <c r="G249" s="212"/>
      <c r="H249" s="375"/>
      <c r="I249" s="375"/>
      <c r="J249" s="375"/>
      <c r="K249" s="375"/>
      <c r="L249" s="375"/>
      <c r="M249" s="375"/>
      <c r="N249" s="375"/>
      <c r="O249" s="375"/>
      <c r="P249" s="375"/>
      <c r="Q249" s="375"/>
      <c r="R249" s="335"/>
      <c r="S249" s="376"/>
      <c r="T249" s="377"/>
      <c r="U249" s="376"/>
      <c r="V249" s="212"/>
      <c r="W249" s="212"/>
      <c r="X249" s="5"/>
    </row>
    <row r="250" spans="1:25" ht="15.75" x14ac:dyDescent="0.25">
      <c r="A250" s="224"/>
      <c r="B250" s="399" t="s">
        <v>162</v>
      </c>
      <c r="C250" s="400"/>
      <c r="D250" s="400"/>
      <c r="E250" s="400"/>
      <c r="F250" s="407"/>
      <c r="G250" s="400"/>
      <c r="H250" s="400"/>
      <c r="I250" s="400"/>
      <c r="J250" s="400"/>
      <c r="K250" s="400"/>
      <c r="L250" s="400"/>
      <c r="M250" s="400"/>
      <c r="N250" s="400"/>
      <c r="O250" s="400"/>
      <c r="P250" s="400"/>
      <c r="Q250" s="400"/>
      <c r="R250" s="407" t="s">
        <v>102</v>
      </c>
      <c r="S250" s="400" t="s">
        <v>103</v>
      </c>
      <c r="T250" s="407" t="s">
        <v>109</v>
      </c>
      <c r="U250" s="400" t="s">
        <v>103</v>
      </c>
      <c r="V250" s="225"/>
      <c r="W250" s="399"/>
      <c r="X250" s="5"/>
    </row>
    <row r="251" spans="1:25" ht="15.75" x14ac:dyDescent="0.25">
      <c r="A251" s="193"/>
      <c r="B251" s="249" t="s">
        <v>88</v>
      </c>
      <c r="C251" s="265"/>
      <c r="D251" s="265"/>
      <c r="E251" s="265"/>
      <c r="F251" s="250"/>
      <c r="G251" s="265"/>
      <c r="H251" s="265"/>
      <c r="I251" s="265"/>
      <c r="J251" s="265"/>
      <c r="K251" s="265"/>
      <c r="L251" s="265"/>
      <c r="M251" s="265"/>
      <c r="N251" s="265"/>
      <c r="O251" s="265"/>
      <c r="P251" s="265"/>
      <c r="Q251" s="265"/>
      <c r="R251" s="249">
        <v>5574</v>
      </c>
      <c r="S251" s="252">
        <f t="shared" ref="S251:S258" si="5">R251/$R$260</f>
        <v>0.99464668094218411</v>
      </c>
      <c r="T251" s="253">
        <v>791893</v>
      </c>
      <c r="U251" s="252">
        <f t="shared" ref="U251:U258" si="6">T251/$T$260</f>
        <v>0.9922376980984553</v>
      </c>
      <c r="V251" s="266"/>
      <c r="W251" s="408"/>
      <c r="X251" s="5"/>
    </row>
    <row r="252" spans="1:25" ht="15.75" x14ac:dyDescent="0.25">
      <c r="A252" s="285"/>
      <c r="B252" s="337" t="s">
        <v>89</v>
      </c>
      <c r="C252" s="378"/>
      <c r="D252" s="378"/>
      <c r="E252" s="378"/>
      <c r="F252" s="286"/>
      <c r="G252" s="379"/>
      <c r="H252" s="378"/>
      <c r="I252" s="378"/>
      <c r="J252" s="378"/>
      <c r="K252" s="378"/>
      <c r="L252" s="378"/>
      <c r="M252" s="378"/>
      <c r="N252" s="378"/>
      <c r="O252" s="378"/>
      <c r="P252" s="378"/>
      <c r="Q252" s="378"/>
      <c r="R252" s="337">
        <v>26</v>
      </c>
      <c r="S252" s="379">
        <f t="shared" si="5"/>
        <v>4.6395431834403995E-3</v>
      </c>
      <c r="T252" s="338">
        <v>5519</v>
      </c>
      <c r="U252" s="379">
        <f t="shared" si="6"/>
        <v>6.9152775132566837E-3</v>
      </c>
      <c r="V252" s="361"/>
      <c r="W252" s="409"/>
      <c r="X252" s="5"/>
      <c r="Y252" s="109"/>
    </row>
    <row r="253" spans="1:25" ht="15.75" x14ac:dyDescent="0.25">
      <c r="A253" s="285"/>
      <c r="B253" s="337" t="s">
        <v>90</v>
      </c>
      <c r="C253" s="378"/>
      <c r="D253" s="378"/>
      <c r="E253" s="378"/>
      <c r="F253" s="286"/>
      <c r="G253" s="379"/>
      <c r="H253" s="378"/>
      <c r="I253" s="378"/>
      <c r="J253" s="378"/>
      <c r="K253" s="378"/>
      <c r="L253" s="378"/>
      <c r="M253" s="378"/>
      <c r="N253" s="378"/>
      <c r="O253" s="378"/>
      <c r="P253" s="378"/>
      <c r="Q253" s="378"/>
      <c r="R253" s="337">
        <v>1</v>
      </c>
      <c r="S253" s="379">
        <f t="shared" si="5"/>
        <v>1.7844396859386153E-4</v>
      </c>
      <c r="T253" s="338">
        <v>84</v>
      </c>
      <c r="U253" s="379">
        <f t="shared" si="6"/>
        <v>1.0525155120738566E-4</v>
      </c>
      <c r="V253" s="361"/>
      <c r="W253" s="409"/>
      <c r="X253" s="5"/>
    </row>
    <row r="254" spans="1:25" ht="15.75" x14ac:dyDescent="0.25">
      <c r="A254" s="285"/>
      <c r="B254" s="337" t="s">
        <v>156</v>
      </c>
      <c r="C254" s="378"/>
      <c r="D254" s="378"/>
      <c r="E254" s="378"/>
      <c r="F254" s="286"/>
      <c r="G254" s="379"/>
      <c r="H254" s="378"/>
      <c r="I254" s="378"/>
      <c r="J254" s="378"/>
      <c r="K254" s="378"/>
      <c r="L254" s="378"/>
      <c r="M254" s="378"/>
      <c r="N254" s="378"/>
      <c r="O254" s="378"/>
      <c r="P254" s="378"/>
      <c r="Q254" s="378"/>
      <c r="R254" s="337">
        <v>0</v>
      </c>
      <c r="S254" s="379">
        <f t="shared" si="5"/>
        <v>0</v>
      </c>
      <c r="T254" s="338">
        <v>0</v>
      </c>
      <c r="U254" s="379">
        <f t="shared" si="6"/>
        <v>0</v>
      </c>
      <c r="V254" s="361"/>
      <c r="W254" s="409"/>
      <c r="X254" s="5"/>
      <c r="Y254" s="109"/>
    </row>
    <row r="255" spans="1:25" ht="15.75" x14ac:dyDescent="0.25">
      <c r="A255" s="285"/>
      <c r="B255" s="337" t="s">
        <v>157</v>
      </c>
      <c r="C255" s="378"/>
      <c r="D255" s="378"/>
      <c r="E255" s="378"/>
      <c r="F255" s="286"/>
      <c r="G255" s="379"/>
      <c r="H255" s="378"/>
      <c r="I255" s="378"/>
      <c r="J255" s="378"/>
      <c r="K255" s="378"/>
      <c r="L255" s="378"/>
      <c r="M255" s="378"/>
      <c r="N255" s="378"/>
      <c r="O255" s="378"/>
      <c r="P255" s="378"/>
      <c r="Q255" s="378"/>
      <c r="R255" s="337">
        <v>0</v>
      </c>
      <c r="S255" s="379">
        <f t="shared" si="5"/>
        <v>0</v>
      </c>
      <c r="T255" s="338">
        <v>0</v>
      </c>
      <c r="U255" s="379">
        <f t="shared" si="6"/>
        <v>0</v>
      </c>
      <c r="V255" s="361"/>
      <c r="W255" s="409"/>
      <c r="X255" s="5"/>
    </row>
    <row r="256" spans="1:25" ht="15.75" x14ac:dyDescent="0.25">
      <c r="A256" s="285"/>
      <c r="B256" s="337" t="s">
        <v>158</v>
      </c>
      <c r="C256" s="378"/>
      <c r="D256" s="378"/>
      <c r="E256" s="378"/>
      <c r="F256" s="286"/>
      <c r="G256" s="379"/>
      <c r="H256" s="378"/>
      <c r="I256" s="378"/>
      <c r="J256" s="378"/>
      <c r="K256" s="378"/>
      <c r="L256" s="378"/>
      <c r="M256" s="378"/>
      <c r="N256" s="378"/>
      <c r="O256" s="378"/>
      <c r="P256" s="378"/>
      <c r="Q256" s="378"/>
      <c r="R256" s="337">
        <v>0</v>
      </c>
      <c r="S256" s="379">
        <f t="shared" si="5"/>
        <v>0</v>
      </c>
      <c r="T256" s="338">
        <v>0</v>
      </c>
      <c r="U256" s="379">
        <f t="shared" si="6"/>
        <v>0</v>
      </c>
      <c r="V256" s="361"/>
      <c r="W256" s="409"/>
      <c r="X256" s="5"/>
      <c r="Y256" s="109"/>
    </row>
    <row r="257" spans="1:25" ht="15.75" x14ac:dyDescent="0.25">
      <c r="A257" s="285"/>
      <c r="B257" s="337" t="s">
        <v>159</v>
      </c>
      <c r="C257" s="378"/>
      <c r="D257" s="378"/>
      <c r="E257" s="378"/>
      <c r="F257" s="286"/>
      <c r="G257" s="379"/>
      <c r="H257" s="378"/>
      <c r="I257" s="378"/>
      <c r="J257" s="378"/>
      <c r="K257" s="378"/>
      <c r="L257" s="378"/>
      <c r="M257" s="378"/>
      <c r="N257" s="378"/>
      <c r="O257" s="378"/>
      <c r="P257" s="378"/>
      <c r="Q257" s="378"/>
      <c r="R257" s="337">
        <v>1</v>
      </c>
      <c r="S257" s="379">
        <f t="shared" si="5"/>
        <v>1.7844396859386153E-4</v>
      </c>
      <c r="T257" s="338">
        <v>102</v>
      </c>
      <c r="U257" s="379">
        <f t="shared" si="6"/>
        <v>1.2780545503753973E-4</v>
      </c>
      <c r="V257" s="361"/>
      <c r="W257" s="409"/>
      <c r="X257" s="5"/>
    </row>
    <row r="258" spans="1:25" ht="15.75" x14ac:dyDescent="0.25">
      <c r="A258" s="285"/>
      <c r="B258" s="337" t="s">
        <v>160</v>
      </c>
      <c r="C258" s="378"/>
      <c r="D258" s="378"/>
      <c r="E258" s="378"/>
      <c r="F258" s="286"/>
      <c r="G258" s="379"/>
      <c r="H258" s="378"/>
      <c r="I258" s="378"/>
      <c r="J258" s="378"/>
      <c r="K258" s="378"/>
      <c r="L258" s="378"/>
      <c r="M258" s="378"/>
      <c r="N258" s="378"/>
      <c r="O258" s="378"/>
      <c r="P258" s="378"/>
      <c r="Q258" s="378"/>
      <c r="R258" s="337">
        <v>2</v>
      </c>
      <c r="S258" s="379">
        <f t="shared" si="5"/>
        <v>3.5688793718772306E-4</v>
      </c>
      <c r="T258" s="338">
        <v>490</v>
      </c>
      <c r="U258" s="379">
        <f t="shared" si="6"/>
        <v>6.1396738204308292E-4</v>
      </c>
      <c r="V258" s="361"/>
      <c r="W258" s="409"/>
      <c r="X258" s="5"/>
      <c r="Y258" s="109"/>
    </row>
    <row r="259" spans="1:25" ht="15.75" x14ac:dyDescent="0.25">
      <c r="A259" s="285"/>
      <c r="B259" s="337"/>
      <c r="C259" s="378"/>
      <c r="D259" s="378"/>
      <c r="E259" s="378"/>
      <c r="F259" s="286"/>
      <c r="G259" s="379"/>
      <c r="H259" s="378"/>
      <c r="I259" s="378"/>
      <c r="J259" s="378"/>
      <c r="K259" s="378"/>
      <c r="L259" s="378"/>
      <c r="M259" s="378"/>
      <c r="N259" s="378"/>
      <c r="O259" s="378"/>
      <c r="P259" s="378"/>
      <c r="Q259" s="378"/>
      <c r="R259" s="337"/>
      <c r="S259" s="379"/>
      <c r="T259" s="338"/>
      <c r="U259" s="379"/>
      <c r="V259" s="361"/>
      <c r="W259" s="409"/>
      <c r="X259" s="5"/>
    </row>
    <row r="260" spans="1:25" ht="15.75" x14ac:dyDescent="0.25">
      <c r="A260" s="285"/>
      <c r="B260" s="286"/>
      <c r="C260" s="286"/>
      <c r="D260" s="286"/>
      <c r="E260" s="286"/>
      <c r="F260" s="286"/>
      <c r="G260" s="286"/>
      <c r="H260" s="381"/>
      <c r="I260" s="381"/>
      <c r="J260" s="381"/>
      <c r="K260" s="381"/>
      <c r="L260" s="381"/>
      <c r="M260" s="381"/>
      <c r="N260" s="381"/>
      <c r="O260" s="381"/>
      <c r="P260" s="381"/>
      <c r="Q260" s="381"/>
      <c r="R260" s="337">
        <f>SUM(R251:R259)</f>
        <v>5604</v>
      </c>
      <c r="S260" s="379">
        <f>SUM(S251:S259)</f>
        <v>1</v>
      </c>
      <c r="T260" s="338">
        <f>SUM(T251:T259)</f>
        <v>798088</v>
      </c>
      <c r="U260" s="379">
        <f>SUM(U251:U259)</f>
        <v>1</v>
      </c>
      <c r="V260" s="286"/>
      <c r="W260" s="289"/>
      <c r="X260" s="5"/>
    </row>
    <row r="261" spans="1:25" ht="15.75" x14ac:dyDescent="0.25">
      <c r="A261" s="181"/>
      <c r="B261" s="212"/>
      <c r="C261" s="212"/>
      <c r="D261" s="212"/>
      <c r="E261" s="212"/>
      <c r="F261" s="212"/>
      <c r="G261" s="212"/>
      <c r="H261" s="375"/>
      <c r="I261" s="375"/>
      <c r="J261" s="375"/>
      <c r="K261" s="375"/>
      <c r="L261" s="375"/>
      <c r="M261" s="375"/>
      <c r="N261" s="375"/>
      <c r="O261" s="375"/>
      <c r="P261" s="375"/>
      <c r="Q261" s="375"/>
      <c r="R261" s="335"/>
      <c r="S261" s="376"/>
      <c r="T261" s="377"/>
      <c r="U261" s="376"/>
      <c r="V261" s="212"/>
      <c r="W261" s="212"/>
      <c r="X261" s="5"/>
    </row>
    <row r="262" spans="1:25" ht="15.75" x14ac:dyDescent="0.25">
      <c r="A262" s="244"/>
      <c r="B262" s="399" t="s">
        <v>236</v>
      </c>
      <c r="C262" s="400"/>
      <c r="D262" s="400"/>
      <c r="E262" s="400"/>
      <c r="F262" s="407"/>
      <c r="G262" s="400"/>
      <c r="H262" s="400"/>
      <c r="I262" s="400"/>
      <c r="J262" s="400"/>
      <c r="K262" s="400"/>
      <c r="L262" s="400"/>
      <c r="M262" s="400"/>
      <c r="N262" s="400"/>
      <c r="O262" s="400"/>
      <c r="P262" s="400"/>
      <c r="Q262" s="400"/>
      <c r="R262" s="407" t="s">
        <v>102</v>
      </c>
      <c r="S262" s="400" t="s">
        <v>103</v>
      </c>
      <c r="T262" s="407" t="s">
        <v>109</v>
      </c>
      <c r="U262" s="400" t="s">
        <v>103</v>
      </c>
      <c r="V262" s="245"/>
      <c r="W262" s="246"/>
      <c r="X262" s="5"/>
    </row>
    <row r="263" spans="1:25" ht="15.75" x14ac:dyDescent="0.25">
      <c r="A263" s="193"/>
      <c r="B263" s="249" t="s">
        <v>88</v>
      </c>
      <c r="C263" s="265"/>
      <c r="D263" s="265"/>
      <c r="E263" s="265"/>
      <c r="F263" s="250"/>
      <c r="G263" s="265"/>
      <c r="H263" s="265"/>
      <c r="I263" s="265"/>
      <c r="J263" s="265"/>
      <c r="K263" s="265"/>
      <c r="L263" s="265"/>
      <c r="M263" s="265"/>
      <c r="N263" s="265"/>
      <c r="O263" s="265"/>
      <c r="P263" s="265"/>
      <c r="Q263" s="265"/>
      <c r="R263" s="249">
        <v>87</v>
      </c>
      <c r="S263" s="252">
        <f t="shared" ref="S263:S269" si="7">R263/$R$272</f>
        <v>0.65413533834586468</v>
      </c>
      <c r="T263" s="253">
        <v>13816</v>
      </c>
      <c r="U263" s="252">
        <f t="shared" ref="U263:U270" si="8">T263/$T$272</f>
        <v>0.6765915768854065</v>
      </c>
      <c r="V263" s="250"/>
      <c r="W263" s="250"/>
      <c r="X263" s="5"/>
    </row>
    <row r="264" spans="1:25" ht="15.75" x14ac:dyDescent="0.25">
      <c r="A264" s="285"/>
      <c r="B264" s="337" t="s">
        <v>89</v>
      </c>
      <c r="C264" s="378"/>
      <c r="D264" s="378"/>
      <c r="E264" s="378"/>
      <c r="F264" s="286"/>
      <c r="G264" s="379"/>
      <c r="H264" s="378"/>
      <c r="I264" s="378"/>
      <c r="J264" s="378"/>
      <c r="K264" s="378"/>
      <c r="L264" s="378"/>
      <c r="M264" s="378"/>
      <c r="N264" s="378"/>
      <c r="O264" s="378"/>
      <c r="P264" s="378"/>
      <c r="Q264" s="378"/>
      <c r="R264" s="337">
        <v>7</v>
      </c>
      <c r="S264" s="379">
        <f t="shared" si="7"/>
        <v>5.2631578947368418E-2</v>
      </c>
      <c r="T264" s="338">
        <v>979</v>
      </c>
      <c r="U264" s="379">
        <f t="shared" si="8"/>
        <v>4.7943192948090109E-2</v>
      </c>
      <c r="V264" s="286"/>
      <c r="W264" s="289"/>
      <c r="X264" s="5"/>
    </row>
    <row r="265" spans="1:25" ht="15.75" x14ac:dyDescent="0.25">
      <c r="A265" s="285"/>
      <c r="B265" s="337" t="s">
        <v>90</v>
      </c>
      <c r="C265" s="378"/>
      <c r="D265" s="378"/>
      <c r="E265" s="378"/>
      <c r="F265" s="286"/>
      <c r="G265" s="379"/>
      <c r="H265" s="378"/>
      <c r="I265" s="378"/>
      <c r="J265" s="378"/>
      <c r="K265" s="378"/>
      <c r="L265" s="378"/>
      <c r="M265" s="378"/>
      <c r="N265" s="378"/>
      <c r="O265" s="378"/>
      <c r="P265" s="378"/>
      <c r="Q265" s="378"/>
      <c r="R265" s="337">
        <v>4</v>
      </c>
      <c r="S265" s="379">
        <f t="shared" si="7"/>
        <v>3.007518796992481E-2</v>
      </c>
      <c r="T265" s="338">
        <v>540</v>
      </c>
      <c r="U265" s="379">
        <f t="shared" si="8"/>
        <v>2.6444662095984329E-2</v>
      </c>
      <c r="V265" s="286"/>
      <c r="W265" s="289"/>
      <c r="X265" s="5"/>
    </row>
    <row r="266" spans="1:25" ht="15.75" x14ac:dyDescent="0.25">
      <c r="A266" s="285"/>
      <c r="B266" s="337" t="s">
        <v>156</v>
      </c>
      <c r="C266" s="378"/>
      <c r="D266" s="378"/>
      <c r="E266" s="378"/>
      <c r="F266" s="286"/>
      <c r="G266" s="379"/>
      <c r="H266" s="378"/>
      <c r="I266" s="378"/>
      <c r="J266" s="378"/>
      <c r="K266" s="378"/>
      <c r="L266" s="378"/>
      <c r="M266" s="378"/>
      <c r="N266" s="378"/>
      <c r="O266" s="378"/>
      <c r="P266" s="378"/>
      <c r="Q266" s="378"/>
      <c r="R266" s="337">
        <v>3</v>
      </c>
      <c r="S266" s="379">
        <f t="shared" si="7"/>
        <v>2.2556390977443608E-2</v>
      </c>
      <c r="T266" s="338">
        <v>415</v>
      </c>
      <c r="U266" s="379">
        <f t="shared" si="8"/>
        <v>2.0323212536728696E-2</v>
      </c>
      <c r="V266" s="286"/>
      <c r="W266" s="289"/>
      <c r="X266" s="5"/>
    </row>
    <row r="267" spans="1:25" ht="15.75" x14ac:dyDescent="0.25">
      <c r="A267" s="285"/>
      <c r="B267" s="337" t="s">
        <v>157</v>
      </c>
      <c r="C267" s="378"/>
      <c r="D267" s="378"/>
      <c r="E267" s="378"/>
      <c r="F267" s="286"/>
      <c r="G267" s="379"/>
      <c r="H267" s="378"/>
      <c r="I267" s="378"/>
      <c r="J267" s="378"/>
      <c r="K267" s="378"/>
      <c r="L267" s="378"/>
      <c r="M267" s="378"/>
      <c r="N267" s="378"/>
      <c r="O267" s="378"/>
      <c r="P267" s="378"/>
      <c r="Q267" s="378"/>
      <c r="R267" s="337">
        <v>4</v>
      </c>
      <c r="S267" s="379">
        <f t="shared" si="7"/>
        <v>3.007518796992481E-2</v>
      </c>
      <c r="T267" s="338">
        <v>611</v>
      </c>
      <c r="U267" s="379">
        <f t="shared" si="8"/>
        <v>2.9921645445641527E-2</v>
      </c>
      <c r="V267" s="286"/>
      <c r="W267" s="289"/>
      <c r="X267" s="5"/>
    </row>
    <row r="268" spans="1:25" ht="15.75" x14ac:dyDescent="0.25">
      <c r="A268" s="285"/>
      <c r="B268" s="337" t="s">
        <v>158</v>
      </c>
      <c r="C268" s="378"/>
      <c r="D268" s="378"/>
      <c r="E268" s="378"/>
      <c r="F268" s="286"/>
      <c r="G268" s="379"/>
      <c r="H268" s="378"/>
      <c r="I268" s="378"/>
      <c r="J268" s="378"/>
      <c r="K268" s="378"/>
      <c r="L268" s="378"/>
      <c r="M268" s="378"/>
      <c r="N268" s="378"/>
      <c r="O268" s="378"/>
      <c r="P268" s="378"/>
      <c r="Q268" s="378"/>
      <c r="R268" s="337">
        <v>5</v>
      </c>
      <c r="S268" s="379">
        <f t="shared" si="7"/>
        <v>3.7593984962406013E-2</v>
      </c>
      <c r="T268" s="338">
        <v>791</v>
      </c>
      <c r="U268" s="379">
        <f t="shared" si="8"/>
        <v>3.8736532810969636E-2</v>
      </c>
      <c r="V268" s="286"/>
      <c r="W268" s="289"/>
      <c r="X268" s="5"/>
    </row>
    <row r="269" spans="1:25" ht="15.75" x14ac:dyDescent="0.25">
      <c r="A269" s="285"/>
      <c r="B269" s="337" t="s">
        <v>159</v>
      </c>
      <c r="C269" s="378"/>
      <c r="D269" s="378"/>
      <c r="E269" s="378"/>
      <c r="F269" s="286"/>
      <c r="G269" s="379"/>
      <c r="H269" s="378"/>
      <c r="I269" s="378"/>
      <c r="J269" s="378"/>
      <c r="K269" s="378"/>
      <c r="L269" s="378"/>
      <c r="M269" s="378"/>
      <c r="N269" s="378"/>
      <c r="O269" s="378"/>
      <c r="P269" s="378"/>
      <c r="Q269" s="378"/>
      <c r="R269" s="337">
        <v>7</v>
      </c>
      <c r="S269" s="379">
        <f t="shared" si="7"/>
        <v>5.2631578947368418E-2</v>
      </c>
      <c r="T269" s="338">
        <v>899</v>
      </c>
      <c r="U269" s="379">
        <f t="shared" si="8"/>
        <v>4.4025465230166504E-2</v>
      </c>
      <c r="V269" s="286"/>
      <c r="W269" s="289"/>
      <c r="X269" s="5"/>
    </row>
    <row r="270" spans="1:25" ht="15.75" x14ac:dyDescent="0.25">
      <c r="A270" s="285"/>
      <c r="B270" s="337" t="s">
        <v>160</v>
      </c>
      <c r="C270" s="378"/>
      <c r="D270" s="378"/>
      <c r="E270" s="378"/>
      <c r="F270" s="286"/>
      <c r="G270" s="379"/>
      <c r="H270" s="378"/>
      <c r="I270" s="378"/>
      <c r="J270" s="378"/>
      <c r="K270" s="378"/>
      <c r="L270" s="378"/>
      <c r="M270" s="378"/>
      <c r="N270" s="378"/>
      <c r="O270" s="378"/>
      <c r="P270" s="378"/>
      <c r="Q270" s="378"/>
      <c r="R270" s="337">
        <v>16</v>
      </c>
      <c r="S270" s="379">
        <f>R270/$R$272</f>
        <v>0.12030075187969924</v>
      </c>
      <c r="T270" s="338">
        <v>2369</v>
      </c>
      <c r="U270" s="379">
        <f t="shared" si="8"/>
        <v>0.11601371204701273</v>
      </c>
      <c r="V270" s="286"/>
      <c r="W270" s="289"/>
      <c r="X270" s="5"/>
    </row>
    <row r="271" spans="1:25" ht="15.75" x14ac:dyDescent="0.25">
      <c r="A271" s="285"/>
      <c r="B271" s="337"/>
      <c r="C271" s="378"/>
      <c r="D271" s="378"/>
      <c r="E271" s="378"/>
      <c r="F271" s="286"/>
      <c r="G271" s="379"/>
      <c r="H271" s="378"/>
      <c r="I271" s="378"/>
      <c r="J271" s="378"/>
      <c r="K271" s="378"/>
      <c r="L271" s="378"/>
      <c r="M271" s="378"/>
      <c r="N271" s="378"/>
      <c r="O271" s="378"/>
      <c r="P271" s="378"/>
      <c r="Q271" s="378"/>
      <c r="R271" s="337"/>
      <c r="S271" s="379"/>
      <c r="T271" s="338"/>
      <c r="U271" s="379"/>
      <c r="V271" s="286"/>
      <c r="W271" s="289"/>
      <c r="X271" s="5"/>
    </row>
    <row r="272" spans="1:25" ht="15.75" x14ac:dyDescent="0.25">
      <c r="A272" s="285"/>
      <c r="B272" s="286"/>
      <c r="C272" s="286"/>
      <c r="D272" s="286"/>
      <c r="E272" s="286"/>
      <c r="F272" s="286"/>
      <c r="G272" s="286"/>
      <c r="H272" s="381"/>
      <c r="I272" s="381"/>
      <c r="J272" s="381"/>
      <c r="K272" s="381"/>
      <c r="L272" s="381"/>
      <c r="M272" s="381"/>
      <c r="N272" s="381"/>
      <c r="O272" s="381"/>
      <c r="P272" s="381"/>
      <c r="Q272" s="381"/>
      <c r="R272" s="337">
        <f>SUM(R263:R271)</f>
        <v>133</v>
      </c>
      <c r="S272" s="379">
        <f>SUM(S263:S271)</f>
        <v>1</v>
      </c>
      <c r="T272" s="338">
        <f>SUM(T263:T271)</f>
        <v>20420</v>
      </c>
      <c r="U272" s="379">
        <f>SUM(U263:U271)</f>
        <v>1.0000000000000002</v>
      </c>
      <c r="V272" s="286"/>
      <c r="W272" s="289"/>
      <c r="X272" s="5"/>
    </row>
    <row r="273" spans="1:24" ht="15.75" x14ac:dyDescent="0.25">
      <c r="A273" s="181"/>
      <c r="B273" s="212"/>
      <c r="C273" s="212"/>
      <c r="D273" s="212"/>
      <c r="E273" s="212"/>
      <c r="F273" s="212"/>
      <c r="G273" s="212"/>
      <c r="H273" s="375"/>
      <c r="I273" s="375"/>
      <c r="J273" s="375"/>
      <c r="K273" s="375"/>
      <c r="L273" s="375"/>
      <c r="M273" s="375"/>
      <c r="N273" s="375"/>
      <c r="O273" s="375"/>
      <c r="P273" s="375"/>
      <c r="Q273" s="375"/>
      <c r="R273" s="335"/>
      <c r="S273" s="376"/>
      <c r="T273" s="377"/>
      <c r="U273" s="376"/>
      <c r="V273" s="212"/>
      <c r="W273" s="212"/>
      <c r="X273" s="5"/>
    </row>
    <row r="274" spans="1:24" ht="15.75" x14ac:dyDescent="0.25">
      <c r="A274" s="244"/>
      <c r="B274" s="399" t="s">
        <v>163</v>
      </c>
      <c r="C274" s="245"/>
      <c r="D274" s="245"/>
      <c r="E274" s="245"/>
      <c r="F274" s="245"/>
      <c r="G274" s="245"/>
      <c r="H274" s="247"/>
      <c r="I274" s="247"/>
      <c r="J274" s="247"/>
      <c r="K274" s="247"/>
      <c r="L274" s="247"/>
      <c r="M274" s="247"/>
      <c r="N274" s="247"/>
      <c r="O274" s="247"/>
      <c r="P274" s="247"/>
      <c r="Q274" s="247"/>
      <c r="R274" s="407" t="s">
        <v>102</v>
      </c>
      <c r="S274" s="400" t="s">
        <v>103</v>
      </c>
      <c r="T274" s="407" t="s">
        <v>109</v>
      </c>
      <c r="U274" s="400" t="s">
        <v>103</v>
      </c>
      <c r="V274" s="245"/>
      <c r="W274" s="246"/>
      <c r="X274" s="5"/>
    </row>
    <row r="275" spans="1:24" ht="15.75" x14ac:dyDescent="0.25">
      <c r="A275" s="248"/>
      <c r="B275" s="249" t="s">
        <v>88</v>
      </c>
      <c r="C275" s="250"/>
      <c r="D275" s="250"/>
      <c r="E275" s="250"/>
      <c r="F275" s="250"/>
      <c r="G275" s="250"/>
      <c r="H275" s="251"/>
      <c r="I275" s="251"/>
      <c r="J275" s="251"/>
      <c r="K275" s="251"/>
      <c r="L275" s="251"/>
      <c r="M275" s="251"/>
      <c r="N275" s="251"/>
      <c r="O275" s="251"/>
      <c r="P275" s="251"/>
      <c r="Q275" s="251"/>
      <c r="R275" s="249">
        <v>0</v>
      </c>
      <c r="S275" s="252">
        <v>0</v>
      </c>
      <c r="T275" s="253">
        <v>0</v>
      </c>
      <c r="U275" s="252">
        <v>0</v>
      </c>
      <c r="V275" s="250"/>
      <c r="W275" s="250"/>
      <c r="X275" s="5"/>
    </row>
    <row r="276" spans="1:24" ht="15.75" x14ac:dyDescent="0.25">
      <c r="A276" s="295"/>
      <c r="B276" s="337" t="s">
        <v>89</v>
      </c>
      <c r="C276" s="286"/>
      <c r="D276" s="286"/>
      <c r="E276" s="286"/>
      <c r="F276" s="286"/>
      <c r="G276" s="286"/>
      <c r="H276" s="381"/>
      <c r="I276" s="381"/>
      <c r="J276" s="381"/>
      <c r="K276" s="381"/>
      <c r="L276" s="381"/>
      <c r="M276" s="381"/>
      <c r="N276" s="381"/>
      <c r="O276" s="381"/>
      <c r="P276" s="381"/>
      <c r="Q276" s="381"/>
      <c r="R276" s="337">
        <v>0</v>
      </c>
      <c r="S276" s="379">
        <v>0</v>
      </c>
      <c r="T276" s="338">
        <v>0</v>
      </c>
      <c r="U276" s="379">
        <v>0</v>
      </c>
      <c r="V276" s="286"/>
      <c r="W276" s="289"/>
      <c r="X276" s="5"/>
    </row>
    <row r="277" spans="1:24" ht="15.75" x14ac:dyDescent="0.25">
      <c r="A277" s="295"/>
      <c r="B277" s="337" t="s">
        <v>90</v>
      </c>
      <c r="C277" s="286"/>
      <c r="D277" s="286"/>
      <c r="E277" s="286"/>
      <c r="F277" s="286"/>
      <c r="G277" s="286"/>
      <c r="H277" s="381"/>
      <c r="I277" s="381"/>
      <c r="J277" s="381"/>
      <c r="K277" s="381"/>
      <c r="L277" s="381"/>
      <c r="M277" s="381"/>
      <c r="N277" s="381"/>
      <c r="O277" s="381"/>
      <c r="P277" s="381"/>
      <c r="Q277" s="381"/>
      <c r="R277" s="337">
        <v>0</v>
      </c>
      <c r="S277" s="379">
        <v>0</v>
      </c>
      <c r="T277" s="338">
        <v>0</v>
      </c>
      <c r="U277" s="379">
        <v>0</v>
      </c>
      <c r="V277" s="286"/>
      <c r="W277" s="289"/>
      <c r="X277" s="5"/>
    </row>
    <row r="278" spans="1:24" ht="15.75" x14ac:dyDescent="0.25">
      <c r="A278" s="295"/>
      <c r="B278" s="337" t="s">
        <v>156</v>
      </c>
      <c r="C278" s="286"/>
      <c r="D278" s="286"/>
      <c r="E278" s="286"/>
      <c r="F278" s="286"/>
      <c r="G278" s="286"/>
      <c r="H278" s="381"/>
      <c r="I278" s="381"/>
      <c r="J278" s="381"/>
      <c r="K278" s="381"/>
      <c r="L278" s="381"/>
      <c r="M278" s="381"/>
      <c r="N278" s="381"/>
      <c r="O278" s="381"/>
      <c r="P278" s="381"/>
      <c r="Q278" s="381"/>
      <c r="R278" s="337">
        <v>0</v>
      </c>
      <c r="S278" s="379">
        <v>0</v>
      </c>
      <c r="T278" s="338">
        <v>0</v>
      </c>
      <c r="U278" s="379">
        <v>0</v>
      </c>
      <c r="V278" s="286"/>
      <c r="W278" s="289"/>
      <c r="X278" s="5"/>
    </row>
    <row r="279" spans="1:24" ht="15.75" x14ac:dyDescent="0.25">
      <c r="A279" s="295"/>
      <c r="B279" s="337" t="s">
        <v>157</v>
      </c>
      <c r="C279" s="286"/>
      <c r="D279" s="286"/>
      <c r="E279" s="286"/>
      <c r="F279" s="286"/>
      <c r="G279" s="286"/>
      <c r="H279" s="381"/>
      <c r="I279" s="381"/>
      <c r="J279" s="381"/>
      <c r="K279" s="381"/>
      <c r="L279" s="381"/>
      <c r="M279" s="381"/>
      <c r="N279" s="381"/>
      <c r="O279" s="381"/>
      <c r="P279" s="381"/>
      <c r="Q279" s="381"/>
      <c r="R279" s="337">
        <v>0</v>
      </c>
      <c r="S279" s="379">
        <v>0</v>
      </c>
      <c r="T279" s="338">
        <v>0</v>
      </c>
      <c r="U279" s="379">
        <v>0</v>
      </c>
      <c r="V279" s="286"/>
      <c r="W279" s="289"/>
      <c r="X279" s="5"/>
    </row>
    <row r="280" spans="1:24" ht="15.75" x14ac:dyDescent="0.25">
      <c r="A280" s="295"/>
      <c r="B280" s="337" t="s">
        <v>158</v>
      </c>
      <c r="C280" s="286"/>
      <c r="D280" s="286"/>
      <c r="E280" s="286"/>
      <c r="F280" s="286"/>
      <c r="G280" s="286"/>
      <c r="H280" s="381"/>
      <c r="I280" s="381"/>
      <c r="J280" s="381"/>
      <c r="K280" s="381"/>
      <c r="L280" s="381"/>
      <c r="M280" s="381"/>
      <c r="N280" s="381"/>
      <c r="O280" s="381"/>
      <c r="P280" s="381"/>
      <c r="Q280" s="381"/>
      <c r="R280" s="337">
        <v>0</v>
      </c>
      <c r="S280" s="379">
        <v>0</v>
      </c>
      <c r="T280" s="338">
        <v>0</v>
      </c>
      <c r="U280" s="379">
        <v>0</v>
      </c>
      <c r="V280" s="286"/>
      <c r="W280" s="289"/>
      <c r="X280" s="5"/>
    </row>
    <row r="281" spans="1:24" ht="15.75" x14ac:dyDescent="0.25">
      <c r="A281" s="295"/>
      <c r="B281" s="337" t="s">
        <v>159</v>
      </c>
      <c r="C281" s="286"/>
      <c r="D281" s="286"/>
      <c r="E281" s="286"/>
      <c r="F281" s="286"/>
      <c r="G281" s="286"/>
      <c r="H281" s="381"/>
      <c r="I281" s="381"/>
      <c r="J281" s="381"/>
      <c r="K281" s="381"/>
      <c r="L281" s="381"/>
      <c r="M281" s="381"/>
      <c r="N281" s="381"/>
      <c r="O281" s="381"/>
      <c r="P281" s="381"/>
      <c r="Q281" s="381"/>
      <c r="R281" s="337">
        <v>0</v>
      </c>
      <c r="S281" s="379">
        <v>0</v>
      </c>
      <c r="T281" s="338">
        <v>0</v>
      </c>
      <c r="U281" s="379">
        <v>0</v>
      </c>
      <c r="V281" s="286"/>
      <c r="W281" s="289"/>
      <c r="X281" s="5"/>
    </row>
    <row r="282" spans="1:24" ht="15.75" x14ac:dyDescent="0.25">
      <c r="A282" s="295"/>
      <c r="B282" s="337" t="s">
        <v>160</v>
      </c>
      <c r="C282" s="286"/>
      <c r="D282" s="286"/>
      <c r="E282" s="286"/>
      <c r="F282" s="286"/>
      <c r="G282" s="286"/>
      <c r="H282" s="381"/>
      <c r="I282" s="381"/>
      <c r="J282" s="381"/>
      <c r="K282" s="381"/>
      <c r="L282" s="381"/>
      <c r="M282" s="381"/>
      <c r="N282" s="381"/>
      <c r="O282" s="381"/>
      <c r="P282" s="381"/>
      <c r="Q282" s="381"/>
      <c r="R282" s="337">
        <v>1</v>
      </c>
      <c r="S282" s="379">
        <f>+R282/R284</f>
        <v>1</v>
      </c>
      <c r="T282" s="338">
        <v>57</v>
      </c>
      <c r="U282" s="379">
        <f>+T282/T284</f>
        <v>1</v>
      </c>
      <c r="V282" s="286"/>
      <c r="W282" s="289"/>
      <c r="X282" s="5"/>
    </row>
    <row r="283" spans="1:24" ht="15.75" x14ac:dyDescent="0.25">
      <c r="A283" s="295"/>
      <c r="B283" s="337"/>
      <c r="C283" s="286"/>
      <c r="D283" s="286"/>
      <c r="E283" s="286"/>
      <c r="F283" s="286"/>
      <c r="G283" s="286"/>
      <c r="H283" s="381"/>
      <c r="I283" s="381"/>
      <c r="J283" s="381"/>
      <c r="K283" s="381"/>
      <c r="L283" s="381"/>
      <c r="M283" s="381"/>
      <c r="N283" s="381"/>
      <c r="O283" s="381"/>
      <c r="P283" s="381"/>
      <c r="Q283" s="381"/>
      <c r="R283" s="337"/>
      <c r="S283" s="379"/>
      <c r="T283" s="338"/>
      <c r="U283" s="379"/>
      <c r="V283" s="286"/>
      <c r="W283" s="289"/>
      <c r="X283" s="5"/>
    </row>
    <row r="284" spans="1:24" ht="15.75" x14ac:dyDescent="0.25">
      <c r="A284" s="295"/>
      <c r="B284" s="286" t="s">
        <v>114</v>
      </c>
      <c r="C284" s="286"/>
      <c r="D284" s="286"/>
      <c r="E284" s="286"/>
      <c r="F284" s="286"/>
      <c r="G284" s="286"/>
      <c r="H284" s="381"/>
      <c r="I284" s="381"/>
      <c r="J284" s="381"/>
      <c r="K284" s="381"/>
      <c r="L284" s="381"/>
      <c r="M284" s="381"/>
      <c r="N284" s="381"/>
      <c r="O284" s="381"/>
      <c r="P284" s="381"/>
      <c r="Q284" s="381"/>
      <c r="R284" s="337">
        <f>SUM(R275:R282)</f>
        <v>1</v>
      </c>
      <c r="S284" s="379">
        <f>SUM(S275:S282)</f>
        <v>1</v>
      </c>
      <c r="T284" s="338">
        <f>SUM(T275:T282)</f>
        <v>57</v>
      </c>
      <c r="U284" s="379">
        <f>SUM(U275:U282)</f>
        <v>1</v>
      </c>
      <c r="V284" s="286"/>
      <c r="W284" s="289"/>
      <c r="X284" s="5"/>
    </row>
    <row r="285" spans="1:24" ht="15.75" x14ac:dyDescent="0.25">
      <c r="A285" s="295"/>
      <c r="B285" s="286"/>
      <c r="C285" s="286"/>
      <c r="D285" s="286"/>
      <c r="E285" s="286"/>
      <c r="F285" s="286"/>
      <c r="G285" s="286"/>
      <c r="H285" s="381"/>
      <c r="I285" s="381"/>
      <c r="J285" s="381"/>
      <c r="K285" s="381"/>
      <c r="L285" s="381"/>
      <c r="M285" s="381"/>
      <c r="N285" s="381"/>
      <c r="O285" s="381"/>
      <c r="P285" s="381"/>
      <c r="Q285" s="381"/>
      <c r="R285" s="337"/>
      <c r="S285" s="379"/>
      <c r="T285" s="338"/>
      <c r="U285" s="379"/>
      <c r="V285" s="286"/>
      <c r="W285" s="289"/>
      <c r="X285" s="5"/>
    </row>
    <row r="286" spans="1:24" ht="15.75" x14ac:dyDescent="0.25">
      <c r="A286" s="295"/>
      <c r="B286" s="297" t="s">
        <v>164</v>
      </c>
      <c r="C286" s="286"/>
      <c r="D286" s="286"/>
      <c r="E286" s="286"/>
      <c r="F286" s="286"/>
      <c r="G286" s="286"/>
      <c r="H286" s="381"/>
      <c r="I286" s="381"/>
      <c r="J286" s="381"/>
      <c r="K286" s="381"/>
      <c r="L286" s="381"/>
      <c r="M286" s="381"/>
      <c r="N286" s="381"/>
      <c r="O286" s="381"/>
      <c r="P286" s="381"/>
      <c r="Q286" s="381"/>
      <c r="R286" s="384">
        <f>R284+R272+R260</f>
        <v>5738</v>
      </c>
      <c r="S286" s="379"/>
      <c r="T286" s="410">
        <f>+T284+T272+T260</f>
        <v>818565</v>
      </c>
      <c r="U286" s="379"/>
      <c r="V286" s="286"/>
      <c r="W286" s="289"/>
      <c r="X286" s="5"/>
    </row>
    <row r="287" spans="1:24" ht="15.75" x14ac:dyDescent="0.25">
      <c r="A287" s="254"/>
      <c r="B287" s="346"/>
      <c r="C287" s="346"/>
      <c r="D287" s="346"/>
      <c r="E287" s="346"/>
      <c r="F287" s="346"/>
      <c r="G287" s="346"/>
      <c r="H287" s="382"/>
      <c r="I287" s="382"/>
      <c r="J287" s="382"/>
      <c r="K287" s="382"/>
      <c r="L287" s="382"/>
      <c r="M287" s="382"/>
      <c r="N287" s="382"/>
      <c r="O287" s="382"/>
      <c r="P287" s="382"/>
      <c r="Q287" s="382"/>
      <c r="R287" s="382"/>
      <c r="S287" s="382"/>
      <c r="T287" s="383"/>
      <c r="U287" s="382"/>
      <c r="V287" s="346"/>
      <c r="W287" s="346"/>
      <c r="X287" s="5"/>
    </row>
    <row r="288" spans="1:24" ht="15.75" x14ac:dyDescent="0.25">
      <c r="A288" s="254"/>
      <c r="B288" s="255"/>
      <c r="C288" s="255"/>
      <c r="D288" s="255"/>
      <c r="E288" s="255"/>
      <c r="F288" s="255"/>
      <c r="G288" s="255"/>
      <c r="H288" s="256"/>
      <c r="I288" s="256"/>
      <c r="J288" s="256"/>
      <c r="K288" s="256"/>
      <c r="L288" s="256"/>
      <c r="M288" s="256"/>
      <c r="N288" s="256"/>
      <c r="O288" s="256"/>
      <c r="P288" s="256"/>
      <c r="Q288" s="256"/>
      <c r="R288" s="256"/>
      <c r="S288" s="256"/>
      <c r="T288" s="257"/>
      <c r="U288" s="256"/>
      <c r="V288" s="255"/>
      <c r="W288" s="255"/>
      <c r="X288" s="5"/>
    </row>
    <row r="289" spans="1:24" ht="15.75" x14ac:dyDescent="0.25">
      <c r="A289" s="258"/>
      <c r="B289" s="388" t="s">
        <v>91</v>
      </c>
      <c r="C289" s="255"/>
      <c r="D289" s="255"/>
      <c r="E289" s="255"/>
      <c r="F289" s="391" t="s">
        <v>97</v>
      </c>
      <c r="G289" s="255"/>
      <c r="H289" s="388" t="s">
        <v>99</v>
      </c>
      <c r="I289" s="388"/>
      <c r="J289" s="388"/>
      <c r="K289" s="261"/>
      <c r="L289" s="261"/>
      <c r="M289" s="261"/>
      <c r="N289" s="261"/>
      <c r="O289" s="261"/>
      <c r="P289" s="261"/>
      <c r="Q289" s="261"/>
      <c r="R289" s="261"/>
      <c r="S289" s="261"/>
      <c r="T289" s="261"/>
      <c r="U289" s="261"/>
      <c r="V289" s="261"/>
      <c r="W289" s="261"/>
      <c r="X289" s="5"/>
    </row>
    <row r="290" spans="1:24" ht="15.75" x14ac:dyDescent="0.25">
      <c r="A290" s="258"/>
      <c r="B290" s="261"/>
      <c r="C290" s="255"/>
      <c r="D290" s="255"/>
      <c r="E290" s="255"/>
      <c r="F290" s="255"/>
      <c r="G290" s="255"/>
      <c r="H290" s="255"/>
      <c r="I290" s="255"/>
      <c r="J290" s="255"/>
      <c r="K290" s="261"/>
      <c r="L290" s="261"/>
      <c r="M290" s="261"/>
      <c r="N290" s="261"/>
      <c r="O290" s="261"/>
      <c r="P290" s="261"/>
      <c r="Q290" s="261"/>
      <c r="R290" s="261"/>
      <c r="S290" s="261"/>
      <c r="T290" s="261"/>
      <c r="U290" s="261"/>
      <c r="V290" s="261"/>
      <c r="W290" s="261"/>
      <c r="X290" s="5"/>
    </row>
    <row r="291" spans="1:24" ht="15.75" x14ac:dyDescent="0.25">
      <c r="A291" s="258"/>
      <c r="B291" s="388" t="s">
        <v>92</v>
      </c>
      <c r="C291" s="388"/>
      <c r="D291" s="388"/>
      <c r="E291" s="388"/>
      <c r="F291" s="411" t="s">
        <v>148</v>
      </c>
      <c r="G291" s="388"/>
      <c r="H291" s="388" t="s">
        <v>152</v>
      </c>
      <c r="I291" s="388"/>
      <c r="J291" s="388"/>
      <c r="K291" s="261"/>
      <c r="L291" s="261"/>
      <c r="M291" s="261"/>
      <c r="N291" s="261"/>
      <c r="O291" s="261"/>
      <c r="P291" s="261"/>
      <c r="Q291" s="261"/>
      <c r="R291" s="261"/>
      <c r="S291" s="261"/>
      <c r="T291" s="261"/>
      <c r="U291" s="261"/>
      <c r="V291" s="261"/>
      <c r="W291" s="261"/>
      <c r="X291" s="5"/>
    </row>
    <row r="292" spans="1:24" ht="15.75" x14ac:dyDescent="0.25">
      <c r="A292" s="258"/>
      <c r="B292" s="388" t="s">
        <v>265</v>
      </c>
      <c r="C292" s="388"/>
      <c r="D292" s="388"/>
      <c r="E292" s="388"/>
      <c r="F292" s="411" t="s">
        <v>266</v>
      </c>
      <c r="G292" s="388"/>
      <c r="H292" s="388" t="s">
        <v>267</v>
      </c>
      <c r="I292" s="388"/>
      <c r="J292" s="388"/>
      <c r="K292" s="261"/>
      <c r="L292" s="261"/>
      <c r="M292" s="261"/>
      <c r="N292" s="261"/>
      <c r="O292" s="261"/>
      <c r="P292" s="261"/>
      <c r="Q292" s="261"/>
      <c r="R292" s="261"/>
      <c r="S292" s="261"/>
      <c r="T292" s="261"/>
      <c r="U292" s="261"/>
      <c r="V292" s="261"/>
      <c r="W292" s="261"/>
      <c r="X292" s="5"/>
    </row>
    <row r="293" spans="1:24" ht="15.75" x14ac:dyDescent="0.25">
      <c r="A293" s="258"/>
      <c r="B293" s="388" t="s">
        <v>93</v>
      </c>
      <c r="C293" s="388"/>
      <c r="D293" s="388"/>
      <c r="E293" s="388"/>
      <c r="F293" s="411" t="s">
        <v>147</v>
      </c>
      <c r="G293" s="388"/>
      <c r="H293" s="388" t="s">
        <v>153</v>
      </c>
      <c r="I293" s="388"/>
      <c r="J293" s="388"/>
      <c r="K293" s="261"/>
      <c r="L293" s="261"/>
      <c r="M293" s="261"/>
      <c r="N293" s="261"/>
      <c r="O293" s="261"/>
      <c r="P293" s="261"/>
      <c r="Q293" s="261"/>
      <c r="R293" s="261"/>
      <c r="S293" s="261"/>
      <c r="T293" s="261"/>
      <c r="U293" s="261"/>
      <c r="V293" s="261"/>
      <c r="W293" s="261"/>
      <c r="X293" s="5"/>
    </row>
    <row r="294" spans="1:24" ht="15.75" x14ac:dyDescent="0.25">
      <c r="A294" s="258"/>
      <c r="B294" s="388"/>
      <c r="C294" s="388"/>
      <c r="D294" s="388"/>
      <c r="E294" s="388"/>
      <c r="F294" s="388"/>
      <c r="G294" s="263"/>
      <c r="H294" s="261"/>
      <c r="I294" s="261"/>
      <c r="J294" s="261"/>
      <c r="K294" s="261"/>
      <c r="L294" s="261"/>
      <c r="M294" s="261"/>
      <c r="N294" s="261"/>
      <c r="O294" s="261"/>
      <c r="P294" s="261"/>
      <c r="Q294" s="261"/>
      <c r="R294" s="261"/>
      <c r="S294" s="261"/>
      <c r="T294" s="261"/>
      <c r="U294" s="261"/>
      <c r="V294" s="261"/>
      <c r="W294" s="261"/>
      <c r="X294" s="5"/>
    </row>
    <row r="295" spans="1:24" ht="15.75" x14ac:dyDescent="0.25">
      <c r="A295" s="258"/>
      <c r="B295" s="388"/>
      <c r="C295" s="388"/>
      <c r="D295" s="388"/>
      <c r="E295" s="388"/>
      <c r="F295" s="388"/>
      <c r="G295" s="263"/>
      <c r="H295" s="261"/>
      <c r="I295" s="261"/>
      <c r="J295" s="261"/>
      <c r="K295" s="261"/>
      <c r="L295" s="261"/>
      <c r="M295" s="261"/>
      <c r="N295" s="261"/>
      <c r="O295" s="261"/>
      <c r="P295" s="261"/>
      <c r="Q295" s="261"/>
      <c r="R295" s="261"/>
      <c r="S295" s="261"/>
      <c r="T295" s="261"/>
      <c r="U295" s="261"/>
      <c r="V295" s="261"/>
      <c r="W295" s="261"/>
      <c r="X295" s="5"/>
    </row>
    <row r="296" spans="1:24" ht="19.5" thickBot="1" x14ac:dyDescent="0.35">
      <c r="A296" s="258"/>
      <c r="B296" s="264" t="str">
        <f>B200</f>
        <v>PM15 INVESTOR REPORT QUARTER ENDING AUGUST 2012</v>
      </c>
      <c r="C296" s="388"/>
      <c r="D296" s="388"/>
      <c r="E296" s="388"/>
      <c r="F296" s="388"/>
      <c r="G296" s="263"/>
      <c r="H296" s="261"/>
      <c r="I296" s="261"/>
      <c r="J296" s="261"/>
      <c r="K296" s="261"/>
      <c r="L296" s="261"/>
      <c r="M296" s="261"/>
      <c r="N296" s="261"/>
      <c r="O296" s="261"/>
      <c r="P296" s="261"/>
      <c r="Q296" s="261"/>
      <c r="R296" s="261"/>
      <c r="S296" s="261"/>
      <c r="T296" s="261"/>
      <c r="U296" s="261"/>
      <c r="V296" s="261"/>
      <c r="W296" s="261"/>
      <c r="X296" s="5"/>
    </row>
    <row r="297" spans="1:24" x14ac:dyDescent="0.2">
      <c r="A297" s="100"/>
      <c r="B297" s="100"/>
      <c r="C297" s="100"/>
      <c r="D297" s="100"/>
      <c r="E297" s="100"/>
      <c r="F297" s="100"/>
      <c r="G297" s="100"/>
      <c r="H297" s="100"/>
      <c r="I297" s="100"/>
      <c r="J297" s="100"/>
      <c r="K297" s="100"/>
      <c r="L297" s="100"/>
      <c r="M297" s="100"/>
      <c r="N297" s="100"/>
      <c r="O297" s="100"/>
      <c r="P297" s="100"/>
      <c r="Q297" s="100"/>
      <c r="R297" s="100"/>
      <c r="S297" s="100"/>
      <c r="T297" s="100"/>
      <c r="U297" s="100"/>
      <c r="V297" s="100"/>
      <c r="W297" s="100"/>
    </row>
  </sheetData>
  <hyperlinks>
    <hyperlink ref="P236" r:id="rId1" xr:uid="{00000000-0004-0000-1300-000000000000}"/>
    <hyperlink ref="I9" r:id="rId2" xr:uid="{00000000-0004-0000-13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4" max="14" man="1"/>
    <brk id="200" max="14" man="1"/>
  </rowBreak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sheetPr>
  <dimension ref="A1:IV297"/>
  <sheetViews>
    <sheetView showGridLines="0" showOutlineSymbols="0" zoomScale="70" zoomScaleNormal="70" workbookViewId="0"/>
  </sheetViews>
  <sheetFormatPr defaultColWidth="9.6640625" defaultRowHeight="15" x14ac:dyDescent="0.2"/>
  <cols>
    <col min="1" max="1" width="4" style="1" customWidth="1"/>
    <col min="2" max="2" width="71.21875" style="1" customWidth="1"/>
    <col min="3" max="3" width="2.21875" style="1" customWidth="1"/>
    <col min="4" max="4" width="19.33203125" style="1" customWidth="1"/>
    <col min="5" max="5" width="2.21875" style="1" customWidth="1"/>
    <col min="6" max="6" width="25.109375" style="1" customWidth="1"/>
    <col min="7" max="7" width="2.21875" style="1" customWidth="1"/>
    <col min="8" max="8" width="16.21875" style="1" customWidth="1"/>
    <col min="9" max="9" width="2.88671875" style="1" customWidth="1"/>
    <col min="10" max="10" width="16.21875" style="1" customWidth="1"/>
    <col min="11" max="11" width="2.21875" style="1" customWidth="1"/>
    <col min="12" max="12" width="17.88671875" style="1" customWidth="1"/>
    <col min="13" max="13" width="2.33203125" style="1" customWidth="1"/>
    <col min="14" max="14" width="14.88671875" style="1" customWidth="1"/>
    <col min="15" max="15" width="2.33203125" style="1" customWidth="1"/>
    <col min="16" max="16" width="15.5546875" style="1" customWidth="1"/>
    <col min="17" max="17" width="2.21875" style="1" customWidth="1"/>
    <col min="18" max="18" width="15.5546875" style="1" customWidth="1"/>
    <col min="19" max="20" width="12.6640625" style="1" customWidth="1"/>
    <col min="21" max="21" width="7.77734375" style="1" customWidth="1"/>
    <col min="22" max="22" width="14.6640625" style="1" customWidth="1"/>
    <col min="23" max="23" width="11.77734375" style="1" customWidth="1"/>
    <col min="24" max="16384" width="9.6640625" style="1"/>
  </cols>
  <sheetData>
    <row r="1" spans="1:24" ht="20.25" x14ac:dyDescent="0.3">
      <c r="A1" s="179"/>
      <c r="B1" s="274" t="s">
        <v>237</v>
      </c>
      <c r="C1" s="180"/>
      <c r="D1" s="180"/>
      <c r="E1" s="180"/>
      <c r="F1" s="180"/>
      <c r="G1" s="180"/>
      <c r="H1" s="180"/>
      <c r="I1" s="180"/>
      <c r="J1" s="180"/>
      <c r="K1" s="180"/>
      <c r="L1" s="180"/>
      <c r="M1" s="180"/>
      <c r="N1" s="180"/>
      <c r="O1" s="180"/>
      <c r="P1" s="180"/>
      <c r="Q1" s="180"/>
      <c r="R1" s="180"/>
      <c r="S1" s="180"/>
      <c r="T1" s="180"/>
      <c r="U1" s="180"/>
      <c r="V1" s="180"/>
      <c r="W1" s="180"/>
      <c r="X1" s="5"/>
    </row>
    <row r="2" spans="1:24" ht="15.75" x14ac:dyDescent="0.25">
      <c r="A2" s="181"/>
      <c r="B2" s="182"/>
      <c r="C2" s="183"/>
      <c r="D2" s="183"/>
      <c r="E2" s="183"/>
      <c r="F2" s="183"/>
      <c r="G2" s="183"/>
      <c r="H2" s="183"/>
      <c r="I2" s="183"/>
      <c r="J2" s="183"/>
      <c r="K2" s="183"/>
      <c r="L2" s="183"/>
      <c r="M2" s="183"/>
      <c r="N2" s="183"/>
      <c r="O2" s="183"/>
      <c r="P2" s="183"/>
      <c r="Q2" s="183"/>
      <c r="R2" s="183"/>
      <c r="S2" s="183"/>
      <c r="T2" s="183"/>
      <c r="U2" s="183"/>
      <c r="V2" s="183"/>
      <c r="W2" s="183"/>
      <c r="X2" s="5"/>
    </row>
    <row r="3" spans="1:24" ht="15.75" x14ac:dyDescent="0.25">
      <c r="A3" s="184"/>
      <c r="B3" s="185" t="s">
        <v>238</v>
      </c>
      <c r="C3" s="183"/>
      <c r="D3" s="183"/>
      <c r="E3" s="183"/>
      <c r="F3" s="183"/>
      <c r="G3" s="183"/>
      <c r="H3" s="183"/>
      <c r="I3" s="183"/>
      <c r="J3" s="183"/>
      <c r="K3" s="183"/>
      <c r="L3" s="183"/>
      <c r="M3" s="183"/>
      <c r="N3" s="183"/>
      <c r="O3" s="183"/>
      <c r="P3" s="183"/>
      <c r="Q3" s="183"/>
      <c r="R3" s="183"/>
      <c r="S3" s="183"/>
      <c r="T3" s="183"/>
      <c r="U3" s="183"/>
      <c r="V3" s="183"/>
      <c r="W3" s="183"/>
      <c r="X3" s="5"/>
    </row>
    <row r="4" spans="1:24" ht="15.75" x14ac:dyDescent="0.25">
      <c r="A4" s="181"/>
      <c r="B4" s="182"/>
      <c r="C4" s="183"/>
      <c r="D4" s="183"/>
      <c r="E4" s="183"/>
      <c r="F4" s="183"/>
      <c r="G4" s="183"/>
      <c r="H4" s="183"/>
      <c r="I4" s="183"/>
      <c r="J4" s="183"/>
      <c r="K4" s="183"/>
      <c r="L4" s="183"/>
      <c r="M4" s="183"/>
      <c r="N4" s="183"/>
      <c r="O4" s="183"/>
      <c r="P4" s="183"/>
      <c r="Q4" s="183"/>
      <c r="R4" s="183"/>
      <c r="S4" s="183"/>
      <c r="T4" s="183"/>
      <c r="U4" s="183"/>
      <c r="V4" s="183"/>
      <c r="W4" s="183"/>
      <c r="X4" s="5"/>
    </row>
    <row r="5" spans="1:24" ht="15.75" x14ac:dyDescent="0.25">
      <c r="A5" s="181"/>
      <c r="B5" s="275" t="s">
        <v>137</v>
      </c>
      <c r="C5" s="183"/>
      <c r="D5" s="183"/>
      <c r="E5" s="183"/>
      <c r="F5" s="183"/>
      <c r="G5" s="183"/>
      <c r="H5" s="183"/>
      <c r="I5" s="183"/>
      <c r="J5" s="183"/>
      <c r="K5" s="183"/>
      <c r="L5" s="183"/>
      <c r="M5" s="183"/>
      <c r="N5" s="183"/>
      <c r="O5" s="183"/>
      <c r="P5" s="183"/>
      <c r="Q5" s="183"/>
      <c r="R5" s="183"/>
      <c r="S5" s="183"/>
      <c r="T5" s="183"/>
      <c r="U5" s="183"/>
      <c r="V5" s="183"/>
      <c r="W5" s="183"/>
      <c r="X5" s="5"/>
    </row>
    <row r="6" spans="1:24" ht="15.75" x14ac:dyDescent="0.25">
      <c r="A6" s="181"/>
      <c r="B6" s="275" t="s">
        <v>139</v>
      </c>
      <c r="C6" s="183"/>
      <c r="D6" s="183"/>
      <c r="E6" s="183"/>
      <c r="F6" s="183"/>
      <c r="G6" s="183"/>
      <c r="H6" s="183"/>
      <c r="I6" s="183"/>
      <c r="J6" s="183"/>
      <c r="K6" s="183"/>
      <c r="L6" s="183"/>
      <c r="M6" s="183"/>
      <c r="N6" s="183"/>
      <c r="O6" s="183"/>
      <c r="P6" s="183"/>
      <c r="Q6" s="183"/>
      <c r="R6" s="183"/>
      <c r="S6" s="183"/>
      <c r="T6" s="183"/>
      <c r="U6" s="183"/>
      <c r="V6" s="183"/>
      <c r="W6" s="183"/>
      <c r="X6" s="5"/>
    </row>
    <row r="7" spans="1:24" ht="15.75" x14ac:dyDescent="0.25">
      <c r="A7" s="181"/>
      <c r="B7" s="275" t="s">
        <v>138</v>
      </c>
      <c r="C7" s="183"/>
      <c r="D7" s="183"/>
      <c r="E7" s="183"/>
      <c r="F7" s="183"/>
      <c r="G7" s="183"/>
      <c r="H7" s="183"/>
      <c r="I7" s="183"/>
      <c r="J7" s="183"/>
      <c r="K7" s="183"/>
      <c r="L7" s="183"/>
      <c r="M7" s="183"/>
      <c r="N7" s="183"/>
      <c r="O7" s="183"/>
      <c r="P7" s="183"/>
      <c r="Q7" s="183"/>
      <c r="R7" s="183"/>
      <c r="S7" s="183"/>
      <c r="T7" s="183"/>
      <c r="U7" s="183"/>
      <c r="V7" s="183"/>
      <c r="W7" s="183"/>
      <c r="X7" s="5"/>
    </row>
    <row r="8" spans="1:24" ht="15.75" x14ac:dyDescent="0.25">
      <c r="A8" s="181"/>
      <c r="B8" s="186"/>
      <c r="C8" s="183"/>
      <c r="D8" s="183"/>
      <c r="E8" s="183"/>
      <c r="F8" s="183"/>
      <c r="G8" s="183"/>
      <c r="H8" s="183"/>
      <c r="I8" s="183"/>
      <c r="J8" s="183"/>
      <c r="K8" s="183"/>
      <c r="L8" s="183"/>
      <c r="M8" s="183"/>
      <c r="N8" s="183"/>
      <c r="O8" s="183"/>
      <c r="P8" s="183"/>
      <c r="Q8" s="183"/>
      <c r="R8" s="183"/>
      <c r="S8" s="183"/>
      <c r="T8" s="183"/>
      <c r="U8" s="183"/>
      <c r="V8" s="183"/>
      <c r="W8" s="183"/>
      <c r="X8" s="5"/>
    </row>
    <row r="9" spans="1:24" ht="18.75" x14ac:dyDescent="0.3">
      <c r="A9" s="181"/>
      <c r="B9" s="187" t="s">
        <v>166</v>
      </c>
      <c r="C9" s="183"/>
      <c r="D9" s="183"/>
      <c r="E9" s="183"/>
      <c r="F9" s="183"/>
      <c r="G9" s="183"/>
      <c r="H9" s="183"/>
      <c r="I9" s="188" t="s">
        <v>167</v>
      </c>
      <c r="J9" s="183"/>
      <c r="K9" s="183"/>
      <c r="L9" s="188"/>
      <c r="M9" s="183"/>
      <c r="N9" s="188"/>
      <c r="O9" s="183"/>
      <c r="P9" s="183"/>
      <c r="Q9" s="183"/>
      <c r="R9" s="183"/>
      <c r="S9" s="183"/>
      <c r="T9" s="183"/>
      <c r="U9" s="183"/>
      <c r="V9" s="183"/>
      <c r="W9" s="183"/>
      <c r="X9" s="5"/>
    </row>
    <row r="10" spans="1:24" ht="15.75" x14ac:dyDescent="0.25">
      <c r="A10" s="181"/>
      <c r="B10" s="186"/>
      <c r="C10" s="189"/>
      <c r="D10" s="189"/>
      <c r="E10" s="189"/>
      <c r="F10" s="183"/>
      <c r="G10" s="183"/>
      <c r="H10" s="183"/>
      <c r="I10" s="183"/>
      <c r="J10" s="183"/>
      <c r="K10" s="183"/>
      <c r="L10" s="183"/>
      <c r="M10" s="183"/>
      <c r="N10" s="183"/>
      <c r="O10" s="183"/>
      <c r="P10" s="183"/>
      <c r="Q10" s="183"/>
      <c r="R10" s="183"/>
      <c r="S10" s="183"/>
      <c r="T10" s="183"/>
      <c r="U10" s="183"/>
      <c r="V10" s="183"/>
      <c r="W10" s="183"/>
      <c r="X10" s="5"/>
    </row>
    <row r="11" spans="1:24" ht="15.75" x14ac:dyDescent="0.25">
      <c r="A11" s="181"/>
      <c r="B11" s="388" t="s">
        <v>0</v>
      </c>
      <c r="C11" s="183"/>
      <c r="D11" s="183"/>
      <c r="E11" s="183"/>
      <c r="F11" s="183"/>
      <c r="G11" s="183"/>
      <c r="H11" s="183"/>
      <c r="I11" s="183"/>
      <c r="J11" s="183"/>
      <c r="K11" s="183"/>
      <c r="L11" s="183"/>
      <c r="M11" s="183"/>
      <c r="N11" s="183"/>
      <c r="O11" s="183"/>
      <c r="P11" s="183"/>
      <c r="Q11" s="183"/>
      <c r="R11" s="183"/>
      <c r="S11" s="183"/>
      <c r="T11" s="183"/>
      <c r="U11" s="183"/>
      <c r="V11" s="183"/>
      <c r="W11" s="183"/>
      <c r="X11" s="5"/>
    </row>
    <row r="12" spans="1:24" ht="16.5" thickBot="1" x14ac:dyDescent="0.3">
      <c r="A12" s="181"/>
      <c r="B12" s="189"/>
      <c r="C12" s="183"/>
      <c r="D12" s="183"/>
      <c r="E12" s="183"/>
      <c r="F12" s="183"/>
      <c r="G12" s="183"/>
      <c r="H12" s="183"/>
      <c r="I12" s="183"/>
      <c r="J12" s="183"/>
      <c r="K12" s="183"/>
      <c r="L12" s="183"/>
      <c r="M12" s="183"/>
      <c r="N12" s="183"/>
      <c r="O12" s="183"/>
      <c r="P12" s="183"/>
      <c r="Q12" s="183"/>
      <c r="R12" s="183"/>
      <c r="S12" s="183"/>
      <c r="T12" s="183"/>
      <c r="U12" s="183"/>
      <c r="V12" s="183"/>
      <c r="W12" s="183"/>
      <c r="X12" s="5"/>
    </row>
    <row r="13" spans="1:24" ht="15.75" x14ac:dyDescent="0.25">
      <c r="A13" s="179"/>
      <c r="B13" s="180"/>
      <c r="C13" s="180"/>
      <c r="D13" s="180"/>
      <c r="E13" s="180"/>
      <c r="F13" s="180"/>
      <c r="G13" s="180"/>
      <c r="H13" s="180"/>
      <c r="I13" s="180"/>
      <c r="J13" s="180"/>
      <c r="K13" s="180"/>
      <c r="L13" s="180"/>
      <c r="M13" s="180"/>
      <c r="N13" s="180"/>
      <c r="O13" s="180"/>
      <c r="P13" s="180"/>
      <c r="Q13" s="180"/>
      <c r="R13" s="180"/>
      <c r="S13" s="180"/>
      <c r="T13" s="180"/>
      <c r="U13" s="180"/>
      <c r="V13" s="180"/>
      <c r="W13" s="180"/>
      <c r="X13" s="5"/>
    </row>
    <row r="14" spans="1:24" ht="15.75" x14ac:dyDescent="0.25">
      <c r="A14" s="181"/>
      <c r="B14" s="388" t="s">
        <v>1</v>
      </c>
      <c r="C14" s="255"/>
      <c r="D14" s="255"/>
      <c r="E14" s="255"/>
      <c r="F14" s="255"/>
      <c r="G14" s="255"/>
      <c r="H14" s="255"/>
      <c r="I14" s="255"/>
      <c r="J14" s="255"/>
      <c r="K14" s="255"/>
      <c r="L14" s="255"/>
      <c r="M14" s="255"/>
      <c r="N14" s="255"/>
      <c r="O14" s="255"/>
      <c r="P14" s="255"/>
      <c r="Q14" s="255"/>
      <c r="R14" s="255"/>
      <c r="S14" s="255"/>
      <c r="T14" s="255"/>
      <c r="U14" s="255"/>
      <c r="V14" s="276" t="s">
        <v>239</v>
      </c>
      <c r="W14" s="255"/>
      <c r="X14" s="5"/>
    </row>
    <row r="15" spans="1:24" ht="15.75" x14ac:dyDescent="0.25">
      <c r="A15" s="181"/>
      <c r="B15" s="388" t="s">
        <v>2</v>
      </c>
      <c r="C15" s="255"/>
      <c r="D15" s="255"/>
      <c r="E15" s="255"/>
      <c r="F15" s="255"/>
      <c r="G15" s="255"/>
      <c r="H15" s="389"/>
      <c r="I15" s="389"/>
      <c r="J15" s="389"/>
      <c r="K15" s="389"/>
      <c r="L15" s="389"/>
      <c r="M15" s="389"/>
      <c r="N15" s="389"/>
      <c r="O15" s="389"/>
      <c r="P15" s="389"/>
      <c r="Q15" s="389"/>
      <c r="R15" s="389" t="s">
        <v>104</v>
      </c>
      <c r="S15" s="390">
        <v>0.47189999999999999</v>
      </c>
      <c r="T15" s="391" t="s">
        <v>140</v>
      </c>
      <c r="U15" s="390">
        <v>0.52810000000000001</v>
      </c>
      <c r="V15" s="276"/>
      <c r="W15" s="255"/>
      <c r="X15" s="5"/>
    </row>
    <row r="16" spans="1:24" ht="15.75" x14ac:dyDescent="0.25">
      <c r="A16" s="181"/>
      <c r="B16" s="388" t="s">
        <v>3</v>
      </c>
      <c r="C16" s="255"/>
      <c r="D16" s="255"/>
      <c r="E16" s="255"/>
      <c r="F16" s="255"/>
      <c r="G16" s="255"/>
      <c r="H16" s="389"/>
      <c r="I16" s="389"/>
      <c r="J16" s="389"/>
      <c r="K16" s="389"/>
      <c r="L16" s="389"/>
      <c r="M16" s="389"/>
      <c r="N16" s="389"/>
      <c r="O16" s="389"/>
      <c r="P16" s="389"/>
      <c r="Q16" s="389"/>
      <c r="R16" s="389" t="s">
        <v>104</v>
      </c>
      <c r="S16" s="390">
        <v>0.54210000000000003</v>
      </c>
      <c r="T16" s="391" t="s">
        <v>140</v>
      </c>
      <c r="U16" s="390">
        <v>0.45789999999999997</v>
      </c>
      <c r="V16" s="276"/>
      <c r="W16" s="255"/>
      <c r="X16" s="5"/>
    </row>
    <row r="17" spans="1:24" ht="15.75" x14ac:dyDescent="0.25">
      <c r="A17" s="181"/>
      <c r="B17" s="388" t="s">
        <v>4</v>
      </c>
      <c r="C17" s="255"/>
      <c r="D17" s="255"/>
      <c r="E17" s="255"/>
      <c r="F17" s="255"/>
      <c r="G17" s="255"/>
      <c r="H17" s="255"/>
      <c r="I17" s="255"/>
      <c r="J17" s="255"/>
      <c r="K17" s="255"/>
      <c r="L17" s="255"/>
      <c r="M17" s="255"/>
      <c r="N17" s="255"/>
      <c r="O17" s="255"/>
      <c r="P17" s="255"/>
      <c r="Q17" s="255"/>
      <c r="R17" s="255"/>
      <c r="S17" s="255"/>
      <c r="T17" s="255"/>
      <c r="U17" s="255"/>
      <c r="V17" s="392">
        <v>39282</v>
      </c>
      <c r="W17" s="255"/>
      <c r="X17" s="5"/>
    </row>
    <row r="18" spans="1:24" ht="15.75" x14ac:dyDescent="0.25">
      <c r="A18" s="181"/>
      <c r="B18" s="388" t="s">
        <v>5</v>
      </c>
      <c r="C18" s="255"/>
      <c r="D18" s="255"/>
      <c r="E18" s="255"/>
      <c r="F18" s="255"/>
      <c r="G18" s="255"/>
      <c r="H18" s="255"/>
      <c r="I18" s="255"/>
      <c r="J18" s="255"/>
      <c r="K18" s="255"/>
      <c r="L18" s="255"/>
      <c r="M18" s="255"/>
      <c r="N18" s="255"/>
      <c r="O18" s="255"/>
      <c r="P18" s="255"/>
      <c r="Q18" s="255"/>
      <c r="R18" s="255"/>
      <c r="S18" s="255"/>
      <c r="T18" s="255"/>
      <c r="U18" s="255"/>
      <c r="V18" s="392">
        <v>41267</v>
      </c>
      <c r="W18" s="255"/>
      <c r="X18" s="5"/>
    </row>
    <row r="19" spans="1:24" ht="15.75" x14ac:dyDescent="0.25">
      <c r="A19" s="181"/>
      <c r="B19" s="183"/>
      <c r="C19" s="183"/>
      <c r="D19" s="183"/>
      <c r="E19" s="183"/>
      <c r="F19" s="183"/>
      <c r="G19" s="183"/>
      <c r="H19" s="183"/>
      <c r="I19" s="183"/>
      <c r="J19" s="183"/>
      <c r="K19" s="183"/>
      <c r="L19" s="183"/>
      <c r="M19" s="183"/>
      <c r="N19" s="183"/>
      <c r="O19" s="183"/>
      <c r="P19" s="183"/>
      <c r="Q19" s="183"/>
      <c r="R19" s="183"/>
      <c r="S19" s="183"/>
      <c r="T19" s="183"/>
      <c r="U19" s="183"/>
      <c r="V19" s="190"/>
      <c r="W19" s="183"/>
      <c r="X19" s="5"/>
    </row>
    <row r="20" spans="1:24" ht="15.75" x14ac:dyDescent="0.25">
      <c r="A20" s="181"/>
      <c r="B20" s="280" t="s">
        <v>6</v>
      </c>
      <c r="C20" s="255"/>
      <c r="D20" s="255"/>
      <c r="E20" s="255"/>
      <c r="F20" s="255"/>
      <c r="G20" s="255"/>
      <c r="H20" s="255"/>
      <c r="I20" s="255"/>
      <c r="J20" s="255"/>
      <c r="K20" s="255"/>
      <c r="L20" s="255"/>
      <c r="M20" s="255"/>
      <c r="N20" s="255"/>
      <c r="O20" s="255"/>
      <c r="P20" s="255"/>
      <c r="Q20" s="255"/>
      <c r="R20" s="255"/>
      <c r="S20" s="255"/>
      <c r="T20" s="281" t="s">
        <v>105</v>
      </c>
      <c r="U20" s="255"/>
      <c r="V20" s="261"/>
      <c r="W20" s="183"/>
      <c r="X20" s="5"/>
    </row>
    <row r="21" spans="1:24" ht="15.75" x14ac:dyDescent="0.25">
      <c r="A21" s="181"/>
      <c r="B21" s="183"/>
      <c r="C21" s="183"/>
      <c r="D21" s="183"/>
      <c r="E21" s="183"/>
      <c r="F21" s="183"/>
      <c r="G21" s="183"/>
      <c r="H21" s="183"/>
      <c r="I21" s="183"/>
      <c r="J21" s="183"/>
      <c r="K21" s="183"/>
      <c r="L21" s="183"/>
      <c r="M21" s="183"/>
      <c r="N21" s="183"/>
      <c r="O21" s="183"/>
      <c r="P21" s="183"/>
      <c r="Q21" s="183"/>
      <c r="R21" s="183"/>
      <c r="S21" s="183"/>
      <c r="T21" s="183"/>
      <c r="U21" s="183"/>
      <c r="V21" s="192"/>
      <c r="W21" s="183"/>
      <c r="X21" s="5"/>
    </row>
    <row r="22" spans="1:24" ht="15.75" x14ac:dyDescent="0.25">
      <c r="A22" s="224"/>
      <c r="B22" s="225"/>
      <c r="C22" s="226"/>
      <c r="D22" s="226" t="s">
        <v>177</v>
      </c>
      <c r="E22" s="226"/>
      <c r="F22" s="226" t="s">
        <v>178</v>
      </c>
      <c r="G22" s="226"/>
      <c r="H22" s="226" t="s">
        <v>179</v>
      </c>
      <c r="I22" s="226"/>
      <c r="J22" s="226" t="s">
        <v>219</v>
      </c>
      <c r="K22" s="226"/>
      <c r="L22" s="226" t="s">
        <v>180</v>
      </c>
      <c r="M22" s="226"/>
      <c r="N22" s="226" t="s">
        <v>181</v>
      </c>
      <c r="O22" s="226"/>
      <c r="P22" s="226" t="s">
        <v>182</v>
      </c>
      <c r="Q22" s="226"/>
      <c r="R22" s="226"/>
      <c r="S22" s="228"/>
      <c r="T22" s="228"/>
      <c r="U22" s="229"/>
      <c r="V22" s="229"/>
      <c r="W22" s="225"/>
      <c r="X22" s="5"/>
    </row>
    <row r="23" spans="1:24" ht="15.75" x14ac:dyDescent="0.25">
      <c r="A23" s="193"/>
      <c r="B23" s="250" t="s">
        <v>7</v>
      </c>
      <c r="C23" s="282"/>
      <c r="D23" s="282" t="s">
        <v>212</v>
      </c>
      <c r="E23" s="282"/>
      <c r="F23" s="282" t="s">
        <v>141</v>
      </c>
      <c r="G23" s="282"/>
      <c r="H23" s="282" t="s">
        <v>141</v>
      </c>
      <c r="I23" s="282"/>
      <c r="J23" s="282" t="s">
        <v>141</v>
      </c>
      <c r="K23" s="282"/>
      <c r="L23" s="282" t="s">
        <v>183</v>
      </c>
      <c r="M23" s="282"/>
      <c r="N23" s="282" t="s">
        <v>183</v>
      </c>
      <c r="O23" s="282"/>
      <c r="P23" s="282" t="s">
        <v>142</v>
      </c>
      <c r="Q23" s="282"/>
      <c r="R23" s="282"/>
      <c r="S23" s="282"/>
      <c r="T23" s="282"/>
      <c r="U23" s="273"/>
      <c r="V23" s="273"/>
      <c r="W23" s="250"/>
      <c r="X23" s="5"/>
    </row>
    <row r="24" spans="1:24" ht="15.75" x14ac:dyDescent="0.25">
      <c r="A24" s="285"/>
      <c r="B24" s="286" t="s">
        <v>8</v>
      </c>
      <c r="C24" s="287"/>
      <c r="D24" s="287" t="s">
        <v>213</v>
      </c>
      <c r="E24" s="287"/>
      <c r="F24" s="287" t="s">
        <v>143</v>
      </c>
      <c r="G24" s="287"/>
      <c r="H24" s="287" t="s">
        <v>143</v>
      </c>
      <c r="I24" s="287"/>
      <c r="J24" s="287" t="s">
        <v>143</v>
      </c>
      <c r="K24" s="287"/>
      <c r="L24" s="287" t="s">
        <v>165</v>
      </c>
      <c r="M24" s="287"/>
      <c r="N24" s="287" t="s">
        <v>165</v>
      </c>
      <c r="O24" s="287"/>
      <c r="P24" s="287" t="s">
        <v>144</v>
      </c>
      <c r="Q24" s="287"/>
      <c r="R24" s="287"/>
      <c r="S24" s="287"/>
      <c r="T24" s="287"/>
      <c r="U24" s="288"/>
      <c r="V24" s="288"/>
      <c r="W24" s="289"/>
      <c r="X24" s="5"/>
    </row>
    <row r="25" spans="1:24" ht="15.75" x14ac:dyDescent="0.25">
      <c r="A25" s="290"/>
      <c r="B25" s="286" t="s">
        <v>190</v>
      </c>
      <c r="C25" s="292"/>
      <c r="D25" s="287" t="s">
        <v>214</v>
      </c>
      <c r="E25" s="287"/>
      <c r="F25" s="287" t="s">
        <v>143</v>
      </c>
      <c r="G25" s="287"/>
      <c r="H25" s="287" t="s">
        <v>143</v>
      </c>
      <c r="I25" s="287"/>
      <c r="J25" s="287" t="s">
        <v>143</v>
      </c>
      <c r="K25" s="287"/>
      <c r="L25" s="287" t="s">
        <v>165</v>
      </c>
      <c r="M25" s="287"/>
      <c r="N25" s="287" t="s">
        <v>165</v>
      </c>
      <c r="O25" s="287"/>
      <c r="P25" s="287" t="s">
        <v>144</v>
      </c>
      <c r="Q25" s="287"/>
      <c r="R25" s="287"/>
      <c r="S25" s="292"/>
      <c r="T25" s="287"/>
      <c r="U25" s="288"/>
      <c r="V25" s="288"/>
      <c r="W25" s="289"/>
      <c r="X25" s="5"/>
    </row>
    <row r="26" spans="1:24" ht="15.75" x14ac:dyDescent="0.25">
      <c r="A26" s="393"/>
      <c r="B26" s="297" t="s">
        <v>9</v>
      </c>
      <c r="C26" s="292"/>
      <c r="D26" s="292" t="s">
        <v>141</v>
      </c>
      <c r="E26" s="292"/>
      <c r="F26" s="292" t="s">
        <v>141</v>
      </c>
      <c r="G26" s="292"/>
      <c r="H26" s="292" t="s">
        <v>141</v>
      </c>
      <c r="I26" s="292"/>
      <c r="J26" s="292" t="s">
        <v>141</v>
      </c>
      <c r="K26" s="292"/>
      <c r="L26" s="292" t="s">
        <v>183</v>
      </c>
      <c r="M26" s="292"/>
      <c r="N26" s="292" t="s">
        <v>183</v>
      </c>
      <c r="O26" s="292"/>
      <c r="P26" s="292" t="s">
        <v>142</v>
      </c>
      <c r="Q26" s="292"/>
      <c r="R26" s="292"/>
      <c r="S26" s="292"/>
      <c r="T26" s="287"/>
      <c r="U26" s="288"/>
      <c r="V26" s="288"/>
      <c r="W26" s="289"/>
      <c r="X26" s="5"/>
    </row>
    <row r="27" spans="1:24" ht="15.75" x14ac:dyDescent="0.25">
      <c r="A27" s="295"/>
      <c r="B27" s="297" t="s">
        <v>191</v>
      </c>
      <c r="C27" s="287"/>
      <c r="D27" s="292" t="s">
        <v>143</v>
      </c>
      <c r="E27" s="292"/>
      <c r="F27" s="292" t="s">
        <v>143</v>
      </c>
      <c r="G27" s="292"/>
      <c r="H27" s="292" t="s">
        <v>143</v>
      </c>
      <c r="I27" s="292"/>
      <c r="J27" s="292" t="s">
        <v>143</v>
      </c>
      <c r="K27" s="292"/>
      <c r="L27" s="292" t="s">
        <v>307</v>
      </c>
      <c r="M27" s="292"/>
      <c r="N27" s="292" t="s">
        <v>307</v>
      </c>
      <c r="O27" s="292"/>
      <c r="P27" s="292" t="s">
        <v>308</v>
      </c>
      <c r="Q27" s="292"/>
      <c r="R27" s="292"/>
      <c r="S27" s="287"/>
      <c r="T27" s="296"/>
      <c r="U27" s="288"/>
      <c r="V27" s="288"/>
      <c r="W27" s="289"/>
      <c r="X27" s="5"/>
    </row>
    <row r="28" spans="1:24" ht="15.75" x14ac:dyDescent="0.25">
      <c r="A28" s="295"/>
      <c r="B28" s="297" t="s">
        <v>192</v>
      </c>
      <c r="C28" s="287"/>
      <c r="D28" s="292" t="s">
        <v>143</v>
      </c>
      <c r="E28" s="292"/>
      <c r="F28" s="292" t="s">
        <v>143</v>
      </c>
      <c r="G28" s="292"/>
      <c r="H28" s="292" t="s">
        <v>143</v>
      </c>
      <c r="I28" s="292"/>
      <c r="J28" s="292" t="s">
        <v>143</v>
      </c>
      <c r="K28" s="292"/>
      <c r="L28" s="292" t="s">
        <v>165</v>
      </c>
      <c r="M28" s="292"/>
      <c r="N28" s="292" t="s">
        <v>165</v>
      </c>
      <c r="O28" s="292"/>
      <c r="P28" s="292" t="s">
        <v>309</v>
      </c>
      <c r="Q28" s="292"/>
      <c r="R28" s="292"/>
      <c r="S28" s="287"/>
      <c r="T28" s="296"/>
      <c r="U28" s="288"/>
      <c r="V28" s="288"/>
      <c r="W28" s="289"/>
      <c r="X28" s="5"/>
    </row>
    <row r="29" spans="1:24" ht="15.75" x14ac:dyDescent="0.25">
      <c r="A29" s="295"/>
      <c r="B29" s="286" t="s">
        <v>10</v>
      </c>
      <c r="C29" s="298"/>
      <c r="D29" s="287" t="s">
        <v>242</v>
      </c>
      <c r="E29" s="287"/>
      <c r="F29" s="296" t="s">
        <v>244</v>
      </c>
      <c r="G29" s="287"/>
      <c r="H29" s="287" t="s">
        <v>245</v>
      </c>
      <c r="I29" s="287"/>
      <c r="J29" s="287" t="s">
        <v>247</v>
      </c>
      <c r="K29" s="287"/>
      <c r="L29" s="287" t="s">
        <v>248</v>
      </c>
      <c r="M29" s="287"/>
      <c r="N29" s="287" t="s">
        <v>249</v>
      </c>
      <c r="O29" s="287"/>
      <c r="P29" s="287" t="s">
        <v>250</v>
      </c>
      <c r="Q29" s="287"/>
      <c r="R29" s="287"/>
      <c r="S29" s="299"/>
      <c r="T29" s="299"/>
      <c r="U29" s="300"/>
      <c r="V29" s="299"/>
      <c r="W29" s="301"/>
      <c r="X29" s="5"/>
    </row>
    <row r="30" spans="1:24" ht="15.75" x14ac:dyDescent="0.25">
      <c r="A30" s="295"/>
      <c r="B30" s="286" t="s">
        <v>10</v>
      </c>
      <c r="C30" s="298"/>
      <c r="D30" s="287" t="s">
        <v>243</v>
      </c>
      <c r="E30" s="287"/>
      <c r="F30" s="296" t="s">
        <v>118</v>
      </c>
      <c r="G30" s="287"/>
      <c r="H30" s="287" t="s">
        <v>118</v>
      </c>
      <c r="I30" s="287"/>
      <c r="J30" s="287" t="s">
        <v>246</v>
      </c>
      <c r="K30" s="287"/>
      <c r="L30" s="287" t="s">
        <v>118</v>
      </c>
      <c r="M30" s="287"/>
      <c r="N30" s="287" t="s">
        <v>118</v>
      </c>
      <c r="O30" s="287"/>
      <c r="P30" s="287" t="s">
        <v>118</v>
      </c>
      <c r="Q30" s="287"/>
      <c r="R30" s="287"/>
      <c r="S30" s="299"/>
      <c r="T30" s="299"/>
      <c r="U30" s="300"/>
      <c r="V30" s="299"/>
      <c r="W30" s="301"/>
      <c r="X30" s="5"/>
    </row>
    <row r="31" spans="1:24" ht="15.75" x14ac:dyDescent="0.25">
      <c r="A31" s="393"/>
      <c r="B31" s="286" t="s">
        <v>133</v>
      </c>
      <c r="C31" s="310"/>
      <c r="D31" s="303">
        <v>1000000</v>
      </c>
      <c r="E31" s="298"/>
      <c r="F31" s="299">
        <v>209500</v>
      </c>
      <c r="G31" s="299"/>
      <c r="H31" s="304">
        <v>110000</v>
      </c>
      <c r="I31" s="304"/>
      <c r="J31" s="303">
        <v>150000</v>
      </c>
      <c r="K31" s="299"/>
      <c r="L31" s="299">
        <v>17000</v>
      </c>
      <c r="M31" s="299"/>
      <c r="N31" s="304">
        <v>85500</v>
      </c>
      <c r="O31" s="299"/>
      <c r="P31" s="304">
        <v>110500</v>
      </c>
      <c r="Q31" s="299"/>
      <c r="R31" s="304"/>
      <c r="S31" s="312"/>
      <c r="T31" s="312"/>
      <c r="U31" s="306"/>
      <c r="V31" s="312"/>
      <c r="W31" s="301"/>
      <c r="X31" s="5"/>
    </row>
    <row r="32" spans="1:24" ht="15.75" x14ac:dyDescent="0.25">
      <c r="A32" s="295"/>
      <c r="B32" s="286" t="s">
        <v>132</v>
      </c>
      <c r="C32" s="298"/>
      <c r="D32" s="303">
        <f>D31*D38</f>
        <v>785484.2</v>
      </c>
      <c r="E32" s="298"/>
      <c r="F32" s="299">
        <f>F31*F38</f>
        <v>164559.14939999999</v>
      </c>
      <c r="G32" s="299"/>
      <c r="H32" s="304">
        <f>H31*H38</f>
        <v>86403.834000000003</v>
      </c>
      <c r="I32" s="304"/>
      <c r="J32" s="303">
        <f>J31*J38</f>
        <v>117822.62999999999</v>
      </c>
      <c r="K32" s="299"/>
      <c r="L32" s="299">
        <f>L31*L38</f>
        <v>17000</v>
      </c>
      <c r="M32" s="299"/>
      <c r="N32" s="304">
        <f>N31*N38</f>
        <v>85500</v>
      </c>
      <c r="O32" s="299"/>
      <c r="P32" s="304">
        <f>P31*P38</f>
        <v>110500</v>
      </c>
      <c r="Q32" s="299"/>
      <c r="R32" s="304"/>
      <c r="S32" s="299"/>
      <c r="T32" s="299"/>
      <c r="U32" s="300"/>
      <c r="V32" s="299"/>
      <c r="W32" s="301"/>
      <c r="X32" s="5"/>
    </row>
    <row r="33" spans="1:27" ht="15.75" x14ac:dyDescent="0.25">
      <c r="A33" s="295"/>
      <c r="B33" s="297" t="s">
        <v>134</v>
      </c>
      <c r="C33" s="298"/>
      <c r="D33" s="394">
        <f>D37*D31</f>
        <v>779155.7</v>
      </c>
      <c r="E33" s="310"/>
      <c r="F33" s="312">
        <f>F37*F31</f>
        <v>163233.34959999999</v>
      </c>
      <c r="G33" s="312"/>
      <c r="H33" s="395">
        <f>H31*H37</f>
        <v>85707.732000000004</v>
      </c>
      <c r="I33" s="395"/>
      <c r="J33" s="394">
        <f>J37*J31</f>
        <v>116873.355</v>
      </c>
      <c r="K33" s="312"/>
      <c r="L33" s="312">
        <f>L31*L37</f>
        <v>17000</v>
      </c>
      <c r="M33" s="312"/>
      <c r="N33" s="395">
        <f>N31*N37</f>
        <v>85500</v>
      </c>
      <c r="O33" s="312"/>
      <c r="P33" s="395">
        <f>P31*P37</f>
        <v>110500</v>
      </c>
      <c r="Q33" s="312"/>
      <c r="R33" s="395"/>
      <c r="S33" s="299"/>
      <c r="T33" s="299"/>
      <c r="U33" s="300"/>
      <c r="V33" s="299"/>
      <c r="W33" s="301"/>
      <c r="X33" s="5"/>
    </row>
    <row r="34" spans="1:27" ht="15.75" x14ac:dyDescent="0.25">
      <c r="A34" s="393"/>
      <c r="B34" s="286" t="s">
        <v>286</v>
      </c>
      <c r="C34" s="310"/>
      <c r="D34" s="299">
        <v>492951</v>
      </c>
      <c r="E34" s="298"/>
      <c r="F34" s="299">
        <v>209500</v>
      </c>
      <c r="G34" s="299"/>
      <c r="H34" s="299">
        <v>74677</v>
      </c>
      <c r="I34" s="299"/>
      <c r="J34" s="299">
        <v>73943</v>
      </c>
      <c r="K34" s="299"/>
      <c r="L34" s="299">
        <v>17000</v>
      </c>
      <c r="M34" s="299"/>
      <c r="N34" s="299">
        <v>58045</v>
      </c>
      <c r="O34" s="299"/>
      <c r="P34" s="299">
        <v>75017</v>
      </c>
      <c r="Q34" s="299"/>
      <c r="R34" s="299"/>
      <c r="S34" s="312"/>
      <c r="T34" s="312"/>
      <c r="U34" s="306"/>
      <c r="V34" s="299">
        <f>SUM(C34:R34)</f>
        <v>1001133</v>
      </c>
      <c r="W34" s="301"/>
      <c r="X34" s="5"/>
    </row>
    <row r="35" spans="1:27" ht="15.75" x14ac:dyDescent="0.25">
      <c r="A35" s="393"/>
      <c r="B35" s="286" t="s">
        <v>287</v>
      </c>
      <c r="C35" s="310"/>
      <c r="D35" s="299">
        <f>D34*D38</f>
        <v>387205.22187419998</v>
      </c>
      <c r="E35" s="298"/>
      <c r="F35" s="299">
        <f>F34*F38</f>
        <v>164559.14939999999</v>
      </c>
      <c r="G35" s="299"/>
      <c r="H35" s="299">
        <f>H34*H38</f>
        <v>58657.9919238</v>
      </c>
      <c r="I35" s="299"/>
      <c r="J35" s="299">
        <f>J34*J38</f>
        <v>58081.058200599997</v>
      </c>
      <c r="K35" s="299"/>
      <c r="L35" s="299">
        <f>L34*L38</f>
        <v>17000</v>
      </c>
      <c r="M35" s="299"/>
      <c r="N35" s="299">
        <f>N34*N38</f>
        <v>58045</v>
      </c>
      <c r="O35" s="299"/>
      <c r="P35" s="299">
        <f>P34*P38</f>
        <v>75017</v>
      </c>
      <c r="Q35" s="299"/>
      <c r="R35" s="299"/>
      <c r="S35" s="299"/>
      <c r="T35" s="299"/>
      <c r="U35" s="300"/>
      <c r="V35" s="299">
        <f>SUM(C35:R35)</f>
        <v>818565.42139859998</v>
      </c>
      <c r="W35" s="301"/>
      <c r="X35" s="5"/>
    </row>
    <row r="36" spans="1:27" ht="15.75" x14ac:dyDescent="0.25">
      <c r="A36" s="393"/>
      <c r="B36" s="297" t="s">
        <v>288</v>
      </c>
      <c r="C36" s="310"/>
      <c r="D36" s="312">
        <f>D34*D37</f>
        <v>384085.58147069998</v>
      </c>
      <c r="E36" s="310"/>
      <c r="F36" s="312">
        <f>F34*F37</f>
        <v>163233.34959999999</v>
      </c>
      <c r="G36" s="312"/>
      <c r="H36" s="312">
        <f>H34*H37</f>
        <v>58185.420932399997</v>
      </c>
      <c r="I36" s="312"/>
      <c r="J36" s="312">
        <f>J34*J37</f>
        <v>57613.109925099998</v>
      </c>
      <c r="K36" s="312"/>
      <c r="L36" s="312">
        <f>L34*L37</f>
        <v>17000</v>
      </c>
      <c r="M36" s="312"/>
      <c r="N36" s="312">
        <f>N34*N37</f>
        <v>58045</v>
      </c>
      <c r="O36" s="312"/>
      <c r="P36" s="312">
        <f>P34*P37</f>
        <v>75017</v>
      </c>
      <c r="Q36" s="312"/>
      <c r="R36" s="312"/>
      <c r="S36" s="311"/>
      <c r="T36" s="311"/>
      <c r="U36" s="300"/>
      <c r="V36" s="312">
        <f>SUM(C36:R36)</f>
        <v>813179.46192819998</v>
      </c>
      <c r="W36" s="301"/>
      <c r="X36" s="5"/>
    </row>
    <row r="37" spans="1:27" ht="15.75" x14ac:dyDescent="0.25">
      <c r="A37" s="285"/>
      <c r="B37" s="313" t="s">
        <v>130</v>
      </c>
      <c r="C37" s="314"/>
      <c r="D37" s="315">
        <v>0.77915570000000001</v>
      </c>
      <c r="E37" s="315"/>
      <c r="F37" s="315">
        <v>0.77915679999999998</v>
      </c>
      <c r="G37" s="315"/>
      <c r="H37" s="315">
        <v>0.7791612</v>
      </c>
      <c r="I37" s="315"/>
      <c r="J37" s="315">
        <v>0.77915570000000001</v>
      </c>
      <c r="K37" s="315"/>
      <c r="L37" s="315">
        <v>1</v>
      </c>
      <c r="M37" s="315"/>
      <c r="N37" s="315">
        <v>1</v>
      </c>
      <c r="O37" s="315"/>
      <c r="P37" s="315">
        <v>1</v>
      </c>
      <c r="Q37" s="315"/>
      <c r="R37" s="315"/>
      <c r="S37" s="316"/>
      <c r="T37" s="316"/>
      <c r="U37" s="317"/>
      <c r="V37" s="317"/>
      <c r="W37" s="318"/>
      <c r="X37" s="5"/>
    </row>
    <row r="38" spans="1:27" ht="15.75" x14ac:dyDescent="0.25">
      <c r="A38" s="285"/>
      <c r="B38" s="313" t="s">
        <v>131</v>
      </c>
      <c r="C38" s="314"/>
      <c r="D38" s="315">
        <v>0.78548419999999997</v>
      </c>
      <c r="E38" s="315"/>
      <c r="F38" s="315">
        <v>0.78548519999999999</v>
      </c>
      <c r="G38" s="315"/>
      <c r="H38" s="315">
        <v>0.7854894</v>
      </c>
      <c r="I38" s="315"/>
      <c r="J38" s="315">
        <v>0.78548419999999997</v>
      </c>
      <c r="K38" s="315"/>
      <c r="L38" s="315">
        <v>1</v>
      </c>
      <c r="M38" s="315"/>
      <c r="N38" s="315">
        <v>1</v>
      </c>
      <c r="O38" s="315"/>
      <c r="P38" s="315">
        <v>1</v>
      </c>
      <c r="Q38" s="315"/>
      <c r="R38" s="315"/>
      <c r="S38" s="319"/>
      <c r="T38" s="320"/>
      <c r="U38" s="317"/>
      <c r="V38" s="319"/>
      <c r="W38" s="318"/>
      <c r="X38" s="5"/>
    </row>
    <row r="39" spans="1:27" ht="15.75" x14ac:dyDescent="0.25">
      <c r="A39" s="285"/>
      <c r="B39" s="286" t="s">
        <v>11</v>
      </c>
      <c r="C39" s="286"/>
      <c r="D39" s="296" t="s">
        <v>304</v>
      </c>
      <c r="E39" s="286"/>
      <c r="F39" s="296" t="s">
        <v>256</v>
      </c>
      <c r="G39" s="296"/>
      <c r="H39" s="296" t="s">
        <v>257</v>
      </c>
      <c r="I39" s="296"/>
      <c r="J39" s="296" t="s">
        <v>258</v>
      </c>
      <c r="K39" s="296"/>
      <c r="L39" s="296" t="s">
        <v>259</v>
      </c>
      <c r="M39" s="296"/>
      <c r="N39" s="296" t="s">
        <v>259</v>
      </c>
      <c r="O39" s="296"/>
      <c r="P39" s="296" t="s">
        <v>260</v>
      </c>
      <c r="Q39" s="296"/>
      <c r="R39" s="296"/>
      <c r="S39" s="321"/>
      <c r="T39" s="322"/>
      <c r="U39" s="288"/>
      <c r="V39" s="288"/>
      <c r="W39" s="289"/>
      <c r="X39" s="5"/>
    </row>
    <row r="40" spans="1:27" ht="15.75" x14ac:dyDescent="0.25">
      <c r="A40" s="285"/>
      <c r="B40" s="286" t="s">
        <v>12</v>
      </c>
      <c r="C40" s="286"/>
      <c r="D40" s="322">
        <v>3.8800000000000002E-3</v>
      </c>
      <c r="E40" s="286"/>
      <c r="F40" s="322">
        <v>9.1313000000000002E-3</v>
      </c>
      <c r="G40" s="321"/>
      <c r="H40" s="322">
        <v>4.9199999999999999E-3</v>
      </c>
      <c r="I40" s="322"/>
      <c r="J40" s="322">
        <v>6.0875E-3</v>
      </c>
      <c r="K40" s="321"/>
      <c r="L40" s="322">
        <v>1.1931300000000001E-2</v>
      </c>
      <c r="M40" s="321"/>
      <c r="N40" s="322">
        <v>7.92E-3</v>
      </c>
      <c r="O40" s="321"/>
      <c r="P40" s="322">
        <v>1.3520000000000001E-2</v>
      </c>
      <c r="Q40" s="321"/>
      <c r="R40" s="322"/>
      <c r="S40" s="321"/>
      <c r="T40" s="322"/>
      <c r="U40" s="288"/>
      <c r="V40" s="296"/>
      <c r="W40" s="289"/>
      <c r="X40" s="5"/>
      <c r="AA40" s="1" t="s">
        <v>193</v>
      </c>
    </row>
    <row r="41" spans="1:27" ht="15.75" x14ac:dyDescent="0.25">
      <c r="A41" s="285"/>
      <c r="B41" s="286" t="s">
        <v>13</v>
      </c>
      <c r="C41" s="286"/>
      <c r="D41" s="322">
        <v>4.1949999999999999E-3</v>
      </c>
      <c r="E41" s="286"/>
      <c r="F41" s="322">
        <v>1.2108799999999999E-2</v>
      </c>
      <c r="G41" s="321"/>
      <c r="H41" s="322">
        <v>9.0200000000000002E-3</v>
      </c>
      <c r="I41" s="322"/>
      <c r="J41" s="322">
        <v>6.8785000000000001E-3</v>
      </c>
      <c r="K41" s="321"/>
      <c r="L41" s="322">
        <v>1.49088E-2</v>
      </c>
      <c r="M41" s="321"/>
      <c r="N41" s="322">
        <v>1.2019999999999999E-2</v>
      </c>
      <c r="O41" s="321"/>
      <c r="P41" s="322">
        <v>1.762E-2</v>
      </c>
      <c r="Q41" s="321"/>
      <c r="R41" s="322"/>
      <c r="S41" s="321"/>
      <c r="T41" s="322"/>
      <c r="U41" s="288"/>
      <c r="V41" s="321" t="s">
        <v>193</v>
      </c>
      <c r="W41" s="289"/>
      <c r="X41" s="5"/>
    </row>
    <row r="42" spans="1:27" ht="15.75" x14ac:dyDescent="0.25">
      <c r="A42" s="285"/>
      <c r="B42" s="286" t="s">
        <v>289</v>
      </c>
      <c r="C42" s="286"/>
      <c r="D42" s="296" t="s">
        <v>311</v>
      </c>
      <c r="E42" s="286"/>
      <c r="F42" s="296" t="s">
        <v>256</v>
      </c>
      <c r="G42" s="296"/>
      <c r="H42" s="296" t="s">
        <v>261</v>
      </c>
      <c r="I42" s="296"/>
      <c r="J42" s="296" t="s">
        <v>261</v>
      </c>
      <c r="K42" s="296"/>
      <c r="L42" s="296" t="s">
        <v>259</v>
      </c>
      <c r="M42" s="296"/>
      <c r="N42" s="296" t="s">
        <v>263</v>
      </c>
      <c r="O42" s="296"/>
      <c r="P42" s="296" t="s">
        <v>264</v>
      </c>
      <c r="Q42" s="296"/>
      <c r="R42" s="296"/>
      <c r="S42" s="321"/>
      <c r="T42" s="322"/>
      <c r="U42" s="288"/>
      <c r="V42" s="288"/>
      <c r="W42" s="289"/>
      <c r="X42" s="5"/>
    </row>
    <row r="43" spans="1:27" ht="15.75" x14ac:dyDescent="0.25">
      <c r="A43" s="285"/>
      <c r="B43" s="286" t="s">
        <v>290</v>
      </c>
      <c r="C43" s="323"/>
      <c r="D43" s="322">
        <v>8.5281999999999997E-3</v>
      </c>
      <c r="E43" s="322"/>
      <c r="F43" s="322">
        <f>+F40</f>
        <v>9.1313000000000002E-3</v>
      </c>
      <c r="G43" s="322"/>
      <c r="H43" s="322">
        <v>9.2812999999999993E-3</v>
      </c>
      <c r="I43" s="322"/>
      <c r="J43" s="322">
        <v>9.3112999999999998E-3</v>
      </c>
      <c r="K43" s="322"/>
      <c r="L43" s="322">
        <f>+L40</f>
        <v>1.1931300000000001E-2</v>
      </c>
      <c r="M43" s="322"/>
      <c r="N43" s="322">
        <v>1.2665300000000001E-2</v>
      </c>
      <c r="O43" s="322"/>
      <c r="P43" s="322">
        <v>1.88253E-2</v>
      </c>
      <c r="Q43" s="321"/>
      <c r="R43" s="322"/>
      <c r="S43" s="296"/>
      <c r="T43" s="296"/>
      <c r="U43" s="288"/>
      <c r="V43" s="321">
        <f>SUMPRODUCT(D43:R43,D35:R35)/V35</f>
        <v>1.0066687237154624E-2</v>
      </c>
      <c r="W43" s="289"/>
      <c r="X43" s="5"/>
    </row>
    <row r="44" spans="1:27" ht="15.75" x14ac:dyDescent="0.25">
      <c r="A44" s="285"/>
      <c r="B44" s="286" t="s">
        <v>291</v>
      </c>
      <c r="C44" s="323"/>
      <c r="D44" s="322">
        <v>1.1505700000000001E-2</v>
      </c>
      <c r="E44" s="322"/>
      <c r="F44" s="322">
        <f>+F41</f>
        <v>1.2108799999999999E-2</v>
      </c>
      <c r="G44" s="322"/>
      <c r="H44" s="322">
        <v>1.22588E-2</v>
      </c>
      <c r="I44" s="322"/>
      <c r="J44" s="322">
        <v>1.2288800000000001E-2</v>
      </c>
      <c r="K44" s="322"/>
      <c r="L44" s="322">
        <f>+L41</f>
        <v>1.49088E-2</v>
      </c>
      <c r="M44" s="322"/>
      <c r="N44" s="322">
        <v>1.5642799999999998E-2</v>
      </c>
      <c r="O44" s="322"/>
      <c r="P44" s="322">
        <v>2.1802800000000001E-2</v>
      </c>
      <c r="Q44" s="321"/>
      <c r="R44" s="322"/>
      <c r="S44" s="296"/>
      <c r="T44" s="296"/>
      <c r="U44" s="288"/>
      <c r="V44" s="288"/>
      <c r="W44" s="289"/>
      <c r="X44" s="5"/>
    </row>
    <row r="45" spans="1:27" ht="15.75" x14ac:dyDescent="0.25">
      <c r="A45" s="285"/>
      <c r="B45" s="286" t="s">
        <v>14</v>
      </c>
      <c r="C45" s="286"/>
      <c r="D45" s="323">
        <v>40709</v>
      </c>
      <c r="E45" s="323"/>
      <c r="F45" s="323">
        <v>40709</v>
      </c>
      <c r="G45" s="323"/>
      <c r="H45" s="323">
        <v>40709</v>
      </c>
      <c r="I45" s="323"/>
      <c r="J45" s="323">
        <v>40709</v>
      </c>
      <c r="K45" s="323"/>
      <c r="L45" s="323">
        <v>40709</v>
      </c>
      <c r="M45" s="323"/>
      <c r="N45" s="323">
        <v>40709</v>
      </c>
      <c r="O45" s="323"/>
      <c r="P45" s="323">
        <v>40709</v>
      </c>
      <c r="Q45" s="323"/>
      <c r="R45" s="323"/>
      <c r="S45" s="296"/>
      <c r="T45" s="296"/>
      <c r="U45" s="288"/>
      <c r="V45" s="288"/>
      <c r="W45" s="289"/>
      <c r="X45" s="5"/>
    </row>
    <row r="46" spans="1:27" ht="15.75" x14ac:dyDescent="0.25">
      <c r="A46" s="285"/>
      <c r="B46" s="286" t="s">
        <v>15</v>
      </c>
      <c r="C46" s="286"/>
      <c r="D46" s="323">
        <v>41075</v>
      </c>
      <c r="E46" s="323"/>
      <c r="F46" s="323">
        <v>41075</v>
      </c>
      <c r="G46" s="323"/>
      <c r="H46" s="323">
        <v>41075</v>
      </c>
      <c r="I46" s="323"/>
      <c r="J46" s="323">
        <v>41075</v>
      </c>
      <c r="K46" s="296"/>
      <c r="L46" s="323">
        <v>41075</v>
      </c>
      <c r="M46" s="296"/>
      <c r="N46" s="323">
        <v>41075</v>
      </c>
      <c r="O46" s="296"/>
      <c r="P46" s="323">
        <v>41075</v>
      </c>
      <c r="Q46" s="296"/>
      <c r="R46" s="323"/>
      <c r="S46" s="296"/>
      <c r="T46" s="296"/>
      <c r="U46" s="288"/>
      <c r="V46" s="288"/>
      <c r="W46" s="289"/>
      <c r="X46" s="5"/>
    </row>
    <row r="47" spans="1:27" ht="15.75" x14ac:dyDescent="0.25">
      <c r="A47" s="285"/>
      <c r="B47" s="286" t="s">
        <v>119</v>
      </c>
      <c r="C47" s="286"/>
      <c r="D47" s="296" t="s">
        <v>304</v>
      </c>
      <c r="E47" s="286"/>
      <c r="F47" s="296" t="s">
        <v>256</v>
      </c>
      <c r="G47" s="296"/>
      <c r="H47" s="296" t="s">
        <v>257</v>
      </c>
      <c r="I47" s="296"/>
      <c r="J47" s="296" t="s">
        <v>258</v>
      </c>
      <c r="K47" s="296"/>
      <c r="L47" s="296" t="s">
        <v>259</v>
      </c>
      <c r="M47" s="296"/>
      <c r="N47" s="296" t="s">
        <v>259</v>
      </c>
      <c r="O47" s="296"/>
      <c r="P47" s="296" t="s">
        <v>260</v>
      </c>
      <c r="Q47" s="296"/>
      <c r="R47" s="296"/>
      <c r="S47" s="325"/>
      <c r="T47" s="325"/>
      <c r="U47" s="325"/>
      <c r="V47" s="325"/>
      <c r="W47" s="289"/>
      <c r="X47" s="5"/>
    </row>
    <row r="48" spans="1:27" ht="15.75" x14ac:dyDescent="0.25">
      <c r="A48" s="285"/>
      <c r="B48" s="286" t="s">
        <v>292</v>
      </c>
      <c r="C48" s="286"/>
      <c r="D48" s="296" t="s">
        <v>311</v>
      </c>
      <c r="E48" s="286"/>
      <c r="F48" s="296" t="s">
        <v>256</v>
      </c>
      <c r="G48" s="296"/>
      <c r="H48" s="296" t="s">
        <v>261</v>
      </c>
      <c r="I48" s="296"/>
      <c r="J48" s="296" t="s">
        <v>261</v>
      </c>
      <c r="K48" s="296"/>
      <c r="L48" s="296" t="s">
        <v>259</v>
      </c>
      <c r="M48" s="296"/>
      <c r="N48" s="296" t="s">
        <v>263</v>
      </c>
      <c r="O48" s="296"/>
      <c r="P48" s="296" t="s">
        <v>264</v>
      </c>
      <c r="Q48" s="296"/>
      <c r="R48" s="296"/>
      <c r="S48" s="286"/>
      <c r="T48" s="286"/>
      <c r="U48" s="286"/>
      <c r="V48" s="321"/>
      <c r="W48" s="289"/>
      <c r="X48" s="5"/>
    </row>
    <row r="49" spans="1:25" ht="15.75" x14ac:dyDescent="0.25">
      <c r="A49" s="285"/>
      <c r="B49" s="286"/>
      <c r="C49" s="286"/>
      <c r="D49" s="296"/>
      <c r="E49" s="286"/>
      <c r="F49" s="296"/>
      <c r="G49" s="296"/>
      <c r="H49" s="296"/>
      <c r="I49" s="296"/>
      <c r="J49" s="296"/>
      <c r="K49" s="296"/>
      <c r="L49" s="296"/>
      <c r="M49" s="296"/>
      <c r="N49" s="296"/>
      <c r="O49" s="296"/>
      <c r="P49" s="296"/>
      <c r="Q49" s="296"/>
      <c r="R49" s="296"/>
      <c r="S49" s="286"/>
      <c r="T49" s="286"/>
      <c r="U49" s="286"/>
      <c r="V49" s="321" t="s">
        <v>193</v>
      </c>
      <c r="W49" s="289"/>
      <c r="X49" s="5"/>
    </row>
    <row r="50" spans="1:25" ht="15.75" x14ac:dyDescent="0.25">
      <c r="A50" s="285"/>
      <c r="B50" s="286" t="s">
        <v>169</v>
      </c>
      <c r="C50" s="286"/>
      <c r="D50" s="296"/>
      <c r="E50" s="286"/>
      <c r="F50" s="296"/>
      <c r="G50" s="296"/>
      <c r="H50" s="296"/>
      <c r="I50" s="296"/>
      <c r="J50" s="296"/>
      <c r="K50" s="296"/>
      <c r="L50" s="296"/>
      <c r="M50" s="296"/>
      <c r="N50" s="296"/>
      <c r="O50" s="296"/>
      <c r="P50" s="296"/>
      <c r="Q50" s="296"/>
      <c r="R50" s="296"/>
      <c r="S50" s="286"/>
      <c r="T50" s="286"/>
      <c r="U50" s="286"/>
      <c r="V50" s="321">
        <f>SUM(L34:R34)/SUM(D34:J34)</f>
        <v>0.17632136449250416</v>
      </c>
      <c r="W50" s="289"/>
      <c r="X50" s="5"/>
    </row>
    <row r="51" spans="1:25" ht="15.75" x14ac:dyDescent="0.25">
      <c r="A51" s="285"/>
      <c r="B51" s="286" t="s">
        <v>170</v>
      </c>
      <c r="C51" s="286"/>
      <c r="D51" s="286"/>
      <c r="E51" s="286"/>
      <c r="F51" s="326"/>
      <c r="G51" s="286"/>
      <c r="H51" s="286"/>
      <c r="I51" s="286"/>
      <c r="J51" s="286"/>
      <c r="K51" s="286"/>
      <c r="L51" s="286"/>
      <c r="M51" s="286"/>
      <c r="N51" s="286"/>
      <c r="O51" s="286"/>
      <c r="P51" s="286"/>
      <c r="Q51" s="286"/>
      <c r="R51" s="286"/>
      <c r="S51" s="286"/>
      <c r="T51" s="286"/>
      <c r="U51" s="286"/>
      <c r="V51" s="321">
        <f>SUM(L36:R36)/SUM(D36:J36)</f>
        <v>0.22629776565324136</v>
      </c>
      <c r="W51" s="289"/>
      <c r="X51" s="5"/>
    </row>
    <row r="52" spans="1:25" ht="15.75" x14ac:dyDescent="0.25">
      <c r="A52" s="285"/>
      <c r="B52" s="286" t="s">
        <v>171</v>
      </c>
      <c r="C52" s="286"/>
      <c r="D52" s="286"/>
      <c r="E52" s="286"/>
      <c r="F52" s="286"/>
      <c r="G52" s="286"/>
      <c r="H52" s="286"/>
      <c r="I52" s="286"/>
      <c r="J52" s="286"/>
      <c r="K52" s="286"/>
      <c r="L52" s="286"/>
      <c r="M52" s="286"/>
      <c r="N52" s="286"/>
      <c r="O52" s="286"/>
      <c r="P52" s="286"/>
      <c r="Q52" s="286"/>
      <c r="R52" s="286"/>
      <c r="S52" s="286"/>
      <c r="T52" s="296"/>
      <c r="U52" s="296"/>
      <c r="V52" s="299" t="s">
        <v>268</v>
      </c>
      <c r="W52" s="289"/>
      <c r="X52" s="5"/>
    </row>
    <row r="53" spans="1:25" ht="15.75" x14ac:dyDescent="0.25">
      <c r="A53" s="285"/>
      <c r="B53" s="286"/>
      <c r="C53" s="286"/>
      <c r="D53" s="286"/>
      <c r="E53" s="286"/>
      <c r="F53" s="286"/>
      <c r="G53" s="286"/>
      <c r="H53" s="286"/>
      <c r="I53" s="286"/>
      <c r="J53" s="286"/>
      <c r="K53" s="286"/>
      <c r="L53" s="286"/>
      <c r="M53" s="286"/>
      <c r="N53" s="286"/>
      <c r="O53" s="286"/>
      <c r="P53" s="286"/>
      <c r="Q53" s="286"/>
      <c r="R53" s="286"/>
      <c r="S53" s="286"/>
      <c r="T53" s="286"/>
      <c r="U53" s="286"/>
      <c r="V53" s="327"/>
      <c r="W53" s="289"/>
      <c r="X53" s="5"/>
    </row>
    <row r="54" spans="1:25" ht="15.75" x14ac:dyDescent="0.25">
      <c r="A54" s="285"/>
      <c r="B54" s="286" t="s">
        <v>202</v>
      </c>
      <c r="C54" s="286"/>
      <c r="D54" s="286"/>
      <c r="E54" s="286"/>
      <c r="F54" s="286"/>
      <c r="G54" s="286"/>
      <c r="H54" s="286"/>
      <c r="I54" s="286"/>
      <c r="J54" s="286"/>
      <c r="K54" s="286"/>
      <c r="L54" s="286"/>
      <c r="M54" s="286"/>
      <c r="N54" s="286"/>
      <c r="O54" s="286"/>
      <c r="P54" s="286"/>
      <c r="Q54" s="286"/>
      <c r="R54" s="286"/>
      <c r="S54" s="286"/>
      <c r="T54" s="286"/>
      <c r="U54" s="286"/>
      <c r="V54" s="311" t="s">
        <v>203</v>
      </c>
      <c r="W54" s="289"/>
      <c r="X54" s="5"/>
    </row>
    <row r="55" spans="1:25" ht="15.75" x14ac:dyDescent="0.25">
      <c r="A55" s="285"/>
      <c r="B55" s="286" t="s">
        <v>270</v>
      </c>
      <c r="C55" s="286"/>
      <c r="D55" s="286"/>
      <c r="E55" s="286"/>
      <c r="F55" s="286"/>
      <c r="G55" s="286"/>
      <c r="H55" s="286"/>
      <c r="I55" s="286"/>
      <c r="J55" s="286"/>
      <c r="K55" s="286"/>
      <c r="L55" s="286"/>
      <c r="M55" s="286"/>
      <c r="N55" s="286"/>
      <c r="O55" s="286"/>
      <c r="P55" s="286"/>
      <c r="Q55" s="286"/>
      <c r="R55" s="286"/>
      <c r="S55" s="286"/>
      <c r="T55" s="296"/>
      <c r="U55" s="296"/>
      <c r="V55" s="396" t="s">
        <v>111</v>
      </c>
      <c r="W55" s="289"/>
      <c r="X55" s="5"/>
    </row>
    <row r="56" spans="1:25" ht="15.75" x14ac:dyDescent="0.25">
      <c r="A56" s="285"/>
      <c r="B56" s="297" t="s">
        <v>201</v>
      </c>
      <c r="C56" s="297"/>
      <c r="D56" s="297"/>
      <c r="E56" s="297"/>
      <c r="F56" s="297"/>
      <c r="G56" s="297"/>
      <c r="H56" s="297"/>
      <c r="I56" s="297"/>
      <c r="J56" s="297"/>
      <c r="K56" s="297"/>
      <c r="L56" s="297"/>
      <c r="M56" s="297"/>
      <c r="N56" s="297"/>
      <c r="O56" s="297"/>
      <c r="P56" s="297"/>
      <c r="Q56" s="297"/>
      <c r="R56" s="297"/>
      <c r="S56" s="297"/>
      <c r="T56" s="397"/>
      <c r="U56" s="397"/>
      <c r="V56" s="398">
        <v>41260</v>
      </c>
      <c r="W56" s="289"/>
      <c r="X56" s="5"/>
    </row>
    <row r="57" spans="1:25" ht="15.75" x14ac:dyDescent="0.25">
      <c r="A57" s="285"/>
      <c r="B57" s="286" t="s">
        <v>121</v>
      </c>
      <c r="C57" s="286"/>
      <c r="D57" s="286"/>
      <c r="E57" s="286"/>
      <c r="F57" s="286"/>
      <c r="G57" s="286"/>
      <c r="H57" s="332"/>
      <c r="I57" s="332"/>
      <c r="J57" s="332"/>
      <c r="K57" s="332"/>
      <c r="L57" s="332"/>
      <c r="M57" s="332"/>
      <c r="N57" s="332"/>
      <c r="O57" s="332"/>
      <c r="P57" s="332"/>
      <c r="Q57" s="332"/>
      <c r="R57" s="286">
        <f>+V57-T57+1</f>
        <v>94</v>
      </c>
      <c r="S57" s="332"/>
      <c r="T57" s="333">
        <v>41075</v>
      </c>
      <c r="U57" s="334"/>
      <c r="V57" s="333">
        <v>41168</v>
      </c>
      <c r="W57" s="289"/>
      <c r="X57" s="5"/>
    </row>
    <row r="58" spans="1:25" ht="15.75" x14ac:dyDescent="0.25">
      <c r="A58" s="285"/>
      <c r="B58" s="286" t="s">
        <v>122</v>
      </c>
      <c r="C58" s="286"/>
      <c r="D58" s="286"/>
      <c r="E58" s="286"/>
      <c r="F58" s="286"/>
      <c r="G58" s="286"/>
      <c r="H58" s="286"/>
      <c r="I58" s="286"/>
      <c r="J58" s="286"/>
      <c r="K58" s="286"/>
      <c r="L58" s="286"/>
      <c r="M58" s="286"/>
      <c r="N58" s="286"/>
      <c r="O58" s="286"/>
      <c r="P58" s="286"/>
      <c r="Q58" s="286"/>
      <c r="R58" s="286">
        <f>+V58-T58+1</f>
        <v>91</v>
      </c>
      <c r="S58" s="286"/>
      <c r="T58" s="333">
        <v>41169</v>
      </c>
      <c r="U58" s="334"/>
      <c r="V58" s="333">
        <v>41259</v>
      </c>
      <c r="W58" s="289"/>
      <c r="X58" s="5"/>
    </row>
    <row r="59" spans="1:25" ht="15.75" x14ac:dyDescent="0.25">
      <c r="A59" s="285"/>
      <c r="B59" s="286" t="s">
        <v>223</v>
      </c>
      <c r="C59" s="286"/>
      <c r="D59" s="286"/>
      <c r="E59" s="286"/>
      <c r="F59" s="286"/>
      <c r="G59" s="286"/>
      <c r="H59" s="286"/>
      <c r="I59" s="286"/>
      <c r="J59" s="286"/>
      <c r="K59" s="286"/>
      <c r="L59" s="286"/>
      <c r="M59" s="286"/>
      <c r="N59" s="286"/>
      <c r="O59" s="286"/>
      <c r="P59" s="286"/>
      <c r="Q59" s="286"/>
      <c r="R59" s="286"/>
      <c r="S59" s="286"/>
      <c r="T59" s="333"/>
      <c r="U59" s="334"/>
      <c r="V59" s="333" t="s">
        <v>120</v>
      </c>
      <c r="W59" s="289"/>
      <c r="X59" s="5"/>
    </row>
    <row r="60" spans="1:25" ht="15.75" x14ac:dyDescent="0.25">
      <c r="A60" s="285"/>
      <c r="B60" s="286" t="s">
        <v>271</v>
      </c>
      <c r="C60" s="286"/>
      <c r="D60" s="286"/>
      <c r="E60" s="286"/>
      <c r="F60" s="286"/>
      <c r="G60" s="286"/>
      <c r="H60" s="286"/>
      <c r="I60" s="286"/>
      <c r="J60" s="286"/>
      <c r="K60" s="286"/>
      <c r="L60" s="286"/>
      <c r="M60" s="286"/>
      <c r="N60" s="286"/>
      <c r="O60" s="286"/>
      <c r="P60" s="286"/>
      <c r="Q60" s="286"/>
      <c r="R60" s="286"/>
      <c r="S60" s="286"/>
      <c r="T60" s="333"/>
      <c r="U60" s="334"/>
      <c r="V60" s="333" t="s">
        <v>154</v>
      </c>
      <c r="W60" s="289"/>
      <c r="X60" s="5"/>
      <c r="Y60" s="133"/>
    </row>
    <row r="61" spans="1:25" ht="15.75" x14ac:dyDescent="0.25">
      <c r="A61" s="285"/>
      <c r="B61" s="286" t="s">
        <v>16</v>
      </c>
      <c r="C61" s="286"/>
      <c r="D61" s="286"/>
      <c r="E61" s="286"/>
      <c r="F61" s="286"/>
      <c r="G61" s="286"/>
      <c r="H61" s="286"/>
      <c r="I61" s="286"/>
      <c r="J61" s="286"/>
      <c r="K61" s="286"/>
      <c r="L61" s="286"/>
      <c r="M61" s="286"/>
      <c r="N61" s="286"/>
      <c r="O61" s="286"/>
      <c r="P61" s="286"/>
      <c r="Q61" s="286"/>
      <c r="R61" s="286"/>
      <c r="S61" s="286"/>
      <c r="T61" s="333"/>
      <c r="U61" s="334"/>
      <c r="V61" s="333">
        <v>41246</v>
      </c>
      <c r="W61" s="289"/>
      <c r="X61" s="5"/>
    </row>
    <row r="62" spans="1:25" ht="15.75" x14ac:dyDescent="0.25">
      <c r="A62" s="181"/>
      <c r="B62" s="212"/>
      <c r="C62" s="212"/>
      <c r="D62" s="212"/>
      <c r="E62" s="212"/>
      <c r="F62" s="212"/>
      <c r="G62" s="212"/>
      <c r="H62" s="212"/>
      <c r="I62" s="212"/>
      <c r="J62" s="212"/>
      <c r="K62" s="212"/>
      <c r="L62" s="212"/>
      <c r="M62" s="212"/>
      <c r="N62" s="212"/>
      <c r="O62" s="212"/>
      <c r="P62" s="212"/>
      <c r="Q62" s="212"/>
      <c r="R62" s="212"/>
      <c r="S62" s="212"/>
      <c r="T62" s="283"/>
      <c r="U62" s="284"/>
      <c r="V62" s="283"/>
      <c r="W62" s="212"/>
      <c r="X62" s="5"/>
    </row>
    <row r="63" spans="1:25" ht="15.75" x14ac:dyDescent="0.25">
      <c r="A63" s="181"/>
      <c r="B63" s="183"/>
      <c r="C63" s="183"/>
      <c r="D63" s="183"/>
      <c r="E63" s="183"/>
      <c r="F63" s="183"/>
      <c r="G63" s="183"/>
      <c r="H63" s="183"/>
      <c r="I63" s="183"/>
      <c r="J63" s="183"/>
      <c r="K63" s="183"/>
      <c r="L63" s="183"/>
      <c r="M63" s="183"/>
      <c r="N63" s="183"/>
      <c r="O63" s="183"/>
      <c r="P63" s="183"/>
      <c r="Q63" s="183"/>
      <c r="R63" s="183"/>
      <c r="S63" s="183"/>
      <c r="T63" s="195"/>
      <c r="U63" s="196"/>
      <c r="V63" s="195"/>
      <c r="W63" s="183"/>
      <c r="X63" s="5"/>
    </row>
    <row r="64" spans="1:25" ht="19.5" thickBot="1" x14ac:dyDescent="0.35">
      <c r="A64" s="197"/>
      <c r="B64" s="270" t="s">
        <v>312</v>
      </c>
      <c r="C64" s="198"/>
      <c r="D64" s="198"/>
      <c r="E64" s="198"/>
      <c r="F64" s="198"/>
      <c r="G64" s="198"/>
      <c r="H64" s="198"/>
      <c r="I64" s="198"/>
      <c r="J64" s="198"/>
      <c r="K64" s="198"/>
      <c r="L64" s="198"/>
      <c r="M64" s="198"/>
      <c r="N64" s="198"/>
      <c r="O64" s="198"/>
      <c r="P64" s="198"/>
      <c r="Q64" s="198"/>
      <c r="R64" s="198"/>
      <c r="S64" s="198"/>
      <c r="T64" s="198"/>
      <c r="U64" s="198"/>
      <c r="V64" s="199"/>
      <c r="W64" s="200"/>
      <c r="X64" s="5"/>
    </row>
    <row r="65" spans="1:24" ht="15.75" x14ac:dyDescent="0.25">
      <c r="A65" s="224"/>
      <c r="B65" s="230" t="s">
        <v>17</v>
      </c>
      <c r="C65" s="225"/>
      <c r="D65" s="225"/>
      <c r="E65" s="225"/>
      <c r="F65" s="225"/>
      <c r="G65" s="225"/>
      <c r="H65" s="225"/>
      <c r="I65" s="225"/>
      <c r="J65" s="225"/>
      <c r="K65" s="225"/>
      <c r="L65" s="225"/>
      <c r="M65" s="225"/>
      <c r="N65" s="225"/>
      <c r="O65" s="225"/>
      <c r="P65" s="225"/>
      <c r="Q65" s="225"/>
      <c r="R65" s="225"/>
      <c r="S65" s="225"/>
      <c r="T65" s="225"/>
      <c r="U65" s="225"/>
      <c r="V65" s="231"/>
      <c r="W65" s="225"/>
      <c r="X65" s="5"/>
    </row>
    <row r="66" spans="1:24" ht="15.75" x14ac:dyDescent="0.25">
      <c r="A66" s="181"/>
      <c r="B66" s="189"/>
      <c r="C66" s="183"/>
      <c r="D66" s="183"/>
      <c r="E66" s="183"/>
      <c r="F66" s="183"/>
      <c r="G66" s="183"/>
      <c r="H66" s="183"/>
      <c r="I66" s="183"/>
      <c r="J66" s="183"/>
      <c r="K66" s="183"/>
      <c r="L66" s="183"/>
      <c r="M66" s="183"/>
      <c r="N66" s="183"/>
      <c r="O66" s="183"/>
      <c r="P66" s="183"/>
      <c r="Q66" s="183"/>
      <c r="R66" s="183"/>
      <c r="S66" s="183"/>
      <c r="T66" s="183"/>
      <c r="U66" s="183"/>
      <c r="V66" s="202"/>
      <c r="W66" s="183"/>
      <c r="X66" s="5"/>
    </row>
    <row r="67" spans="1:24" ht="47.25" x14ac:dyDescent="0.25">
      <c r="A67" s="181"/>
      <c r="B67" s="203" t="s">
        <v>18</v>
      </c>
      <c r="C67" s="204"/>
      <c r="D67" s="204"/>
      <c r="E67" s="204"/>
      <c r="F67" s="204"/>
      <c r="G67" s="204"/>
      <c r="H67" s="204"/>
      <c r="I67" s="204"/>
      <c r="J67" s="204"/>
      <c r="K67" s="204"/>
      <c r="L67" s="204" t="s">
        <v>94</v>
      </c>
      <c r="M67" s="204"/>
      <c r="N67" s="204" t="s">
        <v>96</v>
      </c>
      <c r="O67" s="204"/>
      <c r="P67" s="204" t="s">
        <v>98</v>
      </c>
      <c r="Q67" s="204"/>
      <c r="R67" s="204" t="s">
        <v>100</v>
      </c>
      <c r="S67" s="204"/>
      <c r="T67" s="204" t="s">
        <v>106</v>
      </c>
      <c r="U67" s="204"/>
      <c r="V67" s="205" t="s">
        <v>112</v>
      </c>
      <c r="W67" s="206"/>
      <c r="X67" s="5"/>
    </row>
    <row r="68" spans="1:24" ht="15.75" x14ac:dyDescent="0.25">
      <c r="A68" s="285"/>
      <c r="B68" s="286" t="s">
        <v>19</v>
      </c>
      <c r="C68" s="337"/>
      <c r="D68" s="337"/>
      <c r="E68" s="337"/>
      <c r="F68" s="337"/>
      <c r="G68" s="337"/>
      <c r="H68" s="337"/>
      <c r="I68" s="337"/>
      <c r="J68" s="337"/>
      <c r="K68" s="337"/>
      <c r="L68" s="337">
        <v>812446</v>
      </c>
      <c r="M68" s="337"/>
      <c r="N68" s="338">
        <v>818565</v>
      </c>
      <c r="O68" s="337"/>
      <c r="P68" s="337">
        <f>5386+9</f>
        <v>5395</v>
      </c>
      <c r="Q68" s="337"/>
      <c r="R68" s="337">
        <v>9</v>
      </c>
      <c r="S68" s="337"/>
      <c r="T68" s="337">
        <v>0</v>
      </c>
      <c r="U68" s="337"/>
      <c r="V68" s="338">
        <f>+N68-P68+R68-T68</f>
        <v>813179</v>
      </c>
      <c r="W68" s="289"/>
      <c r="X68" s="5"/>
    </row>
    <row r="69" spans="1:24" ht="15.75" x14ac:dyDescent="0.25">
      <c r="A69" s="285"/>
      <c r="B69" s="286" t="s">
        <v>20</v>
      </c>
      <c r="C69" s="337"/>
      <c r="D69" s="337"/>
      <c r="E69" s="337"/>
      <c r="F69" s="337"/>
      <c r="G69" s="337"/>
      <c r="H69" s="337"/>
      <c r="I69" s="337"/>
      <c r="J69" s="337"/>
      <c r="K69" s="337"/>
      <c r="L69" s="337">
        <v>0</v>
      </c>
      <c r="M69" s="337"/>
      <c r="N69" s="338">
        <v>0</v>
      </c>
      <c r="O69" s="337"/>
      <c r="P69" s="337">
        <v>0</v>
      </c>
      <c r="Q69" s="337"/>
      <c r="R69" s="337">
        <v>0</v>
      </c>
      <c r="S69" s="337"/>
      <c r="T69" s="337">
        <v>0</v>
      </c>
      <c r="U69" s="337"/>
      <c r="V69" s="338">
        <f>+L69-P69</f>
        <v>0</v>
      </c>
      <c r="W69" s="289"/>
      <c r="X69" s="5"/>
    </row>
    <row r="70" spans="1:24" ht="15.75" x14ac:dyDescent="0.25">
      <c r="A70" s="285"/>
      <c r="B70" s="286"/>
      <c r="C70" s="337"/>
      <c r="D70" s="337"/>
      <c r="E70" s="337"/>
      <c r="F70" s="337"/>
      <c r="G70" s="337"/>
      <c r="H70" s="337"/>
      <c r="I70" s="337"/>
      <c r="J70" s="337"/>
      <c r="K70" s="337"/>
      <c r="L70" s="337"/>
      <c r="M70" s="337"/>
      <c r="N70" s="338"/>
      <c r="O70" s="337"/>
      <c r="P70" s="337"/>
      <c r="Q70" s="337"/>
      <c r="R70" s="337"/>
      <c r="S70" s="337"/>
      <c r="T70" s="337"/>
      <c r="U70" s="337"/>
      <c r="V70" s="338"/>
      <c r="W70" s="289"/>
      <c r="X70" s="5"/>
    </row>
    <row r="71" spans="1:24" ht="15.75" x14ac:dyDescent="0.25">
      <c r="A71" s="285"/>
      <c r="B71" s="286" t="s">
        <v>21</v>
      </c>
      <c r="C71" s="337"/>
      <c r="D71" s="337"/>
      <c r="E71" s="337"/>
      <c r="F71" s="337"/>
      <c r="G71" s="337"/>
      <c r="H71" s="337"/>
      <c r="I71" s="337"/>
      <c r="J71" s="337"/>
      <c r="K71" s="337"/>
      <c r="L71" s="337">
        <f>SUM(L68:L70)</f>
        <v>812446</v>
      </c>
      <c r="M71" s="337"/>
      <c r="N71" s="337">
        <f>N68+N69</f>
        <v>818565</v>
      </c>
      <c r="O71" s="337"/>
      <c r="P71" s="337">
        <f>SUM(P68:P70)</f>
        <v>5395</v>
      </c>
      <c r="Q71" s="337"/>
      <c r="R71" s="337">
        <f>SUM(R68:R70)</f>
        <v>9</v>
      </c>
      <c r="S71" s="337"/>
      <c r="T71" s="337">
        <f>SUM(T68:T70)</f>
        <v>0</v>
      </c>
      <c r="U71" s="337"/>
      <c r="V71" s="337">
        <f>SUM(V68:V70)</f>
        <v>813179</v>
      </c>
      <c r="W71" s="289"/>
      <c r="X71" s="5"/>
    </row>
    <row r="72" spans="1:24" ht="15.75" x14ac:dyDescent="0.25">
      <c r="A72" s="181"/>
      <c r="B72" s="212"/>
      <c r="C72" s="335"/>
      <c r="D72" s="335"/>
      <c r="E72" s="335"/>
      <c r="F72" s="335"/>
      <c r="G72" s="335"/>
      <c r="H72" s="335"/>
      <c r="I72" s="335"/>
      <c r="J72" s="335"/>
      <c r="K72" s="335"/>
      <c r="L72" s="335"/>
      <c r="M72" s="335"/>
      <c r="N72" s="335"/>
      <c r="O72" s="335"/>
      <c r="P72" s="335"/>
      <c r="Q72" s="335"/>
      <c r="R72" s="335"/>
      <c r="S72" s="335"/>
      <c r="T72" s="335"/>
      <c r="U72" s="335"/>
      <c r="V72" s="336"/>
      <c r="W72" s="212"/>
      <c r="X72" s="5"/>
    </row>
    <row r="73" spans="1:24" ht="15.75" x14ac:dyDescent="0.25">
      <c r="A73" s="181"/>
      <c r="B73" s="185" t="s">
        <v>22</v>
      </c>
      <c r="C73" s="207"/>
      <c r="D73" s="207"/>
      <c r="E73" s="207"/>
      <c r="F73" s="207"/>
      <c r="G73" s="207"/>
      <c r="H73" s="207"/>
      <c r="I73" s="207"/>
      <c r="J73" s="207"/>
      <c r="K73" s="207"/>
      <c r="L73" s="207"/>
      <c r="M73" s="207"/>
      <c r="N73" s="207"/>
      <c r="O73" s="207"/>
      <c r="P73" s="207"/>
      <c r="Q73" s="207"/>
      <c r="R73" s="207"/>
      <c r="S73" s="207"/>
      <c r="T73" s="207"/>
      <c r="U73" s="207"/>
      <c r="V73" s="208"/>
      <c r="W73" s="183"/>
      <c r="X73" s="5"/>
    </row>
    <row r="74" spans="1:24" ht="15.75" x14ac:dyDescent="0.25">
      <c r="A74" s="181"/>
      <c r="B74" s="183"/>
      <c r="C74" s="207"/>
      <c r="D74" s="207"/>
      <c r="E74" s="207"/>
      <c r="F74" s="207"/>
      <c r="G74" s="207"/>
      <c r="H74" s="207"/>
      <c r="I74" s="207"/>
      <c r="J74" s="207"/>
      <c r="K74" s="207"/>
      <c r="L74" s="207"/>
      <c r="M74" s="207"/>
      <c r="N74" s="207"/>
      <c r="O74" s="207"/>
      <c r="P74" s="207"/>
      <c r="Q74" s="207"/>
      <c r="R74" s="207"/>
      <c r="S74" s="207"/>
      <c r="T74" s="207"/>
      <c r="U74" s="207"/>
      <c r="V74" s="208"/>
      <c r="W74" s="183"/>
      <c r="X74" s="5"/>
    </row>
    <row r="75" spans="1:24" ht="15.75" x14ac:dyDescent="0.25">
      <c r="A75" s="285"/>
      <c r="B75" s="286" t="s">
        <v>19</v>
      </c>
      <c r="C75" s="337"/>
      <c r="D75" s="337"/>
      <c r="E75" s="337"/>
      <c r="F75" s="337"/>
      <c r="G75" s="337"/>
      <c r="H75" s="337"/>
      <c r="I75" s="337"/>
      <c r="J75" s="337"/>
      <c r="K75" s="337"/>
      <c r="L75" s="337"/>
      <c r="M75" s="337"/>
      <c r="N75" s="337"/>
      <c r="O75" s="337"/>
      <c r="P75" s="337"/>
      <c r="Q75" s="337"/>
      <c r="R75" s="337"/>
      <c r="S75" s="337"/>
      <c r="T75" s="337"/>
      <c r="U75" s="337"/>
      <c r="V75" s="337"/>
      <c r="W75" s="289"/>
      <c r="X75" s="5"/>
    </row>
    <row r="76" spans="1:24" ht="15.75" x14ac:dyDescent="0.25">
      <c r="A76" s="285"/>
      <c r="B76" s="286" t="s">
        <v>20</v>
      </c>
      <c r="C76" s="337"/>
      <c r="D76" s="337"/>
      <c r="E76" s="337"/>
      <c r="F76" s="337"/>
      <c r="G76" s="337"/>
      <c r="H76" s="337"/>
      <c r="I76" s="337"/>
      <c r="J76" s="337"/>
      <c r="K76" s="337"/>
      <c r="L76" s="337"/>
      <c r="M76" s="337"/>
      <c r="N76" s="337"/>
      <c r="O76" s="337"/>
      <c r="P76" s="337"/>
      <c r="Q76" s="337"/>
      <c r="R76" s="337"/>
      <c r="S76" s="337"/>
      <c r="T76" s="337"/>
      <c r="U76" s="337"/>
      <c r="V76" s="337"/>
      <c r="W76" s="289"/>
      <c r="X76" s="5"/>
    </row>
    <row r="77" spans="1:24" ht="15.75" x14ac:dyDescent="0.25">
      <c r="A77" s="285"/>
      <c r="B77" s="286"/>
      <c r="C77" s="337"/>
      <c r="D77" s="337"/>
      <c r="E77" s="337"/>
      <c r="F77" s="337"/>
      <c r="G77" s="337"/>
      <c r="H77" s="337"/>
      <c r="I77" s="337"/>
      <c r="J77" s="337"/>
      <c r="K77" s="337"/>
      <c r="L77" s="337"/>
      <c r="M77" s="337"/>
      <c r="N77" s="337"/>
      <c r="O77" s="337"/>
      <c r="P77" s="337"/>
      <c r="Q77" s="337"/>
      <c r="R77" s="337"/>
      <c r="S77" s="337"/>
      <c r="T77" s="337"/>
      <c r="U77" s="337"/>
      <c r="V77" s="337"/>
      <c r="W77" s="289"/>
      <c r="X77" s="5"/>
    </row>
    <row r="78" spans="1:24" ht="15.75" x14ac:dyDescent="0.25">
      <c r="A78" s="285"/>
      <c r="B78" s="286" t="s">
        <v>21</v>
      </c>
      <c r="C78" s="337"/>
      <c r="D78" s="337"/>
      <c r="E78" s="337"/>
      <c r="F78" s="337"/>
      <c r="G78" s="337"/>
      <c r="H78" s="337"/>
      <c r="I78" s="337"/>
      <c r="J78" s="337"/>
      <c r="K78" s="337"/>
      <c r="L78" s="337"/>
      <c r="M78" s="337"/>
      <c r="N78" s="337"/>
      <c r="O78" s="337"/>
      <c r="P78" s="337"/>
      <c r="Q78" s="337"/>
      <c r="R78" s="337"/>
      <c r="S78" s="337"/>
      <c r="T78" s="337"/>
      <c r="U78" s="337"/>
      <c r="V78" s="337"/>
      <c r="W78" s="289"/>
      <c r="X78" s="5"/>
    </row>
    <row r="79" spans="1:24" ht="15.75" x14ac:dyDescent="0.25">
      <c r="A79" s="285"/>
      <c r="B79" s="286"/>
      <c r="C79" s="337"/>
      <c r="D79" s="337"/>
      <c r="E79" s="337"/>
      <c r="F79" s="337"/>
      <c r="G79" s="337"/>
      <c r="H79" s="337"/>
      <c r="I79" s="337"/>
      <c r="J79" s="337"/>
      <c r="K79" s="337"/>
      <c r="L79" s="337"/>
      <c r="M79" s="337"/>
      <c r="N79" s="337"/>
      <c r="O79" s="337"/>
      <c r="P79" s="337"/>
      <c r="Q79" s="337"/>
      <c r="R79" s="337"/>
      <c r="S79" s="337"/>
      <c r="T79" s="337"/>
      <c r="U79" s="337"/>
      <c r="V79" s="337"/>
      <c r="W79" s="289"/>
      <c r="X79" s="5"/>
    </row>
    <row r="80" spans="1:24" ht="15.75" x14ac:dyDescent="0.25">
      <c r="A80" s="285"/>
      <c r="B80" s="286" t="s">
        <v>23</v>
      </c>
      <c r="C80" s="337"/>
      <c r="D80" s="337"/>
      <c r="E80" s="337"/>
      <c r="F80" s="337"/>
      <c r="G80" s="337"/>
      <c r="H80" s="337"/>
      <c r="I80" s="337"/>
      <c r="J80" s="337"/>
      <c r="K80" s="337"/>
      <c r="L80" s="337">
        <v>0</v>
      </c>
      <c r="M80" s="337"/>
      <c r="N80" s="337">
        <v>0</v>
      </c>
      <c r="O80" s="337"/>
      <c r="P80" s="337"/>
      <c r="Q80" s="337"/>
      <c r="R80" s="337"/>
      <c r="S80" s="337"/>
      <c r="T80" s="337"/>
      <c r="U80" s="337"/>
      <c r="V80" s="338">
        <v>0</v>
      </c>
      <c r="W80" s="289"/>
      <c r="X80" s="5"/>
    </row>
    <row r="81" spans="1:24" ht="15.75" x14ac:dyDescent="0.25">
      <c r="A81" s="285"/>
      <c r="B81" s="286" t="s">
        <v>117</v>
      </c>
      <c r="C81" s="337"/>
      <c r="D81" s="337"/>
      <c r="E81" s="337"/>
      <c r="F81" s="337"/>
      <c r="G81" s="337"/>
      <c r="H81" s="337"/>
      <c r="I81" s="337"/>
      <c r="J81" s="337"/>
      <c r="K81" s="337"/>
      <c r="L81" s="337">
        <v>188687</v>
      </c>
      <c r="M81" s="337"/>
      <c r="N81" s="337">
        <v>0</v>
      </c>
      <c r="O81" s="337"/>
      <c r="P81" s="337">
        <v>0</v>
      </c>
      <c r="Q81" s="337"/>
      <c r="R81" s="337"/>
      <c r="S81" s="337"/>
      <c r="T81" s="337"/>
      <c r="U81" s="337"/>
      <c r="V81" s="337">
        <f>SUM(N81:R81)</f>
        <v>0</v>
      </c>
      <c r="W81" s="289"/>
      <c r="X81" s="5"/>
    </row>
    <row r="82" spans="1:24" ht="15.75" x14ac:dyDescent="0.25">
      <c r="A82" s="285"/>
      <c r="B82" s="286"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89"/>
      <c r="X82" s="5"/>
    </row>
    <row r="83" spans="1:24" ht="15.75" x14ac:dyDescent="0.25">
      <c r="A83" s="285"/>
      <c r="B83" s="286" t="s">
        <v>25</v>
      </c>
      <c r="C83" s="337"/>
      <c r="D83" s="337"/>
      <c r="E83" s="337"/>
      <c r="F83" s="337"/>
      <c r="G83" s="337"/>
      <c r="H83" s="337"/>
      <c r="I83" s="337"/>
      <c r="J83" s="337"/>
      <c r="K83" s="337"/>
      <c r="L83" s="337">
        <v>0</v>
      </c>
      <c r="M83" s="337"/>
      <c r="N83" s="337">
        <v>0</v>
      </c>
      <c r="O83" s="337"/>
      <c r="P83" s="337"/>
      <c r="Q83" s="337"/>
      <c r="R83" s="337"/>
      <c r="S83" s="337"/>
      <c r="T83" s="337"/>
      <c r="U83" s="337"/>
      <c r="V83" s="337">
        <v>0</v>
      </c>
      <c r="W83" s="289"/>
      <c r="X83" s="5"/>
    </row>
    <row r="84" spans="1:24" ht="15.75" x14ac:dyDescent="0.25">
      <c r="A84" s="285"/>
      <c r="B84" s="286" t="s">
        <v>26</v>
      </c>
      <c r="C84" s="337"/>
      <c r="D84" s="337"/>
      <c r="E84" s="337"/>
      <c r="F84" s="337"/>
      <c r="G84" s="337"/>
      <c r="H84" s="337"/>
      <c r="I84" s="337"/>
      <c r="J84" s="337"/>
      <c r="K84" s="337"/>
      <c r="L84" s="337">
        <f>SUM(L71:L83)</f>
        <v>1001133</v>
      </c>
      <c r="M84" s="337"/>
      <c r="N84" s="337">
        <f>SUM(N71:N83)</f>
        <v>818565</v>
      </c>
      <c r="O84" s="337"/>
      <c r="P84" s="337"/>
      <c r="Q84" s="337"/>
      <c r="R84" s="337"/>
      <c r="S84" s="337"/>
      <c r="T84" s="337"/>
      <c r="U84" s="337"/>
      <c r="V84" s="337">
        <f>SUM(V71:V83)</f>
        <v>813179</v>
      </c>
      <c r="W84" s="289"/>
      <c r="X84" s="5"/>
    </row>
    <row r="85" spans="1:24" ht="15.75" x14ac:dyDescent="0.25">
      <c r="A85" s="181"/>
      <c r="B85" s="212"/>
      <c r="C85" s="335"/>
      <c r="D85" s="335"/>
      <c r="E85" s="335"/>
      <c r="F85" s="335"/>
      <c r="G85" s="335"/>
      <c r="H85" s="335"/>
      <c r="I85" s="335"/>
      <c r="J85" s="335"/>
      <c r="K85" s="335"/>
      <c r="L85" s="335"/>
      <c r="M85" s="335"/>
      <c r="N85" s="335"/>
      <c r="O85" s="335"/>
      <c r="P85" s="335"/>
      <c r="Q85" s="335"/>
      <c r="R85" s="335"/>
      <c r="S85" s="335"/>
      <c r="T85" s="335"/>
      <c r="U85" s="335"/>
      <c r="V85" s="336"/>
      <c r="W85" s="212"/>
      <c r="X85" s="5"/>
    </row>
    <row r="86" spans="1:24" ht="15.75" x14ac:dyDescent="0.25">
      <c r="A86" s="181"/>
      <c r="B86" s="183"/>
      <c r="C86" s="183"/>
      <c r="D86" s="183"/>
      <c r="E86" s="183"/>
      <c r="F86" s="183"/>
      <c r="G86" s="183"/>
      <c r="H86" s="183"/>
      <c r="I86" s="183"/>
      <c r="J86" s="183"/>
      <c r="K86" s="183"/>
      <c r="L86" s="183"/>
      <c r="M86" s="183"/>
      <c r="N86" s="183"/>
      <c r="O86" s="183"/>
      <c r="P86" s="183"/>
      <c r="Q86" s="183"/>
      <c r="R86" s="183"/>
      <c r="S86" s="183"/>
      <c r="T86" s="183"/>
      <c r="U86" s="183"/>
      <c r="V86" s="183"/>
      <c r="W86" s="183"/>
      <c r="X86" s="5"/>
    </row>
    <row r="87" spans="1:24" ht="15.75" x14ac:dyDescent="0.25">
      <c r="A87" s="224"/>
      <c r="B87" s="399" t="s">
        <v>27</v>
      </c>
      <c r="C87" s="399"/>
      <c r="D87" s="399"/>
      <c r="E87" s="399"/>
      <c r="F87" s="399"/>
      <c r="G87" s="399"/>
      <c r="H87" s="400"/>
      <c r="I87" s="400"/>
      <c r="J87" s="400"/>
      <c r="K87" s="400"/>
      <c r="L87" s="401" t="s">
        <v>95</v>
      </c>
      <c r="M87" s="400"/>
      <c r="N87" s="402">
        <f>+T201</f>
        <v>41243</v>
      </c>
      <c r="O87" s="400"/>
      <c r="P87" s="400"/>
      <c r="Q87" s="400"/>
      <c r="R87" s="400"/>
      <c r="S87" s="400"/>
      <c r="T87" s="400" t="s">
        <v>107</v>
      </c>
      <c r="U87" s="400"/>
      <c r="V87" s="400" t="s">
        <v>113</v>
      </c>
      <c r="W87" s="225"/>
      <c r="X87" s="5"/>
    </row>
    <row r="88" spans="1:24" ht="15.75" x14ac:dyDescent="0.25">
      <c r="A88" s="248"/>
      <c r="B88" s="250" t="s">
        <v>28</v>
      </c>
      <c r="C88" s="194"/>
      <c r="D88" s="194"/>
      <c r="E88" s="194"/>
      <c r="F88" s="194"/>
      <c r="G88" s="194"/>
      <c r="H88" s="194"/>
      <c r="I88" s="194"/>
      <c r="J88" s="194"/>
      <c r="K88" s="194"/>
      <c r="L88" s="194"/>
      <c r="M88" s="194"/>
      <c r="N88" s="194"/>
      <c r="O88" s="194"/>
      <c r="P88" s="194"/>
      <c r="Q88" s="194"/>
      <c r="R88" s="194"/>
      <c r="S88" s="194"/>
      <c r="T88" s="249">
        <v>0</v>
      </c>
      <c r="U88" s="250"/>
      <c r="V88" s="253">
        <v>0</v>
      </c>
      <c r="W88" s="194"/>
      <c r="X88" s="5"/>
    </row>
    <row r="89" spans="1:24" ht="15.75" x14ac:dyDescent="0.25">
      <c r="A89" s="295"/>
      <c r="B89" s="286" t="s">
        <v>29</v>
      </c>
      <c r="C89" s="314"/>
      <c r="D89" s="314"/>
      <c r="E89" s="314"/>
      <c r="F89" s="314"/>
      <c r="G89" s="314"/>
      <c r="H89" s="339"/>
      <c r="I89" s="339"/>
      <c r="J89" s="339"/>
      <c r="K89" s="340"/>
      <c r="L89" s="339"/>
      <c r="M89" s="314"/>
      <c r="N89" s="341"/>
      <c r="O89" s="314"/>
      <c r="P89" s="314"/>
      <c r="Q89" s="314"/>
      <c r="R89" s="314"/>
      <c r="S89" s="314"/>
      <c r="T89" s="337">
        <f>5395-403</f>
        <v>4992</v>
      </c>
      <c r="U89" s="286"/>
      <c r="V89" s="338"/>
      <c r="W89" s="318"/>
      <c r="X89" s="5"/>
    </row>
    <row r="90" spans="1:24" ht="15.75" x14ac:dyDescent="0.25">
      <c r="A90" s="295"/>
      <c r="B90" s="286" t="s">
        <v>215</v>
      </c>
      <c r="C90" s="314"/>
      <c r="D90" s="314"/>
      <c r="E90" s="314"/>
      <c r="F90" s="314"/>
      <c r="G90" s="314"/>
      <c r="H90" s="339"/>
      <c r="I90" s="339"/>
      <c r="J90" s="339"/>
      <c r="K90" s="340"/>
      <c r="L90" s="339"/>
      <c r="M90" s="314"/>
      <c r="N90" s="341"/>
      <c r="O90" s="314"/>
      <c r="P90" s="314"/>
      <c r="Q90" s="314"/>
      <c r="R90" s="314"/>
      <c r="S90" s="314"/>
      <c r="T90" s="337"/>
      <c r="U90" s="286"/>
      <c r="V90" s="338">
        <f>3311+2870-419-368</f>
        <v>5394</v>
      </c>
      <c r="W90" s="318"/>
      <c r="X90" s="5"/>
    </row>
    <row r="91" spans="1:24" ht="15.75" x14ac:dyDescent="0.25">
      <c r="A91" s="295"/>
      <c r="B91" s="286" t="s">
        <v>210</v>
      </c>
      <c r="C91" s="314"/>
      <c r="D91" s="314"/>
      <c r="E91" s="314"/>
      <c r="F91" s="314"/>
      <c r="G91" s="314"/>
      <c r="H91" s="339"/>
      <c r="I91" s="339"/>
      <c r="J91" s="339"/>
      <c r="K91" s="340"/>
      <c r="L91" s="339"/>
      <c r="M91" s="314"/>
      <c r="N91" s="341"/>
      <c r="O91" s="314"/>
      <c r="P91" s="314"/>
      <c r="Q91" s="314"/>
      <c r="R91" s="314"/>
      <c r="S91" s="314"/>
      <c r="T91" s="337"/>
      <c r="U91" s="286"/>
      <c r="V91" s="338">
        <f>31+41</f>
        <v>72</v>
      </c>
      <c r="W91" s="318"/>
      <c r="X91" s="5"/>
    </row>
    <row r="92" spans="1:24" ht="15.75" x14ac:dyDescent="0.25">
      <c r="A92" s="295"/>
      <c r="B92" s="286" t="s">
        <v>211</v>
      </c>
      <c r="C92" s="314"/>
      <c r="D92" s="314"/>
      <c r="E92" s="314"/>
      <c r="F92" s="314"/>
      <c r="G92" s="314"/>
      <c r="H92" s="339"/>
      <c r="I92" s="339"/>
      <c r="J92" s="339"/>
      <c r="K92" s="340"/>
      <c r="L92" s="339"/>
      <c r="M92" s="314"/>
      <c r="N92" s="341"/>
      <c r="O92" s="314"/>
      <c r="P92" s="314"/>
      <c r="Q92" s="314"/>
      <c r="R92" s="314"/>
      <c r="S92" s="314"/>
      <c r="T92" s="337"/>
      <c r="U92" s="286"/>
      <c r="V92" s="338">
        <v>17</v>
      </c>
      <c r="W92" s="318"/>
      <c r="X92" s="5"/>
    </row>
    <row r="93" spans="1:24" ht="15.75" x14ac:dyDescent="0.25">
      <c r="A93" s="295"/>
      <c r="B93" s="286" t="s">
        <v>233</v>
      </c>
      <c r="C93" s="314"/>
      <c r="D93" s="314"/>
      <c r="E93" s="314"/>
      <c r="F93" s="314"/>
      <c r="G93" s="314"/>
      <c r="H93" s="339"/>
      <c r="I93" s="339"/>
      <c r="J93" s="339"/>
      <c r="K93" s="340"/>
      <c r="L93" s="339"/>
      <c r="M93" s="314"/>
      <c r="N93" s="341"/>
      <c r="O93" s="314"/>
      <c r="P93" s="314"/>
      <c r="Q93" s="314"/>
      <c r="R93" s="314"/>
      <c r="S93" s="314"/>
      <c r="T93" s="337"/>
      <c r="U93" s="286"/>
      <c r="V93" s="338">
        <v>0</v>
      </c>
      <c r="W93" s="318"/>
      <c r="X93" s="5"/>
    </row>
    <row r="94" spans="1:24" ht="15.75" x14ac:dyDescent="0.25">
      <c r="A94" s="295"/>
      <c r="B94" s="286" t="s">
        <v>235</v>
      </c>
      <c r="C94" s="314"/>
      <c r="D94" s="314"/>
      <c r="E94" s="314"/>
      <c r="F94" s="314"/>
      <c r="G94" s="314"/>
      <c r="H94" s="339"/>
      <c r="I94" s="339"/>
      <c r="J94" s="339"/>
      <c r="K94" s="340"/>
      <c r="L94" s="339"/>
      <c r="M94" s="314"/>
      <c r="N94" s="341"/>
      <c r="O94" s="314"/>
      <c r="P94" s="314"/>
      <c r="Q94" s="314"/>
      <c r="R94" s="314"/>
      <c r="S94" s="314"/>
      <c r="T94" s="337"/>
      <c r="U94" s="286"/>
      <c r="V94" s="338">
        <v>0</v>
      </c>
      <c r="W94" s="318"/>
      <c r="X94" s="5"/>
    </row>
    <row r="95" spans="1:24" ht="15.75" x14ac:dyDescent="0.25">
      <c r="A95" s="295"/>
      <c r="B95" s="286" t="s">
        <v>135</v>
      </c>
      <c r="C95" s="314"/>
      <c r="D95" s="314"/>
      <c r="E95" s="314"/>
      <c r="F95" s="314"/>
      <c r="G95" s="314"/>
      <c r="H95" s="314"/>
      <c r="I95" s="314"/>
      <c r="J95" s="314"/>
      <c r="K95" s="314"/>
      <c r="L95" s="314"/>
      <c r="M95" s="314"/>
      <c r="N95" s="314"/>
      <c r="O95" s="314"/>
      <c r="P95" s="314"/>
      <c r="Q95" s="314"/>
      <c r="R95" s="314"/>
      <c r="S95" s="314"/>
      <c r="T95" s="337"/>
      <c r="U95" s="286"/>
      <c r="V95" s="338">
        <v>0</v>
      </c>
      <c r="W95" s="318"/>
      <c r="X95" s="5"/>
    </row>
    <row r="96" spans="1:24" ht="15.75" x14ac:dyDescent="0.25">
      <c r="A96" s="295"/>
      <c r="B96" s="286" t="s">
        <v>272</v>
      </c>
      <c r="C96" s="314"/>
      <c r="D96" s="314"/>
      <c r="E96" s="314"/>
      <c r="F96" s="314"/>
      <c r="G96" s="314"/>
      <c r="H96" s="314"/>
      <c r="I96" s="314"/>
      <c r="J96" s="314"/>
      <c r="K96" s="314"/>
      <c r="L96" s="314"/>
      <c r="M96" s="314"/>
      <c r="N96" s="314"/>
      <c r="O96" s="314"/>
      <c r="P96" s="314"/>
      <c r="Q96" s="314"/>
      <c r="R96" s="314"/>
      <c r="S96" s="314"/>
      <c r="T96" s="337"/>
      <c r="U96" s="286"/>
      <c r="V96" s="338">
        <v>32</v>
      </c>
      <c r="W96" s="318"/>
      <c r="X96" s="5"/>
    </row>
    <row r="97" spans="1:25" ht="15.75" x14ac:dyDescent="0.25">
      <c r="A97" s="295"/>
      <c r="B97" s="286" t="s">
        <v>30</v>
      </c>
      <c r="C97" s="314"/>
      <c r="D97" s="314"/>
      <c r="E97" s="314"/>
      <c r="F97" s="314"/>
      <c r="G97" s="314"/>
      <c r="H97" s="314"/>
      <c r="I97" s="314"/>
      <c r="J97" s="314"/>
      <c r="K97" s="314"/>
      <c r="L97" s="314"/>
      <c r="M97" s="314"/>
      <c r="N97" s="314"/>
      <c r="O97" s="314"/>
      <c r="P97" s="314"/>
      <c r="Q97" s="314"/>
      <c r="R97" s="314"/>
      <c r="S97" s="314"/>
      <c r="T97" s="337">
        <f>SUM(T88:T96)</f>
        <v>4992</v>
      </c>
      <c r="U97" s="286"/>
      <c r="V97" s="337">
        <f>SUM(V88:V96)</f>
        <v>5515</v>
      </c>
      <c r="W97" s="318"/>
      <c r="X97" s="5"/>
    </row>
    <row r="98" spans="1:25" ht="15.75" x14ac:dyDescent="0.25">
      <c r="A98" s="295"/>
      <c r="B98" s="286" t="s">
        <v>161</v>
      </c>
      <c r="C98" s="314"/>
      <c r="D98" s="314"/>
      <c r="E98" s="314"/>
      <c r="F98" s="314"/>
      <c r="G98" s="314"/>
      <c r="H98" s="314"/>
      <c r="I98" s="314"/>
      <c r="J98" s="314"/>
      <c r="K98" s="314"/>
      <c r="L98" s="314"/>
      <c r="M98" s="314"/>
      <c r="N98" s="314"/>
      <c r="O98" s="314"/>
      <c r="P98" s="314"/>
      <c r="Q98" s="314"/>
      <c r="R98" s="314"/>
      <c r="S98" s="314"/>
      <c r="T98" s="337">
        <f>-V98</f>
        <v>0</v>
      </c>
      <c r="U98" s="286"/>
      <c r="V98" s="337">
        <v>0</v>
      </c>
      <c r="W98" s="318"/>
      <c r="X98" s="5"/>
    </row>
    <row r="99" spans="1:25" ht="15.75" x14ac:dyDescent="0.25">
      <c r="A99" s="295"/>
      <c r="B99" s="286" t="s">
        <v>31</v>
      </c>
      <c r="C99" s="314"/>
      <c r="D99" s="314"/>
      <c r="E99" s="314"/>
      <c r="F99" s="314"/>
      <c r="G99" s="314"/>
      <c r="H99" s="314"/>
      <c r="I99" s="314"/>
      <c r="J99" s="314"/>
      <c r="K99" s="314"/>
      <c r="L99" s="314"/>
      <c r="M99" s="314"/>
      <c r="N99" s="314"/>
      <c r="O99" s="314"/>
      <c r="P99" s="314"/>
      <c r="Q99" s="314"/>
      <c r="R99" s="314"/>
      <c r="S99" s="314"/>
      <c r="T99" s="337">
        <f>-V99</f>
        <v>0</v>
      </c>
      <c r="U99" s="286"/>
      <c r="V99" s="338">
        <v>0</v>
      </c>
      <c r="W99" s="318"/>
      <c r="X99" s="5"/>
    </row>
    <row r="100" spans="1:25" ht="15.75" x14ac:dyDescent="0.25">
      <c r="A100" s="295"/>
      <c r="B100" s="286" t="s">
        <v>274</v>
      </c>
      <c r="C100" s="314"/>
      <c r="D100" s="314"/>
      <c r="E100" s="314"/>
      <c r="F100" s="314"/>
      <c r="G100" s="314"/>
      <c r="H100" s="314"/>
      <c r="I100" s="314"/>
      <c r="J100" s="314"/>
      <c r="K100" s="314"/>
      <c r="L100" s="314"/>
      <c r="M100" s="314"/>
      <c r="N100" s="314"/>
      <c r="O100" s="314"/>
      <c r="P100" s="314"/>
      <c r="Q100" s="314"/>
      <c r="R100" s="314"/>
      <c r="S100" s="314"/>
      <c r="T100" s="337"/>
      <c r="U100" s="286"/>
      <c r="V100" s="338">
        <v>68</v>
      </c>
      <c r="W100" s="318"/>
      <c r="X100" s="5"/>
    </row>
    <row r="101" spans="1:25" ht="15.75" x14ac:dyDescent="0.25">
      <c r="A101" s="295"/>
      <c r="B101" s="286" t="s">
        <v>32</v>
      </c>
      <c r="C101" s="314"/>
      <c r="D101" s="314"/>
      <c r="E101" s="314"/>
      <c r="F101" s="314"/>
      <c r="G101" s="314"/>
      <c r="H101" s="314"/>
      <c r="I101" s="314"/>
      <c r="J101" s="314"/>
      <c r="K101" s="314"/>
      <c r="L101" s="314"/>
      <c r="M101" s="314"/>
      <c r="N101" s="314"/>
      <c r="O101" s="314"/>
      <c r="P101" s="314"/>
      <c r="Q101" s="314"/>
      <c r="R101" s="314"/>
      <c r="S101" s="314"/>
      <c r="T101" s="337">
        <f>T97+T99+T98</f>
        <v>4992</v>
      </c>
      <c r="U101" s="286"/>
      <c r="V101" s="337">
        <f>V97+V99+V98+V100</f>
        <v>5583</v>
      </c>
      <c r="W101" s="318"/>
      <c r="X101" s="5"/>
    </row>
    <row r="102" spans="1:25" ht="15.75" x14ac:dyDescent="0.25">
      <c r="A102" s="285"/>
      <c r="B102" s="342" t="s">
        <v>33</v>
      </c>
      <c r="C102" s="314"/>
      <c r="D102" s="314"/>
      <c r="E102" s="314"/>
      <c r="F102" s="314"/>
      <c r="G102" s="314"/>
      <c r="H102" s="314"/>
      <c r="I102" s="314"/>
      <c r="J102" s="314"/>
      <c r="K102" s="314"/>
      <c r="L102" s="314"/>
      <c r="M102" s="314"/>
      <c r="N102" s="314"/>
      <c r="O102" s="314"/>
      <c r="P102" s="314"/>
      <c r="Q102" s="314"/>
      <c r="R102" s="314"/>
      <c r="S102" s="314"/>
      <c r="T102" s="337"/>
      <c r="U102" s="286"/>
      <c r="V102" s="338"/>
      <c r="W102" s="318"/>
      <c r="X102" s="5"/>
    </row>
    <row r="103" spans="1:25" ht="15.75" x14ac:dyDescent="0.25">
      <c r="A103" s="295">
        <v>1</v>
      </c>
      <c r="B103" s="286" t="s">
        <v>34</v>
      </c>
      <c r="C103" s="286"/>
      <c r="D103" s="286"/>
      <c r="E103" s="314"/>
      <c r="F103" s="314"/>
      <c r="G103" s="314"/>
      <c r="H103" s="314"/>
      <c r="I103" s="314"/>
      <c r="J103" s="314"/>
      <c r="K103" s="314"/>
      <c r="L103" s="314"/>
      <c r="M103" s="314"/>
      <c r="N103" s="314"/>
      <c r="O103" s="314"/>
      <c r="P103" s="314"/>
      <c r="Q103" s="314"/>
      <c r="R103" s="314"/>
      <c r="S103" s="314"/>
      <c r="T103" s="286"/>
      <c r="U103" s="286"/>
      <c r="V103" s="338">
        <v>0</v>
      </c>
      <c r="W103" s="318"/>
      <c r="X103" s="5"/>
    </row>
    <row r="104" spans="1:25" ht="15.75" x14ac:dyDescent="0.25">
      <c r="A104" s="295">
        <f>+A103+1</f>
        <v>2</v>
      </c>
      <c r="B104" s="286" t="s">
        <v>221</v>
      </c>
      <c r="C104" s="286"/>
      <c r="D104" s="286"/>
      <c r="E104" s="314"/>
      <c r="F104" s="314"/>
      <c r="G104" s="314"/>
      <c r="H104" s="314"/>
      <c r="I104" s="314"/>
      <c r="J104" s="314"/>
      <c r="K104" s="314"/>
      <c r="L104" s="314"/>
      <c r="M104" s="314"/>
      <c r="N104" s="314"/>
      <c r="O104" s="314"/>
      <c r="P104" s="314"/>
      <c r="Q104" s="314"/>
      <c r="R104" s="314"/>
      <c r="S104" s="314"/>
      <c r="T104" s="286"/>
      <c r="U104" s="286"/>
      <c r="V104" s="338">
        <v>-2</v>
      </c>
      <c r="W104" s="318"/>
      <c r="X104" s="5"/>
    </row>
    <row r="105" spans="1:25" ht="15.75" x14ac:dyDescent="0.25">
      <c r="A105" s="295">
        <f>+A104+1</f>
        <v>3</v>
      </c>
      <c r="B105" s="286" t="s">
        <v>204</v>
      </c>
      <c r="C105" s="286"/>
      <c r="D105" s="286"/>
      <c r="E105" s="314"/>
      <c r="F105" s="314"/>
      <c r="G105" s="314"/>
      <c r="H105" s="314"/>
      <c r="I105" s="314"/>
      <c r="J105" s="314"/>
      <c r="K105" s="314"/>
      <c r="L105" s="314"/>
      <c r="M105" s="314"/>
      <c r="N105" s="314"/>
      <c r="O105" s="314"/>
      <c r="P105" s="314"/>
      <c r="Q105" s="314"/>
      <c r="R105" s="314"/>
      <c r="S105" s="314"/>
      <c r="T105" s="286"/>
      <c r="U105" s="286"/>
      <c r="V105" s="338">
        <f>-309-165-10</f>
        <v>-484</v>
      </c>
      <c r="W105" s="318"/>
      <c r="X105" s="5"/>
    </row>
    <row r="106" spans="1:25" ht="15.75" x14ac:dyDescent="0.25">
      <c r="A106" s="295" t="s">
        <v>127</v>
      </c>
      <c r="B106" s="286" t="s">
        <v>116</v>
      </c>
      <c r="C106" s="286"/>
      <c r="D106" s="286"/>
      <c r="E106" s="314"/>
      <c r="F106" s="314"/>
      <c r="G106" s="314"/>
      <c r="H106" s="314"/>
      <c r="I106" s="314"/>
      <c r="J106" s="314"/>
      <c r="K106" s="314"/>
      <c r="L106" s="314"/>
      <c r="M106" s="314"/>
      <c r="N106" s="314"/>
      <c r="O106" s="314"/>
      <c r="P106" s="314"/>
      <c r="Q106" s="314"/>
      <c r="R106" s="314"/>
      <c r="S106" s="314"/>
      <c r="T106" s="286"/>
      <c r="U106" s="286"/>
      <c r="V106" s="338">
        <v>0</v>
      </c>
      <c r="W106" s="318"/>
      <c r="X106" s="5"/>
    </row>
    <row r="107" spans="1:25" ht="15.75" x14ac:dyDescent="0.25">
      <c r="A107" s="295" t="s">
        <v>128</v>
      </c>
      <c r="B107" s="286" t="s">
        <v>220</v>
      </c>
      <c r="C107" s="286"/>
      <c r="D107" s="286"/>
      <c r="E107" s="314"/>
      <c r="F107" s="314"/>
      <c r="G107" s="314"/>
      <c r="H107" s="314"/>
      <c r="I107" s="314"/>
      <c r="J107" s="314"/>
      <c r="K107" s="314"/>
      <c r="L107" s="314"/>
      <c r="M107" s="314"/>
      <c r="N107" s="314"/>
      <c r="O107" s="314"/>
      <c r="P107" s="314"/>
      <c r="Q107" s="314"/>
      <c r="R107" s="314"/>
      <c r="S107" s="314"/>
      <c r="T107" s="286"/>
      <c r="U107" s="286"/>
      <c r="V107" s="338">
        <f>375-1468</f>
        <v>-1093</v>
      </c>
      <c r="W107" s="318"/>
      <c r="X107" s="5"/>
      <c r="Y107" s="109"/>
    </row>
    <row r="108" spans="1:25" ht="15.75" x14ac:dyDescent="0.25">
      <c r="A108" s="295" t="s">
        <v>150</v>
      </c>
      <c r="B108" s="286" t="s">
        <v>184</v>
      </c>
      <c r="C108" s="286"/>
      <c r="D108" s="286"/>
      <c r="E108" s="314"/>
      <c r="F108" s="314"/>
      <c r="G108" s="314"/>
      <c r="H108" s="314"/>
      <c r="I108" s="314"/>
      <c r="J108" s="314"/>
      <c r="K108" s="314"/>
      <c r="L108" s="314"/>
      <c r="M108" s="314"/>
      <c r="N108" s="314"/>
      <c r="O108" s="314"/>
      <c r="P108" s="314"/>
      <c r="Q108" s="314"/>
      <c r="R108" s="314"/>
      <c r="S108" s="314"/>
      <c r="T108" s="286"/>
      <c r="U108" s="286"/>
      <c r="V108" s="338">
        <v>-375</v>
      </c>
      <c r="W108" s="318"/>
      <c r="X108" s="5"/>
      <c r="Y108" s="109"/>
    </row>
    <row r="109" spans="1:25" ht="15.75" x14ac:dyDescent="0.25">
      <c r="A109" s="295" t="s">
        <v>205</v>
      </c>
      <c r="B109" s="286" t="s">
        <v>185</v>
      </c>
      <c r="C109" s="286"/>
      <c r="D109" s="286"/>
      <c r="E109" s="314"/>
      <c r="F109" s="314"/>
      <c r="G109" s="314"/>
      <c r="H109" s="314"/>
      <c r="I109" s="314"/>
      <c r="J109" s="314"/>
      <c r="K109" s="314"/>
      <c r="L109" s="314"/>
      <c r="M109" s="314"/>
      <c r="N109" s="314"/>
      <c r="O109" s="314"/>
      <c r="P109" s="314"/>
      <c r="Q109" s="314"/>
      <c r="R109" s="314"/>
      <c r="S109" s="314"/>
      <c r="T109" s="286"/>
      <c r="U109" s="286"/>
      <c r="V109" s="338">
        <v>-183</v>
      </c>
      <c r="W109" s="318"/>
      <c r="X109" s="5"/>
      <c r="Y109" s="109"/>
    </row>
    <row r="110" spans="1:25" ht="15.75" x14ac:dyDescent="0.25">
      <c r="A110" s="295" t="s">
        <v>206</v>
      </c>
      <c r="B110" s="286" t="s">
        <v>186</v>
      </c>
      <c r="C110" s="286"/>
      <c r="D110" s="286"/>
      <c r="E110" s="314"/>
      <c r="F110" s="314"/>
      <c r="G110" s="314"/>
      <c r="H110" s="314"/>
      <c r="I110" s="314"/>
      <c r="J110" s="314"/>
      <c r="K110" s="314"/>
      <c r="L110" s="314"/>
      <c r="M110" s="314"/>
      <c r="N110" s="314"/>
      <c r="O110" s="314"/>
      <c r="P110" s="314"/>
      <c r="Q110" s="314"/>
      <c r="R110" s="314"/>
      <c r="S110" s="314"/>
      <c r="T110" s="286"/>
      <c r="U110" s="286"/>
      <c r="V110" s="338">
        <v>-51</v>
      </c>
      <c r="W110" s="318"/>
      <c r="X110" s="5"/>
      <c r="Y110" s="109"/>
    </row>
    <row r="111" spans="1:25" ht="15.75" x14ac:dyDescent="0.25">
      <c r="A111" s="295">
        <v>6</v>
      </c>
      <c r="B111" s="286" t="s">
        <v>196</v>
      </c>
      <c r="C111" s="286"/>
      <c r="D111" s="286"/>
      <c r="E111" s="314"/>
      <c r="F111" s="314"/>
      <c r="G111" s="314"/>
      <c r="H111" s="314"/>
      <c r="I111" s="314"/>
      <c r="J111" s="314"/>
      <c r="K111" s="314"/>
      <c r="L111" s="314"/>
      <c r="M111" s="314"/>
      <c r="N111" s="314"/>
      <c r="O111" s="314"/>
      <c r="P111" s="314"/>
      <c r="Q111" s="314"/>
      <c r="R111" s="314"/>
      <c r="S111" s="314"/>
      <c r="T111" s="286"/>
      <c r="U111" s="286"/>
      <c r="V111" s="338">
        <v>-352</v>
      </c>
      <c r="W111" s="318"/>
      <c r="X111" s="5"/>
      <c r="Y111" s="109"/>
    </row>
    <row r="112" spans="1:25" ht="15.75" x14ac:dyDescent="0.25">
      <c r="A112" s="295">
        <v>7</v>
      </c>
      <c r="B112" s="286" t="s">
        <v>35</v>
      </c>
      <c r="C112" s="286"/>
      <c r="D112" s="286"/>
      <c r="E112" s="314"/>
      <c r="F112" s="314"/>
      <c r="G112" s="314"/>
      <c r="H112" s="314"/>
      <c r="I112" s="314"/>
      <c r="J112" s="314"/>
      <c r="K112" s="314"/>
      <c r="L112" s="314"/>
      <c r="M112" s="314"/>
      <c r="N112" s="314"/>
      <c r="O112" s="314"/>
      <c r="P112" s="314"/>
      <c r="Q112" s="314"/>
      <c r="R112" s="314"/>
      <c r="S112" s="314"/>
      <c r="T112" s="286"/>
      <c r="U112" s="286"/>
      <c r="V112" s="338">
        <v>-9</v>
      </c>
      <c r="W112" s="318"/>
      <c r="X112" s="5"/>
    </row>
    <row r="113" spans="1:24" ht="15.75" x14ac:dyDescent="0.25">
      <c r="A113" s="295">
        <f t="shared" ref="A113:A118" si="0">+A112+1</f>
        <v>8</v>
      </c>
      <c r="B113" s="286" t="s">
        <v>45</v>
      </c>
      <c r="C113" s="286"/>
      <c r="D113" s="286"/>
      <c r="E113" s="314"/>
      <c r="F113" s="314"/>
      <c r="G113" s="314"/>
      <c r="H113" s="314"/>
      <c r="I113" s="314"/>
      <c r="J113" s="314"/>
      <c r="K113" s="314"/>
      <c r="L113" s="314"/>
      <c r="M113" s="314"/>
      <c r="N113" s="314"/>
      <c r="O113" s="314"/>
      <c r="P113" s="314"/>
      <c r="Q113" s="314"/>
      <c r="R113" s="314"/>
      <c r="S113" s="314"/>
      <c r="T113" s="337">
        <f>-V113</f>
        <v>403</v>
      </c>
      <c r="U113" s="286"/>
      <c r="V113" s="338">
        <v>-403</v>
      </c>
      <c r="W113" s="318"/>
      <c r="X113" s="5"/>
    </row>
    <row r="114" spans="1:24" ht="15.75" x14ac:dyDescent="0.25">
      <c r="A114" s="295">
        <f t="shared" si="0"/>
        <v>9</v>
      </c>
      <c r="B114" s="286" t="s">
        <v>125</v>
      </c>
      <c r="C114" s="286"/>
      <c r="D114" s="286"/>
      <c r="E114" s="314"/>
      <c r="F114" s="314"/>
      <c r="G114" s="314"/>
      <c r="H114" s="314"/>
      <c r="I114" s="314"/>
      <c r="J114" s="314"/>
      <c r="K114" s="314"/>
      <c r="L114" s="314"/>
      <c r="M114" s="314"/>
      <c r="N114" s="314"/>
      <c r="O114" s="314"/>
      <c r="P114" s="314"/>
      <c r="Q114" s="314"/>
      <c r="R114" s="314"/>
      <c r="S114" s="314"/>
      <c r="T114" s="286"/>
      <c r="U114" s="286"/>
      <c r="V114" s="338">
        <v>0</v>
      </c>
      <c r="W114" s="318"/>
      <c r="X114" s="5"/>
    </row>
    <row r="115" spans="1:24" ht="15.75" x14ac:dyDescent="0.25">
      <c r="A115" s="295">
        <f t="shared" si="0"/>
        <v>10</v>
      </c>
      <c r="B115" s="286" t="s">
        <v>225</v>
      </c>
      <c r="C115" s="286"/>
      <c r="D115" s="286"/>
      <c r="E115" s="314"/>
      <c r="F115" s="314"/>
      <c r="G115" s="314"/>
      <c r="H115" s="314"/>
      <c r="I115" s="314"/>
      <c r="J115" s="314"/>
      <c r="K115" s="314"/>
      <c r="L115" s="314"/>
      <c r="M115" s="314"/>
      <c r="N115" s="314"/>
      <c r="O115" s="314"/>
      <c r="P115" s="314"/>
      <c r="Q115" s="314"/>
      <c r="R115" s="314"/>
      <c r="S115" s="314"/>
      <c r="T115" s="286"/>
      <c r="U115" s="286"/>
      <c r="V115" s="338">
        <v>0</v>
      </c>
      <c r="W115" s="318"/>
      <c r="X115" s="5"/>
    </row>
    <row r="116" spans="1:24" ht="15.75" x14ac:dyDescent="0.25">
      <c r="A116" s="295">
        <f t="shared" si="0"/>
        <v>11</v>
      </c>
      <c r="B116" s="286" t="s">
        <v>36</v>
      </c>
      <c r="C116" s="286"/>
      <c r="D116" s="286"/>
      <c r="E116" s="314"/>
      <c r="F116" s="314"/>
      <c r="G116" s="314"/>
      <c r="H116" s="314"/>
      <c r="I116" s="314"/>
      <c r="J116" s="314"/>
      <c r="K116" s="314"/>
      <c r="L116" s="314"/>
      <c r="M116" s="314"/>
      <c r="N116" s="314"/>
      <c r="O116" s="314"/>
      <c r="P116" s="314"/>
      <c r="Q116" s="314"/>
      <c r="R116" s="314"/>
      <c r="S116" s="314"/>
      <c r="T116" s="286"/>
      <c r="U116" s="286"/>
      <c r="V116" s="338">
        <v>0</v>
      </c>
      <c r="W116" s="318"/>
      <c r="X116" s="5"/>
    </row>
    <row r="117" spans="1:24" ht="15.75" x14ac:dyDescent="0.25">
      <c r="A117" s="295">
        <f t="shared" si="0"/>
        <v>12</v>
      </c>
      <c r="B117" s="286" t="s">
        <v>149</v>
      </c>
      <c r="C117" s="286"/>
      <c r="D117" s="286"/>
      <c r="E117" s="314"/>
      <c r="F117" s="314"/>
      <c r="G117" s="314"/>
      <c r="H117" s="314"/>
      <c r="I117" s="314"/>
      <c r="J117" s="314"/>
      <c r="K117" s="314"/>
      <c r="L117" s="314"/>
      <c r="M117" s="314"/>
      <c r="N117" s="314"/>
      <c r="O117" s="314"/>
      <c r="P117" s="314"/>
      <c r="Q117" s="314"/>
      <c r="R117" s="314"/>
      <c r="S117" s="314"/>
      <c r="T117" s="286"/>
      <c r="U117" s="286"/>
      <c r="V117" s="338">
        <v>-309</v>
      </c>
      <c r="W117" s="318"/>
      <c r="X117" s="5"/>
    </row>
    <row r="118" spans="1:24" ht="15.75" x14ac:dyDescent="0.25">
      <c r="A118" s="295">
        <f t="shared" si="0"/>
        <v>13</v>
      </c>
      <c r="B118" s="286" t="s">
        <v>126</v>
      </c>
      <c r="C118" s="286"/>
      <c r="D118" s="286"/>
      <c r="E118" s="314"/>
      <c r="F118" s="314"/>
      <c r="G118" s="314"/>
      <c r="H118" s="314"/>
      <c r="I118" s="314"/>
      <c r="J118" s="314"/>
      <c r="K118" s="314"/>
      <c r="L118" s="314"/>
      <c r="M118" s="314"/>
      <c r="N118" s="314"/>
      <c r="O118" s="314"/>
      <c r="P118" s="314"/>
      <c r="Q118" s="314"/>
      <c r="R118" s="314"/>
      <c r="S118" s="314"/>
      <c r="T118" s="286"/>
      <c r="U118" s="286"/>
      <c r="V118" s="338">
        <f>-V101-SUM(V103:V117)</f>
        <v>-2322</v>
      </c>
      <c r="W118" s="318"/>
      <c r="X118" s="5"/>
    </row>
    <row r="119" spans="1:24" ht="15.75" x14ac:dyDescent="0.25">
      <c r="A119" s="285"/>
      <c r="B119" s="342" t="s">
        <v>37</v>
      </c>
      <c r="C119" s="314"/>
      <c r="D119" s="314"/>
      <c r="E119" s="314"/>
      <c r="F119" s="314"/>
      <c r="G119" s="314"/>
      <c r="H119" s="314"/>
      <c r="I119" s="314"/>
      <c r="J119" s="314"/>
      <c r="K119" s="314"/>
      <c r="L119" s="314"/>
      <c r="M119" s="314"/>
      <c r="N119" s="314"/>
      <c r="O119" s="314"/>
      <c r="P119" s="314"/>
      <c r="Q119" s="314"/>
      <c r="R119" s="314"/>
      <c r="S119" s="314"/>
      <c r="T119" s="286"/>
      <c r="U119" s="286"/>
      <c r="V119" s="343"/>
      <c r="W119" s="318"/>
      <c r="X119" s="5"/>
    </row>
    <row r="120" spans="1:24" ht="15.75" x14ac:dyDescent="0.25">
      <c r="A120" s="285"/>
      <c r="B120" s="286" t="s">
        <v>173</v>
      </c>
      <c r="C120" s="314"/>
      <c r="D120" s="314"/>
      <c r="E120" s="314"/>
      <c r="F120" s="314"/>
      <c r="G120" s="314"/>
      <c r="H120" s="314"/>
      <c r="I120" s="314"/>
      <c r="J120" s="314"/>
      <c r="K120" s="314"/>
      <c r="L120" s="314"/>
      <c r="M120" s="314"/>
      <c r="N120" s="314"/>
      <c r="O120" s="314"/>
      <c r="P120" s="314"/>
      <c r="Q120" s="314"/>
      <c r="R120" s="314"/>
      <c r="S120" s="314"/>
      <c r="T120" s="337">
        <f>-T185</f>
        <v>0</v>
      </c>
      <c r="U120" s="337"/>
      <c r="V120" s="338"/>
      <c r="W120" s="318"/>
      <c r="X120" s="5"/>
    </row>
    <row r="121" spans="1:24" ht="15.75" x14ac:dyDescent="0.25">
      <c r="A121" s="285"/>
      <c r="B121" s="286" t="s">
        <v>174</v>
      </c>
      <c r="C121" s="314"/>
      <c r="D121" s="314"/>
      <c r="E121" s="314"/>
      <c r="F121" s="314"/>
      <c r="G121" s="314"/>
      <c r="H121" s="314"/>
      <c r="I121" s="314"/>
      <c r="J121" s="314"/>
      <c r="K121" s="314"/>
      <c r="L121" s="314"/>
      <c r="M121" s="314"/>
      <c r="N121" s="314"/>
      <c r="O121" s="314"/>
      <c r="P121" s="314"/>
      <c r="Q121" s="314"/>
      <c r="R121" s="314"/>
      <c r="S121" s="314"/>
      <c r="T121" s="337">
        <v>-9</v>
      </c>
      <c r="U121" s="337"/>
      <c r="V121" s="338"/>
      <c r="W121" s="318"/>
      <c r="X121" s="5"/>
    </row>
    <row r="122" spans="1:24" ht="15.75" x14ac:dyDescent="0.25">
      <c r="A122" s="285"/>
      <c r="B122" s="286" t="s">
        <v>38</v>
      </c>
      <c r="C122" s="314"/>
      <c r="D122" s="314"/>
      <c r="E122" s="314"/>
      <c r="F122" s="314"/>
      <c r="G122" s="314"/>
      <c r="H122" s="314"/>
      <c r="I122" s="314"/>
      <c r="J122" s="314"/>
      <c r="K122" s="314"/>
      <c r="L122" s="314"/>
      <c r="M122" s="314"/>
      <c r="N122" s="314"/>
      <c r="O122" s="314"/>
      <c r="P122" s="314"/>
      <c r="Q122" s="314"/>
      <c r="R122" s="314"/>
      <c r="S122" s="314"/>
      <c r="T122" s="337">
        <f>-S185</f>
        <v>0</v>
      </c>
      <c r="U122" s="337"/>
      <c r="V122" s="338"/>
      <c r="W122" s="318"/>
      <c r="X122" s="5"/>
    </row>
    <row r="123" spans="1:24" ht="15.75" x14ac:dyDescent="0.25">
      <c r="A123" s="285"/>
      <c r="B123" s="286" t="s">
        <v>197</v>
      </c>
      <c r="C123" s="314"/>
      <c r="D123" s="314"/>
      <c r="E123" s="314"/>
      <c r="F123" s="314"/>
      <c r="G123" s="314"/>
      <c r="H123" s="314"/>
      <c r="I123" s="314"/>
      <c r="J123" s="314"/>
      <c r="K123" s="314"/>
      <c r="L123" s="314"/>
      <c r="M123" s="314"/>
      <c r="N123" s="314"/>
      <c r="O123" s="314"/>
      <c r="P123" s="314"/>
      <c r="Q123" s="314"/>
      <c r="R123" s="314"/>
      <c r="S123" s="314"/>
      <c r="T123" s="337">
        <v>-3120</v>
      </c>
      <c r="U123" s="337"/>
      <c r="V123" s="338"/>
      <c r="W123" s="318"/>
      <c r="X123" s="5"/>
    </row>
    <row r="124" spans="1:24" ht="15.75" x14ac:dyDescent="0.25">
      <c r="A124" s="285"/>
      <c r="B124" s="286" t="s">
        <v>195</v>
      </c>
      <c r="C124" s="314"/>
      <c r="D124" s="314"/>
      <c r="E124" s="314"/>
      <c r="F124" s="314"/>
      <c r="G124" s="314"/>
      <c r="H124" s="314"/>
      <c r="I124" s="314"/>
      <c r="J124" s="314"/>
      <c r="K124" s="314"/>
      <c r="L124" s="314"/>
      <c r="M124" s="314"/>
      <c r="N124" s="314"/>
      <c r="O124" s="314"/>
      <c r="P124" s="314"/>
      <c r="Q124" s="314"/>
      <c r="R124" s="314"/>
      <c r="S124" s="314"/>
      <c r="T124" s="337">
        <v>-1326</v>
      </c>
      <c r="U124" s="337"/>
      <c r="V124" s="338"/>
      <c r="W124" s="318"/>
      <c r="X124" s="5"/>
    </row>
    <row r="125" spans="1:24" ht="15.75" x14ac:dyDescent="0.25">
      <c r="A125" s="285"/>
      <c r="B125" s="286" t="s">
        <v>194</v>
      </c>
      <c r="C125" s="314"/>
      <c r="D125" s="314"/>
      <c r="E125" s="314"/>
      <c r="F125" s="314"/>
      <c r="G125" s="314"/>
      <c r="H125" s="314"/>
      <c r="I125" s="314"/>
      <c r="J125" s="314"/>
      <c r="K125" s="314"/>
      <c r="L125" s="314"/>
      <c r="M125" s="314"/>
      <c r="N125" s="314"/>
      <c r="O125" s="314"/>
      <c r="P125" s="314"/>
      <c r="Q125" s="314"/>
      <c r="R125" s="314"/>
      <c r="S125" s="314"/>
      <c r="T125" s="337">
        <v>-472</v>
      </c>
      <c r="U125" s="337"/>
      <c r="V125" s="338"/>
      <c r="W125" s="318"/>
      <c r="X125" s="5"/>
    </row>
    <row r="126" spans="1:24" ht="15.75" x14ac:dyDescent="0.25">
      <c r="A126" s="285"/>
      <c r="B126" s="286" t="s">
        <v>222</v>
      </c>
      <c r="C126" s="314"/>
      <c r="D126" s="314"/>
      <c r="E126" s="314"/>
      <c r="F126" s="314"/>
      <c r="G126" s="314"/>
      <c r="H126" s="314"/>
      <c r="I126" s="314"/>
      <c r="J126" s="314"/>
      <c r="K126" s="314"/>
      <c r="L126" s="314"/>
      <c r="M126" s="314"/>
      <c r="N126" s="314"/>
      <c r="O126" s="314"/>
      <c r="P126" s="314"/>
      <c r="Q126" s="314"/>
      <c r="R126" s="314"/>
      <c r="S126" s="314"/>
      <c r="T126" s="337">
        <v>-468</v>
      </c>
      <c r="U126" s="337"/>
      <c r="V126" s="338"/>
      <c r="W126" s="318"/>
      <c r="X126" s="5"/>
    </row>
    <row r="127" spans="1:24" ht="15.75" x14ac:dyDescent="0.25">
      <c r="A127" s="285"/>
      <c r="B127" s="286" t="s">
        <v>189</v>
      </c>
      <c r="C127" s="314"/>
      <c r="D127" s="314"/>
      <c r="E127" s="314"/>
      <c r="F127" s="314"/>
      <c r="G127" s="314"/>
      <c r="H127" s="314"/>
      <c r="I127" s="314"/>
      <c r="J127" s="314"/>
      <c r="K127" s="314"/>
      <c r="L127" s="314"/>
      <c r="M127" s="314"/>
      <c r="N127" s="314"/>
      <c r="O127" s="314"/>
      <c r="P127" s="314"/>
      <c r="Q127" s="314"/>
      <c r="R127" s="314"/>
      <c r="S127" s="314"/>
      <c r="T127" s="337">
        <v>0</v>
      </c>
      <c r="U127" s="337"/>
      <c r="V127" s="338"/>
      <c r="W127" s="318"/>
      <c r="X127" s="5"/>
    </row>
    <row r="128" spans="1:24" ht="15.75" x14ac:dyDescent="0.25">
      <c r="A128" s="285"/>
      <c r="B128" s="286" t="s">
        <v>188</v>
      </c>
      <c r="C128" s="314"/>
      <c r="D128" s="314"/>
      <c r="E128" s="314"/>
      <c r="F128" s="314"/>
      <c r="G128" s="314"/>
      <c r="H128" s="314"/>
      <c r="I128" s="314"/>
      <c r="J128" s="314"/>
      <c r="K128" s="314"/>
      <c r="L128" s="314"/>
      <c r="M128" s="314"/>
      <c r="N128" s="314"/>
      <c r="O128" s="314"/>
      <c r="P128" s="314"/>
      <c r="Q128" s="314"/>
      <c r="R128" s="314"/>
      <c r="S128" s="314"/>
      <c r="T128" s="337">
        <v>0</v>
      </c>
      <c r="U128" s="337"/>
      <c r="V128" s="338"/>
      <c r="W128" s="318"/>
      <c r="X128" s="5"/>
    </row>
    <row r="129" spans="1:24" ht="15.75" x14ac:dyDescent="0.25">
      <c r="A129" s="285"/>
      <c r="B129" s="286" t="s">
        <v>187</v>
      </c>
      <c r="C129" s="314"/>
      <c r="D129" s="314"/>
      <c r="E129" s="314"/>
      <c r="F129" s="314"/>
      <c r="G129" s="314"/>
      <c r="H129" s="314"/>
      <c r="I129" s="314"/>
      <c r="J129" s="314"/>
      <c r="K129" s="314"/>
      <c r="L129" s="314"/>
      <c r="M129" s="314"/>
      <c r="N129" s="314"/>
      <c r="O129" s="314"/>
      <c r="P129" s="314"/>
      <c r="Q129" s="314"/>
      <c r="R129" s="314"/>
      <c r="S129" s="314"/>
      <c r="T129" s="337">
        <v>0</v>
      </c>
      <c r="U129" s="337"/>
      <c r="V129" s="338"/>
      <c r="W129" s="318"/>
      <c r="X129" s="5"/>
    </row>
    <row r="130" spans="1:24" ht="15.75" x14ac:dyDescent="0.25">
      <c r="A130" s="285"/>
      <c r="B130" s="286" t="s">
        <v>39</v>
      </c>
      <c r="C130" s="314"/>
      <c r="D130" s="314"/>
      <c r="E130" s="314"/>
      <c r="F130" s="314"/>
      <c r="G130" s="314"/>
      <c r="H130" s="314"/>
      <c r="I130" s="314"/>
      <c r="J130" s="314"/>
      <c r="K130" s="314"/>
      <c r="L130" s="314"/>
      <c r="M130" s="314"/>
      <c r="N130" s="314"/>
      <c r="O130" s="314"/>
      <c r="P130" s="314"/>
      <c r="Q130" s="314"/>
      <c r="R130" s="314"/>
      <c r="S130" s="314"/>
      <c r="T130" s="337">
        <f>SUM(T120:T129)</f>
        <v>-5395</v>
      </c>
      <c r="U130" s="337"/>
      <c r="V130" s="337">
        <f>SUM(V102:V128)</f>
        <v>-5583</v>
      </c>
      <c r="W130" s="318"/>
      <c r="X130" s="5"/>
    </row>
    <row r="131" spans="1:24" ht="15.75" x14ac:dyDescent="0.25">
      <c r="A131" s="285"/>
      <c r="B131" s="286" t="s">
        <v>40</v>
      </c>
      <c r="C131" s="314"/>
      <c r="D131" s="314"/>
      <c r="E131" s="314"/>
      <c r="F131" s="314"/>
      <c r="G131" s="314"/>
      <c r="H131" s="314"/>
      <c r="I131" s="314"/>
      <c r="J131" s="314"/>
      <c r="K131" s="314"/>
      <c r="L131" s="314"/>
      <c r="M131" s="314"/>
      <c r="N131" s="314"/>
      <c r="O131" s="314"/>
      <c r="P131" s="314"/>
      <c r="Q131" s="314"/>
      <c r="R131" s="314"/>
      <c r="S131" s="314"/>
      <c r="T131" s="337">
        <f>T101+T130+T113</f>
        <v>0</v>
      </c>
      <c r="U131" s="337"/>
      <c r="V131" s="337">
        <f>V101+V130</f>
        <v>0</v>
      </c>
      <c r="W131" s="318"/>
      <c r="X131" s="5"/>
    </row>
    <row r="132" spans="1:24" ht="15.75" x14ac:dyDescent="0.25">
      <c r="A132" s="181"/>
      <c r="B132" s="212"/>
      <c r="C132" s="212"/>
      <c r="D132" s="212"/>
      <c r="E132" s="212"/>
      <c r="F132" s="212"/>
      <c r="G132" s="212"/>
      <c r="H132" s="212"/>
      <c r="I132" s="212"/>
      <c r="J132" s="212"/>
      <c r="K132" s="212"/>
      <c r="L132" s="212"/>
      <c r="M132" s="212"/>
      <c r="N132" s="212"/>
      <c r="O132" s="212"/>
      <c r="P132" s="212"/>
      <c r="Q132" s="212"/>
      <c r="R132" s="212"/>
      <c r="S132" s="212"/>
      <c r="T132" s="335"/>
      <c r="U132" s="335"/>
      <c r="V132" s="335"/>
      <c r="W132" s="212"/>
      <c r="X132" s="5"/>
    </row>
    <row r="133" spans="1:24" ht="15.75" x14ac:dyDescent="0.25">
      <c r="A133" s="181"/>
      <c r="B133" s="183"/>
      <c r="C133" s="183"/>
      <c r="D133" s="183"/>
      <c r="E133" s="183"/>
      <c r="F133" s="183"/>
      <c r="G133" s="183"/>
      <c r="H133" s="183"/>
      <c r="I133" s="183"/>
      <c r="J133" s="183"/>
      <c r="K133" s="183"/>
      <c r="L133" s="183"/>
      <c r="M133" s="183"/>
      <c r="N133" s="183"/>
      <c r="O133" s="183"/>
      <c r="P133" s="183"/>
      <c r="Q133" s="183"/>
      <c r="R133" s="183"/>
      <c r="S133" s="183"/>
      <c r="T133" s="183"/>
      <c r="U133" s="183"/>
      <c r="V133" s="202"/>
      <c r="W133" s="183"/>
      <c r="X133" s="5"/>
    </row>
    <row r="134" spans="1:24" ht="19.5" thickBot="1" x14ac:dyDescent="0.35">
      <c r="A134" s="197"/>
      <c r="B134" s="270" t="str">
        <f>B64</f>
        <v>PM15 INVESTOR REPORT QUARTER ENDING NOVEMBER 2012</v>
      </c>
      <c r="C134" s="198"/>
      <c r="D134" s="198"/>
      <c r="E134" s="198"/>
      <c r="F134" s="198"/>
      <c r="G134" s="198"/>
      <c r="H134" s="198"/>
      <c r="I134" s="198"/>
      <c r="J134" s="198"/>
      <c r="K134" s="198"/>
      <c r="L134" s="198"/>
      <c r="M134" s="198"/>
      <c r="N134" s="198"/>
      <c r="O134" s="198"/>
      <c r="P134" s="198"/>
      <c r="Q134" s="198"/>
      <c r="R134" s="198"/>
      <c r="S134" s="198"/>
      <c r="T134" s="198"/>
      <c r="U134" s="198"/>
      <c r="V134" s="209"/>
      <c r="W134" s="200"/>
      <c r="X134" s="5"/>
    </row>
    <row r="135" spans="1:24" ht="15.75" x14ac:dyDescent="0.25">
      <c r="A135" s="236"/>
      <c r="B135" s="403" t="s">
        <v>41</v>
      </c>
      <c r="C135" s="238"/>
      <c r="D135" s="238"/>
      <c r="E135" s="238"/>
      <c r="F135" s="238"/>
      <c r="G135" s="238"/>
      <c r="H135" s="238"/>
      <c r="I135" s="238"/>
      <c r="J135" s="238"/>
      <c r="K135" s="238"/>
      <c r="L135" s="238"/>
      <c r="M135" s="238"/>
      <c r="N135" s="238"/>
      <c r="O135" s="238"/>
      <c r="P135" s="238"/>
      <c r="Q135" s="238"/>
      <c r="R135" s="238"/>
      <c r="S135" s="238"/>
      <c r="T135" s="238"/>
      <c r="U135" s="238"/>
      <c r="V135" s="239"/>
      <c r="W135" s="238"/>
      <c r="X135" s="5"/>
    </row>
    <row r="136" spans="1:24" ht="15.75" x14ac:dyDescent="0.25">
      <c r="A136" s="181"/>
      <c r="B136" s="191"/>
      <c r="C136" s="183"/>
      <c r="D136" s="183"/>
      <c r="E136" s="183"/>
      <c r="F136" s="183"/>
      <c r="G136" s="183"/>
      <c r="H136" s="183"/>
      <c r="I136" s="183"/>
      <c r="J136" s="183"/>
      <c r="K136" s="183"/>
      <c r="L136" s="183"/>
      <c r="M136" s="183"/>
      <c r="N136" s="183"/>
      <c r="O136" s="183"/>
      <c r="P136" s="183"/>
      <c r="Q136" s="183"/>
      <c r="R136" s="183"/>
      <c r="S136" s="183"/>
      <c r="T136" s="183"/>
      <c r="U136" s="183"/>
      <c r="V136" s="202"/>
      <c r="W136" s="183"/>
      <c r="X136" s="5"/>
    </row>
    <row r="137" spans="1:24" ht="15.75" x14ac:dyDescent="0.25">
      <c r="A137" s="181"/>
      <c r="B137" s="210" t="s">
        <v>42</v>
      </c>
      <c r="C137" s="183"/>
      <c r="D137" s="183"/>
      <c r="E137" s="183"/>
      <c r="F137" s="183"/>
      <c r="G137" s="183"/>
      <c r="H137" s="183"/>
      <c r="I137" s="183"/>
      <c r="J137" s="183"/>
      <c r="K137" s="183"/>
      <c r="L137" s="183"/>
      <c r="M137" s="183"/>
      <c r="N137" s="183"/>
      <c r="O137" s="183"/>
      <c r="P137" s="183"/>
      <c r="Q137" s="183"/>
      <c r="R137" s="183"/>
      <c r="S137" s="183"/>
      <c r="T137" s="183"/>
      <c r="U137" s="183"/>
      <c r="V137" s="202"/>
      <c r="W137" s="183"/>
      <c r="X137" s="5"/>
    </row>
    <row r="138" spans="1:24" ht="15.75" x14ac:dyDescent="0.25">
      <c r="A138" s="285"/>
      <c r="B138" s="286" t="s">
        <v>43</v>
      </c>
      <c r="C138" s="286"/>
      <c r="D138" s="286"/>
      <c r="E138" s="286"/>
      <c r="F138" s="286"/>
      <c r="G138" s="286"/>
      <c r="H138" s="286"/>
      <c r="I138" s="286"/>
      <c r="J138" s="286"/>
      <c r="K138" s="286"/>
      <c r="L138" s="286"/>
      <c r="M138" s="286"/>
      <c r="N138" s="286"/>
      <c r="O138" s="286"/>
      <c r="P138" s="286"/>
      <c r="Q138" s="286"/>
      <c r="R138" s="286"/>
      <c r="S138" s="286"/>
      <c r="T138" s="286"/>
      <c r="U138" s="286"/>
      <c r="V138" s="338">
        <f>+V34*0.019</f>
        <v>19021.526999999998</v>
      </c>
      <c r="W138" s="289"/>
      <c r="X138" s="5"/>
    </row>
    <row r="139" spans="1:24" ht="15.75" x14ac:dyDescent="0.25">
      <c r="A139" s="285"/>
      <c r="B139" s="286" t="s">
        <v>44</v>
      </c>
      <c r="C139" s="286"/>
      <c r="D139" s="286"/>
      <c r="E139" s="286"/>
      <c r="F139" s="286"/>
      <c r="G139" s="286"/>
      <c r="H139" s="286"/>
      <c r="I139" s="286"/>
      <c r="J139" s="286"/>
      <c r="K139" s="286"/>
      <c r="L139" s="286"/>
      <c r="M139" s="286"/>
      <c r="N139" s="286"/>
      <c r="O139" s="286"/>
      <c r="P139" s="286"/>
      <c r="Q139" s="286"/>
      <c r="R139" s="286"/>
      <c r="S139" s="286"/>
      <c r="T139" s="286"/>
      <c r="U139" s="286"/>
      <c r="V139" s="338">
        <v>19022</v>
      </c>
      <c r="W139" s="289"/>
      <c r="X139" s="5"/>
    </row>
    <row r="140" spans="1:24" ht="15.75" x14ac:dyDescent="0.25">
      <c r="A140" s="285"/>
      <c r="B140" s="286" t="s">
        <v>136</v>
      </c>
      <c r="C140" s="286"/>
      <c r="D140" s="286"/>
      <c r="E140" s="286"/>
      <c r="F140" s="286"/>
      <c r="G140" s="286"/>
      <c r="H140" s="286"/>
      <c r="I140" s="286"/>
      <c r="J140" s="286"/>
      <c r="K140" s="286"/>
      <c r="L140" s="286"/>
      <c r="M140" s="286"/>
      <c r="N140" s="286"/>
      <c r="O140" s="286"/>
      <c r="P140" s="286"/>
      <c r="Q140" s="286"/>
      <c r="R140" s="286"/>
      <c r="S140" s="286"/>
      <c r="T140" s="286"/>
      <c r="U140" s="286"/>
      <c r="V140" s="338"/>
      <c r="W140" s="289"/>
      <c r="X140" s="5"/>
    </row>
    <row r="141" spans="1:24" ht="15.75" x14ac:dyDescent="0.25">
      <c r="A141" s="285"/>
      <c r="B141" s="286" t="s">
        <v>123</v>
      </c>
      <c r="C141" s="286"/>
      <c r="D141" s="286"/>
      <c r="E141" s="286"/>
      <c r="F141" s="286"/>
      <c r="G141" s="286"/>
      <c r="H141" s="286"/>
      <c r="I141" s="286"/>
      <c r="J141" s="286"/>
      <c r="K141" s="286"/>
      <c r="L141" s="286"/>
      <c r="M141" s="286"/>
      <c r="N141" s="286"/>
      <c r="O141" s="286"/>
      <c r="P141" s="286"/>
      <c r="Q141" s="286"/>
      <c r="R141" s="286"/>
      <c r="S141" s="286"/>
      <c r="T141" s="286"/>
      <c r="U141" s="286"/>
      <c r="V141" s="338">
        <v>0</v>
      </c>
      <c r="W141" s="289"/>
      <c r="X141" s="5"/>
    </row>
    <row r="142" spans="1:24" ht="15.75" x14ac:dyDescent="0.25">
      <c r="A142" s="285"/>
      <c r="B142" s="286" t="s">
        <v>124</v>
      </c>
      <c r="C142" s="286"/>
      <c r="D142" s="286"/>
      <c r="E142" s="286"/>
      <c r="F142" s="286"/>
      <c r="G142" s="286"/>
      <c r="H142" s="286"/>
      <c r="I142" s="286"/>
      <c r="J142" s="286"/>
      <c r="K142" s="286"/>
      <c r="L142" s="286"/>
      <c r="M142" s="286"/>
      <c r="N142" s="286"/>
      <c r="O142" s="286"/>
      <c r="P142" s="286"/>
      <c r="Q142" s="286"/>
      <c r="R142" s="286"/>
      <c r="S142" s="286"/>
      <c r="T142" s="286"/>
      <c r="U142" s="286"/>
      <c r="V142" s="338">
        <v>0</v>
      </c>
      <c r="W142" s="289"/>
      <c r="X142" s="5"/>
    </row>
    <row r="143" spans="1:24" ht="15.75" x14ac:dyDescent="0.25">
      <c r="A143" s="285"/>
      <c r="B143" s="286" t="s">
        <v>175</v>
      </c>
      <c r="C143" s="286"/>
      <c r="D143" s="286"/>
      <c r="E143" s="286"/>
      <c r="F143" s="286"/>
      <c r="G143" s="286"/>
      <c r="H143" s="286"/>
      <c r="I143" s="286"/>
      <c r="J143" s="286"/>
      <c r="K143" s="286"/>
      <c r="L143" s="286"/>
      <c r="M143" s="286"/>
      <c r="N143" s="286"/>
      <c r="O143" s="286"/>
      <c r="P143" s="286"/>
      <c r="Q143" s="286"/>
      <c r="R143" s="286"/>
      <c r="S143" s="286"/>
      <c r="T143" s="286"/>
      <c r="U143" s="286"/>
      <c r="V143" s="338">
        <v>0</v>
      </c>
      <c r="W143" s="289"/>
      <c r="X143" s="5"/>
    </row>
    <row r="144" spans="1:24" ht="15.75" x14ac:dyDescent="0.25">
      <c r="A144" s="285"/>
      <c r="B144" s="286" t="s">
        <v>45</v>
      </c>
      <c r="C144" s="286"/>
      <c r="D144" s="286"/>
      <c r="E144" s="286"/>
      <c r="F144" s="286"/>
      <c r="G144" s="286"/>
      <c r="H144" s="286"/>
      <c r="I144" s="286"/>
      <c r="J144" s="286"/>
      <c r="K144" s="286"/>
      <c r="L144" s="286"/>
      <c r="M144" s="286"/>
      <c r="N144" s="286"/>
      <c r="O144" s="286"/>
      <c r="P144" s="286"/>
      <c r="Q144" s="286"/>
      <c r="R144" s="286"/>
      <c r="S144" s="286"/>
      <c r="T144" s="286"/>
      <c r="U144" s="286"/>
      <c r="V144" s="338">
        <v>0</v>
      </c>
      <c r="W144" s="289"/>
      <c r="X144" s="5"/>
    </row>
    <row r="145" spans="1:25" ht="15.75" x14ac:dyDescent="0.25">
      <c r="A145" s="285"/>
      <c r="B145" s="286" t="s">
        <v>129</v>
      </c>
      <c r="C145" s="286"/>
      <c r="D145" s="286"/>
      <c r="E145" s="286"/>
      <c r="F145" s="286"/>
      <c r="G145" s="286"/>
      <c r="H145" s="286"/>
      <c r="I145" s="286"/>
      <c r="J145" s="286"/>
      <c r="K145" s="286"/>
      <c r="L145" s="286"/>
      <c r="M145" s="286"/>
      <c r="N145" s="286"/>
      <c r="O145" s="286"/>
      <c r="P145" s="286"/>
      <c r="Q145" s="286"/>
      <c r="R145" s="286"/>
      <c r="S145" s="286"/>
      <c r="T145" s="286"/>
      <c r="U145" s="286"/>
      <c r="V145" s="338">
        <v>0</v>
      </c>
      <c r="W145" s="289"/>
      <c r="X145" s="5"/>
    </row>
    <row r="146" spans="1:25" ht="15.75" x14ac:dyDescent="0.25">
      <c r="A146" s="285"/>
      <c r="B146" s="286" t="s">
        <v>241</v>
      </c>
      <c r="C146" s="286"/>
      <c r="D146" s="286"/>
      <c r="E146" s="286"/>
      <c r="F146" s="286"/>
      <c r="G146" s="286"/>
      <c r="H146" s="286"/>
      <c r="I146" s="286"/>
      <c r="J146" s="286"/>
      <c r="K146" s="286"/>
      <c r="L146" s="286"/>
      <c r="M146" s="286"/>
      <c r="N146" s="286"/>
      <c r="O146" s="286"/>
      <c r="P146" s="286"/>
      <c r="Q146" s="286"/>
      <c r="R146" s="286"/>
      <c r="S146" s="286"/>
      <c r="T146" s="286"/>
      <c r="U146" s="286"/>
      <c r="V146" s="338">
        <v>0</v>
      </c>
      <c r="W146" s="289"/>
      <c r="X146" s="5"/>
      <c r="Y146" s="109"/>
    </row>
    <row r="147" spans="1:25" ht="15.75" x14ac:dyDescent="0.25">
      <c r="A147" s="285"/>
      <c r="B147" s="286" t="s">
        <v>46</v>
      </c>
      <c r="C147" s="286"/>
      <c r="D147" s="286"/>
      <c r="E147" s="286"/>
      <c r="F147" s="286"/>
      <c r="G147" s="286"/>
      <c r="H147" s="286"/>
      <c r="I147" s="286"/>
      <c r="J147" s="286"/>
      <c r="K147" s="286"/>
      <c r="L147" s="286"/>
      <c r="M147" s="286"/>
      <c r="N147" s="286"/>
      <c r="O147" s="286"/>
      <c r="P147" s="286"/>
      <c r="Q147" s="286"/>
      <c r="R147" s="286"/>
      <c r="S147" s="286"/>
      <c r="T147" s="286"/>
      <c r="U147" s="286"/>
      <c r="V147" s="338">
        <f>SUM(V139:V146)</f>
        <v>19022</v>
      </c>
      <c r="W147" s="289"/>
      <c r="X147" s="5"/>
    </row>
    <row r="148" spans="1:25" ht="15.75" x14ac:dyDescent="0.25">
      <c r="A148" s="285"/>
      <c r="B148" s="314"/>
      <c r="C148" s="314"/>
      <c r="D148" s="314"/>
      <c r="E148" s="314"/>
      <c r="F148" s="314"/>
      <c r="G148" s="314"/>
      <c r="H148" s="314"/>
      <c r="I148" s="314"/>
      <c r="J148" s="314"/>
      <c r="K148" s="314"/>
      <c r="L148" s="314"/>
      <c r="M148" s="314"/>
      <c r="N148" s="314"/>
      <c r="O148" s="314"/>
      <c r="P148" s="314"/>
      <c r="Q148" s="314"/>
      <c r="R148" s="314"/>
      <c r="S148" s="314"/>
      <c r="T148" s="314"/>
      <c r="U148" s="314"/>
      <c r="V148" s="345"/>
      <c r="W148" s="318"/>
      <c r="X148" s="5"/>
    </row>
    <row r="149" spans="1:25" ht="15.75" x14ac:dyDescent="0.25">
      <c r="A149" s="285"/>
      <c r="B149" s="342" t="s">
        <v>269</v>
      </c>
      <c r="C149" s="314"/>
      <c r="D149" s="314"/>
      <c r="E149" s="314"/>
      <c r="F149" s="314"/>
      <c r="G149" s="314"/>
      <c r="H149" s="314"/>
      <c r="I149" s="314"/>
      <c r="J149" s="314"/>
      <c r="K149" s="314"/>
      <c r="L149" s="314"/>
      <c r="M149" s="314"/>
      <c r="N149" s="314"/>
      <c r="O149" s="314"/>
      <c r="P149" s="314"/>
      <c r="Q149" s="314"/>
      <c r="R149" s="314"/>
      <c r="S149" s="314"/>
      <c r="T149" s="314"/>
      <c r="U149" s="314"/>
      <c r="V149" s="345"/>
      <c r="W149" s="318"/>
      <c r="X149" s="5"/>
    </row>
    <row r="150" spans="1:25" ht="15.75" x14ac:dyDescent="0.25">
      <c r="A150" s="285"/>
      <c r="B150" s="286" t="s">
        <v>155</v>
      </c>
      <c r="C150" s="286"/>
      <c r="D150" s="286"/>
      <c r="E150" s="286"/>
      <c r="F150" s="286"/>
      <c r="G150" s="286"/>
      <c r="H150" s="286"/>
      <c r="I150" s="286"/>
      <c r="J150" s="286"/>
      <c r="K150" s="286"/>
      <c r="L150" s="286"/>
      <c r="M150" s="286"/>
      <c r="N150" s="286"/>
      <c r="O150" s="286"/>
      <c r="P150" s="286"/>
      <c r="Q150" s="286"/>
      <c r="R150" s="286"/>
      <c r="S150" s="286"/>
      <c r="T150" s="286"/>
      <c r="U150" s="286"/>
      <c r="V150" s="338">
        <v>0</v>
      </c>
      <c r="W150" s="289"/>
      <c r="X150" s="5"/>
    </row>
    <row r="151" spans="1:25" ht="15.75" x14ac:dyDescent="0.25">
      <c r="A151" s="285"/>
      <c r="B151" s="286" t="s">
        <v>172</v>
      </c>
      <c r="C151" s="286"/>
      <c r="D151" s="286"/>
      <c r="E151" s="286"/>
      <c r="F151" s="286"/>
      <c r="G151" s="286"/>
      <c r="H151" s="286"/>
      <c r="I151" s="286"/>
      <c r="J151" s="286"/>
      <c r="K151" s="286"/>
      <c r="L151" s="286"/>
      <c r="M151" s="286"/>
      <c r="N151" s="286"/>
      <c r="O151" s="286"/>
      <c r="P151" s="286"/>
      <c r="Q151" s="286"/>
      <c r="R151" s="286"/>
      <c r="S151" s="286"/>
      <c r="T151" s="286"/>
      <c r="U151" s="286"/>
      <c r="V151" s="338">
        <v>0</v>
      </c>
      <c r="W151" s="289"/>
      <c r="X151" s="5"/>
    </row>
    <row r="152" spans="1:25" ht="15.75" x14ac:dyDescent="0.25">
      <c r="A152" s="285"/>
      <c r="B152" s="286" t="s">
        <v>226</v>
      </c>
      <c r="C152" s="286"/>
      <c r="D152" s="286"/>
      <c r="E152" s="286"/>
      <c r="F152" s="286"/>
      <c r="G152" s="286"/>
      <c r="H152" s="286"/>
      <c r="I152" s="286"/>
      <c r="J152" s="286"/>
      <c r="K152" s="286"/>
      <c r="L152" s="286"/>
      <c r="M152" s="286"/>
      <c r="N152" s="286"/>
      <c r="O152" s="286"/>
      <c r="P152" s="286"/>
      <c r="Q152" s="286"/>
      <c r="R152" s="286"/>
      <c r="S152" s="286"/>
      <c r="T152" s="286"/>
      <c r="U152" s="286"/>
      <c r="V152" s="338">
        <v>0</v>
      </c>
      <c r="W152" s="289"/>
      <c r="X152" s="5"/>
    </row>
    <row r="153" spans="1:25" ht="15.75" x14ac:dyDescent="0.25">
      <c r="A153" s="285"/>
      <c r="B153" s="314"/>
      <c r="C153" s="314"/>
      <c r="D153" s="314"/>
      <c r="E153" s="314"/>
      <c r="F153" s="314"/>
      <c r="G153" s="314"/>
      <c r="H153" s="314"/>
      <c r="I153" s="314"/>
      <c r="J153" s="314"/>
      <c r="K153" s="314"/>
      <c r="L153" s="314"/>
      <c r="M153" s="314"/>
      <c r="N153" s="314"/>
      <c r="O153" s="314"/>
      <c r="P153" s="314"/>
      <c r="Q153" s="314"/>
      <c r="R153" s="314"/>
      <c r="S153" s="314"/>
      <c r="T153" s="314"/>
      <c r="U153" s="314"/>
      <c r="V153" s="345"/>
      <c r="W153" s="318"/>
      <c r="X153" s="5"/>
    </row>
    <row r="154" spans="1:25" ht="15.75" x14ac:dyDescent="0.25">
      <c r="A154" s="181"/>
      <c r="B154" s="212"/>
      <c r="C154" s="212"/>
      <c r="D154" s="212"/>
      <c r="E154" s="212"/>
      <c r="F154" s="212"/>
      <c r="G154" s="212"/>
      <c r="H154" s="212"/>
      <c r="I154" s="212"/>
      <c r="J154" s="212"/>
      <c r="K154" s="212"/>
      <c r="L154" s="212"/>
      <c r="M154" s="212"/>
      <c r="N154" s="212"/>
      <c r="O154" s="212"/>
      <c r="P154" s="212"/>
      <c r="Q154" s="212"/>
      <c r="R154" s="212"/>
      <c r="S154" s="212"/>
      <c r="T154" s="212"/>
      <c r="U154" s="212"/>
      <c r="V154" s="344"/>
      <c r="W154" s="212"/>
      <c r="X154" s="5"/>
    </row>
    <row r="155" spans="1:25" ht="15.75" x14ac:dyDescent="0.25">
      <c r="A155" s="181"/>
      <c r="B155" s="210" t="s">
        <v>24</v>
      </c>
      <c r="C155" s="183"/>
      <c r="D155" s="183"/>
      <c r="E155" s="183"/>
      <c r="F155" s="183"/>
      <c r="G155" s="183"/>
      <c r="H155" s="183"/>
      <c r="I155" s="183"/>
      <c r="J155" s="183"/>
      <c r="K155" s="183"/>
      <c r="L155" s="183"/>
      <c r="M155" s="183"/>
      <c r="N155" s="183"/>
      <c r="O155" s="183"/>
      <c r="P155" s="183"/>
      <c r="Q155" s="183"/>
      <c r="R155" s="183"/>
      <c r="S155" s="183"/>
      <c r="T155" s="183"/>
      <c r="U155" s="183"/>
      <c r="V155" s="202"/>
      <c r="W155" s="183"/>
      <c r="X155" s="5"/>
    </row>
    <row r="156" spans="1:25" ht="15.75" x14ac:dyDescent="0.25">
      <c r="A156" s="285"/>
      <c r="B156" s="286" t="s">
        <v>47</v>
      </c>
      <c r="C156" s="286"/>
      <c r="D156" s="286"/>
      <c r="E156" s="286"/>
      <c r="F156" s="286"/>
      <c r="G156" s="286"/>
      <c r="H156" s="286"/>
      <c r="I156" s="286"/>
      <c r="J156" s="286"/>
      <c r="K156" s="286"/>
      <c r="L156" s="286"/>
      <c r="M156" s="286"/>
      <c r="N156" s="286"/>
      <c r="O156" s="286"/>
      <c r="P156" s="286"/>
      <c r="Q156" s="286"/>
      <c r="R156" s="286"/>
      <c r="S156" s="286"/>
      <c r="T156" s="286"/>
      <c r="U156" s="286"/>
      <c r="V156" s="343" t="s">
        <v>118</v>
      </c>
      <c r="W156" s="318"/>
      <c r="X156" s="5"/>
    </row>
    <row r="157" spans="1:25" ht="15.75" x14ac:dyDescent="0.25">
      <c r="A157" s="285"/>
      <c r="B157" s="286" t="s">
        <v>48</v>
      </c>
      <c r="C157" s="288"/>
      <c r="D157" s="288"/>
      <c r="E157" s="288"/>
      <c r="F157" s="288"/>
      <c r="G157" s="288"/>
      <c r="H157" s="288"/>
      <c r="I157" s="288"/>
      <c r="J157" s="288"/>
      <c r="K157" s="288"/>
      <c r="L157" s="288"/>
      <c r="M157" s="288"/>
      <c r="N157" s="288"/>
      <c r="O157" s="288"/>
      <c r="P157" s="288"/>
      <c r="Q157" s="288"/>
      <c r="R157" s="288"/>
      <c r="S157" s="288"/>
      <c r="T157" s="288"/>
      <c r="U157" s="288"/>
      <c r="V157" s="343" t="s">
        <v>118</v>
      </c>
      <c r="W157" s="318"/>
      <c r="X157" s="5"/>
    </row>
    <row r="158" spans="1:25" ht="15.75" x14ac:dyDescent="0.25">
      <c r="A158" s="285"/>
      <c r="B158" s="286" t="s">
        <v>49</v>
      </c>
      <c r="C158" s="286"/>
      <c r="D158" s="286"/>
      <c r="E158" s="286"/>
      <c r="F158" s="286"/>
      <c r="G158" s="286"/>
      <c r="H158" s="286"/>
      <c r="I158" s="286"/>
      <c r="J158" s="286"/>
      <c r="K158" s="286"/>
      <c r="L158" s="286"/>
      <c r="M158" s="286"/>
      <c r="N158" s="286"/>
      <c r="O158" s="286"/>
      <c r="P158" s="286"/>
      <c r="Q158" s="286"/>
      <c r="R158" s="286"/>
      <c r="S158" s="286"/>
      <c r="T158" s="286"/>
      <c r="U158" s="286"/>
      <c r="V158" s="343" t="s">
        <v>118</v>
      </c>
      <c r="W158" s="318"/>
      <c r="X158" s="5"/>
    </row>
    <row r="159" spans="1:25" ht="15.75" x14ac:dyDescent="0.25">
      <c r="A159" s="285"/>
      <c r="B159" s="286" t="s">
        <v>50</v>
      </c>
      <c r="C159" s="286"/>
      <c r="D159" s="286"/>
      <c r="E159" s="286"/>
      <c r="F159" s="286"/>
      <c r="G159" s="286"/>
      <c r="H159" s="286"/>
      <c r="I159" s="286"/>
      <c r="J159" s="286"/>
      <c r="K159" s="286"/>
      <c r="L159" s="286"/>
      <c r="M159" s="286"/>
      <c r="N159" s="286"/>
      <c r="O159" s="286"/>
      <c r="P159" s="286"/>
      <c r="Q159" s="286"/>
      <c r="R159" s="286"/>
      <c r="S159" s="286"/>
      <c r="T159" s="286"/>
      <c r="U159" s="286"/>
      <c r="V159" s="343" t="s">
        <v>118</v>
      </c>
      <c r="W159" s="318"/>
      <c r="X159" s="5"/>
    </row>
    <row r="160" spans="1:25" ht="15.75" x14ac:dyDescent="0.25">
      <c r="A160" s="181"/>
      <c r="B160" s="212"/>
      <c r="C160" s="212"/>
      <c r="D160" s="212"/>
      <c r="E160" s="212"/>
      <c r="F160" s="212"/>
      <c r="G160" s="212"/>
      <c r="H160" s="212"/>
      <c r="I160" s="212"/>
      <c r="J160" s="212"/>
      <c r="K160" s="212"/>
      <c r="L160" s="212"/>
      <c r="M160" s="212"/>
      <c r="N160" s="212"/>
      <c r="O160" s="212"/>
      <c r="P160" s="212"/>
      <c r="Q160" s="212"/>
      <c r="R160" s="212"/>
      <c r="S160" s="212"/>
      <c r="T160" s="212"/>
      <c r="U160" s="212"/>
      <c r="V160" s="344"/>
      <c r="W160" s="212"/>
      <c r="X160" s="5"/>
    </row>
    <row r="161" spans="1:256" ht="15.75" x14ac:dyDescent="0.25">
      <c r="A161" s="181"/>
      <c r="B161" s="210" t="s">
        <v>51</v>
      </c>
      <c r="C161" s="183"/>
      <c r="D161" s="183"/>
      <c r="E161" s="183"/>
      <c r="F161" s="183"/>
      <c r="G161" s="183"/>
      <c r="H161" s="183"/>
      <c r="I161" s="183"/>
      <c r="J161" s="183"/>
      <c r="K161" s="183"/>
      <c r="L161" s="183"/>
      <c r="M161" s="183"/>
      <c r="N161" s="183"/>
      <c r="O161" s="183"/>
      <c r="P161" s="183"/>
      <c r="Q161" s="183"/>
      <c r="R161" s="183"/>
      <c r="S161" s="183"/>
      <c r="T161" s="183"/>
      <c r="U161" s="183"/>
      <c r="V161" s="211"/>
      <c r="W161" s="183"/>
      <c r="X161" s="5"/>
    </row>
    <row r="162" spans="1:256" ht="15.75" x14ac:dyDescent="0.25">
      <c r="A162" s="285"/>
      <c r="B162" s="286" t="s">
        <v>52</v>
      </c>
      <c r="C162" s="286"/>
      <c r="D162" s="286"/>
      <c r="E162" s="286"/>
      <c r="F162" s="286"/>
      <c r="G162" s="286"/>
      <c r="H162" s="286"/>
      <c r="I162" s="286"/>
      <c r="J162" s="286"/>
      <c r="K162" s="286"/>
      <c r="L162" s="286"/>
      <c r="M162" s="286"/>
      <c r="N162" s="286"/>
      <c r="O162" s="286"/>
      <c r="P162" s="286"/>
      <c r="Q162" s="286"/>
      <c r="R162" s="286"/>
      <c r="S162" s="286"/>
      <c r="T162" s="286"/>
      <c r="U162" s="286"/>
      <c r="V162" s="338">
        <v>0</v>
      </c>
      <c r="W162" s="289"/>
      <c r="X162" s="5"/>
    </row>
    <row r="163" spans="1:256" ht="15.75" x14ac:dyDescent="0.25">
      <c r="A163" s="285"/>
      <c r="B163" s="286" t="s">
        <v>53</v>
      </c>
      <c r="C163" s="286"/>
      <c r="D163" s="286"/>
      <c r="E163" s="286"/>
      <c r="F163" s="286"/>
      <c r="G163" s="286"/>
      <c r="H163" s="286"/>
      <c r="I163" s="286"/>
      <c r="J163" s="286"/>
      <c r="K163" s="286"/>
      <c r="L163" s="286"/>
      <c r="M163" s="286"/>
      <c r="N163" s="286"/>
      <c r="O163" s="286"/>
      <c r="P163" s="286"/>
      <c r="Q163" s="286"/>
      <c r="R163" s="286"/>
      <c r="S163" s="286"/>
      <c r="T163" s="286"/>
      <c r="U163" s="286"/>
      <c r="V163" s="338">
        <v>403</v>
      </c>
      <c r="W163" s="289"/>
      <c r="X163" s="5"/>
    </row>
    <row r="164" spans="1:256" ht="15.75" x14ac:dyDescent="0.25">
      <c r="A164" s="285"/>
      <c r="B164" s="286" t="s">
        <v>54</v>
      </c>
      <c r="C164" s="286"/>
      <c r="D164" s="286"/>
      <c r="E164" s="286"/>
      <c r="F164" s="286"/>
      <c r="G164" s="286"/>
      <c r="H164" s="286"/>
      <c r="I164" s="286"/>
      <c r="J164" s="286"/>
      <c r="K164" s="286"/>
      <c r="L164" s="286"/>
      <c r="M164" s="286"/>
      <c r="N164" s="286"/>
      <c r="O164" s="286"/>
      <c r="P164" s="286"/>
      <c r="Q164" s="286"/>
      <c r="R164" s="286"/>
      <c r="S164" s="286"/>
      <c r="T164" s="286"/>
      <c r="U164" s="286"/>
      <c r="V164" s="338">
        <f>V163+V162</f>
        <v>403</v>
      </c>
      <c r="W164" s="289"/>
      <c r="X164" s="5"/>
    </row>
    <row r="165" spans="1:256" ht="15.75" x14ac:dyDescent="0.25">
      <c r="A165" s="285"/>
      <c r="B165" s="286" t="s">
        <v>303</v>
      </c>
      <c r="C165" s="286"/>
      <c r="D165" s="286"/>
      <c r="E165" s="286"/>
      <c r="F165" s="286"/>
      <c r="G165" s="286"/>
      <c r="H165" s="286"/>
      <c r="I165" s="286"/>
      <c r="J165" s="286"/>
      <c r="K165" s="286"/>
      <c r="L165" s="286"/>
      <c r="M165" s="286"/>
      <c r="N165" s="286"/>
      <c r="O165" s="286"/>
      <c r="P165" s="286"/>
      <c r="Q165" s="286"/>
      <c r="R165" s="286"/>
      <c r="S165" s="286"/>
      <c r="T165" s="286"/>
      <c r="U165" s="286"/>
      <c r="V165" s="338">
        <f>V113</f>
        <v>-403</v>
      </c>
      <c r="W165" s="289"/>
      <c r="X165" s="5"/>
    </row>
    <row r="166" spans="1:256" ht="15.75" x14ac:dyDescent="0.25">
      <c r="A166" s="285"/>
      <c r="B166" s="286" t="s">
        <v>55</v>
      </c>
      <c r="C166" s="286"/>
      <c r="D166" s="286"/>
      <c r="E166" s="286"/>
      <c r="F166" s="286"/>
      <c r="G166" s="286"/>
      <c r="H166" s="286"/>
      <c r="I166" s="286"/>
      <c r="J166" s="286"/>
      <c r="K166" s="286"/>
      <c r="L166" s="286"/>
      <c r="M166" s="286"/>
      <c r="N166" s="286"/>
      <c r="O166" s="286"/>
      <c r="P166" s="286"/>
      <c r="Q166" s="286"/>
      <c r="R166" s="286"/>
      <c r="S166" s="286"/>
      <c r="T166" s="286"/>
      <c r="U166" s="286"/>
      <c r="V166" s="338">
        <f>V164+V165</f>
        <v>0</v>
      </c>
      <c r="W166" s="289"/>
      <c r="X166" s="5"/>
    </row>
    <row r="167" spans="1:256" ht="15.75" x14ac:dyDescent="0.25">
      <c r="A167" s="285"/>
      <c r="B167" s="286" t="s">
        <v>274</v>
      </c>
      <c r="C167" s="286"/>
      <c r="D167" s="286"/>
      <c r="E167" s="286"/>
      <c r="F167" s="286"/>
      <c r="G167" s="286"/>
      <c r="H167" s="286"/>
      <c r="I167" s="286"/>
      <c r="J167" s="286"/>
      <c r="K167" s="286"/>
      <c r="L167" s="286"/>
      <c r="M167" s="286"/>
      <c r="N167" s="286"/>
      <c r="O167" s="286"/>
      <c r="P167" s="286"/>
      <c r="Q167" s="286"/>
      <c r="R167" s="286"/>
      <c r="S167" s="286"/>
      <c r="T167" s="286"/>
      <c r="U167" s="286"/>
      <c r="V167" s="338">
        <v>0</v>
      </c>
      <c r="W167" s="289"/>
      <c r="X167" s="5"/>
    </row>
    <row r="168" spans="1:256" ht="16.5" thickBot="1" x14ac:dyDescent="0.3">
      <c r="A168" s="181"/>
      <c r="B168" s="212"/>
      <c r="C168" s="212"/>
      <c r="D168" s="212"/>
      <c r="E168" s="212"/>
      <c r="F168" s="212"/>
      <c r="G168" s="212"/>
      <c r="H168" s="212"/>
      <c r="I168" s="212"/>
      <c r="J168" s="212"/>
      <c r="K168" s="212"/>
      <c r="L168" s="212"/>
      <c r="M168" s="212"/>
      <c r="N168" s="212"/>
      <c r="O168" s="212"/>
      <c r="P168" s="212"/>
      <c r="Q168" s="212"/>
      <c r="R168" s="212"/>
      <c r="S168" s="212"/>
      <c r="T168" s="212"/>
      <c r="U168" s="212"/>
      <c r="V168" s="344"/>
      <c r="W168" s="212"/>
      <c r="X168" s="5"/>
    </row>
    <row r="169" spans="1:256" ht="15.75" x14ac:dyDescent="0.25">
      <c r="A169" s="179"/>
      <c r="B169" s="180"/>
      <c r="C169" s="180"/>
      <c r="D169" s="180"/>
      <c r="E169" s="180"/>
      <c r="F169" s="180"/>
      <c r="G169" s="180"/>
      <c r="H169" s="180"/>
      <c r="I169" s="180"/>
      <c r="J169" s="180"/>
      <c r="K169" s="180"/>
      <c r="L169" s="180"/>
      <c r="M169" s="180"/>
      <c r="N169" s="180"/>
      <c r="O169" s="180"/>
      <c r="P169" s="180"/>
      <c r="Q169" s="180"/>
      <c r="R169" s="180"/>
      <c r="S169" s="180"/>
      <c r="T169" s="180"/>
      <c r="U169" s="180"/>
      <c r="V169" s="201"/>
      <c r="W169" s="180"/>
      <c r="X169" s="5"/>
    </row>
    <row r="170" spans="1:256" s="158" customFormat="1" ht="15.75" x14ac:dyDescent="0.25">
      <c r="A170" s="181"/>
      <c r="B170" s="210" t="s">
        <v>230</v>
      </c>
      <c r="C170" s="212"/>
      <c r="D170" s="212"/>
      <c r="E170" s="212"/>
      <c r="F170" s="212"/>
      <c r="G170" s="212"/>
      <c r="H170" s="212"/>
      <c r="I170" s="212"/>
      <c r="J170" s="212"/>
      <c r="K170" s="212"/>
      <c r="L170" s="212"/>
      <c r="M170" s="212"/>
      <c r="N170" s="212"/>
      <c r="O170" s="212"/>
      <c r="P170" s="212"/>
      <c r="Q170" s="212"/>
      <c r="R170" s="212"/>
      <c r="S170" s="212"/>
      <c r="T170" s="212"/>
      <c r="U170" s="212"/>
      <c r="V170" s="213"/>
      <c r="W170" s="212"/>
      <c r="X170" s="5"/>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s="160" customFormat="1" ht="15.75" x14ac:dyDescent="0.25">
      <c r="A171" s="285"/>
      <c r="B171" s="286" t="s">
        <v>231</v>
      </c>
      <c r="C171" s="286"/>
      <c r="D171" s="286"/>
      <c r="E171" s="286"/>
      <c r="F171" s="286"/>
      <c r="G171" s="286"/>
      <c r="H171" s="286"/>
      <c r="I171" s="286"/>
      <c r="J171" s="286"/>
      <c r="K171" s="286"/>
      <c r="L171" s="286"/>
      <c r="M171" s="286"/>
      <c r="N171" s="286"/>
      <c r="O171" s="286"/>
      <c r="P171" s="286"/>
      <c r="Q171" s="286"/>
      <c r="R171" s="286"/>
      <c r="S171" s="286"/>
      <c r="T171" s="286"/>
      <c r="U171" s="286"/>
      <c r="V171" s="338">
        <f>+'Aug 08'!V173</f>
        <v>0</v>
      </c>
      <c r="W171" s="289"/>
      <c r="X171" s="5"/>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s="160" customFormat="1" ht="15.75" x14ac:dyDescent="0.25">
      <c r="A172" s="285"/>
      <c r="B172" s="286" t="s">
        <v>234</v>
      </c>
      <c r="C172" s="286"/>
      <c r="D172" s="286"/>
      <c r="E172" s="286"/>
      <c r="F172" s="286"/>
      <c r="G172" s="286"/>
      <c r="H172" s="286"/>
      <c r="I172" s="286"/>
      <c r="J172" s="286"/>
      <c r="K172" s="286"/>
      <c r="L172" s="286"/>
      <c r="M172" s="286"/>
      <c r="N172" s="286"/>
      <c r="O172" s="286"/>
      <c r="P172" s="286"/>
      <c r="Q172" s="286"/>
      <c r="R172" s="286"/>
      <c r="S172" s="286"/>
      <c r="T172" s="286"/>
      <c r="U172" s="286"/>
      <c r="V172" s="338">
        <f>+V94</f>
        <v>0</v>
      </c>
      <c r="W172" s="289"/>
      <c r="X172" s="5"/>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s="160" customFormat="1" ht="15.75" x14ac:dyDescent="0.25">
      <c r="A173" s="285"/>
      <c r="B173" s="286" t="s">
        <v>232</v>
      </c>
      <c r="C173" s="286"/>
      <c r="D173" s="286"/>
      <c r="E173" s="286"/>
      <c r="F173" s="286"/>
      <c r="G173" s="286"/>
      <c r="H173" s="286"/>
      <c r="I173" s="286"/>
      <c r="J173" s="286"/>
      <c r="K173" s="286"/>
      <c r="L173" s="286"/>
      <c r="M173" s="286"/>
      <c r="N173" s="286"/>
      <c r="O173" s="286"/>
      <c r="P173" s="286"/>
      <c r="Q173" s="286"/>
      <c r="R173" s="286"/>
      <c r="S173" s="286"/>
      <c r="T173" s="286"/>
      <c r="U173" s="286"/>
      <c r="V173" s="338">
        <f>+V171-V172</f>
        <v>0</v>
      </c>
      <c r="W173" s="289"/>
      <c r="X173" s="5"/>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s="163" customFormat="1" ht="16.5" thickBot="1" x14ac:dyDescent="0.3">
      <c r="A174" s="197"/>
      <c r="B174" s="212"/>
      <c r="C174" s="212"/>
      <c r="D174" s="212"/>
      <c r="E174" s="212"/>
      <c r="F174" s="212"/>
      <c r="G174" s="212"/>
      <c r="H174" s="212"/>
      <c r="I174" s="212"/>
      <c r="J174" s="212"/>
      <c r="K174" s="212"/>
      <c r="L174" s="212"/>
      <c r="M174" s="212"/>
      <c r="N174" s="212"/>
      <c r="O174" s="212"/>
      <c r="P174" s="212"/>
      <c r="Q174" s="212"/>
      <c r="R174" s="212"/>
      <c r="S174" s="212"/>
      <c r="T174" s="212"/>
      <c r="U174" s="212"/>
      <c r="V174" s="344"/>
      <c r="W174" s="212"/>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4" customFormat="1" ht="15.75" x14ac:dyDescent="0.25">
      <c r="A175" s="179"/>
      <c r="B175" s="180"/>
      <c r="C175" s="180"/>
      <c r="D175" s="180"/>
      <c r="E175" s="180"/>
      <c r="F175" s="180"/>
      <c r="G175" s="180"/>
      <c r="H175" s="180"/>
      <c r="I175" s="180"/>
      <c r="J175" s="180"/>
      <c r="K175" s="180"/>
      <c r="L175" s="180"/>
      <c r="M175" s="180"/>
      <c r="N175" s="180"/>
      <c r="O175" s="180"/>
      <c r="P175" s="180"/>
      <c r="Q175" s="180"/>
      <c r="R175" s="180"/>
      <c r="S175" s="180"/>
      <c r="T175" s="180"/>
      <c r="U175" s="180"/>
      <c r="V175" s="201"/>
      <c r="W175" s="180"/>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ht="15.75" x14ac:dyDescent="0.25">
      <c r="A176" s="181"/>
      <c r="B176" s="210" t="s">
        <v>56</v>
      </c>
      <c r="C176" s="183"/>
      <c r="D176" s="183"/>
      <c r="E176" s="183"/>
      <c r="F176" s="183"/>
      <c r="G176" s="183"/>
      <c r="H176" s="183"/>
      <c r="I176" s="183"/>
      <c r="J176" s="183"/>
      <c r="K176" s="183"/>
      <c r="L176" s="183"/>
      <c r="M176" s="183"/>
      <c r="N176" s="183"/>
      <c r="O176" s="183"/>
      <c r="P176" s="183"/>
      <c r="Q176" s="183"/>
      <c r="R176" s="183"/>
      <c r="S176" s="183"/>
      <c r="T176" s="183"/>
      <c r="U176" s="183"/>
      <c r="V176" s="202"/>
      <c r="W176" s="183"/>
      <c r="X176" s="5"/>
    </row>
    <row r="177" spans="1:24" ht="15.75" x14ac:dyDescent="0.25">
      <c r="A177" s="181"/>
      <c r="B177" s="191"/>
      <c r="C177" s="183"/>
      <c r="D177" s="183"/>
      <c r="E177" s="183"/>
      <c r="F177" s="183"/>
      <c r="G177" s="183"/>
      <c r="H177" s="183"/>
      <c r="I177" s="183"/>
      <c r="J177" s="183"/>
      <c r="K177" s="183"/>
      <c r="L177" s="183"/>
      <c r="M177" s="183"/>
      <c r="N177" s="183"/>
      <c r="O177" s="183"/>
      <c r="P177" s="183"/>
      <c r="Q177" s="183"/>
      <c r="R177" s="183"/>
      <c r="S177" s="183"/>
      <c r="T177" s="183"/>
      <c r="U177" s="183"/>
      <c r="V177" s="202"/>
      <c r="W177" s="183"/>
      <c r="X177" s="5"/>
    </row>
    <row r="178" spans="1:24" ht="15.75" x14ac:dyDescent="0.25">
      <c r="A178" s="285"/>
      <c r="B178" s="286" t="s">
        <v>57</v>
      </c>
      <c r="C178" s="286"/>
      <c r="D178" s="286"/>
      <c r="E178" s="286"/>
      <c r="F178" s="286"/>
      <c r="G178" s="286"/>
      <c r="H178" s="286"/>
      <c r="I178" s="286"/>
      <c r="J178" s="286"/>
      <c r="K178" s="286"/>
      <c r="L178" s="286"/>
      <c r="M178" s="286"/>
      <c r="N178" s="286"/>
      <c r="O178" s="286"/>
      <c r="P178" s="286"/>
      <c r="Q178" s="286"/>
      <c r="R178" s="286"/>
      <c r="S178" s="286"/>
      <c r="T178" s="286"/>
      <c r="U178" s="286"/>
      <c r="V178" s="338">
        <f>V71</f>
        <v>813179</v>
      </c>
      <c r="W178" s="289"/>
      <c r="X178" s="5"/>
    </row>
    <row r="179" spans="1:24" ht="15.75" x14ac:dyDescent="0.25">
      <c r="A179" s="285"/>
      <c r="B179" s="286" t="s">
        <v>58</v>
      </c>
      <c r="C179" s="286"/>
      <c r="D179" s="286"/>
      <c r="E179" s="286"/>
      <c r="F179" s="286"/>
      <c r="G179" s="286"/>
      <c r="H179" s="286"/>
      <c r="I179" s="286"/>
      <c r="J179" s="286"/>
      <c r="K179" s="286"/>
      <c r="L179" s="286"/>
      <c r="M179" s="286"/>
      <c r="N179" s="286"/>
      <c r="O179" s="286"/>
      <c r="P179" s="286"/>
      <c r="Q179" s="286"/>
      <c r="R179" s="286"/>
      <c r="S179" s="286"/>
      <c r="T179" s="286"/>
      <c r="U179" s="286"/>
      <c r="V179" s="338">
        <f>V84</f>
        <v>813179</v>
      </c>
      <c r="W179" s="289"/>
      <c r="X179" s="5"/>
    </row>
    <row r="180" spans="1:24" ht="16.5" thickBot="1" x14ac:dyDescent="0.3">
      <c r="A180" s="181"/>
      <c r="B180" s="212"/>
      <c r="C180" s="212"/>
      <c r="D180" s="212"/>
      <c r="E180" s="212"/>
      <c r="F180" s="212"/>
      <c r="G180" s="212"/>
      <c r="H180" s="212"/>
      <c r="I180" s="212"/>
      <c r="J180" s="212"/>
      <c r="K180" s="212"/>
      <c r="L180" s="212"/>
      <c r="M180" s="212"/>
      <c r="N180" s="212"/>
      <c r="O180" s="212"/>
      <c r="P180" s="212"/>
      <c r="Q180" s="212"/>
      <c r="R180" s="212"/>
      <c r="S180" s="212"/>
      <c r="T180" s="212"/>
      <c r="U180" s="212"/>
      <c r="V180" s="344"/>
      <c r="W180" s="212"/>
      <c r="X180" s="5"/>
    </row>
    <row r="181" spans="1:24" ht="15.75" x14ac:dyDescent="0.25">
      <c r="A181" s="179"/>
      <c r="B181" s="180"/>
      <c r="C181" s="180"/>
      <c r="D181" s="180"/>
      <c r="E181" s="180"/>
      <c r="F181" s="180"/>
      <c r="G181" s="180"/>
      <c r="H181" s="180"/>
      <c r="I181" s="180"/>
      <c r="J181" s="180"/>
      <c r="K181" s="180"/>
      <c r="L181" s="180"/>
      <c r="M181" s="180"/>
      <c r="N181" s="180"/>
      <c r="O181" s="180"/>
      <c r="P181" s="180"/>
      <c r="Q181" s="180"/>
      <c r="R181" s="180"/>
      <c r="S181" s="180"/>
      <c r="T181" s="180"/>
      <c r="U181" s="180"/>
      <c r="V181" s="201"/>
      <c r="W181" s="180"/>
      <c r="X181" s="5"/>
    </row>
    <row r="182" spans="1:24" ht="15.75" x14ac:dyDescent="0.25">
      <c r="A182" s="181"/>
      <c r="B182" s="210" t="s">
        <v>59</v>
      </c>
      <c r="C182" s="206"/>
      <c r="D182" s="206"/>
      <c r="E182" s="206"/>
      <c r="F182" s="206"/>
      <c r="G182" s="206"/>
      <c r="H182" s="214"/>
      <c r="I182" s="214"/>
      <c r="J182" s="214"/>
      <c r="K182" s="214"/>
      <c r="L182" s="214"/>
      <c r="M182" s="214"/>
      <c r="N182" s="214"/>
      <c r="O182" s="214"/>
      <c r="P182" s="214"/>
      <c r="Q182" s="214"/>
      <c r="R182" s="214"/>
      <c r="S182" s="214" t="s">
        <v>101</v>
      </c>
      <c r="T182" s="214" t="s">
        <v>176</v>
      </c>
      <c r="U182" s="185"/>
      <c r="V182" s="215" t="s">
        <v>114</v>
      </c>
      <c r="W182" s="216"/>
      <c r="X182" s="5"/>
    </row>
    <row r="183" spans="1:24" ht="15.75" x14ac:dyDescent="0.25">
      <c r="A183" s="285"/>
      <c r="B183" s="286" t="s">
        <v>60</v>
      </c>
      <c r="C183" s="286"/>
      <c r="D183" s="286"/>
      <c r="E183" s="286"/>
      <c r="F183" s="286"/>
      <c r="G183" s="286"/>
      <c r="H183" s="286"/>
      <c r="I183" s="286"/>
      <c r="J183" s="286"/>
      <c r="K183" s="286"/>
      <c r="L183" s="286"/>
      <c r="M183" s="286"/>
      <c r="N183" s="286"/>
      <c r="O183" s="286"/>
      <c r="P183" s="286"/>
      <c r="Q183" s="286"/>
      <c r="R183" s="286"/>
      <c r="S183" s="338">
        <f>+V34*0.16</f>
        <v>160181.28</v>
      </c>
      <c r="T183" s="325"/>
      <c r="U183" s="286"/>
      <c r="V183" s="338"/>
      <c r="W183" s="289"/>
      <c r="X183" s="5"/>
    </row>
    <row r="184" spans="1:24" ht="15.75" x14ac:dyDescent="0.25">
      <c r="A184" s="285"/>
      <c r="B184" s="286" t="s">
        <v>61</v>
      </c>
      <c r="C184" s="286"/>
      <c r="D184" s="286"/>
      <c r="E184" s="286"/>
      <c r="F184" s="286"/>
      <c r="G184" s="286"/>
      <c r="H184" s="286"/>
      <c r="I184" s="286"/>
      <c r="J184" s="286"/>
      <c r="K184" s="286"/>
      <c r="L184" s="286"/>
      <c r="M184" s="286"/>
      <c r="N184" s="286"/>
      <c r="O184" s="286"/>
      <c r="P184" s="286"/>
      <c r="Q184" s="286"/>
      <c r="R184" s="286"/>
      <c r="S184" s="338">
        <f>+'Aug 12'!S186</f>
        <v>10742</v>
      </c>
      <c r="T184" s="338">
        <f>+'Aug 12'!T186</f>
        <v>6090</v>
      </c>
      <c r="U184" s="286"/>
      <c r="V184" s="338">
        <f>S184+T184</f>
        <v>16832</v>
      </c>
      <c r="W184" s="289"/>
      <c r="X184" s="5"/>
    </row>
    <row r="185" spans="1:24" ht="15.75" x14ac:dyDescent="0.25">
      <c r="A185" s="285"/>
      <c r="B185" s="286" t="s">
        <v>62</v>
      </c>
      <c r="C185" s="286"/>
      <c r="D185" s="286"/>
      <c r="E185" s="286"/>
      <c r="F185" s="286"/>
      <c r="G185" s="286"/>
      <c r="H185" s="286"/>
      <c r="I185" s="286"/>
      <c r="J185" s="286"/>
      <c r="K185" s="286"/>
      <c r="L185" s="286"/>
      <c r="M185" s="286"/>
      <c r="N185" s="286"/>
      <c r="O185" s="286"/>
      <c r="P185" s="286"/>
      <c r="Q185" s="286"/>
      <c r="R185" s="286"/>
      <c r="S185" s="337">
        <v>0</v>
      </c>
      <c r="T185" s="337">
        <v>0</v>
      </c>
      <c r="U185" s="286"/>
      <c r="V185" s="338">
        <f>S185+T185</f>
        <v>0</v>
      </c>
      <c r="W185" s="289"/>
      <c r="X185" s="5"/>
    </row>
    <row r="186" spans="1:24" ht="15.75" x14ac:dyDescent="0.25">
      <c r="A186" s="285"/>
      <c r="B186" s="286" t="s">
        <v>63</v>
      </c>
      <c r="C186" s="286"/>
      <c r="D186" s="286"/>
      <c r="E186" s="286"/>
      <c r="F186" s="286"/>
      <c r="G186" s="286"/>
      <c r="H186" s="286"/>
      <c r="I186" s="286"/>
      <c r="J186" s="286"/>
      <c r="K186" s="286"/>
      <c r="L186" s="286"/>
      <c r="M186" s="286"/>
      <c r="N186" s="286"/>
      <c r="O186" s="286"/>
      <c r="P186" s="286"/>
      <c r="Q186" s="286"/>
      <c r="R186" s="286"/>
      <c r="S186" s="338">
        <f>S184+S185</f>
        <v>10742</v>
      </c>
      <c r="T186" s="338">
        <f>T185+T184</f>
        <v>6090</v>
      </c>
      <c r="U186" s="286"/>
      <c r="V186" s="338">
        <f>S186+T186</f>
        <v>16832</v>
      </c>
      <c r="W186" s="289"/>
      <c r="X186" s="5"/>
    </row>
    <row r="187" spans="1:24" ht="15.75" x14ac:dyDescent="0.25">
      <c r="A187" s="285"/>
      <c r="B187" s="286" t="s">
        <v>64</v>
      </c>
      <c r="C187" s="286"/>
      <c r="D187" s="286"/>
      <c r="E187" s="286"/>
      <c r="F187" s="286"/>
      <c r="G187" s="286"/>
      <c r="H187" s="286"/>
      <c r="I187" s="286"/>
      <c r="J187" s="286"/>
      <c r="K187" s="286"/>
      <c r="L187" s="286"/>
      <c r="M187" s="286"/>
      <c r="N187" s="286"/>
      <c r="O187" s="286"/>
      <c r="P187" s="286"/>
      <c r="Q187" s="286"/>
      <c r="R187" s="286"/>
      <c r="S187" s="338">
        <f>S183-S186-T186</f>
        <v>143349.28</v>
      </c>
      <c r="T187" s="325"/>
      <c r="U187" s="286"/>
      <c r="V187" s="338"/>
      <c r="W187" s="289"/>
      <c r="X187" s="5"/>
    </row>
    <row r="188" spans="1:24" ht="16.5" thickBot="1" x14ac:dyDescent="0.3">
      <c r="A188" s="181"/>
      <c r="B188" s="212"/>
      <c r="C188" s="212"/>
      <c r="D188" s="212"/>
      <c r="E188" s="212"/>
      <c r="F188" s="212"/>
      <c r="G188" s="212"/>
      <c r="H188" s="212"/>
      <c r="I188" s="212"/>
      <c r="J188" s="212"/>
      <c r="K188" s="212"/>
      <c r="L188" s="212"/>
      <c r="M188" s="212"/>
      <c r="N188" s="212"/>
      <c r="O188" s="212"/>
      <c r="P188" s="212"/>
      <c r="Q188" s="212"/>
      <c r="R188" s="212"/>
      <c r="S188" s="212"/>
      <c r="T188" s="212"/>
      <c r="U188" s="212"/>
      <c r="V188" s="344"/>
      <c r="W188" s="212"/>
      <c r="X188" s="5"/>
    </row>
    <row r="189" spans="1:24" ht="15.75" x14ac:dyDescent="0.25">
      <c r="A189" s="179"/>
      <c r="B189" s="180"/>
      <c r="C189" s="180"/>
      <c r="D189" s="180"/>
      <c r="E189" s="180"/>
      <c r="F189" s="180"/>
      <c r="G189" s="180"/>
      <c r="H189" s="180"/>
      <c r="I189" s="180"/>
      <c r="J189" s="180"/>
      <c r="K189" s="180"/>
      <c r="L189" s="180"/>
      <c r="M189" s="180"/>
      <c r="N189" s="180"/>
      <c r="O189" s="180"/>
      <c r="P189" s="180"/>
      <c r="Q189" s="180"/>
      <c r="R189" s="180"/>
      <c r="S189" s="180"/>
      <c r="T189" s="180"/>
      <c r="U189" s="180"/>
      <c r="V189" s="201"/>
      <c r="W189" s="180"/>
      <c r="X189" s="5"/>
    </row>
    <row r="190" spans="1:24" ht="15.75" x14ac:dyDescent="0.25">
      <c r="A190" s="181"/>
      <c r="B190" s="210" t="s">
        <v>65</v>
      </c>
      <c r="C190" s="183"/>
      <c r="D190" s="183"/>
      <c r="E190" s="183"/>
      <c r="F190" s="183"/>
      <c r="G190" s="183"/>
      <c r="H190" s="183"/>
      <c r="I190" s="183"/>
      <c r="J190" s="183"/>
      <c r="K190" s="183"/>
      <c r="L190" s="183"/>
      <c r="M190" s="183"/>
      <c r="N190" s="183"/>
      <c r="O190" s="183"/>
      <c r="P190" s="183"/>
      <c r="Q190" s="183"/>
      <c r="R190" s="183"/>
      <c r="S190" s="183"/>
      <c r="T190" s="183"/>
      <c r="U190" s="183"/>
      <c r="V190" s="217"/>
      <c r="W190" s="183"/>
      <c r="X190" s="5"/>
    </row>
    <row r="191" spans="1:24" ht="15.75" x14ac:dyDescent="0.25">
      <c r="A191" s="285"/>
      <c r="B191" s="286" t="s">
        <v>66</v>
      </c>
      <c r="C191" s="286"/>
      <c r="D191" s="286"/>
      <c r="E191" s="286"/>
      <c r="F191" s="286"/>
      <c r="G191" s="286"/>
      <c r="H191" s="286"/>
      <c r="I191" s="286"/>
      <c r="J191" s="286"/>
      <c r="K191" s="286"/>
      <c r="L191" s="286"/>
      <c r="M191" s="286"/>
      <c r="N191" s="286"/>
      <c r="O191" s="286"/>
      <c r="P191" s="286"/>
      <c r="Q191" s="286"/>
      <c r="R191" s="286"/>
      <c r="S191" s="286"/>
      <c r="T191" s="286"/>
      <c r="U191" s="286"/>
      <c r="V191" s="343">
        <f>(V101+V103+V104+V105+V106)/-(V107+V108)</f>
        <v>3.4720708446866486</v>
      </c>
      <c r="W191" s="289" t="s">
        <v>115</v>
      </c>
      <c r="X191" s="5"/>
    </row>
    <row r="192" spans="1:24" ht="15.75" x14ac:dyDescent="0.25">
      <c r="A192" s="285"/>
      <c r="B192" s="286" t="s">
        <v>67</v>
      </c>
      <c r="C192" s="286"/>
      <c r="D192" s="286"/>
      <c r="E192" s="286"/>
      <c r="F192" s="286"/>
      <c r="G192" s="286"/>
      <c r="H192" s="286"/>
      <c r="I192" s="286"/>
      <c r="J192" s="286"/>
      <c r="K192" s="286"/>
      <c r="L192" s="286"/>
      <c r="M192" s="286"/>
      <c r="N192" s="286"/>
      <c r="O192" s="286"/>
      <c r="P192" s="286"/>
      <c r="Q192" s="286"/>
      <c r="R192" s="286"/>
      <c r="S192" s="286"/>
      <c r="T192" s="286"/>
      <c r="U192" s="286"/>
      <c r="V192" s="347">
        <v>1.79</v>
      </c>
      <c r="W192" s="289" t="s">
        <v>115</v>
      </c>
      <c r="X192" s="5"/>
    </row>
    <row r="193" spans="1:24" ht="15.75" x14ac:dyDescent="0.25">
      <c r="A193" s="285"/>
      <c r="B193" s="286" t="s">
        <v>68</v>
      </c>
      <c r="C193" s="286"/>
      <c r="D193" s="286"/>
      <c r="E193" s="286"/>
      <c r="F193" s="286"/>
      <c r="G193" s="286"/>
      <c r="H193" s="286"/>
      <c r="I193" s="286"/>
      <c r="J193" s="286"/>
      <c r="K193" s="286"/>
      <c r="L193" s="286"/>
      <c r="M193" s="286"/>
      <c r="N193" s="286"/>
      <c r="O193" s="286"/>
      <c r="P193" s="286"/>
      <c r="Q193" s="286"/>
      <c r="R193" s="286"/>
      <c r="S193" s="286"/>
      <c r="T193" s="286"/>
      <c r="U193" s="286"/>
      <c r="V193" s="343">
        <f>(V101+V103+V104+V105+V106+V107+V108)/-(V109+V110)</f>
        <v>15.508547008547009</v>
      </c>
      <c r="W193" s="289" t="s">
        <v>115</v>
      </c>
      <c r="X193" s="5"/>
    </row>
    <row r="194" spans="1:24" ht="15.75" x14ac:dyDescent="0.25">
      <c r="A194" s="285"/>
      <c r="B194" s="286" t="s">
        <v>69</v>
      </c>
      <c r="C194" s="286"/>
      <c r="D194" s="286"/>
      <c r="E194" s="286"/>
      <c r="F194" s="286"/>
      <c r="G194" s="286"/>
      <c r="H194" s="286"/>
      <c r="I194" s="286"/>
      <c r="J194" s="286"/>
      <c r="K194" s="286"/>
      <c r="L194" s="286"/>
      <c r="M194" s="286"/>
      <c r="N194" s="286"/>
      <c r="O194" s="286"/>
      <c r="P194" s="286"/>
      <c r="Q194" s="286"/>
      <c r="R194" s="286"/>
      <c r="S194" s="286"/>
      <c r="T194" s="286"/>
      <c r="U194" s="286"/>
      <c r="V194" s="347">
        <v>7.65</v>
      </c>
      <c r="W194" s="289" t="s">
        <v>115</v>
      </c>
      <c r="X194" s="5"/>
    </row>
    <row r="195" spans="1:24" ht="15.75" x14ac:dyDescent="0.25">
      <c r="A195" s="285"/>
      <c r="B195" s="286" t="s">
        <v>198</v>
      </c>
      <c r="C195" s="286"/>
      <c r="D195" s="286"/>
      <c r="E195" s="286"/>
      <c r="F195" s="286"/>
      <c r="G195" s="286"/>
      <c r="H195" s="286"/>
      <c r="I195" s="286"/>
      <c r="J195" s="286"/>
      <c r="K195" s="286"/>
      <c r="L195" s="286"/>
      <c r="M195" s="286"/>
      <c r="N195" s="286"/>
      <c r="O195" s="286"/>
      <c r="P195" s="286"/>
      <c r="Q195" s="286"/>
      <c r="R195" s="286"/>
      <c r="S195" s="286"/>
      <c r="T195" s="286"/>
      <c r="U195" s="286"/>
      <c r="V195" s="343">
        <f>(V101+V103+V104+V105+V106+V107+V108+V109+V110)/-(V111)</f>
        <v>9.6448863636363633</v>
      </c>
      <c r="W195" s="289" t="s">
        <v>115</v>
      </c>
      <c r="X195" s="5"/>
    </row>
    <row r="196" spans="1:24" ht="15.75" x14ac:dyDescent="0.25">
      <c r="A196" s="285"/>
      <c r="B196" s="286" t="s">
        <v>199</v>
      </c>
      <c r="C196" s="286"/>
      <c r="D196" s="286"/>
      <c r="E196" s="286"/>
      <c r="F196" s="286"/>
      <c r="G196" s="286"/>
      <c r="H196" s="286"/>
      <c r="I196" s="286"/>
      <c r="J196" s="286"/>
      <c r="K196" s="286"/>
      <c r="L196" s="286"/>
      <c r="M196" s="286"/>
      <c r="N196" s="286"/>
      <c r="O196" s="286"/>
      <c r="P196" s="286"/>
      <c r="Q196" s="286"/>
      <c r="R196" s="286"/>
      <c r="S196" s="286"/>
      <c r="T196" s="286"/>
      <c r="U196" s="286"/>
      <c r="V196" s="347">
        <v>5.89</v>
      </c>
      <c r="W196" s="289" t="s">
        <v>115</v>
      </c>
      <c r="X196" s="5"/>
    </row>
    <row r="197" spans="1:24" ht="15.75" x14ac:dyDescent="0.25">
      <c r="A197" s="285"/>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9"/>
      <c r="X197" s="5"/>
    </row>
    <row r="198" spans="1:24" ht="15.75" x14ac:dyDescent="0.25">
      <c r="A198" s="181"/>
      <c r="B198" s="346"/>
      <c r="C198" s="346"/>
      <c r="D198" s="346"/>
      <c r="E198" s="346"/>
      <c r="F198" s="346"/>
      <c r="G198" s="346"/>
      <c r="H198" s="346"/>
      <c r="I198" s="346"/>
      <c r="J198" s="346"/>
      <c r="K198" s="346"/>
      <c r="L198" s="346"/>
      <c r="M198" s="346"/>
      <c r="N198" s="346"/>
      <c r="O198" s="346"/>
      <c r="P198" s="346"/>
      <c r="Q198" s="346"/>
      <c r="R198" s="346"/>
      <c r="S198" s="346"/>
      <c r="T198" s="346"/>
      <c r="U198" s="346"/>
      <c r="V198" s="346"/>
      <c r="W198" s="346"/>
      <c r="X198" s="5"/>
    </row>
    <row r="199" spans="1:24" ht="15.75" x14ac:dyDescent="0.25">
      <c r="A199" s="181"/>
      <c r="B199" s="255"/>
      <c r="C199" s="255"/>
      <c r="D199" s="255"/>
      <c r="E199" s="255"/>
      <c r="F199" s="255"/>
      <c r="G199" s="255"/>
      <c r="H199" s="255"/>
      <c r="I199" s="255"/>
      <c r="J199" s="255"/>
      <c r="K199" s="255"/>
      <c r="L199" s="255"/>
      <c r="M199" s="255"/>
      <c r="N199" s="255"/>
      <c r="O199" s="255"/>
      <c r="P199" s="255"/>
      <c r="Q199" s="255"/>
      <c r="R199" s="255"/>
      <c r="S199" s="255"/>
      <c r="T199" s="255"/>
      <c r="U199" s="255"/>
      <c r="V199" s="255"/>
      <c r="W199" s="255"/>
      <c r="X199" s="5"/>
    </row>
    <row r="200" spans="1:24" ht="19.5" thickBot="1" x14ac:dyDescent="0.35">
      <c r="A200" s="197"/>
      <c r="B200" s="270" t="str">
        <f>B134</f>
        <v>PM15 INVESTOR REPORT QUARTER ENDING NOVEMBER 2012</v>
      </c>
      <c r="C200" s="271"/>
      <c r="D200" s="271"/>
      <c r="E200" s="271"/>
      <c r="F200" s="271"/>
      <c r="G200" s="271"/>
      <c r="H200" s="271"/>
      <c r="I200" s="271"/>
      <c r="J200" s="271"/>
      <c r="K200" s="271"/>
      <c r="L200" s="271"/>
      <c r="M200" s="271"/>
      <c r="N200" s="271"/>
      <c r="O200" s="271"/>
      <c r="P200" s="271"/>
      <c r="Q200" s="271"/>
      <c r="R200" s="271"/>
      <c r="S200" s="271"/>
      <c r="T200" s="271"/>
      <c r="U200" s="271"/>
      <c r="V200" s="271"/>
      <c r="W200" s="272"/>
      <c r="X200" s="5"/>
    </row>
    <row r="201" spans="1:24" ht="15.75" x14ac:dyDescent="0.25">
      <c r="A201" s="236"/>
      <c r="B201" s="403" t="s">
        <v>70</v>
      </c>
      <c r="C201" s="404"/>
      <c r="D201" s="404"/>
      <c r="E201" s="404"/>
      <c r="F201" s="404"/>
      <c r="G201" s="405"/>
      <c r="H201" s="405"/>
      <c r="I201" s="405"/>
      <c r="J201" s="405"/>
      <c r="K201" s="405"/>
      <c r="L201" s="405"/>
      <c r="M201" s="405"/>
      <c r="N201" s="405"/>
      <c r="O201" s="405"/>
      <c r="P201" s="405"/>
      <c r="Q201" s="405"/>
      <c r="R201" s="405"/>
      <c r="S201" s="405"/>
      <c r="T201" s="405">
        <v>41243</v>
      </c>
      <c r="U201" s="238"/>
      <c r="V201" s="238"/>
      <c r="W201" s="238"/>
      <c r="X201" s="5"/>
    </row>
    <row r="202" spans="1:24" ht="15.75" x14ac:dyDescent="0.25">
      <c r="A202" s="218"/>
      <c r="B202" s="219"/>
      <c r="C202" s="220"/>
      <c r="D202" s="220"/>
      <c r="E202" s="220"/>
      <c r="F202" s="220"/>
      <c r="G202" s="221"/>
      <c r="H202" s="221"/>
      <c r="I202" s="221"/>
      <c r="J202" s="221"/>
      <c r="K202" s="221"/>
      <c r="L202" s="221"/>
      <c r="M202" s="221"/>
      <c r="N202" s="221"/>
      <c r="O202" s="221"/>
      <c r="P202" s="221"/>
      <c r="Q202" s="221"/>
      <c r="R202" s="221"/>
      <c r="S202" s="221"/>
      <c r="T202" s="221"/>
      <c r="U202" s="183"/>
      <c r="V202" s="183"/>
      <c r="W202" s="183"/>
      <c r="X202" s="5"/>
    </row>
    <row r="203" spans="1:24" ht="15.75" x14ac:dyDescent="0.25">
      <c r="A203" s="350"/>
      <c r="B203" s="286" t="s">
        <v>71</v>
      </c>
      <c r="C203" s="406"/>
      <c r="D203" s="406"/>
      <c r="E203" s="406"/>
      <c r="F203" s="406"/>
      <c r="G203" s="397"/>
      <c r="H203" s="397"/>
      <c r="I203" s="397"/>
      <c r="J203" s="397"/>
      <c r="K203" s="397"/>
      <c r="L203" s="397"/>
      <c r="M203" s="397"/>
      <c r="N203" s="397"/>
      <c r="O203" s="397"/>
      <c r="P203" s="397"/>
      <c r="Q203" s="397"/>
      <c r="R203" s="397"/>
      <c r="S203" s="397"/>
      <c r="T203" s="321">
        <v>5.3830000000000003E-2</v>
      </c>
      <c r="U203" s="286"/>
      <c r="V203" s="286"/>
      <c r="W203" s="289"/>
      <c r="X203" s="5"/>
    </row>
    <row r="204" spans="1:24" ht="15.75" x14ac:dyDescent="0.25">
      <c r="A204" s="350"/>
      <c r="B204" s="286" t="s">
        <v>151</v>
      </c>
      <c r="C204" s="406"/>
      <c r="D204" s="406"/>
      <c r="E204" s="406"/>
      <c r="F204" s="406"/>
      <c r="G204" s="397"/>
      <c r="H204" s="397"/>
      <c r="I204" s="397"/>
      <c r="J204" s="397"/>
      <c r="K204" s="397"/>
      <c r="L204" s="397"/>
      <c r="M204" s="397"/>
      <c r="N204" s="397"/>
      <c r="O204" s="397"/>
      <c r="P204" s="397"/>
      <c r="Q204" s="397"/>
      <c r="R204" s="397"/>
      <c r="S204" s="397"/>
      <c r="T204" s="321">
        <v>6.25E-2</v>
      </c>
      <c r="U204" s="286"/>
      <c r="V204" s="286"/>
      <c r="W204" s="289"/>
      <c r="X204" s="5"/>
    </row>
    <row r="205" spans="1:24" ht="15.75" x14ac:dyDescent="0.25">
      <c r="A205" s="350"/>
      <c r="B205" s="286" t="s">
        <v>72</v>
      </c>
      <c r="C205" s="406"/>
      <c r="D205" s="406"/>
      <c r="E205" s="406"/>
      <c r="F205" s="406"/>
      <c r="G205" s="397"/>
      <c r="H205" s="397"/>
      <c r="I205" s="397"/>
      <c r="J205" s="397"/>
      <c r="K205" s="397"/>
      <c r="L205" s="397"/>
      <c r="M205" s="397"/>
      <c r="N205" s="397"/>
      <c r="O205" s="397"/>
      <c r="P205" s="397"/>
      <c r="Q205" s="397"/>
      <c r="R205" s="397"/>
      <c r="S205" s="397"/>
      <c r="T205" s="321">
        <f>T203-T204</f>
        <v>-8.6699999999999972E-3</v>
      </c>
      <c r="U205" s="286"/>
      <c r="V205" s="286"/>
      <c r="W205" s="289"/>
      <c r="X205" s="5"/>
    </row>
    <row r="206" spans="1:24" ht="15.75" x14ac:dyDescent="0.25">
      <c r="A206" s="350"/>
      <c r="B206" s="286" t="s">
        <v>73</v>
      </c>
      <c r="C206" s="406"/>
      <c r="D206" s="406"/>
      <c r="E206" s="406"/>
      <c r="F206" s="406"/>
      <c r="G206" s="397"/>
      <c r="H206" s="397"/>
      <c r="I206" s="397"/>
      <c r="J206" s="397"/>
      <c r="K206" s="397"/>
      <c r="L206" s="397"/>
      <c r="M206" s="397"/>
      <c r="N206" s="397"/>
      <c r="O206" s="397"/>
      <c r="P206" s="397"/>
      <c r="Q206" s="397"/>
      <c r="R206" s="397"/>
      <c r="S206" s="397"/>
      <c r="T206" s="321">
        <v>2.5530000000000001E-2</v>
      </c>
      <c r="U206" s="286"/>
      <c r="V206" s="286"/>
      <c r="W206" s="289"/>
      <c r="X206" s="5"/>
    </row>
    <row r="207" spans="1:24" ht="15.75" x14ac:dyDescent="0.25">
      <c r="A207" s="350"/>
      <c r="B207" s="286" t="s">
        <v>218</v>
      </c>
      <c r="C207" s="406"/>
      <c r="D207" s="406"/>
      <c r="E207" s="406"/>
      <c r="F207" s="406"/>
      <c r="G207" s="397"/>
      <c r="H207" s="397"/>
      <c r="I207" s="397"/>
      <c r="J207" s="397"/>
      <c r="K207" s="397"/>
      <c r="L207" s="397"/>
      <c r="M207" s="397"/>
      <c r="N207" s="397"/>
      <c r="O207" s="397"/>
      <c r="P207" s="397"/>
      <c r="Q207" s="397"/>
      <c r="R207" s="397"/>
      <c r="S207" s="397"/>
      <c r="T207" s="321">
        <f>V43</f>
        <v>1.0066687237154624E-2</v>
      </c>
      <c r="U207" s="286"/>
      <c r="V207" s="286"/>
      <c r="W207" s="289"/>
      <c r="X207" s="5"/>
    </row>
    <row r="208" spans="1:24" ht="15.75" x14ac:dyDescent="0.25">
      <c r="A208" s="350"/>
      <c r="B208" s="286" t="s">
        <v>74</v>
      </c>
      <c r="C208" s="406"/>
      <c r="D208" s="406"/>
      <c r="E208" s="406"/>
      <c r="F208" s="406"/>
      <c r="G208" s="397"/>
      <c r="H208" s="397"/>
      <c r="I208" s="397"/>
      <c r="J208" s="397"/>
      <c r="K208" s="397"/>
      <c r="L208" s="397"/>
      <c r="M208" s="397"/>
      <c r="N208" s="397"/>
      <c r="O208" s="397"/>
      <c r="P208" s="397"/>
      <c r="Q208" s="397"/>
      <c r="R208" s="397"/>
      <c r="S208" s="397"/>
      <c r="T208" s="321">
        <f>T206-T207</f>
        <v>1.5463312762845377E-2</v>
      </c>
      <c r="U208" s="286"/>
      <c r="V208" s="286"/>
      <c r="W208" s="289"/>
      <c r="X208" s="5"/>
    </row>
    <row r="209" spans="1:24" ht="15.75" x14ac:dyDescent="0.25">
      <c r="A209" s="350"/>
      <c r="B209" s="286" t="s">
        <v>227</v>
      </c>
      <c r="C209" s="406"/>
      <c r="D209" s="406"/>
      <c r="E209" s="406"/>
      <c r="F209" s="406"/>
      <c r="G209" s="397"/>
      <c r="H209" s="397"/>
      <c r="I209" s="397"/>
      <c r="J209" s="397"/>
      <c r="K209" s="397"/>
      <c r="L209" s="397"/>
      <c r="M209" s="397"/>
      <c r="N209" s="397"/>
      <c r="O209" s="397"/>
      <c r="P209" s="397"/>
      <c r="Q209" s="397"/>
      <c r="R209" s="397"/>
      <c r="S209" s="397"/>
      <c r="T209" s="321">
        <f>V101/N71</f>
        <v>6.8204724120870062E-3</v>
      </c>
      <c r="U209" s="286"/>
      <c r="V209" s="286"/>
      <c r="W209" s="289"/>
      <c r="X209" s="5"/>
    </row>
    <row r="210" spans="1:24" ht="15.75" x14ac:dyDescent="0.25">
      <c r="A210" s="350"/>
      <c r="B210" s="286" t="s">
        <v>207</v>
      </c>
      <c r="C210" s="406"/>
      <c r="D210" s="406"/>
      <c r="E210" s="406"/>
      <c r="F210" s="406"/>
      <c r="G210" s="397"/>
      <c r="H210" s="397"/>
      <c r="I210" s="397"/>
      <c r="J210" s="397"/>
      <c r="K210" s="397"/>
      <c r="L210" s="397"/>
      <c r="M210" s="397"/>
      <c r="N210" s="397"/>
      <c r="O210" s="397"/>
      <c r="P210" s="397"/>
      <c r="Q210" s="397"/>
      <c r="R210" s="397"/>
      <c r="S210" s="397"/>
      <c r="T210" s="352">
        <v>51105</v>
      </c>
      <c r="U210" s="286"/>
      <c r="V210" s="286"/>
      <c r="W210" s="289"/>
      <c r="X210" s="5"/>
    </row>
    <row r="211" spans="1:24" ht="15.75" x14ac:dyDescent="0.25">
      <c r="A211" s="350"/>
      <c r="B211" s="286" t="s">
        <v>208</v>
      </c>
      <c r="C211" s="406"/>
      <c r="D211" s="406"/>
      <c r="E211" s="406"/>
      <c r="F211" s="406"/>
      <c r="G211" s="397"/>
      <c r="H211" s="397"/>
      <c r="I211" s="397"/>
      <c r="J211" s="397"/>
      <c r="K211" s="397"/>
      <c r="L211" s="397"/>
      <c r="M211" s="397"/>
      <c r="N211" s="397"/>
      <c r="O211" s="397"/>
      <c r="P211" s="397"/>
      <c r="Q211" s="397"/>
      <c r="R211" s="397"/>
      <c r="S211" s="397"/>
      <c r="T211" s="352">
        <v>51105</v>
      </c>
      <c r="U211" s="286"/>
      <c r="V211" s="286"/>
      <c r="W211" s="289"/>
      <c r="X211" s="5"/>
    </row>
    <row r="212" spans="1:24" ht="15.75" x14ac:dyDescent="0.25">
      <c r="A212" s="350"/>
      <c r="B212" s="286" t="s">
        <v>209</v>
      </c>
      <c r="C212" s="406"/>
      <c r="D212" s="406"/>
      <c r="E212" s="406"/>
      <c r="F212" s="406"/>
      <c r="G212" s="397"/>
      <c r="H212" s="397"/>
      <c r="I212" s="397"/>
      <c r="J212" s="397"/>
      <c r="K212" s="397"/>
      <c r="L212" s="397"/>
      <c r="M212" s="397"/>
      <c r="N212" s="397"/>
      <c r="O212" s="397"/>
      <c r="P212" s="397"/>
      <c r="Q212" s="397"/>
      <c r="R212" s="397"/>
      <c r="S212" s="397"/>
      <c r="T212" s="352">
        <v>51105</v>
      </c>
      <c r="U212" s="286"/>
      <c r="V212" s="286"/>
      <c r="W212" s="289"/>
      <c r="X212" s="5"/>
    </row>
    <row r="213" spans="1:24" ht="15.75" x14ac:dyDescent="0.25">
      <c r="A213" s="350"/>
      <c r="B213" s="286" t="s">
        <v>75</v>
      </c>
      <c r="C213" s="406"/>
      <c r="D213" s="406"/>
      <c r="E213" s="406"/>
      <c r="F213" s="406"/>
      <c r="G213" s="397"/>
      <c r="H213" s="397"/>
      <c r="I213" s="397"/>
      <c r="J213" s="397"/>
      <c r="K213" s="397"/>
      <c r="L213" s="397"/>
      <c r="M213" s="397"/>
      <c r="N213" s="397"/>
      <c r="O213" s="397"/>
      <c r="P213" s="397"/>
      <c r="Q213" s="397"/>
      <c r="R213" s="397"/>
      <c r="S213" s="397"/>
      <c r="T213" s="327">
        <v>21.06</v>
      </c>
      <c r="U213" s="286" t="s">
        <v>110</v>
      </c>
      <c r="V213" s="286"/>
      <c r="W213" s="289"/>
      <c r="X213" s="5"/>
    </row>
    <row r="214" spans="1:24" ht="15.75" x14ac:dyDescent="0.25">
      <c r="A214" s="350"/>
      <c r="B214" s="286" t="s">
        <v>76</v>
      </c>
      <c r="C214" s="406"/>
      <c r="D214" s="406"/>
      <c r="E214" s="406"/>
      <c r="F214" s="406"/>
      <c r="G214" s="397"/>
      <c r="H214" s="397"/>
      <c r="I214" s="397"/>
      <c r="J214" s="397"/>
      <c r="K214" s="397"/>
      <c r="L214" s="397"/>
      <c r="M214" s="397"/>
      <c r="N214" s="397"/>
      <c r="O214" s="397"/>
      <c r="P214" s="397"/>
      <c r="Q214" s="397"/>
      <c r="R214" s="397"/>
      <c r="S214" s="397"/>
      <c r="T214" s="327">
        <v>15.88</v>
      </c>
      <c r="U214" s="286" t="s">
        <v>110</v>
      </c>
      <c r="V214" s="286"/>
      <c r="W214" s="289"/>
      <c r="X214" s="5"/>
    </row>
    <row r="215" spans="1:24" ht="15.75" x14ac:dyDescent="0.25">
      <c r="A215" s="350"/>
      <c r="B215" s="286" t="s">
        <v>77</v>
      </c>
      <c r="C215" s="406"/>
      <c r="D215" s="406"/>
      <c r="E215" s="406"/>
      <c r="F215" s="406"/>
      <c r="G215" s="397"/>
      <c r="H215" s="397"/>
      <c r="I215" s="397"/>
      <c r="J215" s="397"/>
      <c r="K215" s="397"/>
      <c r="L215" s="397"/>
      <c r="M215" s="397"/>
      <c r="N215" s="397"/>
      <c r="O215" s="397"/>
      <c r="P215" s="397"/>
      <c r="Q215" s="397"/>
      <c r="R215" s="397"/>
      <c r="S215" s="397"/>
      <c r="T215" s="321">
        <f>+P68/N68</f>
        <v>6.5908021965268484E-3</v>
      </c>
      <c r="U215" s="286"/>
      <c r="V215" s="286"/>
      <c r="W215" s="289"/>
      <c r="X215" s="5"/>
    </row>
    <row r="216" spans="1:24" ht="15.75" x14ac:dyDescent="0.25">
      <c r="A216" s="350"/>
      <c r="B216" s="286" t="s">
        <v>78</v>
      </c>
      <c r="C216" s="406"/>
      <c r="D216" s="406"/>
      <c r="E216" s="406"/>
      <c r="F216" s="406"/>
      <c r="G216" s="397"/>
      <c r="H216" s="397"/>
      <c r="I216" s="397"/>
      <c r="J216" s="397"/>
      <c r="K216" s="397"/>
      <c r="L216" s="397"/>
      <c r="M216" s="397"/>
      <c r="N216" s="397"/>
      <c r="O216" s="397"/>
      <c r="P216" s="397"/>
      <c r="Q216" s="397"/>
      <c r="R216" s="397"/>
      <c r="S216" s="397"/>
      <c r="T216" s="321">
        <v>4.0300000000000002E-2</v>
      </c>
      <c r="U216" s="286"/>
      <c r="V216" s="286"/>
      <c r="W216" s="289"/>
      <c r="X216" s="5"/>
    </row>
    <row r="217" spans="1:24" ht="15.75" x14ac:dyDescent="0.25">
      <c r="A217" s="218"/>
      <c r="B217" s="348"/>
      <c r="C217" s="348"/>
      <c r="D217" s="348"/>
      <c r="E217" s="348"/>
      <c r="F217" s="348"/>
      <c r="G217" s="212"/>
      <c r="H217" s="212"/>
      <c r="I217" s="212"/>
      <c r="J217" s="212"/>
      <c r="K217" s="212"/>
      <c r="L217" s="212"/>
      <c r="M217" s="212"/>
      <c r="N217" s="212"/>
      <c r="O217" s="212"/>
      <c r="P217" s="212"/>
      <c r="Q217" s="212"/>
      <c r="R217" s="212"/>
      <c r="S217" s="212"/>
      <c r="T217" s="344"/>
      <c r="U217" s="212"/>
      <c r="V217" s="349"/>
      <c r="W217" s="212"/>
      <c r="X217" s="5"/>
    </row>
    <row r="218" spans="1:24" ht="15.75" x14ac:dyDescent="0.25">
      <c r="A218" s="242"/>
      <c r="B218" s="399" t="s">
        <v>79</v>
      </c>
      <c r="C218" s="400"/>
      <c r="D218" s="400"/>
      <c r="E218" s="400"/>
      <c r="F218" s="407"/>
      <c r="G218" s="400"/>
      <c r="H218" s="400"/>
      <c r="I218" s="400"/>
      <c r="J218" s="400"/>
      <c r="K218" s="400"/>
      <c r="L218" s="400"/>
      <c r="M218" s="400"/>
      <c r="N218" s="400"/>
      <c r="O218" s="400"/>
      <c r="P218" s="400"/>
      <c r="Q218" s="400"/>
      <c r="R218" s="400"/>
      <c r="S218" s="400" t="s">
        <v>102</v>
      </c>
      <c r="T218" s="407" t="s">
        <v>108</v>
      </c>
      <c r="U218" s="225"/>
      <c r="V218" s="225"/>
      <c r="W218" s="225"/>
      <c r="X218" s="5"/>
    </row>
    <row r="219" spans="1:24" ht="15.75" x14ac:dyDescent="0.25">
      <c r="A219" s="222"/>
      <c r="B219" s="250" t="s">
        <v>80</v>
      </c>
      <c r="C219" s="249"/>
      <c r="D219" s="249"/>
      <c r="E219" s="249"/>
      <c r="F219" s="250"/>
      <c r="G219" s="250"/>
      <c r="H219" s="268"/>
      <c r="I219" s="268"/>
      <c r="J219" s="268"/>
      <c r="K219" s="268"/>
      <c r="L219" s="268"/>
      <c r="M219" s="268"/>
      <c r="N219" s="268"/>
      <c r="O219" s="268"/>
      <c r="P219" s="268"/>
      <c r="Q219" s="268"/>
      <c r="R219" s="268"/>
      <c r="S219" s="268">
        <v>1</v>
      </c>
      <c r="T219" s="269">
        <v>241</v>
      </c>
      <c r="U219" s="250"/>
      <c r="V219" s="266"/>
      <c r="W219" s="223"/>
      <c r="X219" s="5"/>
    </row>
    <row r="220" spans="1:24" ht="15.75" x14ac:dyDescent="0.25">
      <c r="A220" s="358"/>
      <c r="B220" s="286" t="s">
        <v>145</v>
      </c>
      <c r="C220" s="337"/>
      <c r="D220" s="337"/>
      <c r="E220" s="337"/>
      <c r="F220" s="286"/>
      <c r="G220" s="286"/>
      <c r="H220" s="296"/>
      <c r="I220" s="296"/>
      <c r="J220" s="296"/>
      <c r="K220" s="296"/>
      <c r="L220" s="296"/>
      <c r="M220" s="296"/>
      <c r="N220" s="296"/>
      <c r="O220" s="296"/>
      <c r="P220" s="296"/>
      <c r="Q220" s="296"/>
      <c r="R220" s="296"/>
      <c r="S220" s="359">
        <f>+R272</f>
        <v>128</v>
      </c>
      <c r="T220" s="360">
        <f>+T272</f>
        <v>19458</v>
      </c>
      <c r="U220" s="286"/>
      <c r="V220" s="361"/>
      <c r="W220" s="362"/>
      <c r="X220" s="5"/>
    </row>
    <row r="221" spans="1:24" ht="15.75" x14ac:dyDescent="0.25">
      <c r="A221" s="358"/>
      <c r="B221" s="286" t="s">
        <v>81</v>
      </c>
      <c r="C221" s="337"/>
      <c r="D221" s="337"/>
      <c r="E221" s="337"/>
      <c r="F221" s="286"/>
      <c r="G221" s="286"/>
      <c r="H221" s="296"/>
      <c r="I221" s="296"/>
      <c r="J221" s="296"/>
      <c r="K221" s="296"/>
      <c r="L221" s="296"/>
      <c r="M221" s="296"/>
      <c r="N221" s="296"/>
      <c r="O221" s="296"/>
      <c r="P221" s="296"/>
      <c r="Q221" s="296"/>
      <c r="R221" s="296"/>
      <c r="S221" s="359">
        <f>+R284</f>
        <v>1</v>
      </c>
      <c r="T221" s="360">
        <f>+T284</f>
        <v>57</v>
      </c>
      <c r="U221" s="286"/>
      <c r="V221" s="361"/>
      <c r="W221" s="362"/>
      <c r="X221" s="5"/>
    </row>
    <row r="222" spans="1:24" ht="15.75" x14ac:dyDescent="0.25">
      <c r="A222" s="358"/>
      <c r="B222" s="313" t="s">
        <v>82</v>
      </c>
      <c r="C222" s="363"/>
      <c r="D222" s="363"/>
      <c r="E222" s="363"/>
      <c r="F222" s="314"/>
      <c r="G222" s="314"/>
      <c r="H222" s="314"/>
      <c r="I222" s="314"/>
      <c r="J222" s="314"/>
      <c r="K222" s="314"/>
      <c r="L222" s="314"/>
      <c r="M222" s="314"/>
      <c r="N222" s="314"/>
      <c r="O222" s="314"/>
      <c r="P222" s="314"/>
      <c r="Q222" s="314"/>
      <c r="R222" s="314"/>
      <c r="S222" s="286"/>
      <c r="T222" s="360">
        <v>0</v>
      </c>
      <c r="U222" s="314"/>
      <c r="V222" s="364"/>
      <c r="W222" s="362"/>
      <c r="X222" s="5"/>
    </row>
    <row r="223" spans="1:24" ht="15.75" x14ac:dyDescent="0.25">
      <c r="A223" s="358"/>
      <c r="B223" s="313" t="s">
        <v>228</v>
      </c>
      <c r="C223" s="363"/>
      <c r="D223" s="363"/>
      <c r="E223" s="363"/>
      <c r="F223" s="314"/>
      <c r="G223" s="314"/>
      <c r="H223" s="314"/>
      <c r="I223" s="314"/>
      <c r="J223" s="314"/>
      <c r="K223" s="314"/>
      <c r="L223" s="314"/>
      <c r="M223" s="314"/>
      <c r="N223" s="314"/>
      <c r="O223" s="314"/>
      <c r="P223" s="314"/>
      <c r="Q223" s="314"/>
      <c r="R223" s="314"/>
      <c r="S223" s="286"/>
      <c r="T223" s="360">
        <f>+N81</f>
        <v>0</v>
      </c>
      <c r="U223" s="314"/>
      <c r="V223" s="364"/>
      <c r="W223" s="362"/>
      <c r="X223" s="5"/>
    </row>
    <row r="224" spans="1:24" ht="15.75" x14ac:dyDescent="0.25">
      <c r="A224" s="365"/>
      <c r="B224" s="313" t="s">
        <v>83</v>
      </c>
      <c r="C224" s="366"/>
      <c r="D224" s="366"/>
      <c r="E224" s="366"/>
      <c r="F224" s="366"/>
      <c r="G224" s="314"/>
      <c r="H224" s="314"/>
      <c r="I224" s="314"/>
      <c r="J224" s="314"/>
      <c r="K224" s="314"/>
      <c r="L224" s="314"/>
      <c r="M224" s="314"/>
      <c r="N224" s="314"/>
      <c r="O224" s="314"/>
      <c r="P224" s="314"/>
      <c r="Q224" s="314"/>
      <c r="R224" s="314"/>
      <c r="S224" s="286"/>
      <c r="T224" s="360"/>
      <c r="U224" s="314"/>
      <c r="V224" s="364"/>
      <c r="W224" s="367"/>
      <c r="X224" s="5"/>
    </row>
    <row r="225" spans="1:25" ht="15.75" x14ac:dyDescent="0.25">
      <c r="A225" s="365"/>
      <c r="B225" s="286" t="s">
        <v>84</v>
      </c>
      <c r="C225" s="366"/>
      <c r="D225" s="366"/>
      <c r="E225" s="366"/>
      <c r="F225" s="366"/>
      <c r="G225" s="314"/>
      <c r="H225" s="314"/>
      <c r="I225" s="314"/>
      <c r="J225" s="314"/>
      <c r="K225" s="314"/>
      <c r="L225" s="314"/>
      <c r="M225" s="314"/>
      <c r="N225" s="314"/>
      <c r="O225" s="314"/>
      <c r="P225" s="314"/>
      <c r="Q225" s="314"/>
      <c r="R225" s="314"/>
      <c r="S225" s="296"/>
      <c r="T225" s="360">
        <f>V163</f>
        <v>403</v>
      </c>
      <c r="U225" s="314"/>
      <c r="V225" s="364"/>
      <c r="W225" s="367"/>
      <c r="X225" s="5"/>
    </row>
    <row r="226" spans="1:25" ht="15.75" x14ac:dyDescent="0.25">
      <c r="A226" s="358"/>
      <c r="B226" s="286" t="s">
        <v>85</v>
      </c>
      <c r="C226" s="363"/>
      <c r="D226" s="363"/>
      <c r="E226" s="363"/>
      <c r="F226" s="363"/>
      <c r="G226" s="314"/>
      <c r="H226" s="314"/>
      <c r="I226" s="314"/>
      <c r="J226" s="314"/>
      <c r="K226" s="314"/>
      <c r="L226" s="314"/>
      <c r="M226" s="314"/>
      <c r="N226" s="314"/>
      <c r="O226" s="314"/>
      <c r="P226" s="314"/>
      <c r="Q226" s="314"/>
      <c r="R226" s="314"/>
      <c r="S226" s="296"/>
      <c r="T226" s="360">
        <f>'Aug 12'!T226+T225</f>
        <v>4824</v>
      </c>
      <c r="U226" s="314"/>
      <c r="V226" s="364"/>
      <c r="W226" s="367"/>
      <c r="X226" s="5"/>
    </row>
    <row r="227" spans="1:25" ht="15.75" x14ac:dyDescent="0.25">
      <c r="A227" s="365"/>
      <c r="B227" s="313" t="s">
        <v>285</v>
      </c>
      <c r="C227" s="366"/>
      <c r="D227" s="366"/>
      <c r="E227" s="366"/>
      <c r="F227" s="366"/>
      <c r="G227" s="314"/>
      <c r="H227" s="314"/>
      <c r="I227" s="314"/>
      <c r="J227" s="314"/>
      <c r="K227" s="314"/>
      <c r="L227" s="314"/>
      <c r="M227" s="314"/>
      <c r="N227" s="314"/>
      <c r="O227" s="314"/>
      <c r="P227" s="314"/>
      <c r="Q227" s="314"/>
      <c r="R227" s="314"/>
      <c r="S227" s="296"/>
      <c r="T227" s="360"/>
      <c r="U227" s="314"/>
      <c r="V227" s="364"/>
      <c r="W227" s="367"/>
      <c r="X227" s="5"/>
    </row>
    <row r="228" spans="1:25" ht="15.75" x14ac:dyDescent="0.25">
      <c r="A228" s="365"/>
      <c r="B228" s="286" t="s">
        <v>282</v>
      </c>
      <c r="C228" s="366"/>
      <c r="D228" s="366"/>
      <c r="E228" s="366"/>
      <c r="F228" s="366"/>
      <c r="G228" s="314"/>
      <c r="H228" s="314"/>
      <c r="I228" s="314"/>
      <c r="J228" s="314"/>
      <c r="K228" s="314"/>
      <c r="L228" s="314"/>
      <c r="M228" s="314"/>
      <c r="N228" s="314"/>
      <c r="O228" s="314"/>
      <c r="P228" s="314"/>
      <c r="Q228" s="314"/>
      <c r="R228" s="314"/>
      <c r="S228" s="296">
        <v>0</v>
      </c>
      <c r="T228" s="360">
        <v>0</v>
      </c>
      <c r="U228" s="314"/>
      <c r="V228" s="364"/>
      <c r="W228" s="367"/>
      <c r="X228" s="5"/>
    </row>
    <row r="229" spans="1:25" ht="15.75" x14ac:dyDescent="0.25">
      <c r="A229" s="358"/>
      <c r="B229" s="286" t="s">
        <v>86</v>
      </c>
      <c r="C229" s="368"/>
      <c r="D229" s="368"/>
      <c r="E229" s="368"/>
      <c r="F229" s="369"/>
      <c r="G229" s="314"/>
      <c r="H229" s="314"/>
      <c r="I229" s="314"/>
      <c r="J229" s="314"/>
      <c r="K229" s="314"/>
      <c r="L229" s="314"/>
      <c r="M229" s="314"/>
      <c r="N229" s="314"/>
      <c r="O229" s="314"/>
      <c r="P229" s="314"/>
      <c r="Q229" s="314"/>
      <c r="R229" s="314"/>
      <c r="S229" s="286"/>
      <c r="T229" s="370">
        <v>0</v>
      </c>
      <c r="U229" s="314"/>
      <c r="V229" s="364"/>
      <c r="W229" s="367"/>
      <c r="X229" s="5"/>
    </row>
    <row r="230" spans="1:25" ht="15.75" x14ac:dyDescent="0.25">
      <c r="A230" s="358"/>
      <c r="B230" s="286" t="s">
        <v>87</v>
      </c>
      <c r="C230" s="368"/>
      <c r="D230" s="368"/>
      <c r="E230" s="368"/>
      <c r="F230" s="369"/>
      <c r="G230" s="314"/>
      <c r="H230" s="314"/>
      <c r="I230" s="314"/>
      <c r="J230" s="314"/>
      <c r="K230" s="314"/>
      <c r="L230" s="314"/>
      <c r="M230" s="314"/>
      <c r="N230" s="314"/>
      <c r="O230" s="314"/>
      <c r="P230" s="314"/>
      <c r="Q230" s="314"/>
      <c r="R230" s="314"/>
      <c r="S230" s="286"/>
      <c r="T230" s="370">
        <v>0</v>
      </c>
      <c r="U230" s="314"/>
      <c r="V230" s="364"/>
      <c r="W230" s="367"/>
      <c r="X230" s="5"/>
    </row>
    <row r="231" spans="1:25" ht="15.75" x14ac:dyDescent="0.25">
      <c r="A231" s="358"/>
      <c r="B231" s="313" t="s">
        <v>216</v>
      </c>
      <c r="C231" s="368"/>
      <c r="D231" s="368"/>
      <c r="E231" s="368"/>
      <c r="F231" s="369"/>
      <c r="G231" s="314"/>
      <c r="H231" s="314"/>
      <c r="I231" s="314"/>
      <c r="J231" s="314"/>
      <c r="K231" s="314"/>
      <c r="L231" s="314"/>
      <c r="M231" s="314"/>
      <c r="N231" s="314"/>
      <c r="O231" s="314"/>
      <c r="P231" s="314"/>
      <c r="Q231" s="314"/>
      <c r="R231" s="314"/>
      <c r="S231" s="286"/>
      <c r="T231" s="371"/>
      <c r="U231" s="314"/>
      <c r="V231" s="364"/>
      <c r="W231" s="367"/>
      <c r="X231" s="5"/>
    </row>
    <row r="232" spans="1:25" ht="15.75" x14ac:dyDescent="0.25">
      <c r="A232" s="358"/>
      <c r="B232" s="286" t="s">
        <v>282</v>
      </c>
      <c r="C232" s="368"/>
      <c r="D232" s="368"/>
      <c r="E232" s="368"/>
      <c r="F232" s="369"/>
      <c r="G232" s="314"/>
      <c r="H232" s="314"/>
      <c r="I232" s="314"/>
      <c r="J232" s="314"/>
      <c r="K232" s="314"/>
      <c r="L232" s="314"/>
      <c r="M232" s="314"/>
      <c r="N232" s="314"/>
      <c r="O232" s="314"/>
      <c r="P232" s="314"/>
      <c r="Q232" s="314"/>
      <c r="R232" s="314"/>
      <c r="S232" s="296">
        <v>7</v>
      </c>
      <c r="T232" s="360">
        <v>1105</v>
      </c>
      <c r="U232" s="314"/>
      <c r="V232" s="364"/>
      <c r="W232" s="367"/>
      <c r="X232" s="5"/>
    </row>
    <row r="233" spans="1:25" ht="15.75" x14ac:dyDescent="0.25">
      <c r="A233" s="358"/>
      <c r="B233" s="286" t="s">
        <v>217</v>
      </c>
      <c r="C233" s="368"/>
      <c r="D233" s="368"/>
      <c r="E233" s="368"/>
      <c r="F233" s="369"/>
      <c r="G233" s="314"/>
      <c r="H233" s="314"/>
      <c r="I233" s="314"/>
      <c r="J233" s="314"/>
      <c r="K233" s="314"/>
      <c r="L233" s="314"/>
      <c r="M233" s="314"/>
      <c r="N233" s="314"/>
      <c r="O233" s="314"/>
      <c r="P233" s="314"/>
      <c r="Q233" s="314"/>
      <c r="R233" s="314"/>
      <c r="S233" s="286"/>
      <c r="T233" s="370">
        <v>1.65</v>
      </c>
      <c r="U233" s="314"/>
      <c r="V233" s="364"/>
      <c r="W233" s="367"/>
      <c r="X233" s="5"/>
    </row>
    <row r="234" spans="1:25" ht="15.75" x14ac:dyDescent="0.25">
      <c r="A234" s="358"/>
      <c r="B234" s="366"/>
      <c r="C234" s="368"/>
      <c r="D234" s="368"/>
      <c r="E234" s="368"/>
      <c r="F234" s="369"/>
      <c r="G234" s="314"/>
      <c r="H234" s="314"/>
      <c r="I234" s="314"/>
      <c r="J234" s="314"/>
      <c r="K234" s="314"/>
      <c r="L234" s="314"/>
      <c r="M234" s="314"/>
      <c r="N234" s="314"/>
      <c r="O234" s="314"/>
      <c r="P234" s="314"/>
      <c r="Q234" s="314"/>
      <c r="R234" s="314"/>
      <c r="S234" s="286"/>
      <c r="T234" s="371"/>
      <c r="U234" s="314"/>
      <c r="V234" s="364"/>
      <c r="W234" s="367"/>
      <c r="X234" s="5"/>
    </row>
    <row r="235" spans="1:25" ht="15.75" x14ac:dyDescent="0.25">
      <c r="A235" s="358"/>
      <c r="B235" s="366"/>
      <c r="C235" s="368"/>
      <c r="D235" s="368"/>
      <c r="E235" s="368"/>
      <c r="F235" s="369"/>
      <c r="G235" s="314"/>
      <c r="H235" s="314"/>
      <c r="I235" s="314"/>
      <c r="J235" s="314"/>
      <c r="K235" s="314"/>
      <c r="L235" s="314"/>
      <c r="M235" s="314"/>
      <c r="N235" s="314"/>
      <c r="O235" s="314"/>
      <c r="P235" s="314"/>
      <c r="Q235" s="314"/>
      <c r="R235" s="314"/>
      <c r="S235" s="314"/>
      <c r="T235" s="372"/>
      <c r="U235" s="314"/>
      <c r="V235" s="364"/>
      <c r="W235" s="367"/>
      <c r="X235" s="5"/>
    </row>
    <row r="236" spans="1:25" ht="18.75" x14ac:dyDescent="0.3">
      <c r="A236" s="358"/>
      <c r="B236" s="373" t="s">
        <v>168</v>
      </c>
      <c r="C236" s="368"/>
      <c r="D236" s="368"/>
      <c r="E236" s="368"/>
      <c r="F236" s="369"/>
      <c r="G236" s="314"/>
      <c r="H236" s="314"/>
      <c r="I236" s="314"/>
      <c r="J236" s="314"/>
      <c r="K236" s="314"/>
      <c r="L236" s="314"/>
      <c r="M236" s="314"/>
      <c r="N236" s="314"/>
      <c r="O236" s="314"/>
      <c r="P236" s="374" t="s">
        <v>167</v>
      </c>
      <c r="Q236" s="314"/>
      <c r="R236" s="314"/>
      <c r="S236" s="314"/>
      <c r="T236" s="372"/>
      <c r="U236" s="314"/>
      <c r="V236" s="364"/>
      <c r="W236" s="367"/>
      <c r="X236" s="5"/>
    </row>
    <row r="237" spans="1:25" ht="15.75" x14ac:dyDescent="0.25">
      <c r="A237" s="353"/>
      <c r="B237" s="348"/>
      <c r="C237" s="354"/>
      <c r="D237" s="354"/>
      <c r="E237" s="354"/>
      <c r="F237" s="355"/>
      <c r="G237" s="212"/>
      <c r="H237" s="212"/>
      <c r="I237" s="212"/>
      <c r="J237" s="212"/>
      <c r="K237" s="212"/>
      <c r="L237" s="212"/>
      <c r="M237" s="212"/>
      <c r="N237" s="212"/>
      <c r="O237" s="212"/>
      <c r="P237" s="212"/>
      <c r="Q237" s="212"/>
      <c r="R237" s="212"/>
      <c r="S237" s="212"/>
      <c r="T237" s="356"/>
      <c r="U237" s="212"/>
      <c r="V237" s="349"/>
      <c r="W237" s="357"/>
      <c r="X237" s="5"/>
    </row>
    <row r="238" spans="1:25" ht="15.75" x14ac:dyDescent="0.25">
      <c r="A238" s="224"/>
      <c r="B238" s="399" t="s">
        <v>297</v>
      </c>
      <c r="C238" s="400"/>
      <c r="D238" s="400"/>
      <c r="E238" s="400"/>
      <c r="F238" s="407"/>
      <c r="G238" s="400"/>
      <c r="H238" s="400"/>
      <c r="I238" s="400"/>
      <c r="J238" s="400"/>
      <c r="K238" s="400"/>
      <c r="L238" s="400"/>
      <c r="M238" s="400"/>
      <c r="N238" s="400"/>
      <c r="O238" s="400"/>
      <c r="P238" s="400"/>
      <c r="Q238" s="400"/>
      <c r="R238" s="407" t="s">
        <v>102</v>
      </c>
      <c r="S238" s="400" t="s">
        <v>103</v>
      </c>
      <c r="T238" s="407" t="s">
        <v>109</v>
      </c>
      <c r="U238" s="400" t="s">
        <v>103</v>
      </c>
      <c r="V238" s="225"/>
      <c r="W238" s="399"/>
      <c r="X238" s="5"/>
    </row>
    <row r="239" spans="1:25" ht="15.75" x14ac:dyDescent="0.25">
      <c r="A239" s="193"/>
      <c r="B239" s="249" t="s">
        <v>88</v>
      </c>
      <c r="C239" s="265"/>
      <c r="D239" s="265"/>
      <c r="E239" s="265"/>
      <c r="F239" s="250"/>
      <c r="G239" s="265"/>
      <c r="H239" s="265"/>
      <c r="I239" s="265"/>
      <c r="J239" s="265"/>
      <c r="K239" s="265"/>
      <c r="L239" s="265"/>
      <c r="M239" s="265"/>
      <c r="N239" s="265"/>
      <c r="O239" s="265"/>
      <c r="P239" s="265"/>
      <c r="Q239" s="265"/>
      <c r="R239" s="249">
        <f t="shared" ref="R239:R246" si="1">+R251+R263+R275</f>
        <v>5644</v>
      </c>
      <c r="S239" s="252">
        <f t="shared" ref="S239:S246" si="2">R239/$R$248</f>
        <v>0.98792228251356551</v>
      </c>
      <c r="T239" s="253">
        <f t="shared" ref="T239:T246" si="3">+T251+T263+T275</f>
        <v>801079</v>
      </c>
      <c r="U239" s="252">
        <f t="shared" ref="U239:U246" si="4">T239/$T$248</f>
        <v>0.98512012730284471</v>
      </c>
      <c r="V239" s="266"/>
      <c r="W239" s="408"/>
      <c r="X239" s="5"/>
    </row>
    <row r="240" spans="1:25" ht="15.75" x14ac:dyDescent="0.25">
      <c r="A240" s="285"/>
      <c r="B240" s="337" t="s">
        <v>89</v>
      </c>
      <c r="C240" s="378"/>
      <c r="D240" s="378"/>
      <c r="E240" s="378"/>
      <c r="F240" s="286"/>
      <c r="G240" s="379"/>
      <c r="H240" s="378"/>
      <c r="I240" s="378"/>
      <c r="J240" s="378"/>
      <c r="K240" s="378"/>
      <c r="L240" s="378"/>
      <c r="M240" s="378"/>
      <c r="N240" s="378"/>
      <c r="O240" s="378"/>
      <c r="P240" s="378"/>
      <c r="Q240" s="378"/>
      <c r="R240" s="337">
        <f t="shared" si="1"/>
        <v>30</v>
      </c>
      <c r="S240" s="379">
        <f t="shared" si="2"/>
        <v>5.251181515841064E-3</v>
      </c>
      <c r="T240" s="338">
        <f t="shared" si="3"/>
        <v>6026</v>
      </c>
      <c r="U240" s="379">
        <f t="shared" si="4"/>
        <v>7.4104225514923525E-3</v>
      </c>
      <c r="V240" s="361"/>
      <c r="W240" s="409"/>
      <c r="X240" s="5"/>
      <c r="Y240" s="109"/>
    </row>
    <row r="241" spans="1:25" ht="15.75" x14ac:dyDescent="0.25">
      <c r="A241" s="285"/>
      <c r="B241" s="337" t="s">
        <v>90</v>
      </c>
      <c r="C241" s="378"/>
      <c r="D241" s="378"/>
      <c r="E241" s="378"/>
      <c r="F241" s="286"/>
      <c r="G241" s="379"/>
      <c r="H241" s="378"/>
      <c r="I241" s="378"/>
      <c r="J241" s="378"/>
      <c r="K241" s="378"/>
      <c r="L241" s="378"/>
      <c r="M241" s="378"/>
      <c r="N241" s="378"/>
      <c r="O241" s="378"/>
      <c r="P241" s="378"/>
      <c r="Q241" s="378"/>
      <c r="R241" s="337">
        <f t="shared" si="1"/>
        <v>6</v>
      </c>
      <c r="S241" s="379">
        <f t="shared" si="2"/>
        <v>1.0502363031682129E-3</v>
      </c>
      <c r="T241" s="338">
        <f t="shared" si="3"/>
        <v>1055</v>
      </c>
      <c r="U241" s="379">
        <f t="shared" si="4"/>
        <v>1.2973773302065105E-3</v>
      </c>
      <c r="V241" s="361"/>
      <c r="W241" s="409"/>
      <c r="X241" s="5"/>
    </row>
    <row r="242" spans="1:25" ht="15.75" x14ac:dyDescent="0.25">
      <c r="A242" s="285"/>
      <c r="B242" s="337" t="s">
        <v>156</v>
      </c>
      <c r="C242" s="378"/>
      <c r="D242" s="378"/>
      <c r="E242" s="378"/>
      <c r="F242" s="286"/>
      <c r="G242" s="379"/>
      <c r="H242" s="378"/>
      <c r="I242" s="378"/>
      <c r="J242" s="378"/>
      <c r="K242" s="378"/>
      <c r="L242" s="378"/>
      <c r="M242" s="378"/>
      <c r="N242" s="378"/>
      <c r="O242" s="378"/>
      <c r="P242" s="378"/>
      <c r="Q242" s="378"/>
      <c r="R242" s="337">
        <f t="shared" si="1"/>
        <v>4</v>
      </c>
      <c r="S242" s="379">
        <f t="shared" si="2"/>
        <v>7.0015753544547526E-4</v>
      </c>
      <c r="T242" s="338">
        <f t="shared" si="3"/>
        <v>768</v>
      </c>
      <c r="U242" s="379">
        <f t="shared" si="4"/>
        <v>9.4444150672853085E-4</v>
      </c>
      <c r="V242" s="361"/>
      <c r="W242" s="409"/>
      <c r="X242" s="5"/>
      <c r="Y242" s="109"/>
    </row>
    <row r="243" spans="1:25" ht="15.75" x14ac:dyDescent="0.25">
      <c r="A243" s="285"/>
      <c r="B243" s="337" t="s">
        <v>157</v>
      </c>
      <c r="C243" s="378"/>
      <c r="D243" s="378"/>
      <c r="E243" s="378"/>
      <c r="F243" s="286"/>
      <c r="G243" s="379"/>
      <c r="H243" s="378"/>
      <c r="I243" s="378"/>
      <c r="J243" s="378"/>
      <c r="K243" s="378"/>
      <c r="L243" s="378"/>
      <c r="M243" s="378"/>
      <c r="N243" s="378"/>
      <c r="O243" s="378"/>
      <c r="P243" s="378"/>
      <c r="Q243" s="378"/>
      <c r="R243" s="337">
        <f t="shared" si="1"/>
        <v>1</v>
      </c>
      <c r="S243" s="379">
        <f t="shared" si="2"/>
        <v>1.7503938386136881E-4</v>
      </c>
      <c r="T243" s="338">
        <f t="shared" si="3"/>
        <v>290</v>
      </c>
      <c r="U243" s="379">
        <f t="shared" si="4"/>
        <v>3.5662504811363797E-4</v>
      </c>
      <c r="V243" s="361"/>
      <c r="W243" s="409"/>
      <c r="X243" s="5"/>
    </row>
    <row r="244" spans="1:25" ht="15.75" x14ac:dyDescent="0.25">
      <c r="A244" s="285"/>
      <c r="B244" s="337" t="s">
        <v>158</v>
      </c>
      <c r="C244" s="378"/>
      <c r="D244" s="378"/>
      <c r="E244" s="378"/>
      <c r="F244" s="286"/>
      <c r="G244" s="379"/>
      <c r="H244" s="378"/>
      <c r="I244" s="378"/>
      <c r="J244" s="378"/>
      <c r="K244" s="378"/>
      <c r="L244" s="378"/>
      <c r="M244" s="378"/>
      <c r="N244" s="378"/>
      <c r="O244" s="378"/>
      <c r="P244" s="378"/>
      <c r="Q244" s="378"/>
      <c r="R244" s="337">
        <f t="shared" si="1"/>
        <v>1</v>
      </c>
      <c r="S244" s="379">
        <f t="shared" si="2"/>
        <v>1.7503938386136881E-4</v>
      </c>
      <c r="T244" s="338">
        <f t="shared" si="3"/>
        <v>115</v>
      </c>
      <c r="U244" s="379">
        <f t="shared" si="4"/>
        <v>1.4142027770023573E-4</v>
      </c>
      <c r="V244" s="361"/>
      <c r="W244" s="409"/>
      <c r="X244" s="5"/>
      <c r="Y244" s="109"/>
    </row>
    <row r="245" spans="1:25" ht="15.75" x14ac:dyDescent="0.25">
      <c r="A245" s="285"/>
      <c r="B245" s="337" t="s">
        <v>159</v>
      </c>
      <c r="C245" s="378"/>
      <c r="D245" s="378"/>
      <c r="E245" s="378"/>
      <c r="F245" s="286"/>
      <c r="G245" s="379"/>
      <c r="H245" s="378"/>
      <c r="I245" s="378"/>
      <c r="J245" s="378"/>
      <c r="K245" s="378"/>
      <c r="L245" s="378"/>
      <c r="M245" s="378"/>
      <c r="N245" s="378"/>
      <c r="O245" s="378"/>
      <c r="P245" s="378"/>
      <c r="Q245" s="378"/>
      <c r="R245" s="337">
        <f t="shared" si="1"/>
        <v>9</v>
      </c>
      <c r="S245" s="379">
        <f t="shared" si="2"/>
        <v>1.5753544547523193E-3</v>
      </c>
      <c r="T245" s="338">
        <f t="shared" si="3"/>
        <v>1051</v>
      </c>
      <c r="U245" s="379">
        <f t="shared" si="4"/>
        <v>1.2924583640256328E-3</v>
      </c>
      <c r="V245" s="361"/>
      <c r="W245" s="409"/>
      <c r="X245" s="5"/>
    </row>
    <row r="246" spans="1:25" ht="15.75" x14ac:dyDescent="0.25">
      <c r="A246" s="285"/>
      <c r="B246" s="337" t="s">
        <v>160</v>
      </c>
      <c r="C246" s="378"/>
      <c r="D246" s="378"/>
      <c r="E246" s="378"/>
      <c r="F246" s="286"/>
      <c r="G246" s="379"/>
      <c r="H246" s="378"/>
      <c r="I246" s="378"/>
      <c r="J246" s="378"/>
      <c r="K246" s="378"/>
      <c r="L246" s="378"/>
      <c r="M246" s="378"/>
      <c r="N246" s="378"/>
      <c r="O246" s="378"/>
      <c r="P246" s="378"/>
      <c r="Q246" s="378"/>
      <c r="R246" s="386">
        <f t="shared" si="1"/>
        <v>18</v>
      </c>
      <c r="S246" s="379">
        <f t="shared" si="2"/>
        <v>3.1507089095046386E-3</v>
      </c>
      <c r="T246" s="383">
        <f t="shared" si="3"/>
        <v>2795</v>
      </c>
      <c r="U246" s="387">
        <f t="shared" si="4"/>
        <v>3.437127618888338E-3</v>
      </c>
      <c r="V246" s="361"/>
      <c r="W246" s="409"/>
      <c r="X246" s="5"/>
      <c r="Y246" s="109"/>
    </row>
    <row r="247" spans="1:25" ht="15.75" x14ac:dyDescent="0.25">
      <c r="A247" s="285"/>
      <c r="B247" s="337"/>
      <c r="C247" s="378"/>
      <c r="D247" s="378"/>
      <c r="E247" s="378"/>
      <c r="F247" s="286"/>
      <c r="G247" s="379"/>
      <c r="H247" s="378"/>
      <c r="I247" s="378"/>
      <c r="J247" s="378"/>
      <c r="K247" s="378"/>
      <c r="L247" s="378"/>
      <c r="M247" s="378"/>
      <c r="N247" s="378"/>
      <c r="O247" s="378"/>
      <c r="P247" s="378"/>
      <c r="Q247" s="378"/>
      <c r="R247" s="337"/>
      <c r="S247" s="379"/>
      <c r="T247" s="338"/>
      <c r="U247" s="379"/>
      <c r="V247" s="361"/>
      <c r="W247" s="409"/>
      <c r="X247" s="5"/>
    </row>
    <row r="248" spans="1:25" ht="15.75" x14ac:dyDescent="0.25">
      <c r="A248" s="285"/>
      <c r="B248" s="286"/>
      <c r="C248" s="286"/>
      <c r="D248" s="286"/>
      <c r="E248" s="286"/>
      <c r="F248" s="286"/>
      <c r="G248" s="286"/>
      <c r="H248" s="381"/>
      <c r="I248" s="381"/>
      <c r="J248" s="381"/>
      <c r="K248" s="381"/>
      <c r="L248" s="381"/>
      <c r="M248" s="381"/>
      <c r="N248" s="381"/>
      <c r="O248" s="381"/>
      <c r="P248" s="381"/>
      <c r="Q248" s="381"/>
      <c r="R248" s="337">
        <f>SUM(R239:R247)</f>
        <v>5713</v>
      </c>
      <c r="S248" s="379">
        <f>SUM(S239:S247)</f>
        <v>0.99999999999999989</v>
      </c>
      <c r="T248" s="338">
        <f>SUM(T239:T247)</f>
        <v>813179</v>
      </c>
      <c r="U248" s="379">
        <f>SUM(U239:U247)</f>
        <v>1</v>
      </c>
      <c r="V248" s="286"/>
      <c r="W248" s="289"/>
      <c r="X248" s="5"/>
    </row>
    <row r="249" spans="1:25" ht="15.75" x14ac:dyDescent="0.25">
      <c r="A249" s="181"/>
      <c r="B249" s="212"/>
      <c r="C249" s="212"/>
      <c r="D249" s="212"/>
      <c r="E249" s="212"/>
      <c r="F249" s="212"/>
      <c r="G249" s="212"/>
      <c r="H249" s="375"/>
      <c r="I249" s="375"/>
      <c r="J249" s="375"/>
      <c r="K249" s="375"/>
      <c r="L249" s="375"/>
      <c r="M249" s="375"/>
      <c r="N249" s="375"/>
      <c r="O249" s="375"/>
      <c r="P249" s="375"/>
      <c r="Q249" s="375"/>
      <c r="R249" s="335"/>
      <c r="S249" s="376"/>
      <c r="T249" s="377"/>
      <c r="U249" s="376"/>
      <c r="V249" s="212"/>
      <c r="W249" s="212"/>
      <c r="X249" s="5"/>
    </row>
    <row r="250" spans="1:25" ht="15.75" x14ac:dyDescent="0.25">
      <c r="A250" s="224"/>
      <c r="B250" s="399" t="s">
        <v>162</v>
      </c>
      <c r="C250" s="400"/>
      <c r="D250" s="400"/>
      <c r="E250" s="400"/>
      <c r="F250" s="407"/>
      <c r="G250" s="400"/>
      <c r="H250" s="400"/>
      <c r="I250" s="400"/>
      <c r="J250" s="400"/>
      <c r="K250" s="400"/>
      <c r="L250" s="400"/>
      <c r="M250" s="400"/>
      <c r="N250" s="400"/>
      <c r="O250" s="400"/>
      <c r="P250" s="400"/>
      <c r="Q250" s="400"/>
      <c r="R250" s="407" t="s">
        <v>102</v>
      </c>
      <c r="S250" s="400" t="s">
        <v>103</v>
      </c>
      <c r="T250" s="407" t="s">
        <v>109</v>
      </c>
      <c r="U250" s="400" t="s">
        <v>103</v>
      </c>
      <c r="V250" s="225"/>
      <c r="W250" s="399"/>
      <c r="X250" s="5"/>
    </row>
    <row r="251" spans="1:25" ht="15.75" x14ac:dyDescent="0.25">
      <c r="A251" s="193"/>
      <c r="B251" s="249" t="s">
        <v>88</v>
      </c>
      <c r="C251" s="265"/>
      <c r="D251" s="265"/>
      <c r="E251" s="265"/>
      <c r="F251" s="250"/>
      <c r="G251" s="265"/>
      <c r="H251" s="265"/>
      <c r="I251" s="265"/>
      <c r="J251" s="265"/>
      <c r="K251" s="265"/>
      <c r="L251" s="265"/>
      <c r="M251" s="265"/>
      <c r="N251" s="265"/>
      <c r="O251" s="265"/>
      <c r="P251" s="265"/>
      <c r="Q251" s="265"/>
      <c r="R251" s="249">
        <v>5557</v>
      </c>
      <c r="S251" s="252">
        <f t="shared" ref="S251:S258" si="5">R251/$R$260</f>
        <v>0.99516475644699143</v>
      </c>
      <c r="T251" s="253">
        <v>787868</v>
      </c>
      <c r="U251" s="252">
        <f t="shared" ref="U251:U258" si="6">T251/$T$260</f>
        <v>0.99269716151923237</v>
      </c>
      <c r="V251" s="266"/>
      <c r="W251" s="408"/>
      <c r="X251" s="5"/>
    </row>
    <row r="252" spans="1:25" ht="15.75" x14ac:dyDescent="0.25">
      <c r="A252" s="285"/>
      <c r="B252" s="337" t="s">
        <v>89</v>
      </c>
      <c r="C252" s="378"/>
      <c r="D252" s="378"/>
      <c r="E252" s="378"/>
      <c r="F252" s="286"/>
      <c r="G252" s="379"/>
      <c r="H252" s="378"/>
      <c r="I252" s="378"/>
      <c r="J252" s="378"/>
      <c r="K252" s="378"/>
      <c r="L252" s="378"/>
      <c r="M252" s="378"/>
      <c r="N252" s="378"/>
      <c r="O252" s="378"/>
      <c r="P252" s="378"/>
      <c r="Q252" s="378"/>
      <c r="R252" s="337">
        <v>23</v>
      </c>
      <c r="S252" s="379">
        <f t="shared" si="5"/>
        <v>4.1189111747850999E-3</v>
      </c>
      <c r="T252" s="338">
        <v>5105</v>
      </c>
      <c r="U252" s="379">
        <f t="shared" si="6"/>
        <v>6.4321929683090074E-3</v>
      </c>
      <c r="V252" s="361"/>
      <c r="W252" s="409"/>
      <c r="X252" s="5"/>
      <c r="Y252" s="109"/>
    </row>
    <row r="253" spans="1:25" ht="15.75" x14ac:dyDescent="0.25">
      <c r="A253" s="285"/>
      <c r="B253" s="337" t="s">
        <v>90</v>
      </c>
      <c r="C253" s="378"/>
      <c r="D253" s="378"/>
      <c r="E253" s="378"/>
      <c r="F253" s="286"/>
      <c r="G253" s="379"/>
      <c r="H253" s="378"/>
      <c r="I253" s="378"/>
      <c r="J253" s="378"/>
      <c r="K253" s="378"/>
      <c r="L253" s="378"/>
      <c r="M253" s="378"/>
      <c r="N253" s="378"/>
      <c r="O253" s="378"/>
      <c r="P253" s="378"/>
      <c r="Q253" s="378"/>
      <c r="R253" s="337">
        <v>1</v>
      </c>
      <c r="S253" s="379">
        <f t="shared" si="5"/>
        <v>1.7908309455587392E-4</v>
      </c>
      <c r="T253" s="338">
        <v>99</v>
      </c>
      <c r="U253" s="379">
        <f t="shared" si="6"/>
        <v>1.2473792436093863E-4</v>
      </c>
      <c r="V253" s="361"/>
      <c r="W253" s="409"/>
      <c r="X253" s="5"/>
    </row>
    <row r="254" spans="1:25" ht="15.75" x14ac:dyDescent="0.25">
      <c r="A254" s="285"/>
      <c r="B254" s="337" t="s">
        <v>156</v>
      </c>
      <c r="C254" s="378"/>
      <c r="D254" s="378"/>
      <c r="E254" s="378"/>
      <c r="F254" s="286"/>
      <c r="G254" s="379"/>
      <c r="H254" s="378"/>
      <c r="I254" s="378"/>
      <c r="J254" s="378"/>
      <c r="K254" s="378"/>
      <c r="L254" s="378"/>
      <c r="M254" s="378"/>
      <c r="N254" s="378"/>
      <c r="O254" s="378"/>
      <c r="P254" s="378"/>
      <c r="Q254" s="378"/>
      <c r="R254" s="337">
        <v>0</v>
      </c>
      <c r="S254" s="379">
        <f t="shared" si="5"/>
        <v>0</v>
      </c>
      <c r="T254" s="338">
        <v>0</v>
      </c>
      <c r="U254" s="379">
        <f t="shared" si="6"/>
        <v>0</v>
      </c>
      <c r="V254" s="361"/>
      <c r="W254" s="409"/>
      <c r="X254" s="5"/>
      <c r="Y254" s="109"/>
    </row>
    <row r="255" spans="1:25" ht="15.75" x14ac:dyDescent="0.25">
      <c r="A255" s="285"/>
      <c r="B255" s="337" t="s">
        <v>157</v>
      </c>
      <c r="C255" s="378"/>
      <c r="D255" s="378"/>
      <c r="E255" s="378"/>
      <c r="F255" s="286"/>
      <c r="G255" s="379"/>
      <c r="H255" s="378"/>
      <c r="I255" s="378"/>
      <c r="J255" s="378"/>
      <c r="K255" s="378"/>
      <c r="L255" s="378"/>
      <c r="M255" s="378"/>
      <c r="N255" s="378"/>
      <c r="O255" s="378"/>
      <c r="P255" s="378"/>
      <c r="Q255" s="378"/>
      <c r="R255" s="337">
        <v>0</v>
      </c>
      <c r="S255" s="379">
        <f t="shared" si="5"/>
        <v>0</v>
      </c>
      <c r="T255" s="338">
        <v>0</v>
      </c>
      <c r="U255" s="379">
        <f t="shared" si="6"/>
        <v>0</v>
      </c>
      <c r="V255" s="361"/>
      <c r="W255" s="409"/>
      <c r="X255" s="5"/>
    </row>
    <row r="256" spans="1:25" ht="15.75" x14ac:dyDescent="0.25">
      <c r="A256" s="285"/>
      <c r="B256" s="337" t="s">
        <v>158</v>
      </c>
      <c r="C256" s="378"/>
      <c r="D256" s="378"/>
      <c r="E256" s="378"/>
      <c r="F256" s="286"/>
      <c r="G256" s="379"/>
      <c r="H256" s="378"/>
      <c r="I256" s="378"/>
      <c r="J256" s="378"/>
      <c r="K256" s="378"/>
      <c r="L256" s="378"/>
      <c r="M256" s="378"/>
      <c r="N256" s="378"/>
      <c r="O256" s="378"/>
      <c r="P256" s="378"/>
      <c r="Q256" s="378"/>
      <c r="R256" s="337">
        <v>0</v>
      </c>
      <c r="S256" s="379">
        <f t="shared" si="5"/>
        <v>0</v>
      </c>
      <c r="T256" s="338">
        <v>0</v>
      </c>
      <c r="U256" s="379">
        <f t="shared" si="6"/>
        <v>0</v>
      </c>
      <c r="V256" s="361"/>
      <c r="W256" s="409"/>
      <c r="X256" s="5"/>
      <c r="Y256" s="109"/>
    </row>
    <row r="257" spans="1:25" ht="15.75" x14ac:dyDescent="0.25">
      <c r="A257" s="285"/>
      <c r="B257" s="337" t="s">
        <v>159</v>
      </c>
      <c r="C257" s="378"/>
      <c r="D257" s="378"/>
      <c r="E257" s="378"/>
      <c r="F257" s="286"/>
      <c r="G257" s="379"/>
      <c r="H257" s="378"/>
      <c r="I257" s="378"/>
      <c r="J257" s="378"/>
      <c r="K257" s="378"/>
      <c r="L257" s="378"/>
      <c r="M257" s="378"/>
      <c r="N257" s="378"/>
      <c r="O257" s="378"/>
      <c r="P257" s="378"/>
      <c r="Q257" s="378"/>
      <c r="R257" s="337">
        <v>1</v>
      </c>
      <c r="S257" s="379">
        <f t="shared" si="5"/>
        <v>1.7908309455587392E-4</v>
      </c>
      <c r="T257" s="338">
        <v>102</v>
      </c>
      <c r="U257" s="379">
        <f t="shared" si="6"/>
        <v>1.2851786146278525E-4</v>
      </c>
      <c r="V257" s="361"/>
      <c r="W257" s="409"/>
      <c r="X257" s="5"/>
    </row>
    <row r="258" spans="1:25" ht="15.75" x14ac:dyDescent="0.25">
      <c r="A258" s="285"/>
      <c r="B258" s="337" t="s">
        <v>160</v>
      </c>
      <c r="C258" s="378"/>
      <c r="D258" s="378"/>
      <c r="E258" s="378"/>
      <c r="F258" s="286"/>
      <c r="G258" s="379"/>
      <c r="H258" s="378"/>
      <c r="I258" s="378"/>
      <c r="J258" s="378"/>
      <c r="K258" s="378"/>
      <c r="L258" s="378"/>
      <c r="M258" s="378"/>
      <c r="N258" s="378"/>
      <c r="O258" s="378"/>
      <c r="P258" s="378"/>
      <c r="Q258" s="378"/>
      <c r="R258" s="337">
        <v>2</v>
      </c>
      <c r="S258" s="379">
        <f t="shared" si="5"/>
        <v>3.5816618911174784E-4</v>
      </c>
      <c r="T258" s="338">
        <v>490</v>
      </c>
      <c r="U258" s="379">
        <f t="shared" si="6"/>
        <v>6.1738972663494881E-4</v>
      </c>
      <c r="V258" s="361"/>
      <c r="W258" s="409"/>
      <c r="X258" s="5"/>
      <c r="Y258" s="109"/>
    </row>
    <row r="259" spans="1:25" ht="15.75" x14ac:dyDescent="0.25">
      <c r="A259" s="285"/>
      <c r="B259" s="337"/>
      <c r="C259" s="378"/>
      <c r="D259" s="378"/>
      <c r="E259" s="378"/>
      <c r="F259" s="286"/>
      <c r="G259" s="379"/>
      <c r="H259" s="378"/>
      <c r="I259" s="378"/>
      <c r="J259" s="378"/>
      <c r="K259" s="378"/>
      <c r="L259" s="378"/>
      <c r="M259" s="378"/>
      <c r="N259" s="378"/>
      <c r="O259" s="378"/>
      <c r="P259" s="378"/>
      <c r="Q259" s="378"/>
      <c r="R259" s="337"/>
      <c r="S259" s="379"/>
      <c r="T259" s="338"/>
      <c r="U259" s="379"/>
      <c r="V259" s="361"/>
      <c r="W259" s="409"/>
      <c r="X259" s="5"/>
    </row>
    <row r="260" spans="1:25" ht="15.75" x14ac:dyDescent="0.25">
      <c r="A260" s="285"/>
      <c r="B260" s="286"/>
      <c r="C260" s="286"/>
      <c r="D260" s="286"/>
      <c r="E260" s="286"/>
      <c r="F260" s="286"/>
      <c r="G260" s="286"/>
      <c r="H260" s="381"/>
      <c r="I260" s="381"/>
      <c r="J260" s="381"/>
      <c r="K260" s="381"/>
      <c r="L260" s="381"/>
      <c r="M260" s="381"/>
      <c r="N260" s="381"/>
      <c r="O260" s="381"/>
      <c r="P260" s="381"/>
      <c r="Q260" s="381"/>
      <c r="R260" s="337">
        <f>SUM(R251:R259)</f>
        <v>5584</v>
      </c>
      <c r="S260" s="379">
        <f>SUM(S251:S259)</f>
        <v>1</v>
      </c>
      <c r="T260" s="338">
        <f>SUM(T251:T259)</f>
        <v>793664</v>
      </c>
      <c r="U260" s="379">
        <f>SUM(U251:U259)</f>
        <v>1.0000000000000002</v>
      </c>
      <c r="V260" s="286"/>
      <c r="W260" s="289"/>
      <c r="X260" s="5"/>
    </row>
    <row r="261" spans="1:25" ht="15.75" x14ac:dyDescent="0.25">
      <c r="A261" s="181"/>
      <c r="B261" s="212"/>
      <c r="C261" s="212"/>
      <c r="D261" s="212"/>
      <c r="E261" s="212"/>
      <c r="F261" s="212"/>
      <c r="G261" s="212"/>
      <c r="H261" s="375"/>
      <c r="I261" s="375"/>
      <c r="J261" s="375"/>
      <c r="K261" s="375"/>
      <c r="L261" s="375"/>
      <c r="M261" s="375"/>
      <c r="N261" s="375"/>
      <c r="O261" s="375"/>
      <c r="P261" s="375"/>
      <c r="Q261" s="375"/>
      <c r="R261" s="335"/>
      <c r="S261" s="376"/>
      <c r="T261" s="377"/>
      <c r="U261" s="376"/>
      <c r="V261" s="212"/>
      <c r="W261" s="212"/>
      <c r="X261" s="5"/>
    </row>
    <row r="262" spans="1:25" ht="15.75" x14ac:dyDescent="0.25">
      <c r="A262" s="244"/>
      <c r="B262" s="399" t="s">
        <v>236</v>
      </c>
      <c r="C262" s="400"/>
      <c r="D262" s="400"/>
      <c r="E262" s="400"/>
      <c r="F262" s="407"/>
      <c r="G262" s="400"/>
      <c r="H262" s="400"/>
      <c r="I262" s="400"/>
      <c r="J262" s="400"/>
      <c r="K262" s="400"/>
      <c r="L262" s="400"/>
      <c r="M262" s="400"/>
      <c r="N262" s="400"/>
      <c r="O262" s="400"/>
      <c r="P262" s="400"/>
      <c r="Q262" s="400"/>
      <c r="R262" s="407" t="s">
        <v>102</v>
      </c>
      <c r="S262" s="400" t="s">
        <v>103</v>
      </c>
      <c r="T262" s="407" t="s">
        <v>109</v>
      </c>
      <c r="U262" s="400" t="s">
        <v>103</v>
      </c>
      <c r="V262" s="245"/>
      <c r="W262" s="246"/>
      <c r="X262" s="5"/>
    </row>
    <row r="263" spans="1:25" ht="15.75" x14ac:dyDescent="0.25">
      <c r="A263" s="193"/>
      <c r="B263" s="249" t="s">
        <v>88</v>
      </c>
      <c r="C263" s="265"/>
      <c r="D263" s="265"/>
      <c r="E263" s="265"/>
      <c r="F263" s="250"/>
      <c r="G263" s="265"/>
      <c r="H263" s="265"/>
      <c r="I263" s="265"/>
      <c r="J263" s="265"/>
      <c r="K263" s="265"/>
      <c r="L263" s="265"/>
      <c r="M263" s="265"/>
      <c r="N263" s="265"/>
      <c r="O263" s="265"/>
      <c r="P263" s="265"/>
      <c r="Q263" s="265"/>
      <c r="R263" s="249">
        <v>87</v>
      </c>
      <c r="S263" s="252">
        <f t="shared" ref="S263:S269" si="7">R263/$R$272</f>
        <v>0.6796875</v>
      </c>
      <c r="T263" s="253">
        <v>13211</v>
      </c>
      <c r="U263" s="252">
        <f t="shared" ref="U263:U270" si="8">T263/$T$272</f>
        <v>0.67894953232603561</v>
      </c>
      <c r="V263" s="250"/>
      <c r="W263" s="250"/>
      <c r="X263" s="5"/>
    </row>
    <row r="264" spans="1:25" ht="15.75" x14ac:dyDescent="0.25">
      <c r="A264" s="285"/>
      <c r="B264" s="337" t="s">
        <v>89</v>
      </c>
      <c r="C264" s="378"/>
      <c r="D264" s="378"/>
      <c r="E264" s="378"/>
      <c r="F264" s="286"/>
      <c r="G264" s="379"/>
      <c r="H264" s="378"/>
      <c r="I264" s="378"/>
      <c r="J264" s="378"/>
      <c r="K264" s="378"/>
      <c r="L264" s="378"/>
      <c r="M264" s="378"/>
      <c r="N264" s="378"/>
      <c r="O264" s="378"/>
      <c r="P264" s="378"/>
      <c r="Q264" s="378"/>
      <c r="R264" s="337">
        <v>7</v>
      </c>
      <c r="S264" s="379">
        <f t="shared" si="7"/>
        <v>5.46875E-2</v>
      </c>
      <c r="T264" s="338">
        <v>921</v>
      </c>
      <c r="U264" s="379">
        <f t="shared" si="8"/>
        <v>4.7332716620413197E-2</v>
      </c>
      <c r="V264" s="286"/>
      <c r="W264" s="289"/>
      <c r="X264" s="5"/>
    </row>
    <row r="265" spans="1:25" ht="15.75" x14ac:dyDescent="0.25">
      <c r="A265" s="285"/>
      <c r="B265" s="337" t="s">
        <v>90</v>
      </c>
      <c r="C265" s="378"/>
      <c r="D265" s="378"/>
      <c r="E265" s="378"/>
      <c r="F265" s="286"/>
      <c r="G265" s="379"/>
      <c r="H265" s="378"/>
      <c r="I265" s="378"/>
      <c r="J265" s="378"/>
      <c r="K265" s="378"/>
      <c r="L265" s="378"/>
      <c r="M265" s="378"/>
      <c r="N265" s="378"/>
      <c r="O265" s="378"/>
      <c r="P265" s="378"/>
      <c r="Q265" s="378"/>
      <c r="R265" s="337">
        <v>5</v>
      </c>
      <c r="S265" s="379">
        <f t="shared" si="7"/>
        <v>3.90625E-2</v>
      </c>
      <c r="T265" s="338">
        <v>956</v>
      </c>
      <c r="U265" s="379">
        <f t="shared" si="8"/>
        <v>4.9131462637475587E-2</v>
      </c>
      <c r="V265" s="286"/>
      <c r="W265" s="289"/>
      <c r="X265" s="5"/>
    </row>
    <row r="266" spans="1:25" ht="15.75" x14ac:dyDescent="0.25">
      <c r="A266" s="285"/>
      <c r="B266" s="337" t="s">
        <v>156</v>
      </c>
      <c r="C266" s="378"/>
      <c r="D266" s="378"/>
      <c r="E266" s="378"/>
      <c r="F266" s="286"/>
      <c r="G266" s="379"/>
      <c r="H266" s="378"/>
      <c r="I266" s="378"/>
      <c r="J266" s="378"/>
      <c r="K266" s="378"/>
      <c r="L266" s="378"/>
      <c r="M266" s="378"/>
      <c r="N266" s="378"/>
      <c r="O266" s="378"/>
      <c r="P266" s="378"/>
      <c r="Q266" s="378"/>
      <c r="R266" s="337">
        <v>4</v>
      </c>
      <c r="S266" s="379">
        <f t="shared" si="7"/>
        <v>3.125E-2</v>
      </c>
      <c r="T266" s="338">
        <v>768</v>
      </c>
      <c r="U266" s="379">
        <f t="shared" si="8"/>
        <v>3.9469626888683315E-2</v>
      </c>
      <c r="V266" s="286"/>
      <c r="W266" s="289"/>
      <c r="X266" s="5"/>
    </row>
    <row r="267" spans="1:25" ht="15.75" x14ac:dyDescent="0.25">
      <c r="A267" s="285"/>
      <c r="B267" s="337" t="s">
        <v>157</v>
      </c>
      <c r="C267" s="378"/>
      <c r="D267" s="378"/>
      <c r="E267" s="378"/>
      <c r="F267" s="286"/>
      <c r="G267" s="379"/>
      <c r="H267" s="378"/>
      <c r="I267" s="378"/>
      <c r="J267" s="378"/>
      <c r="K267" s="378"/>
      <c r="L267" s="378"/>
      <c r="M267" s="378"/>
      <c r="N267" s="378"/>
      <c r="O267" s="378"/>
      <c r="P267" s="378"/>
      <c r="Q267" s="378"/>
      <c r="R267" s="337">
        <v>1</v>
      </c>
      <c r="S267" s="379">
        <f t="shared" si="7"/>
        <v>7.8125E-3</v>
      </c>
      <c r="T267" s="338">
        <v>290</v>
      </c>
      <c r="U267" s="379">
        <f t="shared" si="8"/>
        <v>1.4903895569945523E-2</v>
      </c>
      <c r="V267" s="286"/>
      <c r="W267" s="289"/>
      <c r="X267" s="5"/>
    </row>
    <row r="268" spans="1:25" ht="15.75" x14ac:dyDescent="0.25">
      <c r="A268" s="285"/>
      <c r="B268" s="337" t="s">
        <v>158</v>
      </c>
      <c r="C268" s="378"/>
      <c r="D268" s="378"/>
      <c r="E268" s="378"/>
      <c r="F268" s="286"/>
      <c r="G268" s="379"/>
      <c r="H268" s="378"/>
      <c r="I268" s="378"/>
      <c r="J268" s="378"/>
      <c r="K268" s="378"/>
      <c r="L268" s="378"/>
      <c r="M268" s="378"/>
      <c r="N268" s="378"/>
      <c r="O268" s="378"/>
      <c r="P268" s="378"/>
      <c r="Q268" s="378"/>
      <c r="R268" s="337">
        <v>1</v>
      </c>
      <c r="S268" s="379">
        <f t="shared" si="7"/>
        <v>7.8125E-3</v>
      </c>
      <c r="T268" s="338">
        <v>115</v>
      </c>
      <c r="U268" s="379">
        <f t="shared" si="8"/>
        <v>5.9101654846335696E-3</v>
      </c>
      <c r="V268" s="286"/>
      <c r="W268" s="289"/>
      <c r="X268" s="5"/>
    </row>
    <row r="269" spans="1:25" ht="15.75" x14ac:dyDescent="0.25">
      <c r="A269" s="285"/>
      <c r="B269" s="337" t="s">
        <v>159</v>
      </c>
      <c r="C269" s="378"/>
      <c r="D269" s="378"/>
      <c r="E269" s="378"/>
      <c r="F269" s="286"/>
      <c r="G269" s="379"/>
      <c r="H269" s="378"/>
      <c r="I269" s="378"/>
      <c r="J269" s="378"/>
      <c r="K269" s="378"/>
      <c r="L269" s="378"/>
      <c r="M269" s="378"/>
      <c r="N269" s="378"/>
      <c r="O269" s="378"/>
      <c r="P269" s="378"/>
      <c r="Q269" s="378"/>
      <c r="R269" s="337">
        <v>8</v>
      </c>
      <c r="S269" s="379">
        <f t="shared" si="7"/>
        <v>6.25E-2</v>
      </c>
      <c r="T269" s="338">
        <v>949</v>
      </c>
      <c r="U269" s="379">
        <f t="shared" si="8"/>
        <v>4.8771713434063113E-2</v>
      </c>
      <c r="V269" s="286"/>
      <c r="W269" s="289"/>
      <c r="X269" s="5"/>
    </row>
    <row r="270" spans="1:25" ht="15.75" x14ac:dyDescent="0.25">
      <c r="A270" s="285"/>
      <c r="B270" s="337" t="s">
        <v>160</v>
      </c>
      <c r="C270" s="378"/>
      <c r="D270" s="378"/>
      <c r="E270" s="378"/>
      <c r="F270" s="286"/>
      <c r="G270" s="379"/>
      <c r="H270" s="378"/>
      <c r="I270" s="378"/>
      <c r="J270" s="378"/>
      <c r="K270" s="378"/>
      <c r="L270" s="378"/>
      <c r="M270" s="378"/>
      <c r="N270" s="378"/>
      <c r="O270" s="378"/>
      <c r="P270" s="378"/>
      <c r="Q270" s="378"/>
      <c r="R270" s="337">
        <v>15</v>
      </c>
      <c r="S270" s="379">
        <f>R270/$R$272</f>
        <v>0.1171875</v>
      </c>
      <c r="T270" s="338">
        <v>2248</v>
      </c>
      <c r="U270" s="379">
        <f t="shared" si="8"/>
        <v>0.11553088703875013</v>
      </c>
      <c r="V270" s="286"/>
      <c r="W270" s="289"/>
      <c r="X270" s="5"/>
    </row>
    <row r="271" spans="1:25" ht="15.75" x14ac:dyDescent="0.25">
      <c r="A271" s="285"/>
      <c r="B271" s="337"/>
      <c r="C271" s="378"/>
      <c r="D271" s="378"/>
      <c r="E271" s="378"/>
      <c r="F271" s="286"/>
      <c r="G271" s="379"/>
      <c r="H271" s="378"/>
      <c r="I271" s="378"/>
      <c r="J271" s="378"/>
      <c r="K271" s="378"/>
      <c r="L271" s="378"/>
      <c r="M271" s="378"/>
      <c r="N271" s="378"/>
      <c r="O271" s="378"/>
      <c r="P271" s="378"/>
      <c r="Q271" s="378"/>
      <c r="R271" s="337"/>
      <c r="S271" s="379"/>
      <c r="T271" s="338"/>
      <c r="U271" s="379"/>
      <c r="V271" s="286"/>
      <c r="W271" s="289"/>
      <c r="X271" s="5"/>
    </row>
    <row r="272" spans="1:25" ht="15.75" x14ac:dyDescent="0.25">
      <c r="A272" s="285"/>
      <c r="B272" s="286"/>
      <c r="C272" s="286"/>
      <c r="D272" s="286"/>
      <c r="E272" s="286"/>
      <c r="F272" s="286"/>
      <c r="G272" s="286"/>
      <c r="H272" s="381"/>
      <c r="I272" s="381"/>
      <c r="J272" s="381"/>
      <c r="K272" s="381"/>
      <c r="L272" s="381"/>
      <c r="M272" s="381"/>
      <c r="N272" s="381"/>
      <c r="O272" s="381"/>
      <c r="P272" s="381"/>
      <c r="Q272" s="381"/>
      <c r="R272" s="337">
        <f>SUM(R263:R271)</f>
        <v>128</v>
      </c>
      <c r="S272" s="379">
        <f>SUM(S263:S271)</f>
        <v>1</v>
      </c>
      <c r="T272" s="338">
        <f>SUM(T263:T271)</f>
        <v>19458</v>
      </c>
      <c r="U272" s="379">
        <f>SUM(U263:U271)</f>
        <v>1</v>
      </c>
      <c r="V272" s="286"/>
      <c r="W272" s="289"/>
      <c r="X272" s="5"/>
    </row>
    <row r="273" spans="1:24" ht="15.75" x14ac:dyDescent="0.25">
      <c r="A273" s="181"/>
      <c r="B273" s="212"/>
      <c r="C273" s="212"/>
      <c r="D273" s="212"/>
      <c r="E273" s="212"/>
      <c r="F273" s="212"/>
      <c r="G273" s="212"/>
      <c r="H273" s="375"/>
      <c r="I273" s="375"/>
      <c r="J273" s="375"/>
      <c r="K273" s="375"/>
      <c r="L273" s="375"/>
      <c r="M273" s="375"/>
      <c r="N273" s="375"/>
      <c r="O273" s="375"/>
      <c r="P273" s="375"/>
      <c r="Q273" s="375"/>
      <c r="R273" s="335"/>
      <c r="S273" s="376"/>
      <c r="T273" s="377"/>
      <c r="U273" s="376"/>
      <c r="V273" s="212"/>
      <c r="W273" s="212"/>
      <c r="X273" s="5"/>
    </row>
    <row r="274" spans="1:24" ht="15.75" x14ac:dyDescent="0.25">
      <c r="A274" s="244"/>
      <c r="B274" s="399" t="s">
        <v>163</v>
      </c>
      <c r="C274" s="245"/>
      <c r="D274" s="245"/>
      <c r="E274" s="245"/>
      <c r="F274" s="245"/>
      <c r="G274" s="245"/>
      <c r="H274" s="247"/>
      <c r="I274" s="247"/>
      <c r="J274" s="247"/>
      <c r="K274" s="247"/>
      <c r="L274" s="247"/>
      <c r="M274" s="247"/>
      <c r="N274" s="247"/>
      <c r="O274" s="247"/>
      <c r="P274" s="247"/>
      <c r="Q274" s="247"/>
      <c r="R274" s="407" t="s">
        <v>102</v>
      </c>
      <c r="S274" s="400" t="s">
        <v>103</v>
      </c>
      <c r="T274" s="407" t="s">
        <v>109</v>
      </c>
      <c r="U274" s="400" t="s">
        <v>103</v>
      </c>
      <c r="V274" s="245"/>
      <c r="W274" s="246"/>
      <c r="X274" s="5"/>
    </row>
    <row r="275" spans="1:24" ht="15.75" x14ac:dyDescent="0.25">
      <c r="A275" s="248"/>
      <c r="B275" s="249" t="s">
        <v>88</v>
      </c>
      <c r="C275" s="250"/>
      <c r="D275" s="250"/>
      <c r="E275" s="250"/>
      <c r="F275" s="250"/>
      <c r="G275" s="250"/>
      <c r="H275" s="251"/>
      <c r="I275" s="251"/>
      <c r="J275" s="251"/>
      <c r="K275" s="251"/>
      <c r="L275" s="251"/>
      <c r="M275" s="251"/>
      <c r="N275" s="251"/>
      <c r="O275" s="251"/>
      <c r="P275" s="251"/>
      <c r="Q275" s="251"/>
      <c r="R275" s="249">
        <v>0</v>
      </c>
      <c r="S275" s="252">
        <v>0</v>
      </c>
      <c r="T275" s="253">
        <v>0</v>
      </c>
      <c r="U275" s="252">
        <v>0</v>
      </c>
      <c r="V275" s="250"/>
      <c r="W275" s="250"/>
      <c r="X275" s="5"/>
    </row>
    <row r="276" spans="1:24" ht="15.75" x14ac:dyDescent="0.25">
      <c r="A276" s="295"/>
      <c r="B276" s="337" t="s">
        <v>89</v>
      </c>
      <c r="C276" s="286"/>
      <c r="D276" s="286"/>
      <c r="E276" s="286"/>
      <c r="F276" s="286"/>
      <c r="G276" s="286"/>
      <c r="H276" s="381"/>
      <c r="I276" s="381"/>
      <c r="J276" s="381"/>
      <c r="K276" s="381"/>
      <c r="L276" s="381"/>
      <c r="M276" s="381"/>
      <c r="N276" s="381"/>
      <c r="O276" s="381"/>
      <c r="P276" s="381"/>
      <c r="Q276" s="381"/>
      <c r="R276" s="337">
        <v>0</v>
      </c>
      <c r="S276" s="379">
        <v>0</v>
      </c>
      <c r="T276" s="338">
        <v>0</v>
      </c>
      <c r="U276" s="379">
        <v>0</v>
      </c>
      <c r="V276" s="286"/>
      <c r="W276" s="289"/>
      <c r="X276" s="5"/>
    </row>
    <row r="277" spans="1:24" ht="15.75" x14ac:dyDescent="0.25">
      <c r="A277" s="295"/>
      <c r="B277" s="337" t="s">
        <v>90</v>
      </c>
      <c r="C277" s="286"/>
      <c r="D277" s="286"/>
      <c r="E277" s="286"/>
      <c r="F277" s="286"/>
      <c r="G277" s="286"/>
      <c r="H277" s="381"/>
      <c r="I277" s="381"/>
      <c r="J277" s="381"/>
      <c r="K277" s="381"/>
      <c r="L277" s="381"/>
      <c r="M277" s="381"/>
      <c r="N277" s="381"/>
      <c r="O277" s="381"/>
      <c r="P277" s="381"/>
      <c r="Q277" s="381"/>
      <c r="R277" s="337">
        <v>0</v>
      </c>
      <c r="S277" s="379">
        <v>0</v>
      </c>
      <c r="T277" s="338">
        <v>0</v>
      </c>
      <c r="U277" s="379">
        <v>0</v>
      </c>
      <c r="V277" s="286"/>
      <c r="W277" s="289"/>
      <c r="X277" s="5"/>
    </row>
    <row r="278" spans="1:24" ht="15.75" x14ac:dyDescent="0.25">
      <c r="A278" s="295"/>
      <c r="B278" s="337" t="s">
        <v>156</v>
      </c>
      <c r="C278" s="286"/>
      <c r="D278" s="286"/>
      <c r="E278" s="286"/>
      <c r="F278" s="286"/>
      <c r="G278" s="286"/>
      <c r="H278" s="381"/>
      <c r="I278" s="381"/>
      <c r="J278" s="381"/>
      <c r="K278" s="381"/>
      <c r="L278" s="381"/>
      <c r="M278" s="381"/>
      <c r="N278" s="381"/>
      <c r="O278" s="381"/>
      <c r="P278" s="381"/>
      <c r="Q278" s="381"/>
      <c r="R278" s="337">
        <v>0</v>
      </c>
      <c r="S278" s="379">
        <v>0</v>
      </c>
      <c r="T278" s="338">
        <v>0</v>
      </c>
      <c r="U278" s="379">
        <v>0</v>
      </c>
      <c r="V278" s="286"/>
      <c r="W278" s="289"/>
      <c r="X278" s="5"/>
    </row>
    <row r="279" spans="1:24" ht="15.75" x14ac:dyDescent="0.25">
      <c r="A279" s="295"/>
      <c r="B279" s="337" t="s">
        <v>157</v>
      </c>
      <c r="C279" s="286"/>
      <c r="D279" s="286"/>
      <c r="E279" s="286"/>
      <c r="F279" s="286"/>
      <c r="G279" s="286"/>
      <c r="H279" s="381"/>
      <c r="I279" s="381"/>
      <c r="J279" s="381"/>
      <c r="K279" s="381"/>
      <c r="L279" s="381"/>
      <c r="M279" s="381"/>
      <c r="N279" s="381"/>
      <c r="O279" s="381"/>
      <c r="P279" s="381"/>
      <c r="Q279" s="381"/>
      <c r="R279" s="337">
        <v>0</v>
      </c>
      <c r="S279" s="379">
        <v>0</v>
      </c>
      <c r="T279" s="338">
        <v>0</v>
      </c>
      <c r="U279" s="379">
        <v>0</v>
      </c>
      <c r="V279" s="286"/>
      <c r="W279" s="289"/>
      <c r="X279" s="5"/>
    </row>
    <row r="280" spans="1:24" ht="15.75" x14ac:dyDescent="0.25">
      <c r="A280" s="295"/>
      <c r="B280" s="337" t="s">
        <v>158</v>
      </c>
      <c r="C280" s="286"/>
      <c r="D280" s="286"/>
      <c r="E280" s="286"/>
      <c r="F280" s="286"/>
      <c r="G280" s="286"/>
      <c r="H280" s="381"/>
      <c r="I280" s="381"/>
      <c r="J280" s="381"/>
      <c r="K280" s="381"/>
      <c r="L280" s="381"/>
      <c r="M280" s="381"/>
      <c r="N280" s="381"/>
      <c r="O280" s="381"/>
      <c r="P280" s="381"/>
      <c r="Q280" s="381"/>
      <c r="R280" s="337">
        <v>0</v>
      </c>
      <c r="S280" s="379">
        <v>0</v>
      </c>
      <c r="T280" s="338">
        <v>0</v>
      </c>
      <c r="U280" s="379">
        <v>0</v>
      </c>
      <c r="V280" s="286"/>
      <c r="W280" s="289"/>
      <c r="X280" s="5"/>
    </row>
    <row r="281" spans="1:24" ht="15.75" x14ac:dyDescent="0.25">
      <c r="A281" s="295"/>
      <c r="B281" s="337" t="s">
        <v>159</v>
      </c>
      <c r="C281" s="286"/>
      <c r="D281" s="286"/>
      <c r="E281" s="286"/>
      <c r="F281" s="286"/>
      <c r="G281" s="286"/>
      <c r="H281" s="381"/>
      <c r="I281" s="381"/>
      <c r="J281" s="381"/>
      <c r="K281" s="381"/>
      <c r="L281" s="381"/>
      <c r="M281" s="381"/>
      <c r="N281" s="381"/>
      <c r="O281" s="381"/>
      <c r="P281" s="381"/>
      <c r="Q281" s="381"/>
      <c r="R281" s="337">
        <v>0</v>
      </c>
      <c r="S281" s="379">
        <v>0</v>
      </c>
      <c r="T281" s="338">
        <v>0</v>
      </c>
      <c r="U281" s="379">
        <v>0</v>
      </c>
      <c r="V281" s="286"/>
      <c r="W281" s="289"/>
      <c r="X281" s="5"/>
    </row>
    <row r="282" spans="1:24" ht="15.75" x14ac:dyDescent="0.25">
      <c r="A282" s="295"/>
      <c r="B282" s="337" t="s">
        <v>160</v>
      </c>
      <c r="C282" s="286"/>
      <c r="D282" s="286"/>
      <c r="E282" s="286"/>
      <c r="F282" s="286"/>
      <c r="G282" s="286"/>
      <c r="H282" s="381"/>
      <c r="I282" s="381"/>
      <c r="J282" s="381"/>
      <c r="K282" s="381"/>
      <c r="L282" s="381"/>
      <c r="M282" s="381"/>
      <c r="N282" s="381"/>
      <c r="O282" s="381"/>
      <c r="P282" s="381"/>
      <c r="Q282" s="381"/>
      <c r="R282" s="337">
        <v>1</v>
      </c>
      <c r="S282" s="379">
        <f>+R282/R284</f>
        <v>1</v>
      </c>
      <c r="T282" s="338">
        <v>57</v>
      </c>
      <c r="U282" s="379">
        <f>+T282/T284</f>
        <v>1</v>
      </c>
      <c r="V282" s="286"/>
      <c r="W282" s="289"/>
      <c r="X282" s="5"/>
    </row>
    <row r="283" spans="1:24" ht="15.75" x14ac:dyDescent="0.25">
      <c r="A283" s="295"/>
      <c r="B283" s="337"/>
      <c r="C283" s="286"/>
      <c r="D283" s="286"/>
      <c r="E283" s="286"/>
      <c r="F283" s="286"/>
      <c r="G283" s="286"/>
      <c r="H283" s="381"/>
      <c r="I283" s="381"/>
      <c r="J283" s="381"/>
      <c r="K283" s="381"/>
      <c r="L283" s="381"/>
      <c r="M283" s="381"/>
      <c r="N283" s="381"/>
      <c r="O283" s="381"/>
      <c r="P283" s="381"/>
      <c r="Q283" s="381"/>
      <c r="R283" s="337"/>
      <c r="S283" s="379"/>
      <c r="T283" s="338"/>
      <c r="U283" s="379"/>
      <c r="V283" s="286"/>
      <c r="W283" s="289"/>
      <c r="X283" s="5"/>
    </row>
    <row r="284" spans="1:24" ht="15.75" x14ac:dyDescent="0.25">
      <c r="A284" s="295"/>
      <c r="B284" s="286" t="s">
        <v>114</v>
      </c>
      <c r="C284" s="286"/>
      <c r="D284" s="286"/>
      <c r="E284" s="286"/>
      <c r="F284" s="286"/>
      <c r="G284" s="286"/>
      <c r="H284" s="381"/>
      <c r="I284" s="381"/>
      <c r="J284" s="381"/>
      <c r="K284" s="381"/>
      <c r="L284" s="381"/>
      <c r="M284" s="381"/>
      <c r="N284" s="381"/>
      <c r="O284" s="381"/>
      <c r="P284" s="381"/>
      <c r="Q284" s="381"/>
      <c r="R284" s="337">
        <f>SUM(R275:R282)</f>
        <v>1</v>
      </c>
      <c r="S284" s="379">
        <f>SUM(S275:S282)</f>
        <v>1</v>
      </c>
      <c r="T284" s="338">
        <f>SUM(T275:T282)</f>
        <v>57</v>
      </c>
      <c r="U284" s="379">
        <f>SUM(U275:U282)</f>
        <v>1</v>
      </c>
      <c r="V284" s="286"/>
      <c r="W284" s="289"/>
      <c r="X284" s="5"/>
    </row>
    <row r="285" spans="1:24" ht="15.75" x14ac:dyDescent="0.25">
      <c r="A285" s="295"/>
      <c r="B285" s="286"/>
      <c r="C285" s="286"/>
      <c r="D285" s="286"/>
      <c r="E285" s="286"/>
      <c r="F285" s="286"/>
      <c r="G285" s="286"/>
      <c r="H285" s="381"/>
      <c r="I285" s="381"/>
      <c r="J285" s="381"/>
      <c r="K285" s="381"/>
      <c r="L285" s="381"/>
      <c r="M285" s="381"/>
      <c r="N285" s="381"/>
      <c r="O285" s="381"/>
      <c r="P285" s="381"/>
      <c r="Q285" s="381"/>
      <c r="R285" s="337"/>
      <c r="S285" s="379"/>
      <c r="T285" s="338"/>
      <c r="U285" s="379"/>
      <c r="V285" s="286"/>
      <c r="W285" s="289"/>
      <c r="X285" s="5"/>
    </row>
    <row r="286" spans="1:24" ht="15.75" x14ac:dyDescent="0.25">
      <c r="A286" s="295"/>
      <c r="B286" s="297" t="s">
        <v>164</v>
      </c>
      <c r="C286" s="286"/>
      <c r="D286" s="286"/>
      <c r="E286" s="286"/>
      <c r="F286" s="286"/>
      <c r="G286" s="286"/>
      <c r="H286" s="381"/>
      <c r="I286" s="381"/>
      <c r="J286" s="381"/>
      <c r="K286" s="381"/>
      <c r="L286" s="381"/>
      <c r="M286" s="381"/>
      <c r="N286" s="381"/>
      <c r="O286" s="381"/>
      <c r="P286" s="381"/>
      <c r="Q286" s="381"/>
      <c r="R286" s="384">
        <f>R284+R272+R260</f>
        <v>5713</v>
      </c>
      <c r="S286" s="379"/>
      <c r="T286" s="410">
        <f>+T284+T272+T260</f>
        <v>813179</v>
      </c>
      <c r="U286" s="379"/>
      <c r="V286" s="286"/>
      <c r="W286" s="289"/>
      <c r="X286" s="5"/>
    </row>
    <row r="287" spans="1:24" ht="15.75" x14ac:dyDescent="0.25">
      <c r="A287" s="254"/>
      <c r="B287" s="346"/>
      <c r="C287" s="346"/>
      <c r="D287" s="346"/>
      <c r="E287" s="346"/>
      <c r="F287" s="346"/>
      <c r="G287" s="346"/>
      <c r="H287" s="382"/>
      <c r="I287" s="382"/>
      <c r="J287" s="382"/>
      <c r="K287" s="382"/>
      <c r="L287" s="382"/>
      <c r="M287" s="382"/>
      <c r="N287" s="382"/>
      <c r="O287" s="382"/>
      <c r="P287" s="382"/>
      <c r="Q287" s="382"/>
      <c r="R287" s="382"/>
      <c r="S287" s="382"/>
      <c r="T287" s="383"/>
      <c r="U287" s="382"/>
      <c r="V287" s="346"/>
      <c r="W287" s="346"/>
      <c r="X287" s="5"/>
    </row>
    <row r="288" spans="1:24" ht="15.75" x14ac:dyDescent="0.25">
      <c r="A288" s="254"/>
      <c r="B288" s="255"/>
      <c r="C288" s="255"/>
      <c r="D288" s="255"/>
      <c r="E288" s="255"/>
      <c r="F288" s="255"/>
      <c r="G288" s="255"/>
      <c r="H288" s="256"/>
      <c r="I288" s="256"/>
      <c r="J288" s="256"/>
      <c r="K288" s="256"/>
      <c r="L288" s="256"/>
      <c r="M288" s="256"/>
      <c r="N288" s="256"/>
      <c r="O288" s="256"/>
      <c r="P288" s="256"/>
      <c r="Q288" s="256"/>
      <c r="R288" s="256"/>
      <c r="S288" s="256"/>
      <c r="T288" s="257"/>
      <c r="U288" s="256"/>
      <c r="V288" s="255"/>
      <c r="W288" s="255"/>
      <c r="X288" s="5"/>
    </row>
    <row r="289" spans="1:24" ht="15.75" x14ac:dyDescent="0.25">
      <c r="A289" s="258"/>
      <c r="B289" s="388" t="s">
        <v>91</v>
      </c>
      <c r="C289" s="255"/>
      <c r="D289" s="255"/>
      <c r="E289" s="255"/>
      <c r="F289" s="391" t="s">
        <v>97</v>
      </c>
      <c r="G289" s="255"/>
      <c r="H289" s="388" t="s">
        <v>99</v>
      </c>
      <c r="I289" s="388"/>
      <c r="J289" s="388"/>
      <c r="K289" s="261"/>
      <c r="L289" s="261"/>
      <c r="M289" s="261"/>
      <c r="N289" s="261"/>
      <c r="O289" s="261"/>
      <c r="P289" s="261"/>
      <c r="Q289" s="261"/>
      <c r="R289" s="261"/>
      <c r="S289" s="261"/>
      <c r="T289" s="261"/>
      <c r="U289" s="261"/>
      <c r="V289" s="261"/>
      <c r="W289" s="261"/>
      <c r="X289" s="5"/>
    </row>
    <row r="290" spans="1:24" ht="15.75" x14ac:dyDescent="0.25">
      <c r="A290" s="258"/>
      <c r="B290" s="261"/>
      <c r="C290" s="255"/>
      <c r="D290" s="255"/>
      <c r="E290" s="255"/>
      <c r="F290" s="255"/>
      <c r="G290" s="255"/>
      <c r="H290" s="255"/>
      <c r="I290" s="255"/>
      <c r="J290" s="255"/>
      <c r="K290" s="261"/>
      <c r="L290" s="261"/>
      <c r="M290" s="261"/>
      <c r="N290" s="261"/>
      <c r="O290" s="261"/>
      <c r="P290" s="261"/>
      <c r="Q290" s="261"/>
      <c r="R290" s="261"/>
      <c r="S290" s="261"/>
      <c r="T290" s="261"/>
      <c r="U290" s="261"/>
      <c r="V290" s="261"/>
      <c r="W290" s="261"/>
      <c r="X290" s="5"/>
    </row>
    <row r="291" spans="1:24" ht="15.75" x14ac:dyDescent="0.25">
      <c r="A291" s="258"/>
      <c r="B291" s="388" t="s">
        <v>92</v>
      </c>
      <c r="C291" s="388"/>
      <c r="D291" s="388"/>
      <c r="E291" s="388"/>
      <c r="F291" s="411" t="s">
        <v>148</v>
      </c>
      <c r="G291" s="388"/>
      <c r="H291" s="388" t="s">
        <v>152</v>
      </c>
      <c r="I291" s="388"/>
      <c r="J291" s="388"/>
      <c r="K291" s="261"/>
      <c r="L291" s="261"/>
      <c r="M291" s="261"/>
      <c r="N291" s="261"/>
      <c r="O291" s="261"/>
      <c r="P291" s="261"/>
      <c r="Q291" s="261"/>
      <c r="R291" s="261"/>
      <c r="S291" s="261"/>
      <c r="T291" s="261"/>
      <c r="U291" s="261"/>
      <c r="V291" s="261"/>
      <c r="W291" s="261"/>
      <c r="X291" s="5"/>
    </row>
    <row r="292" spans="1:24" ht="15.75" x14ac:dyDescent="0.25">
      <c r="A292" s="258"/>
      <c r="B292" s="388" t="s">
        <v>265</v>
      </c>
      <c r="C292" s="388"/>
      <c r="D292" s="388"/>
      <c r="E292" s="388"/>
      <c r="F292" s="411" t="s">
        <v>266</v>
      </c>
      <c r="G292" s="388"/>
      <c r="H292" s="388" t="s">
        <v>267</v>
      </c>
      <c r="I292" s="388"/>
      <c r="J292" s="388"/>
      <c r="K292" s="261"/>
      <c r="L292" s="261"/>
      <c r="M292" s="261"/>
      <c r="N292" s="261"/>
      <c r="O292" s="261"/>
      <c r="P292" s="261"/>
      <c r="Q292" s="261"/>
      <c r="R292" s="261"/>
      <c r="S292" s="261"/>
      <c r="T292" s="261"/>
      <c r="U292" s="261"/>
      <c r="V292" s="261"/>
      <c r="W292" s="261"/>
      <c r="X292" s="5"/>
    </row>
    <row r="293" spans="1:24" ht="15.75" x14ac:dyDescent="0.25">
      <c r="A293" s="258"/>
      <c r="B293" s="388" t="s">
        <v>93</v>
      </c>
      <c r="C293" s="388"/>
      <c r="D293" s="388"/>
      <c r="E293" s="388"/>
      <c r="F293" s="411" t="s">
        <v>147</v>
      </c>
      <c r="G293" s="388"/>
      <c r="H293" s="388" t="s">
        <v>153</v>
      </c>
      <c r="I293" s="388"/>
      <c r="J293" s="388"/>
      <c r="K293" s="261"/>
      <c r="L293" s="261"/>
      <c r="M293" s="261"/>
      <c r="N293" s="261"/>
      <c r="O293" s="261"/>
      <c r="P293" s="261"/>
      <c r="Q293" s="261"/>
      <c r="R293" s="261"/>
      <c r="S293" s="261"/>
      <c r="T293" s="261"/>
      <c r="U293" s="261"/>
      <c r="V293" s="261"/>
      <c r="W293" s="261"/>
      <c r="X293" s="5"/>
    </row>
    <row r="294" spans="1:24" ht="15.75" x14ac:dyDescent="0.25">
      <c r="A294" s="258"/>
      <c r="B294" s="388"/>
      <c r="C294" s="388"/>
      <c r="D294" s="388"/>
      <c r="E294" s="388"/>
      <c r="F294" s="388"/>
      <c r="G294" s="263"/>
      <c r="H294" s="261"/>
      <c r="I294" s="261"/>
      <c r="J294" s="261"/>
      <c r="K294" s="261"/>
      <c r="L294" s="261"/>
      <c r="M294" s="261"/>
      <c r="N294" s="261"/>
      <c r="O294" s="261"/>
      <c r="P294" s="261"/>
      <c r="Q294" s="261"/>
      <c r="R294" s="261"/>
      <c r="S294" s="261"/>
      <c r="T294" s="261"/>
      <c r="U294" s="261"/>
      <c r="V294" s="261"/>
      <c r="W294" s="261"/>
      <c r="X294" s="5"/>
    </row>
    <row r="295" spans="1:24" ht="15.75" x14ac:dyDescent="0.25">
      <c r="A295" s="258"/>
      <c r="B295" s="388"/>
      <c r="C295" s="388"/>
      <c r="D295" s="388"/>
      <c r="E295" s="388"/>
      <c r="F295" s="388"/>
      <c r="G295" s="263"/>
      <c r="H295" s="261"/>
      <c r="I295" s="261"/>
      <c r="J295" s="261"/>
      <c r="K295" s="261"/>
      <c r="L295" s="261"/>
      <c r="M295" s="261"/>
      <c r="N295" s="261"/>
      <c r="O295" s="261"/>
      <c r="P295" s="261"/>
      <c r="Q295" s="261"/>
      <c r="R295" s="261"/>
      <c r="S295" s="261"/>
      <c r="T295" s="261"/>
      <c r="U295" s="261"/>
      <c r="V295" s="261"/>
      <c r="W295" s="261"/>
      <c r="X295" s="5"/>
    </row>
    <row r="296" spans="1:24" ht="19.5" thickBot="1" x14ac:dyDescent="0.35">
      <c r="A296" s="258"/>
      <c r="B296" s="264" t="str">
        <f>B200</f>
        <v>PM15 INVESTOR REPORT QUARTER ENDING NOVEMBER 2012</v>
      </c>
      <c r="C296" s="388"/>
      <c r="D296" s="388"/>
      <c r="E296" s="388"/>
      <c r="F296" s="388"/>
      <c r="G296" s="263"/>
      <c r="H296" s="261"/>
      <c r="I296" s="261"/>
      <c r="J296" s="261"/>
      <c r="K296" s="261"/>
      <c r="L296" s="261"/>
      <c r="M296" s="261"/>
      <c r="N296" s="261"/>
      <c r="O296" s="261"/>
      <c r="P296" s="261"/>
      <c r="Q296" s="261"/>
      <c r="R296" s="261"/>
      <c r="S296" s="261"/>
      <c r="T296" s="261"/>
      <c r="U296" s="261"/>
      <c r="V296" s="261"/>
      <c r="W296" s="261"/>
      <c r="X296" s="5"/>
    </row>
    <row r="297" spans="1:24" x14ac:dyDescent="0.2">
      <c r="A297" s="100"/>
      <c r="B297" s="100"/>
      <c r="C297" s="100"/>
      <c r="D297" s="100"/>
      <c r="E297" s="100"/>
      <c r="F297" s="100"/>
      <c r="G297" s="100"/>
      <c r="H297" s="100"/>
      <c r="I297" s="100"/>
      <c r="J297" s="100"/>
      <c r="K297" s="100"/>
      <c r="L297" s="100"/>
      <c r="M297" s="100"/>
      <c r="N297" s="100"/>
      <c r="O297" s="100"/>
      <c r="P297" s="100"/>
      <c r="Q297" s="100"/>
      <c r="R297" s="100"/>
      <c r="S297" s="100"/>
      <c r="T297" s="100"/>
      <c r="U297" s="100"/>
      <c r="V297" s="100"/>
      <c r="W297" s="100"/>
    </row>
  </sheetData>
  <hyperlinks>
    <hyperlink ref="P236" r:id="rId1" xr:uid="{00000000-0004-0000-1400-000000000000}"/>
    <hyperlink ref="I9" r:id="rId2" xr:uid="{00000000-0004-0000-14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4" max="14" man="1"/>
    <brk id="200" max="14" man="1"/>
  </rowBreaks>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sheetPr>
  <dimension ref="A1:IV298"/>
  <sheetViews>
    <sheetView showGridLines="0" showOutlineSymbols="0" zoomScale="70" zoomScaleNormal="70" workbookViewId="0"/>
  </sheetViews>
  <sheetFormatPr defaultColWidth="9.6640625" defaultRowHeight="15" x14ac:dyDescent="0.2"/>
  <cols>
    <col min="1" max="1" width="4" style="1" customWidth="1"/>
    <col min="2" max="2" width="71.21875" style="1" customWidth="1"/>
    <col min="3" max="3" width="2.21875" style="1" customWidth="1"/>
    <col min="4" max="4" width="19.33203125" style="1" customWidth="1"/>
    <col min="5" max="5" width="2.21875" style="1" customWidth="1"/>
    <col min="6" max="6" width="25.109375" style="1" customWidth="1"/>
    <col min="7" max="7" width="2.21875" style="1" customWidth="1"/>
    <col min="8" max="8" width="16.21875" style="1" customWidth="1"/>
    <col min="9" max="9" width="2.88671875" style="1" customWidth="1"/>
    <col min="10" max="10" width="16.21875" style="1" customWidth="1"/>
    <col min="11" max="11" width="2.21875" style="1" customWidth="1"/>
    <col min="12" max="12" width="17.88671875" style="1" customWidth="1"/>
    <col min="13" max="13" width="2.33203125" style="1" customWidth="1"/>
    <col min="14" max="14" width="14.88671875" style="1" customWidth="1"/>
    <col min="15" max="15" width="2.33203125" style="1" customWidth="1"/>
    <col min="16" max="16" width="15.5546875" style="1" customWidth="1"/>
    <col min="17" max="17" width="2.21875" style="1" customWidth="1"/>
    <col min="18" max="18" width="15.5546875" style="1" customWidth="1"/>
    <col min="19" max="20" width="12.6640625" style="1" customWidth="1"/>
    <col min="21" max="21" width="7.77734375" style="1" customWidth="1"/>
    <col min="22" max="22" width="14.6640625" style="1" customWidth="1"/>
    <col min="23" max="23" width="11.77734375" style="1" customWidth="1"/>
    <col min="24" max="16384" width="9.6640625" style="1"/>
  </cols>
  <sheetData>
    <row r="1" spans="1:24" ht="20.25" x14ac:dyDescent="0.3">
      <c r="A1" s="179"/>
      <c r="B1" s="274" t="s">
        <v>237</v>
      </c>
      <c r="C1" s="180"/>
      <c r="D1" s="180"/>
      <c r="E1" s="180"/>
      <c r="F1" s="180"/>
      <c r="G1" s="180"/>
      <c r="H1" s="180"/>
      <c r="I1" s="180"/>
      <c r="J1" s="180"/>
      <c r="K1" s="180"/>
      <c r="L1" s="180"/>
      <c r="M1" s="180"/>
      <c r="N1" s="180"/>
      <c r="O1" s="180"/>
      <c r="P1" s="180"/>
      <c r="Q1" s="180"/>
      <c r="R1" s="180"/>
      <c r="S1" s="180"/>
      <c r="T1" s="180"/>
      <c r="U1" s="180"/>
      <c r="V1" s="180"/>
      <c r="W1" s="180"/>
      <c r="X1" s="5"/>
    </row>
    <row r="2" spans="1:24" ht="15.75" x14ac:dyDescent="0.25">
      <c r="A2" s="181"/>
      <c r="B2" s="182"/>
      <c r="C2" s="183"/>
      <c r="D2" s="183"/>
      <c r="E2" s="183"/>
      <c r="F2" s="183"/>
      <c r="G2" s="183"/>
      <c r="H2" s="183"/>
      <c r="I2" s="183"/>
      <c r="J2" s="183"/>
      <c r="K2" s="183"/>
      <c r="L2" s="183"/>
      <c r="M2" s="183"/>
      <c r="N2" s="183"/>
      <c r="O2" s="183"/>
      <c r="P2" s="183"/>
      <c r="Q2" s="183"/>
      <c r="R2" s="183"/>
      <c r="S2" s="183"/>
      <c r="T2" s="183"/>
      <c r="U2" s="183"/>
      <c r="V2" s="183"/>
      <c r="W2" s="183"/>
      <c r="X2" s="5"/>
    </row>
    <row r="3" spans="1:24" ht="15.75" x14ac:dyDescent="0.25">
      <c r="A3" s="184"/>
      <c r="B3" s="185" t="s">
        <v>238</v>
      </c>
      <c r="C3" s="183"/>
      <c r="D3" s="183"/>
      <c r="E3" s="183"/>
      <c r="F3" s="183"/>
      <c r="G3" s="183"/>
      <c r="H3" s="183"/>
      <c r="I3" s="183"/>
      <c r="J3" s="183"/>
      <c r="K3" s="183"/>
      <c r="L3" s="183"/>
      <c r="M3" s="183"/>
      <c r="N3" s="183"/>
      <c r="O3" s="183"/>
      <c r="P3" s="183"/>
      <c r="Q3" s="183"/>
      <c r="R3" s="183"/>
      <c r="S3" s="183"/>
      <c r="T3" s="183"/>
      <c r="U3" s="183"/>
      <c r="V3" s="183"/>
      <c r="W3" s="183"/>
      <c r="X3" s="5"/>
    </row>
    <row r="4" spans="1:24" ht="15.75" x14ac:dyDescent="0.25">
      <c r="A4" s="181"/>
      <c r="B4" s="182"/>
      <c r="C4" s="183"/>
      <c r="D4" s="183"/>
      <c r="E4" s="183"/>
      <c r="F4" s="183"/>
      <c r="G4" s="183"/>
      <c r="H4" s="183"/>
      <c r="I4" s="183"/>
      <c r="J4" s="183"/>
      <c r="K4" s="183"/>
      <c r="L4" s="183"/>
      <c r="M4" s="183"/>
      <c r="N4" s="183"/>
      <c r="O4" s="183"/>
      <c r="P4" s="183"/>
      <c r="Q4" s="183"/>
      <c r="R4" s="183"/>
      <c r="S4" s="183"/>
      <c r="T4" s="183"/>
      <c r="U4" s="183"/>
      <c r="V4" s="183"/>
      <c r="W4" s="183"/>
      <c r="X4" s="5"/>
    </row>
    <row r="5" spans="1:24" ht="15.75" x14ac:dyDescent="0.25">
      <c r="A5" s="181"/>
      <c r="B5" s="275" t="s">
        <v>137</v>
      </c>
      <c r="C5" s="183"/>
      <c r="D5" s="183"/>
      <c r="E5" s="183"/>
      <c r="F5" s="183"/>
      <c r="G5" s="183"/>
      <c r="H5" s="183"/>
      <c r="I5" s="183"/>
      <c r="J5" s="183"/>
      <c r="K5" s="183"/>
      <c r="L5" s="183"/>
      <c r="M5" s="183"/>
      <c r="N5" s="183"/>
      <c r="O5" s="183"/>
      <c r="P5" s="183"/>
      <c r="Q5" s="183"/>
      <c r="R5" s="183"/>
      <c r="S5" s="183"/>
      <c r="T5" s="183"/>
      <c r="U5" s="183"/>
      <c r="V5" s="183"/>
      <c r="W5" s="183"/>
      <c r="X5" s="5"/>
    </row>
    <row r="6" spans="1:24" ht="15.75" x14ac:dyDescent="0.25">
      <c r="A6" s="181"/>
      <c r="B6" s="275" t="s">
        <v>139</v>
      </c>
      <c r="C6" s="183"/>
      <c r="D6" s="183"/>
      <c r="E6" s="183"/>
      <c r="F6" s="183"/>
      <c r="G6" s="183"/>
      <c r="H6" s="183"/>
      <c r="I6" s="183"/>
      <c r="J6" s="183"/>
      <c r="K6" s="183"/>
      <c r="L6" s="183"/>
      <c r="M6" s="183"/>
      <c r="N6" s="183"/>
      <c r="O6" s="183"/>
      <c r="P6" s="183"/>
      <c r="Q6" s="183"/>
      <c r="R6" s="183"/>
      <c r="S6" s="183"/>
      <c r="T6" s="183"/>
      <c r="U6" s="183"/>
      <c r="V6" s="183"/>
      <c r="W6" s="183"/>
      <c r="X6" s="5"/>
    </row>
    <row r="7" spans="1:24" ht="15.75" x14ac:dyDescent="0.25">
      <c r="A7" s="181"/>
      <c r="B7" s="275" t="s">
        <v>138</v>
      </c>
      <c r="C7" s="183"/>
      <c r="D7" s="183"/>
      <c r="E7" s="183"/>
      <c r="F7" s="183"/>
      <c r="G7" s="183"/>
      <c r="H7" s="183"/>
      <c r="I7" s="183"/>
      <c r="J7" s="183"/>
      <c r="K7" s="183"/>
      <c r="L7" s="183"/>
      <c r="M7" s="183"/>
      <c r="N7" s="183"/>
      <c r="O7" s="183"/>
      <c r="P7" s="183"/>
      <c r="Q7" s="183"/>
      <c r="R7" s="183"/>
      <c r="S7" s="183"/>
      <c r="T7" s="183"/>
      <c r="U7" s="183"/>
      <c r="V7" s="183"/>
      <c r="W7" s="183"/>
      <c r="X7" s="5"/>
    </row>
    <row r="8" spans="1:24" ht="15.75" x14ac:dyDescent="0.25">
      <c r="A8" s="181"/>
      <c r="B8" s="186"/>
      <c r="C8" s="183"/>
      <c r="D8" s="183"/>
      <c r="E8" s="183"/>
      <c r="F8" s="183"/>
      <c r="G8" s="183"/>
      <c r="H8" s="183"/>
      <c r="I8" s="183"/>
      <c r="J8" s="183"/>
      <c r="K8" s="183"/>
      <c r="L8" s="183"/>
      <c r="M8" s="183"/>
      <c r="N8" s="183"/>
      <c r="O8" s="183"/>
      <c r="P8" s="183"/>
      <c r="Q8" s="183"/>
      <c r="R8" s="183"/>
      <c r="S8" s="183"/>
      <c r="T8" s="183"/>
      <c r="U8" s="183"/>
      <c r="V8" s="183"/>
      <c r="W8" s="183"/>
      <c r="X8" s="5"/>
    </row>
    <row r="9" spans="1:24" ht="18.75" x14ac:dyDescent="0.3">
      <c r="A9" s="181"/>
      <c r="B9" s="187" t="s">
        <v>166</v>
      </c>
      <c r="C9" s="183"/>
      <c r="D9" s="183"/>
      <c r="E9" s="183"/>
      <c r="F9" s="183"/>
      <c r="G9" s="183"/>
      <c r="H9" s="183"/>
      <c r="I9" s="188" t="s">
        <v>167</v>
      </c>
      <c r="J9" s="183"/>
      <c r="K9" s="183"/>
      <c r="L9" s="188"/>
      <c r="M9" s="183"/>
      <c r="N9" s="188"/>
      <c r="O9" s="183"/>
      <c r="P9" s="183"/>
      <c r="Q9" s="183"/>
      <c r="R9" s="183"/>
      <c r="S9" s="183"/>
      <c r="T9" s="183"/>
      <c r="U9" s="183"/>
      <c r="V9" s="183"/>
      <c r="W9" s="183"/>
      <c r="X9" s="5"/>
    </row>
    <row r="10" spans="1:24" ht="15.75" x14ac:dyDescent="0.25">
      <c r="A10" s="181"/>
      <c r="B10" s="186"/>
      <c r="C10" s="189"/>
      <c r="D10" s="189"/>
      <c r="E10" s="189"/>
      <c r="F10" s="183"/>
      <c r="G10" s="183"/>
      <c r="H10" s="183"/>
      <c r="I10" s="183"/>
      <c r="J10" s="183"/>
      <c r="K10" s="183"/>
      <c r="L10" s="183"/>
      <c r="M10" s="183"/>
      <c r="N10" s="183"/>
      <c r="O10" s="183"/>
      <c r="P10" s="183"/>
      <c r="Q10" s="183"/>
      <c r="R10" s="183"/>
      <c r="S10" s="183"/>
      <c r="T10" s="183"/>
      <c r="U10" s="183"/>
      <c r="V10" s="183"/>
      <c r="W10" s="183"/>
      <c r="X10" s="5"/>
    </row>
    <row r="11" spans="1:24" ht="15.75" x14ac:dyDescent="0.25">
      <c r="A11" s="181"/>
      <c r="B11" s="388" t="s">
        <v>0</v>
      </c>
      <c r="C11" s="183"/>
      <c r="D11" s="183"/>
      <c r="E11" s="183"/>
      <c r="F11" s="183"/>
      <c r="G11" s="183"/>
      <c r="H11" s="183"/>
      <c r="I11" s="183"/>
      <c r="J11" s="183"/>
      <c r="K11" s="183"/>
      <c r="L11" s="183"/>
      <c r="M11" s="183"/>
      <c r="N11" s="183"/>
      <c r="O11" s="183"/>
      <c r="P11" s="183"/>
      <c r="Q11" s="183"/>
      <c r="R11" s="183"/>
      <c r="S11" s="183"/>
      <c r="T11" s="183"/>
      <c r="U11" s="183"/>
      <c r="V11" s="183"/>
      <c r="W11" s="183"/>
      <c r="X11" s="5"/>
    </row>
    <row r="12" spans="1:24" ht="16.5" thickBot="1" x14ac:dyDescent="0.3">
      <c r="A12" s="181"/>
      <c r="B12" s="189"/>
      <c r="C12" s="183"/>
      <c r="D12" s="183"/>
      <c r="E12" s="183"/>
      <c r="F12" s="183"/>
      <c r="G12" s="183"/>
      <c r="H12" s="183"/>
      <c r="I12" s="183"/>
      <c r="J12" s="183"/>
      <c r="K12" s="183"/>
      <c r="L12" s="183"/>
      <c r="M12" s="183"/>
      <c r="N12" s="183"/>
      <c r="O12" s="183"/>
      <c r="P12" s="183"/>
      <c r="Q12" s="183"/>
      <c r="R12" s="183"/>
      <c r="S12" s="183"/>
      <c r="T12" s="183"/>
      <c r="U12" s="183"/>
      <c r="V12" s="183"/>
      <c r="W12" s="183"/>
      <c r="X12" s="5"/>
    </row>
    <row r="13" spans="1:24" ht="15.75" x14ac:dyDescent="0.25">
      <c r="A13" s="179"/>
      <c r="B13" s="180"/>
      <c r="C13" s="180"/>
      <c r="D13" s="180"/>
      <c r="E13" s="180"/>
      <c r="F13" s="180"/>
      <c r="G13" s="180"/>
      <c r="H13" s="180"/>
      <c r="I13" s="180"/>
      <c r="J13" s="180"/>
      <c r="K13" s="180"/>
      <c r="L13" s="180"/>
      <c r="M13" s="180"/>
      <c r="N13" s="180"/>
      <c r="O13" s="180"/>
      <c r="P13" s="180"/>
      <c r="Q13" s="180"/>
      <c r="R13" s="180"/>
      <c r="S13" s="180"/>
      <c r="T13" s="180"/>
      <c r="U13" s="180"/>
      <c r="V13" s="180"/>
      <c r="W13" s="180"/>
      <c r="X13" s="5"/>
    </row>
    <row r="14" spans="1:24" ht="15.75" x14ac:dyDescent="0.25">
      <c r="A14" s="181"/>
      <c r="B14" s="388" t="s">
        <v>1</v>
      </c>
      <c r="C14" s="255"/>
      <c r="D14" s="255"/>
      <c r="E14" s="255"/>
      <c r="F14" s="255"/>
      <c r="G14" s="255"/>
      <c r="H14" s="255"/>
      <c r="I14" s="255"/>
      <c r="J14" s="255"/>
      <c r="K14" s="255"/>
      <c r="L14" s="255"/>
      <c r="M14" s="255"/>
      <c r="N14" s="255"/>
      <c r="O14" s="255"/>
      <c r="P14" s="255"/>
      <c r="Q14" s="255"/>
      <c r="R14" s="255"/>
      <c r="S14" s="255"/>
      <c r="T14" s="255"/>
      <c r="U14" s="255"/>
      <c r="V14" s="276" t="s">
        <v>239</v>
      </c>
      <c r="W14" s="255"/>
      <c r="X14" s="5"/>
    </row>
    <row r="15" spans="1:24" ht="15.75" x14ac:dyDescent="0.25">
      <c r="A15" s="181"/>
      <c r="B15" s="388" t="s">
        <v>2</v>
      </c>
      <c r="C15" s="255"/>
      <c r="D15" s="255"/>
      <c r="E15" s="255"/>
      <c r="F15" s="255"/>
      <c r="G15" s="255"/>
      <c r="H15" s="389"/>
      <c r="I15" s="389"/>
      <c r="J15" s="389"/>
      <c r="K15" s="389"/>
      <c r="L15" s="389"/>
      <c r="M15" s="389"/>
      <c r="N15" s="389"/>
      <c r="O15" s="389"/>
      <c r="P15" s="389"/>
      <c r="Q15" s="389"/>
      <c r="R15" s="389" t="s">
        <v>104</v>
      </c>
      <c r="S15" s="390">
        <v>0.47189999999999999</v>
      </c>
      <c r="T15" s="391" t="s">
        <v>140</v>
      </c>
      <c r="U15" s="390">
        <v>0.52810000000000001</v>
      </c>
      <c r="V15" s="276"/>
      <c r="W15" s="255"/>
      <c r="X15" s="5"/>
    </row>
    <row r="16" spans="1:24" ht="15.75" x14ac:dyDescent="0.25">
      <c r="A16" s="181"/>
      <c r="B16" s="388" t="s">
        <v>3</v>
      </c>
      <c r="C16" s="255"/>
      <c r="D16" s="255"/>
      <c r="E16" s="255"/>
      <c r="F16" s="255"/>
      <c r="G16" s="255"/>
      <c r="H16" s="389"/>
      <c r="I16" s="389"/>
      <c r="J16" s="389"/>
      <c r="K16" s="389"/>
      <c r="L16" s="389"/>
      <c r="M16" s="389"/>
      <c r="N16" s="389"/>
      <c r="O16" s="389"/>
      <c r="P16" s="389"/>
      <c r="Q16" s="389"/>
      <c r="R16" s="389" t="s">
        <v>104</v>
      </c>
      <c r="S16" s="390">
        <v>0.54239999999999999</v>
      </c>
      <c r="T16" s="391" t="s">
        <v>140</v>
      </c>
      <c r="U16" s="390">
        <v>0.45760000000000001</v>
      </c>
      <c r="V16" s="276"/>
      <c r="W16" s="255"/>
      <c r="X16" s="5"/>
    </row>
    <row r="17" spans="1:24" ht="15.75" x14ac:dyDescent="0.25">
      <c r="A17" s="181"/>
      <c r="B17" s="388" t="s">
        <v>4</v>
      </c>
      <c r="C17" s="255"/>
      <c r="D17" s="255"/>
      <c r="E17" s="255"/>
      <c r="F17" s="255"/>
      <c r="G17" s="255"/>
      <c r="H17" s="255"/>
      <c r="I17" s="255"/>
      <c r="J17" s="255"/>
      <c r="K17" s="255"/>
      <c r="L17" s="255"/>
      <c r="M17" s="255"/>
      <c r="N17" s="255"/>
      <c r="O17" s="255"/>
      <c r="P17" s="255"/>
      <c r="Q17" s="255"/>
      <c r="R17" s="255"/>
      <c r="S17" s="255"/>
      <c r="T17" s="255"/>
      <c r="U17" s="255"/>
      <c r="V17" s="392">
        <v>39282</v>
      </c>
      <c r="W17" s="255"/>
      <c r="X17" s="5"/>
    </row>
    <row r="18" spans="1:24" ht="15.75" x14ac:dyDescent="0.25">
      <c r="A18" s="181"/>
      <c r="B18" s="388" t="s">
        <v>5</v>
      </c>
      <c r="C18" s="255"/>
      <c r="D18" s="255"/>
      <c r="E18" s="255"/>
      <c r="F18" s="255"/>
      <c r="G18" s="255"/>
      <c r="H18" s="255"/>
      <c r="I18" s="255"/>
      <c r="J18" s="255"/>
      <c r="K18" s="255"/>
      <c r="L18" s="255"/>
      <c r="M18" s="255"/>
      <c r="N18" s="255"/>
      <c r="O18" s="255"/>
      <c r="P18" s="255"/>
      <c r="Q18" s="255"/>
      <c r="R18" s="255"/>
      <c r="S18" s="255"/>
      <c r="T18" s="255"/>
      <c r="U18" s="255"/>
      <c r="V18" s="392">
        <v>41355</v>
      </c>
      <c r="W18" s="255"/>
      <c r="X18" s="5"/>
    </row>
    <row r="19" spans="1:24" ht="15.75" x14ac:dyDescent="0.25">
      <c r="A19" s="181"/>
      <c r="B19" s="183"/>
      <c r="C19" s="183"/>
      <c r="D19" s="183"/>
      <c r="E19" s="183"/>
      <c r="F19" s="183"/>
      <c r="G19" s="183"/>
      <c r="H19" s="183"/>
      <c r="I19" s="183"/>
      <c r="J19" s="183"/>
      <c r="K19" s="183"/>
      <c r="L19" s="183"/>
      <c r="M19" s="183"/>
      <c r="N19" s="183"/>
      <c r="O19" s="183"/>
      <c r="P19" s="183"/>
      <c r="Q19" s="183"/>
      <c r="R19" s="183"/>
      <c r="S19" s="183"/>
      <c r="T19" s="183"/>
      <c r="U19" s="183"/>
      <c r="V19" s="190"/>
      <c r="W19" s="183"/>
      <c r="X19" s="5"/>
    </row>
    <row r="20" spans="1:24" ht="15.75" x14ac:dyDescent="0.25">
      <c r="A20" s="181"/>
      <c r="B20" s="280" t="s">
        <v>6</v>
      </c>
      <c r="C20" s="255"/>
      <c r="D20" s="255"/>
      <c r="E20" s="255"/>
      <c r="F20" s="255"/>
      <c r="G20" s="255"/>
      <c r="H20" s="255"/>
      <c r="I20" s="255"/>
      <c r="J20" s="255"/>
      <c r="K20" s="255"/>
      <c r="L20" s="255"/>
      <c r="M20" s="255"/>
      <c r="N20" s="255"/>
      <c r="O20" s="255"/>
      <c r="P20" s="255"/>
      <c r="Q20" s="255"/>
      <c r="R20" s="255"/>
      <c r="S20" s="255"/>
      <c r="T20" s="281" t="s">
        <v>105</v>
      </c>
      <c r="U20" s="255"/>
      <c r="V20" s="261"/>
      <c r="W20" s="183"/>
      <c r="X20" s="5"/>
    </row>
    <row r="21" spans="1:24" ht="15.75" x14ac:dyDescent="0.25">
      <c r="A21" s="181"/>
      <c r="B21" s="183"/>
      <c r="C21" s="183"/>
      <c r="D21" s="183"/>
      <c r="E21" s="183"/>
      <c r="F21" s="183"/>
      <c r="G21" s="183"/>
      <c r="H21" s="183"/>
      <c r="I21" s="183"/>
      <c r="J21" s="183"/>
      <c r="K21" s="183"/>
      <c r="L21" s="183"/>
      <c r="M21" s="183"/>
      <c r="N21" s="183"/>
      <c r="O21" s="183"/>
      <c r="P21" s="183"/>
      <c r="Q21" s="183"/>
      <c r="R21" s="183"/>
      <c r="S21" s="183"/>
      <c r="T21" s="183"/>
      <c r="U21" s="183"/>
      <c r="V21" s="192"/>
      <c r="W21" s="183"/>
      <c r="X21" s="5"/>
    </row>
    <row r="22" spans="1:24" ht="15.75" x14ac:dyDescent="0.25">
      <c r="A22" s="224"/>
      <c r="B22" s="225"/>
      <c r="C22" s="226"/>
      <c r="D22" s="226" t="s">
        <v>177</v>
      </c>
      <c r="E22" s="226"/>
      <c r="F22" s="226" t="s">
        <v>178</v>
      </c>
      <c r="G22" s="226"/>
      <c r="H22" s="226" t="s">
        <v>179</v>
      </c>
      <c r="I22" s="226"/>
      <c r="J22" s="226" t="s">
        <v>219</v>
      </c>
      <c r="K22" s="226"/>
      <c r="L22" s="226" t="s">
        <v>180</v>
      </c>
      <c r="M22" s="226"/>
      <c r="N22" s="226" t="s">
        <v>181</v>
      </c>
      <c r="O22" s="226"/>
      <c r="P22" s="226" t="s">
        <v>182</v>
      </c>
      <c r="Q22" s="226"/>
      <c r="R22" s="226"/>
      <c r="S22" s="228"/>
      <c r="T22" s="228"/>
      <c r="U22" s="229"/>
      <c r="V22" s="229"/>
      <c r="W22" s="225"/>
      <c r="X22" s="5"/>
    </row>
    <row r="23" spans="1:24" ht="15.75" x14ac:dyDescent="0.25">
      <c r="A23" s="193"/>
      <c r="B23" s="250" t="s">
        <v>7</v>
      </c>
      <c r="C23" s="282"/>
      <c r="D23" s="282" t="s">
        <v>212</v>
      </c>
      <c r="E23" s="282"/>
      <c r="F23" s="282" t="s">
        <v>141</v>
      </c>
      <c r="G23" s="282"/>
      <c r="H23" s="282" t="s">
        <v>141</v>
      </c>
      <c r="I23" s="282"/>
      <c r="J23" s="282" t="s">
        <v>141</v>
      </c>
      <c r="K23" s="282"/>
      <c r="L23" s="282" t="s">
        <v>183</v>
      </c>
      <c r="M23" s="282"/>
      <c r="N23" s="282" t="s">
        <v>183</v>
      </c>
      <c r="O23" s="282"/>
      <c r="P23" s="282" t="s">
        <v>142</v>
      </c>
      <c r="Q23" s="282"/>
      <c r="R23" s="282"/>
      <c r="S23" s="282"/>
      <c r="T23" s="282"/>
      <c r="U23" s="273"/>
      <c r="V23" s="273"/>
      <c r="W23" s="250"/>
      <c r="X23" s="5"/>
    </row>
    <row r="24" spans="1:24" ht="15.75" x14ac:dyDescent="0.25">
      <c r="A24" s="285"/>
      <c r="B24" s="286" t="s">
        <v>8</v>
      </c>
      <c r="C24" s="287"/>
      <c r="D24" s="287" t="s">
        <v>213</v>
      </c>
      <c r="E24" s="287"/>
      <c r="F24" s="287" t="s">
        <v>143</v>
      </c>
      <c r="G24" s="287"/>
      <c r="H24" s="287" t="s">
        <v>143</v>
      </c>
      <c r="I24" s="287"/>
      <c r="J24" s="287" t="s">
        <v>143</v>
      </c>
      <c r="K24" s="287"/>
      <c r="L24" s="287" t="s">
        <v>165</v>
      </c>
      <c r="M24" s="287"/>
      <c r="N24" s="287" t="s">
        <v>165</v>
      </c>
      <c r="O24" s="287"/>
      <c r="P24" s="287" t="s">
        <v>144</v>
      </c>
      <c r="Q24" s="287"/>
      <c r="R24" s="287"/>
      <c r="S24" s="287"/>
      <c r="T24" s="287"/>
      <c r="U24" s="288"/>
      <c r="V24" s="288"/>
      <c r="W24" s="289"/>
      <c r="X24" s="5"/>
    </row>
    <row r="25" spans="1:24" ht="15.75" x14ac:dyDescent="0.25">
      <c r="A25" s="290"/>
      <c r="B25" s="286" t="s">
        <v>190</v>
      </c>
      <c r="C25" s="292"/>
      <c r="D25" s="287" t="s">
        <v>214</v>
      </c>
      <c r="E25" s="287"/>
      <c r="F25" s="287" t="s">
        <v>143</v>
      </c>
      <c r="G25" s="287"/>
      <c r="H25" s="287" t="s">
        <v>143</v>
      </c>
      <c r="I25" s="287"/>
      <c r="J25" s="287" t="s">
        <v>143</v>
      </c>
      <c r="K25" s="287"/>
      <c r="L25" s="287" t="s">
        <v>165</v>
      </c>
      <c r="M25" s="287"/>
      <c r="N25" s="287" t="s">
        <v>165</v>
      </c>
      <c r="O25" s="287"/>
      <c r="P25" s="287" t="s">
        <v>144</v>
      </c>
      <c r="Q25" s="287"/>
      <c r="R25" s="287"/>
      <c r="S25" s="292"/>
      <c r="T25" s="287"/>
      <c r="U25" s="288"/>
      <c r="V25" s="288"/>
      <c r="W25" s="289"/>
      <c r="X25" s="5"/>
    </row>
    <row r="26" spans="1:24" ht="15.75" x14ac:dyDescent="0.25">
      <c r="A26" s="393"/>
      <c r="B26" s="297" t="s">
        <v>9</v>
      </c>
      <c r="C26" s="292"/>
      <c r="D26" s="292" t="s">
        <v>141</v>
      </c>
      <c r="E26" s="292"/>
      <c r="F26" s="292" t="s">
        <v>141</v>
      </c>
      <c r="G26" s="292"/>
      <c r="H26" s="292" t="s">
        <v>141</v>
      </c>
      <c r="I26" s="292"/>
      <c r="J26" s="292" t="s">
        <v>141</v>
      </c>
      <c r="K26" s="292"/>
      <c r="L26" s="292" t="s">
        <v>183</v>
      </c>
      <c r="M26" s="292"/>
      <c r="N26" s="292" t="s">
        <v>183</v>
      </c>
      <c r="O26" s="292"/>
      <c r="P26" s="292" t="s">
        <v>142</v>
      </c>
      <c r="Q26" s="292"/>
      <c r="R26" s="292"/>
      <c r="S26" s="292"/>
      <c r="T26" s="287"/>
      <c r="U26" s="288"/>
      <c r="V26" s="288"/>
      <c r="W26" s="289"/>
      <c r="X26" s="5"/>
    </row>
    <row r="27" spans="1:24" ht="15.75" x14ac:dyDescent="0.25">
      <c r="A27" s="295"/>
      <c r="B27" s="297" t="s">
        <v>191</v>
      </c>
      <c r="C27" s="287"/>
      <c r="D27" s="292" t="s">
        <v>143</v>
      </c>
      <c r="E27" s="292"/>
      <c r="F27" s="292" t="s">
        <v>143</v>
      </c>
      <c r="G27" s="292"/>
      <c r="H27" s="292" t="s">
        <v>143</v>
      </c>
      <c r="I27" s="292"/>
      <c r="J27" s="292" t="s">
        <v>143</v>
      </c>
      <c r="K27" s="292"/>
      <c r="L27" s="292" t="s">
        <v>307</v>
      </c>
      <c r="M27" s="292"/>
      <c r="N27" s="292" t="s">
        <v>307</v>
      </c>
      <c r="O27" s="292"/>
      <c r="P27" s="292" t="s">
        <v>308</v>
      </c>
      <c r="Q27" s="292"/>
      <c r="R27" s="292"/>
      <c r="S27" s="287"/>
      <c r="T27" s="296"/>
      <c r="U27" s="288"/>
      <c r="V27" s="288"/>
      <c r="W27" s="289"/>
      <c r="X27" s="5"/>
    </row>
    <row r="28" spans="1:24" ht="15.75" x14ac:dyDescent="0.25">
      <c r="A28" s="295"/>
      <c r="B28" s="297" t="s">
        <v>192</v>
      </c>
      <c r="C28" s="287"/>
      <c r="D28" s="292" t="s">
        <v>143</v>
      </c>
      <c r="E28" s="292"/>
      <c r="F28" s="292" t="s">
        <v>143</v>
      </c>
      <c r="G28" s="292"/>
      <c r="H28" s="292" t="s">
        <v>143</v>
      </c>
      <c r="I28" s="292"/>
      <c r="J28" s="292" t="s">
        <v>143</v>
      </c>
      <c r="K28" s="292"/>
      <c r="L28" s="292" t="s">
        <v>165</v>
      </c>
      <c r="M28" s="292"/>
      <c r="N28" s="292" t="s">
        <v>165</v>
      </c>
      <c r="O28" s="292"/>
      <c r="P28" s="292" t="s">
        <v>309</v>
      </c>
      <c r="Q28" s="292"/>
      <c r="R28" s="292"/>
      <c r="S28" s="287"/>
      <c r="T28" s="296"/>
      <c r="U28" s="288"/>
      <c r="V28" s="288"/>
      <c r="W28" s="289"/>
      <c r="X28" s="5"/>
    </row>
    <row r="29" spans="1:24" ht="15.75" x14ac:dyDescent="0.25">
      <c r="A29" s="295"/>
      <c r="B29" s="286" t="s">
        <v>10</v>
      </c>
      <c r="C29" s="298"/>
      <c r="D29" s="287" t="s">
        <v>242</v>
      </c>
      <c r="E29" s="287"/>
      <c r="F29" s="296" t="s">
        <v>244</v>
      </c>
      <c r="G29" s="287"/>
      <c r="H29" s="287" t="s">
        <v>245</v>
      </c>
      <c r="I29" s="287"/>
      <c r="J29" s="287" t="s">
        <v>247</v>
      </c>
      <c r="K29" s="287"/>
      <c r="L29" s="287" t="s">
        <v>248</v>
      </c>
      <c r="M29" s="287"/>
      <c r="N29" s="287" t="s">
        <v>249</v>
      </c>
      <c r="O29" s="287"/>
      <c r="P29" s="287" t="s">
        <v>250</v>
      </c>
      <c r="Q29" s="287"/>
      <c r="R29" s="287"/>
      <c r="S29" s="299"/>
      <c r="T29" s="299"/>
      <c r="U29" s="300"/>
      <c r="V29" s="299"/>
      <c r="W29" s="301"/>
      <c r="X29" s="5"/>
    </row>
    <row r="30" spans="1:24" ht="15.75" x14ac:dyDescent="0.25">
      <c r="A30" s="295"/>
      <c r="B30" s="286" t="s">
        <v>10</v>
      </c>
      <c r="C30" s="298"/>
      <c r="D30" s="287" t="s">
        <v>243</v>
      </c>
      <c r="E30" s="287"/>
      <c r="F30" s="296" t="s">
        <v>118</v>
      </c>
      <c r="G30" s="287"/>
      <c r="H30" s="287" t="s">
        <v>118</v>
      </c>
      <c r="I30" s="287"/>
      <c r="J30" s="287" t="s">
        <v>246</v>
      </c>
      <c r="K30" s="287"/>
      <c r="L30" s="287" t="s">
        <v>118</v>
      </c>
      <c r="M30" s="287"/>
      <c r="N30" s="287" t="s">
        <v>118</v>
      </c>
      <c r="O30" s="287"/>
      <c r="P30" s="287" t="s">
        <v>118</v>
      </c>
      <c r="Q30" s="287"/>
      <c r="R30" s="287"/>
      <c r="S30" s="299"/>
      <c r="T30" s="299"/>
      <c r="U30" s="300"/>
      <c r="V30" s="299"/>
      <c r="W30" s="301"/>
      <c r="X30" s="5"/>
    </row>
    <row r="31" spans="1:24" ht="15.75" x14ac:dyDescent="0.25">
      <c r="A31" s="393"/>
      <c r="B31" s="286" t="s">
        <v>133</v>
      </c>
      <c r="C31" s="310"/>
      <c r="D31" s="303">
        <v>1000000</v>
      </c>
      <c r="E31" s="298"/>
      <c r="F31" s="299">
        <v>209500</v>
      </c>
      <c r="G31" s="299"/>
      <c r="H31" s="304">
        <v>110000</v>
      </c>
      <c r="I31" s="304"/>
      <c r="J31" s="303">
        <v>150000</v>
      </c>
      <c r="K31" s="299"/>
      <c r="L31" s="299">
        <v>17000</v>
      </c>
      <c r="M31" s="299"/>
      <c r="N31" s="304">
        <v>85500</v>
      </c>
      <c r="O31" s="299"/>
      <c r="P31" s="304">
        <v>110500</v>
      </c>
      <c r="Q31" s="299"/>
      <c r="R31" s="304"/>
      <c r="S31" s="312"/>
      <c r="T31" s="312"/>
      <c r="U31" s="306"/>
      <c r="V31" s="312"/>
      <c r="W31" s="301"/>
      <c r="X31" s="5"/>
    </row>
    <row r="32" spans="1:24" ht="15.75" x14ac:dyDescent="0.25">
      <c r="A32" s="295"/>
      <c r="B32" s="286" t="s">
        <v>132</v>
      </c>
      <c r="C32" s="298"/>
      <c r="D32" s="303">
        <f>D31*D38</f>
        <v>779155.7</v>
      </c>
      <c r="E32" s="298"/>
      <c r="F32" s="299">
        <f>F31*F38</f>
        <v>163233.34959999999</v>
      </c>
      <c r="G32" s="299"/>
      <c r="H32" s="304">
        <f>H31*H38</f>
        <v>85707.732000000004</v>
      </c>
      <c r="I32" s="304"/>
      <c r="J32" s="303">
        <f>J31*J38</f>
        <v>116873.355</v>
      </c>
      <c r="K32" s="299"/>
      <c r="L32" s="299">
        <f>L31*L38</f>
        <v>17000</v>
      </c>
      <c r="M32" s="299"/>
      <c r="N32" s="304">
        <f>N31*N38</f>
        <v>85500</v>
      </c>
      <c r="O32" s="299"/>
      <c r="P32" s="304">
        <f>P31*P38</f>
        <v>110500</v>
      </c>
      <c r="Q32" s="299"/>
      <c r="R32" s="304"/>
      <c r="S32" s="299"/>
      <c r="T32" s="299"/>
      <c r="U32" s="300"/>
      <c r="V32" s="299"/>
      <c r="W32" s="301"/>
      <c r="X32" s="5"/>
    </row>
    <row r="33" spans="1:27" ht="15.75" x14ac:dyDescent="0.25">
      <c r="A33" s="295"/>
      <c r="B33" s="297" t="s">
        <v>134</v>
      </c>
      <c r="C33" s="298"/>
      <c r="D33" s="394">
        <f>D37*D31</f>
        <v>775602.4</v>
      </c>
      <c r="E33" s="310"/>
      <c r="F33" s="312">
        <f>F37*F31</f>
        <v>162488.95419999998</v>
      </c>
      <c r="G33" s="312"/>
      <c r="H33" s="395">
        <f>H31*H37</f>
        <v>85316.87999999999</v>
      </c>
      <c r="I33" s="395"/>
      <c r="J33" s="394">
        <f>J37*J31</f>
        <v>116340.36</v>
      </c>
      <c r="K33" s="312"/>
      <c r="L33" s="312">
        <f>L31*L37</f>
        <v>17000</v>
      </c>
      <c r="M33" s="312"/>
      <c r="N33" s="395">
        <f>N31*N37</f>
        <v>85500</v>
      </c>
      <c r="O33" s="312"/>
      <c r="P33" s="395">
        <f>P31*P37</f>
        <v>110500</v>
      </c>
      <c r="Q33" s="312"/>
      <c r="R33" s="395"/>
      <c r="S33" s="299"/>
      <c r="T33" s="299"/>
      <c r="U33" s="300"/>
      <c r="V33" s="299"/>
      <c r="W33" s="301"/>
      <c r="X33" s="5"/>
    </row>
    <row r="34" spans="1:27" ht="15.75" x14ac:dyDescent="0.25">
      <c r="A34" s="393"/>
      <c r="B34" s="286" t="s">
        <v>286</v>
      </c>
      <c r="C34" s="310"/>
      <c r="D34" s="299">
        <v>492951</v>
      </c>
      <c r="E34" s="298"/>
      <c r="F34" s="299">
        <v>209500</v>
      </c>
      <c r="G34" s="299"/>
      <c r="H34" s="299">
        <v>74677</v>
      </c>
      <c r="I34" s="299"/>
      <c r="J34" s="299">
        <v>73943</v>
      </c>
      <c r="K34" s="299"/>
      <c r="L34" s="299">
        <v>17000</v>
      </c>
      <c r="M34" s="299"/>
      <c r="N34" s="299">
        <v>58045</v>
      </c>
      <c r="O34" s="299"/>
      <c r="P34" s="299">
        <v>75017</v>
      </c>
      <c r="Q34" s="299"/>
      <c r="R34" s="299"/>
      <c r="S34" s="312"/>
      <c r="T34" s="312"/>
      <c r="U34" s="306"/>
      <c r="V34" s="299">
        <f>SUM(C34:R34)</f>
        <v>1001133</v>
      </c>
      <c r="W34" s="301"/>
      <c r="X34" s="5"/>
    </row>
    <row r="35" spans="1:27" ht="15.75" x14ac:dyDescent="0.25">
      <c r="A35" s="393"/>
      <c r="B35" s="286" t="s">
        <v>287</v>
      </c>
      <c r="C35" s="310"/>
      <c r="D35" s="299">
        <f>D34*D38</f>
        <v>384085.58147069998</v>
      </c>
      <c r="E35" s="298"/>
      <c r="F35" s="299">
        <f>F34*F38</f>
        <v>163233.34959999999</v>
      </c>
      <c r="G35" s="299"/>
      <c r="H35" s="299">
        <f>H34*H38</f>
        <v>58185.420932399997</v>
      </c>
      <c r="I35" s="299"/>
      <c r="J35" s="299">
        <f>J34*J38</f>
        <v>57613.109925099998</v>
      </c>
      <c r="K35" s="299"/>
      <c r="L35" s="299">
        <f>L34*L38</f>
        <v>17000</v>
      </c>
      <c r="M35" s="299"/>
      <c r="N35" s="299">
        <f>N34*N38</f>
        <v>58045</v>
      </c>
      <c r="O35" s="299"/>
      <c r="P35" s="299">
        <f>P34*P38</f>
        <v>75017</v>
      </c>
      <c r="Q35" s="299"/>
      <c r="R35" s="299"/>
      <c r="S35" s="299"/>
      <c r="T35" s="299"/>
      <c r="U35" s="300"/>
      <c r="V35" s="299">
        <f>SUM(C35:R35)</f>
        <v>813179.46192819998</v>
      </c>
      <c r="W35" s="301"/>
      <c r="X35" s="5"/>
    </row>
    <row r="36" spans="1:27" ht="15.75" x14ac:dyDescent="0.25">
      <c r="A36" s="393"/>
      <c r="B36" s="297" t="s">
        <v>288</v>
      </c>
      <c r="C36" s="310"/>
      <c r="D36" s="312">
        <f>D34*D37</f>
        <v>382333.97868240002</v>
      </c>
      <c r="E36" s="310"/>
      <c r="F36" s="312">
        <f>F34*F37</f>
        <v>162488.95419999998</v>
      </c>
      <c r="G36" s="312"/>
      <c r="H36" s="312">
        <f>H34*H37</f>
        <v>57920.078615999999</v>
      </c>
      <c r="I36" s="312"/>
      <c r="J36" s="312">
        <f>J34*J37</f>
        <v>57350.368263200005</v>
      </c>
      <c r="K36" s="312"/>
      <c r="L36" s="312">
        <f>L34*L37</f>
        <v>17000</v>
      </c>
      <c r="M36" s="312"/>
      <c r="N36" s="312">
        <f>N34*N37</f>
        <v>58045</v>
      </c>
      <c r="O36" s="312"/>
      <c r="P36" s="312">
        <f>P34*P37</f>
        <v>75017</v>
      </c>
      <c r="Q36" s="312"/>
      <c r="R36" s="312"/>
      <c r="S36" s="311"/>
      <c r="T36" s="311"/>
      <c r="U36" s="300"/>
      <c r="V36" s="312">
        <f>SUM(C36:R36)</f>
        <v>810155.37976160005</v>
      </c>
      <c r="W36" s="301"/>
      <c r="X36" s="5"/>
    </row>
    <row r="37" spans="1:27" ht="15.75" x14ac:dyDescent="0.25">
      <c r="A37" s="285"/>
      <c r="B37" s="313" t="s">
        <v>130</v>
      </c>
      <c r="C37" s="314"/>
      <c r="D37" s="315">
        <v>0.77560240000000003</v>
      </c>
      <c r="E37" s="315"/>
      <c r="F37" s="315">
        <v>0.77560359999999995</v>
      </c>
      <c r="G37" s="315"/>
      <c r="H37" s="315">
        <v>0.77560799999999996</v>
      </c>
      <c r="I37" s="315"/>
      <c r="J37" s="315">
        <v>0.77560240000000003</v>
      </c>
      <c r="K37" s="315"/>
      <c r="L37" s="315">
        <v>1</v>
      </c>
      <c r="M37" s="315"/>
      <c r="N37" s="315">
        <v>1</v>
      </c>
      <c r="O37" s="315"/>
      <c r="P37" s="315">
        <v>1</v>
      </c>
      <c r="Q37" s="315"/>
      <c r="R37" s="315"/>
      <c r="S37" s="316"/>
      <c r="T37" s="316"/>
      <c r="U37" s="317"/>
      <c r="V37" s="317"/>
      <c r="W37" s="318"/>
      <c r="X37" s="5"/>
    </row>
    <row r="38" spans="1:27" ht="15.75" x14ac:dyDescent="0.25">
      <c r="A38" s="285"/>
      <c r="B38" s="313" t="s">
        <v>131</v>
      </c>
      <c r="C38" s="314"/>
      <c r="D38" s="315">
        <v>0.77915570000000001</v>
      </c>
      <c r="E38" s="315"/>
      <c r="F38" s="315">
        <v>0.77915679999999998</v>
      </c>
      <c r="G38" s="315"/>
      <c r="H38" s="315">
        <v>0.7791612</v>
      </c>
      <c r="I38" s="315"/>
      <c r="J38" s="315">
        <v>0.77915570000000001</v>
      </c>
      <c r="K38" s="315"/>
      <c r="L38" s="315">
        <v>1</v>
      </c>
      <c r="M38" s="315"/>
      <c r="N38" s="315">
        <v>1</v>
      </c>
      <c r="O38" s="315"/>
      <c r="P38" s="315">
        <v>1</v>
      </c>
      <c r="Q38" s="315"/>
      <c r="R38" s="315"/>
      <c r="S38" s="319"/>
      <c r="T38" s="320"/>
      <c r="U38" s="317"/>
      <c r="V38" s="319"/>
      <c r="W38" s="318"/>
      <c r="X38" s="5"/>
    </row>
    <row r="39" spans="1:27" ht="15.75" x14ac:dyDescent="0.25">
      <c r="A39" s="285"/>
      <c r="B39" s="286" t="s">
        <v>11</v>
      </c>
      <c r="C39" s="286"/>
      <c r="D39" s="296" t="s">
        <v>304</v>
      </c>
      <c r="E39" s="286"/>
      <c r="F39" s="296" t="s">
        <v>256</v>
      </c>
      <c r="G39" s="296"/>
      <c r="H39" s="296" t="s">
        <v>257</v>
      </c>
      <c r="I39" s="296"/>
      <c r="J39" s="296" t="s">
        <v>258</v>
      </c>
      <c r="K39" s="296"/>
      <c r="L39" s="296" t="s">
        <v>259</v>
      </c>
      <c r="M39" s="296"/>
      <c r="N39" s="296" t="s">
        <v>259</v>
      </c>
      <c r="O39" s="296"/>
      <c r="P39" s="296" t="s">
        <v>260</v>
      </c>
      <c r="Q39" s="296"/>
      <c r="R39" s="296"/>
      <c r="S39" s="321"/>
      <c r="T39" s="322"/>
      <c r="U39" s="288"/>
      <c r="V39" s="288"/>
      <c r="W39" s="289"/>
      <c r="X39" s="5"/>
    </row>
    <row r="40" spans="1:27" ht="15.75" x14ac:dyDescent="0.25">
      <c r="A40" s="285"/>
      <c r="B40" s="286" t="s">
        <v>12</v>
      </c>
      <c r="C40" s="286"/>
      <c r="D40" s="322">
        <v>3.8119999999999999E-3</v>
      </c>
      <c r="E40" s="286"/>
      <c r="F40" s="322">
        <v>7.7875000000000002E-3</v>
      </c>
      <c r="G40" s="321"/>
      <c r="H40" s="322">
        <v>4.2300000000000003E-3</v>
      </c>
      <c r="I40" s="322"/>
      <c r="J40" s="322">
        <v>5.28E-3</v>
      </c>
      <c r="K40" s="321"/>
      <c r="L40" s="322">
        <v>1.05875E-2</v>
      </c>
      <c r="M40" s="321"/>
      <c r="N40" s="322">
        <v>7.2300000000000003E-3</v>
      </c>
      <c r="O40" s="321"/>
      <c r="P40" s="322">
        <v>1.2829999999999999E-2</v>
      </c>
      <c r="Q40" s="321"/>
      <c r="R40" s="322"/>
      <c r="S40" s="321"/>
      <c r="T40" s="322"/>
      <c r="U40" s="288"/>
      <c r="V40" s="296"/>
      <c r="W40" s="289"/>
      <c r="X40" s="5"/>
      <c r="AA40" s="1" t="s">
        <v>193</v>
      </c>
    </row>
    <row r="41" spans="1:27" ht="15.75" x14ac:dyDescent="0.25">
      <c r="A41" s="285"/>
      <c r="B41" s="286" t="s">
        <v>13</v>
      </c>
      <c r="C41" s="286"/>
      <c r="D41" s="322">
        <v>3.8800000000000002E-3</v>
      </c>
      <c r="E41" s="286"/>
      <c r="F41" s="322">
        <v>9.1313000000000002E-3</v>
      </c>
      <c r="G41" s="321"/>
      <c r="H41" s="322">
        <v>4.9199999999999999E-3</v>
      </c>
      <c r="I41" s="322"/>
      <c r="J41" s="322">
        <v>6.0875E-3</v>
      </c>
      <c r="K41" s="321"/>
      <c r="L41" s="322">
        <v>1.1931300000000001E-2</v>
      </c>
      <c r="M41" s="321"/>
      <c r="N41" s="322">
        <v>7.92E-3</v>
      </c>
      <c r="O41" s="321"/>
      <c r="P41" s="322">
        <v>1.3520000000000001E-2</v>
      </c>
      <c r="Q41" s="321"/>
      <c r="R41" s="322"/>
      <c r="S41" s="321"/>
      <c r="T41" s="322"/>
      <c r="U41" s="288"/>
      <c r="V41" s="321" t="s">
        <v>193</v>
      </c>
      <c r="W41" s="289"/>
      <c r="X41" s="5"/>
    </row>
    <row r="42" spans="1:27" ht="15.75" x14ac:dyDescent="0.25">
      <c r="A42" s="285"/>
      <c r="B42" s="286" t="s">
        <v>289</v>
      </c>
      <c r="C42" s="286"/>
      <c r="D42" s="296" t="s">
        <v>311</v>
      </c>
      <c r="E42" s="286"/>
      <c r="F42" s="296" t="s">
        <v>256</v>
      </c>
      <c r="G42" s="296"/>
      <c r="H42" s="296" t="s">
        <v>261</v>
      </c>
      <c r="I42" s="296"/>
      <c r="J42" s="296" t="s">
        <v>261</v>
      </c>
      <c r="K42" s="296"/>
      <c r="L42" s="296" t="s">
        <v>259</v>
      </c>
      <c r="M42" s="296"/>
      <c r="N42" s="296" t="s">
        <v>263</v>
      </c>
      <c r="O42" s="296"/>
      <c r="P42" s="296" t="s">
        <v>264</v>
      </c>
      <c r="Q42" s="296"/>
      <c r="R42" s="296"/>
      <c r="S42" s="321"/>
      <c r="T42" s="322"/>
      <c r="U42" s="288"/>
      <c r="V42" s="288"/>
      <c r="W42" s="289"/>
      <c r="X42" s="5"/>
    </row>
    <row r="43" spans="1:27" ht="15.75" x14ac:dyDescent="0.25">
      <c r="A43" s="285"/>
      <c r="B43" s="286" t="s">
        <v>290</v>
      </c>
      <c r="C43" s="323"/>
      <c r="D43" s="322">
        <v>7.1843999999999996E-3</v>
      </c>
      <c r="E43" s="322"/>
      <c r="F43" s="322">
        <f>+F40</f>
        <v>7.7875000000000002E-3</v>
      </c>
      <c r="G43" s="322"/>
      <c r="H43" s="322">
        <v>7.9375000000000001E-3</v>
      </c>
      <c r="I43" s="322"/>
      <c r="J43" s="322">
        <v>7.9675000000000006E-3</v>
      </c>
      <c r="K43" s="322"/>
      <c r="L43" s="322">
        <f>+L40</f>
        <v>1.05875E-2</v>
      </c>
      <c r="M43" s="322"/>
      <c r="N43" s="322">
        <v>1.13215E-2</v>
      </c>
      <c r="O43" s="322"/>
      <c r="P43" s="322">
        <v>1.7481500000000001E-2</v>
      </c>
      <c r="Q43" s="321"/>
      <c r="R43" s="322"/>
      <c r="S43" s="296"/>
      <c r="T43" s="296"/>
      <c r="U43" s="288"/>
      <c r="V43" s="321">
        <f>SUMPRODUCT(D43:R43,D35:R35)/V35</f>
        <v>8.73120556890572E-3</v>
      </c>
      <c r="W43" s="289"/>
      <c r="X43" s="5"/>
    </row>
    <row r="44" spans="1:27" ht="15.75" x14ac:dyDescent="0.25">
      <c r="A44" s="285"/>
      <c r="B44" s="286" t="s">
        <v>291</v>
      </c>
      <c r="C44" s="323"/>
      <c r="D44" s="322">
        <v>8.5281999999999997E-3</v>
      </c>
      <c r="E44" s="322"/>
      <c r="F44" s="322">
        <f>+F41</f>
        <v>9.1313000000000002E-3</v>
      </c>
      <c r="G44" s="322"/>
      <c r="H44" s="322">
        <v>9.2812999999999993E-3</v>
      </c>
      <c r="I44" s="322"/>
      <c r="J44" s="322">
        <v>9.3112999999999998E-3</v>
      </c>
      <c r="K44" s="322"/>
      <c r="L44" s="322">
        <f>+L41</f>
        <v>1.1931300000000001E-2</v>
      </c>
      <c r="M44" s="322"/>
      <c r="N44" s="322">
        <v>1.2665300000000001E-2</v>
      </c>
      <c r="O44" s="322"/>
      <c r="P44" s="322">
        <v>1.88253E-2</v>
      </c>
      <c r="Q44" s="321"/>
      <c r="R44" s="322"/>
      <c r="S44" s="296"/>
      <c r="T44" s="296"/>
      <c r="U44" s="288"/>
      <c r="V44" s="288"/>
      <c r="W44" s="289"/>
      <c r="X44" s="5"/>
    </row>
    <row r="45" spans="1:27" ht="15.75" x14ac:dyDescent="0.25">
      <c r="A45" s="285"/>
      <c r="B45" s="286" t="s">
        <v>14</v>
      </c>
      <c r="C45" s="286"/>
      <c r="D45" s="323">
        <v>40709</v>
      </c>
      <c r="E45" s="323"/>
      <c r="F45" s="323">
        <v>40709</v>
      </c>
      <c r="G45" s="323"/>
      <c r="H45" s="323">
        <v>40709</v>
      </c>
      <c r="I45" s="323"/>
      <c r="J45" s="323">
        <v>40709</v>
      </c>
      <c r="K45" s="323"/>
      <c r="L45" s="323">
        <v>40709</v>
      </c>
      <c r="M45" s="323"/>
      <c r="N45" s="323">
        <v>40709</v>
      </c>
      <c r="O45" s="323"/>
      <c r="P45" s="323">
        <v>40709</v>
      </c>
      <c r="Q45" s="323"/>
      <c r="R45" s="323"/>
      <c r="S45" s="296"/>
      <c r="T45" s="296"/>
      <c r="U45" s="288"/>
      <c r="V45" s="288"/>
      <c r="W45" s="289"/>
      <c r="X45" s="5"/>
    </row>
    <row r="46" spans="1:27" ht="15.75" x14ac:dyDescent="0.25">
      <c r="A46" s="285"/>
      <c r="B46" s="286" t="s">
        <v>15</v>
      </c>
      <c r="C46" s="286"/>
      <c r="D46" s="323">
        <v>41075</v>
      </c>
      <c r="E46" s="323"/>
      <c r="F46" s="323">
        <v>41075</v>
      </c>
      <c r="G46" s="323"/>
      <c r="H46" s="323">
        <v>41075</v>
      </c>
      <c r="I46" s="323"/>
      <c r="J46" s="323">
        <v>41075</v>
      </c>
      <c r="K46" s="296"/>
      <c r="L46" s="323">
        <v>41075</v>
      </c>
      <c r="M46" s="296"/>
      <c r="N46" s="323">
        <v>41075</v>
      </c>
      <c r="O46" s="296"/>
      <c r="P46" s="323">
        <v>41075</v>
      </c>
      <c r="Q46" s="296"/>
      <c r="R46" s="323"/>
      <c r="S46" s="296"/>
      <c r="T46" s="296"/>
      <c r="U46" s="288"/>
      <c r="V46" s="288"/>
      <c r="W46" s="289"/>
      <c r="X46" s="5"/>
    </row>
    <row r="47" spans="1:27" ht="15.75" x14ac:dyDescent="0.25">
      <c r="A47" s="285"/>
      <c r="B47" s="286" t="s">
        <v>119</v>
      </c>
      <c r="C47" s="286"/>
      <c r="D47" s="296" t="s">
        <v>304</v>
      </c>
      <c r="E47" s="286"/>
      <c r="F47" s="296" t="s">
        <v>256</v>
      </c>
      <c r="G47" s="296"/>
      <c r="H47" s="296" t="s">
        <v>257</v>
      </c>
      <c r="I47" s="296"/>
      <c r="J47" s="296" t="s">
        <v>258</v>
      </c>
      <c r="K47" s="296"/>
      <c r="L47" s="296" t="s">
        <v>259</v>
      </c>
      <c r="M47" s="296"/>
      <c r="N47" s="296" t="s">
        <v>259</v>
      </c>
      <c r="O47" s="296"/>
      <c r="P47" s="296" t="s">
        <v>260</v>
      </c>
      <c r="Q47" s="296"/>
      <c r="R47" s="296"/>
      <c r="S47" s="325"/>
      <c r="T47" s="325"/>
      <c r="U47" s="325"/>
      <c r="V47" s="325"/>
      <c r="W47" s="289"/>
      <c r="X47" s="5"/>
    </row>
    <row r="48" spans="1:27" ht="15.75" x14ac:dyDescent="0.25">
      <c r="A48" s="285"/>
      <c r="B48" s="286" t="s">
        <v>292</v>
      </c>
      <c r="C48" s="286"/>
      <c r="D48" s="296" t="s">
        <v>311</v>
      </c>
      <c r="E48" s="286"/>
      <c r="F48" s="296" t="s">
        <v>256</v>
      </c>
      <c r="G48" s="296"/>
      <c r="H48" s="296" t="s">
        <v>261</v>
      </c>
      <c r="I48" s="296"/>
      <c r="J48" s="296" t="s">
        <v>261</v>
      </c>
      <c r="K48" s="296"/>
      <c r="L48" s="296" t="s">
        <v>259</v>
      </c>
      <c r="M48" s="296"/>
      <c r="N48" s="296" t="s">
        <v>263</v>
      </c>
      <c r="O48" s="296"/>
      <c r="P48" s="296" t="s">
        <v>264</v>
      </c>
      <c r="Q48" s="296"/>
      <c r="R48" s="296"/>
      <c r="S48" s="286"/>
      <c r="T48" s="286"/>
      <c r="U48" s="286"/>
      <c r="V48" s="321"/>
      <c r="W48" s="289"/>
      <c r="X48" s="5"/>
    </row>
    <row r="49" spans="1:25" ht="15.75" x14ac:dyDescent="0.25">
      <c r="A49" s="285"/>
      <c r="B49" s="286"/>
      <c r="C49" s="286"/>
      <c r="D49" s="296"/>
      <c r="E49" s="286"/>
      <c r="F49" s="296"/>
      <c r="G49" s="296"/>
      <c r="H49" s="296"/>
      <c r="I49" s="296"/>
      <c r="J49" s="296"/>
      <c r="K49" s="296"/>
      <c r="L49" s="296"/>
      <c r="M49" s="296"/>
      <c r="N49" s="296"/>
      <c r="O49" s="296"/>
      <c r="P49" s="296"/>
      <c r="Q49" s="296"/>
      <c r="R49" s="296"/>
      <c r="S49" s="286"/>
      <c r="T49" s="286"/>
      <c r="U49" s="286"/>
      <c r="V49" s="321" t="s">
        <v>193</v>
      </c>
      <c r="W49" s="289"/>
      <c r="X49" s="5"/>
    </row>
    <row r="50" spans="1:25" ht="15.75" x14ac:dyDescent="0.25">
      <c r="A50" s="285"/>
      <c r="B50" s="286" t="s">
        <v>169</v>
      </c>
      <c r="C50" s="286"/>
      <c r="D50" s="296"/>
      <c r="E50" s="286"/>
      <c r="F50" s="296"/>
      <c r="G50" s="296"/>
      <c r="H50" s="296"/>
      <c r="I50" s="296"/>
      <c r="J50" s="296"/>
      <c r="K50" s="296"/>
      <c r="L50" s="296"/>
      <c r="M50" s="296"/>
      <c r="N50" s="296"/>
      <c r="O50" s="296"/>
      <c r="P50" s="296"/>
      <c r="Q50" s="296"/>
      <c r="R50" s="296"/>
      <c r="S50" s="286"/>
      <c r="T50" s="286"/>
      <c r="U50" s="286"/>
      <c r="V50" s="321">
        <f>SUM(L34:R34)/SUM(D34:J34)</f>
        <v>0.17632136449250416</v>
      </c>
      <c r="W50" s="289"/>
      <c r="X50" s="5"/>
    </row>
    <row r="51" spans="1:25" ht="15.75" x14ac:dyDescent="0.25">
      <c r="A51" s="285"/>
      <c r="B51" s="286" t="s">
        <v>170</v>
      </c>
      <c r="C51" s="286"/>
      <c r="D51" s="286"/>
      <c r="E51" s="286"/>
      <c r="F51" s="326"/>
      <c r="G51" s="286"/>
      <c r="H51" s="286"/>
      <c r="I51" s="286"/>
      <c r="J51" s="286"/>
      <c r="K51" s="286"/>
      <c r="L51" s="286"/>
      <c r="M51" s="286"/>
      <c r="N51" s="286"/>
      <c r="O51" s="286"/>
      <c r="P51" s="286"/>
      <c r="Q51" s="286"/>
      <c r="R51" s="286"/>
      <c r="S51" s="286"/>
      <c r="T51" s="286"/>
      <c r="U51" s="286"/>
      <c r="V51" s="321">
        <f>SUM(L36:R36)/SUM(D36:J36)</f>
        <v>0.22733450236116068</v>
      </c>
      <c r="W51" s="289"/>
      <c r="X51" s="5"/>
    </row>
    <row r="52" spans="1:25" ht="15.75" x14ac:dyDescent="0.25">
      <c r="A52" s="285"/>
      <c r="B52" s="286" t="s">
        <v>171</v>
      </c>
      <c r="C52" s="286"/>
      <c r="D52" s="286"/>
      <c r="E52" s="286"/>
      <c r="F52" s="286"/>
      <c r="G52" s="286"/>
      <c r="H52" s="286"/>
      <c r="I52" s="286"/>
      <c r="J52" s="286"/>
      <c r="K52" s="286"/>
      <c r="L52" s="286"/>
      <c r="M52" s="286"/>
      <c r="N52" s="286"/>
      <c r="O52" s="286"/>
      <c r="P52" s="286"/>
      <c r="Q52" s="286"/>
      <c r="R52" s="286"/>
      <c r="S52" s="286"/>
      <c r="T52" s="296"/>
      <c r="U52" s="296"/>
      <c r="V52" s="299" t="s">
        <v>268</v>
      </c>
      <c r="W52" s="289"/>
      <c r="X52" s="5"/>
    </row>
    <row r="53" spans="1:25" ht="15.75" x14ac:dyDescent="0.25">
      <c r="A53" s="285"/>
      <c r="B53" s="286"/>
      <c r="C53" s="286"/>
      <c r="D53" s="286"/>
      <c r="E53" s="286"/>
      <c r="F53" s="286"/>
      <c r="G53" s="286"/>
      <c r="H53" s="286"/>
      <c r="I53" s="286"/>
      <c r="J53" s="286"/>
      <c r="K53" s="286"/>
      <c r="L53" s="286"/>
      <c r="M53" s="286"/>
      <c r="N53" s="286"/>
      <c r="O53" s="286"/>
      <c r="P53" s="286"/>
      <c r="Q53" s="286"/>
      <c r="R53" s="286"/>
      <c r="S53" s="286"/>
      <c r="T53" s="286"/>
      <c r="U53" s="286"/>
      <c r="V53" s="327"/>
      <c r="W53" s="289"/>
      <c r="X53" s="5"/>
    </row>
    <row r="54" spans="1:25" ht="15.75" x14ac:dyDescent="0.25">
      <c r="A54" s="285"/>
      <c r="B54" s="286" t="s">
        <v>202</v>
      </c>
      <c r="C54" s="286"/>
      <c r="D54" s="286"/>
      <c r="E54" s="286"/>
      <c r="F54" s="286"/>
      <c r="G54" s="286"/>
      <c r="H54" s="286"/>
      <c r="I54" s="286"/>
      <c r="J54" s="286"/>
      <c r="K54" s="286"/>
      <c r="L54" s="286"/>
      <c r="M54" s="286"/>
      <c r="N54" s="286"/>
      <c r="O54" s="286"/>
      <c r="P54" s="286"/>
      <c r="Q54" s="286"/>
      <c r="R54" s="286"/>
      <c r="S54" s="286"/>
      <c r="T54" s="286"/>
      <c r="U54" s="286"/>
      <c r="V54" s="311" t="s">
        <v>203</v>
      </c>
      <c r="W54" s="289"/>
      <c r="X54" s="5"/>
    </row>
    <row r="55" spans="1:25" ht="15.75" x14ac:dyDescent="0.25">
      <c r="A55" s="285"/>
      <c r="B55" s="286" t="s">
        <v>270</v>
      </c>
      <c r="C55" s="286"/>
      <c r="D55" s="286"/>
      <c r="E55" s="286"/>
      <c r="F55" s="286"/>
      <c r="G55" s="286"/>
      <c r="H55" s="286"/>
      <c r="I55" s="286"/>
      <c r="J55" s="286"/>
      <c r="K55" s="286"/>
      <c r="L55" s="286"/>
      <c r="M55" s="286"/>
      <c r="N55" s="286"/>
      <c r="O55" s="286"/>
      <c r="P55" s="286"/>
      <c r="Q55" s="286"/>
      <c r="R55" s="286"/>
      <c r="S55" s="286"/>
      <c r="T55" s="296"/>
      <c r="U55" s="296"/>
      <c r="V55" s="396" t="s">
        <v>111</v>
      </c>
      <c r="W55" s="289"/>
      <c r="X55" s="5"/>
    </row>
    <row r="56" spans="1:25" ht="15.75" x14ac:dyDescent="0.25">
      <c r="A56" s="285"/>
      <c r="B56" s="297" t="s">
        <v>201</v>
      </c>
      <c r="C56" s="297"/>
      <c r="D56" s="297"/>
      <c r="E56" s="297"/>
      <c r="F56" s="297"/>
      <c r="G56" s="297"/>
      <c r="H56" s="297"/>
      <c r="I56" s="297"/>
      <c r="J56" s="297"/>
      <c r="K56" s="297"/>
      <c r="L56" s="297"/>
      <c r="M56" s="297"/>
      <c r="N56" s="297"/>
      <c r="O56" s="297"/>
      <c r="P56" s="297"/>
      <c r="Q56" s="297"/>
      <c r="R56" s="297"/>
      <c r="S56" s="297"/>
      <c r="T56" s="397"/>
      <c r="U56" s="397"/>
      <c r="V56" s="398">
        <v>41348</v>
      </c>
      <c r="W56" s="289"/>
      <c r="X56" s="5"/>
    </row>
    <row r="57" spans="1:25" ht="15.75" x14ac:dyDescent="0.25">
      <c r="A57" s="285"/>
      <c r="B57" s="286" t="s">
        <v>121</v>
      </c>
      <c r="C57" s="286"/>
      <c r="D57" s="286"/>
      <c r="E57" s="286"/>
      <c r="F57" s="286"/>
      <c r="G57" s="286"/>
      <c r="H57" s="332"/>
      <c r="I57" s="332"/>
      <c r="J57" s="332"/>
      <c r="K57" s="332"/>
      <c r="L57" s="332"/>
      <c r="M57" s="332"/>
      <c r="N57" s="332"/>
      <c r="O57" s="332"/>
      <c r="P57" s="332"/>
      <c r="Q57" s="332"/>
      <c r="R57" s="286">
        <f>+V57-T57+1</f>
        <v>91</v>
      </c>
      <c r="S57" s="332"/>
      <c r="T57" s="333">
        <v>41169</v>
      </c>
      <c r="U57" s="334"/>
      <c r="V57" s="333">
        <v>41259</v>
      </c>
      <c r="W57" s="289"/>
      <c r="X57" s="5"/>
    </row>
    <row r="58" spans="1:25" ht="15.75" x14ac:dyDescent="0.25">
      <c r="A58" s="285"/>
      <c r="B58" s="286" t="s">
        <v>122</v>
      </c>
      <c r="C58" s="286"/>
      <c r="D58" s="286"/>
      <c r="E58" s="286"/>
      <c r="F58" s="286"/>
      <c r="G58" s="286"/>
      <c r="H58" s="286"/>
      <c r="I58" s="286"/>
      <c r="J58" s="286"/>
      <c r="K58" s="286"/>
      <c r="L58" s="286"/>
      <c r="M58" s="286"/>
      <c r="N58" s="286"/>
      <c r="O58" s="286"/>
      <c r="P58" s="286"/>
      <c r="Q58" s="286"/>
      <c r="R58" s="286">
        <f>+V58-T58+1</f>
        <v>88</v>
      </c>
      <c r="S58" s="286"/>
      <c r="T58" s="333">
        <v>41260</v>
      </c>
      <c r="U58" s="334"/>
      <c r="V58" s="333">
        <v>41347</v>
      </c>
      <c r="W58" s="289"/>
      <c r="X58" s="5"/>
    </row>
    <row r="59" spans="1:25" ht="15.75" x14ac:dyDescent="0.25">
      <c r="A59" s="285"/>
      <c r="B59" s="286" t="s">
        <v>223</v>
      </c>
      <c r="C59" s="286"/>
      <c r="D59" s="286"/>
      <c r="E59" s="286"/>
      <c r="F59" s="286"/>
      <c r="G59" s="286"/>
      <c r="H59" s="286"/>
      <c r="I59" s="286"/>
      <c r="J59" s="286"/>
      <c r="K59" s="286"/>
      <c r="L59" s="286"/>
      <c r="M59" s="286"/>
      <c r="N59" s="286"/>
      <c r="O59" s="286"/>
      <c r="P59" s="286"/>
      <c r="Q59" s="286"/>
      <c r="R59" s="286"/>
      <c r="S59" s="286"/>
      <c r="T59" s="333"/>
      <c r="U59" s="334"/>
      <c r="V59" s="333" t="s">
        <v>120</v>
      </c>
      <c r="W59" s="289"/>
      <c r="X59" s="5"/>
    </row>
    <row r="60" spans="1:25" ht="15.75" x14ac:dyDescent="0.25">
      <c r="A60" s="285"/>
      <c r="B60" s="286" t="s">
        <v>271</v>
      </c>
      <c r="C60" s="286"/>
      <c r="D60" s="286"/>
      <c r="E60" s="286"/>
      <c r="F60" s="286"/>
      <c r="G60" s="286"/>
      <c r="H60" s="286"/>
      <c r="I60" s="286"/>
      <c r="J60" s="286"/>
      <c r="K60" s="286"/>
      <c r="L60" s="286"/>
      <c r="M60" s="286"/>
      <c r="N60" s="286"/>
      <c r="O60" s="286"/>
      <c r="P60" s="286"/>
      <c r="Q60" s="286"/>
      <c r="R60" s="286"/>
      <c r="S60" s="286"/>
      <c r="T60" s="333"/>
      <c r="U60" s="334"/>
      <c r="V60" s="333" t="s">
        <v>154</v>
      </c>
      <c r="W60" s="289"/>
      <c r="X60" s="5"/>
      <c r="Y60" s="133"/>
    </row>
    <row r="61" spans="1:25" ht="15.75" x14ac:dyDescent="0.25">
      <c r="A61" s="285"/>
      <c r="B61" s="286" t="s">
        <v>16</v>
      </c>
      <c r="C61" s="286"/>
      <c r="D61" s="286"/>
      <c r="E61" s="286"/>
      <c r="F61" s="286"/>
      <c r="G61" s="286"/>
      <c r="H61" s="286"/>
      <c r="I61" s="286"/>
      <c r="J61" s="286"/>
      <c r="K61" s="286"/>
      <c r="L61" s="286"/>
      <c r="M61" s="286"/>
      <c r="N61" s="286"/>
      <c r="O61" s="286"/>
      <c r="P61" s="286"/>
      <c r="Q61" s="286"/>
      <c r="R61" s="286"/>
      <c r="S61" s="286"/>
      <c r="T61" s="333"/>
      <c r="U61" s="334"/>
      <c r="V61" s="333">
        <v>41334</v>
      </c>
      <c r="W61" s="289"/>
      <c r="X61" s="5"/>
    </row>
    <row r="62" spans="1:25" ht="15.75" x14ac:dyDescent="0.25">
      <c r="A62" s="181"/>
      <c r="B62" s="212"/>
      <c r="C62" s="212"/>
      <c r="D62" s="212"/>
      <c r="E62" s="212"/>
      <c r="F62" s="212"/>
      <c r="G62" s="212"/>
      <c r="H62" s="212"/>
      <c r="I62" s="212"/>
      <c r="J62" s="212"/>
      <c r="K62" s="212"/>
      <c r="L62" s="212"/>
      <c r="M62" s="212"/>
      <c r="N62" s="212"/>
      <c r="O62" s="212"/>
      <c r="P62" s="212"/>
      <c r="Q62" s="212"/>
      <c r="R62" s="212"/>
      <c r="S62" s="212"/>
      <c r="T62" s="283"/>
      <c r="U62" s="284"/>
      <c r="V62" s="283"/>
      <c r="W62" s="212"/>
      <c r="X62" s="5"/>
    </row>
    <row r="63" spans="1:25" ht="15.75" x14ac:dyDescent="0.25">
      <c r="A63" s="181"/>
      <c r="B63" s="183"/>
      <c r="C63" s="183"/>
      <c r="D63" s="183"/>
      <c r="E63" s="183"/>
      <c r="F63" s="183"/>
      <c r="G63" s="183"/>
      <c r="H63" s="183"/>
      <c r="I63" s="183"/>
      <c r="J63" s="183"/>
      <c r="K63" s="183"/>
      <c r="L63" s="183"/>
      <c r="M63" s="183"/>
      <c r="N63" s="183"/>
      <c r="O63" s="183"/>
      <c r="P63" s="183"/>
      <c r="Q63" s="183"/>
      <c r="R63" s="183"/>
      <c r="S63" s="183"/>
      <c r="T63" s="195"/>
      <c r="U63" s="196"/>
      <c r="V63" s="195"/>
      <c r="W63" s="183"/>
      <c r="X63" s="5"/>
    </row>
    <row r="64" spans="1:25" ht="19.5" thickBot="1" x14ac:dyDescent="0.35">
      <c r="A64" s="197"/>
      <c r="B64" s="270" t="s">
        <v>313</v>
      </c>
      <c r="C64" s="198"/>
      <c r="D64" s="198"/>
      <c r="E64" s="198"/>
      <c r="F64" s="198"/>
      <c r="G64" s="198"/>
      <c r="H64" s="198"/>
      <c r="I64" s="198"/>
      <c r="J64" s="198"/>
      <c r="K64" s="198"/>
      <c r="L64" s="198"/>
      <c r="M64" s="198"/>
      <c r="N64" s="198"/>
      <c r="O64" s="198"/>
      <c r="P64" s="198"/>
      <c r="Q64" s="198"/>
      <c r="R64" s="198"/>
      <c r="S64" s="198"/>
      <c r="T64" s="198"/>
      <c r="U64" s="198"/>
      <c r="V64" s="199"/>
      <c r="W64" s="200"/>
      <c r="X64" s="5"/>
    </row>
    <row r="65" spans="1:24" ht="15.75" x14ac:dyDescent="0.25">
      <c r="A65" s="224"/>
      <c r="B65" s="230" t="s">
        <v>17</v>
      </c>
      <c r="C65" s="225"/>
      <c r="D65" s="225"/>
      <c r="E65" s="225"/>
      <c r="F65" s="225"/>
      <c r="G65" s="225"/>
      <c r="H65" s="225"/>
      <c r="I65" s="225"/>
      <c r="J65" s="225"/>
      <c r="K65" s="225"/>
      <c r="L65" s="225"/>
      <c r="M65" s="225"/>
      <c r="N65" s="225"/>
      <c r="O65" s="225"/>
      <c r="P65" s="225"/>
      <c r="Q65" s="225"/>
      <c r="R65" s="225"/>
      <c r="S65" s="225"/>
      <c r="T65" s="225"/>
      <c r="U65" s="225"/>
      <c r="V65" s="231"/>
      <c r="W65" s="225"/>
      <c r="X65" s="5"/>
    </row>
    <row r="66" spans="1:24" ht="15.75" x14ac:dyDescent="0.25">
      <c r="A66" s="181"/>
      <c r="B66" s="189"/>
      <c r="C66" s="183"/>
      <c r="D66" s="183"/>
      <c r="E66" s="183"/>
      <c r="F66" s="183"/>
      <c r="G66" s="183"/>
      <c r="H66" s="183"/>
      <c r="I66" s="183"/>
      <c r="J66" s="183"/>
      <c r="K66" s="183"/>
      <c r="L66" s="183"/>
      <c r="M66" s="183"/>
      <c r="N66" s="183"/>
      <c r="O66" s="183"/>
      <c r="P66" s="183"/>
      <c r="Q66" s="183"/>
      <c r="R66" s="183"/>
      <c r="S66" s="183"/>
      <c r="T66" s="183"/>
      <c r="U66" s="183"/>
      <c r="V66" s="202"/>
      <c r="W66" s="183"/>
      <c r="X66" s="5"/>
    </row>
    <row r="67" spans="1:24" ht="47.25" x14ac:dyDescent="0.25">
      <c r="A67" s="181"/>
      <c r="B67" s="203" t="s">
        <v>18</v>
      </c>
      <c r="C67" s="204"/>
      <c r="D67" s="204"/>
      <c r="E67" s="204"/>
      <c r="F67" s="204"/>
      <c r="G67" s="204"/>
      <c r="H67" s="204"/>
      <c r="I67" s="204"/>
      <c r="J67" s="204"/>
      <c r="K67" s="204"/>
      <c r="L67" s="204" t="s">
        <v>94</v>
      </c>
      <c r="M67" s="204"/>
      <c r="N67" s="204" t="s">
        <v>96</v>
      </c>
      <c r="O67" s="204"/>
      <c r="P67" s="204" t="s">
        <v>98</v>
      </c>
      <c r="Q67" s="204"/>
      <c r="R67" s="204" t="s">
        <v>100</v>
      </c>
      <c r="S67" s="204"/>
      <c r="T67" s="204" t="s">
        <v>106</v>
      </c>
      <c r="U67" s="204"/>
      <c r="V67" s="205" t="s">
        <v>112</v>
      </c>
      <c r="W67" s="206"/>
      <c r="X67" s="5"/>
    </row>
    <row r="68" spans="1:24" ht="15.75" x14ac:dyDescent="0.25">
      <c r="A68" s="285"/>
      <c r="B68" s="286" t="s">
        <v>19</v>
      </c>
      <c r="C68" s="337"/>
      <c r="D68" s="337"/>
      <c r="E68" s="337"/>
      <c r="F68" s="337"/>
      <c r="G68" s="337"/>
      <c r="H68" s="337"/>
      <c r="I68" s="337"/>
      <c r="J68" s="337"/>
      <c r="K68" s="337"/>
      <c r="L68" s="337">
        <v>812446</v>
      </c>
      <c r="M68" s="337"/>
      <c r="N68" s="338">
        <v>813179</v>
      </c>
      <c r="O68" s="337"/>
      <c r="P68" s="337">
        <f>3024+21+5</f>
        <v>3050</v>
      </c>
      <c r="Q68" s="337"/>
      <c r="R68" s="337">
        <v>26</v>
      </c>
      <c r="S68" s="337"/>
      <c r="T68" s="337">
        <v>0</v>
      </c>
      <c r="U68" s="337"/>
      <c r="V68" s="338">
        <f>+N68-P68+R68-T68</f>
        <v>810155</v>
      </c>
      <c r="W68" s="289"/>
      <c r="X68" s="5"/>
    </row>
    <row r="69" spans="1:24" ht="15.75" x14ac:dyDescent="0.25">
      <c r="A69" s="285"/>
      <c r="B69" s="286" t="s">
        <v>20</v>
      </c>
      <c r="C69" s="337"/>
      <c r="D69" s="337"/>
      <c r="E69" s="337"/>
      <c r="F69" s="337"/>
      <c r="G69" s="337"/>
      <c r="H69" s="337"/>
      <c r="I69" s="337"/>
      <c r="J69" s="337"/>
      <c r="K69" s="337"/>
      <c r="L69" s="337">
        <v>0</v>
      </c>
      <c r="M69" s="337"/>
      <c r="N69" s="338">
        <v>0</v>
      </c>
      <c r="O69" s="337"/>
      <c r="P69" s="337">
        <v>0</v>
      </c>
      <c r="Q69" s="337"/>
      <c r="R69" s="337">
        <v>0</v>
      </c>
      <c r="S69" s="337"/>
      <c r="T69" s="337">
        <v>0</v>
      </c>
      <c r="U69" s="337"/>
      <c r="V69" s="338">
        <f>+L69-P69</f>
        <v>0</v>
      </c>
      <c r="W69" s="289"/>
      <c r="X69" s="5"/>
    </row>
    <row r="70" spans="1:24" ht="15.75" x14ac:dyDescent="0.25">
      <c r="A70" s="285"/>
      <c r="B70" s="286"/>
      <c r="C70" s="337"/>
      <c r="D70" s="337"/>
      <c r="E70" s="337"/>
      <c r="F70" s="337"/>
      <c r="G70" s="337"/>
      <c r="H70" s="337"/>
      <c r="I70" s="337"/>
      <c r="J70" s="337"/>
      <c r="K70" s="337"/>
      <c r="L70" s="337"/>
      <c r="M70" s="337"/>
      <c r="N70" s="338"/>
      <c r="O70" s="337"/>
      <c r="P70" s="337"/>
      <c r="Q70" s="337"/>
      <c r="R70" s="337"/>
      <c r="S70" s="337"/>
      <c r="T70" s="337"/>
      <c r="U70" s="337"/>
      <c r="V70" s="338"/>
      <c r="W70" s="289"/>
      <c r="X70" s="5"/>
    </row>
    <row r="71" spans="1:24" ht="15.75" x14ac:dyDescent="0.25">
      <c r="A71" s="285"/>
      <c r="B71" s="286" t="s">
        <v>21</v>
      </c>
      <c r="C71" s="337"/>
      <c r="D71" s="337"/>
      <c r="E71" s="337"/>
      <c r="F71" s="337"/>
      <c r="G71" s="337"/>
      <c r="H71" s="337"/>
      <c r="I71" s="337"/>
      <c r="J71" s="337"/>
      <c r="K71" s="337"/>
      <c r="L71" s="337">
        <f>SUM(L68:L70)</f>
        <v>812446</v>
      </c>
      <c r="M71" s="337"/>
      <c r="N71" s="337">
        <f>N68+N69</f>
        <v>813179</v>
      </c>
      <c r="O71" s="337"/>
      <c r="P71" s="337">
        <f>SUM(P68:P70)</f>
        <v>3050</v>
      </c>
      <c r="Q71" s="337"/>
      <c r="R71" s="337">
        <f>SUM(R68:R70)</f>
        <v>26</v>
      </c>
      <c r="S71" s="337"/>
      <c r="T71" s="337">
        <f>SUM(T68:T70)</f>
        <v>0</v>
      </c>
      <c r="U71" s="337"/>
      <c r="V71" s="337">
        <f>SUM(V68:V70)</f>
        <v>810155</v>
      </c>
      <c r="W71" s="289"/>
      <c r="X71" s="5"/>
    </row>
    <row r="72" spans="1:24" ht="15.75" x14ac:dyDescent="0.25">
      <c r="A72" s="181"/>
      <c r="B72" s="212"/>
      <c r="C72" s="335"/>
      <c r="D72" s="335"/>
      <c r="E72" s="335"/>
      <c r="F72" s="335"/>
      <c r="G72" s="335"/>
      <c r="H72" s="335"/>
      <c r="I72" s="335"/>
      <c r="J72" s="335"/>
      <c r="K72" s="335"/>
      <c r="L72" s="335"/>
      <c r="M72" s="335"/>
      <c r="N72" s="335"/>
      <c r="O72" s="335"/>
      <c r="P72" s="335"/>
      <c r="Q72" s="335"/>
      <c r="R72" s="335"/>
      <c r="S72" s="335"/>
      <c r="T72" s="335"/>
      <c r="U72" s="335"/>
      <c r="V72" s="336"/>
      <c r="W72" s="212"/>
      <c r="X72" s="5"/>
    </row>
    <row r="73" spans="1:24" ht="15.75" x14ac:dyDescent="0.25">
      <c r="A73" s="181"/>
      <c r="B73" s="185" t="s">
        <v>22</v>
      </c>
      <c r="C73" s="207"/>
      <c r="D73" s="207"/>
      <c r="E73" s="207"/>
      <c r="F73" s="207"/>
      <c r="G73" s="207"/>
      <c r="H73" s="207"/>
      <c r="I73" s="207"/>
      <c r="J73" s="207"/>
      <c r="K73" s="207"/>
      <c r="L73" s="207"/>
      <c r="M73" s="207"/>
      <c r="N73" s="207"/>
      <c r="O73" s="207"/>
      <c r="P73" s="207"/>
      <c r="Q73" s="207"/>
      <c r="R73" s="207"/>
      <c r="S73" s="207"/>
      <c r="T73" s="207"/>
      <c r="U73" s="207"/>
      <c r="V73" s="208"/>
      <c r="W73" s="183"/>
      <c r="X73" s="5"/>
    </row>
    <row r="74" spans="1:24" ht="15.75" x14ac:dyDescent="0.25">
      <c r="A74" s="181"/>
      <c r="B74" s="183"/>
      <c r="C74" s="207"/>
      <c r="D74" s="207"/>
      <c r="E74" s="207"/>
      <c r="F74" s="207"/>
      <c r="G74" s="207"/>
      <c r="H74" s="207"/>
      <c r="I74" s="207"/>
      <c r="J74" s="207"/>
      <c r="K74" s="207"/>
      <c r="L74" s="207"/>
      <c r="M74" s="207"/>
      <c r="N74" s="207"/>
      <c r="O74" s="207"/>
      <c r="P74" s="207"/>
      <c r="Q74" s="207"/>
      <c r="R74" s="207"/>
      <c r="S74" s="207"/>
      <c r="T74" s="207"/>
      <c r="U74" s="207"/>
      <c r="V74" s="208"/>
      <c r="W74" s="183"/>
      <c r="X74" s="5"/>
    </row>
    <row r="75" spans="1:24" ht="15.75" x14ac:dyDescent="0.25">
      <c r="A75" s="285"/>
      <c r="B75" s="286" t="s">
        <v>19</v>
      </c>
      <c r="C75" s="337"/>
      <c r="D75" s="337"/>
      <c r="E75" s="337"/>
      <c r="F75" s="337"/>
      <c r="G75" s="337"/>
      <c r="H75" s="337"/>
      <c r="I75" s="337"/>
      <c r="J75" s="337"/>
      <c r="K75" s="337"/>
      <c r="L75" s="337"/>
      <c r="M75" s="337"/>
      <c r="N75" s="337"/>
      <c r="O75" s="337"/>
      <c r="P75" s="337"/>
      <c r="Q75" s="337"/>
      <c r="R75" s="337"/>
      <c r="S75" s="337"/>
      <c r="T75" s="337"/>
      <c r="U75" s="337"/>
      <c r="V75" s="337"/>
      <c r="W75" s="289"/>
      <c r="X75" s="5"/>
    </row>
    <row r="76" spans="1:24" ht="15.75" x14ac:dyDescent="0.25">
      <c r="A76" s="285"/>
      <c r="B76" s="286" t="s">
        <v>20</v>
      </c>
      <c r="C76" s="337"/>
      <c r="D76" s="337"/>
      <c r="E76" s="337"/>
      <c r="F76" s="337"/>
      <c r="G76" s="337"/>
      <c r="H76" s="337"/>
      <c r="I76" s="337"/>
      <c r="J76" s="337"/>
      <c r="K76" s="337"/>
      <c r="L76" s="337"/>
      <c r="M76" s="337"/>
      <c r="N76" s="337"/>
      <c r="O76" s="337"/>
      <c r="P76" s="337"/>
      <c r="Q76" s="337"/>
      <c r="R76" s="337"/>
      <c r="S76" s="337"/>
      <c r="T76" s="337"/>
      <c r="U76" s="337"/>
      <c r="V76" s="337"/>
      <c r="W76" s="289"/>
      <c r="X76" s="5"/>
    </row>
    <row r="77" spans="1:24" ht="15.75" x14ac:dyDescent="0.25">
      <c r="A77" s="285"/>
      <c r="B77" s="286"/>
      <c r="C77" s="337"/>
      <c r="D77" s="337"/>
      <c r="E77" s="337"/>
      <c r="F77" s="337"/>
      <c r="G77" s="337"/>
      <c r="H77" s="337"/>
      <c r="I77" s="337"/>
      <c r="J77" s="337"/>
      <c r="K77" s="337"/>
      <c r="L77" s="337"/>
      <c r="M77" s="337"/>
      <c r="N77" s="337"/>
      <c r="O77" s="337"/>
      <c r="P77" s="337"/>
      <c r="Q77" s="337"/>
      <c r="R77" s="337"/>
      <c r="S77" s="337"/>
      <c r="T77" s="337"/>
      <c r="U77" s="337"/>
      <c r="V77" s="337"/>
      <c r="W77" s="289"/>
      <c r="X77" s="5"/>
    </row>
    <row r="78" spans="1:24" ht="15.75" x14ac:dyDescent="0.25">
      <c r="A78" s="285"/>
      <c r="B78" s="286" t="s">
        <v>21</v>
      </c>
      <c r="C78" s="337"/>
      <c r="D78" s="337"/>
      <c r="E78" s="337"/>
      <c r="F78" s="337"/>
      <c r="G78" s="337"/>
      <c r="H78" s="337"/>
      <c r="I78" s="337"/>
      <c r="J78" s="337"/>
      <c r="K78" s="337"/>
      <c r="L78" s="337"/>
      <c r="M78" s="337"/>
      <c r="N78" s="337"/>
      <c r="O78" s="337"/>
      <c r="P78" s="337"/>
      <c r="Q78" s="337"/>
      <c r="R78" s="337"/>
      <c r="S78" s="337"/>
      <c r="T78" s="337"/>
      <c r="U78" s="337"/>
      <c r="V78" s="337"/>
      <c r="W78" s="289"/>
      <c r="X78" s="5"/>
    </row>
    <row r="79" spans="1:24" ht="15.75" x14ac:dyDescent="0.25">
      <c r="A79" s="285"/>
      <c r="B79" s="286"/>
      <c r="C79" s="337"/>
      <c r="D79" s="337"/>
      <c r="E79" s="337"/>
      <c r="F79" s="337"/>
      <c r="G79" s="337"/>
      <c r="H79" s="337"/>
      <c r="I79" s="337"/>
      <c r="J79" s="337"/>
      <c r="K79" s="337"/>
      <c r="L79" s="337"/>
      <c r="M79" s="337"/>
      <c r="N79" s="337"/>
      <c r="O79" s="337"/>
      <c r="P79" s="337"/>
      <c r="Q79" s="337"/>
      <c r="R79" s="337"/>
      <c r="S79" s="337"/>
      <c r="T79" s="337"/>
      <c r="U79" s="337"/>
      <c r="V79" s="337"/>
      <c r="W79" s="289"/>
      <c r="X79" s="5"/>
    </row>
    <row r="80" spans="1:24" ht="15.75" x14ac:dyDescent="0.25">
      <c r="A80" s="285"/>
      <c r="B80" s="286" t="s">
        <v>23</v>
      </c>
      <c r="C80" s="337"/>
      <c r="D80" s="337"/>
      <c r="E80" s="337"/>
      <c r="F80" s="337"/>
      <c r="G80" s="337"/>
      <c r="H80" s="337"/>
      <c r="I80" s="337"/>
      <c r="J80" s="337"/>
      <c r="K80" s="337"/>
      <c r="L80" s="337">
        <v>0</v>
      </c>
      <c r="M80" s="337"/>
      <c r="N80" s="337">
        <v>0</v>
      </c>
      <c r="O80" s="337"/>
      <c r="P80" s="337"/>
      <c r="Q80" s="337"/>
      <c r="R80" s="337"/>
      <c r="S80" s="337"/>
      <c r="T80" s="337"/>
      <c r="U80" s="337"/>
      <c r="V80" s="338">
        <v>0</v>
      </c>
      <c r="W80" s="289"/>
      <c r="X80" s="5"/>
    </row>
    <row r="81" spans="1:24" ht="15.75" x14ac:dyDescent="0.25">
      <c r="A81" s="285"/>
      <c r="B81" s="286" t="s">
        <v>117</v>
      </c>
      <c r="C81" s="337"/>
      <c r="D81" s="337"/>
      <c r="E81" s="337"/>
      <c r="F81" s="337"/>
      <c r="G81" s="337"/>
      <c r="H81" s="337"/>
      <c r="I81" s="337"/>
      <c r="J81" s="337"/>
      <c r="K81" s="337"/>
      <c r="L81" s="337">
        <v>188687</v>
      </c>
      <c r="M81" s="337"/>
      <c r="N81" s="337">
        <v>0</v>
      </c>
      <c r="O81" s="337"/>
      <c r="P81" s="337">
        <v>0</v>
      </c>
      <c r="Q81" s="337"/>
      <c r="R81" s="337"/>
      <c r="S81" s="337"/>
      <c r="T81" s="337"/>
      <c r="U81" s="337"/>
      <c r="V81" s="337">
        <f>SUM(N81:R81)</f>
        <v>0</v>
      </c>
      <c r="W81" s="289"/>
      <c r="X81" s="5"/>
    </row>
    <row r="82" spans="1:24" ht="15.75" x14ac:dyDescent="0.25">
      <c r="A82" s="285"/>
      <c r="B82" s="286"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89"/>
      <c r="X82" s="5"/>
    </row>
    <row r="83" spans="1:24" ht="15.75" x14ac:dyDescent="0.25">
      <c r="A83" s="285"/>
      <c r="B83" s="286" t="s">
        <v>25</v>
      </c>
      <c r="C83" s="337"/>
      <c r="D83" s="337"/>
      <c r="E83" s="337"/>
      <c r="F83" s="337"/>
      <c r="G83" s="337"/>
      <c r="H83" s="337"/>
      <c r="I83" s="337"/>
      <c r="J83" s="337"/>
      <c r="K83" s="337"/>
      <c r="L83" s="337">
        <v>0</v>
      </c>
      <c r="M83" s="337"/>
      <c r="N83" s="337">
        <v>0</v>
      </c>
      <c r="O83" s="337"/>
      <c r="P83" s="337"/>
      <c r="Q83" s="337"/>
      <c r="R83" s="337"/>
      <c r="S83" s="337"/>
      <c r="T83" s="337"/>
      <c r="U83" s="337"/>
      <c r="V83" s="337">
        <v>0</v>
      </c>
      <c r="W83" s="289"/>
      <c r="X83" s="5"/>
    </row>
    <row r="84" spans="1:24" ht="15.75" x14ac:dyDescent="0.25">
      <c r="A84" s="285"/>
      <c r="B84" s="286" t="s">
        <v>26</v>
      </c>
      <c r="C84" s="337"/>
      <c r="D84" s="337"/>
      <c r="E84" s="337"/>
      <c r="F84" s="337"/>
      <c r="G84" s="337"/>
      <c r="H84" s="337"/>
      <c r="I84" s="337"/>
      <c r="J84" s="337"/>
      <c r="K84" s="337"/>
      <c r="L84" s="337">
        <f>SUM(L71:L83)</f>
        <v>1001133</v>
      </c>
      <c r="M84" s="337"/>
      <c r="N84" s="337">
        <f>SUM(N71:N83)</f>
        <v>813179</v>
      </c>
      <c r="O84" s="337"/>
      <c r="P84" s="337"/>
      <c r="Q84" s="337"/>
      <c r="R84" s="337"/>
      <c r="S84" s="337"/>
      <c r="T84" s="337"/>
      <c r="U84" s="337"/>
      <c r="V84" s="337">
        <f>SUM(V71:V83)</f>
        <v>810155</v>
      </c>
      <c r="W84" s="289"/>
      <c r="X84" s="5"/>
    </row>
    <row r="85" spans="1:24" ht="15.75" x14ac:dyDescent="0.25">
      <c r="A85" s="181"/>
      <c r="B85" s="212"/>
      <c r="C85" s="335"/>
      <c r="D85" s="335"/>
      <c r="E85" s="335"/>
      <c r="F85" s="335"/>
      <c r="G85" s="335"/>
      <c r="H85" s="335"/>
      <c r="I85" s="335"/>
      <c r="J85" s="335"/>
      <c r="K85" s="335"/>
      <c r="L85" s="335"/>
      <c r="M85" s="335"/>
      <c r="N85" s="335"/>
      <c r="O85" s="335"/>
      <c r="P85" s="335"/>
      <c r="Q85" s="335"/>
      <c r="R85" s="335"/>
      <c r="S85" s="335"/>
      <c r="T85" s="335"/>
      <c r="U85" s="335"/>
      <c r="V85" s="336"/>
      <c r="W85" s="212"/>
      <c r="X85" s="5"/>
    </row>
    <row r="86" spans="1:24" ht="15.75" x14ac:dyDescent="0.25">
      <c r="A86" s="181"/>
      <c r="B86" s="183"/>
      <c r="C86" s="183"/>
      <c r="D86" s="183"/>
      <c r="E86" s="183"/>
      <c r="F86" s="183"/>
      <c r="G86" s="183"/>
      <c r="H86" s="183"/>
      <c r="I86" s="183"/>
      <c r="J86" s="183"/>
      <c r="K86" s="183"/>
      <c r="L86" s="183"/>
      <c r="M86" s="183"/>
      <c r="N86" s="183"/>
      <c r="O86" s="183"/>
      <c r="P86" s="183"/>
      <c r="Q86" s="183"/>
      <c r="R86" s="183"/>
      <c r="S86" s="183"/>
      <c r="T86" s="183"/>
      <c r="U86" s="183"/>
      <c r="V86" s="183"/>
      <c r="W86" s="183"/>
      <c r="X86" s="5"/>
    </row>
    <row r="87" spans="1:24" ht="15.75" x14ac:dyDescent="0.25">
      <c r="A87" s="224"/>
      <c r="B87" s="399" t="s">
        <v>27</v>
      </c>
      <c r="C87" s="399"/>
      <c r="D87" s="399"/>
      <c r="E87" s="399"/>
      <c r="F87" s="399"/>
      <c r="G87" s="399"/>
      <c r="H87" s="400"/>
      <c r="I87" s="400"/>
      <c r="J87" s="400"/>
      <c r="K87" s="400"/>
      <c r="L87" s="401" t="s">
        <v>95</v>
      </c>
      <c r="M87" s="400"/>
      <c r="N87" s="402">
        <f>+T202</f>
        <v>41333</v>
      </c>
      <c r="O87" s="400"/>
      <c r="P87" s="400"/>
      <c r="Q87" s="400"/>
      <c r="R87" s="400"/>
      <c r="S87" s="400"/>
      <c r="T87" s="400" t="s">
        <v>107</v>
      </c>
      <c r="U87" s="400"/>
      <c r="V87" s="400" t="s">
        <v>113</v>
      </c>
      <c r="W87" s="225"/>
      <c r="X87" s="5"/>
    </row>
    <row r="88" spans="1:24" ht="15.75" x14ac:dyDescent="0.25">
      <c r="A88" s="248"/>
      <c r="B88" s="250" t="s">
        <v>28</v>
      </c>
      <c r="C88" s="194"/>
      <c r="D88" s="194"/>
      <c r="E88" s="194"/>
      <c r="F88" s="194"/>
      <c r="G88" s="194"/>
      <c r="H88" s="194"/>
      <c r="I88" s="194"/>
      <c r="J88" s="194"/>
      <c r="K88" s="194"/>
      <c r="L88" s="194"/>
      <c r="M88" s="194"/>
      <c r="N88" s="194"/>
      <c r="O88" s="194"/>
      <c r="P88" s="194"/>
      <c r="Q88" s="194"/>
      <c r="R88" s="194"/>
      <c r="S88" s="194"/>
      <c r="T88" s="249">
        <v>0</v>
      </c>
      <c r="U88" s="250"/>
      <c r="V88" s="253">
        <v>0</v>
      </c>
      <c r="W88" s="194"/>
      <c r="X88" s="5"/>
    </row>
    <row r="89" spans="1:24" ht="15.75" x14ac:dyDescent="0.25">
      <c r="A89" s="295"/>
      <c r="B89" s="286" t="s">
        <v>29</v>
      </c>
      <c r="C89" s="314"/>
      <c r="D89" s="314"/>
      <c r="E89" s="314"/>
      <c r="F89" s="314"/>
      <c r="G89" s="314"/>
      <c r="H89" s="339"/>
      <c r="I89" s="339"/>
      <c r="J89" s="339"/>
      <c r="K89" s="340"/>
      <c r="L89" s="339"/>
      <c r="M89" s="314"/>
      <c r="N89" s="341"/>
      <c r="O89" s="314"/>
      <c r="P89" s="314"/>
      <c r="Q89" s="314"/>
      <c r="R89" s="314"/>
      <c r="S89" s="314"/>
      <c r="T89" s="337">
        <f>3050-266</f>
        <v>2784</v>
      </c>
      <c r="U89" s="286"/>
      <c r="V89" s="338"/>
      <c r="W89" s="318"/>
      <c r="X89" s="5"/>
    </row>
    <row r="90" spans="1:24" ht="15.75" x14ac:dyDescent="0.25">
      <c r="A90" s="295"/>
      <c r="B90" s="286" t="s">
        <v>215</v>
      </c>
      <c r="C90" s="314"/>
      <c r="D90" s="314"/>
      <c r="E90" s="314"/>
      <c r="F90" s="314"/>
      <c r="G90" s="314"/>
      <c r="H90" s="339"/>
      <c r="I90" s="339"/>
      <c r="J90" s="339"/>
      <c r="K90" s="340"/>
      <c r="L90" s="339"/>
      <c r="M90" s="314"/>
      <c r="N90" s="341"/>
      <c r="O90" s="314"/>
      <c r="P90" s="314"/>
      <c r="Q90" s="314"/>
      <c r="R90" s="314"/>
      <c r="S90" s="314"/>
      <c r="T90" s="337"/>
      <c r="U90" s="286"/>
      <c r="V90" s="338">
        <f>3108+2699-340-343</f>
        <v>5124</v>
      </c>
      <c r="W90" s="318"/>
      <c r="X90" s="5"/>
    </row>
    <row r="91" spans="1:24" ht="15.75" x14ac:dyDescent="0.25">
      <c r="A91" s="295"/>
      <c r="B91" s="286" t="s">
        <v>210</v>
      </c>
      <c r="C91" s="314"/>
      <c r="D91" s="314"/>
      <c r="E91" s="314"/>
      <c r="F91" s="314"/>
      <c r="G91" s="314"/>
      <c r="H91" s="339"/>
      <c r="I91" s="339"/>
      <c r="J91" s="339"/>
      <c r="K91" s="340"/>
      <c r="L91" s="339"/>
      <c r="M91" s="314"/>
      <c r="N91" s="341"/>
      <c r="O91" s="314"/>
      <c r="P91" s="314"/>
      <c r="Q91" s="314"/>
      <c r="R91" s="314"/>
      <c r="S91" s="314"/>
      <c r="T91" s="337"/>
      <c r="U91" s="286"/>
      <c r="V91" s="338">
        <f>58+7</f>
        <v>65</v>
      </c>
      <c r="W91" s="318"/>
      <c r="X91" s="5"/>
    </row>
    <row r="92" spans="1:24" ht="15.75" x14ac:dyDescent="0.25">
      <c r="A92" s="295"/>
      <c r="B92" s="286" t="s">
        <v>211</v>
      </c>
      <c r="C92" s="314"/>
      <c r="D92" s="314"/>
      <c r="E92" s="314"/>
      <c r="F92" s="314"/>
      <c r="G92" s="314"/>
      <c r="H92" s="339"/>
      <c r="I92" s="339"/>
      <c r="J92" s="339"/>
      <c r="K92" s="340"/>
      <c r="L92" s="339"/>
      <c r="M92" s="314"/>
      <c r="N92" s="341"/>
      <c r="O92" s="314"/>
      <c r="P92" s="314"/>
      <c r="Q92" s="314"/>
      <c r="R92" s="314"/>
      <c r="S92" s="314"/>
      <c r="T92" s="337"/>
      <c r="U92" s="286"/>
      <c r="V92" s="338">
        <v>27</v>
      </c>
      <c r="W92" s="318"/>
      <c r="X92" s="5"/>
    </row>
    <row r="93" spans="1:24" ht="15.75" x14ac:dyDescent="0.25">
      <c r="A93" s="295"/>
      <c r="B93" s="286" t="s">
        <v>233</v>
      </c>
      <c r="C93" s="314"/>
      <c r="D93" s="314"/>
      <c r="E93" s="314"/>
      <c r="F93" s="314"/>
      <c r="G93" s="314"/>
      <c r="H93" s="339"/>
      <c r="I93" s="339"/>
      <c r="J93" s="339"/>
      <c r="K93" s="340"/>
      <c r="L93" s="339"/>
      <c r="M93" s="314"/>
      <c r="N93" s="341"/>
      <c r="O93" s="314"/>
      <c r="P93" s="314"/>
      <c r="Q93" s="314"/>
      <c r="R93" s="314"/>
      <c r="S93" s="314"/>
      <c r="T93" s="337"/>
      <c r="U93" s="286"/>
      <c r="V93" s="338">
        <v>0</v>
      </c>
      <c r="W93" s="318"/>
      <c r="X93" s="5"/>
    </row>
    <row r="94" spans="1:24" ht="15.75" x14ac:dyDescent="0.25">
      <c r="A94" s="295"/>
      <c r="B94" s="286" t="s">
        <v>235</v>
      </c>
      <c r="C94" s="314"/>
      <c r="D94" s="314"/>
      <c r="E94" s="314"/>
      <c r="F94" s="314"/>
      <c r="G94" s="314"/>
      <c r="H94" s="339"/>
      <c r="I94" s="339"/>
      <c r="J94" s="339"/>
      <c r="K94" s="340"/>
      <c r="L94" s="339"/>
      <c r="M94" s="314"/>
      <c r="N94" s="341"/>
      <c r="O94" s="314"/>
      <c r="P94" s="314"/>
      <c r="Q94" s="314"/>
      <c r="R94" s="314"/>
      <c r="S94" s="314"/>
      <c r="T94" s="337"/>
      <c r="U94" s="286"/>
      <c r="V94" s="338">
        <v>0</v>
      </c>
      <c r="W94" s="318"/>
      <c r="X94" s="5"/>
    </row>
    <row r="95" spans="1:24" ht="15.75" x14ac:dyDescent="0.25">
      <c r="A95" s="295"/>
      <c r="B95" s="286" t="s">
        <v>135</v>
      </c>
      <c r="C95" s="314"/>
      <c r="D95" s="314"/>
      <c r="E95" s="314"/>
      <c r="F95" s="314"/>
      <c r="G95" s="314"/>
      <c r="H95" s="314"/>
      <c r="I95" s="314"/>
      <c r="J95" s="314"/>
      <c r="K95" s="314"/>
      <c r="L95" s="314"/>
      <c r="M95" s="314"/>
      <c r="N95" s="314"/>
      <c r="O95" s="314"/>
      <c r="P95" s="314"/>
      <c r="Q95" s="314"/>
      <c r="R95" s="314"/>
      <c r="S95" s="314"/>
      <c r="T95" s="337"/>
      <c r="U95" s="286"/>
      <c r="V95" s="338">
        <v>0</v>
      </c>
      <c r="W95" s="318"/>
      <c r="X95" s="5"/>
    </row>
    <row r="96" spans="1:24" ht="15.75" x14ac:dyDescent="0.25">
      <c r="A96" s="295"/>
      <c r="B96" s="286" t="s">
        <v>272</v>
      </c>
      <c r="C96" s="314"/>
      <c r="D96" s="314"/>
      <c r="E96" s="314"/>
      <c r="F96" s="314"/>
      <c r="G96" s="314"/>
      <c r="H96" s="314"/>
      <c r="I96" s="314"/>
      <c r="J96" s="314"/>
      <c r="K96" s="314"/>
      <c r="L96" s="314"/>
      <c r="M96" s="314"/>
      <c r="N96" s="314"/>
      <c r="O96" s="314"/>
      <c r="P96" s="314"/>
      <c r="Q96" s="314"/>
      <c r="R96" s="314"/>
      <c r="S96" s="314"/>
      <c r="T96" s="337"/>
      <c r="U96" s="286"/>
      <c r="V96" s="338">
        <v>0</v>
      </c>
      <c r="W96" s="318"/>
      <c r="X96" s="5"/>
    </row>
    <row r="97" spans="1:25" ht="15.75" x14ac:dyDescent="0.25">
      <c r="A97" s="295"/>
      <c r="B97" s="286" t="s">
        <v>30</v>
      </c>
      <c r="C97" s="314"/>
      <c r="D97" s="314"/>
      <c r="E97" s="314"/>
      <c r="F97" s="314"/>
      <c r="G97" s="314"/>
      <c r="H97" s="314"/>
      <c r="I97" s="314"/>
      <c r="J97" s="314"/>
      <c r="K97" s="314"/>
      <c r="L97" s="314"/>
      <c r="M97" s="314"/>
      <c r="N97" s="314"/>
      <c r="O97" s="314"/>
      <c r="P97" s="314"/>
      <c r="Q97" s="314"/>
      <c r="R97" s="314"/>
      <c r="S97" s="314"/>
      <c r="T97" s="337">
        <f>SUM(T88:T96)</f>
        <v>2784</v>
      </c>
      <c r="U97" s="286"/>
      <c r="V97" s="337">
        <f>SUM(V88:V96)</f>
        <v>5216</v>
      </c>
      <c r="W97" s="318"/>
      <c r="X97" s="5"/>
    </row>
    <row r="98" spans="1:25" ht="15.75" x14ac:dyDescent="0.25">
      <c r="A98" s="295"/>
      <c r="B98" s="286" t="s">
        <v>161</v>
      </c>
      <c r="C98" s="314"/>
      <c r="D98" s="314"/>
      <c r="E98" s="314"/>
      <c r="F98" s="314"/>
      <c r="G98" s="314"/>
      <c r="H98" s="314"/>
      <c r="I98" s="314"/>
      <c r="J98" s="314"/>
      <c r="K98" s="314"/>
      <c r="L98" s="314"/>
      <c r="M98" s="314"/>
      <c r="N98" s="314"/>
      <c r="O98" s="314"/>
      <c r="P98" s="314"/>
      <c r="Q98" s="314"/>
      <c r="R98" s="314"/>
      <c r="S98" s="314"/>
      <c r="T98" s="337">
        <f>-V98</f>
        <v>0</v>
      </c>
      <c r="U98" s="286"/>
      <c r="V98" s="337">
        <v>0</v>
      </c>
      <c r="W98" s="318"/>
      <c r="X98" s="5"/>
    </row>
    <row r="99" spans="1:25" ht="15.75" x14ac:dyDescent="0.25">
      <c r="A99" s="295"/>
      <c r="B99" s="286" t="s">
        <v>31</v>
      </c>
      <c r="C99" s="314"/>
      <c r="D99" s="314"/>
      <c r="E99" s="314"/>
      <c r="F99" s="314"/>
      <c r="G99" s="314"/>
      <c r="H99" s="314"/>
      <c r="I99" s="314"/>
      <c r="J99" s="314"/>
      <c r="K99" s="314"/>
      <c r="L99" s="314"/>
      <c r="M99" s="314"/>
      <c r="N99" s="314"/>
      <c r="O99" s="314"/>
      <c r="P99" s="314"/>
      <c r="Q99" s="314"/>
      <c r="R99" s="314"/>
      <c r="S99" s="314"/>
      <c r="T99" s="337">
        <f>-V99</f>
        <v>0</v>
      </c>
      <c r="U99" s="286"/>
      <c r="V99" s="338">
        <v>0</v>
      </c>
      <c r="W99" s="318"/>
      <c r="X99" s="5"/>
    </row>
    <row r="100" spans="1:25" ht="15.75" x14ac:dyDescent="0.25">
      <c r="A100" s="295"/>
      <c r="B100" s="286" t="s">
        <v>274</v>
      </c>
      <c r="C100" s="314"/>
      <c r="D100" s="314"/>
      <c r="E100" s="314"/>
      <c r="F100" s="314"/>
      <c r="G100" s="314"/>
      <c r="H100" s="314"/>
      <c r="I100" s="314"/>
      <c r="J100" s="314"/>
      <c r="K100" s="314"/>
      <c r="L100" s="314"/>
      <c r="M100" s="314"/>
      <c r="N100" s="314"/>
      <c r="O100" s="314"/>
      <c r="P100" s="314"/>
      <c r="Q100" s="314"/>
      <c r="R100" s="314"/>
      <c r="S100" s="314"/>
      <c r="T100" s="337"/>
      <c r="U100" s="286"/>
      <c r="V100" s="338">
        <v>-170</v>
      </c>
      <c r="W100" s="318"/>
      <c r="X100" s="5"/>
    </row>
    <row r="101" spans="1:25" ht="15.75" x14ac:dyDescent="0.25">
      <c r="A101" s="295"/>
      <c r="B101" s="286" t="s">
        <v>32</v>
      </c>
      <c r="C101" s="314"/>
      <c r="D101" s="314"/>
      <c r="E101" s="314"/>
      <c r="F101" s="314"/>
      <c r="G101" s="314"/>
      <c r="H101" s="314"/>
      <c r="I101" s="314"/>
      <c r="J101" s="314"/>
      <c r="K101" s="314"/>
      <c r="L101" s="314"/>
      <c r="M101" s="314"/>
      <c r="N101" s="314"/>
      <c r="O101" s="314"/>
      <c r="P101" s="314"/>
      <c r="Q101" s="314"/>
      <c r="R101" s="314"/>
      <c r="S101" s="314"/>
      <c r="T101" s="337">
        <f>T97+T99+T98</f>
        <v>2784</v>
      </c>
      <c r="U101" s="286"/>
      <c r="V101" s="337">
        <f>V97+V99+V98+V100</f>
        <v>5046</v>
      </c>
      <c r="W101" s="318"/>
      <c r="X101" s="5"/>
    </row>
    <row r="102" spans="1:25" ht="15.75" x14ac:dyDescent="0.25">
      <c r="A102" s="285"/>
      <c r="B102" s="342" t="s">
        <v>33</v>
      </c>
      <c r="C102" s="314"/>
      <c r="D102" s="314"/>
      <c r="E102" s="314"/>
      <c r="F102" s="314"/>
      <c r="G102" s="314"/>
      <c r="H102" s="314"/>
      <c r="I102" s="314"/>
      <c r="J102" s="314"/>
      <c r="K102" s="314"/>
      <c r="L102" s="314"/>
      <c r="M102" s="314"/>
      <c r="N102" s="314"/>
      <c r="O102" s="314"/>
      <c r="P102" s="314"/>
      <c r="Q102" s="314"/>
      <c r="R102" s="314"/>
      <c r="S102" s="314"/>
      <c r="T102" s="337"/>
      <c r="U102" s="286"/>
      <c r="V102" s="338"/>
      <c r="W102" s="318"/>
      <c r="X102" s="5"/>
    </row>
    <row r="103" spans="1:25" ht="15.75" x14ac:dyDescent="0.25">
      <c r="A103" s="295">
        <v>1</v>
      </c>
      <c r="B103" s="286" t="s">
        <v>34</v>
      </c>
      <c r="C103" s="286"/>
      <c r="D103" s="286"/>
      <c r="E103" s="314"/>
      <c r="F103" s="314"/>
      <c r="G103" s="314"/>
      <c r="H103" s="314"/>
      <c r="I103" s="314"/>
      <c r="J103" s="314"/>
      <c r="K103" s="314"/>
      <c r="L103" s="314"/>
      <c r="M103" s="314"/>
      <c r="N103" s="314"/>
      <c r="O103" s="314"/>
      <c r="P103" s="314"/>
      <c r="Q103" s="314"/>
      <c r="R103" s="314"/>
      <c r="S103" s="314"/>
      <c r="T103" s="286"/>
      <c r="U103" s="286"/>
      <c r="V103" s="338">
        <v>0</v>
      </c>
      <c r="W103" s="318"/>
      <c r="X103" s="5"/>
    </row>
    <row r="104" spans="1:25" ht="15.75" x14ac:dyDescent="0.25">
      <c r="A104" s="295">
        <f>+A103+1</f>
        <v>2</v>
      </c>
      <c r="B104" s="286" t="s">
        <v>314</v>
      </c>
      <c r="C104" s="286"/>
      <c r="D104" s="286"/>
      <c r="E104" s="314"/>
      <c r="F104" s="314"/>
      <c r="G104" s="314"/>
      <c r="H104" s="314"/>
      <c r="I104" s="314"/>
      <c r="J104" s="314"/>
      <c r="K104" s="314"/>
      <c r="L104" s="314"/>
      <c r="M104" s="314"/>
      <c r="N104" s="314"/>
      <c r="O104" s="314"/>
      <c r="P104" s="314"/>
      <c r="Q104" s="314"/>
      <c r="R104" s="314"/>
      <c r="S104" s="314"/>
      <c r="T104" s="286"/>
      <c r="U104" s="286"/>
      <c r="V104" s="338">
        <v>-2</v>
      </c>
      <c r="W104" s="318"/>
      <c r="X104" s="5"/>
    </row>
    <row r="105" spans="1:25" ht="15.75" x14ac:dyDescent="0.25">
      <c r="A105" s="295">
        <f>+A104+1</f>
        <v>3</v>
      </c>
      <c r="B105" s="412" t="s">
        <v>316</v>
      </c>
      <c r="C105" s="286"/>
      <c r="D105" s="286"/>
      <c r="E105" s="314"/>
      <c r="F105" s="314"/>
      <c r="G105" s="314"/>
      <c r="H105" s="314"/>
      <c r="I105" s="314"/>
      <c r="J105" s="314"/>
      <c r="K105" s="314"/>
      <c r="L105" s="314"/>
      <c r="M105" s="314"/>
      <c r="N105" s="314"/>
      <c r="O105" s="314"/>
      <c r="P105" s="314"/>
      <c r="Q105" s="314"/>
      <c r="R105" s="314"/>
      <c r="S105" s="314"/>
      <c r="T105" s="286"/>
      <c r="U105" s="286"/>
      <c r="V105" s="338">
        <f>-304-154-9</f>
        <v>-467</v>
      </c>
      <c r="W105" s="318"/>
      <c r="X105" s="5"/>
    </row>
    <row r="106" spans="1:25" ht="15.75" x14ac:dyDescent="0.25">
      <c r="A106" s="295" t="s">
        <v>127</v>
      </c>
      <c r="B106" s="286" t="s">
        <v>116</v>
      </c>
      <c r="C106" s="286"/>
      <c r="D106" s="286"/>
      <c r="E106" s="314"/>
      <c r="F106" s="314"/>
      <c r="G106" s="314"/>
      <c r="H106" s="314"/>
      <c r="I106" s="314"/>
      <c r="J106" s="314"/>
      <c r="K106" s="314"/>
      <c r="L106" s="314"/>
      <c r="M106" s="314"/>
      <c r="N106" s="314"/>
      <c r="O106" s="314"/>
      <c r="P106" s="314"/>
      <c r="Q106" s="314"/>
      <c r="R106" s="314"/>
      <c r="S106" s="314"/>
      <c r="T106" s="286"/>
      <c r="U106" s="286"/>
      <c r="V106" s="338">
        <v>0</v>
      </c>
      <c r="W106" s="318"/>
      <c r="X106" s="5"/>
    </row>
    <row r="107" spans="1:25" ht="15.75" x14ac:dyDescent="0.25">
      <c r="A107" s="295" t="s">
        <v>128</v>
      </c>
      <c r="B107" s="286" t="s">
        <v>220</v>
      </c>
      <c r="C107" s="286"/>
      <c r="D107" s="286"/>
      <c r="E107" s="314"/>
      <c r="F107" s="314"/>
      <c r="G107" s="314"/>
      <c r="H107" s="314"/>
      <c r="I107" s="314"/>
      <c r="J107" s="314"/>
      <c r="K107" s="314"/>
      <c r="L107" s="314"/>
      <c r="M107" s="314"/>
      <c r="N107" s="314"/>
      <c r="O107" s="314"/>
      <c r="P107" s="314"/>
      <c r="Q107" s="314"/>
      <c r="R107" s="314"/>
      <c r="S107" s="314"/>
      <c r="T107" s="286"/>
      <c r="U107" s="286"/>
      <c r="V107" s="338">
        <f>-1194+306</f>
        <v>-888</v>
      </c>
      <c r="W107" s="318"/>
      <c r="X107" s="5"/>
      <c r="Y107" s="109"/>
    </row>
    <row r="108" spans="1:25" ht="15.75" x14ac:dyDescent="0.25">
      <c r="A108" s="295" t="s">
        <v>150</v>
      </c>
      <c r="B108" s="286" t="s">
        <v>184</v>
      </c>
      <c r="C108" s="286"/>
      <c r="D108" s="286"/>
      <c r="E108" s="314"/>
      <c r="F108" s="314"/>
      <c r="G108" s="314"/>
      <c r="H108" s="314"/>
      <c r="I108" s="314"/>
      <c r="J108" s="314"/>
      <c r="K108" s="314"/>
      <c r="L108" s="314"/>
      <c r="M108" s="314"/>
      <c r="N108" s="314"/>
      <c r="O108" s="314"/>
      <c r="P108" s="314"/>
      <c r="Q108" s="314"/>
      <c r="R108" s="314"/>
      <c r="S108" s="314"/>
      <c r="T108" s="286"/>
      <c r="U108" s="286"/>
      <c r="V108" s="338">
        <v>-306</v>
      </c>
      <c r="W108" s="318"/>
      <c r="X108" s="5"/>
      <c r="Y108" s="109"/>
    </row>
    <row r="109" spans="1:25" ht="15.75" x14ac:dyDescent="0.25">
      <c r="A109" s="295" t="s">
        <v>205</v>
      </c>
      <c r="B109" s="286" t="s">
        <v>185</v>
      </c>
      <c r="C109" s="286"/>
      <c r="D109" s="286"/>
      <c r="E109" s="314"/>
      <c r="F109" s="314"/>
      <c r="G109" s="314"/>
      <c r="H109" s="314"/>
      <c r="I109" s="314"/>
      <c r="J109" s="314"/>
      <c r="K109" s="314"/>
      <c r="L109" s="314"/>
      <c r="M109" s="314"/>
      <c r="N109" s="314"/>
      <c r="O109" s="314"/>
      <c r="P109" s="314"/>
      <c r="Q109" s="314"/>
      <c r="R109" s="314"/>
      <c r="S109" s="314"/>
      <c r="T109" s="286"/>
      <c r="U109" s="286"/>
      <c r="V109" s="338">
        <v>-158</v>
      </c>
      <c r="W109" s="318"/>
      <c r="X109" s="5"/>
      <c r="Y109" s="109"/>
    </row>
    <row r="110" spans="1:25" ht="15.75" x14ac:dyDescent="0.25">
      <c r="A110" s="295" t="s">
        <v>206</v>
      </c>
      <c r="B110" s="286" t="s">
        <v>186</v>
      </c>
      <c r="C110" s="286"/>
      <c r="D110" s="286"/>
      <c r="E110" s="314"/>
      <c r="F110" s="314"/>
      <c r="G110" s="314"/>
      <c r="H110" s="314"/>
      <c r="I110" s="314"/>
      <c r="J110" s="314"/>
      <c r="K110" s="314"/>
      <c r="L110" s="314"/>
      <c r="M110" s="314"/>
      <c r="N110" s="314"/>
      <c r="O110" s="314"/>
      <c r="P110" s="314"/>
      <c r="Q110" s="314"/>
      <c r="R110" s="314"/>
      <c r="S110" s="314"/>
      <c r="T110" s="286"/>
      <c r="U110" s="286"/>
      <c r="V110" s="338">
        <v>-44</v>
      </c>
      <c r="W110" s="318"/>
      <c r="X110" s="5"/>
      <c r="Y110" s="109"/>
    </row>
    <row r="111" spans="1:25" ht="15.75" x14ac:dyDescent="0.25">
      <c r="A111" s="295">
        <v>6</v>
      </c>
      <c r="B111" s="286" t="s">
        <v>196</v>
      </c>
      <c r="C111" s="286"/>
      <c r="D111" s="286"/>
      <c r="E111" s="314"/>
      <c r="F111" s="314"/>
      <c r="G111" s="314"/>
      <c r="H111" s="314"/>
      <c r="I111" s="314"/>
      <c r="J111" s="314"/>
      <c r="K111" s="314"/>
      <c r="L111" s="314"/>
      <c r="M111" s="314"/>
      <c r="N111" s="314"/>
      <c r="O111" s="314"/>
      <c r="P111" s="314"/>
      <c r="Q111" s="314"/>
      <c r="R111" s="314"/>
      <c r="S111" s="314"/>
      <c r="T111" s="286"/>
      <c r="U111" s="286"/>
      <c r="V111" s="338">
        <v>-316</v>
      </c>
      <c r="W111" s="318"/>
      <c r="X111" s="5"/>
      <c r="Y111" s="109"/>
    </row>
    <row r="112" spans="1:25" ht="15.75" x14ac:dyDescent="0.25">
      <c r="A112" s="295">
        <v>7</v>
      </c>
      <c r="B112" s="412" t="s">
        <v>315</v>
      </c>
      <c r="C112" s="286"/>
      <c r="D112" s="286"/>
      <c r="E112" s="314"/>
      <c r="F112" s="314"/>
      <c r="G112" s="314"/>
      <c r="H112" s="314"/>
      <c r="I112" s="314"/>
      <c r="J112" s="314"/>
      <c r="K112" s="314"/>
      <c r="L112" s="314"/>
      <c r="M112" s="314"/>
      <c r="N112" s="314"/>
      <c r="O112" s="314"/>
      <c r="P112" s="314"/>
      <c r="Q112" s="314"/>
      <c r="R112" s="314"/>
      <c r="S112" s="314"/>
      <c r="T112" s="286"/>
      <c r="U112" s="286"/>
      <c r="V112" s="338">
        <v>0</v>
      </c>
      <c r="W112" s="318"/>
      <c r="X112" s="5"/>
      <c r="Y112" s="109"/>
    </row>
    <row r="113" spans="1:24" ht="15.75" x14ac:dyDescent="0.25">
      <c r="A113" s="295">
        <v>8</v>
      </c>
      <c r="B113" s="286" t="s">
        <v>35</v>
      </c>
      <c r="C113" s="286"/>
      <c r="D113" s="286"/>
      <c r="E113" s="314"/>
      <c r="F113" s="314"/>
      <c r="G113" s="314"/>
      <c r="H113" s="314"/>
      <c r="I113" s="314"/>
      <c r="J113" s="314"/>
      <c r="K113" s="314"/>
      <c r="L113" s="314"/>
      <c r="M113" s="314"/>
      <c r="N113" s="314"/>
      <c r="O113" s="314"/>
      <c r="P113" s="314"/>
      <c r="Q113" s="314"/>
      <c r="R113" s="314"/>
      <c r="S113" s="314"/>
      <c r="T113" s="286"/>
      <c r="U113" s="286"/>
      <c r="V113" s="338">
        <v>-9</v>
      </c>
      <c r="W113" s="318"/>
      <c r="X113" s="5"/>
    </row>
    <row r="114" spans="1:24" ht="15.75" x14ac:dyDescent="0.25">
      <c r="A114" s="295">
        <f t="shared" ref="A114:A119" si="0">+A113+1</f>
        <v>9</v>
      </c>
      <c r="B114" s="286" t="s">
        <v>45</v>
      </c>
      <c r="C114" s="286"/>
      <c r="D114" s="286"/>
      <c r="E114" s="314"/>
      <c r="F114" s="314"/>
      <c r="G114" s="314"/>
      <c r="H114" s="314"/>
      <c r="I114" s="314"/>
      <c r="J114" s="314"/>
      <c r="K114" s="314"/>
      <c r="L114" s="314"/>
      <c r="M114" s="314"/>
      <c r="N114" s="314"/>
      <c r="O114" s="314"/>
      <c r="P114" s="314"/>
      <c r="Q114" s="314"/>
      <c r="R114" s="314"/>
      <c r="S114" s="314"/>
      <c r="T114" s="337">
        <f>-V114</f>
        <v>266</v>
      </c>
      <c r="U114" s="286"/>
      <c r="V114" s="338">
        <v>-266</v>
      </c>
      <c r="W114" s="318"/>
      <c r="X114" s="5"/>
    </row>
    <row r="115" spans="1:24" ht="15.75" x14ac:dyDescent="0.25">
      <c r="A115" s="295">
        <f t="shared" si="0"/>
        <v>10</v>
      </c>
      <c r="B115" s="286" t="s">
        <v>125</v>
      </c>
      <c r="C115" s="286"/>
      <c r="D115" s="286"/>
      <c r="E115" s="314"/>
      <c r="F115" s="314"/>
      <c r="G115" s="314"/>
      <c r="H115" s="314"/>
      <c r="I115" s="314"/>
      <c r="J115" s="314"/>
      <c r="K115" s="314"/>
      <c r="L115" s="314"/>
      <c r="M115" s="314"/>
      <c r="N115" s="314"/>
      <c r="O115" s="314"/>
      <c r="P115" s="314"/>
      <c r="Q115" s="314"/>
      <c r="R115" s="314"/>
      <c r="S115" s="314"/>
      <c r="T115" s="286"/>
      <c r="U115" s="286"/>
      <c r="V115" s="338">
        <v>0</v>
      </c>
      <c r="W115" s="318"/>
      <c r="X115" s="5"/>
    </row>
    <row r="116" spans="1:24" ht="15.75" x14ac:dyDescent="0.25">
      <c r="A116" s="295">
        <f t="shared" si="0"/>
        <v>11</v>
      </c>
      <c r="B116" s="286" t="s">
        <v>225</v>
      </c>
      <c r="C116" s="286"/>
      <c r="D116" s="286"/>
      <c r="E116" s="314"/>
      <c r="F116" s="314"/>
      <c r="G116" s="314"/>
      <c r="H116" s="314"/>
      <c r="I116" s="314"/>
      <c r="J116" s="314"/>
      <c r="K116" s="314"/>
      <c r="L116" s="314"/>
      <c r="M116" s="314"/>
      <c r="N116" s="314"/>
      <c r="O116" s="314"/>
      <c r="P116" s="314"/>
      <c r="Q116" s="314"/>
      <c r="R116" s="314"/>
      <c r="S116" s="314"/>
      <c r="T116" s="286"/>
      <c r="U116" s="286"/>
      <c r="V116" s="338">
        <v>0</v>
      </c>
      <c r="W116" s="318"/>
      <c r="X116" s="5"/>
    </row>
    <row r="117" spans="1:24" ht="15.75" x14ac:dyDescent="0.25">
      <c r="A117" s="295">
        <f t="shared" si="0"/>
        <v>12</v>
      </c>
      <c r="B117" s="286" t="s">
        <v>36</v>
      </c>
      <c r="C117" s="286"/>
      <c r="D117" s="286"/>
      <c r="E117" s="314"/>
      <c r="F117" s="314"/>
      <c r="G117" s="314"/>
      <c r="H117" s="314"/>
      <c r="I117" s="314"/>
      <c r="J117" s="314"/>
      <c r="K117" s="314"/>
      <c r="L117" s="314"/>
      <c r="M117" s="314"/>
      <c r="N117" s="314"/>
      <c r="O117" s="314"/>
      <c r="P117" s="314"/>
      <c r="Q117" s="314"/>
      <c r="R117" s="314"/>
      <c r="S117" s="314"/>
      <c r="T117" s="286"/>
      <c r="U117" s="286"/>
      <c r="V117" s="338">
        <v>0</v>
      </c>
      <c r="W117" s="318"/>
      <c r="X117" s="5"/>
    </row>
    <row r="118" spans="1:24" ht="15.75" x14ac:dyDescent="0.25">
      <c r="A118" s="295">
        <f t="shared" si="0"/>
        <v>13</v>
      </c>
      <c r="B118" s="286" t="s">
        <v>149</v>
      </c>
      <c r="C118" s="286"/>
      <c r="D118" s="286"/>
      <c r="E118" s="314"/>
      <c r="F118" s="314"/>
      <c r="G118" s="314"/>
      <c r="H118" s="314"/>
      <c r="I118" s="314"/>
      <c r="J118" s="314"/>
      <c r="K118" s="314"/>
      <c r="L118" s="314"/>
      <c r="M118" s="314"/>
      <c r="N118" s="314"/>
      <c r="O118" s="314"/>
      <c r="P118" s="314"/>
      <c r="Q118" s="314"/>
      <c r="R118" s="314"/>
      <c r="S118" s="314"/>
      <c r="T118" s="286"/>
      <c r="U118" s="286"/>
      <c r="V118" s="338">
        <v>-303</v>
      </c>
      <c r="W118" s="318"/>
      <c r="X118" s="5"/>
    </row>
    <row r="119" spans="1:24" ht="15.75" x14ac:dyDescent="0.25">
      <c r="A119" s="295">
        <f t="shared" si="0"/>
        <v>14</v>
      </c>
      <c r="B119" s="286" t="s">
        <v>126</v>
      </c>
      <c r="C119" s="286"/>
      <c r="D119" s="286"/>
      <c r="E119" s="314"/>
      <c r="F119" s="314"/>
      <c r="G119" s="314"/>
      <c r="H119" s="314"/>
      <c r="I119" s="314"/>
      <c r="J119" s="314"/>
      <c r="K119" s="314"/>
      <c r="L119" s="314"/>
      <c r="M119" s="314"/>
      <c r="N119" s="314"/>
      <c r="O119" s="314"/>
      <c r="P119" s="314"/>
      <c r="Q119" s="314"/>
      <c r="R119" s="314"/>
      <c r="S119" s="314"/>
      <c r="T119" s="286"/>
      <c r="U119" s="286"/>
      <c r="V119" s="338">
        <f>-V101-SUM(V103:V118)</f>
        <v>-2287</v>
      </c>
      <c r="W119" s="318"/>
      <c r="X119" s="5"/>
    </row>
    <row r="120" spans="1:24" ht="15.75" x14ac:dyDescent="0.25">
      <c r="A120" s="285"/>
      <c r="B120" s="342" t="s">
        <v>37</v>
      </c>
      <c r="C120" s="314"/>
      <c r="D120" s="314"/>
      <c r="E120" s="314"/>
      <c r="F120" s="314"/>
      <c r="G120" s="314"/>
      <c r="H120" s="314"/>
      <c r="I120" s="314"/>
      <c r="J120" s="314"/>
      <c r="K120" s="314"/>
      <c r="L120" s="314"/>
      <c r="M120" s="314"/>
      <c r="N120" s="314"/>
      <c r="O120" s="314"/>
      <c r="P120" s="314"/>
      <c r="Q120" s="314"/>
      <c r="R120" s="314"/>
      <c r="S120" s="314"/>
      <c r="T120" s="286"/>
      <c r="U120" s="286"/>
      <c r="V120" s="343"/>
      <c r="W120" s="318"/>
      <c r="X120" s="5"/>
    </row>
    <row r="121" spans="1:24" ht="15.75" x14ac:dyDescent="0.25">
      <c r="A121" s="285"/>
      <c r="B121" s="286" t="s">
        <v>173</v>
      </c>
      <c r="C121" s="314"/>
      <c r="D121" s="314"/>
      <c r="E121" s="314"/>
      <c r="F121" s="314"/>
      <c r="G121" s="314"/>
      <c r="H121" s="314"/>
      <c r="I121" s="314"/>
      <c r="J121" s="314"/>
      <c r="K121" s="314"/>
      <c r="L121" s="314"/>
      <c r="M121" s="314"/>
      <c r="N121" s="314"/>
      <c r="O121" s="314"/>
      <c r="P121" s="314"/>
      <c r="Q121" s="314"/>
      <c r="R121" s="314"/>
      <c r="S121" s="314"/>
      <c r="T121" s="337">
        <f>-T186</f>
        <v>0</v>
      </c>
      <c r="U121" s="337"/>
      <c r="V121" s="338"/>
      <c r="W121" s="318"/>
      <c r="X121" s="5"/>
    </row>
    <row r="122" spans="1:24" ht="15.75" x14ac:dyDescent="0.25">
      <c r="A122" s="285"/>
      <c r="B122" s="286" t="s">
        <v>174</v>
      </c>
      <c r="C122" s="314"/>
      <c r="D122" s="314"/>
      <c r="E122" s="314"/>
      <c r="F122" s="314"/>
      <c r="G122" s="314"/>
      <c r="H122" s="314"/>
      <c r="I122" s="314"/>
      <c r="J122" s="314"/>
      <c r="K122" s="314"/>
      <c r="L122" s="314"/>
      <c r="M122" s="314"/>
      <c r="N122" s="314"/>
      <c r="O122" s="314"/>
      <c r="P122" s="314"/>
      <c r="Q122" s="314"/>
      <c r="R122" s="314"/>
      <c r="S122" s="314"/>
      <c r="T122" s="337">
        <v>-5</v>
      </c>
      <c r="U122" s="337"/>
      <c r="V122" s="338"/>
      <c r="W122" s="318"/>
      <c r="X122" s="5"/>
    </row>
    <row r="123" spans="1:24" ht="15.75" x14ac:dyDescent="0.25">
      <c r="A123" s="285"/>
      <c r="B123" s="286" t="s">
        <v>38</v>
      </c>
      <c r="C123" s="314"/>
      <c r="D123" s="314"/>
      <c r="E123" s="314"/>
      <c r="F123" s="314"/>
      <c r="G123" s="314"/>
      <c r="H123" s="314"/>
      <c r="I123" s="314"/>
      <c r="J123" s="314"/>
      <c r="K123" s="314"/>
      <c r="L123" s="314"/>
      <c r="M123" s="314"/>
      <c r="N123" s="314"/>
      <c r="O123" s="314"/>
      <c r="P123" s="314"/>
      <c r="Q123" s="314"/>
      <c r="R123" s="314"/>
      <c r="S123" s="314"/>
      <c r="T123" s="337">
        <f>-S186</f>
        <v>-21</v>
      </c>
      <c r="U123" s="337"/>
      <c r="V123" s="338"/>
      <c r="W123" s="318"/>
      <c r="X123" s="5"/>
    </row>
    <row r="124" spans="1:24" ht="15.75" x14ac:dyDescent="0.25">
      <c r="A124" s="285"/>
      <c r="B124" s="286" t="s">
        <v>197</v>
      </c>
      <c r="C124" s="314"/>
      <c r="D124" s="314"/>
      <c r="E124" s="314"/>
      <c r="F124" s="314"/>
      <c r="G124" s="314"/>
      <c r="H124" s="314"/>
      <c r="I124" s="314"/>
      <c r="J124" s="314"/>
      <c r="K124" s="314"/>
      <c r="L124" s="314"/>
      <c r="M124" s="314"/>
      <c r="N124" s="314"/>
      <c r="O124" s="314"/>
      <c r="P124" s="314"/>
      <c r="Q124" s="314"/>
      <c r="R124" s="314"/>
      <c r="S124" s="314"/>
      <c r="T124" s="337">
        <v>-1752</v>
      </c>
      <c r="U124" s="337"/>
      <c r="V124" s="338"/>
      <c r="W124" s="318"/>
      <c r="X124" s="5"/>
    </row>
    <row r="125" spans="1:24" ht="15.75" x14ac:dyDescent="0.25">
      <c r="A125" s="285"/>
      <c r="B125" s="286" t="s">
        <v>195</v>
      </c>
      <c r="C125" s="314"/>
      <c r="D125" s="314"/>
      <c r="E125" s="314"/>
      <c r="F125" s="314"/>
      <c r="G125" s="314"/>
      <c r="H125" s="314"/>
      <c r="I125" s="314"/>
      <c r="J125" s="314"/>
      <c r="K125" s="314"/>
      <c r="L125" s="314"/>
      <c r="M125" s="314"/>
      <c r="N125" s="314"/>
      <c r="O125" s="314"/>
      <c r="P125" s="314"/>
      <c r="Q125" s="314"/>
      <c r="R125" s="314"/>
      <c r="S125" s="314"/>
      <c r="T125" s="337">
        <v>-744</v>
      </c>
      <c r="U125" s="337"/>
      <c r="V125" s="338"/>
      <c r="W125" s="318"/>
      <c r="X125" s="5"/>
    </row>
    <row r="126" spans="1:24" ht="15.75" x14ac:dyDescent="0.25">
      <c r="A126" s="285"/>
      <c r="B126" s="286" t="s">
        <v>194</v>
      </c>
      <c r="C126" s="314"/>
      <c r="D126" s="314"/>
      <c r="E126" s="314"/>
      <c r="F126" s="314"/>
      <c r="G126" s="314"/>
      <c r="H126" s="314"/>
      <c r="I126" s="314"/>
      <c r="J126" s="314"/>
      <c r="K126" s="314"/>
      <c r="L126" s="314"/>
      <c r="M126" s="314"/>
      <c r="N126" s="314"/>
      <c r="O126" s="314"/>
      <c r="P126" s="314"/>
      <c r="Q126" s="314"/>
      <c r="R126" s="314"/>
      <c r="S126" s="314"/>
      <c r="T126" s="337">
        <v>-265</v>
      </c>
      <c r="U126" s="337"/>
      <c r="V126" s="338"/>
      <c r="W126" s="318"/>
      <c r="X126" s="5"/>
    </row>
    <row r="127" spans="1:24" ht="15.75" x14ac:dyDescent="0.25">
      <c r="A127" s="285"/>
      <c r="B127" s="286" t="s">
        <v>222</v>
      </c>
      <c r="C127" s="314"/>
      <c r="D127" s="314"/>
      <c r="E127" s="314"/>
      <c r="F127" s="314"/>
      <c r="G127" s="314"/>
      <c r="H127" s="314"/>
      <c r="I127" s="314"/>
      <c r="J127" s="314"/>
      <c r="K127" s="314"/>
      <c r="L127" s="314"/>
      <c r="M127" s="314"/>
      <c r="N127" s="314"/>
      <c r="O127" s="314"/>
      <c r="P127" s="314"/>
      <c r="Q127" s="314"/>
      <c r="R127" s="314"/>
      <c r="S127" s="314"/>
      <c r="T127" s="337">
        <v>-263</v>
      </c>
      <c r="U127" s="337"/>
      <c r="V127" s="338"/>
      <c r="W127" s="318"/>
      <c r="X127" s="5"/>
    </row>
    <row r="128" spans="1:24" ht="15.75" x14ac:dyDescent="0.25">
      <c r="A128" s="285"/>
      <c r="B128" s="286" t="s">
        <v>189</v>
      </c>
      <c r="C128" s="314"/>
      <c r="D128" s="314"/>
      <c r="E128" s="314"/>
      <c r="F128" s="314"/>
      <c r="G128" s="314"/>
      <c r="H128" s="314"/>
      <c r="I128" s="314"/>
      <c r="J128" s="314"/>
      <c r="K128" s="314"/>
      <c r="L128" s="314"/>
      <c r="M128" s="314"/>
      <c r="N128" s="314"/>
      <c r="O128" s="314"/>
      <c r="P128" s="314"/>
      <c r="Q128" s="314"/>
      <c r="R128" s="314"/>
      <c r="S128" s="314"/>
      <c r="T128" s="337">
        <v>0</v>
      </c>
      <c r="U128" s="337"/>
      <c r="V128" s="338"/>
      <c r="W128" s="318"/>
      <c r="X128" s="5"/>
    </row>
    <row r="129" spans="1:24" ht="15.75" x14ac:dyDescent="0.25">
      <c r="A129" s="285"/>
      <c r="B129" s="286" t="s">
        <v>188</v>
      </c>
      <c r="C129" s="314"/>
      <c r="D129" s="314"/>
      <c r="E129" s="314"/>
      <c r="F129" s="314"/>
      <c r="G129" s="314"/>
      <c r="H129" s="314"/>
      <c r="I129" s="314"/>
      <c r="J129" s="314"/>
      <c r="K129" s="314"/>
      <c r="L129" s="314"/>
      <c r="M129" s="314"/>
      <c r="N129" s="314"/>
      <c r="O129" s="314"/>
      <c r="P129" s="314"/>
      <c r="Q129" s="314"/>
      <c r="R129" s="314"/>
      <c r="S129" s="314"/>
      <c r="T129" s="337">
        <v>0</v>
      </c>
      <c r="U129" s="337"/>
      <c r="V129" s="338"/>
      <c r="W129" s="318"/>
      <c r="X129" s="5"/>
    </row>
    <row r="130" spans="1:24" ht="15.75" x14ac:dyDescent="0.25">
      <c r="A130" s="285"/>
      <c r="B130" s="286" t="s">
        <v>187</v>
      </c>
      <c r="C130" s="314"/>
      <c r="D130" s="314"/>
      <c r="E130" s="314"/>
      <c r="F130" s="314"/>
      <c r="G130" s="314"/>
      <c r="H130" s="314"/>
      <c r="I130" s="314"/>
      <c r="J130" s="314"/>
      <c r="K130" s="314"/>
      <c r="L130" s="314"/>
      <c r="M130" s="314"/>
      <c r="N130" s="314"/>
      <c r="O130" s="314"/>
      <c r="P130" s="314"/>
      <c r="Q130" s="314"/>
      <c r="R130" s="314"/>
      <c r="S130" s="314"/>
      <c r="T130" s="337">
        <v>0</v>
      </c>
      <c r="U130" s="337"/>
      <c r="V130" s="338"/>
      <c r="W130" s="318"/>
      <c r="X130" s="5"/>
    </row>
    <row r="131" spans="1:24" ht="15.75" x14ac:dyDescent="0.25">
      <c r="A131" s="285"/>
      <c r="B131" s="286" t="s">
        <v>39</v>
      </c>
      <c r="C131" s="314"/>
      <c r="D131" s="314"/>
      <c r="E131" s="314"/>
      <c r="F131" s="314"/>
      <c r="G131" s="314"/>
      <c r="H131" s="314"/>
      <c r="I131" s="314"/>
      <c r="J131" s="314"/>
      <c r="K131" s="314"/>
      <c r="L131" s="314"/>
      <c r="M131" s="314"/>
      <c r="N131" s="314"/>
      <c r="O131" s="314"/>
      <c r="P131" s="314"/>
      <c r="Q131" s="314"/>
      <c r="R131" s="314"/>
      <c r="S131" s="314"/>
      <c r="T131" s="337">
        <f>SUM(T121:T130)</f>
        <v>-3050</v>
      </c>
      <c r="U131" s="337"/>
      <c r="V131" s="337">
        <f>SUM(V102:V129)</f>
        <v>-5046</v>
      </c>
      <c r="W131" s="318"/>
      <c r="X131" s="5"/>
    </row>
    <row r="132" spans="1:24" ht="15.75" x14ac:dyDescent="0.25">
      <c r="A132" s="285"/>
      <c r="B132" s="286" t="s">
        <v>40</v>
      </c>
      <c r="C132" s="314"/>
      <c r="D132" s="314"/>
      <c r="E132" s="314"/>
      <c r="F132" s="314"/>
      <c r="G132" s="314"/>
      <c r="H132" s="314"/>
      <c r="I132" s="314"/>
      <c r="J132" s="314"/>
      <c r="K132" s="314"/>
      <c r="L132" s="314"/>
      <c r="M132" s="314"/>
      <c r="N132" s="314"/>
      <c r="O132" s="314"/>
      <c r="P132" s="314"/>
      <c r="Q132" s="314"/>
      <c r="R132" s="314"/>
      <c r="S132" s="314"/>
      <c r="T132" s="337">
        <f>T101+T131+T114</f>
        <v>0</v>
      </c>
      <c r="U132" s="337"/>
      <c r="V132" s="337">
        <f>V101+V131</f>
        <v>0</v>
      </c>
      <c r="W132" s="318"/>
      <c r="X132" s="5"/>
    </row>
    <row r="133" spans="1:24" ht="15.75" x14ac:dyDescent="0.25">
      <c r="A133" s="181"/>
      <c r="B133" s="212"/>
      <c r="C133" s="212"/>
      <c r="D133" s="212"/>
      <c r="E133" s="212"/>
      <c r="F133" s="212"/>
      <c r="G133" s="212"/>
      <c r="H133" s="212"/>
      <c r="I133" s="212"/>
      <c r="J133" s="212"/>
      <c r="K133" s="212"/>
      <c r="L133" s="212"/>
      <c r="M133" s="212"/>
      <c r="N133" s="212"/>
      <c r="O133" s="212"/>
      <c r="P133" s="212"/>
      <c r="Q133" s="212"/>
      <c r="R133" s="212"/>
      <c r="S133" s="212"/>
      <c r="T133" s="335"/>
      <c r="U133" s="335"/>
      <c r="V133" s="335"/>
      <c r="W133" s="212"/>
      <c r="X133" s="5"/>
    </row>
    <row r="134" spans="1:24" ht="15.75" x14ac:dyDescent="0.25">
      <c r="A134" s="181"/>
      <c r="B134" s="183"/>
      <c r="C134" s="183"/>
      <c r="D134" s="183"/>
      <c r="E134" s="183"/>
      <c r="F134" s="183"/>
      <c r="G134" s="183"/>
      <c r="H134" s="183"/>
      <c r="I134" s="183"/>
      <c r="J134" s="183"/>
      <c r="K134" s="183"/>
      <c r="L134" s="183"/>
      <c r="M134" s="183"/>
      <c r="N134" s="183"/>
      <c r="O134" s="183"/>
      <c r="P134" s="183"/>
      <c r="Q134" s="183"/>
      <c r="R134" s="183"/>
      <c r="S134" s="183"/>
      <c r="T134" s="183"/>
      <c r="U134" s="183"/>
      <c r="V134" s="202"/>
      <c r="W134" s="183"/>
      <c r="X134" s="5"/>
    </row>
    <row r="135" spans="1:24" ht="19.5" thickBot="1" x14ac:dyDescent="0.35">
      <c r="A135" s="197"/>
      <c r="B135" s="270" t="str">
        <f>B64</f>
        <v>PM15 INVESTOR REPORT QUARTER ENDING FEBRUARY 2013</v>
      </c>
      <c r="C135" s="198"/>
      <c r="D135" s="198"/>
      <c r="E135" s="198"/>
      <c r="F135" s="198"/>
      <c r="G135" s="198"/>
      <c r="H135" s="198"/>
      <c r="I135" s="198"/>
      <c r="J135" s="198"/>
      <c r="K135" s="198"/>
      <c r="L135" s="198"/>
      <c r="M135" s="198"/>
      <c r="N135" s="198"/>
      <c r="O135" s="198"/>
      <c r="P135" s="198"/>
      <c r="Q135" s="198"/>
      <c r="R135" s="198"/>
      <c r="S135" s="198"/>
      <c r="T135" s="198"/>
      <c r="U135" s="198"/>
      <c r="V135" s="209"/>
      <c r="W135" s="200"/>
      <c r="X135" s="5"/>
    </row>
    <row r="136" spans="1:24" ht="15.75" x14ac:dyDescent="0.25">
      <c r="A136" s="236"/>
      <c r="B136" s="403" t="s">
        <v>41</v>
      </c>
      <c r="C136" s="238"/>
      <c r="D136" s="238"/>
      <c r="E136" s="238"/>
      <c r="F136" s="238"/>
      <c r="G136" s="238"/>
      <c r="H136" s="238"/>
      <c r="I136" s="238"/>
      <c r="J136" s="238"/>
      <c r="K136" s="238"/>
      <c r="L136" s="238"/>
      <c r="M136" s="238"/>
      <c r="N136" s="238"/>
      <c r="O136" s="238"/>
      <c r="P136" s="238"/>
      <c r="Q136" s="238"/>
      <c r="R136" s="238"/>
      <c r="S136" s="238"/>
      <c r="T136" s="238"/>
      <c r="U136" s="238"/>
      <c r="V136" s="239"/>
      <c r="W136" s="238"/>
      <c r="X136" s="5"/>
    </row>
    <row r="137" spans="1:24" ht="15.75" x14ac:dyDescent="0.25">
      <c r="A137" s="181"/>
      <c r="B137" s="191"/>
      <c r="C137" s="183"/>
      <c r="D137" s="183"/>
      <c r="E137" s="183"/>
      <c r="F137" s="183"/>
      <c r="G137" s="183"/>
      <c r="H137" s="183"/>
      <c r="I137" s="183"/>
      <c r="J137" s="183"/>
      <c r="K137" s="183"/>
      <c r="L137" s="183"/>
      <c r="M137" s="183"/>
      <c r="N137" s="183"/>
      <c r="O137" s="183"/>
      <c r="P137" s="183"/>
      <c r="Q137" s="183"/>
      <c r="R137" s="183"/>
      <c r="S137" s="183"/>
      <c r="T137" s="183"/>
      <c r="U137" s="183"/>
      <c r="V137" s="202"/>
      <c r="W137" s="183"/>
      <c r="X137" s="5"/>
    </row>
    <row r="138" spans="1:24" ht="15.75" x14ac:dyDescent="0.25">
      <c r="A138" s="181"/>
      <c r="B138" s="210" t="s">
        <v>42</v>
      </c>
      <c r="C138" s="183"/>
      <c r="D138" s="183"/>
      <c r="E138" s="183"/>
      <c r="F138" s="183"/>
      <c r="G138" s="183"/>
      <c r="H138" s="183"/>
      <c r="I138" s="183"/>
      <c r="J138" s="183"/>
      <c r="K138" s="183"/>
      <c r="L138" s="183"/>
      <c r="M138" s="183"/>
      <c r="N138" s="183"/>
      <c r="O138" s="183"/>
      <c r="P138" s="183"/>
      <c r="Q138" s="183"/>
      <c r="R138" s="183"/>
      <c r="S138" s="183"/>
      <c r="T138" s="183"/>
      <c r="U138" s="183"/>
      <c r="V138" s="202"/>
      <c r="W138" s="183"/>
      <c r="X138" s="5"/>
    </row>
    <row r="139" spans="1:24" ht="15.75" x14ac:dyDescent="0.25">
      <c r="A139" s="285"/>
      <c r="B139" s="286" t="s">
        <v>43</v>
      </c>
      <c r="C139" s="286"/>
      <c r="D139" s="286"/>
      <c r="E139" s="286"/>
      <c r="F139" s="286"/>
      <c r="G139" s="286"/>
      <c r="H139" s="286"/>
      <c r="I139" s="286"/>
      <c r="J139" s="286"/>
      <c r="K139" s="286"/>
      <c r="L139" s="286"/>
      <c r="M139" s="286"/>
      <c r="N139" s="286"/>
      <c r="O139" s="286"/>
      <c r="P139" s="286"/>
      <c r="Q139" s="286"/>
      <c r="R139" s="286"/>
      <c r="S139" s="286"/>
      <c r="T139" s="286"/>
      <c r="U139" s="286"/>
      <c r="V139" s="338">
        <f>+V34*0.019</f>
        <v>19021.526999999998</v>
      </c>
      <c r="W139" s="289"/>
      <c r="X139" s="5"/>
    </row>
    <row r="140" spans="1:24" ht="15.75" x14ac:dyDescent="0.25">
      <c r="A140" s="285"/>
      <c r="B140" s="286" t="s">
        <v>44</v>
      </c>
      <c r="C140" s="286"/>
      <c r="D140" s="286"/>
      <c r="E140" s="286"/>
      <c r="F140" s="286"/>
      <c r="G140" s="286"/>
      <c r="H140" s="286"/>
      <c r="I140" s="286"/>
      <c r="J140" s="286"/>
      <c r="K140" s="286"/>
      <c r="L140" s="286"/>
      <c r="M140" s="286"/>
      <c r="N140" s="286"/>
      <c r="O140" s="286"/>
      <c r="P140" s="286"/>
      <c r="Q140" s="286"/>
      <c r="R140" s="286"/>
      <c r="S140" s="286"/>
      <c r="T140" s="286"/>
      <c r="U140" s="286"/>
      <c r="V140" s="338">
        <v>19022</v>
      </c>
      <c r="W140" s="289"/>
      <c r="X140" s="5"/>
    </row>
    <row r="141" spans="1:24" ht="15.75" x14ac:dyDescent="0.25">
      <c r="A141" s="285"/>
      <c r="B141" s="286" t="s">
        <v>136</v>
      </c>
      <c r="C141" s="286"/>
      <c r="D141" s="286"/>
      <c r="E141" s="286"/>
      <c r="F141" s="286"/>
      <c r="G141" s="286"/>
      <c r="H141" s="286"/>
      <c r="I141" s="286"/>
      <c r="J141" s="286"/>
      <c r="K141" s="286"/>
      <c r="L141" s="286"/>
      <c r="M141" s="286"/>
      <c r="N141" s="286"/>
      <c r="O141" s="286"/>
      <c r="P141" s="286"/>
      <c r="Q141" s="286"/>
      <c r="R141" s="286"/>
      <c r="S141" s="286"/>
      <c r="T141" s="286"/>
      <c r="U141" s="286"/>
      <c r="V141" s="338"/>
      <c r="W141" s="289"/>
      <c r="X141" s="5"/>
    </row>
    <row r="142" spans="1:24" ht="15.75" x14ac:dyDescent="0.25">
      <c r="A142" s="285"/>
      <c r="B142" s="286" t="s">
        <v>123</v>
      </c>
      <c r="C142" s="286"/>
      <c r="D142" s="286"/>
      <c r="E142" s="286"/>
      <c r="F142" s="286"/>
      <c r="G142" s="286"/>
      <c r="H142" s="286"/>
      <c r="I142" s="286"/>
      <c r="J142" s="286"/>
      <c r="K142" s="286"/>
      <c r="L142" s="286"/>
      <c r="M142" s="286"/>
      <c r="N142" s="286"/>
      <c r="O142" s="286"/>
      <c r="P142" s="286"/>
      <c r="Q142" s="286"/>
      <c r="R142" s="286"/>
      <c r="S142" s="286"/>
      <c r="T142" s="286"/>
      <c r="U142" s="286"/>
      <c r="V142" s="338">
        <v>0</v>
      </c>
      <c r="W142" s="289"/>
      <c r="X142" s="5"/>
    </row>
    <row r="143" spans="1:24" ht="15.75" x14ac:dyDescent="0.25">
      <c r="A143" s="285"/>
      <c r="B143" s="286" t="s">
        <v>124</v>
      </c>
      <c r="C143" s="286"/>
      <c r="D143" s="286"/>
      <c r="E143" s="286"/>
      <c r="F143" s="286"/>
      <c r="G143" s="286"/>
      <c r="H143" s="286"/>
      <c r="I143" s="286"/>
      <c r="J143" s="286"/>
      <c r="K143" s="286"/>
      <c r="L143" s="286"/>
      <c r="M143" s="286"/>
      <c r="N143" s="286"/>
      <c r="O143" s="286"/>
      <c r="P143" s="286"/>
      <c r="Q143" s="286"/>
      <c r="R143" s="286"/>
      <c r="S143" s="286"/>
      <c r="T143" s="286"/>
      <c r="U143" s="286"/>
      <c r="V143" s="338">
        <v>0</v>
      </c>
      <c r="W143" s="289"/>
      <c r="X143" s="5"/>
    </row>
    <row r="144" spans="1:24" ht="15.75" x14ac:dyDescent="0.25">
      <c r="A144" s="285"/>
      <c r="B144" s="286" t="s">
        <v>175</v>
      </c>
      <c r="C144" s="286"/>
      <c r="D144" s="286"/>
      <c r="E144" s="286"/>
      <c r="F144" s="286"/>
      <c r="G144" s="286"/>
      <c r="H144" s="286"/>
      <c r="I144" s="286"/>
      <c r="J144" s="286"/>
      <c r="K144" s="286"/>
      <c r="L144" s="286"/>
      <c r="M144" s="286"/>
      <c r="N144" s="286"/>
      <c r="O144" s="286"/>
      <c r="P144" s="286"/>
      <c r="Q144" s="286"/>
      <c r="R144" s="286"/>
      <c r="S144" s="286"/>
      <c r="T144" s="286"/>
      <c r="U144" s="286"/>
      <c r="V144" s="338">
        <v>0</v>
      </c>
      <c r="W144" s="289"/>
      <c r="X144" s="5"/>
    </row>
    <row r="145" spans="1:25" ht="15.75" x14ac:dyDescent="0.25">
      <c r="A145" s="285"/>
      <c r="B145" s="286" t="s">
        <v>45</v>
      </c>
      <c r="C145" s="286"/>
      <c r="D145" s="286"/>
      <c r="E145" s="286"/>
      <c r="F145" s="286"/>
      <c r="G145" s="286"/>
      <c r="H145" s="286"/>
      <c r="I145" s="286"/>
      <c r="J145" s="286"/>
      <c r="K145" s="286"/>
      <c r="L145" s="286"/>
      <c r="M145" s="286"/>
      <c r="N145" s="286"/>
      <c r="O145" s="286"/>
      <c r="P145" s="286"/>
      <c r="Q145" s="286"/>
      <c r="R145" s="286"/>
      <c r="S145" s="286"/>
      <c r="T145" s="286"/>
      <c r="U145" s="286"/>
      <c r="V145" s="338">
        <v>0</v>
      </c>
      <c r="W145" s="289"/>
      <c r="X145" s="5"/>
    </row>
    <row r="146" spans="1:25" ht="15.75" x14ac:dyDescent="0.25">
      <c r="A146" s="285"/>
      <c r="B146" s="286" t="s">
        <v>129</v>
      </c>
      <c r="C146" s="286"/>
      <c r="D146" s="286"/>
      <c r="E146" s="286"/>
      <c r="F146" s="286"/>
      <c r="G146" s="286"/>
      <c r="H146" s="286"/>
      <c r="I146" s="286"/>
      <c r="J146" s="286"/>
      <c r="K146" s="286"/>
      <c r="L146" s="286"/>
      <c r="M146" s="286"/>
      <c r="N146" s="286"/>
      <c r="O146" s="286"/>
      <c r="P146" s="286"/>
      <c r="Q146" s="286"/>
      <c r="R146" s="286"/>
      <c r="S146" s="286"/>
      <c r="T146" s="286"/>
      <c r="U146" s="286"/>
      <c r="V146" s="338">
        <v>0</v>
      </c>
      <c r="W146" s="289"/>
      <c r="X146" s="5"/>
    </row>
    <row r="147" spans="1:25" ht="15.75" x14ac:dyDescent="0.25">
      <c r="A147" s="285"/>
      <c r="B147" s="286" t="s">
        <v>241</v>
      </c>
      <c r="C147" s="286"/>
      <c r="D147" s="286"/>
      <c r="E147" s="286"/>
      <c r="F147" s="286"/>
      <c r="G147" s="286"/>
      <c r="H147" s="286"/>
      <c r="I147" s="286"/>
      <c r="J147" s="286"/>
      <c r="K147" s="286"/>
      <c r="L147" s="286"/>
      <c r="M147" s="286"/>
      <c r="N147" s="286"/>
      <c r="O147" s="286"/>
      <c r="P147" s="286"/>
      <c r="Q147" s="286"/>
      <c r="R147" s="286"/>
      <c r="S147" s="286"/>
      <c r="T147" s="286"/>
      <c r="U147" s="286"/>
      <c r="V147" s="338">
        <v>0</v>
      </c>
      <c r="W147" s="289"/>
      <c r="X147" s="5"/>
      <c r="Y147" s="109"/>
    </row>
    <row r="148" spans="1:25" ht="15.75" x14ac:dyDescent="0.25">
      <c r="A148" s="285"/>
      <c r="B148" s="286" t="s">
        <v>46</v>
      </c>
      <c r="C148" s="286"/>
      <c r="D148" s="286"/>
      <c r="E148" s="286"/>
      <c r="F148" s="286"/>
      <c r="G148" s="286"/>
      <c r="H148" s="286"/>
      <c r="I148" s="286"/>
      <c r="J148" s="286"/>
      <c r="K148" s="286"/>
      <c r="L148" s="286"/>
      <c r="M148" s="286"/>
      <c r="N148" s="286"/>
      <c r="O148" s="286"/>
      <c r="P148" s="286"/>
      <c r="Q148" s="286"/>
      <c r="R148" s="286"/>
      <c r="S148" s="286"/>
      <c r="T148" s="286"/>
      <c r="U148" s="286"/>
      <c r="V148" s="338">
        <f>SUM(V140:V147)</f>
        <v>19022</v>
      </c>
      <c r="W148" s="289"/>
      <c r="X148" s="5"/>
    </row>
    <row r="149" spans="1:25" ht="15.75" x14ac:dyDescent="0.25">
      <c r="A149" s="285"/>
      <c r="B149" s="314"/>
      <c r="C149" s="314"/>
      <c r="D149" s="314"/>
      <c r="E149" s="314"/>
      <c r="F149" s="314"/>
      <c r="G149" s="314"/>
      <c r="H149" s="314"/>
      <c r="I149" s="314"/>
      <c r="J149" s="314"/>
      <c r="K149" s="314"/>
      <c r="L149" s="314"/>
      <c r="M149" s="314"/>
      <c r="N149" s="314"/>
      <c r="O149" s="314"/>
      <c r="P149" s="314"/>
      <c r="Q149" s="314"/>
      <c r="R149" s="314"/>
      <c r="S149" s="314"/>
      <c r="T149" s="314"/>
      <c r="U149" s="314"/>
      <c r="V149" s="345"/>
      <c r="W149" s="318"/>
      <c r="X149" s="5"/>
    </row>
    <row r="150" spans="1:25" ht="15.75" x14ac:dyDescent="0.25">
      <c r="A150" s="285"/>
      <c r="B150" s="342" t="s">
        <v>269</v>
      </c>
      <c r="C150" s="314"/>
      <c r="D150" s="314"/>
      <c r="E150" s="314"/>
      <c r="F150" s="314"/>
      <c r="G150" s="314"/>
      <c r="H150" s="314"/>
      <c r="I150" s="314"/>
      <c r="J150" s="314"/>
      <c r="K150" s="314"/>
      <c r="L150" s="314"/>
      <c r="M150" s="314"/>
      <c r="N150" s="314"/>
      <c r="O150" s="314"/>
      <c r="P150" s="314"/>
      <c r="Q150" s="314"/>
      <c r="R150" s="314"/>
      <c r="S150" s="314"/>
      <c r="T150" s="314"/>
      <c r="U150" s="314"/>
      <c r="V150" s="345"/>
      <c r="W150" s="318"/>
      <c r="X150" s="5"/>
    </row>
    <row r="151" spans="1:25" ht="15.75" x14ac:dyDescent="0.25">
      <c r="A151" s="285"/>
      <c r="B151" s="286" t="s">
        <v>155</v>
      </c>
      <c r="C151" s="286"/>
      <c r="D151" s="286"/>
      <c r="E151" s="286"/>
      <c r="F151" s="286"/>
      <c r="G151" s="286"/>
      <c r="H151" s="286"/>
      <c r="I151" s="286"/>
      <c r="J151" s="286"/>
      <c r="K151" s="286"/>
      <c r="L151" s="286"/>
      <c r="M151" s="286"/>
      <c r="N151" s="286"/>
      <c r="O151" s="286"/>
      <c r="P151" s="286"/>
      <c r="Q151" s="286"/>
      <c r="R151" s="286"/>
      <c r="S151" s="286"/>
      <c r="T151" s="286"/>
      <c r="U151" s="286"/>
      <c r="V151" s="338">
        <v>0</v>
      </c>
      <c r="W151" s="289"/>
      <c r="X151" s="5"/>
    </row>
    <row r="152" spans="1:25" ht="15.75" x14ac:dyDescent="0.25">
      <c r="A152" s="285"/>
      <c r="B152" s="286" t="s">
        <v>172</v>
      </c>
      <c r="C152" s="286"/>
      <c r="D152" s="286"/>
      <c r="E152" s="286"/>
      <c r="F152" s="286"/>
      <c r="G152" s="286"/>
      <c r="H152" s="286"/>
      <c r="I152" s="286"/>
      <c r="J152" s="286"/>
      <c r="K152" s="286"/>
      <c r="L152" s="286"/>
      <c r="M152" s="286"/>
      <c r="N152" s="286"/>
      <c r="O152" s="286"/>
      <c r="P152" s="286"/>
      <c r="Q152" s="286"/>
      <c r="R152" s="286"/>
      <c r="S152" s="286"/>
      <c r="T152" s="286"/>
      <c r="U152" s="286"/>
      <c r="V152" s="338">
        <v>0</v>
      </c>
      <c r="W152" s="289"/>
      <c r="X152" s="5"/>
    </row>
    <row r="153" spans="1:25" ht="15.75" x14ac:dyDescent="0.25">
      <c r="A153" s="285"/>
      <c r="B153" s="286" t="s">
        <v>226</v>
      </c>
      <c r="C153" s="286"/>
      <c r="D153" s="286"/>
      <c r="E153" s="286"/>
      <c r="F153" s="286"/>
      <c r="G153" s="286"/>
      <c r="H153" s="286"/>
      <c r="I153" s="286"/>
      <c r="J153" s="286"/>
      <c r="K153" s="286"/>
      <c r="L153" s="286"/>
      <c r="M153" s="286"/>
      <c r="N153" s="286"/>
      <c r="O153" s="286"/>
      <c r="P153" s="286"/>
      <c r="Q153" s="286"/>
      <c r="R153" s="286"/>
      <c r="S153" s="286"/>
      <c r="T153" s="286"/>
      <c r="U153" s="286"/>
      <c r="V153" s="338">
        <v>0</v>
      </c>
      <c r="W153" s="289"/>
      <c r="X153" s="5"/>
    </row>
    <row r="154" spans="1:25" ht="15.75" x14ac:dyDescent="0.25">
      <c r="A154" s="285"/>
      <c r="B154" s="314"/>
      <c r="C154" s="314"/>
      <c r="D154" s="314"/>
      <c r="E154" s="314"/>
      <c r="F154" s="314"/>
      <c r="G154" s="314"/>
      <c r="H154" s="314"/>
      <c r="I154" s="314"/>
      <c r="J154" s="314"/>
      <c r="K154" s="314"/>
      <c r="L154" s="314"/>
      <c r="M154" s="314"/>
      <c r="N154" s="314"/>
      <c r="O154" s="314"/>
      <c r="P154" s="314"/>
      <c r="Q154" s="314"/>
      <c r="R154" s="314"/>
      <c r="S154" s="314"/>
      <c r="T154" s="314"/>
      <c r="U154" s="314"/>
      <c r="V154" s="345"/>
      <c r="W154" s="318"/>
      <c r="X154" s="5"/>
    </row>
    <row r="155" spans="1:25" ht="15.75" x14ac:dyDescent="0.25">
      <c r="A155" s="181"/>
      <c r="B155" s="212"/>
      <c r="C155" s="212"/>
      <c r="D155" s="212"/>
      <c r="E155" s="212"/>
      <c r="F155" s="212"/>
      <c r="G155" s="212"/>
      <c r="H155" s="212"/>
      <c r="I155" s="212"/>
      <c r="J155" s="212"/>
      <c r="K155" s="212"/>
      <c r="L155" s="212"/>
      <c r="M155" s="212"/>
      <c r="N155" s="212"/>
      <c r="O155" s="212"/>
      <c r="P155" s="212"/>
      <c r="Q155" s="212"/>
      <c r="R155" s="212"/>
      <c r="S155" s="212"/>
      <c r="T155" s="212"/>
      <c r="U155" s="212"/>
      <c r="V155" s="344"/>
      <c r="W155" s="212"/>
      <c r="X155" s="5"/>
    </row>
    <row r="156" spans="1:25" ht="15.75" x14ac:dyDescent="0.25">
      <c r="A156" s="181"/>
      <c r="B156" s="210" t="s">
        <v>24</v>
      </c>
      <c r="C156" s="183"/>
      <c r="D156" s="183"/>
      <c r="E156" s="183"/>
      <c r="F156" s="183"/>
      <c r="G156" s="183"/>
      <c r="H156" s="183"/>
      <c r="I156" s="183"/>
      <c r="J156" s="183"/>
      <c r="K156" s="183"/>
      <c r="L156" s="183"/>
      <c r="M156" s="183"/>
      <c r="N156" s="183"/>
      <c r="O156" s="183"/>
      <c r="P156" s="183"/>
      <c r="Q156" s="183"/>
      <c r="R156" s="183"/>
      <c r="S156" s="183"/>
      <c r="T156" s="183"/>
      <c r="U156" s="183"/>
      <c r="V156" s="202"/>
      <c r="W156" s="183"/>
      <c r="X156" s="5"/>
    </row>
    <row r="157" spans="1:25" ht="15.75" x14ac:dyDescent="0.25">
      <c r="A157" s="285"/>
      <c r="B157" s="286" t="s">
        <v>47</v>
      </c>
      <c r="C157" s="286"/>
      <c r="D157" s="286"/>
      <c r="E157" s="286"/>
      <c r="F157" s="286"/>
      <c r="G157" s="286"/>
      <c r="H157" s="286"/>
      <c r="I157" s="286"/>
      <c r="J157" s="286"/>
      <c r="K157" s="286"/>
      <c r="L157" s="286"/>
      <c r="M157" s="286"/>
      <c r="N157" s="286"/>
      <c r="O157" s="286"/>
      <c r="P157" s="286"/>
      <c r="Q157" s="286"/>
      <c r="R157" s="286"/>
      <c r="S157" s="286"/>
      <c r="T157" s="286"/>
      <c r="U157" s="286"/>
      <c r="V157" s="343" t="s">
        <v>118</v>
      </c>
      <c r="W157" s="318"/>
      <c r="X157" s="5"/>
    </row>
    <row r="158" spans="1:25" ht="15.75" x14ac:dyDescent="0.25">
      <c r="A158" s="285"/>
      <c r="B158" s="286" t="s">
        <v>48</v>
      </c>
      <c r="C158" s="288"/>
      <c r="D158" s="288"/>
      <c r="E158" s="288"/>
      <c r="F158" s="288"/>
      <c r="G158" s="288"/>
      <c r="H158" s="288"/>
      <c r="I158" s="288"/>
      <c r="J158" s="288"/>
      <c r="K158" s="288"/>
      <c r="L158" s="288"/>
      <c r="M158" s="288"/>
      <c r="N158" s="288"/>
      <c r="O158" s="288"/>
      <c r="P158" s="288"/>
      <c r="Q158" s="288"/>
      <c r="R158" s="288"/>
      <c r="S158" s="288"/>
      <c r="T158" s="288"/>
      <c r="U158" s="288"/>
      <c r="V158" s="343" t="s">
        <v>118</v>
      </c>
      <c r="W158" s="318"/>
      <c r="X158" s="5"/>
    </row>
    <row r="159" spans="1:25" ht="15.75" x14ac:dyDescent="0.25">
      <c r="A159" s="285"/>
      <c r="B159" s="286" t="s">
        <v>49</v>
      </c>
      <c r="C159" s="286"/>
      <c r="D159" s="286"/>
      <c r="E159" s="286"/>
      <c r="F159" s="286"/>
      <c r="G159" s="286"/>
      <c r="H159" s="286"/>
      <c r="I159" s="286"/>
      <c r="J159" s="286"/>
      <c r="K159" s="286"/>
      <c r="L159" s="286"/>
      <c r="M159" s="286"/>
      <c r="N159" s="286"/>
      <c r="O159" s="286"/>
      <c r="P159" s="286"/>
      <c r="Q159" s="286"/>
      <c r="R159" s="286"/>
      <c r="S159" s="286"/>
      <c r="T159" s="286"/>
      <c r="U159" s="286"/>
      <c r="V159" s="343" t="s">
        <v>118</v>
      </c>
      <c r="W159" s="318"/>
      <c r="X159" s="5"/>
    </row>
    <row r="160" spans="1:25" ht="15.75" x14ac:dyDescent="0.25">
      <c r="A160" s="285"/>
      <c r="B160" s="286" t="s">
        <v>50</v>
      </c>
      <c r="C160" s="286"/>
      <c r="D160" s="286"/>
      <c r="E160" s="286"/>
      <c r="F160" s="286"/>
      <c r="G160" s="286"/>
      <c r="H160" s="286"/>
      <c r="I160" s="286"/>
      <c r="J160" s="286"/>
      <c r="K160" s="286"/>
      <c r="L160" s="286"/>
      <c r="M160" s="286"/>
      <c r="N160" s="286"/>
      <c r="O160" s="286"/>
      <c r="P160" s="286"/>
      <c r="Q160" s="286"/>
      <c r="R160" s="286"/>
      <c r="S160" s="286"/>
      <c r="T160" s="286"/>
      <c r="U160" s="286"/>
      <c r="V160" s="343" t="s">
        <v>118</v>
      </c>
      <c r="W160" s="318"/>
      <c r="X160" s="5"/>
    </row>
    <row r="161" spans="1:256" ht="15.75" x14ac:dyDescent="0.25">
      <c r="A161" s="181"/>
      <c r="B161" s="212"/>
      <c r="C161" s="212"/>
      <c r="D161" s="212"/>
      <c r="E161" s="212"/>
      <c r="F161" s="212"/>
      <c r="G161" s="212"/>
      <c r="H161" s="212"/>
      <c r="I161" s="212"/>
      <c r="J161" s="212"/>
      <c r="K161" s="212"/>
      <c r="L161" s="212"/>
      <c r="M161" s="212"/>
      <c r="N161" s="212"/>
      <c r="O161" s="212"/>
      <c r="P161" s="212"/>
      <c r="Q161" s="212"/>
      <c r="R161" s="212"/>
      <c r="S161" s="212"/>
      <c r="T161" s="212"/>
      <c r="U161" s="212"/>
      <c r="V161" s="344"/>
      <c r="W161" s="212"/>
      <c r="X161" s="5"/>
    </row>
    <row r="162" spans="1:256" ht="15.75" x14ac:dyDescent="0.25">
      <c r="A162" s="181"/>
      <c r="B162" s="210" t="s">
        <v>51</v>
      </c>
      <c r="C162" s="183"/>
      <c r="D162" s="183"/>
      <c r="E162" s="183"/>
      <c r="F162" s="183"/>
      <c r="G162" s="183"/>
      <c r="H162" s="183"/>
      <c r="I162" s="183"/>
      <c r="J162" s="183"/>
      <c r="K162" s="183"/>
      <c r="L162" s="183"/>
      <c r="M162" s="183"/>
      <c r="N162" s="183"/>
      <c r="O162" s="183"/>
      <c r="P162" s="183"/>
      <c r="Q162" s="183"/>
      <c r="R162" s="183"/>
      <c r="S162" s="183"/>
      <c r="T162" s="183"/>
      <c r="U162" s="183"/>
      <c r="V162" s="211"/>
      <c r="W162" s="183"/>
      <c r="X162" s="5"/>
    </row>
    <row r="163" spans="1:256" ht="15.75" x14ac:dyDescent="0.25">
      <c r="A163" s="285"/>
      <c r="B163" s="286" t="s">
        <v>52</v>
      </c>
      <c r="C163" s="286"/>
      <c r="D163" s="286"/>
      <c r="E163" s="286"/>
      <c r="F163" s="286"/>
      <c r="G163" s="286"/>
      <c r="H163" s="286"/>
      <c r="I163" s="286"/>
      <c r="J163" s="286"/>
      <c r="K163" s="286"/>
      <c r="L163" s="286"/>
      <c r="M163" s="286"/>
      <c r="N163" s="286"/>
      <c r="O163" s="286"/>
      <c r="P163" s="286"/>
      <c r="Q163" s="286"/>
      <c r="R163" s="286"/>
      <c r="S163" s="286"/>
      <c r="T163" s="286"/>
      <c r="U163" s="286"/>
      <c r="V163" s="338">
        <v>0</v>
      </c>
      <c r="W163" s="289"/>
      <c r="X163" s="5"/>
    </row>
    <row r="164" spans="1:256" ht="15.75" x14ac:dyDescent="0.25">
      <c r="A164" s="285"/>
      <c r="B164" s="286" t="s">
        <v>53</v>
      </c>
      <c r="C164" s="286"/>
      <c r="D164" s="286"/>
      <c r="E164" s="286"/>
      <c r="F164" s="286"/>
      <c r="G164" s="286"/>
      <c r="H164" s="286"/>
      <c r="I164" s="286"/>
      <c r="J164" s="286"/>
      <c r="K164" s="286"/>
      <c r="L164" s="286"/>
      <c r="M164" s="286"/>
      <c r="N164" s="286"/>
      <c r="O164" s="286"/>
      <c r="P164" s="286"/>
      <c r="Q164" s="286"/>
      <c r="R164" s="286"/>
      <c r="S164" s="286"/>
      <c r="T164" s="286"/>
      <c r="U164" s="286"/>
      <c r="V164" s="338">
        <v>266</v>
      </c>
      <c r="W164" s="289"/>
      <c r="X164" s="5"/>
    </row>
    <row r="165" spans="1:256" ht="15.75" x14ac:dyDescent="0.25">
      <c r="A165" s="285"/>
      <c r="B165" s="286" t="s">
        <v>54</v>
      </c>
      <c r="C165" s="286"/>
      <c r="D165" s="286"/>
      <c r="E165" s="286"/>
      <c r="F165" s="286"/>
      <c r="G165" s="286"/>
      <c r="H165" s="286"/>
      <c r="I165" s="286"/>
      <c r="J165" s="286"/>
      <c r="K165" s="286"/>
      <c r="L165" s="286"/>
      <c r="M165" s="286"/>
      <c r="N165" s="286"/>
      <c r="O165" s="286"/>
      <c r="P165" s="286"/>
      <c r="Q165" s="286"/>
      <c r="R165" s="286"/>
      <c r="S165" s="286"/>
      <c r="T165" s="286"/>
      <c r="U165" s="286"/>
      <c r="V165" s="338">
        <f>V164+V163</f>
        <v>266</v>
      </c>
      <c r="W165" s="289"/>
      <c r="X165" s="5"/>
    </row>
    <row r="166" spans="1:256" ht="15.75" x14ac:dyDescent="0.25">
      <c r="A166" s="285"/>
      <c r="B166" s="286" t="s">
        <v>303</v>
      </c>
      <c r="C166" s="286"/>
      <c r="D166" s="286"/>
      <c r="E166" s="286"/>
      <c r="F166" s="286"/>
      <c r="G166" s="286"/>
      <c r="H166" s="286"/>
      <c r="I166" s="286"/>
      <c r="J166" s="286"/>
      <c r="K166" s="286"/>
      <c r="L166" s="286"/>
      <c r="M166" s="286"/>
      <c r="N166" s="286"/>
      <c r="O166" s="286"/>
      <c r="P166" s="286"/>
      <c r="Q166" s="286"/>
      <c r="R166" s="286"/>
      <c r="S166" s="286"/>
      <c r="T166" s="286"/>
      <c r="U166" s="286"/>
      <c r="V166" s="338">
        <f>V114</f>
        <v>-266</v>
      </c>
      <c r="W166" s="289"/>
      <c r="X166" s="5"/>
    </row>
    <row r="167" spans="1:256" ht="15.75" x14ac:dyDescent="0.25">
      <c r="A167" s="285"/>
      <c r="B167" s="286" t="s">
        <v>55</v>
      </c>
      <c r="C167" s="286"/>
      <c r="D167" s="286"/>
      <c r="E167" s="286"/>
      <c r="F167" s="286"/>
      <c r="G167" s="286"/>
      <c r="H167" s="286"/>
      <c r="I167" s="286"/>
      <c r="J167" s="286"/>
      <c r="K167" s="286"/>
      <c r="L167" s="286"/>
      <c r="M167" s="286"/>
      <c r="N167" s="286"/>
      <c r="O167" s="286"/>
      <c r="P167" s="286"/>
      <c r="Q167" s="286"/>
      <c r="R167" s="286"/>
      <c r="S167" s="286"/>
      <c r="T167" s="286"/>
      <c r="U167" s="286"/>
      <c r="V167" s="338">
        <f>V165+V166</f>
        <v>0</v>
      </c>
      <c r="W167" s="289"/>
      <c r="X167" s="5"/>
    </row>
    <row r="168" spans="1:256" ht="15.75" x14ac:dyDescent="0.25">
      <c r="A168" s="285"/>
      <c r="B168" s="286" t="s">
        <v>274</v>
      </c>
      <c r="C168" s="286"/>
      <c r="D168" s="286"/>
      <c r="E168" s="286"/>
      <c r="F168" s="286"/>
      <c r="G168" s="286"/>
      <c r="H168" s="286"/>
      <c r="I168" s="286"/>
      <c r="J168" s="286"/>
      <c r="K168" s="286"/>
      <c r="L168" s="286"/>
      <c r="M168" s="286"/>
      <c r="N168" s="286"/>
      <c r="O168" s="286"/>
      <c r="P168" s="286"/>
      <c r="Q168" s="286"/>
      <c r="R168" s="286"/>
      <c r="S168" s="286"/>
      <c r="T168" s="286"/>
      <c r="U168" s="286"/>
      <c r="V168" s="338">
        <f>-V100</f>
        <v>170</v>
      </c>
      <c r="W168" s="289"/>
      <c r="X168" s="5"/>
    </row>
    <row r="169" spans="1:256" ht="16.5" thickBot="1" x14ac:dyDescent="0.3">
      <c r="A169" s="181"/>
      <c r="B169" s="212"/>
      <c r="C169" s="212"/>
      <c r="D169" s="212"/>
      <c r="E169" s="212"/>
      <c r="F169" s="212"/>
      <c r="G169" s="212"/>
      <c r="H169" s="212"/>
      <c r="I169" s="212"/>
      <c r="J169" s="212"/>
      <c r="K169" s="212"/>
      <c r="L169" s="212"/>
      <c r="M169" s="212"/>
      <c r="N169" s="212"/>
      <c r="O169" s="212"/>
      <c r="P169" s="212"/>
      <c r="Q169" s="212"/>
      <c r="R169" s="212"/>
      <c r="S169" s="212"/>
      <c r="T169" s="212"/>
      <c r="U169" s="212"/>
      <c r="V169" s="344"/>
      <c r="W169" s="212"/>
      <c r="X169" s="5"/>
    </row>
    <row r="170" spans="1:256" ht="15.75" x14ac:dyDescent="0.25">
      <c r="A170" s="179"/>
      <c r="B170" s="180"/>
      <c r="C170" s="180"/>
      <c r="D170" s="180"/>
      <c r="E170" s="180"/>
      <c r="F170" s="180"/>
      <c r="G170" s="180"/>
      <c r="H170" s="180"/>
      <c r="I170" s="180"/>
      <c r="J170" s="180"/>
      <c r="K170" s="180"/>
      <c r="L170" s="180"/>
      <c r="M170" s="180"/>
      <c r="N170" s="180"/>
      <c r="O170" s="180"/>
      <c r="P170" s="180"/>
      <c r="Q170" s="180"/>
      <c r="R170" s="180"/>
      <c r="S170" s="180"/>
      <c r="T170" s="180"/>
      <c r="U170" s="180"/>
      <c r="V170" s="201"/>
      <c r="W170" s="180"/>
      <c r="X170" s="5"/>
    </row>
    <row r="171" spans="1:256" s="158" customFormat="1" ht="15.75" x14ac:dyDescent="0.25">
      <c r="A171" s="181"/>
      <c r="B171" s="210" t="s">
        <v>230</v>
      </c>
      <c r="C171" s="212"/>
      <c r="D171" s="212"/>
      <c r="E171" s="212"/>
      <c r="F171" s="212"/>
      <c r="G171" s="212"/>
      <c r="H171" s="212"/>
      <c r="I171" s="212"/>
      <c r="J171" s="212"/>
      <c r="K171" s="212"/>
      <c r="L171" s="212"/>
      <c r="M171" s="212"/>
      <c r="N171" s="212"/>
      <c r="O171" s="212"/>
      <c r="P171" s="212"/>
      <c r="Q171" s="212"/>
      <c r="R171" s="212"/>
      <c r="S171" s="212"/>
      <c r="T171" s="212"/>
      <c r="U171" s="212"/>
      <c r="V171" s="213"/>
      <c r="W171" s="212"/>
      <c r="X171" s="5"/>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s="160" customFormat="1" ht="15.75" x14ac:dyDescent="0.25">
      <c r="A172" s="285"/>
      <c r="B172" s="286" t="s">
        <v>231</v>
      </c>
      <c r="C172" s="286"/>
      <c r="D172" s="286"/>
      <c r="E172" s="286"/>
      <c r="F172" s="286"/>
      <c r="G172" s="286"/>
      <c r="H172" s="286"/>
      <c r="I172" s="286"/>
      <c r="J172" s="286"/>
      <c r="K172" s="286"/>
      <c r="L172" s="286"/>
      <c r="M172" s="286"/>
      <c r="N172" s="286"/>
      <c r="O172" s="286"/>
      <c r="P172" s="286"/>
      <c r="Q172" s="286"/>
      <c r="R172" s="286"/>
      <c r="S172" s="286"/>
      <c r="T172" s="286"/>
      <c r="U172" s="286"/>
      <c r="V172" s="338">
        <f>+'Aug 08'!V173</f>
        <v>0</v>
      </c>
      <c r="W172" s="289"/>
      <c r="X172" s="5"/>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s="160" customFormat="1" ht="15.75" x14ac:dyDescent="0.25">
      <c r="A173" s="285"/>
      <c r="B173" s="286" t="s">
        <v>234</v>
      </c>
      <c r="C173" s="286"/>
      <c r="D173" s="286"/>
      <c r="E173" s="286"/>
      <c r="F173" s="286"/>
      <c r="G173" s="286"/>
      <c r="H173" s="286"/>
      <c r="I173" s="286"/>
      <c r="J173" s="286"/>
      <c r="K173" s="286"/>
      <c r="L173" s="286"/>
      <c r="M173" s="286"/>
      <c r="N173" s="286"/>
      <c r="O173" s="286"/>
      <c r="P173" s="286"/>
      <c r="Q173" s="286"/>
      <c r="R173" s="286"/>
      <c r="S173" s="286"/>
      <c r="T173" s="286"/>
      <c r="U173" s="286"/>
      <c r="V173" s="338">
        <f>+V94</f>
        <v>0</v>
      </c>
      <c r="W173" s="289"/>
      <c r="X173" s="5"/>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s="160" customFormat="1" ht="15.75" x14ac:dyDescent="0.25">
      <c r="A174" s="285"/>
      <c r="B174" s="286" t="s">
        <v>232</v>
      </c>
      <c r="C174" s="286"/>
      <c r="D174" s="286"/>
      <c r="E174" s="286"/>
      <c r="F174" s="286"/>
      <c r="G174" s="286"/>
      <c r="H174" s="286"/>
      <c r="I174" s="286"/>
      <c r="J174" s="286"/>
      <c r="K174" s="286"/>
      <c r="L174" s="286"/>
      <c r="M174" s="286"/>
      <c r="N174" s="286"/>
      <c r="O174" s="286"/>
      <c r="P174" s="286"/>
      <c r="Q174" s="286"/>
      <c r="R174" s="286"/>
      <c r="S174" s="286"/>
      <c r="T174" s="286"/>
      <c r="U174" s="286"/>
      <c r="V174" s="338">
        <f>+V172-V173</f>
        <v>0</v>
      </c>
      <c r="W174" s="289"/>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6.5" thickBot="1" x14ac:dyDescent="0.3">
      <c r="A175" s="197"/>
      <c r="B175" s="212"/>
      <c r="C175" s="212"/>
      <c r="D175" s="212"/>
      <c r="E175" s="212"/>
      <c r="F175" s="212"/>
      <c r="G175" s="212"/>
      <c r="H175" s="212"/>
      <c r="I175" s="212"/>
      <c r="J175" s="212"/>
      <c r="K175" s="212"/>
      <c r="L175" s="212"/>
      <c r="M175" s="212"/>
      <c r="N175" s="212"/>
      <c r="O175" s="212"/>
      <c r="P175" s="212"/>
      <c r="Q175" s="212"/>
      <c r="R175" s="212"/>
      <c r="S175" s="212"/>
      <c r="T175" s="212"/>
      <c r="U175" s="212"/>
      <c r="V175" s="344"/>
      <c r="W175" s="212"/>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4" customFormat="1" ht="15.75" x14ac:dyDescent="0.25">
      <c r="A176" s="179"/>
      <c r="B176" s="180"/>
      <c r="C176" s="180"/>
      <c r="D176" s="180"/>
      <c r="E176" s="180"/>
      <c r="F176" s="180"/>
      <c r="G176" s="180"/>
      <c r="H176" s="180"/>
      <c r="I176" s="180"/>
      <c r="J176" s="180"/>
      <c r="K176" s="180"/>
      <c r="L176" s="180"/>
      <c r="M176" s="180"/>
      <c r="N176" s="180"/>
      <c r="O176" s="180"/>
      <c r="P176" s="180"/>
      <c r="Q176" s="180"/>
      <c r="R176" s="180"/>
      <c r="S176" s="180"/>
      <c r="T176" s="180"/>
      <c r="U176" s="180"/>
      <c r="V176" s="201"/>
      <c r="W176" s="180"/>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4" ht="15.75" x14ac:dyDescent="0.25">
      <c r="A177" s="181"/>
      <c r="B177" s="210" t="s">
        <v>56</v>
      </c>
      <c r="C177" s="183"/>
      <c r="D177" s="183"/>
      <c r="E177" s="183"/>
      <c r="F177" s="183"/>
      <c r="G177" s="183"/>
      <c r="H177" s="183"/>
      <c r="I177" s="183"/>
      <c r="J177" s="183"/>
      <c r="K177" s="183"/>
      <c r="L177" s="183"/>
      <c r="M177" s="183"/>
      <c r="N177" s="183"/>
      <c r="O177" s="183"/>
      <c r="P177" s="183"/>
      <c r="Q177" s="183"/>
      <c r="R177" s="183"/>
      <c r="S177" s="183"/>
      <c r="T177" s="183"/>
      <c r="U177" s="183"/>
      <c r="V177" s="202"/>
      <c r="W177" s="183"/>
      <c r="X177" s="5"/>
    </row>
    <row r="178" spans="1:24" ht="15.75" x14ac:dyDescent="0.25">
      <c r="A178" s="181"/>
      <c r="B178" s="191"/>
      <c r="C178" s="183"/>
      <c r="D178" s="183"/>
      <c r="E178" s="183"/>
      <c r="F178" s="183"/>
      <c r="G178" s="183"/>
      <c r="H178" s="183"/>
      <c r="I178" s="183"/>
      <c r="J178" s="183"/>
      <c r="K178" s="183"/>
      <c r="L178" s="183"/>
      <c r="M178" s="183"/>
      <c r="N178" s="183"/>
      <c r="O178" s="183"/>
      <c r="P178" s="183"/>
      <c r="Q178" s="183"/>
      <c r="R178" s="183"/>
      <c r="S178" s="183"/>
      <c r="T178" s="183"/>
      <c r="U178" s="183"/>
      <c r="V178" s="202"/>
      <c r="W178" s="183"/>
      <c r="X178" s="5"/>
    </row>
    <row r="179" spans="1:24" ht="15.75" x14ac:dyDescent="0.25">
      <c r="A179" s="285"/>
      <c r="B179" s="286" t="s">
        <v>57</v>
      </c>
      <c r="C179" s="286"/>
      <c r="D179" s="286"/>
      <c r="E179" s="286"/>
      <c r="F179" s="286"/>
      <c r="G179" s="286"/>
      <c r="H179" s="286"/>
      <c r="I179" s="286"/>
      <c r="J179" s="286"/>
      <c r="K179" s="286"/>
      <c r="L179" s="286"/>
      <c r="M179" s="286"/>
      <c r="N179" s="286"/>
      <c r="O179" s="286"/>
      <c r="P179" s="286"/>
      <c r="Q179" s="286"/>
      <c r="R179" s="286"/>
      <c r="S179" s="286"/>
      <c r="T179" s="286"/>
      <c r="U179" s="286"/>
      <c r="V179" s="338">
        <f>V71</f>
        <v>810155</v>
      </c>
      <c r="W179" s="289"/>
      <c r="X179" s="5"/>
    </row>
    <row r="180" spans="1:24" ht="15.75" x14ac:dyDescent="0.25">
      <c r="A180" s="285"/>
      <c r="B180" s="286" t="s">
        <v>58</v>
      </c>
      <c r="C180" s="286"/>
      <c r="D180" s="286"/>
      <c r="E180" s="286"/>
      <c r="F180" s="286"/>
      <c r="G180" s="286"/>
      <c r="H180" s="286"/>
      <c r="I180" s="286"/>
      <c r="J180" s="286"/>
      <c r="K180" s="286"/>
      <c r="L180" s="286"/>
      <c r="M180" s="286"/>
      <c r="N180" s="286"/>
      <c r="O180" s="286"/>
      <c r="P180" s="286"/>
      <c r="Q180" s="286"/>
      <c r="R180" s="286"/>
      <c r="S180" s="286"/>
      <c r="T180" s="286"/>
      <c r="U180" s="286"/>
      <c r="V180" s="338">
        <f>V84</f>
        <v>810155</v>
      </c>
      <c r="W180" s="289"/>
      <c r="X180" s="5"/>
    </row>
    <row r="181" spans="1:24" ht="16.5" thickBot="1" x14ac:dyDescent="0.3">
      <c r="A181" s="181"/>
      <c r="B181" s="212"/>
      <c r="C181" s="212"/>
      <c r="D181" s="212"/>
      <c r="E181" s="212"/>
      <c r="F181" s="212"/>
      <c r="G181" s="212"/>
      <c r="H181" s="212"/>
      <c r="I181" s="212"/>
      <c r="J181" s="212"/>
      <c r="K181" s="212"/>
      <c r="L181" s="212"/>
      <c r="M181" s="212"/>
      <c r="N181" s="212"/>
      <c r="O181" s="212"/>
      <c r="P181" s="212"/>
      <c r="Q181" s="212"/>
      <c r="R181" s="212"/>
      <c r="S181" s="212"/>
      <c r="T181" s="212"/>
      <c r="U181" s="212"/>
      <c r="V181" s="344"/>
      <c r="W181" s="212"/>
      <c r="X181" s="5"/>
    </row>
    <row r="182" spans="1:24" ht="15.75" x14ac:dyDescent="0.25">
      <c r="A182" s="179"/>
      <c r="B182" s="180"/>
      <c r="C182" s="180"/>
      <c r="D182" s="180"/>
      <c r="E182" s="180"/>
      <c r="F182" s="180"/>
      <c r="G182" s="180"/>
      <c r="H182" s="180"/>
      <c r="I182" s="180"/>
      <c r="J182" s="180"/>
      <c r="K182" s="180"/>
      <c r="L182" s="180"/>
      <c r="M182" s="180"/>
      <c r="N182" s="180"/>
      <c r="O182" s="180"/>
      <c r="P182" s="180"/>
      <c r="Q182" s="180"/>
      <c r="R182" s="180"/>
      <c r="S182" s="180"/>
      <c r="T182" s="180"/>
      <c r="U182" s="180"/>
      <c r="V182" s="201"/>
      <c r="W182" s="180"/>
      <c r="X182" s="5"/>
    </row>
    <row r="183" spans="1:24" ht="15.75" x14ac:dyDescent="0.25">
      <c r="A183" s="181"/>
      <c r="B183" s="210" t="s">
        <v>59</v>
      </c>
      <c r="C183" s="206"/>
      <c r="D183" s="206"/>
      <c r="E183" s="206"/>
      <c r="F183" s="206"/>
      <c r="G183" s="206"/>
      <c r="H183" s="214"/>
      <c r="I183" s="214"/>
      <c r="J183" s="214"/>
      <c r="K183" s="214"/>
      <c r="L183" s="214"/>
      <c r="M183" s="214"/>
      <c r="N183" s="214"/>
      <c r="O183" s="214"/>
      <c r="P183" s="214"/>
      <c r="Q183" s="214"/>
      <c r="R183" s="214"/>
      <c r="S183" s="214" t="s">
        <v>101</v>
      </c>
      <c r="T183" s="214" t="s">
        <v>176</v>
      </c>
      <c r="U183" s="185"/>
      <c r="V183" s="215" t="s">
        <v>114</v>
      </c>
      <c r="W183" s="216"/>
      <c r="X183" s="5"/>
    </row>
    <row r="184" spans="1:24" ht="15.75" x14ac:dyDescent="0.25">
      <c r="A184" s="285"/>
      <c r="B184" s="286" t="s">
        <v>60</v>
      </c>
      <c r="C184" s="286"/>
      <c r="D184" s="286"/>
      <c r="E184" s="286"/>
      <c r="F184" s="286"/>
      <c r="G184" s="286"/>
      <c r="H184" s="286"/>
      <c r="I184" s="286"/>
      <c r="J184" s="286"/>
      <c r="K184" s="286"/>
      <c r="L184" s="286"/>
      <c r="M184" s="286"/>
      <c r="N184" s="286"/>
      <c r="O184" s="286"/>
      <c r="P184" s="286"/>
      <c r="Q184" s="286"/>
      <c r="R184" s="286"/>
      <c r="S184" s="338">
        <f>+V34*0.16</f>
        <v>160181.28</v>
      </c>
      <c r="T184" s="325"/>
      <c r="U184" s="286"/>
      <c r="V184" s="338"/>
      <c r="W184" s="289"/>
      <c r="X184" s="5"/>
    </row>
    <row r="185" spans="1:24" ht="15.75" x14ac:dyDescent="0.25">
      <c r="A185" s="285"/>
      <c r="B185" s="286" t="s">
        <v>61</v>
      </c>
      <c r="C185" s="286"/>
      <c r="D185" s="286"/>
      <c r="E185" s="286"/>
      <c r="F185" s="286"/>
      <c r="G185" s="286"/>
      <c r="H185" s="286"/>
      <c r="I185" s="286"/>
      <c r="J185" s="286"/>
      <c r="K185" s="286"/>
      <c r="L185" s="286"/>
      <c r="M185" s="286"/>
      <c r="N185" s="286"/>
      <c r="O185" s="286"/>
      <c r="P185" s="286"/>
      <c r="Q185" s="286"/>
      <c r="R185" s="286"/>
      <c r="S185" s="338">
        <f>+'Nov 12'!S186</f>
        <v>10742</v>
      </c>
      <c r="T185" s="338">
        <f>+'Nov 12'!T186</f>
        <v>6090</v>
      </c>
      <c r="U185" s="286"/>
      <c r="V185" s="338">
        <f>S185+T185</f>
        <v>16832</v>
      </c>
      <c r="W185" s="289"/>
      <c r="X185" s="5"/>
    </row>
    <row r="186" spans="1:24" ht="15.75" x14ac:dyDescent="0.25">
      <c r="A186" s="285"/>
      <c r="B186" s="286" t="s">
        <v>62</v>
      </c>
      <c r="C186" s="286"/>
      <c r="D186" s="286"/>
      <c r="E186" s="286"/>
      <c r="F186" s="286"/>
      <c r="G186" s="286"/>
      <c r="H186" s="286"/>
      <c r="I186" s="286"/>
      <c r="J186" s="286"/>
      <c r="K186" s="286"/>
      <c r="L186" s="286"/>
      <c r="M186" s="286"/>
      <c r="N186" s="286"/>
      <c r="O186" s="286"/>
      <c r="P186" s="286"/>
      <c r="Q186" s="286"/>
      <c r="R186" s="286"/>
      <c r="S186" s="337">
        <v>21</v>
      </c>
      <c r="T186" s="337">
        <v>0</v>
      </c>
      <c r="U186" s="286"/>
      <c r="V186" s="338">
        <f>S186+T186</f>
        <v>21</v>
      </c>
      <c r="W186" s="289"/>
      <c r="X186" s="5"/>
    </row>
    <row r="187" spans="1:24" ht="15.75" x14ac:dyDescent="0.25">
      <c r="A187" s="285"/>
      <c r="B187" s="286" t="s">
        <v>63</v>
      </c>
      <c r="C187" s="286"/>
      <c r="D187" s="286"/>
      <c r="E187" s="286"/>
      <c r="F187" s="286"/>
      <c r="G187" s="286"/>
      <c r="H187" s="286"/>
      <c r="I187" s="286"/>
      <c r="J187" s="286"/>
      <c r="K187" s="286"/>
      <c r="L187" s="286"/>
      <c r="M187" s="286"/>
      <c r="N187" s="286"/>
      <c r="O187" s="286"/>
      <c r="P187" s="286"/>
      <c r="Q187" s="286"/>
      <c r="R187" s="286"/>
      <c r="S187" s="338">
        <f>S185+S186</f>
        <v>10763</v>
      </c>
      <c r="T187" s="338">
        <f>T186+T185</f>
        <v>6090</v>
      </c>
      <c r="U187" s="286"/>
      <c r="V187" s="338">
        <f>S187+T187</f>
        <v>16853</v>
      </c>
      <c r="W187" s="289"/>
      <c r="X187" s="5"/>
    </row>
    <row r="188" spans="1:24" ht="15.75" x14ac:dyDescent="0.25">
      <c r="A188" s="285"/>
      <c r="B188" s="286" t="s">
        <v>64</v>
      </c>
      <c r="C188" s="286"/>
      <c r="D188" s="286"/>
      <c r="E188" s="286"/>
      <c r="F188" s="286"/>
      <c r="G188" s="286"/>
      <c r="H188" s="286"/>
      <c r="I188" s="286"/>
      <c r="J188" s="286"/>
      <c r="K188" s="286"/>
      <c r="L188" s="286"/>
      <c r="M188" s="286"/>
      <c r="N188" s="286"/>
      <c r="O188" s="286"/>
      <c r="P188" s="286"/>
      <c r="Q188" s="286"/>
      <c r="R188" s="286"/>
      <c r="S188" s="338">
        <f>S184-S187-T187</f>
        <v>143328.28</v>
      </c>
      <c r="T188" s="325"/>
      <c r="U188" s="286"/>
      <c r="V188" s="338"/>
      <c r="W188" s="289"/>
      <c r="X188" s="5"/>
    </row>
    <row r="189" spans="1:24" ht="16.5" thickBot="1" x14ac:dyDescent="0.3">
      <c r="A189" s="181"/>
      <c r="B189" s="212"/>
      <c r="C189" s="212"/>
      <c r="D189" s="212"/>
      <c r="E189" s="212"/>
      <c r="F189" s="212"/>
      <c r="G189" s="212"/>
      <c r="H189" s="212"/>
      <c r="I189" s="212"/>
      <c r="J189" s="212"/>
      <c r="K189" s="212"/>
      <c r="L189" s="212"/>
      <c r="M189" s="212"/>
      <c r="N189" s="212"/>
      <c r="O189" s="212"/>
      <c r="P189" s="212"/>
      <c r="Q189" s="212"/>
      <c r="R189" s="212"/>
      <c r="S189" s="212"/>
      <c r="T189" s="212"/>
      <c r="U189" s="212"/>
      <c r="V189" s="344"/>
      <c r="W189" s="212"/>
      <c r="X189" s="5"/>
    </row>
    <row r="190" spans="1:24" ht="15.75" x14ac:dyDescent="0.25">
      <c r="A190" s="179"/>
      <c r="B190" s="180"/>
      <c r="C190" s="180"/>
      <c r="D190" s="180"/>
      <c r="E190" s="180"/>
      <c r="F190" s="180"/>
      <c r="G190" s="180"/>
      <c r="H190" s="180"/>
      <c r="I190" s="180"/>
      <c r="J190" s="180"/>
      <c r="K190" s="180"/>
      <c r="L190" s="180"/>
      <c r="M190" s="180"/>
      <c r="N190" s="180"/>
      <c r="O190" s="180"/>
      <c r="P190" s="180"/>
      <c r="Q190" s="180"/>
      <c r="R190" s="180"/>
      <c r="S190" s="180"/>
      <c r="T190" s="180"/>
      <c r="U190" s="180"/>
      <c r="V190" s="201"/>
      <c r="W190" s="180"/>
      <c r="X190" s="5"/>
    </row>
    <row r="191" spans="1:24" ht="15.75" x14ac:dyDescent="0.25">
      <c r="A191" s="181"/>
      <c r="B191" s="210" t="s">
        <v>65</v>
      </c>
      <c r="C191" s="183"/>
      <c r="D191" s="183"/>
      <c r="E191" s="183"/>
      <c r="F191" s="183"/>
      <c r="G191" s="183"/>
      <c r="H191" s="183"/>
      <c r="I191" s="183"/>
      <c r="J191" s="183"/>
      <c r="K191" s="183"/>
      <c r="L191" s="183"/>
      <c r="M191" s="183"/>
      <c r="N191" s="183"/>
      <c r="O191" s="183"/>
      <c r="P191" s="183"/>
      <c r="Q191" s="183"/>
      <c r="R191" s="183"/>
      <c r="S191" s="183"/>
      <c r="T191" s="183"/>
      <c r="U191" s="183"/>
      <c r="V191" s="217"/>
      <c r="W191" s="183"/>
      <c r="X191" s="5"/>
    </row>
    <row r="192" spans="1:24" ht="15.75" x14ac:dyDescent="0.25">
      <c r="A192" s="285"/>
      <c r="B192" s="286" t="s">
        <v>66</v>
      </c>
      <c r="C192" s="286"/>
      <c r="D192" s="286"/>
      <c r="E192" s="286"/>
      <c r="F192" s="286"/>
      <c r="G192" s="286"/>
      <c r="H192" s="286"/>
      <c r="I192" s="286"/>
      <c r="J192" s="286"/>
      <c r="K192" s="286"/>
      <c r="L192" s="286"/>
      <c r="M192" s="286"/>
      <c r="N192" s="286"/>
      <c r="O192" s="286"/>
      <c r="P192" s="286"/>
      <c r="Q192" s="286"/>
      <c r="R192" s="286"/>
      <c r="S192" s="286"/>
      <c r="T192" s="286"/>
      <c r="U192" s="286"/>
      <c r="V192" s="343">
        <f>(V101+V103+V104+V105+V106)/-(V107+V108)</f>
        <v>3.8333333333333335</v>
      </c>
      <c r="W192" s="289" t="s">
        <v>115</v>
      </c>
      <c r="X192" s="5"/>
    </row>
    <row r="193" spans="1:24" ht="15.75" x14ac:dyDescent="0.25">
      <c r="A193" s="285"/>
      <c r="B193" s="286" t="s">
        <v>67</v>
      </c>
      <c r="C193" s="286"/>
      <c r="D193" s="286"/>
      <c r="E193" s="286"/>
      <c r="F193" s="286"/>
      <c r="G193" s="286"/>
      <c r="H193" s="286"/>
      <c r="I193" s="286"/>
      <c r="J193" s="286"/>
      <c r="K193" s="286"/>
      <c r="L193" s="286"/>
      <c r="M193" s="286"/>
      <c r="N193" s="286"/>
      <c r="O193" s="286"/>
      <c r="P193" s="286"/>
      <c r="Q193" s="286"/>
      <c r="R193" s="286"/>
      <c r="S193" s="286"/>
      <c r="T193" s="286"/>
      <c r="U193" s="286"/>
      <c r="V193" s="347">
        <v>1.81</v>
      </c>
      <c r="W193" s="289" t="s">
        <v>115</v>
      </c>
      <c r="X193" s="5"/>
    </row>
    <row r="194" spans="1:24" ht="15.75" x14ac:dyDescent="0.25">
      <c r="A194" s="285"/>
      <c r="B194" s="286" t="s">
        <v>68</v>
      </c>
      <c r="C194" s="286"/>
      <c r="D194" s="286"/>
      <c r="E194" s="286"/>
      <c r="F194" s="286"/>
      <c r="G194" s="286"/>
      <c r="H194" s="286"/>
      <c r="I194" s="286"/>
      <c r="J194" s="286"/>
      <c r="K194" s="286"/>
      <c r="L194" s="286"/>
      <c r="M194" s="286"/>
      <c r="N194" s="286"/>
      <c r="O194" s="286"/>
      <c r="P194" s="286"/>
      <c r="Q194" s="286"/>
      <c r="R194" s="286"/>
      <c r="S194" s="286"/>
      <c r="T194" s="286"/>
      <c r="U194" s="286"/>
      <c r="V194" s="343">
        <f>(V101+V103+V104+V105+V106+V107+V108)/-(V109+V110)</f>
        <v>16.747524752475247</v>
      </c>
      <c r="W194" s="289" t="s">
        <v>115</v>
      </c>
      <c r="X194" s="5"/>
    </row>
    <row r="195" spans="1:24" ht="15.75" x14ac:dyDescent="0.25">
      <c r="A195" s="285"/>
      <c r="B195" s="286" t="s">
        <v>69</v>
      </c>
      <c r="C195" s="286"/>
      <c r="D195" s="286"/>
      <c r="E195" s="286"/>
      <c r="F195" s="286"/>
      <c r="G195" s="286"/>
      <c r="H195" s="286"/>
      <c r="I195" s="286"/>
      <c r="J195" s="286"/>
      <c r="K195" s="286"/>
      <c r="L195" s="286"/>
      <c r="M195" s="286"/>
      <c r="N195" s="286"/>
      <c r="O195" s="286"/>
      <c r="P195" s="286"/>
      <c r="Q195" s="286"/>
      <c r="R195" s="286"/>
      <c r="S195" s="286"/>
      <c r="T195" s="286"/>
      <c r="U195" s="286"/>
      <c r="V195" s="347">
        <v>7.82</v>
      </c>
      <c r="W195" s="289" t="s">
        <v>115</v>
      </c>
      <c r="X195" s="5"/>
    </row>
    <row r="196" spans="1:24" ht="15.75" x14ac:dyDescent="0.25">
      <c r="A196" s="285"/>
      <c r="B196" s="286" t="s">
        <v>198</v>
      </c>
      <c r="C196" s="286"/>
      <c r="D196" s="286"/>
      <c r="E196" s="286"/>
      <c r="F196" s="286"/>
      <c r="G196" s="286"/>
      <c r="H196" s="286"/>
      <c r="I196" s="286"/>
      <c r="J196" s="286"/>
      <c r="K196" s="286"/>
      <c r="L196" s="286"/>
      <c r="M196" s="286"/>
      <c r="N196" s="286"/>
      <c r="O196" s="286"/>
      <c r="P196" s="286"/>
      <c r="Q196" s="286"/>
      <c r="R196" s="286"/>
      <c r="S196" s="286"/>
      <c r="T196" s="286"/>
      <c r="U196" s="286"/>
      <c r="V196" s="343">
        <f>(V101+V103+V104+V105+V106+V107+V108+V109+V110)/-(V111)</f>
        <v>10.066455696202532</v>
      </c>
      <c r="W196" s="289" t="s">
        <v>115</v>
      </c>
      <c r="X196" s="5"/>
    </row>
    <row r="197" spans="1:24" ht="15.75" x14ac:dyDescent="0.25">
      <c r="A197" s="285"/>
      <c r="B197" s="286" t="s">
        <v>199</v>
      </c>
      <c r="C197" s="286"/>
      <c r="D197" s="286"/>
      <c r="E197" s="286"/>
      <c r="F197" s="286"/>
      <c r="G197" s="286"/>
      <c r="H197" s="286"/>
      <c r="I197" s="286"/>
      <c r="J197" s="286"/>
      <c r="K197" s="286"/>
      <c r="L197" s="286"/>
      <c r="M197" s="286"/>
      <c r="N197" s="286"/>
      <c r="O197" s="286"/>
      <c r="P197" s="286"/>
      <c r="Q197" s="286"/>
      <c r="R197" s="286"/>
      <c r="S197" s="286"/>
      <c r="T197" s="286"/>
      <c r="U197" s="286"/>
      <c r="V197" s="347">
        <v>5.99</v>
      </c>
      <c r="W197" s="289" t="s">
        <v>115</v>
      </c>
      <c r="X197" s="5"/>
    </row>
    <row r="198" spans="1:24" ht="15.75" x14ac:dyDescent="0.25">
      <c r="A198" s="285"/>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9"/>
      <c r="X198" s="5"/>
    </row>
    <row r="199" spans="1:24" ht="15.75" x14ac:dyDescent="0.25">
      <c r="A199" s="181"/>
      <c r="B199" s="346"/>
      <c r="C199" s="346"/>
      <c r="D199" s="346"/>
      <c r="E199" s="346"/>
      <c r="F199" s="346"/>
      <c r="G199" s="346"/>
      <c r="H199" s="346"/>
      <c r="I199" s="346"/>
      <c r="J199" s="346"/>
      <c r="K199" s="346"/>
      <c r="L199" s="346"/>
      <c r="M199" s="346"/>
      <c r="N199" s="346"/>
      <c r="O199" s="346"/>
      <c r="P199" s="346"/>
      <c r="Q199" s="346"/>
      <c r="R199" s="346"/>
      <c r="S199" s="346"/>
      <c r="T199" s="346"/>
      <c r="U199" s="346"/>
      <c r="V199" s="346"/>
      <c r="W199" s="346"/>
      <c r="X199" s="5"/>
    </row>
    <row r="200" spans="1:24" ht="15.75" x14ac:dyDescent="0.25">
      <c r="A200" s="181"/>
      <c r="B200" s="255"/>
      <c r="C200" s="255"/>
      <c r="D200" s="255"/>
      <c r="E200" s="255"/>
      <c r="F200" s="255"/>
      <c r="G200" s="255"/>
      <c r="H200" s="255"/>
      <c r="I200" s="255"/>
      <c r="J200" s="255"/>
      <c r="K200" s="255"/>
      <c r="L200" s="255"/>
      <c r="M200" s="255"/>
      <c r="N200" s="255"/>
      <c r="O200" s="255"/>
      <c r="P200" s="255"/>
      <c r="Q200" s="255"/>
      <c r="R200" s="255"/>
      <c r="S200" s="255"/>
      <c r="T200" s="255"/>
      <c r="U200" s="255"/>
      <c r="V200" s="255"/>
      <c r="W200" s="255"/>
      <c r="X200" s="5"/>
    </row>
    <row r="201" spans="1:24" ht="19.5" thickBot="1" x14ac:dyDescent="0.35">
      <c r="A201" s="197"/>
      <c r="B201" s="270" t="str">
        <f>B135</f>
        <v>PM15 INVESTOR REPORT QUARTER ENDING FEBRUARY 2013</v>
      </c>
      <c r="C201" s="271"/>
      <c r="D201" s="271"/>
      <c r="E201" s="271"/>
      <c r="F201" s="271"/>
      <c r="G201" s="271"/>
      <c r="H201" s="271"/>
      <c r="I201" s="271"/>
      <c r="J201" s="271"/>
      <c r="K201" s="271"/>
      <c r="L201" s="271"/>
      <c r="M201" s="271"/>
      <c r="N201" s="271"/>
      <c r="O201" s="271"/>
      <c r="P201" s="271"/>
      <c r="Q201" s="271"/>
      <c r="R201" s="271"/>
      <c r="S201" s="271"/>
      <c r="T201" s="271"/>
      <c r="U201" s="271"/>
      <c r="V201" s="271"/>
      <c r="W201" s="272"/>
      <c r="X201" s="5"/>
    </row>
    <row r="202" spans="1:24" ht="15.75" x14ac:dyDescent="0.25">
      <c r="A202" s="236"/>
      <c r="B202" s="403" t="s">
        <v>70</v>
      </c>
      <c r="C202" s="404"/>
      <c r="D202" s="404"/>
      <c r="E202" s="404"/>
      <c r="F202" s="404"/>
      <c r="G202" s="405"/>
      <c r="H202" s="405"/>
      <c r="I202" s="405"/>
      <c r="J202" s="405"/>
      <c r="K202" s="405"/>
      <c r="L202" s="405"/>
      <c r="M202" s="405"/>
      <c r="N202" s="405"/>
      <c r="O202" s="405"/>
      <c r="P202" s="405"/>
      <c r="Q202" s="405"/>
      <c r="R202" s="405"/>
      <c r="S202" s="405"/>
      <c r="T202" s="405">
        <v>41333</v>
      </c>
      <c r="U202" s="238"/>
      <c r="V202" s="238"/>
      <c r="W202" s="238"/>
      <c r="X202" s="5"/>
    </row>
    <row r="203" spans="1:24" ht="15.75" x14ac:dyDescent="0.25">
      <c r="A203" s="218"/>
      <c r="B203" s="219"/>
      <c r="C203" s="220"/>
      <c r="D203" s="220"/>
      <c r="E203" s="220"/>
      <c r="F203" s="220"/>
      <c r="G203" s="221"/>
      <c r="H203" s="221"/>
      <c r="I203" s="221"/>
      <c r="J203" s="221"/>
      <c r="K203" s="221"/>
      <c r="L203" s="221"/>
      <c r="M203" s="221"/>
      <c r="N203" s="221"/>
      <c r="O203" s="221"/>
      <c r="P203" s="221"/>
      <c r="Q203" s="221"/>
      <c r="R203" s="221"/>
      <c r="S203" s="221"/>
      <c r="T203" s="221"/>
      <c r="U203" s="183"/>
      <c r="V203" s="183"/>
      <c r="W203" s="183"/>
      <c r="X203" s="5"/>
    </row>
    <row r="204" spans="1:24" ht="15.75" x14ac:dyDescent="0.25">
      <c r="A204" s="350"/>
      <c r="B204" s="286" t="s">
        <v>71</v>
      </c>
      <c r="C204" s="406"/>
      <c r="D204" s="406"/>
      <c r="E204" s="406"/>
      <c r="F204" s="406"/>
      <c r="G204" s="397"/>
      <c r="H204" s="397"/>
      <c r="I204" s="397"/>
      <c r="J204" s="397"/>
      <c r="K204" s="397"/>
      <c r="L204" s="397"/>
      <c r="M204" s="397"/>
      <c r="N204" s="397"/>
      <c r="O204" s="397"/>
      <c r="P204" s="397"/>
      <c r="Q204" s="397"/>
      <c r="R204" s="397"/>
      <c r="S204" s="397"/>
      <c r="T204" s="321">
        <v>5.3830000000000003E-2</v>
      </c>
      <c r="U204" s="286"/>
      <c r="V204" s="286"/>
      <c r="W204" s="289"/>
      <c r="X204" s="5"/>
    </row>
    <row r="205" spans="1:24" ht="15.75" x14ac:dyDescent="0.25">
      <c r="A205" s="350"/>
      <c r="B205" s="286" t="s">
        <v>151</v>
      </c>
      <c r="C205" s="406"/>
      <c r="D205" s="406"/>
      <c r="E205" s="406"/>
      <c r="F205" s="406"/>
      <c r="G205" s="397"/>
      <c r="H205" s="397"/>
      <c r="I205" s="397"/>
      <c r="J205" s="397"/>
      <c r="K205" s="397"/>
      <c r="L205" s="397"/>
      <c r="M205" s="397"/>
      <c r="N205" s="397"/>
      <c r="O205" s="397"/>
      <c r="P205" s="397"/>
      <c r="Q205" s="397"/>
      <c r="R205" s="397"/>
      <c r="S205" s="397"/>
      <c r="T205" s="321">
        <v>6.25E-2</v>
      </c>
      <c r="U205" s="286"/>
      <c r="V205" s="286"/>
      <c r="W205" s="289"/>
      <c r="X205" s="5"/>
    </row>
    <row r="206" spans="1:24" ht="15.75" x14ac:dyDescent="0.25">
      <c r="A206" s="350"/>
      <c r="B206" s="286" t="s">
        <v>72</v>
      </c>
      <c r="C206" s="406"/>
      <c r="D206" s="406"/>
      <c r="E206" s="406"/>
      <c r="F206" s="406"/>
      <c r="G206" s="397"/>
      <c r="H206" s="397"/>
      <c r="I206" s="397"/>
      <c r="J206" s="397"/>
      <c r="K206" s="397"/>
      <c r="L206" s="397"/>
      <c r="M206" s="397"/>
      <c r="N206" s="397"/>
      <c r="O206" s="397"/>
      <c r="P206" s="397"/>
      <c r="Q206" s="397"/>
      <c r="R206" s="397"/>
      <c r="S206" s="397"/>
      <c r="T206" s="321">
        <f>T204-T205</f>
        <v>-8.6699999999999972E-3</v>
      </c>
      <c r="U206" s="286"/>
      <c r="V206" s="286"/>
      <c r="W206" s="289"/>
      <c r="X206" s="5"/>
    </row>
    <row r="207" spans="1:24" ht="15.75" x14ac:dyDescent="0.25">
      <c r="A207" s="350"/>
      <c r="B207" s="286" t="s">
        <v>73</v>
      </c>
      <c r="C207" s="406"/>
      <c r="D207" s="406"/>
      <c r="E207" s="406"/>
      <c r="F207" s="406"/>
      <c r="G207" s="397"/>
      <c r="H207" s="397"/>
      <c r="I207" s="397"/>
      <c r="J207" s="397"/>
      <c r="K207" s="397"/>
      <c r="L207" s="397"/>
      <c r="M207" s="397"/>
      <c r="N207" s="397"/>
      <c r="O207" s="397"/>
      <c r="P207" s="397"/>
      <c r="Q207" s="397"/>
      <c r="R207" s="397"/>
      <c r="S207" s="397"/>
      <c r="T207" s="321">
        <v>2.4889999999999999E-2</v>
      </c>
      <c r="U207" s="286"/>
      <c r="V207" s="286"/>
      <c r="W207" s="289"/>
      <c r="X207" s="5"/>
    </row>
    <row r="208" spans="1:24" ht="15.75" x14ac:dyDescent="0.25">
      <c r="A208" s="350"/>
      <c r="B208" s="286" t="s">
        <v>218</v>
      </c>
      <c r="C208" s="406"/>
      <c r="D208" s="406"/>
      <c r="E208" s="406"/>
      <c r="F208" s="406"/>
      <c r="G208" s="397"/>
      <c r="H208" s="397"/>
      <c r="I208" s="397"/>
      <c r="J208" s="397"/>
      <c r="K208" s="397"/>
      <c r="L208" s="397"/>
      <c r="M208" s="397"/>
      <c r="N208" s="397"/>
      <c r="O208" s="397"/>
      <c r="P208" s="397"/>
      <c r="Q208" s="397"/>
      <c r="R208" s="397"/>
      <c r="S208" s="397"/>
      <c r="T208" s="321">
        <f>V43</f>
        <v>8.73120556890572E-3</v>
      </c>
      <c r="U208" s="286"/>
      <c r="V208" s="286"/>
      <c r="W208" s="289"/>
      <c r="X208" s="5"/>
    </row>
    <row r="209" spans="1:24" ht="15.75" x14ac:dyDescent="0.25">
      <c r="A209" s="350"/>
      <c r="B209" s="286" t="s">
        <v>74</v>
      </c>
      <c r="C209" s="406"/>
      <c r="D209" s="406"/>
      <c r="E209" s="406"/>
      <c r="F209" s="406"/>
      <c r="G209" s="397"/>
      <c r="H209" s="397"/>
      <c r="I209" s="397"/>
      <c r="J209" s="397"/>
      <c r="K209" s="397"/>
      <c r="L209" s="397"/>
      <c r="M209" s="397"/>
      <c r="N209" s="397"/>
      <c r="O209" s="397"/>
      <c r="P209" s="397"/>
      <c r="Q209" s="397"/>
      <c r="R209" s="397"/>
      <c r="S209" s="397"/>
      <c r="T209" s="321">
        <f>T207-T208</f>
        <v>1.6158794431094279E-2</v>
      </c>
      <c r="U209" s="286"/>
      <c r="V209" s="286"/>
      <c r="W209" s="289"/>
      <c r="X209" s="5"/>
    </row>
    <row r="210" spans="1:24" ht="15.75" x14ac:dyDescent="0.25">
      <c r="A210" s="350"/>
      <c r="B210" s="286" t="s">
        <v>227</v>
      </c>
      <c r="C210" s="406"/>
      <c r="D210" s="406"/>
      <c r="E210" s="406"/>
      <c r="F210" s="406"/>
      <c r="G210" s="397"/>
      <c r="H210" s="397"/>
      <c r="I210" s="397"/>
      <c r="J210" s="397"/>
      <c r="K210" s="397"/>
      <c r="L210" s="397"/>
      <c r="M210" s="397"/>
      <c r="N210" s="397"/>
      <c r="O210" s="397"/>
      <c r="P210" s="397"/>
      <c r="Q210" s="397"/>
      <c r="R210" s="397"/>
      <c r="S210" s="397"/>
      <c r="T210" s="321">
        <f>V101/N71</f>
        <v>6.2052758371773003E-3</v>
      </c>
      <c r="U210" s="286"/>
      <c r="V210" s="286"/>
      <c r="W210" s="289"/>
      <c r="X210" s="5"/>
    </row>
    <row r="211" spans="1:24" ht="15.75" x14ac:dyDescent="0.25">
      <c r="A211" s="350"/>
      <c r="B211" s="286" t="s">
        <v>207</v>
      </c>
      <c r="C211" s="406"/>
      <c r="D211" s="406"/>
      <c r="E211" s="406"/>
      <c r="F211" s="406"/>
      <c r="G211" s="397"/>
      <c r="H211" s="397"/>
      <c r="I211" s="397"/>
      <c r="J211" s="397"/>
      <c r="K211" s="397"/>
      <c r="L211" s="397"/>
      <c r="M211" s="397"/>
      <c r="N211" s="397"/>
      <c r="O211" s="397"/>
      <c r="P211" s="397"/>
      <c r="Q211" s="397"/>
      <c r="R211" s="397"/>
      <c r="S211" s="397"/>
      <c r="T211" s="352">
        <v>51105</v>
      </c>
      <c r="U211" s="286"/>
      <c r="V211" s="286"/>
      <c r="W211" s="289"/>
      <c r="X211" s="5"/>
    </row>
    <row r="212" spans="1:24" ht="15.75" x14ac:dyDescent="0.25">
      <c r="A212" s="350"/>
      <c r="B212" s="286" t="s">
        <v>208</v>
      </c>
      <c r="C212" s="406"/>
      <c r="D212" s="406"/>
      <c r="E212" s="406"/>
      <c r="F212" s="406"/>
      <c r="G212" s="397"/>
      <c r="H212" s="397"/>
      <c r="I212" s="397"/>
      <c r="J212" s="397"/>
      <c r="K212" s="397"/>
      <c r="L212" s="397"/>
      <c r="M212" s="397"/>
      <c r="N212" s="397"/>
      <c r="O212" s="397"/>
      <c r="P212" s="397"/>
      <c r="Q212" s="397"/>
      <c r="R212" s="397"/>
      <c r="S212" s="397"/>
      <c r="T212" s="352">
        <v>51105</v>
      </c>
      <c r="U212" s="286"/>
      <c r="V212" s="286"/>
      <c r="W212" s="289"/>
      <c r="X212" s="5"/>
    </row>
    <row r="213" spans="1:24" ht="15.75" x14ac:dyDescent="0.25">
      <c r="A213" s="350"/>
      <c r="B213" s="286" t="s">
        <v>209</v>
      </c>
      <c r="C213" s="406"/>
      <c r="D213" s="406"/>
      <c r="E213" s="406"/>
      <c r="F213" s="406"/>
      <c r="G213" s="397"/>
      <c r="H213" s="397"/>
      <c r="I213" s="397"/>
      <c r="J213" s="397"/>
      <c r="K213" s="397"/>
      <c r="L213" s="397"/>
      <c r="M213" s="397"/>
      <c r="N213" s="397"/>
      <c r="O213" s="397"/>
      <c r="P213" s="397"/>
      <c r="Q213" s="397"/>
      <c r="R213" s="397"/>
      <c r="S213" s="397"/>
      <c r="T213" s="352">
        <v>51105</v>
      </c>
      <c r="U213" s="286"/>
      <c r="V213" s="286"/>
      <c r="W213" s="289"/>
      <c r="X213" s="5"/>
    </row>
    <row r="214" spans="1:24" ht="15.75" x14ac:dyDescent="0.25">
      <c r="A214" s="350"/>
      <c r="B214" s="286" t="s">
        <v>75</v>
      </c>
      <c r="C214" s="406"/>
      <c r="D214" s="406"/>
      <c r="E214" s="406"/>
      <c r="F214" s="406"/>
      <c r="G214" s="397"/>
      <c r="H214" s="397"/>
      <c r="I214" s="397"/>
      <c r="J214" s="397"/>
      <c r="K214" s="397"/>
      <c r="L214" s="397"/>
      <c r="M214" s="397"/>
      <c r="N214" s="397"/>
      <c r="O214" s="397"/>
      <c r="P214" s="397"/>
      <c r="Q214" s="397"/>
      <c r="R214" s="397"/>
      <c r="S214" s="397"/>
      <c r="T214" s="327">
        <v>21.06</v>
      </c>
      <c r="U214" s="286" t="s">
        <v>110</v>
      </c>
      <c r="V214" s="286"/>
      <c r="W214" s="289"/>
      <c r="X214" s="5"/>
    </row>
    <row r="215" spans="1:24" ht="15.75" x14ac:dyDescent="0.25">
      <c r="A215" s="350"/>
      <c r="B215" s="286" t="s">
        <v>76</v>
      </c>
      <c r="C215" s="406"/>
      <c r="D215" s="406"/>
      <c r="E215" s="406"/>
      <c r="F215" s="406"/>
      <c r="G215" s="397"/>
      <c r="H215" s="397"/>
      <c r="I215" s="397"/>
      <c r="J215" s="397"/>
      <c r="K215" s="397"/>
      <c r="L215" s="397"/>
      <c r="M215" s="397"/>
      <c r="N215" s="397"/>
      <c r="O215" s="397"/>
      <c r="P215" s="397"/>
      <c r="Q215" s="397"/>
      <c r="R215" s="397"/>
      <c r="S215" s="397"/>
      <c r="T215" s="327">
        <v>15.64</v>
      </c>
      <c r="U215" s="286" t="s">
        <v>110</v>
      </c>
      <c r="V215" s="286"/>
      <c r="W215" s="289"/>
      <c r="X215" s="5"/>
    </row>
    <row r="216" spans="1:24" ht="15.75" x14ac:dyDescent="0.25">
      <c r="A216" s="350"/>
      <c r="B216" s="286" t="s">
        <v>77</v>
      </c>
      <c r="C216" s="406"/>
      <c r="D216" s="406"/>
      <c r="E216" s="406"/>
      <c r="F216" s="406"/>
      <c r="G216" s="397"/>
      <c r="H216" s="397"/>
      <c r="I216" s="397"/>
      <c r="J216" s="397"/>
      <c r="K216" s="397"/>
      <c r="L216" s="397"/>
      <c r="M216" s="397"/>
      <c r="N216" s="397"/>
      <c r="O216" s="397"/>
      <c r="P216" s="397"/>
      <c r="Q216" s="397"/>
      <c r="R216" s="397"/>
      <c r="S216" s="397"/>
      <c r="T216" s="321">
        <f>+P68/N68</f>
        <v>3.7507117129192955E-3</v>
      </c>
      <c r="U216" s="286"/>
      <c r="V216" s="286"/>
      <c r="W216" s="289"/>
      <c r="X216" s="5"/>
    </row>
    <row r="217" spans="1:24" ht="15.75" x14ac:dyDescent="0.25">
      <c r="A217" s="350"/>
      <c r="B217" s="286" t="s">
        <v>78</v>
      </c>
      <c r="C217" s="406"/>
      <c r="D217" s="406"/>
      <c r="E217" s="406"/>
      <c r="F217" s="406"/>
      <c r="G217" s="397"/>
      <c r="H217" s="397"/>
      <c r="I217" s="397"/>
      <c r="J217" s="397"/>
      <c r="K217" s="397"/>
      <c r="L217" s="397"/>
      <c r="M217" s="397"/>
      <c r="N217" s="397"/>
      <c r="O217" s="397"/>
      <c r="P217" s="397"/>
      <c r="Q217" s="397"/>
      <c r="R217" s="397"/>
      <c r="S217" s="397"/>
      <c r="T217" s="321">
        <v>3.9300000000000002E-2</v>
      </c>
      <c r="U217" s="286"/>
      <c r="V217" s="286"/>
      <c r="W217" s="289"/>
      <c r="X217" s="5"/>
    </row>
    <row r="218" spans="1:24" ht="15.75" x14ac:dyDescent="0.25">
      <c r="A218" s="218"/>
      <c r="B218" s="348"/>
      <c r="C218" s="348"/>
      <c r="D218" s="348"/>
      <c r="E218" s="348"/>
      <c r="F218" s="348"/>
      <c r="G218" s="212"/>
      <c r="H218" s="212"/>
      <c r="I218" s="212"/>
      <c r="J218" s="212"/>
      <c r="K218" s="212"/>
      <c r="L218" s="212"/>
      <c r="M218" s="212"/>
      <c r="N218" s="212"/>
      <c r="O218" s="212"/>
      <c r="P218" s="212"/>
      <c r="Q218" s="212"/>
      <c r="R218" s="212"/>
      <c r="S218" s="212"/>
      <c r="T218" s="344"/>
      <c r="U218" s="212"/>
      <c r="V218" s="349"/>
      <c r="W218" s="212"/>
      <c r="X218" s="5"/>
    </row>
    <row r="219" spans="1:24" ht="15.75" x14ac:dyDescent="0.25">
      <c r="A219" s="242"/>
      <c r="B219" s="399" t="s">
        <v>79</v>
      </c>
      <c r="C219" s="400"/>
      <c r="D219" s="400"/>
      <c r="E219" s="400"/>
      <c r="F219" s="407"/>
      <c r="G219" s="400"/>
      <c r="H219" s="400"/>
      <c r="I219" s="400"/>
      <c r="J219" s="400"/>
      <c r="K219" s="400"/>
      <c r="L219" s="400"/>
      <c r="M219" s="400"/>
      <c r="N219" s="400"/>
      <c r="O219" s="400"/>
      <c r="P219" s="400"/>
      <c r="Q219" s="400"/>
      <c r="R219" s="400"/>
      <c r="S219" s="400" t="s">
        <v>102</v>
      </c>
      <c r="T219" s="407" t="s">
        <v>108</v>
      </c>
      <c r="U219" s="225"/>
      <c r="V219" s="225"/>
      <c r="W219" s="225"/>
      <c r="X219" s="5"/>
    </row>
    <row r="220" spans="1:24" ht="15.75" x14ac:dyDescent="0.25">
      <c r="A220" s="222"/>
      <c r="B220" s="250" t="s">
        <v>80</v>
      </c>
      <c r="C220" s="249"/>
      <c r="D220" s="249"/>
      <c r="E220" s="249"/>
      <c r="F220" s="250"/>
      <c r="G220" s="250"/>
      <c r="H220" s="268"/>
      <c r="I220" s="268"/>
      <c r="J220" s="268"/>
      <c r="K220" s="268"/>
      <c r="L220" s="268"/>
      <c r="M220" s="268"/>
      <c r="N220" s="268"/>
      <c r="O220" s="268"/>
      <c r="P220" s="268"/>
      <c r="Q220" s="268"/>
      <c r="R220" s="268"/>
      <c r="S220" s="268">
        <v>1</v>
      </c>
      <c r="T220" s="269">
        <v>241</v>
      </c>
      <c r="U220" s="250"/>
      <c r="V220" s="266"/>
      <c r="W220" s="223"/>
      <c r="X220" s="5"/>
    </row>
    <row r="221" spans="1:24" ht="15.75" x14ac:dyDescent="0.25">
      <c r="A221" s="358"/>
      <c r="B221" s="286" t="s">
        <v>145</v>
      </c>
      <c r="C221" s="337"/>
      <c r="D221" s="337"/>
      <c r="E221" s="337"/>
      <c r="F221" s="286"/>
      <c r="G221" s="286"/>
      <c r="H221" s="296"/>
      <c r="I221" s="296"/>
      <c r="J221" s="296"/>
      <c r="K221" s="296"/>
      <c r="L221" s="296"/>
      <c r="M221" s="296"/>
      <c r="N221" s="296"/>
      <c r="O221" s="296"/>
      <c r="P221" s="296"/>
      <c r="Q221" s="296"/>
      <c r="R221" s="296"/>
      <c r="S221" s="359">
        <f>+R273</f>
        <v>121</v>
      </c>
      <c r="T221" s="360">
        <f>+T273</f>
        <v>18333</v>
      </c>
      <c r="U221" s="286"/>
      <c r="V221" s="361"/>
      <c r="W221" s="362"/>
      <c r="X221" s="5"/>
    </row>
    <row r="222" spans="1:24" ht="15.75" x14ac:dyDescent="0.25">
      <c r="A222" s="358"/>
      <c r="B222" s="286" t="s">
        <v>81</v>
      </c>
      <c r="C222" s="337"/>
      <c r="D222" s="337"/>
      <c r="E222" s="337"/>
      <c r="F222" s="286"/>
      <c r="G222" s="286"/>
      <c r="H222" s="296"/>
      <c r="I222" s="296"/>
      <c r="J222" s="296"/>
      <c r="K222" s="296"/>
      <c r="L222" s="296"/>
      <c r="M222" s="296"/>
      <c r="N222" s="296"/>
      <c r="O222" s="296"/>
      <c r="P222" s="296"/>
      <c r="Q222" s="296"/>
      <c r="R222" s="296"/>
      <c r="S222" s="359">
        <f>+R285</f>
        <v>1</v>
      </c>
      <c r="T222" s="360">
        <f>+T285</f>
        <v>57</v>
      </c>
      <c r="U222" s="286"/>
      <c r="V222" s="361"/>
      <c r="W222" s="362"/>
      <c r="X222" s="5"/>
    </row>
    <row r="223" spans="1:24" ht="15.75" x14ac:dyDescent="0.25">
      <c r="A223" s="358"/>
      <c r="B223" s="313" t="s">
        <v>82</v>
      </c>
      <c r="C223" s="363"/>
      <c r="D223" s="363"/>
      <c r="E223" s="363"/>
      <c r="F223" s="314"/>
      <c r="G223" s="314"/>
      <c r="H223" s="314"/>
      <c r="I223" s="314"/>
      <c r="J223" s="314"/>
      <c r="K223" s="314"/>
      <c r="L223" s="314"/>
      <c r="M223" s="314"/>
      <c r="N223" s="314"/>
      <c r="O223" s="314"/>
      <c r="P223" s="314"/>
      <c r="Q223" s="314"/>
      <c r="R223" s="314"/>
      <c r="S223" s="286"/>
      <c r="T223" s="360">
        <v>0</v>
      </c>
      <c r="U223" s="314"/>
      <c r="V223" s="364"/>
      <c r="W223" s="362"/>
      <c r="X223" s="5"/>
    </row>
    <row r="224" spans="1:24" ht="15.75" x14ac:dyDescent="0.25">
      <c r="A224" s="358"/>
      <c r="B224" s="313" t="s">
        <v>228</v>
      </c>
      <c r="C224" s="363"/>
      <c r="D224" s="363"/>
      <c r="E224" s="363"/>
      <c r="F224" s="314"/>
      <c r="G224" s="314"/>
      <c r="H224" s="314"/>
      <c r="I224" s="314"/>
      <c r="J224" s="314"/>
      <c r="K224" s="314"/>
      <c r="L224" s="314"/>
      <c r="M224" s="314"/>
      <c r="N224" s="314"/>
      <c r="O224" s="314"/>
      <c r="P224" s="314"/>
      <c r="Q224" s="314"/>
      <c r="R224" s="314"/>
      <c r="S224" s="286"/>
      <c r="T224" s="360">
        <f>+N81</f>
        <v>0</v>
      </c>
      <c r="U224" s="314"/>
      <c r="V224" s="364"/>
      <c r="W224" s="362"/>
      <c r="X224" s="5"/>
    </row>
    <row r="225" spans="1:24" ht="15.75" x14ac:dyDescent="0.25">
      <c r="A225" s="365"/>
      <c r="B225" s="313" t="s">
        <v>83</v>
      </c>
      <c r="C225" s="366"/>
      <c r="D225" s="366"/>
      <c r="E225" s="366"/>
      <c r="F225" s="366"/>
      <c r="G225" s="314"/>
      <c r="H225" s="314"/>
      <c r="I225" s="314"/>
      <c r="J225" s="314"/>
      <c r="K225" s="314"/>
      <c r="L225" s="314"/>
      <c r="M225" s="314"/>
      <c r="N225" s="314"/>
      <c r="O225" s="314"/>
      <c r="P225" s="314"/>
      <c r="Q225" s="314"/>
      <c r="R225" s="314"/>
      <c r="S225" s="286"/>
      <c r="T225" s="360"/>
      <c r="U225" s="314"/>
      <c r="V225" s="364"/>
      <c r="W225" s="367"/>
      <c r="X225" s="5"/>
    </row>
    <row r="226" spans="1:24" ht="15.75" x14ac:dyDescent="0.25">
      <c r="A226" s="365"/>
      <c r="B226" s="286" t="s">
        <v>84</v>
      </c>
      <c r="C226" s="366"/>
      <c r="D226" s="366"/>
      <c r="E226" s="366"/>
      <c r="F226" s="366"/>
      <c r="G226" s="314"/>
      <c r="H226" s="314"/>
      <c r="I226" s="314"/>
      <c r="J226" s="314"/>
      <c r="K226" s="314"/>
      <c r="L226" s="314"/>
      <c r="M226" s="314"/>
      <c r="N226" s="314"/>
      <c r="O226" s="314"/>
      <c r="P226" s="314"/>
      <c r="Q226" s="314"/>
      <c r="R226" s="314"/>
      <c r="S226" s="296"/>
      <c r="T226" s="360">
        <f>V164</f>
        <v>266</v>
      </c>
      <c r="U226" s="314"/>
      <c r="V226" s="364"/>
      <c r="W226" s="367"/>
      <c r="X226" s="5"/>
    </row>
    <row r="227" spans="1:24" ht="15.75" x14ac:dyDescent="0.25">
      <c r="A227" s="358"/>
      <c r="B227" s="286" t="s">
        <v>85</v>
      </c>
      <c r="C227" s="363"/>
      <c r="D227" s="363"/>
      <c r="E227" s="363"/>
      <c r="F227" s="363"/>
      <c r="G227" s="314"/>
      <c r="H227" s="314"/>
      <c r="I227" s="314"/>
      <c r="J227" s="314"/>
      <c r="K227" s="314"/>
      <c r="L227" s="314"/>
      <c r="M227" s="314"/>
      <c r="N227" s="314"/>
      <c r="O227" s="314"/>
      <c r="P227" s="314"/>
      <c r="Q227" s="314"/>
      <c r="R227" s="314"/>
      <c r="S227" s="296"/>
      <c r="T227" s="360">
        <f>'Nov 12'!T226+T226</f>
        <v>5090</v>
      </c>
      <c r="U227" s="314"/>
      <c r="V227" s="364"/>
      <c r="W227" s="367"/>
      <c r="X227" s="5"/>
    </row>
    <row r="228" spans="1:24" ht="15.75" x14ac:dyDescent="0.25">
      <c r="A228" s="365"/>
      <c r="B228" s="313" t="s">
        <v>285</v>
      </c>
      <c r="C228" s="366"/>
      <c r="D228" s="366"/>
      <c r="E228" s="366"/>
      <c r="F228" s="366"/>
      <c r="G228" s="314"/>
      <c r="H228" s="314"/>
      <c r="I228" s="314"/>
      <c r="J228" s="314"/>
      <c r="K228" s="314"/>
      <c r="L228" s="314"/>
      <c r="M228" s="314"/>
      <c r="N228" s="314"/>
      <c r="O228" s="314"/>
      <c r="P228" s="314"/>
      <c r="Q228" s="314"/>
      <c r="R228" s="314"/>
      <c r="S228" s="296"/>
      <c r="T228" s="360"/>
      <c r="U228" s="314"/>
      <c r="V228" s="364"/>
      <c r="W228" s="367"/>
      <c r="X228" s="5"/>
    </row>
    <row r="229" spans="1:24" ht="15.75" x14ac:dyDescent="0.25">
      <c r="A229" s="365"/>
      <c r="B229" s="286" t="s">
        <v>282</v>
      </c>
      <c r="C229" s="366"/>
      <c r="D229" s="366"/>
      <c r="E229" s="366"/>
      <c r="F229" s="366"/>
      <c r="G229" s="314"/>
      <c r="H229" s="314"/>
      <c r="I229" s="314"/>
      <c r="J229" s="314"/>
      <c r="K229" s="314"/>
      <c r="L229" s="314"/>
      <c r="M229" s="314"/>
      <c r="N229" s="314"/>
      <c r="O229" s="314"/>
      <c r="P229" s="314"/>
      <c r="Q229" s="314"/>
      <c r="R229" s="314"/>
      <c r="S229" s="296">
        <v>0</v>
      </c>
      <c r="T229" s="360">
        <v>0</v>
      </c>
      <c r="U229" s="314"/>
      <c r="V229" s="364"/>
      <c r="W229" s="367"/>
      <c r="X229" s="5"/>
    </row>
    <row r="230" spans="1:24" ht="15.75" x14ac:dyDescent="0.25">
      <c r="A230" s="358"/>
      <c r="B230" s="286" t="s">
        <v>86</v>
      </c>
      <c r="C230" s="368"/>
      <c r="D230" s="368"/>
      <c r="E230" s="368"/>
      <c r="F230" s="369"/>
      <c r="G230" s="314"/>
      <c r="H230" s="314"/>
      <c r="I230" s="314"/>
      <c r="J230" s="314"/>
      <c r="K230" s="314"/>
      <c r="L230" s="314"/>
      <c r="M230" s="314"/>
      <c r="N230" s="314"/>
      <c r="O230" s="314"/>
      <c r="P230" s="314"/>
      <c r="Q230" s="314"/>
      <c r="R230" s="314"/>
      <c r="S230" s="286"/>
      <c r="T230" s="370">
        <v>0</v>
      </c>
      <c r="U230" s="314"/>
      <c r="V230" s="364"/>
      <c r="W230" s="367"/>
      <c r="X230" s="5"/>
    </row>
    <row r="231" spans="1:24" ht="15.75" x14ac:dyDescent="0.25">
      <c r="A231" s="358"/>
      <c r="B231" s="286" t="s">
        <v>87</v>
      </c>
      <c r="C231" s="368"/>
      <c r="D231" s="368"/>
      <c r="E231" s="368"/>
      <c r="F231" s="369"/>
      <c r="G231" s="314"/>
      <c r="H231" s="314"/>
      <c r="I231" s="314"/>
      <c r="J231" s="314"/>
      <c r="K231" s="314"/>
      <c r="L231" s="314"/>
      <c r="M231" s="314"/>
      <c r="N231" s="314"/>
      <c r="O231" s="314"/>
      <c r="P231" s="314"/>
      <c r="Q231" s="314"/>
      <c r="R231" s="314"/>
      <c r="S231" s="286"/>
      <c r="T231" s="370">
        <v>0</v>
      </c>
      <c r="U231" s="314"/>
      <c r="V231" s="364"/>
      <c r="W231" s="367"/>
      <c r="X231" s="5"/>
    </row>
    <row r="232" spans="1:24" ht="15.75" x14ac:dyDescent="0.25">
      <c r="A232" s="358"/>
      <c r="B232" s="313" t="s">
        <v>216</v>
      </c>
      <c r="C232" s="368"/>
      <c r="D232" s="368"/>
      <c r="E232" s="368"/>
      <c r="F232" s="369"/>
      <c r="G232" s="314"/>
      <c r="H232" s="314"/>
      <c r="I232" s="314"/>
      <c r="J232" s="314"/>
      <c r="K232" s="314"/>
      <c r="L232" s="314"/>
      <c r="M232" s="314"/>
      <c r="N232" s="314"/>
      <c r="O232" s="314"/>
      <c r="P232" s="314"/>
      <c r="Q232" s="314"/>
      <c r="R232" s="314"/>
      <c r="S232" s="286"/>
      <c r="T232" s="371"/>
      <c r="U232" s="314"/>
      <c r="V232" s="364"/>
      <c r="W232" s="367"/>
      <c r="X232" s="5"/>
    </row>
    <row r="233" spans="1:24" ht="15.75" x14ac:dyDescent="0.25">
      <c r="A233" s="358"/>
      <c r="B233" s="286" t="s">
        <v>282</v>
      </c>
      <c r="C233" s="368"/>
      <c r="D233" s="368"/>
      <c r="E233" s="368"/>
      <c r="F233" s="369"/>
      <c r="G233" s="314"/>
      <c r="H233" s="314"/>
      <c r="I233" s="314"/>
      <c r="J233" s="314"/>
      <c r="K233" s="314"/>
      <c r="L233" s="314"/>
      <c r="M233" s="314"/>
      <c r="N233" s="314"/>
      <c r="O233" s="314"/>
      <c r="P233" s="314"/>
      <c r="Q233" s="314"/>
      <c r="R233" s="314"/>
      <c r="S233" s="296">
        <v>4</v>
      </c>
      <c r="T233" s="360">
        <v>511</v>
      </c>
      <c r="U233" s="314"/>
      <c r="V233" s="364"/>
      <c r="W233" s="367"/>
      <c r="X233" s="5"/>
    </row>
    <row r="234" spans="1:24" ht="15.75" x14ac:dyDescent="0.25">
      <c r="A234" s="358"/>
      <c r="B234" s="286" t="s">
        <v>217</v>
      </c>
      <c r="C234" s="368"/>
      <c r="D234" s="368"/>
      <c r="E234" s="368"/>
      <c r="F234" s="369"/>
      <c r="G234" s="314"/>
      <c r="H234" s="314"/>
      <c r="I234" s="314"/>
      <c r="J234" s="314"/>
      <c r="K234" s="314"/>
      <c r="L234" s="314"/>
      <c r="M234" s="314"/>
      <c r="N234" s="314"/>
      <c r="O234" s="314"/>
      <c r="P234" s="314"/>
      <c r="Q234" s="314"/>
      <c r="R234" s="314"/>
      <c r="S234" s="286"/>
      <c r="T234" s="370">
        <v>10.26</v>
      </c>
      <c r="U234" s="314"/>
      <c r="V234" s="364"/>
      <c r="W234" s="367"/>
      <c r="X234" s="5"/>
    </row>
    <row r="235" spans="1:24" ht="15.75" x14ac:dyDescent="0.25">
      <c r="A235" s="358"/>
      <c r="B235" s="366"/>
      <c r="C235" s="368"/>
      <c r="D235" s="368"/>
      <c r="E235" s="368"/>
      <c r="F235" s="369"/>
      <c r="G235" s="314"/>
      <c r="H235" s="314"/>
      <c r="I235" s="314"/>
      <c r="J235" s="314"/>
      <c r="K235" s="314"/>
      <c r="L235" s="314"/>
      <c r="M235" s="314"/>
      <c r="N235" s="314"/>
      <c r="O235" s="314"/>
      <c r="P235" s="314"/>
      <c r="Q235" s="314"/>
      <c r="R235" s="314"/>
      <c r="S235" s="286"/>
      <c r="T235" s="371"/>
      <c r="U235" s="314"/>
      <c r="V235" s="364"/>
      <c r="W235" s="367"/>
      <c r="X235" s="5"/>
    </row>
    <row r="236" spans="1:24" ht="15.75" x14ac:dyDescent="0.25">
      <c r="A236" s="358"/>
      <c r="B236" s="366"/>
      <c r="C236" s="368"/>
      <c r="D236" s="368"/>
      <c r="E236" s="368"/>
      <c r="F236" s="369"/>
      <c r="G236" s="314"/>
      <c r="H236" s="314"/>
      <c r="I236" s="314"/>
      <c r="J236" s="314"/>
      <c r="K236" s="314"/>
      <c r="L236" s="314"/>
      <c r="M236" s="314"/>
      <c r="N236" s="314"/>
      <c r="O236" s="314"/>
      <c r="P236" s="314"/>
      <c r="Q236" s="314"/>
      <c r="R236" s="314"/>
      <c r="S236" s="314"/>
      <c r="T236" s="372"/>
      <c r="U236" s="314"/>
      <c r="V236" s="364"/>
      <c r="W236" s="367"/>
      <c r="X236" s="5"/>
    </row>
    <row r="237" spans="1:24" ht="18.75" x14ac:dyDescent="0.3">
      <c r="A237" s="358"/>
      <c r="B237" s="373" t="s">
        <v>168</v>
      </c>
      <c r="C237" s="368"/>
      <c r="D237" s="368"/>
      <c r="E237" s="368"/>
      <c r="F237" s="369"/>
      <c r="G237" s="314"/>
      <c r="H237" s="314"/>
      <c r="I237" s="314"/>
      <c r="J237" s="314"/>
      <c r="K237" s="314"/>
      <c r="L237" s="314"/>
      <c r="M237" s="314"/>
      <c r="N237" s="314"/>
      <c r="O237" s="314"/>
      <c r="P237" s="374" t="s">
        <v>167</v>
      </c>
      <c r="Q237" s="314"/>
      <c r="R237" s="314"/>
      <c r="S237" s="314"/>
      <c r="T237" s="372"/>
      <c r="U237" s="314"/>
      <c r="V237" s="364"/>
      <c r="W237" s="367"/>
      <c r="X237" s="5"/>
    </row>
    <row r="238" spans="1:24" ht="15.75" x14ac:dyDescent="0.25">
      <c r="A238" s="353"/>
      <c r="B238" s="348"/>
      <c r="C238" s="354"/>
      <c r="D238" s="354"/>
      <c r="E238" s="354"/>
      <c r="F238" s="355"/>
      <c r="G238" s="212"/>
      <c r="H238" s="212"/>
      <c r="I238" s="212"/>
      <c r="J238" s="212"/>
      <c r="K238" s="212"/>
      <c r="L238" s="212"/>
      <c r="M238" s="212"/>
      <c r="N238" s="212"/>
      <c r="O238" s="212"/>
      <c r="P238" s="212"/>
      <c r="Q238" s="212"/>
      <c r="R238" s="212"/>
      <c r="S238" s="212"/>
      <c r="T238" s="356"/>
      <c r="U238" s="212"/>
      <c r="V238" s="349"/>
      <c r="W238" s="357"/>
      <c r="X238" s="5"/>
    </row>
    <row r="239" spans="1:24" ht="15.75" x14ac:dyDescent="0.25">
      <c r="A239" s="224"/>
      <c r="B239" s="399" t="s">
        <v>297</v>
      </c>
      <c r="C239" s="400"/>
      <c r="D239" s="400"/>
      <c r="E239" s="400"/>
      <c r="F239" s="407"/>
      <c r="G239" s="400"/>
      <c r="H239" s="400"/>
      <c r="I239" s="400"/>
      <c r="J239" s="400"/>
      <c r="K239" s="400"/>
      <c r="L239" s="400"/>
      <c r="M239" s="400"/>
      <c r="N239" s="400"/>
      <c r="O239" s="400"/>
      <c r="P239" s="400"/>
      <c r="Q239" s="400"/>
      <c r="R239" s="407" t="s">
        <v>102</v>
      </c>
      <c r="S239" s="400" t="s">
        <v>103</v>
      </c>
      <c r="T239" s="407" t="s">
        <v>109</v>
      </c>
      <c r="U239" s="400" t="s">
        <v>103</v>
      </c>
      <c r="V239" s="225"/>
      <c r="W239" s="399"/>
      <c r="X239" s="5"/>
    </row>
    <row r="240" spans="1:24" ht="15.75" x14ac:dyDescent="0.25">
      <c r="A240" s="193"/>
      <c r="B240" s="249" t="s">
        <v>88</v>
      </c>
      <c r="C240" s="265"/>
      <c r="D240" s="265"/>
      <c r="E240" s="265"/>
      <c r="F240" s="250"/>
      <c r="G240" s="265"/>
      <c r="H240" s="265"/>
      <c r="I240" s="265"/>
      <c r="J240" s="265"/>
      <c r="K240" s="265"/>
      <c r="L240" s="265"/>
      <c r="M240" s="265"/>
      <c r="N240" s="265"/>
      <c r="O240" s="265"/>
      <c r="P240" s="265"/>
      <c r="Q240" s="265"/>
      <c r="R240" s="249">
        <f t="shared" ref="R240:R247" si="1">+R252+R264+R276</f>
        <v>5631</v>
      </c>
      <c r="S240" s="252">
        <f t="shared" ref="S240:S247" si="2">R240/$R$249</f>
        <v>0.98945703742751712</v>
      </c>
      <c r="T240" s="253">
        <f t="shared" ref="T240:T247" si="3">+T252+T264+T276</f>
        <v>799567</v>
      </c>
      <c r="U240" s="252">
        <f t="shared" ref="U240:U247" si="4">T240/$T$249</f>
        <v>0.98693089593966588</v>
      </c>
      <c r="V240" s="266"/>
      <c r="W240" s="408"/>
      <c r="X240" s="5"/>
    </row>
    <row r="241" spans="1:25" ht="15.75" x14ac:dyDescent="0.25">
      <c r="A241" s="285"/>
      <c r="B241" s="337" t="s">
        <v>89</v>
      </c>
      <c r="C241" s="378"/>
      <c r="D241" s="378"/>
      <c r="E241" s="378"/>
      <c r="F241" s="286"/>
      <c r="G241" s="379"/>
      <c r="H241" s="378"/>
      <c r="I241" s="378"/>
      <c r="J241" s="378"/>
      <c r="K241" s="378"/>
      <c r="L241" s="378"/>
      <c r="M241" s="378"/>
      <c r="N241" s="378"/>
      <c r="O241" s="378"/>
      <c r="P241" s="378"/>
      <c r="Q241" s="378"/>
      <c r="R241" s="337">
        <f t="shared" si="1"/>
        <v>24</v>
      </c>
      <c r="S241" s="379">
        <f t="shared" si="2"/>
        <v>4.2171850289931473E-3</v>
      </c>
      <c r="T241" s="338">
        <f t="shared" si="3"/>
        <v>4565</v>
      </c>
      <c r="U241" s="379">
        <f t="shared" si="4"/>
        <v>5.6347242194394898E-3</v>
      </c>
      <c r="V241" s="361"/>
      <c r="W241" s="409"/>
      <c r="X241" s="5"/>
      <c r="Y241" s="109"/>
    </row>
    <row r="242" spans="1:25" ht="15.75" x14ac:dyDescent="0.25">
      <c r="A242" s="285"/>
      <c r="B242" s="337" t="s">
        <v>90</v>
      </c>
      <c r="C242" s="378"/>
      <c r="D242" s="378"/>
      <c r="E242" s="378"/>
      <c r="F242" s="286"/>
      <c r="G242" s="379"/>
      <c r="H242" s="378"/>
      <c r="I242" s="378"/>
      <c r="J242" s="378"/>
      <c r="K242" s="378"/>
      <c r="L242" s="378"/>
      <c r="M242" s="378"/>
      <c r="N242" s="378"/>
      <c r="O242" s="378"/>
      <c r="P242" s="378"/>
      <c r="Q242" s="378"/>
      <c r="R242" s="337">
        <f t="shared" si="1"/>
        <v>6</v>
      </c>
      <c r="S242" s="379">
        <f t="shared" si="2"/>
        <v>1.0542962572482868E-3</v>
      </c>
      <c r="T242" s="338">
        <f t="shared" si="3"/>
        <v>1067</v>
      </c>
      <c r="U242" s="379">
        <f t="shared" si="4"/>
        <v>1.3170319259894711E-3</v>
      </c>
      <c r="V242" s="361"/>
      <c r="W242" s="409"/>
      <c r="X242" s="5"/>
    </row>
    <row r="243" spans="1:25" ht="15.75" x14ac:dyDescent="0.25">
      <c r="A243" s="285"/>
      <c r="B243" s="337" t="s">
        <v>156</v>
      </c>
      <c r="C243" s="378"/>
      <c r="D243" s="378"/>
      <c r="E243" s="378"/>
      <c r="F243" s="286"/>
      <c r="G243" s="379"/>
      <c r="H243" s="378"/>
      <c r="I243" s="378"/>
      <c r="J243" s="378"/>
      <c r="K243" s="378"/>
      <c r="L243" s="378"/>
      <c r="M243" s="378"/>
      <c r="N243" s="378"/>
      <c r="O243" s="378"/>
      <c r="P243" s="378"/>
      <c r="Q243" s="378"/>
      <c r="R243" s="337">
        <f t="shared" si="1"/>
        <v>4</v>
      </c>
      <c r="S243" s="379">
        <f t="shared" si="2"/>
        <v>7.0286417149885785E-4</v>
      </c>
      <c r="T243" s="338">
        <f t="shared" si="3"/>
        <v>799</v>
      </c>
      <c r="U243" s="379">
        <f t="shared" si="4"/>
        <v>9.8623102986465563E-4</v>
      </c>
      <c r="V243" s="361"/>
      <c r="W243" s="409"/>
      <c r="X243" s="5"/>
      <c r="Y243" s="109"/>
    </row>
    <row r="244" spans="1:25" ht="15.75" x14ac:dyDescent="0.25">
      <c r="A244" s="285"/>
      <c r="B244" s="337" t="s">
        <v>157</v>
      </c>
      <c r="C244" s="378"/>
      <c r="D244" s="378"/>
      <c r="E244" s="378"/>
      <c r="F244" s="286"/>
      <c r="G244" s="379"/>
      <c r="H244" s="378"/>
      <c r="I244" s="378"/>
      <c r="J244" s="378"/>
      <c r="K244" s="378"/>
      <c r="L244" s="378"/>
      <c r="M244" s="378"/>
      <c r="N244" s="378"/>
      <c r="O244" s="378"/>
      <c r="P244" s="378"/>
      <c r="Q244" s="378"/>
      <c r="R244" s="337">
        <f t="shared" si="1"/>
        <v>1</v>
      </c>
      <c r="S244" s="379">
        <f t="shared" si="2"/>
        <v>1.7571604287471446E-4</v>
      </c>
      <c r="T244" s="338">
        <f t="shared" si="3"/>
        <v>154</v>
      </c>
      <c r="U244" s="379">
        <f t="shared" si="4"/>
        <v>1.9008708210157315E-4</v>
      </c>
      <c r="V244" s="361"/>
      <c r="W244" s="409"/>
      <c r="X244" s="5"/>
    </row>
    <row r="245" spans="1:25" ht="15.75" x14ac:dyDescent="0.25">
      <c r="A245" s="285"/>
      <c r="B245" s="337" t="s">
        <v>158</v>
      </c>
      <c r="C245" s="378"/>
      <c r="D245" s="378"/>
      <c r="E245" s="378"/>
      <c r="F245" s="286"/>
      <c r="G245" s="379"/>
      <c r="H245" s="378"/>
      <c r="I245" s="378"/>
      <c r="J245" s="378"/>
      <c r="K245" s="378"/>
      <c r="L245" s="378"/>
      <c r="M245" s="378"/>
      <c r="N245" s="378"/>
      <c r="O245" s="378"/>
      <c r="P245" s="378"/>
      <c r="Q245" s="378"/>
      <c r="R245" s="337">
        <f t="shared" si="1"/>
        <v>1</v>
      </c>
      <c r="S245" s="379">
        <f t="shared" si="2"/>
        <v>1.7571604287471446E-4</v>
      </c>
      <c r="T245" s="338">
        <f t="shared" si="3"/>
        <v>249</v>
      </c>
      <c r="U245" s="379">
        <f t="shared" si="4"/>
        <v>3.0734859378760853E-4</v>
      </c>
      <c r="V245" s="361"/>
      <c r="W245" s="409"/>
      <c r="X245" s="5"/>
      <c r="Y245" s="109"/>
    </row>
    <row r="246" spans="1:25" ht="15.75" x14ac:dyDescent="0.25">
      <c r="A246" s="285"/>
      <c r="B246" s="337" t="s">
        <v>159</v>
      </c>
      <c r="C246" s="378"/>
      <c r="D246" s="378"/>
      <c r="E246" s="378"/>
      <c r="F246" s="286"/>
      <c r="G246" s="379"/>
      <c r="H246" s="378"/>
      <c r="I246" s="378"/>
      <c r="J246" s="378"/>
      <c r="K246" s="378"/>
      <c r="L246" s="378"/>
      <c r="M246" s="378"/>
      <c r="N246" s="378"/>
      <c r="O246" s="378"/>
      <c r="P246" s="378"/>
      <c r="Q246" s="378"/>
      <c r="R246" s="337">
        <f t="shared" si="1"/>
        <v>8</v>
      </c>
      <c r="S246" s="379">
        <f t="shared" si="2"/>
        <v>1.4057283429977157E-3</v>
      </c>
      <c r="T246" s="338">
        <f t="shared" si="3"/>
        <v>872</v>
      </c>
      <c r="U246" s="379">
        <f t="shared" si="4"/>
        <v>1.076337244107609E-3</v>
      </c>
      <c r="V246" s="361"/>
      <c r="W246" s="409"/>
      <c r="X246" s="5"/>
    </row>
    <row r="247" spans="1:25" ht="15.75" x14ac:dyDescent="0.25">
      <c r="A247" s="285"/>
      <c r="B247" s="337" t="s">
        <v>160</v>
      </c>
      <c r="C247" s="378"/>
      <c r="D247" s="378"/>
      <c r="E247" s="378"/>
      <c r="F247" s="286"/>
      <c r="G247" s="379"/>
      <c r="H247" s="378"/>
      <c r="I247" s="378"/>
      <c r="J247" s="378"/>
      <c r="K247" s="378"/>
      <c r="L247" s="378"/>
      <c r="M247" s="378"/>
      <c r="N247" s="378"/>
      <c r="O247" s="378"/>
      <c r="P247" s="378"/>
      <c r="Q247" s="378"/>
      <c r="R247" s="386">
        <f t="shared" si="1"/>
        <v>16</v>
      </c>
      <c r="S247" s="379">
        <f t="shared" si="2"/>
        <v>2.8114566859954314E-3</v>
      </c>
      <c r="T247" s="383">
        <f t="shared" si="3"/>
        <v>2882</v>
      </c>
      <c r="U247" s="387">
        <f t="shared" si="4"/>
        <v>3.5573439650437261E-3</v>
      </c>
      <c r="V247" s="361"/>
      <c r="W247" s="409"/>
      <c r="X247" s="5"/>
      <c r="Y247" s="109"/>
    </row>
    <row r="248" spans="1:25" ht="15.75" x14ac:dyDescent="0.25">
      <c r="A248" s="285"/>
      <c r="B248" s="337"/>
      <c r="C248" s="378"/>
      <c r="D248" s="378"/>
      <c r="E248" s="378"/>
      <c r="F248" s="286"/>
      <c r="G248" s="379"/>
      <c r="H248" s="378"/>
      <c r="I248" s="378"/>
      <c r="J248" s="378"/>
      <c r="K248" s="378"/>
      <c r="L248" s="378"/>
      <c r="M248" s="378"/>
      <c r="N248" s="378"/>
      <c r="O248" s="378"/>
      <c r="P248" s="378"/>
      <c r="Q248" s="378"/>
      <c r="R248" s="337"/>
      <c r="S248" s="379"/>
      <c r="T248" s="338"/>
      <c r="U248" s="379"/>
      <c r="V248" s="361"/>
      <c r="W248" s="409"/>
      <c r="X248" s="5"/>
    </row>
    <row r="249" spans="1:25" ht="15.75" x14ac:dyDescent="0.25">
      <c r="A249" s="285"/>
      <c r="B249" s="286"/>
      <c r="C249" s="286"/>
      <c r="D249" s="286"/>
      <c r="E249" s="286"/>
      <c r="F249" s="286"/>
      <c r="G249" s="286"/>
      <c r="H249" s="381"/>
      <c r="I249" s="381"/>
      <c r="J249" s="381"/>
      <c r="K249" s="381"/>
      <c r="L249" s="381"/>
      <c r="M249" s="381"/>
      <c r="N249" s="381"/>
      <c r="O249" s="381"/>
      <c r="P249" s="381"/>
      <c r="Q249" s="381"/>
      <c r="R249" s="337">
        <f>SUM(R240:R248)</f>
        <v>5691</v>
      </c>
      <c r="S249" s="379">
        <f>SUM(S240:S248)</f>
        <v>1</v>
      </c>
      <c r="T249" s="338">
        <f>SUM(T240:T248)</f>
        <v>810155</v>
      </c>
      <c r="U249" s="379">
        <f>SUM(U240:U248)</f>
        <v>0.99999999999999978</v>
      </c>
      <c r="V249" s="286"/>
      <c r="W249" s="289"/>
      <c r="X249" s="5"/>
    </row>
    <row r="250" spans="1:25" ht="15.75" x14ac:dyDescent="0.25">
      <c r="A250" s="181"/>
      <c r="B250" s="212"/>
      <c r="C250" s="212"/>
      <c r="D250" s="212"/>
      <c r="E250" s="212"/>
      <c r="F250" s="212"/>
      <c r="G250" s="212"/>
      <c r="H250" s="375"/>
      <c r="I250" s="375"/>
      <c r="J250" s="375"/>
      <c r="K250" s="375"/>
      <c r="L250" s="375"/>
      <c r="M250" s="375"/>
      <c r="N250" s="375"/>
      <c r="O250" s="375"/>
      <c r="P250" s="375"/>
      <c r="Q250" s="375"/>
      <c r="R250" s="335"/>
      <c r="S250" s="376"/>
      <c r="T250" s="377"/>
      <c r="U250" s="376"/>
      <c r="V250" s="212"/>
      <c r="W250" s="212"/>
      <c r="X250" s="5"/>
    </row>
    <row r="251" spans="1:25" ht="15.75" x14ac:dyDescent="0.25">
      <c r="A251" s="224"/>
      <c r="B251" s="399" t="s">
        <v>162</v>
      </c>
      <c r="C251" s="400"/>
      <c r="D251" s="400"/>
      <c r="E251" s="400"/>
      <c r="F251" s="407"/>
      <c r="G251" s="400"/>
      <c r="H251" s="400"/>
      <c r="I251" s="400"/>
      <c r="J251" s="400"/>
      <c r="K251" s="400"/>
      <c r="L251" s="400"/>
      <c r="M251" s="400"/>
      <c r="N251" s="400"/>
      <c r="O251" s="400"/>
      <c r="P251" s="400"/>
      <c r="Q251" s="400"/>
      <c r="R251" s="407" t="s">
        <v>102</v>
      </c>
      <c r="S251" s="400" t="s">
        <v>103</v>
      </c>
      <c r="T251" s="407" t="s">
        <v>109</v>
      </c>
      <c r="U251" s="400" t="s">
        <v>103</v>
      </c>
      <c r="V251" s="225"/>
      <c r="W251" s="399"/>
      <c r="X251" s="5"/>
    </row>
    <row r="252" spans="1:25" ht="15.75" x14ac:dyDescent="0.25">
      <c r="A252" s="193"/>
      <c r="B252" s="249" t="s">
        <v>88</v>
      </c>
      <c r="C252" s="265"/>
      <c r="D252" s="265"/>
      <c r="E252" s="265"/>
      <c r="F252" s="250"/>
      <c r="G252" s="265"/>
      <c r="H252" s="265"/>
      <c r="I252" s="265"/>
      <c r="J252" s="265"/>
      <c r="K252" s="265"/>
      <c r="L252" s="265"/>
      <c r="M252" s="265"/>
      <c r="N252" s="265"/>
      <c r="O252" s="265"/>
      <c r="P252" s="265"/>
      <c r="Q252" s="265"/>
      <c r="R252" s="249">
        <v>5542</v>
      </c>
      <c r="S252" s="252">
        <f t="shared" ref="S252:S259" si="5">R252/$R$261</f>
        <v>0.99515173280660796</v>
      </c>
      <c r="T252" s="253">
        <v>786119</v>
      </c>
      <c r="U252" s="252">
        <f t="shared" ref="U252:U259" si="6">T252/$T$261</f>
        <v>0.9928690962596225</v>
      </c>
      <c r="V252" s="266"/>
      <c r="W252" s="408"/>
      <c r="X252" s="5"/>
    </row>
    <row r="253" spans="1:25" ht="15.75" x14ac:dyDescent="0.25">
      <c r="A253" s="285"/>
      <c r="B253" s="337" t="s">
        <v>89</v>
      </c>
      <c r="C253" s="378"/>
      <c r="D253" s="378"/>
      <c r="E253" s="378"/>
      <c r="F253" s="286"/>
      <c r="G253" s="379"/>
      <c r="H253" s="378"/>
      <c r="I253" s="378"/>
      <c r="J253" s="378"/>
      <c r="K253" s="378"/>
      <c r="L253" s="378"/>
      <c r="M253" s="378"/>
      <c r="N253" s="378"/>
      <c r="O253" s="378"/>
      <c r="P253" s="378"/>
      <c r="Q253" s="378"/>
      <c r="R253" s="337">
        <v>21</v>
      </c>
      <c r="S253" s="379">
        <f t="shared" si="5"/>
        <v>3.7708744837493266E-3</v>
      </c>
      <c r="T253" s="338">
        <v>4265</v>
      </c>
      <c r="U253" s="379">
        <f t="shared" si="6"/>
        <v>5.3866993362929657E-3</v>
      </c>
      <c r="V253" s="361"/>
      <c r="W253" s="409"/>
      <c r="X253" s="5"/>
      <c r="Y253" s="109"/>
    </row>
    <row r="254" spans="1:25" ht="15.75" x14ac:dyDescent="0.25">
      <c r="A254" s="285"/>
      <c r="B254" s="337" t="s">
        <v>90</v>
      </c>
      <c r="C254" s="378"/>
      <c r="D254" s="378"/>
      <c r="E254" s="378"/>
      <c r="F254" s="286"/>
      <c r="G254" s="379"/>
      <c r="H254" s="378"/>
      <c r="I254" s="378"/>
      <c r="J254" s="378"/>
      <c r="K254" s="378"/>
      <c r="L254" s="378"/>
      <c r="M254" s="378"/>
      <c r="N254" s="378"/>
      <c r="O254" s="378"/>
      <c r="P254" s="378"/>
      <c r="Q254" s="378"/>
      <c r="R254" s="337">
        <v>2</v>
      </c>
      <c r="S254" s="379">
        <f t="shared" si="5"/>
        <v>3.5913090321422161E-4</v>
      </c>
      <c r="T254" s="338">
        <v>438</v>
      </c>
      <c r="U254" s="379">
        <f t="shared" si="6"/>
        <v>5.5319444532152848E-4</v>
      </c>
      <c r="V254" s="361"/>
      <c r="W254" s="409"/>
      <c r="X254" s="5"/>
    </row>
    <row r="255" spans="1:25" ht="15.75" x14ac:dyDescent="0.25">
      <c r="A255" s="285"/>
      <c r="B255" s="337" t="s">
        <v>156</v>
      </c>
      <c r="C255" s="378"/>
      <c r="D255" s="378"/>
      <c r="E255" s="378"/>
      <c r="F255" s="286"/>
      <c r="G255" s="379"/>
      <c r="H255" s="378"/>
      <c r="I255" s="378"/>
      <c r="J255" s="378"/>
      <c r="K255" s="378"/>
      <c r="L255" s="378"/>
      <c r="M255" s="378"/>
      <c r="N255" s="378"/>
      <c r="O255" s="378"/>
      <c r="P255" s="378"/>
      <c r="Q255" s="378"/>
      <c r="R255" s="337">
        <v>0</v>
      </c>
      <c r="S255" s="379">
        <f t="shared" si="5"/>
        <v>0</v>
      </c>
      <c r="T255" s="338">
        <v>0</v>
      </c>
      <c r="U255" s="379">
        <f t="shared" si="6"/>
        <v>0</v>
      </c>
      <c r="V255" s="361"/>
      <c r="W255" s="409"/>
      <c r="X255" s="5"/>
      <c r="Y255" s="109"/>
    </row>
    <row r="256" spans="1:25" ht="15.75" x14ac:dyDescent="0.25">
      <c r="A256" s="285"/>
      <c r="B256" s="337" t="s">
        <v>157</v>
      </c>
      <c r="C256" s="378"/>
      <c r="D256" s="378"/>
      <c r="E256" s="378"/>
      <c r="F256" s="286"/>
      <c r="G256" s="379"/>
      <c r="H256" s="378"/>
      <c r="I256" s="378"/>
      <c r="J256" s="378"/>
      <c r="K256" s="378"/>
      <c r="L256" s="378"/>
      <c r="M256" s="378"/>
      <c r="N256" s="378"/>
      <c r="O256" s="378"/>
      <c r="P256" s="378"/>
      <c r="Q256" s="378"/>
      <c r="R256" s="337">
        <v>0</v>
      </c>
      <c r="S256" s="379">
        <f t="shared" si="5"/>
        <v>0</v>
      </c>
      <c r="T256" s="338">
        <v>0</v>
      </c>
      <c r="U256" s="379">
        <f t="shared" si="6"/>
        <v>0</v>
      </c>
      <c r="V256" s="361"/>
      <c r="W256" s="409"/>
      <c r="X256" s="5"/>
    </row>
    <row r="257" spans="1:25" ht="15.75" x14ac:dyDescent="0.25">
      <c r="A257" s="285"/>
      <c r="B257" s="337" t="s">
        <v>158</v>
      </c>
      <c r="C257" s="378"/>
      <c r="D257" s="378"/>
      <c r="E257" s="378"/>
      <c r="F257" s="286"/>
      <c r="G257" s="379"/>
      <c r="H257" s="378"/>
      <c r="I257" s="378"/>
      <c r="J257" s="378"/>
      <c r="K257" s="378"/>
      <c r="L257" s="378"/>
      <c r="M257" s="378"/>
      <c r="N257" s="378"/>
      <c r="O257" s="378"/>
      <c r="P257" s="378"/>
      <c r="Q257" s="378"/>
      <c r="R257" s="337">
        <v>0</v>
      </c>
      <c r="S257" s="379">
        <f t="shared" si="5"/>
        <v>0</v>
      </c>
      <c r="T257" s="338">
        <v>0</v>
      </c>
      <c r="U257" s="379">
        <f t="shared" si="6"/>
        <v>0</v>
      </c>
      <c r="V257" s="361"/>
      <c r="W257" s="409"/>
      <c r="X257" s="5"/>
      <c r="Y257" s="109"/>
    </row>
    <row r="258" spans="1:25" ht="15.75" x14ac:dyDescent="0.25">
      <c r="A258" s="285"/>
      <c r="B258" s="337" t="s">
        <v>159</v>
      </c>
      <c r="C258" s="378"/>
      <c r="D258" s="378"/>
      <c r="E258" s="378"/>
      <c r="F258" s="286"/>
      <c r="G258" s="379"/>
      <c r="H258" s="378"/>
      <c r="I258" s="378"/>
      <c r="J258" s="378"/>
      <c r="K258" s="378"/>
      <c r="L258" s="378"/>
      <c r="M258" s="378"/>
      <c r="N258" s="378"/>
      <c r="O258" s="378"/>
      <c r="P258" s="378"/>
      <c r="Q258" s="378"/>
      <c r="R258" s="337">
        <v>1</v>
      </c>
      <c r="S258" s="379">
        <f t="shared" si="5"/>
        <v>1.795654516071108E-4</v>
      </c>
      <c r="T258" s="338">
        <v>102</v>
      </c>
      <c r="U258" s="379">
        <f t="shared" si="6"/>
        <v>1.2882610370501348E-4</v>
      </c>
      <c r="V258" s="361"/>
      <c r="W258" s="409"/>
      <c r="X258" s="5"/>
    </row>
    <row r="259" spans="1:25" ht="15.75" x14ac:dyDescent="0.25">
      <c r="A259" s="285"/>
      <c r="B259" s="337" t="s">
        <v>160</v>
      </c>
      <c r="C259" s="378"/>
      <c r="D259" s="378"/>
      <c r="E259" s="378"/>
      <c r="F259" s="286"/>
      <c r="G259" s="379"/>
      <c r="H259" s="378"/>
      <c r="I259" s="378"/>
      <c r="J259" s="378"/>
      <c r="K259" s="378"/>
      <c r="L259" s="378"/>
      <c r="M259" s="378"/>
      <c r="N259" s="378"/>
      <c r="O259" s="378"/>
      <c r="P259" s="378"/>
      <c r="Q259" s="378"/>
      <c r="R259" s="337">
        <v>3</v>
      </c>
      <c r="S259" s="379">
        <f t="shared" si="5"/>
        <v>5.3869635482133233E-4</v>
      </c>
      <c r="T259" s="338">
        <v>841</v>
      </c>
      <c r="U259" s="379">
        <f t="shared" si="6"/>
        <v>1.0621838550580033E-3</v>
      </c>
      <c r="V259" s="361"/>
      <c r="W259" s="409"/>
      <c r="X259" s="5"/>
      <c r="Y259" s="109"/>
    </row>
    <row r="260" spans="1:25" ht="15.75" x14ac:dyDescent="0.25">
      <c r="A260" s="285"/>
      <c r="B260" s="337"/>
      <c r="C260" s="378"/>
      <c r="D260" s="378"/>
      <c r="E260" s="378"/>
      <c r="F260" s="286"/>
      <c r="G260" s="379"/>
      <c r="H260" s="378"/>
      <c r="I260" s="378"/>
      <c r="J260" s="378"/>
      <c r="K260" s="378"/>
      <c r="L260" s="378"/>
      <c r="M260" s="378"/>
      <c r="N260" s="378"/>
      <c r="O260" s="378"/>
      <c r="P260" s="378"/>
      <c r="Q260" s="378"/>
      <c r="R260" s="337"/>
      <c r="S260" s="379"/>
      <c r="T260" s="338"/>
      <c r="U260" s="379"/>
      <c r="V260" s="361"/>
      <c r="W260" s="409"/>
      <c r="X260" s="5"/>
    </row>
    <row r="261" spans="1:25" ht="15.75" x14ac:dyDescent="0.25">
      <c r="A261" s="285"/>
      <c r="B261" s="286"/>
      <c r="C261" s="286"/>
      <c r="D261" s="286"/>
      <c r="E261" s="286"/>
      <c r="F261" s="286"/>
      <c r="G261" s="286"/>
      <c r="H261" s="381"/>
      <c r="I261" s="381"/>
      <c r="J261" s="381"/>
      <c r="K261" s="381"/>
      <c r="L261" s="381"/>
      <c r="M261" s="381"/>
      <c r="N261" s="381"/>
      <c r="O261" s="381"/>
      <c r="P261" s="381"/>
      <c r="Q261" s="381"/>
      <c r="R261" s="337">
        <f>SUM(R252:R260)</f>
        <v>5569</v>
      </c>
      <c r="S261" s="379">
        <f>SUM(S252:S260)</f>
        <v>1</v>
      </c>
      <c r="T261" s="338">
        <f>SUM(T252:T260)</f>
        <v>791765</v>
      </c>
      <c r="U261" s="379">
        <f>SUM(U252:U260)</f>
        <v>1</v>
      </c>
      <c r="V261" s="286"/>
      <c r="W261" s="289"/>
      <c r="X261" s="5"/>
    </row>
    <row r="262" spans="1:25" ht="15.75" x14ac:dyDescent="0.25">
      <c r="A262" s="181"/>
      <c r="B262" s="212"/>
      <c r="C262" s="212"/>
      <c r="D262" s="212"/>
      <c r="E262" s="212"/>
      <c r="F262" s="212"/>
      <c r="G262" s="212"/>
      <c r="H262" s="375"/>
      <c r="I262" s="375"/>
      <c r="J262" s="375"/>
      <c r="K262" s="375"/>
      <c r="L262" s="375"/>
      <c r="M262" s="375"/>
      <c r="N262" s="375"/>
      <c r="O262" s="375"/>
      <c r="P262" s="375"/>
      <c r="Q262" s="375"/>
      <c r="R262" s="335"/>
      <c r="S262" s="376"/>
      <c r="T262" s="377"/>
      <c r="U262" s="376"/>
      <c r="V262" s="212"/>
      <c r="W262" s="212"/>
      <c r="X262" s="5"/>
    </row>
    <row r="263" spans="1:25" ht="15.75" x14ac:dyDescent="0.25">
      <c r="A263" s="244"/>
      <c r="B263" s="399" t="s">
        <v>236</v>
      </c>
      <c r="C263" s="400"/>
      <c r="D263" s="400"/>
      <c r="E263" s="400"/>
      <c r="F263" s="407"/>
      <c r="G263" s="400"/>
      <c r="H263" s="400"/>
      <c r="I263" s="400"/>
      <c r="J263" s="400"/>
      <c r="K263" s="400"/>
      <c r="L263" s="400"/>
      <c r="M263" s="400"/>
      <c r="N263" s="400"/>
      <c r="O263" s="400"/>
      <c r="P263" s="400"/>
      <c r="Q263" s="400"/>
      <c r="R263" s="407" t="s">
        <v>102</v>
      </c>
      <c r="S263" s="400" t="s">
        <v>103</v>
      </c>
      <c r="T263" s="407" t="s">
        <v>109</v>
      </c>
      <c r="U263" s="400" t="s">
        <v>103</v>
      </c>
      <c r="V263" s="245"/>
      <c r="W263" s="246"/>
      <c r="X263" s="5"/>
    </row>
    <row r="264" spans="1:25" ht="15.75" x14ac:dyDescent="0.25">
      <c r="A264" s="193"/>
      <c r="B264" s="249" t="s">
        <v>88</v>
      </c>
      <c r="C264" s="265"/>
      <c r="D264" s="265"/>
      <c r="E264" s="265"/>
      <c r="F264" s="250"/>
      <c r="G264" s="265"/>
      <c r="H264" s="265"/>
      <c r="I264" s="265"/>
      <c r="J264" s="265"/>
      <c r="K264" s="265"/>
      <c r="L264" s="265"/>
      <c r="M264" s="265"/>
      <c r="N264" s="265"/>
      <c r="O264" s="265"/>
      <c r="P264" s="265"/>
      <c r="Q264" s="265"/>
      <c r="R264" s="249">
        <v>89</v>
      </c>
      <c r="S264" s="252">
        <f t="shared" ref="S264:S270" si="7">R264/$R$273</f>
        <v>0.73553719008264462</v>
      </c>
      <c r="T264" s="253">
        <v>13448</v>
      </c>
      <c r="U264" s="252">
        <f t="shared" ref="U264:U271" si="8">T264/$T$273</f>
        <v>0.73354060982926961</v>
      </c>
      <c r="V264" s="250"/>
      <c r="W264" s="250"/>
      <c r="X264" s="5"/>
    </row>
    <row r="265" spans="1:25" ht="15.75" x14ac:dyDescent="0.25">
      <c r="A265" s="285"/>
      <c r="B265" s="337" t="s">
        <v>89</v>
      </c>
      <c r="C265" s="378"/>
      <c r="D265" s="378"/>
      <c r="E265" s="378"/>
      <c r="F265" s="286"/>
      <c r="G265" s="379"/>
      <c r="H265" s="378"/>
      <c r="I265" s="378"/>
      <c r="J265" s="378"/>
      <c r="K265" s="378"/>
      <c r="L265" s="378"/>
      <c r="M265" s="378"/>
      <c r="N265" s="378"/>
      <c r="O265" s="378"/>
      <c r="P265" s="378"/>
      <c r="Q265" s="378"/>
      <c r="R265" s="337">
        <v>3</v>
      </c>
      <c r="S265" s="379">
        <f t="shared" si="7"/>
        <v>2.4793388429752067E-2</v>
      </c>
      <c r="T265" s="338">
        <v>300</v>
      </c>
      <c r="U265" s="379">
        <f t="shared" si="8"/>
        <v>1.6363933889707086E-2</v>
      </c>
      <c r="V265" s="286"/>
      <c r="W265" s="289"/>
      <c r="X265" s="5"/>
    </row>
    <row r="266" spans="1:25" ht="15.75" x14ac:dyDescent="0.25">
      <c r="A266" s="285"/>
      <c r="B266" s="337" t="s">
        <v>90</v>
      </c>
      <c r="C266" s="378"/>
      <c r="D266" s="378"/>
      <c r="E266" s="378"/>
      <c r="F266" s="286"/>
      <c r="G266" s="379"/>
      <c r="H266" s="378"/>
      <c r="I266" s="378"/>
      <c r="J266" s="378"/>
      <c r="K266" s="378"/>
      <c r="L266" s="378"/>
      <c r="M266" s="378"/>
      <c r="N266" s="378"/>
      <c r="O266" s="378"/>
      <c r="P266" s="378"/>
      <c r="Q266" s="378"/>
      <c r="R266" s="337">
        <v>4</v>
      </c>
      <c r="S266" s="379">
        <f t="shared" si="7"/>
        <v>3.3057851239669422E-2</v>
      </c>
      <c r="T266" s="338">
        <v>629</v>
      </c>
      <c r="U266" s="379">
        <f t="shared" si="8"/>
        <v>3.4309714722085854E-2</v>
      </c>
      <c r="V266" s="286"/>
      <c r="W266" s="289"/>
      <c r="X266" s="5"/>
    </row>
    <row r="267" spans="1:25" ht="15.75" x14ac:dyDescent="0.25">
      <c r="A267" s="285"/>
      <c r="B267" s="337" t="s">
        <v>156</v>
      </c>
      <c r="C267" s="378"/>
      <c r="D267" s="378"/>
      <c r="E267" s="378"/>
      <c r="F267" s="286"/>
      <c r="G267" s="379"/>
      <c r="H267" s="378"/>
      <c r="I267" s="378"/>
      <c r="J267" s="378"/>
      <c r="K267" s="378"/>
      <c r="L267" s="378"/>
      <c r="M267" s="378"/>
      <c r="N267" s="378"/>
      <c r="O267" s="378"/>
      <c r="P267" s="378"/>
      <c r="Q267" s="378"/>
      <c r="R267" s="337">
        <v>4</v>
      </c>
      <c r="S267" s="379">
        <f t="shared" si="7"/>
        <v>3.3057851239669422E-2</v>
      </c>
      <c r="T267" s="338">
        <v>799</v>
      </c>
      <c r="U267" s="379">
        <f t="shared" si="8"/>
        <v>4.3582610592919874E-2</v>
      </c>
      <c r="V267" s="286"/>
      <c r="W267" s="289"/>
      <c r="X267" s="5"/>
    </row>
    <row r="268" spans="1:25" ht="15.75" x14ac:dyDescent="0.25">
      <c r="A268" s="285"/>
      <c r="B268" s="337" t="s">
        <v>157</v>
      </c>
      <c r="C268" s="378"/>
      <c r="D268" s="378"/>
      <c r="E268" s="378"/>
      <c r="F268" s="286"/>
      <c r="G268" s="379"/>
      <c r="H268" s="378"/>
      <c r="I268" s="378"/>
      <c r="J268" s="378"/>
      <c r="K268" s="378"/>
      <c r="L268" s="378"/>
      <c r="M268" s="378"/>
      <c r="N268" s="378"/>
      <c r="O268" s="378"/>
      <c r="P268" s="378"/>
      <c r="Q268" s="378"/>
      <c r="R268" s="337">
        <v>1</v>
      </c>
      <c r="S268" s="379">
        <f t="shared" si="7"/>
        <v>8.2644628099173556E-3</v>
      </c>
      <c r="T268" s="338">
        <v>154</v>
      </c>
      <c r="U268" s="379">
        <f t="shared" si="8"/>
        <v>8.4001527300496381E-3</v>
      </c>
      <c r="V268" s="286"/>
      <c r="W268" s="289"/>
      <c r="X268" s="5"/>
    </row>
    <row r="269" spans="1:25" ht="15.75" x14ac:dyDescent="0.25">
      <c r="A269" s="285"/>
      <c r="B269" s="337" t="s">
        <v>158</v>
      </c>
      <c r="C269" s="378"/>
      <c r="D269" s="378"/>
      <c r="E269" s="378"/>
      <c r="F269" s="286"/>
      <c r="G269" s="379"/>
      <c r="H269" s="378"/>
      <c r="I269" s="378"/>
      <c r="J269" s="378"/>
      <c r="K269" s="378"/>
      <c r="L269" s="378"/>
      <c r="M269" s="378"/>
      <c r="N269" s="378"/>
      <c r="O269" s="378"/>
      <c r="P269" s="378"/>
      <c r="Q269" s="378"/>
      <c r="R269" s="337">
        <v>1</v>
      </c>
      <c r="S269" s="379">
        <f t="shared" si="7"/>
        <v>8.2644628099173556E-3</v>
      </c>
      <c r="T269" s="338">
        <v>249</v>
      </c>
      <c r="U269" s="379">
        <f t="shared" si="8"/>
        <v>1.3582065128456881E-2</v>
      </c>
      <c r="V269" s="286"/>
      <c r="W269" s="289"/>
      <c r="X269" s="5"/>
    </row>
    <row r="270" spans="1:25" ht="15.75" x14ac:dyDescent="0.25">
      <c r="A270" s="285"/>
      <c r="B270" s="337" t="s">
        <v>159</v>
      </c>
      <c r="C270" s="378"/>
      <c r="D270" s="378"/>
      <c r="E270" s="378"/>
      <c r="F270" s="286"/>
      <c r="G270" s="379"/>
      <c r="H270" s="378"/>
      <c r="I270" s="378"/>
      <c r="J270" s="378"/>
      <c r="K270" s="378"/>
      <c r="L270" s="378"/>
      <c r="M270" s="378"/>
      <c r="N270" s="378"/>
      <c r="O270" s="378"/>
      <c r="P270" s="378"/>
      <c r="Q270" s="378"/>
      <c r="R270" s="337">
        <v>7</v>
      </c>
      <c r="S270" s="379">
        <f t="shared" si="7"/>
        <v>5.7851239669421489E-2</v>
      </c>
      <c r="T270" s="338">
        <v>770</v>
      </c>
      <c r="U270" s="379">
        <f t="shared" si="8"/>
        <v>4.2000763650248185E-2</v>
      </c>
      <c r="V270" s="286"/>
      <c r="W270" s="289"/>
      <c r="X270" s="5"/>
    </row>
    <row r="271" spans="1:25" ht="15.75" x14ac:dyDescent="0.25">
      <c r="A271" s="285"/>
      <c r="B271" s="337" t="s">
        <v>160</v>
      </c>
      <c r="C271" s="378"/>
      <c r="D271" s="378"/>
      <c r="E271" s="378"/>
      <c r="F271" s="286"/>
      <c r="G271" s="379"/>
      <c r="H271" s="378"/>
      <c r="I271" s="378"/>
      <c r="J271" s="378"/>
      <c r="K271" s="378"/>
      <c r="L271" s="378"/>
      <c r="M271" s="378"/>
      <c r="N271" s="378"/>
      <c r="O271" s="378"/>
      <c r="P271" s="378"/>
      <c r="Q271" s="378"/>
      <c r="R271" s="337">
        <v>12</v>
      </c>
      <c r="S271" s="379">
        <f>R271/$R$273</f>
        <v>9.9173553719008267E-2</v>
      </c>
      <c r="T271" s="338">
        <v>1984</v>
      </c>
      <c r="U271" s="379">
        <f t="shared" si="8"/>
        <v>0.10822014945726285</v>
      </c>
      <c r="V271" s="286"/>
      <c r="W271" s="289"/>
      <c r="X271" s="5"/>
    </row>
    <row r="272" spans="1:25" ht="15.75" x14ac:dyDescent="0.25">
      <c r="A272" s="285"/>
      <c r="B272" s="337"/>
      <c r="C272" s="378"/>
      <c r="D272" s="378"/>
      <c r="E272" s="378"/>
      <c r="F272" s="286"/>
      <c r="G272" s="379"/>
      <c r="H272" s="378"/>
      <c r="I272" s="378"/>
      <c r="J272" s="378"/>
      <c r="K272" s="378"/>
      <c r="L272" s="378"/>
      <c r="M272" s="378"/>
      <c r="N272" s="378"/>
      <c r="O272" s="378"/>
      <c r="P272" s="378"/>
      <c r="Q272" s="378"/>
      <c r="R272" s="337"/>
      <c r="S272" s="379"/>
      <c r="T272" s="338"/>
      <c r="U272" s="379"/>
      <c r="V272" s="286"/>
      <c r="W272" s="289"/>
      <c r="X272" s="5"/>
    </row>
    <row r="273" spans="1:24" ht="15.75" x14ac:dyDescent="0.25">
      <c r="A273" s="285"/>
      <c r="B273" s="286"/>
      <c r="C273" s="286"/>
      <c r="D273" s="286"/>
      <c r="E273" s="286"/>
      <c r="F273" s="286"/>
      <c r="G273" s="286"/>
      <c r="H273" s="381"/>
      <c r="I273" s="381"/>
      <c r="J273" s="381"/>
      <c r="K273" s="381"/>
      <c r="L273" s="381"/>
      <c r="M273" s="381"/>
      <c r="N273" s="381"/>
      <c r="O273" s="381"/>
      <c r="P273" s="381"/>
      <c r="Q273" s="381"/>
      <c r="R273" s="337">
        <f>SUM(R264:R272)</f>
        <v>121</v>
      </c>
      <c r="S273" s="379">
        <f>SUM(S264:S272)</f>
        <v>1</v>
      </c>
      <c r="T273" s="338">
        <f>SUM(T264:T272)</f>
        <v>18333</v>
      </c>
      <c r="U273" s="379">
        <f>SUM(U264:U272)</f>
        <v>1</v>
      </c>
      <c r="V273" s="286"/>
      <c r="W273" s="289"/>
      <c r="X273" s="5"/>
    </row>
    <row r="274" spans="1:24" ht="15.75" x14ac:dyDescent="0.25">
      <c r="A274" s="181"/>
      <c r="B274" s="212"/>
      <c r="C274" s="212"/>
      <c r="D274" s="212"/>
      <c r="E274" s="212"/>
      <c r="F274" s="212"/>
      <c r="G274" s="212"/>
      <c r="H274" s="375"/>
      <c r="I274" s="375"/>
      <c r="J274" s="375"/>
      <c r="K274" s="375"/>
      <c r="L274" s="375"/>
      <c r="M274" s="375"/>
      <c r="N274" s="375"/>
      <c r="O274" s="375"/>
      <c r="P274" s="375"/>
      <c r="Q274" s="375"/>
      <c r="R274" s="335"/>
      <c r="S274" s="376"/>
      <c r="T274" s="377"/>
      <c r="U274" s="376"/>
      <c r="V274" s="212"/>
      <c r="W274" s="212"/>
      <c r="X274" s="5"/>
    </row>
    <row r="275" spans="1:24" ht="15.75" x14ac:dyDescent="0.25">
      <c r="A275" s="244"/>
      <c r="B275" s="399" t="s">
        <v>163</v>
      </c>
      <c r="C275" s="245"/>
      <c r="D275" s="245"/>
      <c r="E275" s="245"/>
      <c r="F275" s="245"/>
      <c r="G275" s="245"/>
      <c r="H275" s="247"/>
      <c r="I275" s="247"/>
      <c r="J275" s="247"/>
      <c r="K275" s="247"/>
      <c r="L275" s="247"/>
      <c r="M275" s="247"/>
      <c r="N275" s="247"/>
      <c r="O275" s="247"/>
      <c r="P275" s="247"/>
      <c r="Q275" s="247"/>
      <c r="R275" s="407" t="s">
        <v>102</v>
      </c>
      <c r="S275" s="400" t="s">
        <v>103</v>
      </c>
      <c r="T275" s="407" t="s">
        <v>109</v>
      </c>
      <c r="U275" s="400" t="s">
        <v>103</v>
      </c>
      <c r="V275" s="245"/>
      <c r="W275" s="246"/>
      <c r="X275" s="5"/>
    </row>
    <row r="276" spans="1:24" ht="15.75" x14ac:dyDescent="0.25">
      <c r="A276" s="248"/>
      <c r="B276" s="249" t="s">
        <v>88</v>
      </c>
      <c r="C276" s="250"/>
      <c r="D276" s="250"/>
      <c r="E276" s="250"/>
      <c r="F276" s="250"/>
      <c r="G276" s="250"/>
      <c r="H276" s="251"/>
      <c r="I276" s="251"/>
      <c r="J276" s="251"/>
      <c r="K276" s="251"/>
      <c r="L276" s="251"/>
      <c r="M276" s="251"/>
      <c r="N276" s="251"/>
      <c r="O276" s="251"/>
      <c r="P276" s="251"/>
      <c r="Q276" s="251"/>
      <c r="R276" s="249">
        <v>0</v>
      </c>
      <c r="S276" s="252">
        <v>0</v>
      </c>
      <c r="T276" s="253">
        <v>0</v>
      </c>
      <c r="U276" s="252">
        <v>0</v>
      </c>
      <c r="V276" s="250"/>
      <c r="W276" s="250"/>
      <c r="X276" s="5"/>
    </row>
    <row r="277" spans="1:24" ht="15.75" x14ac:dyDescent="0.25">
      <c r="A277" s="295"/>
      <c r="B277" s="337" t="s">
        <v>89</v>
      </c>
      <c r="C277" s="286"/>
      <c r="D277" s="286"/>
      <c r="E277" s="286"/>
      <c r="F277" s="286"/>
      <c r="G277" s="286"/>
      <c r="H277" s="381"/>
      <c r="I277" s="381"/>
      <c r="J277" s="381"/>
      <c r="K277" s="381"/>
      <c r="L277" s="381"/>
      <c r="M277" s="381"/>
      <c r="N277" s="381"/>
      <c r="O277" s="381"/>
      <c r="P277" s="381"/>
      <c r="Q277" s="381"/>
      <c r="R277" s="337">
        <v>0</v>
      </c>
      <c r="S277" s="379">
        <v>0</v>
      </c>
      <c r="T277" s="338">
        <v>0</v>
      </c>
      <c r="U277" s="379">
        <v>0</v>
      </c>
      <c r="V277" s="286"/>
      <c r="W277" s="289"/>
      <c r="X277" s="5"/>
    </row>
    <row r="278" spans="1:24" ht="15.75" x14ac:dyDescent="0.25">
      <c r="A278" s="295"/>
      <c r="B278" s="337" t="s">
        <v>90</v>
      </c>
      <c r="C278" s="286"/>
      <c r="D278" s="286"/>
      <c r="E278" s="286"/>
      <c r="F278" s="286"/>
      <c r="G278" s="286"/>
      <c r="H278" s="381"/>
      <c r="I278" s="381"/>
      <c r="J278" s="381"/>
      <c r="K278" s="381"/>
      <c r="L278" s="381"/>
      <c r="M278" s="381"/>
      <c r="N278" s="381"/>
      <c r="O278" s="381"/>
      <c r="P278" s="381"/>
      <c r="Q278" s="381"/>
      <c r="R278" s="337">
        <v>0</v>
      </c>
      <c r="S278" s="379">
        <v>0</v>
      </c>
      <c r="T278" s="338">
        <v>0</v>
      </c>
      <c r="U278" s="379">
        <v>0</v>
      </c>
      <c r="V278" s="286"/>
      <c r="W278" s="289"/>
      <c r="X278" s="5"/>
    </row>
    <row r="279" spans="1:24" ht="15.75" x14ac:dyDescent="0.25">
      <c r="A279" s="295"/>
      <c r="B279" s="337" t="s">
        <v>156</v>
      </c>
      <c r="C279" s="286"/>
      <c r="D279" s="286"/>
      <c r="E279" s="286"/>
      <c r="F279" s="286"/>
      <c r="G279" s="286"/>
      <c r="H279" s="381"/>
      <c r="I279" s="381"/>
      <c r="J279" s="381"/>
      <c r="K279" s="381"/>
      <c r="L279" s="381"/>
      <c r="M279" s="381"/>
      <c r="N279" s="381"/>
      <c r="O279" s="381"/>
      <c r="P279" s="381"/>
      <c r="Q279" s="381"/>
      <c r="R279" s="337">
        <v>0</v>
      </c>
      <c r="S279" s="379">
        <v>0</v>
      </c>
      <c r="T279" s="338">
        <v>0</v>
      </c>
      <c r="U279" s="379">
        <v>0</v>
      </c>
      <c r="V279" s="286"/>
      <c r="W279" s="289"/>
      <c r="X279" s="5"/>
    </row>
    <row r="280" spans="1:24" ht="15.75" x14ac:dyDescent="0.25">
      <c r="A280" s="295"/>
      <c r="B280" s="337" t="s">
        <v>157</v>
      </c>
      <c r="C280" s="286"/>
      <c r="D280" s="286"/>
      <c r="E280" s="286"/>
      <c r="F280" s="286"/>
      <c r="G280" s="286"/>
      <c r="H280" s="381"/>
      <c r="I280" s="381"/>
      <c r="J280" s="381"/>
      <c r="K280" s="381"/>
      <c r="L280" s="381"/>
      <c r="M280" s="381"/>
      <c r="N280" s="381"/>
      <c r="O280" s="381"/>
      <c r="P280" s="381"/>
      <c r="Q280" s="381"/>
      <c r="R280" s="337">
        <v>0</v>
      </c>
      <c r="S280" s="379">
        <v>0</v>
      </c>
      <c r="T280" s="338">
        <v>0</v>
      </c>
      <c r="U280" s="379">
        <v>0</v>
      </c>
      <c r="V280" s="286"/>
      <c r="W280" s="289"/>
      <c r="X280" s="5"/>
    </row>
    <row r="281" spans="1:24" ht="15.75" x14ac:dyDescent="0.25">
      <c r="A281" s="295"/>
      <c r="B281" s="337" t="s">
        <v>158</v>
      </c>
      <c r="C281" s="286"/>
      <c r="D281" s="286"/>
      <c r="E281" s="286"/>
      <c r="F281" s="286"/>
      <c r="G281" s="286"/>
      <c r="H281" s="381"/>
      <c r="I281" s="381"/>
      <c r="J281" s="381"/>
      <c r="K281" s="381"/>
      <c r="L281" s="381"/>
      <c r="M281" s="381"/>
      <c r="N281" s="381"/>
      <c r="O281" s="381"/>
      <c r="P281" s="381"/>
      <c r="Q281" s="381"/>
      <c r="R281" s="337">
        <v>0</v>
      </c>
      <c r="S281" s="379">
        <v>0</v>
      </c>
      <c r="T281" s="338">
        <v>0</v>
      </c>
      <c r="U281" s="379">
        <v>0</v>
      </c>
      <c r="V281" s="286"/>
      <c r="W281" s="289"/>
      <c r="X281" s="5"/>
    </row>
    <row r="282" spans="1:24" ht="15.75" x14ac:dyDescent="0.25">
      <c r="A282" s="295"/>
      <c r="B282" s="337" t="s">
        <v>159</v>
      </c>
      <c r="C282" s="286"/>
      <c r="D282" s="286"/>
      <c r="E282" s="286"/>
      <c r="F282" s="286"/>
      <c r="G282" s="286"/>
      <c r="H282" s="381"/>
      <c r="I282" s="381"/>
      <c r="J282" s="381"/>
      <c r="K282" s="381"/>
      <c r="L282" s="381"/>
      <c r="M282" s="381"/>
      <c r="N282" s="381"/>
      <c r="O282" s="381"/>
      <c r="P282" s="381"/>
      <c r="Q282" s="381"/>
      <c r="R282" s="337">
        <v>0</v>
      </c>
      <c r="S282" s="379">
        <v>0</v>
      </c>
      <c r="T282" s="338">
        <v>0</v>
      </c>
      <c r="U282" s="379">
        <v>0</v>
      </c>
      <c r="V282" s="286"/>
      <c r="W282" s="289"/>
      <c r="X282" s="5"/>
    </row>
    <row r="283" spans="1:24" ht="15.75" x14ac:dyDescent="0.25">
      <c r="A283" s="295"/>
      <c r="B283" s="337" t="s">
        <v>160</v>
      </c>
      <c r="C283" s="286"/>
      <c r="D283" s="286"/>
      <c r="E283" s="286"/>
      <c r="F283" s="286"/>
      <c r="G283" s="286"/>
      <c r="H283" s="381"/>
      <c r="I283" s="381"/>
      <c r="J283" s="381"/>
      <c r="K283" s="381"/>
      <c r="L283" s="381"/>
      <c r="M283" s="381"/>
      <c r="N283" s="381"/>
      <c r="O283" s="381"/>
      <c r="P283" s="381"/>
      <c r="Q283" s="381"/>
      <c r="R283" s="337">
        <v>1</v>
      </c>
      <c r="S283" s="379">
        <f>+R283/R285</f>
        <v>1</v>
      </c>
      <c r="T283" s="338">
        <v>57</v>
      </c>
      <c r="U283" s="379">
        <f>+T283/T285</f>
        <v>1</v>
      </c>
      <c r="V283" s="286"/>
      <c r="W283" s="289"/>
      <c r="X283" s="5"/>
    </row>
    <row r="284" spans="1:24" ht="15.75" x14ac:dyDescent="0.25">
      <c r="A284" s="295"/>
      <c r="B284" s="337"/>
      <c r="C284" s="286"/>
      <c r="D284" s="286"/>
      <c r="E284" s="286"/>
      <c r="F284" s="286"/>
      <c r="G284" s="286"/>
      <c r="H284" s="381"/>
      <c r="I284" s="381"/>
      <c r="J284" s="381"/>
      <c r="K284" s="381"/>
      <c r="L284" s="381"/>
      <c r="M284" s="381"/>
      <c r="N284" s="381"/>
      <c r="O284" s="381"/>
      <c r="P284" s="381"/>
      <c r="Q284" s="381"/>
      <c r="R284" s="337"/>
      <c r="S284" s="379"/>
      <c r="T284" s="338"/>
      <c r="U284" s="379"/>
      <c r="V284" s="286"/>
      <c r="W284" s="289"/>
      <c r="X284" s="5"/>
    </row>
    <row r="285" spans="1:24" ht="15.75" x14ac:dyDescent="0.25">
      <c r="A285" s="295"/>
      <c r="B285" s="286" t="s">
        <v>114</v>
      </c>
      <c r="C285" s="286"/>
      <c r="D285" s="286"/>
      <c r="E285" s="286"/>
      <c r="F285" s="286"/>
      <c r="G285" s="286"/>
      <c r="H285" s="381"/>
      <c r="I285" s="381"/>
      <c r="J285" s="381"/>
      <c r="K285" s="381"/>
      <c r="L285" s="381"/>
      <c r="M285" s="381"/>
      <c r="N285" s="381"/>
      <c r="O285" s="381"/>
      <c r="P285" s="381"/>
      <c r="Q285" s="381"/>
      <c r="R285" s="337">
        <f>SUM(R276:R283)</f>
        <v>1</v>
      </c>
      <c r="S285" s="379">
        <f>SUM(S276:S283)</f>
        <v>1</v>
      </c>
      <c r="T285" s="338">
        <f>SUM(T276:T283)</f>
        <v>57</v>
      </c>
      <c r="U285" s="379">
        <f>SUM(U276:U283)</f>
        <v>1</v>
      </c>
      <c r="V285" s="286"/>
      <c r="W285" s="289"/>
      <c r="X285" s="5"/>
    </row>
    <row r="286" spans="1:24" ht="15.75" x14ac:dyDescent="0.25">
      <c r="A286" s="295"/>
      <c r="B286" s="286"/>
      <c r="C286" s="286"/>
      <c r="D286" s="286"/>
      <c r="E286" s="286"/>
      <c r="F286" s="286"/>
      <c r="G286" s="286"/>
      <c r="H286" s="381"/>
      <c r="I286" s="381"/>
      <c r="J286" s="381"/>
      <c r="K286" s="381"/>
      <c r="L286" s="381"/>
      <c r="M286" s="381"/>
      <c r="N286" s="381"/>
      <c r="O286" s="381"/>
      <c r="P286" s="381"/>
      <c r="Q286" s="381"/>
      <c r="R286" s="337"/>
      <c r="S286" s="379"/>
      <c r="T286" s="338"/>
      <c r="U286" s="379"/>
      <c r="V286" s="286"/>
      <c r="W286" s="289"/>
      <c r="X286" s="5"/>
    </row>
    <row r="287" spans="1:24" ht="15.75" x14ac:dyDescent="0.25">
      <c r="A287" s="295"/>
      <c r="B287" s="297" t="s">
        <v>164</v>
      </c>
      <c r="C287" s="286"/>
      <c r="D287" s="286"/>
      <c r="E287" s="286"/>
      <c r="F287" s="286"/>
      <c r="G287" s="286"/>
      <c r="H287" s="381"/>
      <c r="I287" s="381"/>
      <c r="J287" s="381"/>
      <c r="K287" s="381"/>
      <c r="L287" s="381"/>
      <c r="M287" s="381"/>
      <c r="N287" s="381"/>
      <c r="O287" s="381"/>
      <c r="P287" s="381"/>
      <c r="Q287" s="381"/>
      <c r="R287" s="384">
        <f>R285+R273+R261</f>
        <v>5691</v>
      </c>
      <c r="S287" s="379"/>
      <c r="T287" s="410">
        <f>+T285+T273+T261</f>
        <v>810155</v>
      </c>
      <c r="U287" s="379"/>
      <c r="V287" s="286"/>
      <c r="W287" s="289"/>
      <c r="X287" s="5"/>
    </row>
    <row r="288" spans="1:24" ht="15.75" x14ac:dyDescent="0.25">
      <c r="A288" s="254"/>
      <c r="B288" s="346"/>
      <c r="C288" s="346"/>
      <c r="D288" s="346"/>
      <c r="E288" s="346"/>
      <c r="F288" s="346"/>
      <c r="G288" s="346"/>
      <c r="H288" s="382"/>
      <c r="I288" s="382"/>
      <c r="J288" s="382"/>
      <c r="K288" s="382"/>
      <c r="L288" s="382"/>
      <c r="M288" s="382"/>
      <c r="N288" s="382"/>
      <c r="O288" s="382"/>
      <c r="P288" s="382"/>
      <c r="Q288" s="382"/>
      <c r="R288" s="382"/>
      <c r="S288" s="382"/>
      <c r="T288" s="383"/>
      <c r="U288" s="382"/>
      <c r="V288" s="346"/>
      <c r="W288" s="346"/>
      <c r="X288" s="5"/>
    </row>
    <row r="289" spans="1:24" ht="15.75" x14ac:dyDescent="0.25">
      <c r="A289" s="254"/>
      <c r="B289" s="255"/>
      <c r="C289" s="255"/>
      <c r="D289" s="255"/>
      <c r="E289" s="255"/>
      <c r="F289" s="255"/>
      <c r="G289" s="255"/>
      <c r="H289" s="256"/>
      <c r="I289" s="256"/>
      <c r="J289" s="256"/>
      <c r="K289" s="256"/>
      <c r="L289" s="256"/>
      <c r="M289" s="256"/>
      <c r="N289" s="256"/>
      <c r="O289" s="256"/>
      <c r="P289" s="256"/>
      <c r="Q289" s="256"/>
      <c r="R289" s="256"/>
      <c r="S289" s="256"/>
      <c r="T289" s="257"/>
      <c r="U289" s="256"/>
      <c r="V289" s="255"/>
      <c r="W289" s="255"/>
      <c r="X289" s="5"/>
    </row>
    <row r="290" spans="1:24" ht="15.75" x14ac:dyDescent="0.25">
      <c r="A290" s="258"/>
      <c r="B290" s="388" t="s">
        <v>91</v>
      </c>
      <c r="C290" s="255"/>
      <c r="D290" s="255"/>
      <c r="E290" s="255"/>
      <c r="F290" s="391" t="s">
        <v>97</v>
      </c>
      <c r="G290" s="255"/>
      <c r="H290" s="388" t="s">
        <v>99</v>
      </c>
      <c r="I290" s="388"/>
      <c r="J290" s="388"/>
      <c r="K290" s="261"/>
      <c r="L290" s="261"/>
      <c r="M290" s="261"/>
      <c r="N290" s="261"/>
      <c r="O290" s="261"/>
      <c r="P290" s="261"/>
      <c r="Q290" s="261"/>
      <c r="R290" s="261"/>
      <c r="S290" s="261"/>
      <c r="T290" s="261"/>
      <c r="U290" s="261"/>
      <c r="V290" s="261"/>
      <c r="W290" s="261"/>
      <c r="X290" s="5"/>
    </row>
    <row r="291" spans="1:24" ht="15.75" x14ac:dyDescent="0.25">
      <c r="A291" s="258"/>
      <c r="B291" s="261"/>
      <c r="C291" s="255"/>
      <c r="D291" s="255"/>
      <c r="E291" s="255"/>
      <c r="F291" s="255"/>
      <c r="G291" s="255"/>
      <c r="H291" s="255"/>
      <c r="I291" s="255"/>
      <c r="J291" s="255"/>
      <c r="K291" s="261"/>
      <c r="L291" s="261"/>
      <c r="M291" s="261"/>
      <c r="N291" s="261"/>
      <c r="O291" s="261"/>
      <c r="P291" s="261"/>
      <c r="Q291" s="261"/>
      <c r="R291" s="261"/>
      <c r="S291" s="261"/>
      <c r="T291" s="261"/>
      <c r="U291" s="261"/>
      <c r="V291" s="261"/>
      <c r="W291" s="261"/>
      <c r="X291" s="5"/>
    </row>
    <row r="292" spans="1:24" ht="15.75" x14ac:dyDescent="0.25">
      <c r="A292" s="258"/>
      <c r="B292" s="388" t="s">
        <v>92</v>
      </c>
      <c r="C292" s="388"/>
      <c r="D292" s="388"/>
      <c r="E292" s="388"/>
      <c r="F292" s="411" t="s">
        <v>148</v>
      </c>
      <c r="G292" s="388"/>
      <c r="H292" s="388" t="s">
        <v>152</v>
      </c>
      <c r="I292" s="388"/>
      <c r="J292" s="388"/>
      <c r="K292" s="261"/>
      <c r="L292" s="261"/>
      <c r="M292" s="261"/>
      <c r="N292" s="261"/>
      <c r="O292" s="261"/>
      <c r="P292" s="261"/>
      <c r="Q292" s="261"/>
      <c r="R292" s="261"/>
      <c r="S292" s="261"/>
      <c r="T292" s="261"/>
      <c r="U292" s="261"/>
      <c r="V292" s="261"/>
      <c r="W292" s="261"/>
      <c r="X292" s="5"/>
    </row>
    <row r="293" spans="1:24" ht="15.75" x14ac:dyDescent="0.25">
      <c r="A293" s="258"/>
      <c r="B293" s="388" t="s">
        <v>265</v>
      </c>
      <c r="C293" s="388"/>
      <c r="D293" s="388"/>
      <c r="E293" s="388"/>
      <c r="F293" s="411" t="s">
        <v>266</v>
      </c>
      <c r="G293" s="388"/>
      <c r="H293" s="388" t="s">
        <v>267</v>
      </c>
      <c r="I293" s="388"/>
      <c r="J293" s="388"/>
      <c r="K293" s="261"/>
      <c r="L293" s="261"/>
      <c r="M293" s="261"/>
      <c r="N293" s="261"/>
      <c r="O293" s="261"/>
      <c r="P293" s="261"/>
      <c r="Q293" s="261"/>
      <c r="R293" s="261"/>
      <c r="S293" s="261"/>
      <c r="T293" s="261"/>
      <c r="U293" s="261"/>
      <c r="V293" s="261"/>
      <c r="W293" s="261"/>
      <c r="X293" s="5"/>
    </row>
    <row r="294" spans="1:24" ht="15.75" x14ac:dyDescent="0.25">
      <c r="A294" s="258"/>
      <c r="B294" s="388" t="s">
        <v>93</v>
      </c>
      <c r="C294" s="388"/>
      <c r="D294" s="388"/>
      <c r="E294" s="388"/>
      <c r="F294" s="411" t="s">
        <v>147</v>
      </c>
      <c r="G294" s="388"/>
      <c r="H294" s="388" t="s">
        <v>153</v>
      </c>
      <c r="I294" s="388"/>
      <c r="J294" s="388"/>
      <c r="K294" s="261"/>
      <c r="L294" s="261"/>
      <c r="M294" s="261"/>
      <c r="N294" s="261"/>
      <c r="O294" s="261"/>
      <c r="P294" s="261"/>
      <c r="Q294" s="261"/>
      <c r="R294" s="261"/>
      <c r="S294" s="261"/>
      <c r="T294" s="261"/>
      <c r="U294" s="261"/>
      <c r="V294" s="261"/>
      <c r="W294" s="261"/>
      <c r="X294" s="5"/>
    </row>
    <row r="295" spans="1:24" ht="15.75" x14ac:dyDescent="0.25">
      <c r="A295" s="258"/>
      <c r="B295" s="388"/>
      <c r="C295" s="388"/>
      <c r="D295" s="388"/>
      <c r="E295" s="388"/>
      <c r="F295" s="388"/>
      <c r="G295" s="263"/>
      <c r="H295" s="261"/>
      <c r="I295" s="261"/>
      <c r="J295" s="261"/>
      <c r="K295" s="261"/>
      <c r="L295" s="261"/>
      <c r="M295" s="261"/>
      <c r="N295" s="261"/>
      <c r="O295" s="261"/>
      <c r="P295" s="261"/>
      <c r="Q295" s="261"/>
      <c r="R295" s="261"/>
      <c r="S295" s="261"/>
      <c r="T295" s="261"/>
      <c r="U295" s="261"/>
      <c r="V295" s="261"/>
      <c r="W295" s="261"/>
      <c r="X295" s="5"/>
    </row>
    <row r="296" spans="1:24" ht="15.75" x14ac:dyDescent="0.25">
      <c r="A296" s="258"/>
      <c r="B296" s="388"/>
      <c r="C296" s="388"/>
      <c r="D296" s="388"/>
      <c r="E296" s="388"/>
      <c r="F296" s="388"/>
      <c r="G296" s="263"/>
      <c r="H296" s="261"/>
      <c r="I296" s="261"/>
      <c r="J296" s="261"/>
      <c r="K296" s="261"/>
      <c r="L296" s="261"/>
      <c r="M296" s="261"/>
      <c r="N296" s="261"/>
      <c r="O296" s="261"/>
      <c r="P296" s="261"/>
      <c r="Q296" s="261"/>
      <c r="R296" s="261"/>
      <c r="S296" s="261"/>
      <c r="T296" s="261"/>
      <c r="U296" s="261"/>
      <c r="V296" s="261"/>
      <c r="W296" s="261"/>
      <c r="X296" s="5"/>
    </row>
    <row r="297" spans="1:24" ht="19.5" thickBot="1" x14ac:dyDescent="0.35">
      <c r="A297" s="258"/>
      <c r="B297" s="264" t="str">
        <f>B201</f>
        <v>PM15 INVESTOR REPORT QUARTER ENDING FEBRUARY 2013</v>
      </c>
      <c r="C297" s="388"/>
      <c r="D297" s="388"/>
      <c r="E297" s="388"/>
      <c r="F297" s="388"/>
      <c r="G297" s="263"/>
      <c r="H297" s="261"/>
      <c r="I297" s="261"/>
      <c r="J297" s="261"/>
      <c r="K297" s="261"/>
      <c r="L297" s="261"/>
      <c r="M297" s="261"/>
      <c r="N297" s="261"/>
      <c r="O297" s="261"/>
      <c r="P297" s="261"/>
      <c r="Q297" s="261"/>
      <c r="R297" s="261"/>
      <c r="S297" s="261"/>
      <c r="T297" s="261"/>
      <c r="U297" s="261"/>
      <c r="V297" s="261"/>
      <c r="W297" s="261"/>
      <c r="X297" s="5"/>
    </row>
    <row r="298" spans="1:24" x14ac:dyDescent="0.2">
      <c r="A298" s="100"/>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00"/>
    </row>
  </sheetData>
  <hyperlinks>
    <hyperlink ref="P237" r:id="rId1" xr:uid="{00000000-0004-0000-1500-000000000000}"/>
    <hyperlink ref="I9" r:id="rId2" xr:uid="{00000000-0004-0000-15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5" max="14" man="1"/>
    <brk id="201" max="14" man="1"/>
  </rowBreaks>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IV298"/>
  <sheetViews>
    <sheetView showGridLines="0" showOutlineSymbols="0" zoomScale="70" zoomScaleNormal="70" workbookViewId="0"/>
  </sheetViews>
  <sheetFormatPr defaultColWidth="9.6640625" defaultRowHeight="15" x14ac:dyDescent="0.2"/>
  <cols>
    <col min="1" max="1" width="4" style="1" customWidth="1"/>
    <col min="2" max="2" width="71.21875" style="1" customWidth="1"/>
    <col min="3" max="3" width="2.21875" style="1" customWidth="1"/>
    <col min="4" max="4" width="19.33203125" style="1" customWidth="1"/>
    <col min="5" max="5" width="2.21875" style="1" customWidth="1"/>
    <col min="6" max="6" width="25.109375" style="1" customWidth="1"/>
    <col min="7" max="7" width="2.21875" style="1" customWidth="1"/>
    <col min="8" max="8" width="16.21875" style="1" customWidth="1"/>
    <col min="9" max="9" width="2.88671875" style="1" customWidth="1"/>
    <col min="10" max="10" width="16.21875" style="1" customWidth="1"/>
    <col min="11" max="11" width="2.21875" style="1" customWidth="1"/>
    <col min="12" max="12" width="17.88671875" style="1" customWidth="1"/>
    <col min="13" max="13" width="2.33203125" style="1" customWidth="1"/>
    <col min="14" max="14" width="14.88671875" style="1" customWidth="1"/>
    <col min="15" max="15" width="2.33203125" style="1" customWidth="1"/>
    <col min="16" max="16" width="15.5546875" style="1" customWidth="1"/>
    <col min="17" max="17" width="2.21875" style="1" customWidth="1"/>
    <col min="18" max="18" width="15.5546875" style="1" customWidth="1"/>
    <col min="19" max="20" width="12.6640625" style="1" customWidth="1"/>
    <col min="21" max="21" width="7.77734375" style="1" customWidth="1"/>
    <col min="22" max="22" width="14.6640625" style="1" customWidth="1"/>
    <col min="23" max="23" width="11.77734375" style="1" customWidth="1"/>
    <col min="24" max="16384" width="9.6640625" style="1"/>
  </cols>
  <sheetData>
    <row r="1" spans="1:24" ht="20.25" x14ac:dyDescent="0.3">
      <c r="A1" s="179"/>
      <c r="B1" s="274" t="s">
        <v>237</v>
      </c>
      <c r="C1" s="180"/>
      <c r="D1" s="180"/>
      <c r="E1" s="180"/>
      <c r="F1" s="180"/>
      <c r="G1" s="180"/>
      <c r="H1" s="180"/>
      <c r="I1" s="180"/>
      <c r="J1" s="180"/>
      <c r="K1" s="180"/>
      <c r="L1" s="180"/>
      <c r="M1" s="180"/>
      <c r="N1" s="180"/>
      <c r="O1" s="180"/>
      <c r="P1" s="180"/>
      <c r="Q1" s="180"/>
      <c r="R1" s="180"/>
      <c r="S1" s="180"/>
      <c r="T1" s="180"/>
      <c r="U1" s="180"/>
      <c r="V1" s="180"/>
      <c r="W1" s="180"/>
      <c r="X1" s="5"/>
    </row>
    <row r="2" spans="1:24" ht="15.75" x14ac:dyDescent="0.25">
      <c r="A2" s="181"/>
      <c r="B2" s="182"/>
      <c r="C2" s="183"/>
      <c r="D2" s="183"/>
      <c r="E2" s="183"/>
      <c r="F2" s="183"/>
      <c r="G2" s="183"/>
      <c r="H2" s="183"/>
      <c r="I2" s="183"/>
      <c r="J2" s="183"/>
      <c r="K2" s="183"/>
      <c r="L2" s="183"/>
      <c r="M2" s="183"/>
      <c r="N2" s="183"/>
      <c r="O2" s="183"/>
      <c r="P2" s="183"/>
      <c r="Q2" s="183"/>
      <c r="R2" s="183"/>
      <c r="S2" s="183"/>
      <c r="T2" s="183"/>
      <c r="U2" s="183"/>
      <c r="V2" s="183"/>
      <c r="W2" s="183"/>
      <c r="X2" s="5"/>
    </row>
    <row r="3" spans="1:24" ht="15.75" x14ac:dyDescent="0.25">
      <c r="A3" s="184"/>
      <c r="B3" s="185" t="s">
        <v>238</v>
      </c>
      <c r="C3" s="183"/>
      <c r="D3" s="183"/>
      <c r="E3" s="183"/>
      <c r="F3" s="183"/>
      <c r="G3" s="183"/>
      <c r="H3" s="183"/>
      <c r="I3" s="183"/>
      <c r="J3" s="183"/>
      <c r="K3" s="183"/>
      <c r="L3" s="183"/>
      <c r="M3" s="183"/>
      <c r="N3" s="183"/>
      <c r="O3" s="183"/>
      <c r="P3" s="183"/>
      <c r="Q3" s="183"/>
      <c r="R3" s="183"/>
      <c r="S3" s="183"/>
      <c r="T3" s="183"/>
      <c r="U3" s="183"/>
      <c r="V3" s="183"/>
      <c r="W3" s="183"/>
      <c r="X3" s="5"/>
    </row>
    <row r="4" spans="1:24" ht="15.75" x14ac:dyDescent="0.25">
      <c r="A4" s="181"/>
      <c r="B4" s="182"/>
      <c r="C4" s="183"/>
      <c r="D4" s="183"/>
      <c r="E4" s="183"/>
      <c r="F4" s="183"/>
      <c r="G4" s="183"/>
      <c r="H4" s="183"/>
      <c r="I4" s="183"/>
      <c r="J4" s="183"/>
      <c r="K4" s="183"/>
      <c r="L4" s="183"/>
      <c r="M4" s="183"/>
      <c r="N4" s="183"/>
      <c r="O4" s="183"/>
      <c r="P4" s="183"/>
      <c r="Q4" s="183"/>
      <c r="R4" s="183"/>
      <c r="S4" s="183"/>
      <c r="T4" s="183"/>
      <c r="U4" s="183"/>
      <c r="V4" s="183"/>
      <c r="W4" s="183"/>
      <c r="X4" s="5"/>
    </row>
    <row r="5" spans="1:24" ht="15.75" x14ac:dyDescent="0.25">
      <c r="A5" s="181"/>
      <c r="B5" s="275" t="s">
        <v>137</v>
      </c>
      <c r="C5" s="183"/>
      <c r="D5" s="183"/>
      <c r="E5" s="183"/>
      <c r="F5" s="183"/>
      <c r="G5" s="183"/>
      <c r="H5" s="183"/>
      <c r="I5" s="183"/>
      <c r="J5" s="183"/>
      <c r="K5" s="183"/>
      <c r="L5" s="183"/>
      <c r="M5" s="183"/>
      <c r="N5" s="183"/>
      <c r="O5" s="183"/>
      <c r="P5" s="183"/>
      <c r="Q5" s="183"/>
      <c r="R5" s="183"/>
      <c r="S5" s="183"/>
      <c r="T5" s="183"/>
      <c r="U5" s="183"/>
      <c r="V5" s="183"/>
      <c r="W5" s="183"/>
      <c r="X5" s="5"/>
    </row>
    <row r="6" spans="1:24" ht="15.75" x14ac:dyDescent="0.25">
      <c r="A6" s="181"/>
      <c r="B6" s="275" t="s">
        <v>139</v>
      </c>
      <c r="C6" s="183"/>
      <c r="D6" s="183"/>
      <c r="E6" s="183"/>
      <c r="F6" s="183"/>
      <c r="G6" s="183"/>
      <c r="H6" s="183"/>
      <c r="I6" s="183"/>
      <c r="J6" s="183"/>
      <c r="K6" s="183"/>
      <c r="L6" s="183"/>
      <c r="M6" s="183"/>
      <c r="N6" s="183"/>
      <c r="O6" s="183"/>
      <c r="P6" s="183"/>
      <c r="Q6" s="183"/>
      <c r="R6" s="183"/>
      <c r="S6" s="183"/>
      <c r="T6" s="183"/>
      <c r="U6" s="183"/>
      <c r="V6" s="183"/>
      <c r="W6" s="183"/>
      <c r="X6" s="5"/>
    </row>
    <row r="7" spans="1:24" ht="15.75" x14ac:dyDescent="0.25">
      <c r="A7" s="181"/>
      <c r="B7" s="275" t="s">
        <v>138</v>
      </c>
      <c r="C7" s="183"/>
      <c r="D7" s="183"/>
      <c r="E7" s="183"/>
      <c r="F7" s="183"/>
      <c r="G7" s="183"/>
      <c r="H7" s="183"/>
      <c r="I7" s="183"/>
      <c r="J7" s="183"/>
      <c r="K7" s="183"/>
      <c r="L7" s="183"/>
      <c r="M7" s="183"/>
      <c r="N7" s="183"/>
      <c r="O7" s="183"/>
      <c r="P7" s="183"/>
      <c r="Q7" s="183"/>
      <c r="R7" s="183"/>
      <c r="S7" s="183"/>
      <c r="T7" s="183"/>
      <c r="U7" s="183"/>
      <c r="V7" s="183"/>
      <c r="W7" s="183"/>
      <c r="X7" s="5"/>
    </row>
    <row r="8" spans="1:24" ht="15.75" x14ac:dyDescent="0.25">
      <c r="A8" s="181"/>
      <c r="B8" s="186"/>
      <c r="C8" s="183"/>
      <c r="D8" s="183"/>
      <c r="E8" s="183"/>
      <c r="F8" s="183"/>
      <c r="G8" s="183"/>
      <c r="H8" s="183"/>
      <c r="I8" s="183"/>
      <c r="J8" s="183"/>
      <c r="K8" s="183"/>
      <c r="L8" s="183"/>
      <c r="M8" s="183"/>
      <c r="N8" s="183"/>
      <c r="O8" s="183"/>
      <c r="P8" s="183"/>
      <c r="Q8" s="183"/>
      <c r="R8" s="183"/>
      <c r="S8" s="183"/>
      <c r="T8" s="183"/>
      <c r="U8" s="183"/>
      <c r="V8" s="183"/>
      <c r="W8" s="183"/>
      <c r="X8" s="5"/>
    </row>
    <row r="9" spans="1:24" ht="18.75" x14ac:dyDescent="0.3">
      <c r="A9" s="181"/>
      <c r="B9" s="187" t="s">
        <v>166</v>
      </c>
      <c r="C9" s="183"/>
      <c r="D9" s="183"/>
      <c r="E9" s="183"/>
      <c r="F9" s="183"/>
      <c r="G9" s="183"/>
      <c r="H9" s="183"/>
      <c r="I9" s="188" t="s">
        <v>167</v>
      </c>
      <c r="J9" s="183"/>
      <c r="K9" s="183"/>
      <c r="L9" s="188"/>
      <c r="M9" s="183"/>
      <c r="N9" s="188"/>
      <c r="O9" s="183"/>
      <c r="P9" s="183"/>
      <c r="Q9" s="183"/>
      <c r="R9" s="183"/>
      <c r="S9" s="183"/>
      <c r="T9" s="183"/>
      <c r="U9" s="183"/>
      <c r="V9" s="183"/>
      <c r="W9" s="183"/>
      <c r="X9" s="5"/>
    </row>
    <row r="10" spans="1:24" ht="15.75" x14ac:dyDescent="0.25">
      <c r="A10" s="181"/>
      <c r="B10" s="186"/>
      <c r="C10" s="189"/>
      <c r="D10" s="189"/>
      <c r="E10" s="189"/>
      <c r="F10" s="183"/>
      <c r="G10" s="183"/>
      <c r="H10" s="183"/>
      <c r="I10" s="183"/>
      <c r="J10" s="183"/>
      <c r="K10" s="183"/>
      <c r="L10" s="183"/>
      <c r="M10" s="183"/>
      <c r="N10" s="183"/>
      <c r="O10" s="183"/>
      <c r="P10" s="183"/>
      <c r="Q10" s="183"/>
      <c r="R10" s="183"/>
      <c r="S10" s="183"/>
      <c r="T10" s="183"/>
      <c r="U10" s="183"/>
      <c r="V10" s="183"/>
      <c r="W10" s="183"/>
      <c r="X10" s="5"/>
    </row>
    <row r="11" spans="1:24" ht="15.75" x14ac:dyDescent="0.25">
      <c r="A11" s="181"/>
      <c r="B11" s="388" t="s">
        <v>0</v>
      </c>
      <c r="C11" s="183"/>
      <c r="D11" s="183"/>
      <c r="E11" s="183"/>
      <c r="F11" s="183"/>
      <c r="G11" s="183"/>
      <c r="H11" s="183"/>
      <c r="I11" s="183"/>
      <c r="J11" s="183"/>
      <c r="K11" s="183"/>
      <c r="L11" s="183"/>
      <c r="M11" s="183"/>
      <c r="N11" s="183"/>
      <c r="O11" s="183"/>
      <c r="P11" s="183"/>
      <c r="Q11" s="183"/>
      <c r="R11" s="183"/>
      <c r="S11" s="183"/>
      <c r="T11" s="183"/>
      <c r="U11" s="183"/>
      <c r="V11" s="183"/>
      <c r="W11" s="183"/>
      <c r="X11" s="5"/>
    </row>
    <row r="12" spans="1:24" ht="16.5" thickBot="1" x14ac:dyDescent="0.3">
      <c r="A12" s="181"/>
      <c r="B12" s="189"/>
      <c r="C12" s="183"/>
      <c r="D12" s="183"/>
      <c r="E12" s="183"/>
      <c r="F12" s="183"/>
      <c r="G12" s="183"/>
      <c r="H12" s="183"/>
      <c r="I12" s="183"/>
      <c r="J12" s="183"/>
      <c r="K12" s="183"/>
      <c r="L12" s="183"/>
      <c r="M12" s="183"/>
      <c r="N12" s="183"/>
      <c r="O12" s="183"/>
      <c r="P12" s="183"/>
      <c r="Q12" s="183"/>
      <c r="R12" s="183"/>
      <c r="S12" s="183"/>
      <c r="T12" s="183"/>
      <c r="U12" s="183"/>
      <c r="V12" s="183"/>
      <c r="W12" s="183"/>
      <c r="X12" s="5"/>
    </row>
    <row r="13" spans="1:24" ht="15.75" x14ac:dyDescent="0.25">
      <c r="A13" s="179"/>
      <c r="B13" s="180"/>
      <c r="C13" s="180"/>
      <c r="D13" s="180"/>
      <c r="E13" s="180"/>
      <c r="F13" s="180"/>
      <c r="G13" s="180"/>
      <c r="H13" s="180"/>
      <c r="I13" s="180"/>
      <c r="J13" s="180"/>
      <c r="K13" s="180"/>
      <c r="L13" s="180"/>
      <c r="M13" s="180"/>
      <c r="N13" s="180"/>
      <c r="O13" s="180"/>
      <c r="P13" s="180"/>
      <c r="Q13" s="180"/>
      <c r="R13" s="180"/>
      <c r="S13" s="180"/>
      <c r="T13" s="180"/>
      <c r="U13" s="180"/>
      <c r="V13" s="180"/>
      <c r="W13" s="180"/>
      <c r="X13" s="5"/>
    </row>
    <row r="14" spans="1:24" ht="15.75" x14ac:dyDescent="0.25">
      <c r="A14" s="181"/>
      <c r="B14" s="388" t="s">
        <v>1</v>
      </c>
      <c r="C14" s="255"/>
      <c r="D14" s="255"/>
      <c r="E14" s="255"/>
      <c r="F14" s="255"/>
      <c r="G14" s="255"/>
      <c r="H14" s="255"/>
      <c r="I14" s="255"/>
      <c r="J14" s="255"/>
      <c r="K14" s="255"/>
      <c r="L14" s="255"/>
      <c r="M14" s="255"/>
      <c r="N14" s="255"/>
      <c r="O14" s="255"/>
      <c r="P14" s="255"/>
      <c r="Q14" s="255"/>
      <c r="R14" s="255"/>
      <c r="S14" s="255"/>
      <c r="T14" s="255"/>
      <c r="U14" s="255"/>
      <c r="V14" s="276" t="s">
        <v>239</v>
      </c>
      <c r="W14" s="255"/>
      <c r="X14" s="5"/>
    </row>
    <row r="15" spans="1:24" ht="15.75" x14ac:dyDescent="0.25">
      <c r="A15" s="181"/>
      <c r="B15" s="388" t="s">
        <v>2</v>
      </c>
      <c r="C15" s="255"/>
      <c r="D15" s="255"/>
      <c r="E15" s="255"/>
      <c r="F15" s="255"/>
      <c r="G15" s="255"/>
      <c r="H15" s="389"/>
      <c r="I15" s="389"/>
      <c r="J15" s="389"/>
      <c r="K15" s="389"/>
      <c r="L15" s="389"/>
      <c r="M15" s="389"/>
      <c r="N15" s="389"/>
      <c r="O15" s="389"/>
      <c r="P15" s="389"/>
      <c r="Q15" s="389"/>
      <c r="R15" s="389" t="s">
        <v>104</v>
      </c>
      <c r="S15" s="390">
        <v>0.47189999999999999</v>
      </c>
      <c r="T15" s="391" t="s">
        <v>140</v>
      </c>
      <c r="U15" s="390">
        <v>0.52810000000000001</v>
      </c>
      <c r="V15" s="276"/>
      <c r="W15" s="255"/>
      <c r="X15" s="5"/>
    </row>
    <row r="16" spans="1:24" ht="15.75" x14ac:dyDescent="0.25">
      <c r="A16" s="181"/>
      <c r="B16" s="388" t="s">
        <v>3</v>
      </c>
      <c r="C16" s="255"/>
      <c r="D16" s="255"/>
      <c r="E16" s="255"/>
      <c r="F16" s="255"/>
      <c r="G16" s="255"/>
      <c r="H16" s="389"/>
      <c r="I16" s="389"/>
      <c r="J16" s="389"/>
      <c r="K16" s="389"/>
      <c r="L16" s="389"/>
      <c r="M16" s="389"/>
      <c r="N16" s="389"/>
      <c r="O16" s="389"/>
      <c r="P16" s="389"/>
      <c r="Q16" s="389"/>
      <c r="R16" s="389" t="s">
        <v>104</v>
      </c>
      <c r="S16" s="390">
        <v>0.54330000000000001</v>
      </c>
      <c r="T16" s="391" t="s">
        <v>140</v>
      </c>
      <c r="U16" s="390">
        <v>0.45669999999999999</v>
      </c>
      <c r="V16" s="276"/>
      <c r="W16" s="255"/>
      <c r="X16" s="5"/>
    </row>
    <row r="17" spans="1:24" ht="15.75" x14ac:dyDescent="0.25">
      <c r="A17" s="181"/>
      <c r="B17" s="388" t="s">
        <v>4</v>
      </c>
      <c r="C17" s="255"/>
      <c r="D17" s="255"/>
      <c r="E17" s="255"/>
      <c r="F17" s="255"/>
      <c r="G17" s="255"/>
      <c r="H17" s="255"/>
      <c r="I17" s="255"/>
      <c r="J17" s="255"/>
      <c r="K17" s="255"/>
      <c r="L17" s="255"/>
      <c r="M17" s="255"/>
      <c r="N17" s="255"/>
      <c r="O17" s="255"/>
      <c r="P17" s="255"/>
      <c r="Q17" s="255"/>
      <c r="R17" s="255"/>
      <c r="S17" s="255"/>
      <c r="T17" s="255"/>
      <c r="U17" s="255"/>
      <c r="V17" s="392">
        <v>39282</v>
      </c>
      <c r="W17" s="255"/>
      <c r="X17" s="5"/>
    </row>
    <row r="18" spans="1:24" ht="15.75" x14ac:dyDescent="0.25">
      <c r="A18" s="181"/>
      <c r="B18" s="388" t="s">
        <v>5</v>
      </c>
      <c r="C18" s="255"/>
      <c r="D18" s="255"/>
      <c r="E18" s="255"/>
      <c r="F18" s="255"/>
      <c r="G18" s="255"/>
      <c r="H18" s="255"/>
      <c r="I18" s="255"/>
      <c r="J18" s="255"/>
      <c r="K18" s="255"/>
      <c r="L18" s="255"/>
      <c r="M18" s="255"/>
      <c r="N18" s="255"/>
      <c r="O18" s="255"/>
      <c r="P18" s="255"/>
      <c r="Q18" s="255"/>
      <c r="R18" s="255"/>
      <c r="S18" s="255"/>
      <c r="T18" s="255"/>
      <c r="U18" s="255"/>
      <c r="V18" s="392">
        <v>41449</v>
      </c>
      <c r="W18" s="255"/>
      <c r="X18" s="5"/>
    </row>
    <row r="19" spans="1:24" ht="15.75" x14ac:dyDescent="0.25">
      <c r="A19" s="181"/>
      <c r="B19" s="183"/>
      <c r="C19" s="183"/>
      <c r="D19" s="183"/>
      <c r="E19" s="183"/>
      <c r="F19" s="183"/>
      <c r="G19" s="183"/>
      <c r="H19" s="183"/>
      <c r="I19" s="183"/>
      <c r="J19" s="183"/>
      <c r="K19" s="183"/>
      <c r="L19" s="183"/>
      <c r="M19" s="183"/>
      <c r="N19" s="183"/>
      <c r="O19" s="183"/>
      <c r="P19" s="183"/>
      <c r="Q19" s="183"/>
      <c r="R19" s="183"/>
      <c r="S19" s="183"/>
      <c r="T19" s="183"/>
      <c r="U19" s="183"/>
      <c r="V19" s="190"/>
      <c r="W19" s="183"/>
      <c r="X19" s="5"/>
    </row>
    <row r="20" spans="1:24" ht="15.75" x14ac:dyDescent="0.25">
      <c r="A20" s="181"/>
      <c r="B20" s="280" t="s">
        <v>6</v>
      </c>
      <c r="C20" s="255"/>
      <c r="D20" s="255"/>
      <c r="E20" s="255"/>
      <c r="F20" s="255"/>
      <c r="G20" s="255"/>
      <c r="H20" s="255"/>
      <c r="I20" s="255"/>
      <c r="J20" s="255"/>
      <c r="K20" s="255"/>
      <c r="L20" s="255"/>
      <c r="M20" s="255"/>
      <c r="N20" s="255"/>
      <c r="O20" s="255"/>
      <c r="P20" s="255"/>
      <c r="Q20" s="255"/>
      <c r="R20" s="255"/>
      <c r="S20" s="255"/>
      <c r="T20" s="281" t="s">
        <v>105</v>
      </c>
      <c r="U20" s="255"/>
      <c r="V20" s="261"/>
      <c r="W20" s="183"/>
      <c r="X20" s="5"/>
    </row>
    <row r="21" spans="1:24" ht="15.75" x14ac:dyDescent="0.25">
      <c r="A21" s="181"/>
      <c r="B21" s="183"/>
      <c r="C21" s="183"/>
      <c r="D21" s="183"/>
      <c r="E21" s="183"/>
      <c r="F21" s="183"/>
      <c r="G21" s="183"/>
      <c r="H21" s="183"/>
      <c r="I21" s="183"/>
      <c r="J21" s="183"/>
      <c r="K21" s="183"/>
      <c r="L21" s="183"/>
      <c r="M21" s="183"/>
      <c r="N21" s="183"/>
      <c r="O21" s="183"/>
      <c r="P21" s="183"/>
      <c r="Q21" s="183"/>
      <c r="R21" s="183"/>
      <c r="S21" s="183"/>
      <c r="T21" s="183"/>
      <c r="U21" s="183"/>
      <c r="V21" s="192"/>
      <c r="W21" s="183"/>
      <c r="X21" s="5"/>
    </row>
    <row r="22" spans="1:24" ht="15.75" x14ac:dyDescent="0.25">
      <c r="A22" s="224"/>
      <c r="B22" s="225"/>
      <c r="C22" s="226"/>
      <c r="D22" s="226" t="s">
        <v>177</v>
      </c>
      <c r="E22" s="226"/>
      <c r="F22" s="226" t="s">
        <v>178</v>
      </c>
      <c r="G22" s="226"/>
      <c r="H22" s="226" t="s">
        <v>179</v>
      </c>
      <c r="I22" s="226"/>
      <c r="J22" s="226" t="s">
        <v>219</v>
      </c>
      <c r="K22" s="226"/>
      <c r="L22" s="226" t="s">
        <v>180</v>
      </c>
      <c r="M22" s="226"/>
      <c r="N22" s="226" t="s">
        <v>181</v>
      </c>
      <c r="O22" s="226"/>
      <c r="P22" s="226" t="s">
        <v>182</v>
      </c>
      <c r="Q22" s="226"/>
      <c r="R22" s="226"/>
      <c r="S22" s="228"/>
      <c r="T22" s="228"/>
      <c r="U22" s="229"/>
      <c r="V22" s="229"/>
      <c r="W22" s="225"/>
      <c r="X22" s="5"/>
    </row>
    <row r="23" spans="1:24" ht="15.75" x14ac:dyDescent="0.25">
      <c r="A23" s="193"/>
      <c r="B23" s="250" t="s">
        <v>7</v>
      </c>
      <c r="C23" s="282"/>
      <c r="D23" s="282" t="s">
        <v>212</v>
      </c>
      <c r="E23" s="282"/>
      <c r="F23" s="282" t="s">
        <v>141</v>
      </c>
      <c r="G23" s="282"/>
      <c r="H23" s="282" t="s">
        <v>141</v>
      </c>
      <c r="I23" s="282"/>
      <c r="J23" s="282" t="s">
        <v>141</v>
      </c>
      <c r="K23" s="282"/>
      <c r="L23" s="282" t="s">
        <v>183</v>
      </c>
      <c r="M23" s="282"/>
      <c r="N23" s="282" t="s">
        <v>183</v>
      </c>
      <c r="O23" s="282"/>
      <c r="P23" s="282" t="s">
        <v>142</v>
      </c>
      <c r="Q23" s="282"/>
      <c r="R23" s="282"/>
      <c r="S23" s="282"/>
      <c r="T23" s="282"/>
      <c r="U23" s="273"/>
      <c r="V23" s="273"/>
      <c r="W23" s="250"/>
      <c r="X23" s="5"/>
    </row>
    <row r="24" spans="1:24" ht="15.75" x14ac:dyDescent="0.25">
      <c r="A24" s="285"/>
      <c r="B24" s="286" t="s">
        <v>8</v>
      </c>
      <c r="C24" s="287"/>
      <c r="D24" s="287" t="s">
        <v>213</v>
      </c>
      <c r="E24" s="287"/>
      <c r="F24" s="287" t="s">
        <v>143</v>
      </c>
      <c r="G24" s="287"/>
      <c r="H24" s="287" t="s">
        <v>143</v>
      </c>
      <c r="I24" s="287"/>
      <c r="J24" s="287" t="s">
        <v>143</v>
      </c>
      <c r="K24" s="287"/>
      <c r="L24" s="287" t="s">
        <v>165</v>
      </c>
      <c r="M24" s="287"/>
      <c r="N24" s="287" t="s">
        <v>165</v>
      </c>
      <c r="O24" s="287"/>
      <c r="P24" s="287" t="s">
        <v>144</v>
      </c>
      <c r="Q24" s="287"/>
      <c r="R24" s="287"/>
      <c r="S24" s="287"/>
      <c r="T24" s="287"/>
      <c r="U24" s="288"/>
      <c r="V24" s="288"/>
      <c r="W24" s="289"/>
      <c r="X24" s="5"/>
    </row>
    <row r="25" spans="1:24" ht="15.75" x14ac:dyDescent="0.25">
      <c r="A25" s="290"/>
      <c r="B25" s="286" t="s">
        <v>190</v>
      </c>
      <c r="C25" s="292"/>
      <c r="D25" s="287" t="s">
        <v>214</v>
      </c>
      <c r="E25" s="287"/>
      <c r="F25" s="287" t="s">
        <v>143</v>
      </c>
      <c r="G25" s="287"/>
      <c r="H25" s="287" t="s">
        <v>143</v>
      </c>
      <c r="I25" s="287"/>
      <c r="J25" s="287" t="s">
        <v>143</v>
      </c>
      <c r="K25" s="287"/>
      <c r="L25" s="287" t="s">
        <v>165</v>
      </c>
      <c r="M25" s="287"/>
      <c r="N25" s="287" t="s">
        <v>165</v>
      </c>
      <c r="O25" s="287"/>
      <c r="P25" s="287" t="s">
        <v>144</v>
      </c>
      <c r="Q25" s="287"/>
      <c r="R25" s="287"/>
      <c r="S25" s="292"/>
      <c r="T25" s="287"/>
      <c r="U25" s="288"/>
      <c r="V25" s="288"/>
      <c r="W25" s="289"/>
      <c r="X25" s="5"/>
    </row>
    <row r="26" spans="1:24" ht="15.75" x14ac:dyDescent="0.25">
      <c r="A26" s="393"/>
      <c r="B26" s="297" t="s">
        <v>9</v>
      </c>
      <c r="C26" s="292"/>
      <c r="D26" s="292" t="s">
        <v>141</v>
      </c>
      <c r="E26" s="292"/>
      <c r="F26" s="292" t="s">
        <v>141</v>
      </c>
      <c r="G26" s="292"/>
      <c r="H26" s="292" t="s">
        <v>141</v>
      </c>
      <c r="I26" s="292"/>
      <c r="J26" s="292" t="s">
        <v>141</v>
      </c>
      <c r="K26" s="292"/>
      <c r="L26" s="292" t="s">
        <v>183</v>
      </c>
      <c r="M26" s="292"/>
      <c r="N26" s="292" t="s">
        <v>183</v>
      </c>
      <c r="O26" s="292"/>
      <c r="P26" s="292" t="s">
        <v>142</v>
      </c>
      <c r="Q26" s="292"/>
      <c r="R26" s="292"/>
      <c r="S26" s="292"/>
      <c r="T26" s="287"/>
      <c r="U26" s="288"/>
      <c r="V26" s="288"/>
      <c r="W26" s="289"/>
      <c r="X26" s="5"/>
    </row>
    <row r="27" spans="1:24" ht="15.75" x14ac:dyDescent="0.25">
      <c r="A27" s="295"/>
      <c r="B27" s="297" t="s">
        <v>191</v>
      </c>
      <c r="C27" s="287"/>
      <c r="D27" s="292" t="s">
        <v>143</v>
      </c>
      <c r="E27" s="292"/>
      <c r="F27" s="292" t="s">
        <v>143</v>
      </c>
      <c r="G27" s="292"/>
      <c r="H27" s="292" t="s">
        <v>143</v>
      </c>
      <c r="I27" s="292"/>
      <c r="J27" s="292" t="s">
        <v>143</v>
      </c>
      <c r="K27" s="292"/>
      <c r="L27" s="292" t="s">
        <v>307</v>
      </c>
      <c r="M27" s="292"/>
      <c r="N27" s="292" t="s">
        <v>307</v>
      </c>
      <c r="O27" s="292"/>
      <c r="P27" s="292" t="s">
        <v>308</v>
      </c>
      <c r="Q27" s="292"/>
      <c r="R27" s="292"/>
      <c r="S27" s="287"/>
      <c r="T27" s="296"/>
      <c r="U27" s="288"/>
      <c r="V27" s="288"/>
      <c r="W27" s="289"/>
      <c r="X27" s="5"/>
    </row>
    <row r="28" spans="1:24" ht="15.75" x14ac:dyDescent="0.25">
      <c r="A28" s="295"/>
      <c r="B28" s="297" t="s">
        <v>192</v>
      </c>
      <c r="C28" s="287"/>
      <c r="D28" s="292" t="s">
        <v>143</v>
      </c>
      <c r="E28" s="292"/>
      <c r="F28" s="292" t="s">
        <v>143</v>
      </c>
      <c r="G28" s="292"/>
      <c r="H28" s="292" t="s">
        <v>143</v>
      </c>
      <c r="I28" s="292"/>
      <c r="J28" s="292" t="s">
        <v>143</v>
      </c>
      <c r="K28" s="292"/>
      <c r="L28" s="292" t="s">
        <v>165</v>
      </c>
      <c r="M28" s="292"/>
      <c r="N28" s="292" t="s">
        <v>165</v>
      </c>
      <c r="O28" s="292"/>
      <c r="P28" s="292" t="s">
        <v>309</v>
      </c>
      <c r="Q28" s="292"/>
      <c r="R28" s="292"/>
      <c r="S28" s="287"/>
      <c r="T28" s="296"/>
      <c r="U28" s="288"/>
      <c r="V28" s="288"/>
      <c r="W28" s="289"/>
      <c r="X28" s="5"/>
    </row>
    <row r="29" spans="1:24" ht="15.75" x14ac:dyDescent="0.25">
      <c r="A29" s="295"/>
      <c r="B29" s="286" t="s">
        <v>10</v>
      </c>
      <c r="C29" s="298"/>
      <c r="D29" s="287" t="s">
        <v>242</v>
      </c>
      <c r="E29" s="287"/>
      <c r="F29" s="296" t="s">
        <v>244</v>
      </c>
      <c r="G29" s="287"/>
      <c r="H29" s="287" t="s">
        <v>245</v>
      </c>
      <c r="I29" s="287"/>
      <c r="J29" s="287" t="s">
        <v>247</v>
      </c>
      <c r="K29" s="287"/>
      <c r="L29" s="287" t="s">
        <v>248</v>
      </c>
      <c r="M29" s="287"/>
      <c r="N29" s="287" t="s">
        <v>249</v>
      </c>
      <c r="O29" s="287"/>
      <c r="P29" s="287" t="s">
        <v>250</v>
      </c>
      <c r="Q29" s="287"/>
      <c r="R29" s="287"/>
      <c r="S29" s="299"/>
      <c r="T29" s="299"/>
      <c r="U29" s="300"/>
      <c r="V29" s="299"/>
      <c r="W29" s="301"/>
      <c r="X29" s="5"/>
    </row>
    <row r="30" spans="1:24" ht="15.75" x14ac:dyDescent="0.25">
      <c r="A30" s="295"/>
      <c r="B30" s="286" t="s">
        <v>10</v>
      </c>
      <c r="C30" s="298"/>
      <c r="D30" s="287" t="s">
        <v>243</v>
      </c>
      <c r="E30" s="287"/>
      <c r="F30" s="296" t="s">
        <v>118</v>
      </c>
      <c r="G30" s="287"/>
      <c r="H30" s="287" t="s">
        <v>118</v>
      </c>
      <c r="I30" s="287"/>
      <c r="J30" s="287" t="s">
        <v>246</v>
      </c>
      <c r="K30" s="287"/>
      <c r="L30" s="287" t="s">
        <v>118</v>
      </c>
      <c r="M30" s="287"/>
      <c r="N30" s="287" t="s">
        <v>118</v>
      </c>
      <c r="O30" s="287"/>
      <c r="P30" s="287" t="s">
        <v>118</v>
      </c>
      <c r="Q30" s="287"/>
      <c r="R30" s="287"/>
      <c r="S30" s="299"/>
      <c r="T30" s="299"/>
      <c r="U30" s="300"/>
      <c r="V30" s="299"/>
      <c r="W30" s="301"/>
      <c r="X30" s="5"/>
    </row>
    <row r="31" spans="1:24" ht="15.75" x14ac:dyDescent="0.25">
      <c r="A31" s="393"/>
      <c r="B31" s="286" t="s">
        <v>133</v>
      </c>
      <c r="C31" s="310"/>
      <c r="D31" s="303">
        <v>1000000</v>
      </c>
      <c r="E31" s="298"/>
      <c r="F31" s="299">
        <v>209500</v>
      </c>
      <c r="G31" s="299"/>
      <c r="H31" s="304">
        <v>110000</v>
      </c>
      <c r="I31" s="304"/>
      <c r="J31" s="303">
        <v>150000</v>
      </c>
      <c r="K31" s="299"/>
      <c r="L31" s="299">
        <v>17000</v>
      </c>
      <c r="M31" s="299"/>
      <c r="N31" s="304">
        <v>85500</v>
      </c>
      <c r="O31" s="299"/>
      <c r="P31" s="304">
        <v>110500</v>
      </c>
      <c r="Q31" s="299"/>
      <c r="R31" s="304"/>
      <c r="S31" s="312"/>
      <c r="T31" s="312"/>
      <c r="U31" s="306"/>
      <c r="V31" s="312"/>
      <c r="W31" s="301"/>
      <c r="X31" s="5"/>
    </row>
    <row r="32" spans="1:24" ht="15.75" x14ac:dyDescent="0.25">
      <c r="A32" s="295"/>
      <c r="B32" s="286" t="s">
        <v>132</v>
      </c>
      <c r="C32" s="298"/>
      <c r="D32" s="303">
        <f>D31*D38</f>
        <v>775602.4</v>
      </c>
      <c r="E32" s="298"/>
      <c r="F32" s="299">
        <f>F31*F38</f>
        <v>162488.95419999998</v>
      </c>
      <c r="G32" s="299"/>
      <c r="H32" s="304">
        <f>H31*H38</f>
        <v>85316.87999999999</v>
      </c>
      <c r="I32" s="304"/>
      <c r="J32" s="303">
        <f>J31*J38</f>
        <v>116340.36</v>
      </c>
      <c r="K32" s="299"/>
      <c r="L32" s="299">
        <f>L31*L38</f>
        <v>17000</v>
      </c>
      <c r="M32" s="299"/>
      <c r="N32" s="304">
        <f>N31*N38</f>
        <v>85500</v>
      </c>
      <c r="O32" s="299"/>
      <c r="P32" s="304">
        <f>P31*P38</f>
        <v>110500</v>
      </c>
      <c r="Q32" s="299"/>
      <c r="R32" s="304"/>
      <c r="S32" s="299"/>
      <c r="T32" s="299"/>
      <c r="U32" s="300"/>
      <c r="V32" s="299"/>
      <c r="W32" s="301"/>
      <c r="X32" s="5"/>
    </row>
    <row r="33" spans="1:27" ht="15.75" x14ac:dyDescent="0.25">
      <c r="A33" s="295"/>
      <c r="B33" s="297" t="s">
        <v>134</v>
      </c>
      <c r="C33" s="298"/>
      <c r="D33" s="394">
        <f>D37*D31</f>
        <v>769541.7</v>
      </c>
      <c r="E33" s="310"/>
      <c r="F33" s="312">
        <f>F37*F31</f>
        <v>161219.2585</v>
      </c>
      <c r="G33" s="312"/>
      <c r="H33" s="395">
        <f>H31*H37</f>
        <v>84650.213999999993</v>
      </c>
      <c r="I33" s="395"/>
      <c r="J33" s="394">
        <f>J37*J31</f>
        <v>115431.255</v>
      </c>
      <c r="K33" s="312"/>
      <c r="L33" s="312">
        <f>L31*L37</f>
        <v>17000</v>
      </c>
      <c r="M33" s="312"/>
      <c r="N33" s="395">
        <f>N31*N37</f>
        <v>85500</v>
      </c>
      <c r="O33" s="312"/>
      <c r="P33" s="395">
        <f>P31*P37</f>
        <v>110500</v>
      </c>
      <c r="Q33" s="312"/>
      <c r="R33" s="395"/>
      <c r="S33" s="299"/>
      <c r="T33" s="299"/>
      <c r="U33" s="300"/>
      <c r="V33" s="299"/>
      <c r="W33" s="301"/>
      <c r="X33" s="5"/>
    </row>
    <row r="34" spans="1:27" ht="15.75" x14ac:dyDescent="0.25">
      <c r="A34" s="393"/>
      <c r="B34" s="286" t="s">
        <v>286</v>
      </c>
      <c r="C34" s="310"/>
      <c r="D34" s="299">
        <v>492951</v>
      </c>
      <c r="E34" s="298"/>
      <c r="F34" s="299">
        <v>209500</v>
      </c>
      <c r="G34" s="299"/>
      <c r="H34" s="299">
        <v>74677</v>
      </c>
      <c r="I34" s="299"/>
      <c r="J34" s="299">
        <v>73943</v>
      </c>
      <c r="K34" s="299"/>
      <c r="L34" s="299">
        <v>17000</v>
      </c>
      <c r="M34" s="299"/>
      <c r="N34" s="299">
        <v>58045</v>
      </c>
      <c r="O34" s="299"/>
      <c r="P34" s="299">
        <v>75017</v>
      </c>
      <c r="Q34" s="299"/>
      <c r="R34" s="299"/>
      <c r="S34" s="312"/>
      <c r="T34" s="312"/>
      <c r="U34" s="306"/>
      <c r="V34" s="299">
        <f>SUM(C34:R34)</f>
        <v>1001133</v>
      </c>
      <c r="W34" s="301"/>
      <c r="X34" s="5"/>
    </row>
    <row r="35" spans="1:27" ht="15.75" x14ac:dyDescent="0.25">
      <c r="A35" s="393"/>
      <c r="B35" s="286" t="s">
        <v>287</v>
      </c>
      <c r="C35" s="310"/>
      <c r="D35" s="299">
        <f>D34*D38</f>
        <v>382333.97868240002</v>
      </c>
      <c r="E35" s="298"/>
      <c r="F35" s="299">
        <f>F34*F38</f>
        <v>162488.95419999998</v>
      </c>
      <c r="G35" s="299"/>
      <c r="H35" s="299">
        <f>H34*H38</f>
        <v>57920.078615999999</v>
      </c>
      <c r="I35" s="299"/>
      <c r="J35" s="299">
        <f>J34*J38</f>
        <v>57350.368263200005</v>
      </c>
      <c r="K35" s="299"/>
      <c r="L35" s="299">
        <f>L34*L38</f>
        <v>17000</v>
      </c>
      <c r="M35" s="299"/>
      <c r="N35" s="299">
        <f>N34*N38</f>
        <v>58045</v>
      </c>
      <c r="O35" s="299"/>
      <c r="P35" s="299">
        <f>P34*P38</f>
        <v>75017</v>
      </c>
      <c r="Q35" s="299"/>
      <c r="R35" s="299"/>
      <c r="S35" s="299"/>
      <c r="T35" s="299"/>
      <c r="U35" s="300"/>
      <c r="V35" s="299">
        <f>SUM(C35:R35)</f>
        <v>810155.37976160005</v>
      </c>
      <c r="W35" s="301"/>
      <c r="X35" s="5"/>
    </row>
    <row r="36" spans="1:27" ht="15.75" x14ac:dyDescent="0.25">
      <c r="A36" s="393"/>
      <c r="B36" s="297" t="s">
        <v>288</v>
      </c>
      <c r="C36" s="310"/>
      <c r="D36" s="312">
        <f>D34*D37</f>
        <v>379346.35055670002</v>
      </c>
      <c r="E36" s="310"/>
      <c r="F36" s="312">
        <f>F34*F37</f>
        <v>161219.2585</v>
      </c>
      <c r="G36" s="312"/>
      <c r="H36" s="312">
        <f>H34*H37</f>
        <v>57467.491189799999</v>
      </c>
      <c r="I36" s="312"/>
      <c r="J36" s="312">
        <f>J34*J37</f>
        <v>56902.221923099998</v>
      </c>
      <c r="K36" s="312"/>
      <c r="L36" s="312">
        <f>L34*L37</f>
        <v>17000</v>
      </c>
      <c r="M36" s="312"/>
      <c r="N36" s="312">
        <f>N34*N37</f>
        <v>58045</v>
      </c>
      <c r="O36" s="312"/>
      <c r="P36" s="312">
        <f>P34*P37</f>
        <v>75017</v>
      </c>
      <c r="Q36" s="312"/>
      <c r="R36" s="312"/>
      <c r="S36" s="311"/>
      <c r="T36" s="311"/>
      <c r="U36" s="300"/>
      <c r="V36" s="312">
        <f>SUM(C36:R36)</f>
        <v>804997.32216959994</v>
      </c>
      <c r="W36" s="301"/>
      <c r="X36" s="5"/>
    </row>
    <row r="37" spans="1:27" ht="15.75" x14ac:dyDescent="0.25">
      <c r="A37" s="285"/>
      <c r="B37" s="313" t="s">
        <v>130</v>
      </c>
      <c r="C37" s="314"/>
      <c r="D37" s="315">
        <v>0.7695417</v>
      </c>
      <c r="E37" s="315"/>
      <c r="F37" s="315">
        <v>0.76954299999999998</v>
      </c>
      <c r="G37" s="315"/>
      <c r="H37" s="315">
        <v>0.76954739999999999</v>
      </c>
      <c r="I37" s="315"/>
      <c r="J37" s="315">
        <v>0.7695417</v>
      </c>
      <c r="K37" s="315"/>
      <c r="L37" s="315">
        <v>1</v>
      </c>
      <c r="M37" s="315"/>
      <c r="N37" s="315">
        <v>1</v>
      </c>
      <c r="O37" s="315"/>
      <c r="P37" s="315">
        <v>1</v>
      </c>
      <c r="Q37" s="315"/>
      <c r="R37" s="315"/>
      <c r="S37" s="316"/>
      <c r="T37" s="316"/>
      <c r="U37" s="317"/>
      <c r="V37" s="317"/>
      <c r="W37" s="318"/>
      <c r="X37" s="5"/>
    </row>
    <row r="38" spans="1:27" ht="15.75" x14ac:dyDescent="0.25">
      <c r="A38" s="285"/>
      <c r="B38" s="313" t="s">
        <v>131</v>
      </c>
      <c r="C38" s="314"/>
      <c r="D38" s="315">
        <v>0.77560240000000003</v>
      </c>
      <c r="E38" s="315"/>
      <c r="F38" s="315">
        <v>0.77560359999999995</v>
      </c>
      <c r="G38" s="315"/>
      <c r="H38" s="315">
        <v>0.77560799999999996</v>
      </c>
      <c r="I38" s="315"/>
      <c r="J38" s="315">
        <v>0.77560240000000003</v>
      </c>
      <c r="K38" s="315"/>
      <c r="L38" s="315">
        <v>1</v>
      </c>
      <c r="M38" s="315"/>
      <c r="N38" s="315">
        <v>1</v>
      </c>
      <c r="O38" s="315"/>
      <c r="P38" s="315">
        <v>1</v>
      </c>
      <c r="Q38" s="315"/>
      <c r="R38" s="315"/>
      <c r="S38" s="319"/>
      <c r="T38" s="320"/>
      <c r="U38" s="317"/>
      <c r="V38" s="319"/>
      <c r="W38" s="318"/>
      <c r="X38" s="5"/>
    </row>
    <row r="39" spans="1:27" ht="15.75" x14ac:dyDescent="0.25">
      <c r="A39" s="285"/>
      <c r="B39" s="286" t="s">
        <v>11</v>
      </c>
      <c r="C39" s="286"/>
      <c r="D39" s="296" t="s">
        <v>304</v>
      </c>
      <c r="E39" s="286"/>
      <c r="F39" s="296" t="s">
        <v>256</v>
      </c>
      <c r="G39" s="296"/>
      <c r="H39" s="296" t="s">
        <v>257</v>
      </c>
      <c r="I39" s="296"/>
      <c r="J39" s="296" t="s">
        <v>258</v>
      </c>
      <c r="K39" s="296"/>
      <c r="L39" s="296" t="s">
        <v>259</v>
      </c>
      <c r="M39" s="296"/>
      <c r="N39" s="296" t="s">
        <v>259</v>
      </c>
      <c r="O39" s="296"/>
      <c r="P39" s="296" t="s">
        <v>260</v>
      </c>
      <c r="Q39" s="296"/>
      <c r="R39" s="296"/>
      <c r="S39" s="321"/>
      <c r="T39" s="322"/>
      <c r="U39" s="288"/>
      <c r="V39" s="288"/>
      <c r="W39" s="289"/>
      <c r="X39" s="5"/>
    </row>
    <row r="40" spans="1:27" ht="15.75" x14ac:dyDescent="0.25">
      <c r="A40" s="285"/>
      <c r="B40" s="286" t="s">
        <v>12</v>
      </c>
      <c r="C40" s="286"/>
      <c r="D40" s="322">
        <v>3.7919999999999998E-3</v>
      </c>
      <c r="E40" s="286"/>
      <c r="F40" s="322">
        <v>7.6687999999999999E-3</v>
      </c>
      <c r="G40" s="321"/>
      <c r="H40" s="322">
        <v>4.4299999999999999E-3</v>
      </c>
      <c r="I40" s="322"/>
      <c r="J40" s="322">
        <v>5.0010000000000002E-3</v>
      </c>
      <c r="K40" s="321"/>
      <c r="L40" s="322">
        <v>1.04688E-2</v>
      </c>
      <c r="M40" s="321"/>
      <c r="N40" s="322">
        <v>7.43E-3</v>
      </c>
      <c r="O40" s="321"/>
      <c r="P40" s="322">
        <v>1.303E-2</v>
      </c>
      <c r="Q40" s="321"/>
      <c r="R40" s="322"/>
      <c r="S40" s="321"/>
      <c r="T40" s="322"/>
      <c r="U40" s="288"/>
      <c r="V40" s="296"/>
      <c r="W40" s="289"/>
      <c r="X40" s="5"/>
      <c r="AA40" s="1" t="s">
        <v>193</v>
      </c>
    </row>
    <row r="41" spans="1:27" ht="15.75" x14ac:dyDescent="0.25">
      <c r="A41" s="285"/>
      <c r="B41" s="286" t="s">
        <v>13</v>
      </c>
      <c r="C41" s="286"/>
      <c r="D41" s="322">
        <v>3.8119999999999999E-3</v>
      </c>
      <c r="E41" s="286"/>
      <c r="F41" s="322">
        <v>7.7875000000000002E-3</v>
      </c>
      <c r="G41" s="321"/>
      <c r="H41" s="322">
        <v>4.2300000000000003E-3</v>
      </c>
      <c r="I41" s="322"/>
      <c r="J41" s="322">
        <v>5.28E-3</v>
      </c>
      <c r="K41" s="321"/>
      <c r="L41" s="322">
        <v>1.05875E-2</v>
      </c>
      <c r="M41" s="321"/>
      <c r="N41" s="322">
        <v>7.2300000000000003E-3</v>
      </c>
      <c r="O41" s="321"/>
      <c r="P41" s="322">
        <v>1.2829999999999999E-2</v>
      </c>
      <c r="Q41" s="321"/>
      <c r="R41" s="322"/>
      <c r="S41" s="321"/>
      <c r="T41" s="322"/>
      <c r="U41" s="288"/>
      <c r="V41" s="321" t="s">
        <v>193</v>
      </c>
      <c r="W41" s="289"/>
      <c r="X41" s="5"/>
    </row>
    <row r="42" spans="1:27" ht="15.75" x14ac:dyDescent="0.25">
      <c r="A42" s="285"/>
      <c r="B42" s="286" t="s">
        <v>289</v>
      </c>
      <c r="C42" s="286"/>
      <c r="D42" s="296" t="s">
        <v>311</v>
      </c>
      <c r="E42" s="286"/>
      <c r="F42" s="296" t="s">
        <v>256</v>
      </c>
      <c r="G42" s="296"/>
      <c r="H42" s="296" t="s">
        <v>261</v>
      </c>
      <c r="I42" s="296"/>
      <c r="J42" s="296" t="s">
        <v>261</v>
      </c>
      <c r="K42" s="296"/>
      <c r="L42" s="296" t="s">
        <v>259</v>
      </c>
      <c r="M42" s="296"/>
      <c r="N42" s="296" t="s">
        <v>263</v>
      </c>
      <c r="O42" s="296"/>
      <c r="P42" s="296" t="s">
        <v>264</v>
      </c>
      <c r="Q42" s="296"/>
      <c r="R42" s="296"/>
      <c r="S42" s="321"/>
      <c r="T42" s="322"/>
      <c r="U42" s="288"/>
      <c r="V42" s="288"/>
      <c r="W42" s="289"/>
      <c r="X42" s="5"/>
    </row>
    <row r="43" spans="1:27" ht="15.75" x14ac:dyDescent="0.25">
      <c r="A43" s="285"/>
      <c r="B43" s="286" t="s">
        <v>290</v>
      </c>
      <c r="C43" s="323"/>
      <c r="D43" s="322">
        <v>7.0657000000000003E-3</v>
      </c>
      <c r="E43" s="322"/>
      <c r="F43" s="322">
        <f>+F40</f>
        <v>7.6687999999999999E-3</v>
      </c>
      <c r="G43" s="322"/>
      <c r="H43" s="322">
        <v>7.8188000000000007E-3</v>
      </c>
      <c r="I43" s="322"/>
      <c r="J43" s="322">
        <v>7.8487999999999995E-3</v>
      </c>
      <c r="K43" s="322"/>
      <c r="L43" s="322">
        <f>+L40</f>
        <v>1.04688E-2</v>
      </c>
      <c r="M43" s="322"/>
      <c r="N43" s="322">
        <v>1.1202800000000001E-2</v>
      </c>
      <c r="O43" s="322"/>
      <c r="P43" s="322">
        <v>1.7362800000000001E-2</v>
      </c>
      <c r="Q43" s="321"/>
      <c r="R43" s="322"/>
      <c r="S43" s="296"/>
      <c r="T43" s="296"/>
      <c r="U43" s="288"/>
      <c r="V43" s="321">
        <f>SUMPRODUCT(D43:R43,D35:R35)/V35</f>
        <v>8.6172245895676531E-3</v>
      </c>
      <c r="W43" s="289"/>
      <c r="X43" s="5"/>
    </row>
    <row r="44" spans="1:27" ht="15.75" x14ac:dyDescent="0.25">
      <c r="A44" s="285"/>
      <c r="B44" s="286" t="s">
        <v>291</v>
      </c>
      <c r="C44" s="323"/>
      <c r="D44" s="322">
        <v>7.1843999999999996E-3</v>
      </c>
      <c r="E44" s="322"/>
      <c r="F44" s="322">
        <f>+F41</f>
        <v>7.7875000000000002E-3</v>
      </c>
      <c r="G44" s="322"/>
      <c r="H44" s="322">
        <v>7.9375000000000001E-3</v>
      </c>
      <c r="I44" s="322"/>
      <c r="J44" s="322">
        <v>7.9675000000000006E-3</v>
      </c>
      <c r="K44" s="322"/>
      <c r="L44" s="322">
        <f>+L41</f>
        <v>1.05875E-2</v>
      </c>
      <c r="M44" s="322"/>
      <c r="N44" s="322">
        <v>1.13215E-2</v>
      </c>
      <c r="O44" s="322"/>
      <c r="P44" s="322">
        <v>1.7481500000000001E-2</v>
      </c>
      <c r="Q44" s="321"/>
      <c r="R44" s="322"/>
      <c r="S44" s="296"/>
      <c r="T44" s="296"/>
      <c r="U44" s="288"/>
      <c r="V44" s="288"/>
      <c r="W44" s="289"/>
      <c r="X44" s="5"/>
    </row>
    <row r="45" spans="1:27" ht="15.75" x14ac:dyDescent="0.25">
      <c r="A45" s="285"/>
      <c r="B45" s="286" t="s">
        <v>14</v>
      </c>
      <c r="C45" s="286"/>
      <c r="D45" s="323">
        <v>40709</v>
      </c>
      <c r="E45" s="323"/>
      <c r="F45" s="323">
        <v>40709</v>
      </c>
      <c r="G45" s="323"/>
      <c r="H45" s="323">
        <v>40709</v>
      </c>
      <c r="I45" s="323"/>
      <c r="J45" s="323">
        <v>40709</v>
      </c>
      <c r="K45" s="323"/>
      <c r="L45" s="323">
        <v>40709</v>
      </c>
      <c r="M45" s="323"/>
      <c r="N45" s="323">
        <v>40709</v>
      </c>
      <c r="O45" s="323"/>
      <c r="P45" s="323">
        <v>40709</v>
      </c>
      <c r="Q45" s="323"/>
      <c r="R45" s="323"/>
      <c r="S45" s="296"/>
      <c r="T45" s="296"/>
      <c r="U45" s="288"/>
      <c r="V45" s="288"/>
      <c r="W45" s="289"/>
      <c r="X45" s="5"/>
    </row>
    <row r="46" spans="1:27" ht="15.75" x14ac:dyDescent="0.25">
      <c r="A46" s="285"/>
      <c r="B46" s="286" t="s">
        <v>15</v>
      </c>
      <c r="C46" s="286"/>
      <c r="D46" s="323">
        <v>41075</v>
      </c>
      <c r="E46" s="323"/>
      <c r="F46" s="323">
        <v>41075</v>
      </c>
      <c r="G46" s="323"/>
      <c r="H46" s="323">
        <v>41075</v>
      </c>
      <c r="I46" s="323"/>
      <c r="J46" s="323">
        <v>41075</v>
      </c>
      <c r="K46" s="296"/>
      <c r="L46" s="323">
        <v>41075</v>
      </c>
      <c r="M46" s="296"/>
      <c r="N46" s="323">
        <v>41075</v>
      </c>
      <c r="O46" s="296"/>
      <c r="P46" s="323">
        <v>41075</v>
      </c>
      <c r="Q46" s="296"/>
      <c r="R46" s="323"/>
      <c r="S46" s="296"/>
      <c r="T46" s="296"/>
      <c r="U46" s="288"/>
      <c r="V46" s="288"/>
      <c r="W46" s="289"/>
      <c r="X46" s="5"/>
    </row>
    <row r="47" spans="1:27" ht="15.75" x14ac:dyDescent="0.25">
      <c r="A47" s="285"/>
      <c r="B47" s="286" t="s">
        <v>119</v>
      </c>
      <c r="C47" s="286"/>
      <c r="D47" s="296" t="s">
        <v>304</v>
      </c>
      <c r="E47" s="286"/>
      <c r="F47" s="296" t="s">
        <v>256</v>
      </c>
      <c r="G47" s="296"/>
      <c r="H47" s="296" t="s">
        <v>257</v>
      </c>
      <c r="I47" s="296"/>
      <c r="J47" s="296" t="s">
        <v>258</v>
      </c>
      <c r="K47" s="296"/>
      <c r="L47" s="296" t="s">
        <v>259</v>
      </c>
      <c r="M47" s="296"/>
      <c r="N47" s="296" t="s">
        <v>259</v>
      </c>
      <c r="O47" s="296"/>
      <c r="P47" s="296" t="s">
        <v>260</v>
      </c>
      <c r="Q47" s="296"/>
      <c r="R47" s="296"/>
      <c r="S47" s="325"/>
      <c r="T47" s="325"/>
      <c r="U47" s="325"/>
      <c r="V47" s="325"/>
      <c r="W47" s="289"/>
      <c r="X47" s="5"/>
    </row>
    <row r="48" spans="1:27" ht="15.75" x14ac:dyDescent="0.25">
      <c r="A48" s="285"/>
      <c r="B48" s="286" t="s">
        <v>292</v>
      </c>
      <c r="C48" s="286"/>
      <c r="D48" s="296" t="s">
        <v>311</v>
      </c>
      <c r="E48" s="286"/>
      <c r="F48" s="296" t="s">
        <v>256</v>
      </c>
      <c r="G48" s="296"/>
      <c r="H48" s="296" t="s">
        <v>261</v>
      </c>
      <c r="I48" s="296"/>
      <c r="J48" s="296" t="s">
        <v>261</v>
      </c>
      <c r="K48" s="296"/>
      <c r="L48" s="296" t="s">
        <v>259</v>
      </c>
      <c r="M48" s="296"/>
      <c r="N48" s="296" t="s">
        <v>263</v>
      </c>
      <c r="O48" s="296"/>
      <c r="P48" s="296" t="s">
        <v>264</v>
      </c>
      <c r="Q48" s="296"/>
      <c r="R48" s="296"/>
      <c r="S48" s="286"/>
      <c r="T48" s="286"/>
      <c r="U48" s="286"/>
      <c r="V48" s="321"/>
      <c r="W48" s="289"/>
      <c r="X48" s="5"/>
    </row>
    <row r="49" spans="1:25" ht="15.75" x14ac:dyDescent="0.25">
      <c r="A49" s="285"/>
      <c r="B49" s="286"/>
      <c r="C49" s="286"/>
      <c r="D49" s="296"/>
      <c r="E49" s="286"/>
      <c r="F49" s="296"/>
      <c r="G49" s="296"/>
      <c r="H49" s="296"/>
      <c r="I49" s="296"/>
      <c r="J49" s="296"/>
      <c r="K49" s="296"/>
      <c r="L49" s="296"/>
      <c r="M49" s="296"/>
      <c r="N49" s="296"/>
      <c r="O49" s="296"/>
      <c r="P49" s="296"/>
      <c r="Q49" s="296"/>
      <c r="R49" s="296"/>
      <c r="S49" s="286"/>
      <c r="T49" s="286"/>
      <c r="U49" s="286"/>
      <c r="V49" s="321" t="s">
        <v>193</v>
      </c>
      <c r="W49" s="289"/>
      <c r="X49" s="5"/>
    </row>
    <row r="50" spans="1:25" ht="15.75" x14ac:dyDescent="0.25">
      <c r="A50" s="285"/>
      <c r="B50" s="286" t="s">
        <v>169</v>
      </c>
      <c r="C50" s="286"/>
      <c r="D50" s="296"/>
      <c r="E50" s="286"/>
      <c r="F50" s="296"/>
      <c r="G50" s="296"/>
      <c r="H50" s="296"/>
      <c r="I50" s="296"/>
      <c r="J50" s="296"/>
      <c r="K50" s="296"/>
      <c r="L50" s="296"/>
      <c r="M50" s="296"/>
      <c r="N50" s="296"/>
      <c r="O50" s="296"/>
      <c r="P50" s="296"/>
      <c r="Q50" s="296"/>
      <c r="R50" s="296"/>
      <c r="S50" s="286"/>
      <c r="T50" s="286"/>
      <c r="U50" s="286"/>
      <c r="V50" s="321">
        <f>SUM(L34:R34)/SUM(D34:J34)</f>
        <v>0.17632136449250416</v>
      </c>
      <c r="W50" s="289"/>
      <c r="X50" s="5"/>
    </row>
    <row r="51" spans="1:25" ht="15.75" x14ac:dyDescent="0.25">
      <c r="A51" s="285"/>
      <c r="B51" s="286" t="s">
        <v>170</v>
      </c>
      <c r="C51" s="286"/>
      <c r="D51" s="286"/>
      <c r="E51" s="286"/>
      <c r="F51" s="326"/>
      <c r="G51" s="286"/>
      <c r="H51" s="286"/>
      <c r="I51" s="286"/>
      <c r="J51" s="286"/>
      <c r="K51" s="286"/>
      <c r="L51" s="286"/>
      <c r="M51" s="286"/>
      <c r="N51" s="286"/>
      <c r="O51" s="286"/>
      <c r="P51" s="286"/>
      <c r="Q51" s="286"/>
      <c r="R51" s="286"/>
      <c r="S51" s="286"/>
      <c r="T51" s="286"/>
      <c r="U51" s="286"/>
      <c r="V51" s="321">
        <f>SUM(L36:R36)/SUM(D36:J36)</f>
        <v>0.22912491496548179</v>
      </c>
      <c r="W51" s="289"/>
      <c r="X51" s="5"/>
    </row>
    <row r="52" spans="1:25" ht="15.75" x14ac:dyDescent="0.25">
      <c r="A52" s="285"/>
      <c r="B52" s="286" t="s">
        <v>171</v>
      </c>
      <c r="C52" s="286"/>
      <c r="D52" s="286"/>
      <c r="E52" s="286"/>
      <c r="F52" s="286"/>
      <c r="G52" s="286"/>
      <c r="H52" s="286"/>
      <c r="I52" s="286"/>
      <c r="J52" s="286"/>
      <c r="K52" s="286"/>
      <c r="L52" s="286"/>
      <c r="M52" s="286"/>
      <c r="N52" s="286"/>
      <c r="O52" s="286"/>
      <c r="P52" s="286"/>
      <c r="Q52" s="286"/>
      <c r="R52" s="286"/>
      <c r="S52" s="286"/>
      <c r="T52" s="296"/>
      <c r="U52" s="296"/>
      <c r="V52" s="299" t="s">
        <v>268</v>
      </c>
      <c r="W52" s="289"/>
      <c r="X52" s="5"/>
    </row>
    <row r="53" spans="1:25" ht="15.75" x14ac:dyDescent="0.25">
      <c r="A53" s="285"/>
      <c r="B53" s="286"/>
      <c r="C53" s="286"/>
      <c r="D53" s="286"/>
      <c r="E53" s="286"/>
      <c r="F53" s="286"/>
      <c r="G53" s="286"/>
      <c r="H53" s="286"/>
      <c r="I53" s="286"/>
      <c r="J53" s="286"/>
      <c r="K53" s="286"/>
      <c r="L53" s="286"/>
      <c r="M53" s="286"/>
      <c r="N53" s="286"/>
      <c r="O53" s="286"/>
      <c r="P53" s="286"/>
      <c r="Q53" s="286"/>
      <c r="R53" s="286"/>
      <c r="S53" s="286"/>
      <c r="T53" s="286"/>
      <c r="U53" s="286"/>
      <c r="V53" s="327"/>
      <c r="W53" s="289"/>
      <c r="X53" s="5"/>
    </row>
    <row r="54" spans="1:25" ht="15.75" x14ac:dyDescent="0.25">
      <c r="A54" s="285"/>
      <c r="B54" s="286" t="s">
        <v>202</v>
      </c>
      <c r="C54" s="286"/>
      <c r="D54" s="286"/>
      <c r="E54" s="286"/>
      <c r="F54" s="286"/>
      <c r="G54" s="286"/>
      <c r="H54" s="286"/>
      <c r="I54" s="286"/>
      <c r="J54" s="286"/>
      <c r="K54" s="286"/>
      <c r="L54" s="286"/>
      <c r="M54" s="286"/>
      <c r="N54" s="286"/>
      <c r="O54" s="286"/>
      <c r="P54" s="286"/>
      <c r="Q54" s="286"/>
      <c r="R54" s="286"/>
      <c r="S54" s="286"/>
      <c r="T54" s="286"/>
      <c r="U54" s="286"/>
      <c r="V54" s="311" t="s">
        <v>203</v>
      </c>
      <c r="W54" s="289"/>
      <c r="X54" s="5"/>
    </row>
    <row r="55" spans="1:25" ht="15.75" x14ac:dyDescent="0.25">
      <c r="A55" s="285"/>
      <c r="B55" s="286" t="s">
        <v>270</v>
      </c>
      <c r="C55" s="286"/>
      <c r="D55" s="286"/>
      <c r="E55" s="286"/>
      <c r="F55" s="286"/>
      <c r="G55" s="286"/>
      <c r="H55" s="286"/>
      <c r="I55" s="286"/>
      <c r="J55" s="286"/>
      <c r="K55" s="286"/>
      <c r="L55" s="286"/>
      <c r="M55" s="286"/>
      <c r="N55" s="286"/>
      <c r="O55" s="286"/>
      <c r="P55" s="286"/>
      <c r="Q55" s="286"/>
      <c r="R55" s="286"/>
      <c r="S55" s="286"/>
      <c r="T55" s="296"/>
      <c r="U55" s="296"/>
      <c r="V55" s="396" t="s">
        <v>111</v>
      </c>
      <c r="W55" s="289"/>
      <c r="X55" s="5"/>
    </row>
    <row r="56" spans="1:25" ht="15.75" x14ac:dyDescent="0.25">
      <c r="A56" s="285"/>
      <c r="B56" s="297" t="s">
        <v>201</v>
      </c>
      <c r="C56" s="297"/>
      <c r="D56" s="297"/>
      <c r="E56" s="297"/>
      <c r="F56" s="297"/>
      <c r="G56" s="297"/>
      <c r="H56" s="297"/>
      <c r="I56" s="297"/>
      <c r="J56" s="297"/>
      <c r="K56" s="297"/>
      <c r="L56" s="297"/>
      <c r="M56" s="297"/>
      <c r="N56" s="297"/>
      <c r="O56" s="297"/>
      <c r="P56" s="297"/>
      <c r="Q56" s="297"/>
      <c r="R56" s="297"/>
      <c r="S56" s="297"/>
      <c r="T56" s="397"/>
      <c r="U56" s="397"/>
      <c r="V56" s="398">
        <v>41442</v>
      </c>
      <c r="W56" s="289"/>
      <c r="X56" s="5"/>
    </row>
    <row r="57" spans="1:25" ht="15.75" x14ac:dyDescent="0.25">
      <c r="A57" s="285"/>
      <c r="B57" s="286" t="s">
        <v>121</v>
      </c>
      <c r="C57" s="286"/>
      <c r="D57" s="286"/>
      <c r="E57" s="286"/>
      <c r="F57" s="286"/>
      <c r="G57" s="286"/>
      <c r="H57" s="332"/>
      <c r="I57" s="332"/>
      <c r="J57" s="332"/>
      <c r="K57" s="332"/>
      <c r="L57" s="332"/>
      <c r="M57" s="332"/>
      <c r="N57" s="332"/>
      <c r="O57" s="332"/>
      <c r="P57" s="332"/>
      <c r="Q57" s="332"/>
      <c r="R57" s="286">
        <f>+V57-T57+1</f>
        <v>88</v>
      </c>
      <c r="S57" s="332"/>
      <c r="T57" s="333">
        <v>41260</v>
      </c>
      <c r="U57" s="334"/>
      <c r="V57" s="333">
        <v>41347</v>
      </c>
      <c r="W57" s="289"/>
      <c r="X57" s="5"/>
    </row>
    <row r="58" spans="1:25" ht="15.75" x14ac:dyDescent="0.25">
      <c r="A58" s="285"/>
      <c r="B58" s="286" t="s">
        <v>122</v>
      </c>
      <c r="C58" s="286"/>
      <c r="D58" s="286"/>
      <c r="E58" s="286"/>
      <c r="F58" s="286"/>
      <c r="G58" s="286"/>
      <c r="H58" s="286"/>
      <c r="I58" s="286"/>
      <c r="J58" s="286"/>
      <c r="K58" s="286"/>
      <c r="L58" s="286"/>
      <c r="M58" s="286"/>
      <c r="N58" s="286"/>
      <c r="O58" s="286"/>
      <c r="P58" s="286"/>
      <c r="Q58" s="286"/>
      <c r="R58" s="286">
        <f>+V58-T58+1</f>
        <v>94</v>
      </c>
      <c r="S58" s="286"/>
      <c r="T58" s="333">
        <v>41348</v>
      </c>
      <c r="U58" s="334"/>
      <c r="V58" s="333">
        <v>41441</v>
      </c>
      <c r="W58" s="289"/>
      <c r="X58" s="5"/>
    </row>
    <row r="59" spans="1:25" ht="15.75" x14ac:dyDescent="0.25">
      <c r="A59" s="285"/>
      <c r="B59" s="286" t="s">
        <v>223</v>
      </c>
      <c r="C59" s="286"/>
      <c r="D59" s="286"/>
      <c r="E59" s="286"/>
      <c r="F59" s="286"/>
      <c r="G59" s="286"/>
      <c r="H59" s="286"/>
      <c r="I59" s="286"/>
      <c r="J59" s="286"/>
      <c r="K59" s="286"/>
      <c r="L59" s="286"/>
      <c r="M59" s="286"/>
      <c r="N59" s="286"/>
      <c r="O59" s="286"/>
      <c r="P59" s="286"/>
      <c r="Q59" s="286"/>
      <c r="R59" s="286"/>
      <c r="S59" s="286"/>
      <c r="T59" s="333"/>
      <c r="U59" s="334"/>
      <c r="V59" s="333" t="s">
        <v>120</v>
      </c>
      <c r="W59" s="289"/>
      <c r="X59" s="5"/>
    </row>
    <row r="60" spans="1:25" ht="15.75" x14ac:dyDescent="0.25">
      <c r="A60" s="285"/>
      <c r="B60" s="286" t="s">
        <v>271</v>
      </c>
      <c r="C60" s="286"/>
      <c r="D60" s="286"/>
      <c r="E60" s="286"/>
      <c r="F60" s="286"/>
      <c r="G60" s="286"/>
      <c r="H60" s="286"/>
      <c r="I60" s="286"/>
      <c r="J60" s="286"/>
      <c r="K60" s="286"/>
      <c r="L60" s="286"/>
      <c r="M60" s="286"/>
      <c r="N60" s="286"/>
      <c r="O60" s="286"/>
      <c r="P60" s="286"/>
      <c r="Q60" s="286"/>
      <c r="R60" s="286"/>
      <c r="S60" s="286"/>
      <c r="T60" s="333"/>
      <c r="U60" s="334"/>
      <c r="V60" s="333" t="s">
        <v>154</v>
      </c>
      <c r="W60" s="289"/>
      <c r="X60" s="5"/>
      <c r="Y60" s="133"/>
    </row>
    <row r="61" spans="1:25" ht="15.75" x14ac:dyDescent="0.25">
      <c r="A61" s="285"/>
      <c r="B61" s="286" t="s">
        <v>16</v>
      </c>
      <c r="C61" s="286"/>
      <c r="D61" s="286"/>
      <c r="E61" s="286"/>
      <c r="F61" s="286"/>
      <c r="G61" s="286"/>
      <c r="H61" s="286"/>
      <c r="I61" s="286"/>
      <c r="J61" s="286"/>
      <c r="K61" s="286"/>
      <c r="L61" s="286"/>
      <c r="M61" s="286"/>
      <c r="N61" s="286"/>
      <c r="O61" s="286"/>
      <c r="P61" s="286"/>
      <c r="Q61" s="286"/>
      <c r="R61" s="286"/>
      <c r="S61" s="286"/>
      <c r="T61" s="333"/>
      <c r="U61" s="334"/>
      <c r="V61" s="333">
        <v>41428</v>
      </c>
      <c r="W61" s="289"/>
      <c r="X61" s="5"/>
    </row>
    <row r="62" spans="1:25" ht="15.75" x14ac:dyDescent="0.25">
      <c r="A62" s="181"/>
      <c r="B62" s="212"/>
      <c r="C62" s="212"/>
      <c r="D62" s="212"/>
      <c r="E62" s="212"/>
      <c r="F62" s="212"/>
      <c r="G62" s="212"/>
      <c r="H62" s="212"/>
      <c r="I62" s="212"/>
      <c r="J62" s="212"/>
      <c r="K62" s="212"/>
      <c r="L62" s="212"/>
      <c r="M62" s="212"/>
      <c r="N62" s="212"/>
      <c r="O62" s="212"/>
      <c r="P62" s="212"/>
      <c r="Q62" s="212"/>
      <c r="R62" s="212"/>
      <c r="S62" s="212"/>
      <c r="T62" s="283"/>
      <c r="U62" s="284"/>
      <c r="V62" s="283"/>
      <c r="W62" s="212"/>
      <c r="X62" s="5"/>
    </row>
    <row r="63" spans="1:25" ht="15.75" x14ac:dyDescent="0.25">
      <c r="A63" s="181"/>
      <c r="B63" s="183"/>
      <c r="C63" s="183"/>
      <c r="D63" s="183"/>
      <c r="E63" s="183"/>
      <c r="F63" s="183"/>
      <c r="G63" s="183"/>
      <c r="H63" s="183"/>
      <c r="I63" s="183"/>
      <c r="J63" s="183"/>
      <c r="K63" s="183"/>
      <c r="L63" s="183"/>
      <c r="M63" s="183"/>
      <c r="N63" s="183"/>
      <c r="O63" s="183"/>
      <c r="P63" s="183"/>
      <c r="Q63" s="183"/>
      <c r="R63" s="183"/>
      <c r="S63" s="183"/>
      <c r="T63" s="195"/>
      <c r="U63" s="196"/>
      <c r="V63" s="195"/>
      <c r="W63" s="183"/>
      <c r="X63" s="5"/>
    </row>
    <row r="64" spans="1:25" ht="19.5" thickBot="1" x14ac:dyDescent="0.35">
      <c r="A64" s="197"/>
      <c r="B64" s="270" t="s">
        <v>317</v>
      </c>
      <c r="C64" s="198"/>
      <c r="D64" s="198"/>
      <c r="E64" s="198"/>
      <c r="F64" s="198"/>
      <c r="G64" s="198"/>
      <c r="H64" s="198"/>
      <c r="I64" s="198"/>
      <c r="J64" s="198"/>
      <c r="K64" s="198"/>
      <c r="L64" s="198"/>
      <c r="M64" s="198"/>
      <c r="N64" s="198"/>
      <c r="O64" s="198"/>
      <c r="P64" s="198"/>
      <c r="Q64" s="198"/>
      <c r="R64" s="198"/>
      <c r="S64" s="198"/>
      <c r="T64" s="198"/>
      <c r="U64" s="198"/>
      <c r="V64" s="199"/>
      <c r="W64" s="200"/>
      <c r="X64" s="5"/>
    </row>
    <row r="65" spans="1:24" ht="15.75" x14ac:dyDescent="0.25">
      <c r="A65" s="224"/>
      <c r="B65" s="230" t="s">
        <v>17</v>
      </c>
      <c r="C65" s="225"/>
      <c r="D65" s="225"/>
      <c r="E65" s="225"/>
      <c r="F65" s="225"/>
      <c r="G65" s="225"/>
      <c r="H65" s="225"/>
      <c r="I65" s="225"/>
      <c r="J65" s="225"/>
      <c r="K65" s="225"/>
      <c r="L65" s="225"/>
      <c r="M65" s="225"/>
      <c r="N65" s="225"/>
      <c r="O65" s="225"/>
      <c r="P65" s="225"/>
      <c r="Q65" s="225"/>
      <c r="R65" s="225"/>
      <c r="S65" s="225"/>
      <c r="T65" s="225"/>
      <c r="U65" s="225"/>
      <c r="V65" s="231"/>
      <c r="W65" s="225"/>
      <c r="X65" s="5"/>
    </row>
    <row r="66" spans="1:24" ht="15.75" x14ac:dyDescent="0.25">
      <c r="A66" s="181"/>
      <c r="B66" s="189"/>
      <c r="C66" s="183"/>
      <c r="D66" s="183"/>
      <c r="E66" s="183"/>
      <c r="F66" s="183"/>
      <c r="G66" s="183"/>
      <c r="H66" s="183"/>
      <c r="I66" s="183"/>
      <c r="J66" s="183"/>
      <c r="K66" s="183"/>
      <c r="L66" s="183"/>
      <c r="M66" s="183"/>
      <c r="N66" s="183"/>
      <c r="O66" s="183"/>
      <c r="P66" s="183"/>
      <c r="Q66" s="183"/>
      <c r="R66" s="183"/>
      <c r="S66" s="183"/>
      <c r="T66" s="183"/>
      <c r="U66" s="183"/>
      <c r="V66" s="202"/>
      <c r="W66" s="183"/>
      <c r="X66" s="5"/>
    </row>
    <row r="67" spans="1:24" ht="47.25" x14ac:dyDescent="0.25">
      <c r="A67" s="181"/>
      <c r="B67" s="203" t="s">
        <v>18</v>
      </c>
      <c r="C67" s="204"/>
      <c r="D67" s="204"/>
      <c r="E67" s="204"/>
      <c r="F67" s="204"/>
      <c r="G67" s="204"/>
      <c r="H67" s="204"/>
      <c r="I67" s="204"/>
      <c r="J67" s="204"/>
      <c r="K67" s="204"/>
      <c r="L67" s="204" t="s">
        <v>94</v>
      </c>
      <c r="M67" s="204"/>
      <c r="N67" s="204" t="s">
        <v>96</v>
      </c>
      <c r="O67" s="204"/>
      <c r="P67" s="204" t="s">
        <v>98</v>
      </c>
      <c r="Q67" s="204"/>
      <c r="R67" s="204" t="s">
        <v>100</v>
      </c>
      <c r="S67" s="204"/>
      <c r="T67" s="204" t="s">
        <v>106</v>
      </c>
      <c r="U67" s="204"/>
      <c r="V67" s="205" t="s">
        <v>112</v>
      </c>
      <c r="W67" s="206"/>
      <c r="X67" s="5"/>
    </row>
    <row r="68" spans="1:24" ht="15.75" x14ac:dyDescent="0.25">
      <c r="A68" s="285"/>
      <c r="B68" s="286" t="s">
        <v>19</v>
      </c>
      <c r="C68" s="337"/>
      <c r="D68" s="337"/>
      <c r="E68" s="337"/>
      <c r="F68" s="337"/>
      <c r="G68" s="337"/>
      <c r="H68" s="337"/>
      <c r="I68" s="337"/>
      <c r="J68" s="337"/>
      <c r="K68" s="337"/>
      <c r="L68" s="337">
        <v>812446</v>
      </c>
      <c r="M68" s="337"/>
      <c r="N68" s="338">
        <v>810155</v>
      </c>
      <c r="O68" s="337"/>
      <c r="P68" s="337">
        <f>5158+5</f>
        <v>5163</v>
      </c>
      <c r="Q68" s="337"/>
      <c r="R68" s="337">
        <v>5</v>
      </c>
      <c r="S68" s="337"/>
      <c r="T68" s="337">
        <v>0</v>
      </c>
      <c r="U68" s="337"/>
      <c r="V68" s="338">
        <f>+N68-P68+R68-T68</f>
        <v>804997</v>
      </c>
      <c r="W68" s="289"/>
      <c r="X68" s="5"/>
    </row>
    <row r="69" spans="1:24" ht="15.75" x14ac:dyDescent="0.25">
      <c r="A69" s="285"/>
      <c r="B69" s="286" t="s">
        <v>20</v>
      </c>
      <c r="C69" s="337"/>
      <c r="D69" s="337"/>
      <c r="E69" s="337"/>
      <c r="F69" s="337"/>
      <c r="G69" s="337"/>
      <c r="H69" s="337"/>
      <c r="I69" s="337"/>
      <c r="J69" s="337"/>
      <c r="K69" s="337"/>
      <c r="L69" s="337">
        <v>0</v>
      </c>
      <c r="M69" s="337"/>
      <c r="N69" s="338">
        <v>0</v>
      </c>
      <c r="O69" s="337"/>
      <c r="P69" s="337">
        <v>0</v>
      </c>
      <c r="Q69" s="337"/>
      <c r="R69" s="337">
        <v>0</v>
      </c>
      <c r="S69" s="337"/>
      <c r="T69" s="337">
        <v>0</v>
      </c>
      <c r="U69" s="337"/>
      <c r="V69" s="338">
        <f>+L69-P69</f>
        <v>0</v>
      </c>
      <c r="W69" s="289"/>
      <c r="X69" s="5"/>
    </row>
    <row r="70" spans="1:24" ht="15.75" x14ac:dyDescent="0.25">
      <c r="A70" s="285"/>
      <c r="B70" s="286"/>
      <c r="C70" s="337"/>
      <c r="D70" s="337"/>
      <c r="E70" s="337"/>
      <c r="F70" s="337"/>
      <c r="G70" s="337"/>
      <c r="H70" s="337"/>
      <c r="I70" s="337"/>
      <c r="J70" s="337"/>
      <c r="K70" s="337"/>
      <c r="L70" s="337"/>
      <c r="M70" s="337"/>
      <c r="N70" s="338"/>
      <c r="O70" s="337"/>
      <c r="P70" s="337"/>
      <c r="Q70" s="337"/>
      <c r="R70" s="337"/>
      <c r="S70" s="337"/>
      <c r="T70" s="337"/>
      <c r="U70" s="337"/>
      <c r="V70" s="338"/>
      <c r="W70" s="289"/>
      <c r="X70" s="5"/>
    </row>
    <row r="71" spans="1:24" ht="15.75" x14ac:dyDescent="0.25">
      <c r="A71" s="285"/>
      <c r="B71" s="286" t="s">
        <v>21</v>
      </c>
      <c r="C71" s="337"/>
      <c r="D71" s="337"/>
      <c r="E71" s="337"/>
      <c r="F71" s="337"/>
      <c r="G71" s="337"/>
      <c r="H71" s="337"/>
      <c r="I71" s="337"/>
      <c r="J71" s="337"/>
      <c r="K71" s="337"/>
      <c r="L71" s="337">
        <f>SUM(L68:L70)</f>
        <v>812446</v>
      </c>
      <c r="M71" s="337"/>
      <c r="N71" s="337">
        <f>N68+N69</f>
        <v>810155</v>
      </c>
      <c r="O71" s="337"/>
      <c r="P71" s="337">
        <f>SUM(P68:P70)</f>
        <v>5163</v>
      </c>
      <c r="Q71" s="337"/>
      <c r="R71" s="337">
        <f>SUM(R68:R70)</f>
        <v>5</v>
      </c>
      <c r="S71" s="337"/>
      <c r="T71" s="337">
        <f>SUM(T68:T70)</f>
        <v>0</v>
      </c>
      <c r="U71" s="337"/>
      <c r="V71" s="337">
        <f>SUM(V68:V70)</f>
        <v>804997</v>
      </c>
      <c r="W71" s="289"/>
      <c r="X71" s="5"/>
    </row>
    <row r="72" spans="1:24" ht="15.75" x14ac:dyDescent="0.25">
      <c r="A72" s="181"/>
      <c r="B72" s="212"/>
      <c r="C72" s="335"/>
      <c r="D72" s="335"/>
      <c r="E72" s="335"/>
      <c r="F72" s="335"/>
      <c r="G72" s="335"/>
      <c r="H72" s="335"/>
      <c r="I72" s="335"/>
      <c r="J72" s="335"/>
      <c r="K72" s="335"/>
      <c r="L72" s="335"/>
      <c r="M72" s="335"/>
      <c r="N72" s="335"/>
      <c r="O72" s="335"/>
      <c r="P72" s="335"/>
      <c r="Q72" s="335"/>
      <c r="R72" s="335"/>
      <c r="S72" s="335"/>
      <c r="T72" s="335"/>
      <c r="U72" s="335"/>
      <c r="V72" s="336"/>
      <c r="W72" s="212"/>
      <c r="X72" s="5"/>
    </row>
    <row r="73" spans="1:24" ht="15.75" x14ac:dyDescent="0.25">
      <c r="A73" s="181"/>
      <c r="B73" s="185" t="s">
        <v>22</v>
      </c>
      <c r="C73" s="207"/>
      <c r="D73" s="207"/>
      <c r="E73" s="207"/>
      <c r="F73" s="207"/>
      <c r="G73" s="207"/>
      <c r="H73" s="207"/>
      <c r="I73" s="207"/>
      <c r="J73" s="207"/>
      <c r="K73" s="207"/>
      <c r="L73" s="207"/>
      <c r="M73" s="207"/>
      <c r="N73" s="207"/>
      <c r="O73" s="207"/>
      <c r="P73" s="207"/>
      <c r="Q73" s="207"/>
      <c r="R73" s="207"/>
      <c r="S73" s="207"/>
      <c r="T73" s="207"/>
      <c r="U73" s="207"/>
      <c r="V73" s="208"/>
      <c r="W73" s="183"/>
      <c r="X73" s="5"/>
    </row>
    <row r="74" spans="1:24" ht="15.75" x14ac:dyDescent="0.25">
      <c r="A74" s="181"/>
      <c r="B74" s="183"/>
      <c r="C74" s="207"/>
      <c r="D74" s="207"/>
      <c r="E74" s="207"/>
      <c r="F74" s="207"/>
      <c r="G74" s="207"/>
      <c r="H74" s="207"/>
      <c r="I74" s="207"/>
      <c r="J74" s="207"/>
      <c r="K74" s="207"/>
      <c r="L74" s="207"/>
      <c r="M74" s="207"/>
      <c r="N74" s="207"/>
      <c r="O74" s="207"/>
      <c r="P74" s="207"/>
      <c r="Q74" s="207"/>
      <c r="R74" s="207"/>
      <c r="S74" s="207"/>
      <c r="T74" s="207"/>
      <c r="U74" s="207"/>
      <c r="V74" s="208"/>
      <c r="W74" s="183"/>
      <c r="X74" s="5"/>
    </row>
    <row r="75" spans="1:24" ht="15.75" x14ac:dyDescent="0.25">
      <c r="A75" s="285"/>
      <c r="B75" s="286" t="s">
        <v>19</v>
      </c>
      <c r="C75" s="337"/>
      <c r="D75" s="337"/>
      <c r="E75" s="337"/>
      <c r="F75" s="337"/>
      <c r="G75" s="337"/>
      <c r="H75" s="337"/>
      <c r="I75" s="337"/>
      <c r="J75" s="337"/>
      <c r="K75" s="337"/>
      <c r="L75" s="337"/>
      <c r="M75" s="337"/>
      <c r="N75" s="337"/>
      <c r="O75" s="337"/>
      <c r="P75" s="337"/>
      <c r="Q75" s="337"/>
      <c r="R75" s="337"/>
      <c r="S75" s="337"/>
      <c r="T75" s="337"/>
      <c r="U75" s="337"/>
      <c r="V75" s="337"/>
      <c r="W75" s="289"/>
      <c r="X75" s="5"/>
    </row>
    <row r="76" spans="1:24" ht="15.75" x14ac:dyDescent="0.25">
      <c r="A76" s="285"/>
      <c r="B76" s="286" t="s">
        <v>20</v>
      </c>
      <c r="C76" s="337"/>
      <c r="D76" s="337"/>
      <c r="E76" s="337"/>
      <c r="F76" s="337"/>
      <c r="G76" s="337"/>
      <c r="H76" s="337"/>
      <c r="I76" s="337"/>
      <c r="J76" s="337"/>
      <c r="K76" s="337"/>
      <c r="L76" s="337"/>
      <c r="M76" s="337"/>
      <c r="N76" s="337"/>
      <c r="O76" s="337"/>
      <c r="P76" s="337"/>
      <c r="Q76" s="337"/>
      <c r="R76" s="337"/>
      <c r="S76" s="337"/>
      <c r="T76" s="337"/>
      <c r="U76" s="337"/>
      <c r="V76" s="337"/>
      <c r="W76" s="289"/>
      <c r="X76" s="5"/>
    </row>
    <row r="77" spans="1:24" ht="15.75" x14ac:dyDescent="0.25">
      <c r="A77" s="285"/>
      <c r="B77" s="286"/>
      <c r="C77" s="337"/>
      <c r="D77" s="337"/>
      <c r="E77" s="337"/>
      <c r="F77" s="337"/>
      <c r="G77" s="337"/>
      <c r="H77" s="337"/>
      <c r="I77" s="337"/>
      <c r="J77" s="337"/>
      <c r="K77" s="337"/>
      <c r="L77" s="337"/>
      <c r="M77" s="337"/>
      <c r="N77" s="337"/>
      <c r="O77" s="337"/>
      <c r="P77" s="337"/>
      <c r="Q77" s="337"/>
      <c r="R77" s="337"/>
      <c r="S77" s="337"/>
      <c r="T77" s="337"/>
      <c r="U77" s="337"/>
      <c r="V77" s="337"/>
      <c r="W77" s="289"/>
      <c r="X77" s="5"/>
    </row>
    <row r="78" spans="1:24" ht="15.75" x14ac:dyDescent="0.25">
      <c r="A78" s="285"/>
      <c r="B78" s="286" t="s">
        <v>21</v>
      </c>
      <c r="C78" s="337"/>
      <c r="D78" s="337"/>
      <c r="E78" s="337"/>
      <c r="F78" s="337"/>
      <c r="G78" s="337"/>
      <c r="H78" s="337"/>
      <c r="I78" s="337"/>
      <c r="J78" s="337"/>
      <c r="K78" s="337"/>
      <c r="L78" s="337"/>
      <c r="M78" s="337"/>
      <c r="N78" s="337"/>
      <c r="O78" s="337"/>
      <c r="P78" s="337"/>
      <c r="Q78" s="337"/>
      <c r="R78" s="337"/>
      <c r="S78" s="337"/>
      <c r="T78" s="337"/>
      <c r="U78" s="337"/>
      <c r="V78" s="337"/>
      <c r="W78" s="289"/>
      <c r="X78" s="5"/>
    </row>
    <row r="79" spans="1:24" ht="15.75" x14ac:dyDescent="0.25">
      <c r="A79" s="285"/>
      <c r="B79" s="286"/>
      <c r="C79" s="337"/>
      <c r="D79" s="337"/>
      <c r="E79" s="337"/>
      <c r="F79" s="337"/>
      <c r="G79" s="337"/>
      <c r="H79" s="337"/>
      <c r="I79" s="337"/>
      <c r="J79" s="337"/>
      <c r="K79" s="337"/>
      <c r="L79" s="337"/>
      <c r="M79" s="337"/>
      <c r="N79" s="337"/>
      <c r="O79" s="337"/>
      <c r="P79" s="337"/>
      <c r="Q79" s="337"/>
      <c r="R79" s="337"/>
      <c r="S79" s="337"/>
      <c r="T79" s="337"/>
      <c r="U79" s="337"/>
      <c r="V79" s="337"/>
      <c r="W79" s="289"/>
      <c r="X79" s="5"/>
    </row>
    <row r="80" spans="1:24" ht="15.75" x14ac:dyDescent="0.25">
      <c r="A80" s="285"/>
      <c r="B80" s="286" t="s">
        <v>23</v>
      </c>
      <c r="C80" s="337"/>
      <c r="D80" s="337"/>
      <c r="E80" s="337"/>
      <c r="F80" s="337"/>
      <c r="G80" s="337"/>
      <c r="H80" s="337"/>
      <c r="I80" s="337"/>
      <c r="J80" s="337"/>
      <c r="K80" s="337"/>
      <c r="L80" s="337">
        <v>0</v>
      </c>
      <c r="M80" s="337"/>
      <c r="N80" s="337">
        <v>0</v>
      </c>
      <c r="O80" s="337"/>
      <c r="P80" s="337"/>
      <c r="Q80" s="337"/>
      <c r="R80" s="337"/>
      <c r="S80" s="337"/>
      <c r="T80" s="337"/>
      <c r="U80" s="337"/>
      <c r="V80" s="338">
        <v>0</v>
      </c>
      <c r="W80" s="289"/>
      <c r="X80" s="5"/>
    </row>
    <row r="81" spans="1:24" ht="15.75" x14ac:dyDescent="0.25">
      <c r="A81" s="285"/>
      <c r="B81" s="286" t="s">
        <v>117</v>
      </c>
      <c r="C81" s="337"/>
      <c r="D81" s="337"/>
      <c r="E81" s="337"/>
      <c r="F81" s="337"/>
      <c r="G81" s="337"/>
      <c r="H81" s="337"/>
      <c r="I81" s="337"/>
      <c r="J81" s="337"/>
      <c r="K81" s="337"/>
      <c r="L81" s="337">
        <v>188687</v>
      </c>
      <c r="M81" s="337"/>
      <c r="N81" s="337">
        <v>0</v>
      </c>
      <c r="O81" s="337"/>
      <c r="P81" s="337">
        <v>0</v>
      </c>
      <c r="Q81" s="337"/>
      <c r="R81" s="337"/>
      <c r="S81" s="337"/>
      <c r="T81" s="337"/>
      <c r="U81" s="337"/>
      <c r="V81" s="337">
        <f>SUM(N81:R81)</f>
        <v>0</v>
      </c>
      <c r="W81" s="289"/>
      <c r="X81" s="5"/>
    </row>
    <row r="82" spans="1:24" ht="15.75" x14ac:dyDescent="0.25">
      <c r="A82" s="285"/>
      <c r="B82" s="286"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89"/>
      <c r="X82" s="5"/>
    </row>
    <row r="83" spans="1:24" ht="15.75" x14ac:dyDescent="0.25">
      <c r="A83" s="285"/>
      <c r="B83" s="286" t="s">
        <v>25</v>
      </c>
      <c r="C83" s="337"/>
      <c r="D83" s="337"/>
      <c r="E83" s="337"/>
      <c r="F83" s="337"/>
      <c r="G83" s="337"/>
      <c r="H83" s="337"/>
      <c r="I83" s="337"/>
      <c r="J83" s="337"/>
      <c r="K83" s="337"/>
      <c r="L83" s="337">
        <v>0</v>
      </c>
      <c r="M83" s="337"/>
      <c r="N83" s="337">
        <v>0</v>
      </c>
      <c r="O83" s="337"/>
      <c r="P83" s="337"/>
      <c r="Q83" s="337"/>
      <c r="R83" s="337"/>
      <c r="S83" s="337"/>
      <c r="T83" s="337"/>
      <c r="U83" s="337"/>
      <c r="V83" s="337">
        <v>0</v>
      </c>
      <c r="W83" s="289"/>
      <c r="X83" s="5"/>
    </row>
    <row r="84" spans="1:24" ht="15.75" x14ac:dyDescent="0.25">
      <c r="A84" s="285"/>
      <c r="B84" s="286" t="s">
        <v>26</v>
      </c>
      <c r="C84" s="337"/>
      <c r="D84" s="337"/>
      <c r="E84" s="337"/>
      <c r="F84" s="337"/>
      <c r="G84" s="337"/>
      <c r="H84" s="337"/>
      <c r="I84" s="337"/>
      <c r="J84" s="337"/>
      <c r="K84" s="337"/>
      <c r="L84" s="337">
        <f>SUM(L71:L83)</f>
        <v>1001133</v>
      </c>
      <c r="M84" s="337"/>
      <c r="N84" s="337">
        <f>SUM(N71:N83)</f>
        <v>810155</v>
      </c>
      <c r="O84" s="337"/>
      <c r="P84" s="337"/>
      <c r="Q84" s="337"/>
      <c r="R84" s="337"/>
      <c r="S84" s="337"/>
      <c r="T84" s="337"/>
      <c r="U84" s="337"/>
      <c r="V84" s="337">
        <f>SUM(V71:V83)</f>
        <v>804997</v>
      </c>
      <c r="W84" s="289"/>
      <c r="X84" s="5"/>
    </row>
    <row r="85" spans="1:24" ht="15.75" x14ac:dyDescent="0.25">
      <c r="A85" s="181"/>
      <c r="B85" s="212"/>
      <c r="C85" s="335"/>
      <c r="D85" s="335"/>
      <c r="E85" s="335"/>
      <c r="F85" s="335"/>
      <c r="G85" s="335"/>
      <c r="H85" s="335"/>
      <c r="I85" s="335"/>
      <c r="J85" s="335"/>
      <c r="K85" s="335"/>
      <c r="L85" s="335"/>
      <c r="M85" s="335"/>
      <c r="N85" s="335"/>
      <c r="O85" s="335"/>
      <c r="P85" s="335"/>
      <c r="Q85" s="335"/>
      <c r="R85" s="335"/>
      <c r="S85" s="335"/>
      <c r="T85" s="335"/>
      <c r="U85" s="335"/>
      <c r="V85" s="336"/>
      <c r="W85" s="212"/>
      <c r="X85" s="5"/>
    </row>
    <row r="86" spans="1:24" ht="15.75" x14ac:dyDescent="0.25">
      <c r="A86" s="181"/>
      <c r="B86" s="183"/>
      <c r="C86" s="183"/>
      <c r="D86" s="183"/>
      <c r="E86" s="183"/>
      <c r="F86" s="183"/>
      <c r="G86" s="183"/>
      <c r="H86" s="183"/>
      <c r="I86" s="183"/>
      <c r="J86" s="183"/>
      <c r="K86" s="183"/>
      <c r="L86" s="183"/>
      <c r="M86" s="183"/>
      <c r="N86" s="183"/>
      <c r="O86" s="183"/>
      <c r="P86" s="183"/>
      <c r="Q86" s="183"/>
      <c r="R86" s="183"/>
      <c r="S86" s="183"/>
      <c r="T86" s="183"/>
      <c r="U86" s="183"/>
      <c r="V86" s="183"/>
      <c r="W86" s="183"/>
      <c r="X86" s="5"/>
    </row>
    <row r="87" spans="1:24" ht="15.75" x14ac:dyDescent="0.25">
      <c r="A87" s="224"/>
      <c r="B87" s="399" t="s">
        <v>27</v>
      </c>
      <c r="C87" s="399"/>
      <c r="D87" s="399"/>
      <c r="E87" s="399"/>
      <c r="F87" s="399"/>
      <c r="G87" s="399"/>
      <c r="H87" s="400"/>
      <c r="I87" s="400"/>
      <c r="J87" s="400"/>
      <c r="K87" s="400"/>
      <c r="L87" s="401" t="s">
        <v>95</v>
      </c>
      <c r="M87" s="400"/>
      <c r="N87" s="402">
        <f>+T202</f>
        <v>41425</v>
      </c>
      <c r="O87" s="400"/>
      <c r="P87" s="400"/>
      <c r="Q87" s="400"/>
      <c r="R87" s="400"/>
      <c r="S87" s="400"/>
      <c r="T87" s="400" t="s">
        <v>107</v>
      </c>
      <c r="U87" s="400"/>
      <c r="V87" s="400" t="s">
        <v>113</v>
      </c>
      <c r="W87" s="225"/>
      <c r="X87" s="5"/>
    </row>
    <row r="88" spans="1:24" ht="15.75" x14ac:dyDescent="0.25">
      <c r="A88" s="248"/>
      <c r="B88" s="250" t="s">
        <v>28</v>
      </c>
      <c r="C88" s="194"/>
      <c r="D88" s="194"/>
      <c r="E88" s="194"/>
      <c r="F88" s="194"/>
      <c r="G88" s="194"/>
      <c r="H88" s="194"/>
      <c r="I88" s="194"/>
      <c r="J88" s="194"/>
      <c r="K88" s="194"/>
      <c r="L88" s="194"/>
      <c r="M88" s="194"/>
      <c r="N88" s="194"/>
      <c r="O88" s="194"/>
      <c r="P88" s="194"/>
      <c r="Q88" s="194"/>
      <c r="R88" s="194"/>
      <c r="S88" s="194"/>
      <c r="T88" s="249">
        <v>0</v>
      </c>
      <c r="U88" s="250"/>
      <c r="V88" s="253">
        <v>0</v>
      </c>
      <c r="W88" s="194"/>
      <c r="X88" s="5"/>
    </row>
    <row r="89" spans="1:24" ht="15.75" x14ac:dyDescent="0.25">
      <c r="A89" s="295"/>
      <c r="B89" s="286" t="s">
        <v>29</v>
      </c>
      <c r="C89" s="314"/>
      <c r="D89" s="314"/>
      <c r="E89" s="314"/>
      <c r="F89" s="314"/>
      <c r="G89" s="314"/>
      <c r="H89" s="339"/>
      <c r="I89" s="339"/>
      <c r="J89" s="339"/>
      <c r="K89" s="340"/>
      <c r="L89" s="339"/>
      <c r="M89" s="314"/>
      <c r="N89" s="341"/>
      <c r="O89" s="314"/>
      <c r="P89" s="314"/>
      <c r="Q89" s="314"/>
      <c r="R89" s="314"/>
      <c r="S89" s="314"/>
      <c r="T89" s="337">
        <f>5163-550</f>
        <v>4613</v>
      </c>
      <c r="U89" s="286"/>
      <c r="V89" s="338"/>
      <c r="W89" s="318"/>
      <c r="X89" s="5"/>
    </row>
    <row r="90" spans="1:24" ht="15.75" x14ac:dyDescent="0.25">
      <c r="A90" s="295"/>
      <c r="B90" s="286" t="s">
        <v>215</v>
      </c>
      <c r="C90" s="314"/>
      <c r="D90" s="314"/>
      <c r="E90" s="314"/>
      <c r="F90" s="314"/>
      <c r="G90" s="314"/>
      <c r="H90" s="339"/>
      <c r="I90" s="339"/>
      <c r="J90" s="339"/>
      <c r="K90" s="340"/>
      <c r="L90" s="339"/>
      <c r="M90" s="314"/>
      <c r="N90" s="341"/>
      <c r="O90" s="314"/>
      <c r="P90" s="314"/>
      <c r="Q90" s="314"/>
      <c r="R90" s="314"/>
      <c r="S90" s="314"/>
      <c r="T90" s="337"/>
      <c r="U90" s="286"/>
      <c r="V90" s="338">
        <f>3147+2671-400-339</f>
        <v>5079</v>
      </c>
      <c r="W90" s="318"/>
      <c r="X90" s="5"/>
    </row>
    <row r="91" spans="1:24" ht="15.75" x14ac:dyDescent="0.25">
      <c r="A91" s="295"/>
      <c r="B91" s="286" t="s">
        <v>210</v>
      </c>
      <c r="C91" s="314"/>
      <c r="D91" s="314"/>
      <c r="E91" s="314"/>
      <c r="F91" s="314"/>
      <c r="G91" s="314"/>
      <c r="H91" s="339"/>
      <c r="I91" s="339"/>
      <c r="J91" s="339"/>
      <c r="K91" s="340"/>
      <c r="L91" s="339"/>
      <c r="M91" s="314"/>
      <c r="N91" s="341"/>
      <c r="O91" s="314"/>
      <c r="P91" s="314"/>
      <c r="Q91" s="314"/>
      <c r="R91" s="314"/>
      <c r="S91" s="314"/>
      <c r="T91" s="337"/>
      <c r="U91" s="286"/>
      <c r="V91" s="338">
        <f>30+113</f>
        <v>143</v>
      </c>
      <c r="W91" s="318"/>
      <c r="X91" s="5"/>
    </row>
    <row r="92" spans="1:24" ht="15.75" x14ac:dyDescent="0.25">
      <c r="A92" s="295"/>
      <c r="B92" s="286" t="s">
        <v>211</v>
      </c>
      <c r="C92" s="314"/>
      <c r="D92" s="314"/>
      <c r="E92" s="314"/>
      <c r="F92" s="314"/>
      <c r="G92" s="314"/>
      <c r="H92" s="339"/>
      <c r="I92" s="339"/>
      <c r="J92" s="339"/>
      <c r="K92" s="340"/>
      <c r="L92" s="339"/>
      <c r="M92" s="314"/>
      <c r="N92" s="341"/>
      <c r="O92" s="314"/>
      <c r="P92" s="314"/>
      <c r="Q92" s="314"/>
      <c r="R92" s="314"/>
      <c r="S92" s="314"/>
      <c r="T92" s="337"/>
      <c r="U92" s="286"/>
      <c r="V92" s="338">
        <v>26</v>
      </c>
      <c r="W92" s="318"/>
      <c r="X92" s="5"/>
    </row>
    <row r="93" spans="1:24" ht="15.75" x14ac:dyDescent="0.25">
      <c r="A93" s="295"/>
      <c r="B93" s="286" t="s">
        <v>233</v>
      </c>
      <c r="C93" s="314"/>
      <c r="D93" s="314"/>
      <c r="E93" s="314"/>
      <c r="F93" s="314"/>
      <c r="G93" s="314"/>
      <c r="H93" s="339"/>
      <c r="I93" s="339"/>
      <c r="J93" s="339"/>
      <c r="K93" s="340"/>
      <c r="L93" s="339"/>
      <c r="M93" s="314"/>
      <c r="N93" s="341"/>
      <c r="O93" s="314"/>
      <c r="P93" s="314"/>
      <c r="Q93" s="314"/>
      <c r="R93" s="314"/>
      <c r="S93" s="314"/>
      <c r="T93" s="337"/>
      <c r="U93" s="286"/>
      <c r="V93" s="338">
        <v>0</v>
      </c>
      <c r="W93" s="318"/>
      <c r="X93" s="5"/>
    </row>
    <row r="94" spans="1:24" ht="15.75" x14ac:dyDescent="0.25">
      <c r="A94" s="295"/>
      <c r="B94" s="286" t="s">
        <v>235</v>
      </c>
      <c r="C94" s="314"/>
      <c r="D94" s="314"/>
      <c r="E94" s="314"/>
      <c r="F94" s="314"/>
      <c r="G94" s="314"/>
      <c r="H94" s="339"/>
      <c r="I94" s="339"/>
      <c r="J94" s="339"/>
      <c r="K94" s="340"/>
      <c r="L94" s="339"/>
      <c r="M94" s="314"/>
      <c r="N94" s="341"/>
      <c r="O94" s="314"/>
      <c r="P94" s="314"/>
      <c r="Q94" s="314"/>
      <c r="R94" s="314"/>
      <c r="S94" s="314"/>
      <c r="T94" s="337"/>
      <c r="U94" s="286"/>
      <c r="V94" s="338">
        <v>0</v>
      </c>
      <c r="W94" s="318"/>
      <c r="X94" s="5"/>
    </row>
    <row r="95" spans="1:24" ht="15.75" x14ac:dyDescent="0.25">
      <c r="A95" s="295"/>
      <c r="B95" s="286" t="s">
        <v>135</v>
      </c>
      <c r="C95" s="314"/>
      <c r="D95" s="314"/>
      <c r="E95" s="314"/>
      <c r="F95" s="314"/>
      <c r="G95" s="314"/>
      <c r="H95" s="314"/>
      <c r="I95" s="314"/>
      <c r="J95" s="314"/>
      <c r="K95" s="314"/>
      <c r="L95" s="314"/>
      <c r="M95" s="314"/>
      <c r="N95" s="314"/>
      <c r="O95" s="314"/>
      <c r="P95" s="314"/>
      <c r="Q95" s="314"/>
      <c r="R95" s="314"/>
      <c r="S95" s="314"/>
      <c r="T95" s="337"/>
      <c r="U95" s="286"/>
      <c r="V95" s="338">
        <v>0</v>
      </c>
      <c r="W95" s="318"/>
      <c r="X95" s="5"/>
    </row>
    <row r="96" spans="1:24" ht="15.75" x14ac:dyDescent="0.25">
      <c r="A96" s="295"/>
      <c r="B96" s="286" t="s">
        <v>272</v>
      </c>
      <c r="C96" s="314"/>
      <c r="D96" s="314"/>
      <c r="E96" s="314"/>
      <c r="F96" s="314"/>
      <c r="G96" s="314"/>
      <c r="H96" s="314"/>
      <c r="I96" s="314"/>
      <c r="J96" s="314"/>
      <c r="K96" s="314"/>
      <c r="L96" s="314"/>
      <c r="M96" s="314"/>
      <c r="N96" s="314"/>
      <c r="O96" s="314"/>
      <c r="P96" s="314"/>
      <c r="Q96" s="314"/>
      <c r="R96" s="314"/>
      <c r="S96" s="314"/>
      <c r="T96" s="337"/>
      <c r="U96" s="286"/>
      <c r="V96" s="338">
        <v>0</v>
      </c>
      <c r="W96" s="318"/>
      <c r="X96" s="5"/>
    </row>
    <row r="97" spans="1:25" ht="15.75" x14ac:dyDescent="0.25">
      <c r="A97" s="295"/>
      <c r="B97" s="286" t="s">
        <v>30</v>
      </c>
      <c r="C97" s="314"/>
      <c r="D97" s="314"/>
      <c r="E97" s="314"/>
      <c r="F97" s="314"/>
      <c r="G97" s="314"/>
      <c r="H97" s="314"/>
      <c r="I97" s="314"/>
      <c r="J97" s="314"/>
      <c r="K97" s="314"/>
      <c r="L97" s="314"/>
      <c r="M97" s="314"/>
      <c r="N97" s="314"/>
      <c r="O97" s="314"/>
      <c r="P97" s="314"/>
      <c r="Q97" s="314"/>
      <c r="R97" s="314"/>
      <c r="S97" s="314"/>
      <c r="T97" s="337">
        <f>SUM(T88:T96)</f>
        <v>4613</v>
      </c>
      <c r="U97" s="286"/>
      <c r="V97" s="337">
        <f>SUM(V88:V96)</f>
        <v>5248</v>
      </c>
      <c r="W97" s="318"/>
      <c r="X97" s="5"/>
    </row>
    <row r="98" spans="1:25" ht="15.75" x14ac:dyDescent="0.25">
      <c r="A98" s="295"/>
      <c r="B98" s="286" t="s">
        <v>161</v>
      </c>
      <c r="C98" s="314"/>
      <c r="D98" s="314"/>
      <c r="E98" s="314"/>
      <c r="F98" s="314"/>
      <c r="G98" s="314"/>
      <c r="H98" s="314"/>
      <c r="I98" s="314"/>
      <c r="J98" s="314"/>
      <c r="K98" s="314"/>
      <c r="L98" s="314"/>
      <c r="M98" s="314"/>
      <c r="N98" s="314"/>
      <c r="O98" s="314"/>
      <c r="P98" s="314"/>
      <c r="Q98" s="314"/>
      <c r="R98" s="314"/>
      <c r="S98" s="314"/>
      <c r="T98" s="337">
        <f>-V98</f>
        <v>0</v>
      </c>
      <c r="U98" s="286"/>
      <c r="V98" s="337">
        <v>0</v>
      </c>
      <c r="W98" s="318"/>
      <c r="X98" s="5"/>
    </row>
    <row r="99" spans="1:25" ht="15.75" x14ac:dyDescent="0.25">
      <c r="A99" s="295"/>
      <c r="B99" s="286" t="s">
        <v>31</v>
      </c>
      <c r="C99" s="314"/>
      <c r="D99" s="314"/>
      <c r="E99" s="314"/>
      <c r="F99" s="314"/>
      <c r="G99" s="314"/>
      <c r="H99" s="314"/>
      <c r="I99" s="314"/>
      <c r="J99" s="314"/>
      <c r="K99" s="314"/>
      <c r="L99" s="314"/>
      <c r="M99" s="314"/>
      <c r="N99" s="314"/>
      <c r="O99" s="314"/>
      <c r="P99" s="314"/>
      <c r="Q99" s="314"/>
      <c r="R99" s="314"/>
      <c r="S99" s="314"/>
      <c r="T99" s="337">
        <f>-V99</f>
        <v>0</v>
      </c>
      <c r="U99" s="286"/>
      <c r="V99" s="338">
        <v>0</v>
      </c>
      <c r="W99" s="318"/>
      <c r="X99" s="5"/>
    </row>
    <row r="100" spans="1:25" ht="15.75" x14ac:dyDescent="0.25">
      <c r="A100" s="295"/>
      <c r="B100" s="286" t="s">
        <v>274</v>
      </c>
      <c r="C100" s="314"/>
      <c r="D100" s="314"/>
      <c r="E100" s="314"/>
      <c r="F100" s="314"/>
      <c r="G100" s="314"/>
      <c r="H100" s="314"/>
      <c r="I100" s="314"/>
      <c r="J100" s="314"/>
      <c r="K100" s="314"/>
      <c r="L100" s="314"/>
      <c r="M100" s="314"/>
      <c r="N100" s="314"/>
      <c r="O100" s="314"/>
      <c r="P100" s="314"/>
      <c r="Q100" s="314"/>
      <c r="R100" s="314"/>
      <c r="S100" s="314"/>
      <c r="T100" s="337"/>
      <c r="U100" s="286"/>
      <c r="V100" s="338">
        <v>3</v>
      </c>
      <c r="W100" s="318"/>
      <c r="X100" s="5"/>
    </row>
    <row r="101" spans="1:25" ht="15.75" x14ac:dyDescent="0.25">
      <c r="A101" s="295"/>
      <c r="B101" s="286" t="s">
        <v>32</v>
      </c>
      <c r="C101" s="314"/>
      <c r="D101" s="314"/>
      <c r="E101" s="314"/>
      <c r="F101" s="314"/>
      <c r="G101" s="314"/>
      <c r="H101" s="314"/>
      <c r="I101" s="314"/>
      <c r="J101" s="314"/>
      <c r="K101" s="314"/>
      <c r="L101" s="314"/>
      <c r="M101" s="314"/>
      <c r="N101" s="314"/>
      <c r="O101" s="314"/>
      <c r="P101" s="314"/>
      <c r="Q101" s="314"/>
      <c r="R101" s="314"/>
      <c r="S101" s="314"/>
      <c r="T101" s="337">
        <f>T97+T99+T98</f>
        <v>4613</v>
      </c>
      <c r="U101" s="286"/>
      <c r="V101" s="337">
        <f>V97+V99+V98+V100</f>
        <v>5251</v>
      </c>
      <c r="W101" s="318"/>
      <c r="X101" s="5"/>
    </row>
    <row r="102" spans="1:25" ht="15.75" x14ac:dyDescent="0.25">
      <c r="A102" s="285"/>
      <c r="B102" s="342" t="s">
        <v>33</v>
      </c>
      <c r="C102" s="314"/>
      <c r="D102" s="314"/>
      <c r="E102" s="314"/>
      <c r="F102" s="314"/>
      <c r="G102" s="314"/>
      <c r="H102" s="314"/>
      <c r="I102" s="314"/>
      <c r="J102" s="314"/>
      <c r="K102" s="314"/>
      <c r="L102" s="314"/>
      <c r="M102" s="314"/>
      <c r="N102" s="314"/>
      <c r="O102" s="314"/>
      <c r="P102" s="314"/>
      <c r="Q102" s="314"/>
      <c r="R102" s="314"/>
      <c r="S102" s="314"/>
      <c r="T102" s="337"/>
      <c r="U102" s="286"/>
      <c r="V102" s="338"/>
      <c r="W102" s="318"/>
      <c r="X102" s="5"/>
    </row>
    <row r="103" spans="1:25" ht="15.75" x14ac:dyDescent="0.25">
      <c r="A103" s="295">
        <v>1</v>
      </c>
      <c r="B103" s="286" t="s">
        <v>34</v>
      </c>
      <c r="C103" s="286"/>
      <c r="D103" s="286"/>
      <c r="E103" s="314"/>
      <c r="F103" s="314"/>
      <c r="G103" s="314"/>
      <c r="H103" s="314"/>
      <c r="I103" s="314"/>
      <c r="J103" s="314"/>
      <c r="K103" s="314"/>
      <c r="L103" s="314"/>
      <c r="M103" s="314"/>
      <c r="N103" s="314"/>
      <c r="O103" s="314"/>
      <c r="P103" s="314"/>
      <c r="Q103" s="314"/>
      <c r="R103" s="314"/>
      <c r="S103" s="314"/>
      <c r="T103" s="286"/>
      <c r="U103" s="286"/>
      <c r="V103" s="338">
        <v>0</v>
      </c>
      <c r="W103" s="318"/>
      <c r="X103" s="5"/>
    </row>
    <row r="104" spans="1:25" ht="15.75" x14ac:dyDescent="0.25">
      <c r="A104" s="295">
        <f>+A103+1</f>
        <v>2</v>
      </c>
      <c r="B104" s="286" t="s">
        <v>314</v>
      </c>
      <c r="C104" s="286"/>
      <c r="D104" s="286"/>
      <c r="E104" s="314"/>
      <c r="F104" s="314"/>
      <c r="G104" s="314"/>
      <c r="H104" s="314"/>
      <c r="I104" s="314"/>
      <c r="J104" s="314"/>
      <c r="K104" s="314"/>
      <c r="L104" s="314"/>
      <c r="M104" s="314"/>
      <c r="N104" s="314"/>
      <c r="O104" s="314"/>
      <c r="P104" s="314"/>
      <c r="Q104" s="314"/>
      <c r="R104" s="314"/>
      <c r="S104" s="314"/>
      <c r="T104" s="286"/>
      <c r="U104" s="286"/>
      <c r="V104" s="338">
        <v>-2</v>
      </c>
      <c r="W104" s="318"/>
      <c r="X104" s="5"/>
    </row>
    <row r="105" spans="1:25" ht="15.75" x14ac:dyDescent="0.25">
      <c r="A105" s="295">
        <f>+A104+1</f>
        <v>3</v>
      </c>
      <c r="B105" s="412" t="s">
        <v>316</v>
      </c>
      <c r="C105" s="286"/>
      <c r="D105" s="286"/>
      <c r="E105" s="314"/>
      <c r="F105" s="314"/>
      <c r="G105" s="314"/>
      <c r="H105" s="314"/>
      <c r="I105" s="314"/>
      <c r="J105" s="314"/>
      <c r="K105" s="314"/>
      <c r="L105" s="314"/>
      <c r="M105" s="314"/>
      <c r="N105" s="314"/>
      <c r="O105" s="314"/>
      <c r="P105" s="314"/>
      <c r="Q105" s="314"/>
      <c r="R105" s="314"/>
      <c r="S105" s="314"/>
      <c r="T105" s="286"/>
      <c r="U105" s="286"/>
      <c r="V105" s="338">
        <f>-309-172-11</f>
        <v>-492</v>
      </c>
      <c r="W105" s="318"/>
      <c r="X105" s="5"/>
    </row>
    <row r="106" spans="1:25" ht="15.75" x14ac:dyDescent="0.25">
      <c r="A106" s="295" t="s">
        <v>127</v>
      </c>
      <c r="B106" s="286" t="s">
        <v>116</v>
      </c>
      <c r="C106" s="286"/>
      <c r="D106" s="286"/>
      <c r="E106" s="314"/>
      <c r="F106" s="314"/>
      <c r="G106" s="314"/>
      <c r="H106" s="314"/>
      <c r="I106" s="314"/>
      <c r="J106" s="314"/>
      <c r="K106" s="314"/>
      <c r="L106" s="314"/>
      <c r="M106" s="314"/>
      <c r="N106" s="314"/>
      <c r="O106" s="314"/>
      <c r="P106" s="314"/>
      <c r="Q106" s="314"/>
      <c r="R106" s="314"/>
      <c r="S106" s="314"/>
      <c r="T106" s="286"/>
      <c r="U106" s="286"/>
      <c r="V106" s="338">
        <v>0</v>
      </c>
      <c r="W106" s="318"/>
      <c r="X106" s="5"/>
    </row>
    <row r="107" spans="1:25" ht="15.75" x14ac:dyDescent="0.25">
      <c r="A107" s="295" t="s">
        <v>128</v>
      </c>
      <c r="B107" s="286" t="s">
        <v>220</v>
      </c>
      <c r="C107" s="286"/>
      <c r="D107" s="286"/>
      <c r="E107" s="314"/>
      <c r="F107" s="314"/>
      <c r="G107" s="314"/>
      <c r="H107" s="314"/>
      <c r="I107" s="314"/>
      <c r="J107" s="314"/>
      <c r="K107" s="314"/>
      <c r="L107" s="314"/>
      <c r="M107" s="314"/>
      <c r="N107" s="314"/>
      <c r="O107" s="314"/>
      <c r="P107" s="314"/>
      <c r="Q107" s="314"/>
      <c r="R107" s="314"/>
      <c r="S107" s="314"/>
      <c r="T107" s="286"/>
      <c r="U107" s="286"/>
      <c r="V107" s="338">
        <f>-1249+321</f>
        <v>-928</v>
      </c>
      <c r="W107" s="318"/>
      <c r="X107" s="5"/>
      <c r="Y107" s="109"/>
    </row>
    <row r="108" spans="1:25" ht="15.75" x14ac:dyDescent="0.25">
      <c r="A108" s="295" t="s">
        <v>150</v>
      </c>
      <c r="B108" s="286" t="s">
        <v>184</v>
      </c>
      <c r="C108" s="286"/>
      <c r="D108" s="286"/>
      <c r="E108" s="314"/>
      <c r="F108" s="314"/>
      <c r="G108" s="314"/>
      <c r="H108" s="314"/>
      <c r="I108" s="314"/>
      <c r="J108" s="314"/>
      <c r="K108" s="314"/>
      <c r="L108" s="314"/>
      <c r="M108" s="314"/>
      <c r="N108" s="314"/>
      <c r="O108" s="314"/>
      <c r="P108" s="314"/>
      <c r="Q108" s="314"/>
      <c r="R108" s="314"/>
      <c r="S108" s="314"/>
      <c r="T108" s="286"/>
      <c r="U108" s="286"/>
      <c r="V108" s="338">
        <v>-321</v>
      </c>
      <c r="W108" s="318"/>
      <c r="X108" s="5"/>
      <c r="Y108" s="109"/>
    </row>
    <row r="109" spans="1:25" ht="15.75" x14ac:dyDescent="0.25">
      <c r="A109" s="295" t="s">
        <v>205</v>
      </c>
      <c r="B109" s="286" t="s">
        <v>185</v>
      </c>
      <c r="C109" s="286"/>
      <c r="D109" s="286"/>
      <c r="E109" s="314"/>
      <c r="F109" s="314"/>
      <c r="G109" s="314"/>
      <c r="H109" s="314"/>
      <c r="I109" s="314"/>
      <c r="J109" s="314"/>
      <c r="K109" s="314"/>
      <c r="L109" s="314"/>
      <c r="M109" s="314"/>
      <c r="N109" s="314"/>
      <c r="O109" s="314"/>
      <c r="P109" s="314"/>
      <c r="Q109" s="314"/>
      <c r="R109" s="314"/>
      <c r="S109" s="314"/>
      <c r="T109" s="286"/>
      <c r="U109" s="286"/>
      <c r="V109" s="338">
        <v>-167</v>
      </c>
      <c r="W109" s="318"/>
      <c r="X109" s="5"/>
      <c r="Y109" s="109"/>
    </row>
    <row r="110" spans="1:25" ht="15.75" x14ac:dyDescent="0.25">
      <c r="A110" s="295" t="s">
        <v>206</v>
      </c>
      <c r="B110" s="286" t="s">
        <v>186</v>
      </c>
      <c r="C110" s="286"/>
      <c r="D110" s="286"/>
      <c r="E110" s="314"/>
      <c r="F110" s="314"/>
      <c r="G110" s="314"/>
      <c r="H110" s="314"/>
      <c r="I110" s="314"/>
      <c r="J110" s="314"/>
      <c r="K110" s="314"/>
      <c r="L110" s="314"/>
      <c r="M110" s="314"/>
      <c r="N110" s="314"/>
      <c r="O110" s="314"/>
      <c r="P110" s="314"/>
      <c r="Q110" s="314"/>
      <c r="R110" s="314"/>
      <c r="S110" s="314"/>
      <c r="T110" s="286"/>
      <c r="U110" s="286"/>
      <c r="V110" s="338">
        <v>-46</v>
      </c>
      <c r="W110" s="318"/>
      <c r="X110" s="5"/>
      <c r="Y110" s="109"/>
    </row>
    <row r="111" spans="1:25" ht="15.75" x14ac:dyDescent="0.25">
      <c r="A111" s="295">
        <v>6</v>
      </c>
      <c r="B111" s="286" t="s">
        <v>196</v>
      </c>
      <c r="C111" s="286"/>
      <c r="D111" s="286"/>
      <c r="E111" s="314"/>
      <c r="F111" s="314"/>
      <c r="G111" s="314"/>
      <c r="H111" s="314"/>
      <c r="I111" s="314"/>
      <c r="J111" s="314"/>
      <c r="K111" s="314"/>
      <c r="L111" s="314"/>
      <c r="M111" s="314"/>
      <c r="N111" s="314"/>
      <c r="O111" s="314"/>
      <c r="P111" s="314"/>
      <c r="Q111" s="314"/>
      <c r="R111" s="314"/>
      <c r="S111" s="314"/>
      <c r="T111" s="286"/>
      <c r="U111" s="286"/>
      <c r="V111" s="338">
        <v>-335</v>
      </c>
      <c r="W111" s="318"/>
      <c r="X111" s="5"/>
      <c r="Y111" s="109"/>
    </row>
    <row r="112" spans="1:25" ht="15.75" x14ac:dyDescent="0.25">
      <c r="A112" s="295">
        <v>7</v>
      </c>
      <c r="B112" s="412" t="s">
        <v>315</v>
      </c>
      <c r="C112" s="286"/>
      <c r="D112" s="286"/>
      <c r="E112" s="314"/>
      <c r="F112" s="314"/>
      <c r="G112" s="314"/>
      <c r="H112" s="314"/>
      <c r="I112" s="314"/>
      <c r="J112" s="314"/>
      <c r="K112" s="314"/>
      <c r="L112" s="314"/>
      <c r="M112" s="314"/>
      <c r="N112" s="314"/>
      <c r="O112" s="314"/>
      <c r="P112" s="314"/>
      <c r="Q112" s="314"/>
      <c r="R112" s="314"/>
      <c r="S112" s="314"/>
      <c r="T112" s="286"/>
      <c r="U112" s="286"/>
      <c r="V112" s="338">
        <v>0</v>
      </c>
      <c r="W112" s="318"/>
      <c r="X112" s="5"/>
      <c r="Y112" s="109"/>
    </row>
    <row r="113" spans="1:24" ht="15.75" x14ac:dyDescent="0.25">
      <c r="A113" s="295">
        <v>8</v>
      </c>
      <c r="B113" s="286" t="s">
        <v>35</v>
      </c>
      <c r="C113" s="286"/>
      <c r="D113" s="286"/>
      <c r="E113" s="314"/>
      <c r="F113" s="314"/>
      <c r="G113" s="314"/>
      <c r="H113" s="314"/>
      <c r="I113" s="314"/>
      <c r="J113" s="314"/>
      <c r="K113" s="314"/>
      <c r="L113" s="314"/>
      <c r="M113" s="314"/>
      <c r="N113" s="314"/>
      <c r="O113" s="314"/>
      <c r="P113" s="314"/>
      <c r="Q113" s="314"/>
      <c r="R113" s="314"/>
      <c r="S113" s="314"/>
      <c r="T113" s="286"/>
      <c r="U113" s="286"/>
      <c r="V113" s="338">
        <v>-9</v>
      </c>
      <c r="W113" s="318"/>
      <c r="X113" s="5"/>
    </row>
    <row r="114" spans="1:24" ht="15.75" x14ac:dyDescent="0.25">
      <c r="A114" s="295">
        <f t="shared" ref="A114:A119" si="0">+A113+1</f>
        <v>9</v>
      </c>
      <c r="B114" s="286" t="s">
        <v>45</v>
      </c>
      <c r="C114" s="286"/>
      <c r="D114" s="286"/>
      <c r="E114" s="314"/>
      <c r="F114" s="314"/>
      <c r="G114" s="314"/>
      <c r="H114" s="314"/>
      <c r="I114" s="314"/>
      <c r="J114" s="314"/>
      <c r="K114" s="314"/>
      <c r="L114" s="314"/>
      <c r="M114" s="314"/>
      <c r="N114" s="314"/>
      <c r="O114" s="314"/>
      <c r="P114" s="314"/>
      <c r="Q114" s="314"/>
      <c r="R114" s="314"/>
      <c r="S114" s="314"/>
      <c r="T114" s="337">
        <f>-V114</f>
        <v>550</v>
      </c>
      <c r="U114" s="286"/>
      <c r="V114" s="338">
        <v>-550</v>
      </c>
      <c r="W114" s="318"/>
      <c r="X114" s="5"/>
    </row>
    <row r="115" spans="1:24" ht="15.75" x14ac:dyDescent="0.25">
      <c r="A115" s="295">
        <f t="shared" si="0"/>
        <v>10</v>
      </c>
      <c r="B115" s="286" t="s">
        <v>125</v>
      </c>
      <c r="C115" s="286"/>
      <c r="D115" s="286"/>
      <c r="E115" s="314"/>
      <c r="F115" s="314"/>
      <c r="G115" s="314"/>
      <c r="H115" s="314"/>
      <c r="I115" s="314"/>
      <c r="J115" s="314"/>
      <c r="K115" s="314"/>
      <c r="L115" s="314"/>
      <c r="M115" s="314"/>
      <c r="N115" s="314"/>
      <c r="O115" s="314"/>
      <c r="P115" s="314"/>
      <c r="Q115" s="314"/>
      <c r="R115" s="314"/>
      <c r="S115" s="314"/>
      <c r="T115" s="286"/>
      <c r="U115" s="286"/>
      <c r="V115" s="338">
        <v>0</v>
      </c>
      <c r="W115" s="318"/>
      <c r="X115" s="5"/>
    </row>
    <row r="116" spans="1:24" ht="15.75" x14ac:dyDescent="0.25">
      <c r="A116" s="295">
        <f t="shared" si="0"/>
        <v>11</v>
      </c>
      <c r="B116" s="286" t="s">
        <v>225</v>
      </c>
      <c r="C116" s="286"/>
      <c r="D116" s="286"/>
      <c r="E116" s="314"/>
      <c r="F116" s="314"/>
      <c r="G116" s="314"/>
      <c r="H116" s="314"/>
      <c r="I116" s="314"/>
      <c r="J116" s="314"/>
      <c r="K116" s="314"/>
      <c r="L116" s="314"/>
      <c r="M116" s="314"/>
      <c r="N116" s="314"/>
      <c r="O116" s="314"/>
      <c r="P116" s="314"/>
      <c r="Q116" s="314"/>
      <c r="R116" s="314"/>
      <c r="S116" s="314"/>
      <c r="T116" s="286"/>
      <c r="U116" s="286"/>
      <c r="V116" s="338">
        <v>0</v>
      </c>
      <c r="W116" s="318"/>
      <c r="X116" s="5"/>
    </row>
    <row r="117" spans="1:24" ht="15.75" x14ac:dyDescent="0.25">
      <c r="A117" s="295">
        <f t="shared" si="0"/>
        <v>12</v>
      </c>
      <c r="B117" s="286" t="s">
        <v>36</v>
      </c>
      <c r="C117" s="286"/>
      <c r="D117" s="286"/>
      <c r="E117" s="314"/>
      <c r="F117" s="314"/>
      <c r="G117" s="314"/>
      <c r="H117" s="314"/>
      <c r="I117" s="314"/>
      <c r="J117" s="314"/>
      <c r="K117" s="314"/>
      <c r="L117" s="314"/>
      <c r="M117" s="314"/>
      <c r="N117" s="314"/>
      <c r="O117" s="314"/>
      <c r="P117" s="314"/>
      <c r="Q117" s="314"/>
      <c r="R117" s="314"/>
      <c r="S117" s="314"/>
      <c r="T117" s="286"/>
      <c r="U117" s="286"/>
      <c r="V117" s="338">
        <v>0</v>
      </c>
      <c r="W117" s="318"/>
      <c r="X117" s="5"/>
    </row>
    <row r="118" spans="1:24" ht="15.75" x14ac:dyDescent="0.25">
      <c r="A118" s="295">
        <f t="shared" si="0"/>
        <v>13</v>
      </c>
      <c r="B118" s="286" t="s">
        <v>149</v>
      </c>
      <c r="C118" s="286"/>
      <c r="D118" s="286"/>
      <c r="E118" s="314"/>
      <c r="F118" s="314"/>
      <c r="G118" s="314"/>
      <c r="H118" s="314"/>
      <c r="I118" s="314"/>
      <c r="J118" s="314"/>
      <c r="K118" s="314"/>
      <c r="L118" s="314"/>
      <c r="M118" s="314"/>
      <c r="N118" s="314"/>
      <c r="O118" s="314"/>
      <c r="P118" s="314"/>
      <c r="Q118" s="314"/>
      <c r="R118" s="314"/>
      <c r="S118" s="314"/>
      <c r="T118" s="286"/>
      <c r="U118" s="286"/>
      <c r="V118" s="338">
        <v>-309</v>
      </c>
      <c r="W118" s="318"/>
      <c r="X118" s="5"/>
    </row>
    <row r="119" spans="1:24" ht="15.75" x14ac:dyDescent="0.25">
      <c r="A119" s="295">
        <f t="shared" si="0"/>
        <v>14</v>
      </c>
      <c r="B119" s="286" t="s">
        <v>126</v>
      </c>
      <c r="C119" s="286"/>
      <c r="D119" s="286"/>
      <c r="E119" s="314"/>
      <c r="F119" s="314"/>
      <c r="G119" s="314"/>
      <c r="H119" s="314"/>
      <c r="I119" s="314"/>
      <c r="J119" s="314"/>
      <c r="K119" s="314"/>
      <c r="L119" s="314"/>
      <c r="M119" s="314"/>
      <c r="N119" s="314"/>
      <c r="O119" s="314"/>
      <c r="P119" s="314"/>
      <c r="Q119" s="314"/>
      <c r="R119" s="314"/>
      <c r="S119" s="314"/>
      <c r="T119" s="286"/>
      <c r="U119" s="286"/>
      <c r="V119" s="338">
        <f>-V101-SUM(V103:V118)</f>
        <v>-2092</v>
      </c>
      <c r="W119" s="318"/>
      <c r="X119" s="5"/>
    </row>
    <row r="120" spans="1:24" ht="15.75" x14ac:dyDescent="0.25">
      <c r="A120" s="285"/>
      <c r="B120" s="342" t="s">
        <v>37</v>
      </c>
      <c r="C120" s="314"/>
      <c r="D120" s="314"/>
      <c r="E120" s="314"/>
      <c r="F120" s="314"/>
      <c r="G120" s="314"/>
      <c r="H120" s="314"/>
      <c r="I120" s="314"/>
      <c r="J120" s="314"/>
      <c r="K120" s="314"/>
      <c r="L120" s="314"/>
      <c r="M120" s="314"/>
      <c r="N120" s="314"/>
      <c r="O120" s="314"/>
      <c r="P120" s="314"/>
      <c r="Q120" s="314"/>
      <c r="R120" s="314"/>
      <c r="S120" s="314"/>
      <c r="T120" s="286"/>
      <c r="U120" s="286"/>
      <c r="V120" s="343"/>
      <c r="W120" s="318"/>
      <c r="X120" s="5"/>
    </row>
    <row r="121" spans="1:24" ht="15.75" x14ac:dyDescent="0.25">
      <c r="A121" s="285"/>
      <c r="B121" s="286" t="s">
        <v>173</v>
      </c>
      <c r="C121" s="314"/>
      <c r="D121" s="314"/>
      <c r="E121" s="314"/>
      <c r="F121" s="314"/>
      <c r="G121" s="314"/>
      <c r="H121" s="314"/>
      <c r="I121" s="314"/>
      <c r="J121" s="314"/>
      <c r="K121" s="314"/>
      <c r="L121" s="314"/>
      <c r="M121" s="314"/>
      <c r="N121" s="314"/>
      <c r="O121" s="314"/>
      <c r="P121" s="314"/>
      <c r="Q121" s="314"/>
      <c r="R121" s="314"/>
      <c r="S121" s="314"/>
      <c r="T121" s="337">
        <f>-T186</f>
        <v>0</v>
      </c>
      <c r="U121" s="337"/>
      <c r="V121" s="338"/>
      <c r="W121" s="318"/>
      <c r="X121" s="5"/>
    </row>
    <row r="122" spans="1:24" ht="15.75" x14ac:dyDescent="0.25">
      <c r="A122" s="285"/>
      <c r="B122" s="286" t="s">
        <v>174</v>
      </c>
      <c r="C122" s="314"/>
      <c r="D122" s="314"/>
      <c r="E122" s="314"/>
      <c r="F122" s="314"/>
      <c r="G122" s="314"/>
      <c r="H122" s="314"/>
      <c r="I122" s="314"/>
      <c r="J122" s="314"/>
      <c r="K122" s="314"/>
      <c r="L122" s="314"/>
      <c r="M122" s="314"/>
      <c r="N122" s="314"/>
      <c r="O122" s="314"/>
      <c r="P122" s="314"/>
      <c r="Q122" s="314"/>
      <c r="R122" s="314"/>
      <c r="S122" s="314"/>
      <c r="T122" s="337">
        <v>-5</v>
      </c>
      <c r="U122" s="337"/>
      <c r="V122" s="338"/>
      <c r="W122" s="318"/>
      <c r="X122" s="5"/>
    </row>
    <row r="123" spans="1:24" ht="15.75" x14ac:dyDescent="0.25">
      <c r="A123" s="285"/>
      <c r="B123" s="286" t="s">
        <v>38</v>
      </c>
      <c r="C123" s="314"/>
      <c r="D123" s="314"/>
      <c r="E123" s="314"/>
      <c r="F123" s="314"/>
      <c r="G123" s="314"/>
      <c r="H123" s="314"/>
      <c r="I123" s="314"/>
      <c r="J123" s="314"/>
      <c r="K123" s="314"/>
      <c r="L123" s="314"/>
      <c r="M123" s="314"/>
      <c r="N123" s="314"/>
      <c r="O123" s="314"/>
      <c r="P123" s="314"/>
      <c r="Q123" s="314"/>
      <c r="R123" s="314"/>
      <c r="S123" s="314"/>
      <c r="T123" s="337">
        <f>-S186</f>
        <v>0</v>
      </c>
      <c r="U123" s="337"/>
      <c r="V123" s="338"/>
      <c r="W123" s="318"/>
      <c r="X123" s="5"/>
    </row>
    <row r="124" spans="1:24" ht="15.75" x14ac:dyDescent="0.25">
      <c r="A124" s="285"/>
      <c r="B124" s="286" t="s">
        <v>197</v>
      </c>
      <c r="C124" s="314"/>
      <c r="D124" s="314"/>
      <c r="E124" s="314"/>
      <c r="F124" s="314"/>
      <c r="G124" s="314"/>
      <c r="H124" s="314"/>
      <c r="I124" s="314"/>
      <c r="J124" s="314"/>
      <c r="K124" s="314"/>
      <c r="L124" s="314"/>
      <c r="M124" s="314"/>
      <c r="N124" s="314"/>
      <c r="O124" s="314"/>
      <c r="P124" s="314"/>
      <c r="Q124" s="314"/>
      <c r="R124" s="314"/>
      <c r="S124" s="314"/>
      <c r="T124" s="337">
        <v>-2988</v>
      </c>
      <c r="U124" s="337"/>
      <c r="V124" s="338"/>
      <c r="W124" s="318"/>
      <c r="X124" s="5"/>
    </row>
    <row r="125" spans="1:24" ht="15.75" x14ac:dyDescent="0.25">
      <c r="A125" s="285"/>
      <c r="B125" s="286" t="s">
        <v>195</v>
      </c>
      <c r="C125" s="314"/>
      <c r="D125" s="314"/>
      <c r="E125" s="314"/>
      <c r="F125" s="314"/>
      <c r="G125" s="314"/>
      <c r="H125" s="314"/>
      <c r="I125" s="314"/>
      <c r="J125" s="314"/>
      <c r="K125" s="314"/>
      <c r="L125" s="314"/>
      <c r="M125" s="314"/>
      <c r="N125" s="314"/>
      <c r="O125" s="314"/>
      <c r="P125" s="314"/>
      <c r="Q125" s="314"/>
      <c r="R125" s="314"/>
      <c r="S125" s="314"/>
      <c r="T125" s="337">
        <v>-1270</v>
      </c>
      <c r="U125" s="337"/>
      <c r="V125" s="338"/>
      <c r="W125" s="318"/>
      <c r="X125" s="5"/>
    </row>
    <row r="126" spans="1:24" ht="15.75" x14ac:dyDescent="0.25">
      <c r="A126" s="285"/>
      <c r="B126" s="286" t="s">
        <v>194</v>
      </c>
      <c r="C126" s="314"/>
      <c r="D126" s="314"/>
      <c r="E126" s="314"/>
      <c r="F126" s="314"/>
      <c r="G126" s="314"/>
      <c r="H126" s="314"/>
      <c r="I126" s="314"/>
      <c r="J126" s="314"/>
      <c r="K126" s="314"/>
      <c r="L126" s="314"/>
      <c r="M126" s="314"/>
      <c r="N126" s="314"/>
      <c r="O126" s="314"/>
      <c r="P126" s="314"/>
      <c r="Q126" s="314"/>
      <c r="R126" s="314"/>
      <c r="S126" s="314"/>
      <c r="T126" s="337">
        <v>-452</v>
      </c>
      <c r="U126" s="337"/>
      <c r="V126" s="338"/>
      <c r="W126" s="318"/>
      <c r="X126" s="5"/>
    </row>
    <row r="127" spans="1:24" ht="15.75" x14ac:dyDescent="0.25">
      <c r="A127" s="285"/>
      <c r="B127" s="286" t="s">
        <v>222</v>
      </c>
      <c r="C127" s="314"/>
      <c r="D127" s="314"/>
      <c r="E127" s="314"/>
      <c r="F127" s="314"/>
      <c r="G127" s="314"/>
      <c r="H127" s="314"/>
      <c r="I127" s="314"/>
      <c r="J127" s="314"/>
      <c r="K127" s="314"/>
      <c r="L127" s="314"/>
      <c r="M127" s="314"/>
      <c r="N127" s="314"/>
      <c r="O127" s="314"/>
      <c r="P127" s="314"/>
      <c r="Q127" s="314"/>
      <c r="R127" s="314"/>
      <c r="S127" s="314"/>
      <c r="T127" s="337">
        <v>-448</v>
      </c>
      <c r="U127" s="337"/>
      <c r="V127" s="338"/>
      <c r="W127" s="318"/>
      <c r="X127" s="5"/>
    </row>
    <row r="128" spans="1:24" ht="15.75" x14ac:dyDescent="0.25">
      <c r="A128" s="285"/>
      <c r="B128" s="286" t="s">
        <v>189</v>
      </c>
      <c r="C128" s="314"/>
      <c r="D128" s="314"/>
      <c r="E128" s="314"/>
      <c r="F128" s="314"/>
      <c r="G128" s="314"/>
      <c r="H128" s="314"/>
      <c r="I128" s="314"/>
      <c r="J128" s="314"/>
      <c r="K128" s="314"/>
      <c r="L128" s="314"/>
      <c r="M128" s="314"/>
      <c r="N128" s="314"/>
      <c r="O128" s="314"/>
      <c r="P128" s="314"/>
      <c r="Q128" s="314"/>
      <c r="R128" s="314"/>
      <c r="S128" s="314"/>
      <c r="T128" s="337">
        <v>0</v>
      </c>
      <c r="U128" s="337"/>
      <c r="V128" s="338"/>
      <c r="W128" s="318"/>
      <c r="X128" s="5"/>
    </row>
    <row r="129" spans="1:24" ht="15.75" x14ac:dyDescent="0.25">
      <c r="A129" s="285"/>
      <c r="B129" s="286" t="s">
        <v>188</v>
      </c>
      <c r="C129" s="314"/>
      <c r="D129" s="314"/>
      <c r="E129" s="314"/>
      <c r="F129" s="314"/>
      <c r="G129" s="314"/>
      <c r="H129" s="314"/>
      <c r="I129" s="314"/>
      <c r="J129" s="314"/>
      <c r="K129" s="314"/>
      <c r="L129" s="314"/>
      <c r="M129" s="314"/>
      <c r="N129" s="314"/>
      <c r="O129" s="314"/>
      <c r="P129" s="314"/>
      <c r="Q129" s="314"/>
      <c r="R129" s="314"/>
      <c r="S129" s="314"/>
      <c r="T129" s="337">
        <v>0</v>
      </c>
      <c r="U129" s="337"/>
      <c r="V129" s="338"/>
      <c r="W129" s="318"/>
      <c r="X129" s="5"/>
    </row>
    <row r="130" spans="1:24" ht="15.75" x14ac:dyDescent="0.25">
      <c r="A130" s="285"/>
      <c r="B130" s="286" t="s">
        <v>187</v>
      </c>
      <c r="C130" s="314"/>
      <c r="D130" s="314"/>
      <c r="E130" s="314"/>
      <c r="F130" s="314"/>
      <c r="G130" s="314"/>
      <c r="H130" s="314"/>
      <c r="I130" s="314"/>
      <c r="J130" s="314"/>
      <c r="K130" s="314"/>
      <c r="L130" s="314"/>
      <c r="M130" s="314"/>
      <c r="N130" s="314"/>
      <c r="O130" s="314"/>
      <c r="P130" s="314"/>
      <c r="Q130" s="314"/>
      <c r="R130" s="314"/>
      <c r="S130" s="314"/>
      <c r="T130" s="337">
        <v>0</v>
      </c>
      <c r="U130" s="337"/>
      <c r="V130" s="338"/>
      <c r="W130" s="318"/>
      <c r="X130" s="5"/>
    </row>
    <row r="131" spans="1:24" ht="15.75" x14ac:dyDescent="0.25">
      <c r="A131" s="285"/>
      <c r="B131" s="286" t="s">
        <v>39</v>
      </c>
      <c r="C131" s="314"/>
      <c r="D131" s="314"/>
      <c r="E131" s="314"/>
      <c r="F131" s="314"/>
      <c r="G131" s="314"/>
      <c r="H131" s="314"/>
      <c r="I131" s="314"/>
      <c r="J131" s="314"/>
      <c r="K131" s="314"/>
      <c r="L131" s="314"/>
      <c r="M131" s="314"/>
      <c r="N131" s="314"/>
      <c r="O131" s="314"/>
      <c r="P131" s="314"/>
      <c r="Q131" s="314"/>
      <c r="R131" s="314"/>
      <c r="S131" s="314"/>
      <c r="T131" s="337">
        <f>SUM(T121:T130)</f>
        <v>-5163</v>
      </c>
      <c r="U131" s="337"/>
      <c r="V131" s="337">
        <f>SUM(V102:V129)</f>
        <v>-5251</v>
      </c>
      <c r="W131" s="318"/>
      <c r="X131" s="5"/>
    </row>
    <row r="132" spans="1:24" ht="15.75" x14ac:dyDescent="0.25">
      <c r="A132" s="285"/>
      <c r="B132" s="286" t="s">
        <v>40</v>
      </c>
      <c r="C132" s="314"/>
      <c r="D132" s="314"/>
      <c r="E132" s="314"/>
      <c r="F132" s="314"/>
      <c r="G132" s="314"/>
      <c r="H132" s="314"/>
      <c r="I132" s="314"/>
      <c r="J132" s="314"/>
      <c r="K132" s="314"/>
      <c r="L132" s="314"/>
      <c r="M132" s="314"/>
      <c r="N132" s="314"/>
      <c r="O132" s="314"/>
      <c r="P132" s="314"/>
      <c r="Q132" s="314"/>
      <c r="R132" s="314"/>
      <c r="S132" s="314"/>
      <c r="T132" s="337">
        <f>T101+T131+T114</f>
        <v>0</v>
      </c>
      <c r="U132" s="337"/>
      <c r="V132" s="337">
        <f>V101+V131</f>
        <v>0</v>
      </c>
      <c r="W132" s="318"/>
      <c r="X132" s="5"/>
    </row>
    <row r="133" spans="1:24" ht="15.75" x14ac:dyDescent="0.25">
      <c r="A133" s="181"/>
      <c r="B133" s="212"/>
      <c r="C133" s="212"/>
      <c r="D133" s="212"/>
      <c r="E133" s="212"/>
      <c r="F133" s="212"/>
      <c r="G133" s="212"/>
      <c r="H133" s="212"/>
      <c r="I133" s="212"/>
      <c r="J133" s="212"/>
      <c r="K133" s="212"/>
      <c r="L133" s="212"/>
      <c r="M133" s="212"/>
      <c r="N133" s="212"/>
      <c r="O133" s="212"/>
      <c r="P133" s="212"/>
      <c r="Q133" s="212"/>
      <c r="R133" s="212"/>
      <c r="S133" s="212"/>
      <c r="T133" s="335"/>
      <c r="U133" s="335"/>
      <c r="V133" s="335"/>
      <c r="W133" s="212"/>
      <c r="X133" s="5"/>
    </row>
    <row r="134" spans="1:24" ht="15.75" x14ac:dyDescent="0.25">
      <c r="A134" s="181"/>
      <c r="B134" s="183"/>
      <c r="C134" s="183"/>
      <c r="D134" s="183"/>
      <c r="E134" s="183"/>
      <c r="F134" s="183"/>
      <c r="G134" s="183"/>
      <c r="H134" s="183"/>
      <c r="I134" s="183"/>
      <c r="J134" s="183"/>
      <c r="K134" s="183"/>
      <c r="L134" s="183"/>
      <c r="M134" s="183"/>
      <c r="N134" s="183"/>
      <c r="O134" s="183"/>
      <c r="P134" s="183"/>
      <c r="Q134" s="183"/>
      <c r="R134" s="183"/>
      <c r="S134" s="183"/>
      <c r="T134" s="183"/>
      <c r="U134" s="183"/>
      <c r="V134" s="202"/>
      <c r="W134" s="183"/>
      <c r="X134" s="5"/>
    </row>
    <row r="135" spans="1:24" ht="19.5" thickBot="1" x14ac:dyDescent="0.35">
      <c r="A135" s="197"/>
      <c r="B135" s="270" t="str">
        <f>B64</f>
        <v>PM15 INVESTOR REPORT QUARTER ENDING MAY 2013</v>
      </c>
      <c r="C135" s="198"/>
      <c r="D135" s="198"/>
      <c r="E135" s="198"/>
      <c r="F135" s="198"/>
      <c r="G135" s="198"/>
      <c r="H135" s="198"/>
      <c r="I135" s="198"/>
      <c r="J135" s="198"/>
      <c r="K135" s="198"/>
      <c r="L135" s="198"/>
      <c r="M135" s="198"/>
      <c r="N135" s="198"/>
      <c r="O135" s="198"/>
      <c r="P135" s="198"/>
      <c r="Q135" s="198"/>
      <c r="R135" s="198"/>
      <c r="S135" s="198"/>
      <c r="T135" s="198"/>
      <c r="U135" s="198"/>
      <c r="V135" s="209"/>
      <c r="W135" s="200"/>
      <c r="X135" s="5"/>
    </row>
    <row r="136" spans="1:24" ht="15.75" x14ac:dyDescent="0.25">
      <c r="A136" s="236"/>
      <c r="B136" s="403" t="s">
        <v>41</v>
      </c>
      <c r="C136" s="238"/>
      <c r="D136" s="238"/>
      <c r="E136" s="238"/>
      <c r="F136" s="238"/>
      <c r="G136" s="238"/>
      <c r="H136" s="238"/>
      <c r="I136" s="238"/>
      <c r="J136" s="238"/>
      <c r="K136" s="238"/>
      <c r="L136" s="238"/>
      <c r="M136" s="238"/>
      <c r="N136" s="238"/>
      <c r="O136" s="238"/>
      <c r="P136" s="238"/>
      <c r="Q136" s="238"/>
      <c r="R136" s="238"/>
      <c r="S136" s="238"/>
      <c r="T136" s="238"/>
      <c r="U136" s="238"/>
      <c r="V136" s="239"/>
      <c r="W136" s="238"/>
      <c r="X136" s="5"/>
    </row>
    <row r="137" spans="1:24" ht="15.75" x14ac:dyDescent="0.25">
      <c r="A137" s="181"/>
      <c r="B137" s="191"/>
      <c r="C137" s="183"/>
      <c r="D137" s="183"/>
      <c r="E137" s="183"/>
      <c r="F137" s="183"/>
      <c r="G137" s="183"/>
      <c r="H137" s="183"/>
      <c r="I137" s="183"/>
      <c r="J137" s="183"/>
      <c r="K137" s="183"/>
      <c r="L137" s="183"/>
      <c r="M137" s="183"/>
      <c r="N137" s="183"/>
      <c r="O137" s="183"/>
      <c r="P137" s="183"/>
      <c r="Q137" s="183"/>
      <c r="R137" s="183"/>
      <c r="S137" s="183"/>
      <c r="T137" s="183"/>
      <c r="U137" s="183"/>
      <c r="V137" s="202"/>
      <c r="W137" s="183"/>
      <c r="X137" s="5"/>
    </row>
    <row r="138" spans="1:24" ht="15.75" x14ac:dyDescent="0.25">
      <c r="A138" s="181"/>
      <c r="B138" s="210" t="s">
        <v>42</v>
      </c>
      <c r="C138" s="183"/>
      <c r="D138" s="183"/>
      <c r="E138" s="183"/>
      <c r="F138" s="183"/>
      <c r="G138" s="183"/>
      <c r="H138" s="183"/>
      <c r="I138" s="183"/>
      <c r="J138" s="183"/>
      <c r="K138" s="183"/>
      <c r="L138" s="183"/>
      <c r="M138" s="183"/>
      <c r="N138" s="183"/>
      <c r="O138" s="183"/>
      <c r="P138" s="183"/>
      <c r="Q138" s="183"/>
      <c r="R138" s="183"/>
      <c r="S138" s="183"/>
      <c r="T138" s="183"/>
      <c r="U138" s="183"/>
      <c r="V138" s="202"/>
      <c r="W138" s="183"/>
      <c r="X138" s="5"/>
    </row>
    <row r="139" spans="1:24" ht="15.75" x14ac:dyDescent="0.25">
      <c r="A139" s="285"/>
      <c r="B139" s="286" t="s">
        <v>43</v>
      </c>
      <c r="C139" s="286"/>
      <c r="D139" s="286"/>
      <c r="E139" s="286"/>
      <c r="F139" s="286"/>
      <c r="G139" s="286"/>
      <c r="H139" s="286"/>
      <c r="I139" s="286"/>
      <c r="J139" s="286"/>
      <c r="K139" s="286"/>
      <c r="L139" s="286"/>
      <c r="M139" s="286"/>
      <c r="N139" s="286"/>
      <c r="O139" s="286"/>
      <c r="P139" s="286"/>
      <c r="Q139" s="286"/>
      <c r="R139" s="286"/>
      <c r="S139" s="286"/>
      <c r="T139" s="286"/>
      <c r="U139" s="286"/>
      <c r="V139" s="338">
        <f>+V34*0.019</f>
        <v>19021.526999999998</v>
      </c>
      <c r="W139" s="289"/>
      <c r="X139" s="5"/>
    </row>
    <row r="140" spans="1:24" ht="15.75" x14ac:dyDescent="0.25">
      <c r="A140" s="285"/>
      <c r="B140" s="286" t="s">
        <v>44</v>
      </c>
      <c r="C140" s="286"/>
      <c r="D140" s="286"/>
      <c r="E140" s="286"/>
      <c r="F140" s="286"/>
      <c r="G140" s="286"/>
      <c r="H140" s="286"/>
      <c r="I140" s="286"/>
      <c r="J140" s="286"/>
      <c r="K140" s="286"/>
      <c r="L140" s="286"/>
      <c r="M140" s="286"/>
      <c r="N140" s="286"/>
      <c r="O140" s="286"/>
      <c r="P140" s="286"/>
      <c r="Q140" s="286"/>
      <c r="R140" s="286"/>
      <c r="S140" s="286"/>
      <c r="T140" s="286"/>
      <c r="U140" s="286"/>
      <c r="V140" s="338">
        <v>19022</v>
      </c>
      <c r="W140" s="289"/>
      <c r="X140" s="5"/>
    </row>
    <row r="141" spans="1:24" ht="15.75" x14ac:dyDescent="0.25">
      <c r="A141" s="285"/>
      <c r="B141" s="286" t="s">
        <v>136</v>
      </c>
      <c r="C141" s="286"/>
      <c r="D141" s="286"/>
      <c r="E141" s="286"/>
      <c r="F141" s="286"/>
      <c r="G141" s="286"/>
      <c r="H141" s="286"/>
      <c r="I141" s="286"/>
      <c r="J141" s="286"/>
      <c r="K141" s="286"/>
      <c r="L141" s="286"/>
      <c r="M141" s="286"/>
      <c r="N141" s="286"/>
      <c r="O141" s="286"/>
      <c r="P141" s="286"/>
      <c r="Q141" s="286"/>
      <c r="R141" s="286"/>
      <c r="S141" s="286"/>
      <c r="T141" s="286"/>
      <c r="U141" s="286"/>
      <c r="V141" s="338"/>
      <c r="W141" s="289"/>
      <c r="X141" s="5"/>
    </row>
    <row r="142" spans="1:24" ht="15.75" x14ac:dyDescent="0.25">
      <c r="A142" s="285"/>
      <c r="B142" s="286" t="s">
        <v>123</v>
      </c>
      <c r="C142" s="286"/>
      <c r="D142" s="286"/>
      <c r="E142" s="286"/>
      <c r="F142" s="286"/>
      <c r="G142" s="286"/>
      <c r="H142" s="286"/>
      <c r="I142" s="286"/>
      <c r="J142" s="286"/>
      <c r="K142" s="286"/>
      <c r="L142" s="286"/>
      <c r="M142" s="286"/>
      <c r="N142" s="286"/>
      <c r="O142" s="286"/>
      <c r="P142" s="286"/>
      <c r="Q142" s="286"/>
      <c r="R142" s="286"/>
      <c r="S142" s="286"/>
      <c r="T142" s="286"/>
      <c r="U142" s="286"/>
      <c r="V142" s="338">
        <v>0</v>
      </c>
      <c r="W142" s="289"/>
      <c r="X142" s="5"/>
    </row>
    <row r="143" spans="1:24" ht="15.75" x14ac:dyDescent="0.25">
      <c r="A143" s="285"/>
      <c r="B143" s="286" t="s">
        <v>124</v>
      </c>
      <c r="C143" s="286"/>
      <c r="D143" s="286"/>
      <c r="E143" s="286"/>
      <c r="F143" s="286"/>
      <c r="G143" s="286"/>
      <c r="H143" s="286"/>
      <c r="I143" s="286"/>
      <c r="J143" s="286"/>
      <c r="K143" s="286"/>
      <c r="L143" s="286"/>
      <c r="M143" s="286"/>
      <c r="N143" s="286"/>
      <c r="O143" s="286"/>
      <c r="P143" s="286"/>
      <c r="Q143" s="286"/>
      <c r="R143" s="286"/>
      <c r="S143" s="286"/>
      <c r="T143" s="286"/>
      <c r="U143" s="286"/>
      <c r="V143" s="338">
        <v>0</v>
      </c>
      <c r="W143" s="289"/>
      <c r="X143" s="5"/>
    </row>
    <row r="144" spans="1:24" ht="15.75" x14ac:dyDescent="0.25">
      <c r="A144" s="285"/>
      <c r="B144" s="286" t="s">
        <v>175</v>
      </c>
      <c r="C144" s="286"/>
      <c r="D144" s="286"/>
      <c r="E144" s="286"/>
      <c r="F144" s="286"/>
      <c r="G144" s="286"/>
      <c r="H144" s="286"/>
      <c r="I144" s="286"/>
      <c r="J144" s="286"/>
      <c r="K144" s="286"/>
      <c r="L144" s="286"/>
      <c r="M144" s="286"/>
      <c r="N144" s="286"/>
      <c r="O144" s="286"/>
      <c r="P144" s="286"/>
      <c r="Q144" s="286"/>
      <c r="R144" s="286"/>
      <c r="S144" s="286"/>
      <c r="T144" s="286"/>
      <c r="U144" s="286"/>
      <c r="V144" s="338">
        <v>0</v>
      </c>
      <c r="W144" s="289"/>
      <c r="X144" s="5"/>
    </row>
    <row r="145" spans="1:25" ht="15.75" x14ac:dyDescent="0.25">
      <c r="A145" s="285"/>
      <c r="B145" s="286" t="s">
        <v>45</v>
      </c>
      <c r="C145" s="286"/>
      <c r="D145" s="286"/>
      <c r="E145" s="286"/>
      <c r="F145" s="286"/>
      <c r="G145" s="286"/>
      <c r="H145" s="286"/>
      <c r="I145" s="286"/>
      <c r="J145" s="286"/>
      <c r="K145" s="286"/>
      <c r="L145" s="286"/>
      <c r="M145" s="286"/>
      <c r="N145" s="286"/>
      <c r="O145" s="286"/>
      <c r="P145" s="286"/>
      <c r="Q145" s="286"/>
      <c r="R145" s="286"/>
      <c r="S145" s="286"/>
      <c r="T145" s="286"/>
      <c r="U145" s="286"/>
      <c r="V145" s="338">
        <v>0</v>
      </c>
      <c r="W145" s="289"/>
      <c r="X145" s="5"/>
    </row>
    <row r="146" spans="1:25" ht="15.75" x14ac:dyDescent="0.25">
      <c r="A146" s="285"/>
      <c r="B146" s="286" t="s">
        <v>129</v>
      </c>
      <c r="C146" s="286"/>
      <c r="D146" s="286"/>
      <c r="E146" s="286"/>
      <c r="F146" s="286"/>
      <c r="G146" s="286"/>
      <c r="H146" s="286"/>
      <c r="I146" s="286"/>
      <c r="J146" s="286"/>
      <c r="K146" s="286"/>
      <c r="L146" s="286"/>
      <c r="M146" s="286"/>
      <c r="N146" s="286"/>
      <c r="O146" s="286"/>
      <c r="P146" s="286"/>
      <c r="Q146" s="286"/>
      <c r="R146" s="286"/>
      <c r="S146" s="286"/>
      <c r="T146" s="286"/>
      <c r="U146" s="286"/>
      <c r="V146" s="338">
        <v>0</v>
      </c>
      <c r="W146" s="289"/>
      <c r="X146" s="5"/>
    </row>
    <row r="147" spans="1:25" ht="15.75" x14ac:dyDescent="0.25">
      <c r="A147" s="285"/>
      <c r="B147" s="286" t="s">
        <v>241</v>
      </c>
      <c r="C147" s="286"/>
      <c r="D147" s="286"/>
      <c r="E147" s="286"/>
      <c r="F147" s="286"/>
      <c r="G147" s="286"/>
      <c r="H147" s="286"/>
      <c r="I147" s="286"/>
      <c r="J147" s="286"/>
      <c r="K147" s="286"/>
      <c r="L147" s="286"/>
      <c r="M147" s="286"/>
      <c r="N147" s="286"/>
      <c r="O147" s="286"/>
      <c r="P147" s="286"/>
      <c r="Q147" s="286"/>
      <c r="R147" s="286"/>
      <c r="S147" s="286"/>
      <c r="T147" s="286"/>
      <c r="U147" s="286"/>
      <c r="V147" s="338">
        <v>0</v>
      </c>
      <c r="W147" s="289"/>
      <c r="X147" s="5"/>
      <c r="Y147" s="109"/>
    </row>
    <row r="148" spans="1:25" ht="15.75" x14ac:dyDescent="0.25">
      <c r="A148" s="285"/>
      <c r="B148" s="286" t="s">
        <v>46</v>
      </c>
      <c r="C148" s="286"/>
      <c r="D148" s="286"/>
      <c r="E148" s="286"/>
      <c r="F148" s="286"/>
      <c r="G148" s="286"/>
      <c r="H148" s="286"/>
      <c r="I148" s="286"/>
      <c r="J148" s="286"/>
      <c r="K148" s="286"/>
      <c r="L148" s="286"/>
      <c r="M148" s="286"/>
      <c r="N148" s="286"/>
      <c r="O148" s="286"/>
      <c r="P148" s="286"/>
      <c r="Q148" s="286"/>
      <c r="R148" s="286"/>
      <c r="S148" s="286"/>
      <c r="T148" s="286"/>
      <c r="U148" s="286"/>
      <c r="V148" s="338">
        <f>SUM(V140:V147)</f>
        <v>19022</v>
      </c>
      <c r="W148" s="289"/>
      <c r="X148" s="5"/>
    </row>
    <row r="149" spans="1:25" ht="15.75" x14ac:dyDescent="0.25">
      <c r="A149" s="285"/>
      <c r="B149" s="314"/>
      <c r="C149" s="314"/>
      <c r="D149" s="314"/>
      <c r="E149" s="314"/>
      <c r="F149" s="314"/>
      <c r="G149" s="314"/>
      <c r="H149" s="314"/>
      <c r="I149" s="314"/>
      <c r="J149" s="314"/>
      <c r="K149" s="314"/>
      <c r="L149" s="314"/>
      <c r="M149" s="314"/>
      <c r="N149" s="314"/>
      <c r="O149" s="314"/>
      <c r="P149" s="314"/>
      <c r="Q149" s="314"/>
      <c r="R149" s="314"/>
      <c r="S149" s="314"/>
      <c r="T149" s="314"/>
      <c r="U149" s="314"/>
      <c r="V149" s="345"/>
      <c r="W149" s="318"/>
      <c r="X149" s="5"/>
    </row>
    <row r="150" spans="1:25" ht="15.75" x14ac:dyDescent="0.25">
      <c r="A150" s="285"/>
      <c r="B150" s="342" t="s">
        <v>269</v>
      </c>
      <c r="C150" s="314"/>
      <c r="D150" s="314"/>
      <c r="E150" s="314"/>
      <c r="F150" s="314"/>
      <c r="G150" s="314"/>
      <c r="H150" s="314"/>
      <c r="I150" s="314"/>
      <c r="J150" s="314"/>
      <c r="K150" s="314"/>
      <c r="L150" s="314"/>
      <c r="M150" s="314"/>
      <c r="N150" s="314"/>
      <c r="O150" s="314"/>
      <c r="P150" s="314"/>
      <c r="Q150" s="314"/>
      <c r="R150" s="314"/>
      <c r="S150" s="314"/>
      <c r="T150" s="314"/>
      <c r="U150" s="314"/>
      <c r="V150" s="345"/>
      <c r="W150" s="318"/>
      <c r="X150" s="5"/>
    </row>
    <row r="151" spans="1:25" ht="15.75" x14ac:dyDescent="0.25">
      <c r="A151" s="285"/>
      <c r="B151" s="286" t="s">
        <v>155</v>
      </c>
      <c r="C151" s="286"/>
      <c r="D151" s="286"/>
      <c r="E151" s="286"/>
      <c r="F151" s="286"/>
      <c r="G151" s="286"/>
      <c r="H151" s="286"/>
      <c r="I151" s="286"/>
      <c r="J151" s="286"/>
      <c r="K151" s="286"/>
      <c r="L151" s="286"/>
      <c r="M151" s="286"/>
      <c r="N151" s="286"/>
      <c r="O151" s="286"/>
      <c r="P151" s="286"/>
      <c r="Q151" s="286"/>
      <c r="R151" s="286"/>
      <c r="S151" s="286"/>
      <c r="T151" s="286"/>
      <c r="U151" s="286"/>
      <c r="V151" s="338">
        <v>0</v>
      </c>
      <c r="W151" s="289"/>
      <c r="X151" s="5"/>
    </row>
    <row r="152" spans="1:25" ht="15.75" x14ac:dyDescent="0.25">
      <c r="A152" s="285"/>
      <c r="B152" s="286" t="s">
        <v>172</v>
      </c>
      <c r="C152" s="286"/>
      <c r="D152" s="286"/>
      <c r="E152" s="286"/>
      <c r="F152" s="286"/>
      <c r="G152" s="286"/>
      <c r="H152" s="286"/>
      <c r="I152" s="286"/>
      <c r="J152" s="286"/>
      <c r="K152" s="286"/>
      <c r="L152" s="286"/>
      <c r="M152" s="286"/>
      <c r="N152" s="286"/>
      <c r="O152" s="286"/>
      <c r="P152" s="286"/>
      <c r="Q152" s="286"/>
      <c r="R152" s="286"/>
      <c r="S152" s="286"/>
      <c r="T152" s="286"/>
      <c r="U152" s="286"/>
      <c r="V152" s="338">
        <v>0</v>
      </c>
      <c r="W152" s="289"/>
      <c r="X152" s="5"/>
    </row>
    <row r="153" spans="1:25" ht="15.75" x14ac:dyDescent="0.25">
      <c r="A153" s="285"/>
      <c r="B153" s="286" t="s">
        <v>226</v>
      </c>
      <c r="C153" s="286"/>
      <c r="D153" s="286"/>
      <c r="E153" s="286"/>
      <c r="F153" s="286"/>
      <c r="G153" s="286"/>
      <c r="H153" s="286"/>
      <c r="I153" s="286"/>
      <c r="J153" s="286"/>
      <c r="K153" s="286"/>
      <c r="L153" s="286"/>
      <c r="M153" s="286"/>
      <c r="N153" s="286"/>
      <c r="O153" s="286"/>
      <c r="P153" s="286"/>
      <c r="Q153" s="286"/>
      <c r="R153" s="286"/>
      <c r="S153" s="286"/>
      <c r="T153" s="286"/>
      <c r="U153" s="286"/>
      <c r="V153" s="338">
        <v>0</v>
      </c>
      <c r="W153" s="289"/>
      <c r="X153" s="5"/>
    </row>
    <row r="154" spans="1:25" ht="15.75" x14ac:dyDescent="0.25">
      <c r="A154" s="285"/>
      <c r="B154" s="314"/>
      <c r="C154" s="314"/>
      <c r="D154" s="314"/>
      <c r="E154" s="314"/>
      <c r="F154" s="314"/>
      <c r="G154" s="314"/>
      <c r="H154" s="314"/>
      <c r="I154" s="314"/>
      <c r="J154" s="314"/>
      <c r="K154" s="314"/>
      <c r="L154" s="314"/>
      <c r="M154" s="314"/>
      <c r="N154" s="314"/>
      <c r="O154" s="314"/>
      <c r="P154" s="314"/>
      <c r="Q154" s="314"/>
      <c r="R154" s="314"/>
      <c r="S154" s="314"/>
      <c r="T154" s="314"/>
      <c r="U154" s="314"/>
      <c r="V154" s="345"/>
      <c r="W154" s="318"/>
      <c r="X154" s="5"/>
    </row>
    <row r="155" spans="1:25" ht="15.75" x14ac:dyDescent="0.25">
      <c r="A155" s="181"/>
      <c r="B155" s="212"/>
      <c r="C155" s="212"/>
      <c r="D155" s="212"/>
      <c r="E155" s="212"/>
      <c r="F155" s="212"/>
      <c r="G155" s="212"/>
      <c r="H155" s="212"/>
      <c r="I155" s="212"/>
      <c r="J155" s="212"/>
      <c r="K155" s="212"/>
      <c r="L155" s="212"/>
      <c r="M155" s="212"/>
      <c r="N155" s="212"/>
      <c r="O155" s="212"/>
      <c r="P155" s="212"/>
      <c r="Q155" s="212"/>
      <c r="R155" s="212"/>
      <c r="S155" s="212"/>
      <c r="T155" s="212"/>
      <c r="U155" s="212"/>
      <c r="V155" s="344"/>
      <c r="W155" s="212"/>
      <c r="X155" s="5"/>
    </row>
    <row r="156" spans="1:25" ht="15.75" x14ac:dyDescent="0.25">
      <c r="A156" s="181"/>
      <c r="B156" s="210" t="s">
        <v>24</v>
      </c>
      <c r="C156" s="183"/>
      <c r="D156" s="183"/>
      <c r="E156" s="183"/>
      <c r="F156" s="183"/>
      <c r="G156" s="183"/>
      <c r="H156" s="183"/>
      <c r="I156" s="183"/>
      <c r="J156" s="183"/>
      <c r="K156" s="183"/>
      <c r="L156" s="183"/>
      <c r="M156" s="183"/>
      <c r="N156" s="183"/>
      <c r="O156" s="183"/>
      <c r="P156" s="183"/>
      <c r="Q156" s="183"/>
      <c r="R156" s="183"/>
      <c r="S156" s="183"/>
      <c r="T156" s="183"/>
      <c r="U156" s="183"/>
      <c r="V156" s="202"/>
      <c r="W156" s="183"/>
      <c r="X156" s="5"/>
    </row>
    <row r="157" spans="1:25" ht="15.75" x14ac:dyDescent="0.25">
      <c r="A157" s="285"/>
      <c r="B157" s="286" t="s">
        <v>47</v>
      </c>
      <c r="C157" s="286"/>
      <c r="D157" s="286"/>
      <c r="E157" s="286"/>
      <c r="F157" s="286"/>
      <c r="G157" s="286"/>
      <c r="H157" s="286"/>
      <c r="I157" s="286"/>
      <c r="J157" s="286"/>
      <c r="K157" s="286"/>
      <c r="L157" s="286"/>
      <c r="M157" s="286"/>
      <c r="N157" s="286"/>
      <c r="O157" s="286"/>
      <c r="P157" s="286"/>
      <c r="Q157" s="286"/>
      <c r="R157" s="286"/>
      <c r="S157" s="286"/>
      <c r="T157" s="286"/>
      <c r="U157" s="286"/>
      <c r="V157" s="343" t="s">
        <v>118</v>
      </c>
      <c r="W157" s="318"/>
      <c r="X157" s="5"/>
    </row>
    <row r="158" spans="1:25" ht="15.75" x14ac:dyDescent="0.25">
      <c r="A158" s="285"/>
      <c r="B158" s="286" t="s">
        <v>48</v>
      </c>
      <c r="C158" s="288"/>
      <c r="D158" s="288"/>
      <c r="E158" s="288"/>
      <c r="F158" s="288"/>
      <c r="G158" s="288"/>
      <c r="H158" s="288"/>
      <c r="I158" s="288"/>
      <c r="J158" s="288"/>
      <c r="K158" s="288"/>
      <c r="L158" s="288"/>
      <c r="M158" s="288"/>
      <c r="N158" s="288"/>
      <c r="O158" s="288"/>
      <c r="P158" s="288"/>
      <c r="Q158" s="288"/>
      <c r="R158" s="288"/>
      <c r="S158" s="288"/>
      <c r="T158" s="288"/>
      <c r="U158" s="288"/>
      <c r="V158" s="343" t="s">
        <v>118</v>
      </c>
      <c r="W158" s="318"/>
      <c r="X158" s="5"/>
    </row>
    <row r="159" spans="1:25" ht="15.75" x14ac:dyDescent="0.25">
      <c r="A159" s="285"/>
      <c r="B159" s="286" t="s">
        <v>49</v>
      </c>
      <c r="C159" s="286"/>
      <c r="D159" s="286"/>
      <c r="E159" s="286"/>
      <c r="F159" s="286"/>
      <c r="G159" s="286"/>
      <c r="H159" s="286"/>
      <c r="I159" s="286"/>
      <c r="J159" s="286"/>
      <c r="K159" s="286"/>
      <c r="L159" s="286"/>
      <c r="M159" s="286"/>
      <c r="N159" s="286"/>
      <c r="O159" s="286"/>
      <c r="P159" s="286"/>
      <c r="Q159" s="286"/>
      <c r="R159" s="286"/>
      <c r="S159" s="286"/>
      <c r="T159" s="286"/>
      <c r="U159" s="286"/>
      <c r="V159" s="343" t="s">
        <v>118</v>
      </c>
      <c r="W159" s="318"/>
      <c r="X159" s="5"/>
    </row>
    <row r="160" spans="1:25" ht="15.75" x14ac:dyDescent="0.25">
      <c r="A160" s="285"/>
      <c r="B160" s="286" t="s">
        <v>50</v>
      </c>
      <c r="C160" s="286"/>
      <c r="D160" s="286"/>
      <c r="E160" s="286"/>
      <c r="F160" s="286"/>
      <c r="G160" s="286"/>
      <c r="H160" s="286"/>
      <c r="I160" s="286"/>
      <c r="J160" s="286"/>
      <c r="K160" s="286"/>
      <c r="L160" s="286"/>
      <c r="M160" s="286"/>
      <c r="N160" s="286"/>
      <c r="O160" s="286"/>
      <c r="P160" s="286"/>
      <c r="Q160" s="286"/>
      <c r="R160" s="286"/>
      <c r="S160" s="286"/>
      <c r="T160" s="286"/>
      <c r="U160" s="286"/>
      <c r="V160" s="343" t="s">
        <v>118</v>
      </c>
      <c r="W160" s="318"/>
      <c r="X160" s="5"/>
    </row>
    <row r="161" spans="1:256" ht="15.75" x14ac:dyDescent="0.25">
      <c r="A161" s="181"/>
      <c r="B161" s="212"/>
      <c r="C161" s="212"/>
      <c r="D161" s="212"/>
      <c r="E161" s="212"/>
      <c r="F161" s="212"/>
      <c r="G161" s="212"/>
      <c r="H161" s="212"/>
      <c r="I161" s="212"/>
      <c r="J161" s="212"/>
      <c r="K161" s="212"/>
      <c r="L161" s="212"/>
      <c r="M161" s="212"/>
      <c r="N161" s="212"/>
      <c r="O161" s="212"/>
      <c r="P161" s="212"/>
      <c r="Q161" s="212"/>
      <c r="R161" s="212"/>
      <c r="S161" s="212"/>
      <c r="T161" s="212"/>
      <c r="U161" s="212"/>
      <c r="V161" s="344"/>
      <c r="W161" s="212"/>
      <c r="X161" s="5"/>
    </row>
    <row r="162" spans="1:256" ht="15.75" x14ac:dyDescent="0.25">
      <c r="A162" s="181"/>
      <c r="B162" s="210" t="s">
        <v>51</v>
      </c>
      <c r="C162" s="183"/>
      <c r="D162" s="183"/>
      <c r="E162" s="183"/>
      <c r="F162" s="183"/>
      <c r="G162" s="183"/>
      <c r="H162" s="183"/>
      <c r="I162" s="183"/>
      <c r="J162" s="183"/>
      <c r="K162" s="183"/>
      <c r="L162" s="183"/>
      <c r="M162" s="183"/>
      <c r="N162" s="183"/>
      <c r="O162" s="183"/>
      <c r="P162" s="183"/>
      <c r="Q162" s="183"/>
      <c r="R162" s="183"/>
      <c r="S162" s="183"/>
      <c r="T162" s="183"/>
      <c r="U162" s="183"/>
      <c r="V162" s="211"/>
      <c r="W162" s="183"/>
      <c r="X162" s="5"/>
    </row>
    <row r="163" spans="1:256" ht="15.75" x14ac:dyDescent="0.25">
      <c r="A163" s="285"/>
      <c r="B163" s="286" t="s">
        <v>52</v>
      </c>
      <c r="C163" s="286"/>
      <c r="D163" s="286"/>
      <c r="E163" s="286"/>
      <c r="F163" s="286"/>
      <c r="G163" s="286"/>
      <c r="H163" s="286"/>
      <c r="I163" s="286"/>
      <c r="J163" s="286"/>
      <c r="K163" s="286"/>
      <c r="L163" s="286"/>
      <c r="M163" s="286"/>
      <c r="N163" s="286"/>
      <c r="O163" s="286"/>
      <c r="P163" s="286"/>
      <c r="Q163" s="286"/>
      <c r="R163" s="286"/>
      <c r="S163" s="286"/>
      <c r="T163" s="286"/>
      <c r="U163" s="286"/>
      <c r="V163" s="338">
        <v>0</v>
      </c>
      <c r="W163" s="289"/>
      <c r="X163" s="5"/>
    </row>
    <row r="164" spans="1:256" ht="15.75" x14ac:dyDescent="0.25">
      <c r="A164" s="285"/>
      <c r="B164" s="286" t="s">
        <v>53</v>
      </c>
      <c r="C164" s="286"/>
      <c r="D164" s="286"/>
      <c r="E164" s="286"/>
      <c r="F164" s="286"/>
      <c r="G164" s="286"/>
      <c r="H164" s="286"/>
      <c r="I164" s="286"/>
      <c r="J164" s="286"/>
      <c r="K164" s="286"/>
      <c r="L164" s="286"/>
      <c r="M164" s="286"/>
      <c r="N164" s="286"/>
      <c r="O164" s="286"/>
      <c r="P164" s="286"/>
      <c r="Q164" s="286"/>
      <c r="R164" s="286"/>
      <c r="S164" s="286"/>
      <c r="T164" s="286"/>
      <c r="U164" s="286"/>
      <c r="V164" s="338">
        <v>550</v>
      </c>
      <c r="W164" s="289"/>
      <c r="X164" s="5"/>
    </row>
    <row r="165" spans="1:256" ht="15.75" x14ac:dyDescent="0.25">
      <c r="A165" s="285"/>
      <c r="B165" s="286" t="s">
        <v>54</v>
      </c>
      <c r="C165" s="286"/>
      <c r="D165" s="286"/>
      <c r="E165" s="286"/>
      <c r="F165" s="286"/>
      <c r="G165" s="286"/>
      <c r="H165" s="286"/>
      <c r="I165" s="286"/>
      <c r="J165" s="286"/>
      <c r="K165" s="286"/>
      <c r="L165" s="286"/>
      <c r="M165" s="286"/>
      <c r="N165" s="286"/>
      <c r="O165" s="286"/>
      <c r="P165" s="286"/>
      <c r="Q165" s="286"/>
      <c r="R165" s="286"/>
      <c r="S165" s="286"/>
      <c r="T165" s="286"/>
      <c r="U165" s="286"/>
      <c r="V165" s="338">
        <f>V164+V163</f>
        <v>550</v>
      </c>
      <c r="W165" s="289"/>
      <c r="X165" s="5"/>
    </row>
    <row r="166" spans="1:256" ht="15.75" x14ac:dyDescent="0.25">
      <c r="A166" s="285"/>
      <c r="B166" s="286" t="s">
        <v>303</v>
      </c>
      <c r="C166" s="286"/>
      <c r="D166" s="286"/>
      <c r="E166" s="286"/>
      <c r="F166" s="286"/>
      <c r="G166" s="286"/>
      <c r="H166" s="286"/>
      <c r="I166" s="286"/>
      <c r="J166" s="286"/>
      <c r="K166" s="286"/>
      <c r="L166" s="286"/>
      <c r="M166" s="286"/>
      <c r="N166" s="286"/>
      <c r="O166" s="286"/>
      <c r="P166" s="286"/>
      <c r="Q166" s="286"/>
      <c r="R166" s="286"/>
      <c r="S166" s="286"/>
      <c r="T166" s="286"/>
      <c r="U166" s="286"/>
      <c r="V166" s="338">
        <f>V114</f>
        <v>-550</v>
      </c>
      <c r="W166" s="289"/>
      <c r="X166" s="5"/>
    </row>
    <row r="167" spans="1:256" ht="15.75" x14ac:dyDescent="0.25">
      <c r="A167" s="285"/>
      <c r="B167" s="286" t="s">
        <v>55</v>
      </c>
      <c r="C167" s="286"/>
      <c r="D167" s="286"/>
      <c r="E167" s="286"/>
      <c r="F167" s="286"/>
      <c r="G167" s="286"/>
      <c r="H167" s="286"/>
      <c r="I167" s="286"/>
      <c r="J167" s="286"/>
      <c r="K167" s="286"/>
      <c r="L167" s="286"/>
      <c r="M167" s="286"/>
      <c r="N167" s="286"/>
      <c r="O167" s="286"/>
      <c r="P167" s="286"/>
      <c r="Q167" s="286"/>
      <c r="R167" s="286"/>
      <c r="S167" s="286"/>
      <c r="T167" s="286"/>
      <c r="U167" s="286"/>
      <c r="V167" s="338">
        <f>V165+V166</f>
        <v>0</v>
      </c>
      <c r="W167" s="289"/>
      <c r="X167" s="5"/>
    </row>
    <row r="168" spans="1:256" ht="15.75" x14ac:dyDescent="0.25">
      <c r="A168" s="285"/>
      <c r="B168" s="286" t="s">
        <v>274</v>
      </c>
      <c r="C168" s="286"/>
      <c r="D168" s="286"/>
      <c r="E168" s="286"/>
      <c r="F168" s="286"/>
      <c r="G168" s="286"/>
      <c r="H168" s="286"/>
      <c r="I168" s="286"/>
      <c r="J168" s="286"/>
      <c r="K168" s="286"/>
      <c r="L168" s="286"/>
      <c r="M168" s="286"/>
      <c r="N168" s="286"/>
      <c r="O168" s="286"/>
      <c r="P168" s="286"/>
      <c r="Q168" s="286"/>
      <c r="R168" s="286"/>
      <c r="S168" s="286"/>
      <c r="T168" s="286"/>
      <c r="U168" s="286"/>
      <c r="V168" s="338">
        <v>0</v>
      </c>
      <c r="W168" s="289"/>
      <c r="X168" s="5"/>
    </row>
    <row r="169" spans="1:256" ht="16.5" thickBot="1" x14ac:dyDescent="0.3">
      <c r="A169" s="181"/>
      <c r="B169" s="212"/>
      <c r="C169" s="212"/>
      <c r="D169" s="212"/>
      <c r="E169" s="212"/>
      <c r="F169" s="212"/>
      <c r="G169" s="212"/>
      <c r="H169" s="212"/>
      <c r="I169" s="212"/>
      <c r="J169" s="212"/>
      <c r="K169" s="212"/>
      <c r="L169" s="212"/>
      <c r="M169" s="212"/>
      <c r="N169" s="212"/>
      <c r="O169" s="212"/>
      <c r="P169" s="212"/>
      <c r="Q169" s="212"/>
      <c r="R169" s="212"/>
      <c r="S169" s="212"/>
      <c r="T169" s="212"/>
      <c r="U169" s="212"/>
      <c r="V169" s="344"/>
      <c r="W169" s="212"/>
      <c r="X169" s="5"/>
    </row>
    <row r="170" spans="1:256" ht="15.75" x14ac:dyDescent="0.25">
      <c r="A170" s="179"/>
      <c r="B170" s="180"/>
      <c r="C170" s="180"/>
      <c r="D170" s="180"/>
      <c r="E170" s="180"/>
      <c r="F170" s="180"/>
      <c r="G170" s="180"/>
      <c r="H170" s="180"/>
      <c r="I170" s="180"/>
      <c r="J170" s="180"/>
      <c r="K170" s="180"/>
      <c r="L170" s="180"/>
      <c r="M170" s="180"/>
      <c r="N170" s="180"/>
      <c r="O170" s="180"/>
      <c r="P170" s="180"/>
      <c r="Q170" s="180"/>
      <c r="R170" s="180"/>
      <c r="S170" s="180"/>
      <c r="T170" s="180"/>
      <c r="U170" s="180"/>
      <c r="V170" s="201"/>
      <c r="W170" s="180"/>
      <c r="X170" s="5"/>
    </row>
    <row r="171" spans="1:256" s="158" customFormat="1" ht="15.75" x14ac:dyDescent="0.25">
      <c r="A171" s="181"/>
      <c r="B171" s="210" t="s">
        <v>230</v>
      </c>
      <c r="C171" s="212"/>
      <c r="D171" s="212"/>
      <c r="E171" s="212"/>
      <c r="F171" s="212"/>
      <c r="G171" s="212"/>
      <c r="H171" s="212"/>
      <c r="I171" s="212"/>
      <c r="J171" s="212"/>
      <c r="K171" s="212"/>
      <c r="L171" s="212"/>
      <c r="M171" s="212"/>
      <c r="N171" s="212"/>
      <c r="O171" s="212"/>
      <c r="P171" s="212"/>
      <c r="Q171" s="212"/>
      <c r="R171" s="212"/>
      <c r="S171" s="212"/>
      <c r="T171" s="212"/>
      <c r="U171" s="212"/>
      <c r="V171" s="213"/>
      <c r="W171" s="212"/>
      <c r="X171" s="5"/>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s="160" customFormat="1" ht="15.75" x14ac:dyDescent="0.25">
      <c r="A172" s="285"/>
      <c r="B172" s="286" t="s">
        <v>231</v>
      </c>
      <c r="C172" s="286"/>
      <c r="D172" s="286"/>
      <c r="E172" s="286"/>
      <c r="F172" s="286"/>
      <c r="G172" s="286"/>
      <c r="H172" s="286"/>
      <c r="I172" s="286"/>
      <c r="J172" s="286"/>
      <c r="K172" s="286"/>
      <c r="L172" s="286"/>
      <c r="M172" s="286"/>
      <c r="N172" s="286"/>
      <c r="O172" s="286"/>
      <c r="P172" s="286"/>
      <c r="Q172" s="286"/>
      <c r="R172" s="286"/>
      <c r="S172" s="286"/>
      <c r="T172" s="286"/>
      <c r="U172" s="286"/>
      <c r="V172" s="338">
        <f>+'Aug 08'!V173</f>
        <v>0</v>
      </c>
      <c r="W172" s="289"/>
      <c r="X172" s="5"/>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s="160" customFormat="1" ht="15.75" x14ac:dyDescent="0.25">
      <c r="A173" s="285"/>
      <c r="B173" s="286" t="s">
        <v>234</v>
      </c>
      <c r="C173" s="286"/>
      <c r="D173" s="286"/>
      <c r="E173" s="286"/>
      <c r="F173" s="286"/>
      <c r="G173" s="286"/>
      <c r="H173" s="286"/>
      <c r="I173" s="286"/>
      <c r="J173" s="286"/>
      <c r="K173" s="286"/>
      <c r="L173" s="286"/>
      <c r="M173" s="286"/>
      <c r="N173" s="286"/>
      <c r="O173" s="286"/>
      <c r="P173" s="286"/>
      <c r="Q173" s="286"/>
      <c r="R173" s="286"/>
      <c r="S173" s="286"/>
      <c r="T173" s="286"/>
      <c r="U173" s="286"/>
      <c r="V173" s="338">
        <f>+V94</f>
        <v>0</v>
      </c>
      <c r="W173" s="289"/>
      <c r="X173" s="5"/>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s="160" customFormat="1" ht="15.75" x14ac:dyDescent="0.25">
      <c r="A174" s="285"/>
      <c r="B174" s="286" t="s">
        <v>232</v>
      </c>
      <c r="C174" s="286"/>
      <c r="D174" s="286"/>
      <c r="E174" s="286"/>
      <c r="F174" s="286"/>
      <c r="G174" s="286"/>
      <c r="H174" s="286"/>
      <c r="I174" s="286"/>
      <c r="J174" s="286"/>
      <c r="K174" s="286"/>
      <c r="L174" s="286"/>
      <c r="M174" s="286"/>
      <c r="N174" s="286"/>
      <c r="O174" s="286"/>
      <c r="P174" s="286"/>
      <c r="Q174" s="286"/>
      <c r="R174" s="286"/>
      <c r="S174" s="286"/>
      <c r="T174" s="286"/>
      <c r="U174" s="286"/>
      <c r="V174" s="338">
        <f>+V172-V173</f>
        <v>0</v>
      </c>
      <c r="W174" s="289"/>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6.5" thickBot="1" x14ac:dyDescent="0.3">
      <c r="A175" s="197"/>
      <c r="B175" s="212"/>
      <c r="C175" s="212"/>
      <c r="D175" s="212"/>
      <c r="E175" s="212"/>
      <c r="F175" s="212"/>
      <c r="G175" s="212"/>
      <c r="H175" s="212"/>
      <c r="I175" s="212"/>
      <c r="J175" s="212"/>
      <c r="K175" s="212"/>
      <c r="L175" s="212"/>
      <c r="M175" s="212"/>
      <c r="N175" s="212"/>
      <c r="O175" s="212"/>
      <c r="P175" s="212"/>
      <c r="Q175" s="212"/>
      <c r="R175" s="212"/>
      <c r="S175" s="212"/>
      <c r="T175" s="212"/>
      <c r="U175" s="212"/>
      <c r="V175" s="344"/>
      <c r="W175" s="212"/>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4" customFormat="1" ht="15.75" x14ac:dyDescent="0.25">
      <c r="A176" s="179"/>
      <c r="B176" s="180"/>
      <c r="C176" s="180"/>
      <c r="D176" s="180"/>
      <c r="E176" s="180"/>
      <c r="F176" s="180"/>
      <c r="G176" s="180"/>
      <c r="H176" s="180"/>
      <c r="I176" s="180"/>
      <c r="J176" s="180"/>
      <c r="K176" s="180"/>
      <c r="L176" s="180"/>
      <c r="M176" s="180"/>
      <c r="N176" s="180"/>
      <c r="O176" s="180"/>
      <c r="P176" s="180"/>
      <c r="Q176" s="180"/>
      <c r="R176" s="180"/>
      <c r="S176" s="180"/>
      <c r="T176" s="180"/>
      <c r="U176" s="180"/>
      <c r="V176" s="201"/>
      <c r="W176" s="180"/>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4" ht="15.75" x14ac:dyDescent="0.25">
      <c r="A177" s="181"/>
      <c r="B177" s="210" t="s">
        <v>56</v>
      </c>
      <c r="C177" s="183"/>
      <c r="D177" s="183"/>
      <c r="E177" s="183"/>
      <c r="F177" s="183"/>
      <c r="G177" s="183"/>
      <c r="H177" s="183"/>
      <c r="I177" s="183"/>
      <c r="J177" s="183"/>
      <c r="K177" s="183"/>
      <c r="L177" s="183"/>
      <c r="M177" s="183"/>
      <c r="N177" s="183"/>
      <c r="O177" s="183"/>
      <c r="P177" s="183"/>
      <c r="Q177" s="183"/>
      <c r="R177" s="183"/>
      <c r="S177" s="183"/>
      <c r="T177" s="183"/>
      <c r="U177" s="183"/>
      <c r="V177" s="202"/>
      <c r="W177" s="183"/>
      <c r="X177" s="5"/>
    </row>
    <row r="178" spans="1:24" ht="15.75" x14ac:dyDescent="0.25">
      <c r="A178" s="181"/>
      <c r="B178" s="191"/>
      <c r="C178" s="183"/>
      <c r="D178" s="183"/>
      <c r="E178" s="183"/>
      <c r="F178" s="183"/>
      <c r="G178" s="183"/>
      <c r="H178" s="183"/>
      <c r="I178" s="183"/>
      <c r="J178" s="183"/>
      <c r="K178" s="183"/>
      <c r="L178" s="183"/>
      <c r="M178" s="183"/>
      <c r="N178" s="183"/>
      <c r="O178" s="183"/>
      <c r="P178" s="183"/>
      <c r="Q178" s="183"/>
      <c r="R178" s="183"/>
      <c r="S178" s="183"/>
      <c r="T178" s="183"/>
      <c r="U178" s="183"/>
      <c r="V178" s="202"/>
      <c r="W178" s="183"/>
      <c r="X178" s="5"/>
    </row>
    <row r="179" spans="1:24" ht="15.75" x14ac:dyDescent="0.25">
      <c r="A179" s="285"/>
      <c r="B179" s="286" t="s">
        <v>57</v>
      </c>
      <c r="C179" s="286"/>
      <c r="D179" s="286"/>
      <c r="E179" s="286"/>
      <c r="F179" s="286"/>
      <c r="G179" s="286"/>
      <c r="H179" s="286"/>
      <c r="I179" s="286"/>
      <c r="J179" s="286"/>
      <c r="K179" s="286"/>
      <c r="L179" s="286"/>
      <c r="M179" s="286"/>
      <c r="N179" s="286"/>
      <c r="O179" s="286"/>
      <c r="P179" s="286"/>
      <c r="Q179" s="286"/>
      <c r="R179" s="286"/>
      <c r="S179" s="286"/>
      <c r="T179" s="286"/>
      <c r="U179" s="286"/>
      <c r="V179" s="338">
        <f>V71</f>
        <v>804997</v>
      </c>
      <c r="W179" s="289"/>
      <c r="X179" s="5"/>
    </row>
    <row r="180" spans="1:24" ht="15.75" x14ac:dyDescent="0.25">
      <c r="A180" s="285"/>
      <c r="B180" s="286" t="s">
        <v>58</v>
      </c>
      <c r="C180" s="286"/>
      <c r="D180" s="286"/>
      <c r="E180" s="286"/>
      <c r="F180" s="286"/>
      <c r="G180" s="286"/>
      <c r="H180" s="286"/>
      <c r="I180" s="286"/>
      <c r="J180" s="286"/>
      <c r="K180" s="286"/>
      <c r="L180" s="286"/>
      <c r="M180" s="286"/>
      <c r="N180" s="286"/>
      <c r="O180" s="286"/>
      <c r="P180" s="286"/>
      <c r="Q180" s="286"/>
      <c r="R180" s="286"/>
      <c r="S180" s="286"/>
      <c r="T180" s="286"/>
      <c r="U180" s="286"/>
      <c r="V180" s="338">
        <f>V84</f>
        <v>804997</v>
      </c>
      <c r="W180" s="289"/>
      <c r="X180" s="5"/>
    </row>
    <row r="181" spans="1:24" ht="16.5" thickBot="1" x14ac:dyDescent="0.3">
      <c r="A181" s="181"/>
      <c r="B181" s="212"/>
      <c r="C181" s="212"/>
      <c r="D181" s="212"/>
      <c r="E181" s="212"/>
      <c r="F181" s="212"/>
      <c r="G181" s="212"/>
      <c r="H181" s="212"/>
      <c r="I181" s="212"/>
      <c r="J181" s="212"/>
      <c r="K181" s="212"/>
      <c r="L181" s="212"/>
      <c r="M181" s="212"/>
      <c r="N181" s="212"/>
      <c r="O181" s="212"/>
      <c r="P181" s="212"/>
      <c r="Q181" s="212"/>
      <c r="R181" s="212"/>
      <c r="S181" s="212"/>
      <c r="T181" s="212"/>
      <c r="U181" s="212"/>
      <c r="V181" s="344"/>
      <c r="W181" s="212"/>
      <c r="X181" s="5"/>
    </row>
    <row r="182" spans="1:24" ht="15.75" x14ac:dyDescent="0.25">
      <c r="A182" s="179"/>
      <c r="B182" s="180"/>
      <c r="C182" s="180"/>
      <c r="D182" s="180"/>
      <c r="E182" s="180"/>
      <c r="F182" s="180"/>
      <c r="G182" s="180"/>
      <c r="H182" s="180"/>
      <c r="I182" s="180"/>
      <c r="J182" s="180"/>
      <c r="K182" s="180"/>
      <c r="L182" s="180"/>
      <c r="M182" s="180"/>
      <c r="N182" s="180"/>
      <c r="O182" s="180"/>
      <c r="P182" s="180"/>
      <c r="Q182" s="180"/>
      <c r="R182" s="180"/>
      <c r="S182" s="180"/>
      <c r="T182" s="180"/>
      <c r="U182" s="180"/>
      <c r="V182" s="201"/>
      <c r="W182" s="180"/>
      <c r="X182" s="5"/>
    </row>
    <row r="183" spans="1:24" ht="15.75" x14ac:dyDescent="0.25">
      <c r="A183" s="181"/>
      <c r="B183" s="210" t="s">
        <v>59</v>
      </c>
      <c r="C183" s="206"/>
      <c r="D183" s="206"/>
      <c r="E183" s="206"/>
      <c r="F183" s="206"/>
      <c r="G183" s="206"/>
      <c r="H183" s="214"/>
      <c r="I183" s="214"/>
      <c r="J183" s="214"/>
      <c r="K183" s="214"/>
      <c r="L183" s="214"/>
      <c r="M183" s="214"/>
      <c r="N183" s="214"/>
      <c r="O183" s="214"/>
      <c r="P183" s="214"/>
      <c r="Q183" s="214"/>
      <c r="R183" s="214"/>
      <c r="S183" s="214" t="s">
        <v>101</v>
      </c>
      <c r="T183" s="214" t="s">
        <v>176</v>
      </c>
      <c r="U183" s="185"/>
      <c r="V183" s="215" t="s">
        <v>114</v>
      </c>
      <c r="W183" s="216"/>
      <c r="X183" s="5"/>
    </row>
    <row r="184" spans="1:24" ht="15.75" x14ac:dyDescent="0.25">
      <c r="A184" s="285"/>
      <c r="B184" s="286" t="s">
        <v>60</v>
      </c>
      <c r="C184" s="286"/>
      <c r="D184" s="286"/>
      <c r="E184" s="286"/>
      <c r="F184" s="286"/>
      <c r="G184" s="286"/>
      <c r="H184" s="286"/>
      <c r="I184" s="286"/>
      <c r="J184" s="286"/>
      <c r="K184" s="286"/>
      <c r="L184" s="286"/>
      <c r="M184" s="286"/>
      <c r="N184" s="286"/>
      <c r="O184" s="286"/>
      <c r="P184" s="286"/>
      <c r="Q184" s="286"/>
      <c r="R184" s="286"/>
      <c r="S184" s="338">
        <f>+V34*0.16</f>
        <v>160181.28</v>
      </c>
      <c r="T184" s="325"/>
      <c r="U184" s="286"/>
      <c r="V184" s="338"/>
      <c r="W184" s="289"/>
      <c r="X184" s="5"/>
    </row>
    <row r="185" spans="1:24" ht="15.75" x14ac:dyDescent="0.25">
      <c r="A185" s="285"/>
      <c r="B185" s="286" t="s">
        <v>61</v>
      </c>
      <c r="C185" s="286"/>
      <c r="D185" s="286"/>
      <c r="E185" s="286"/>
      <c r="F185" s="286"/>
      <c r="G185" s="286"/>
      <c r="H185" s="286"/>
      <c r="I185" s="286"/>
      <c r="J185" s="286"/>
      <c r="K185" s="286"/>
      <c r="L185" s="286"/>
      <c r="M185" s="286"/>
      <c r="N185" s="286"/>
      <c r="O185" s="286"/>
      <c r="P185" s="286"/>
      <c r="Q185" s="286"/>
      <c r="R185" s="286"/>
      <c r="S185" s="338">
        <f>+'Feb 13'!S187</f>
        <v>10763</v>
      </c>
      <c r="T185" s="338">
        <f>+'Feb 13'!T187</f>
        <v>6090</v>
      </c>
      <c r="U185" s="286"/>
      <c r="V185" s="338">
        <f>S185+T185</f>
        <v>16853</v>
      </c>
      <c r="W185" s="289"/>
      <c r="X185" s="5"/>
    </row>
    <row r="186" spans="1:24" ht="15.75" x14ac:dyDescent="0.25">
      <c r="A186" s="285"/>
      <c r="B186" s="286" t="s">
        <v>62</v>
      </c>
      <c r="C186" s="286"/>
      <c r="D186" s="286"/>
      <c r="E186" s="286"/>
      <c r="F186" s="286"/>
      <c r="G186" s="286"/>
      <c r="H186" s="286"/>
      <c r="I186" s="286"/>
      <c r="J186" s="286"/>
      <c r="K186" s="286"/>
      <c r="L186" s="286"/>
      <c r="M186" s="286"/>
      <c r="N186" s="286"/>
      <c r="O186" s="286"/>
      <c r="P186" s="286"/>
      <c r="Q186" s="286"/>
      <c r="R186" s="286"/>
      <c r="S186" s="337">
        <v>0</v>
      </c>
      <c r="T186" s="337">
        <v>0</v>
      </c>
      <c r="U186" s="286"/>
      <c r="V186" s="338">
        <f>S186+T186</f>
        <v>0</v>
      </c>
      <c r="W186" s="289"/>
      <c r="X186" s="5"/>
    </row>
    <row r="187" spans="1:24" ht="15.75" x14ac:dyDescent="0.25">
      <c r="A187" s="285"/>
      <c r="B187" s="286" t="s">
        <v>63</v>
      </c>
      <c r="C187" s="286"/>
      <c r="D187" s="286"/>
      <c r="E187" s="286"/>
      <c r="F187" s="286"/>
      <c r="G187" s="286"/>
      <c r="H187" s="286"/>
      <c r="I187" s="286"/>
      <c r="J187" s="286"/>
      <c r="K187" s="286"/>
      <c r="L187" s="286"/>
      <c r="M187" s="286"/>
      <c r="N187" s="286"/>
      <c r="O187" s="286"/>
      <c r="P187" s="286"/>
      <c r="Q187" s="286"/>
      <c r="R187" s="286"/>
      <c r="S187" s="338">
        <f>S185+S186</f>
        <v>10763</v>
      </c>
      <c r="T187" s="338">
        <f>T186+T185</f>
        <v>6090</v>
      </c>
      <c r="U187" s="286"/>
      <c r="V187" s="338">
        <f>S187+T187</f>
        <v>16853</v>
      </c>
      <c r="W187" s="289"/>
      <c r="X187" s="5"/>
    </row>
    <row r="188" spans="1:24" ht="15.75" x14ac:dyDescent="0.25">
      <c r="A188" s="285"/>
      <c r="B188" s="286" t="s">
        <v>64</v>
      </c>
      <c r="C188" s="286"/>
      <c r="D188" s="286"/>
      <c r="E188" s="286"/>
      <c r="F188" s="286"/>
      <c r="G188" s="286"/>
      <c r="H188" s="286"/>
      <c r="I188" s="286"/>
      <c r="J188" s="286"/>
      <c r="K188" s="286"/>
      <c r="L188" s="286"/>
      <c r="M188" s="286"/>
      <c r="N188" s="286"/>
      <c r="O188" s="286"/>
      <c r="P188" s="286"/>
      <c r="Q188" s="286"/>
      <c r="R188" s="286"/>
      <c r="S188" s="338">
        <f>S184-S187-T187</f>
        <v>143328.28</v>
      </c>
      <c r="T188" s="325"/>
      <c r="U188" s="286"/>
      <c r="V188" s="338"/>
      <c r="W188" s="289"/>
      <c r="X188" s="5"/>
    </row>
    <row r="189" spans="1:24" ht="16.5" thickBot="1" x14ac:dyDescent="0.3">
      <c r="A189" s="181"/>
      <c r="B189" s="212"/>
      <c r="C189" s="212"/>
      <c r="D189" s="212"/>
      <c r="E189" s="212"/>
      <c r="F189" s="212"/>
      <c r="G189" s="212"/>
      <c r="H189" s="212"/>
      <c r="I189" s="212"/>
      <c r="J189" s="212"/>
      <c r="K189" s="212"/>
      <c r="L189" s="212"/>
      <c r="M189" s="212"/>
      <c r="N189" s="212"/>
      <c r="O189" s="212"/>
      <c r="P189" s="212"/>
      <c r="Q189" s="212"/>
      <c r="R189" s="212"/>
      <c r="S189" s="212"/>
      <c r="T189" s="212"/>
      <c r="U189" s="212"/>
      <c r="V189" s="344"/>
      <c r="W189" s="212"/>
      <c r="X189" s="5"/>
    </row>
    <row r="190" spans="1:24" ht="15.75" x14ac:dyDescent="0.25">
      <c r="A190" s="179"/>
      <c r="B190" s="180"/>
      <c r="C190" s="180"/>
      <c r="D190" s="180"/>
      <c r="E190" s="180"/>
      <c r="F190" s="180"/>
      <c r="G190" s="180"/>
      <c r="H190" s="180"/>
      <c r="I190" s="180"/>
      <c r="J190" s="180"/>
      <c r="K190" s="180"/>
      <c r="L190" s="180"/>
      <c r="M190" s="180"/>
      <c r="N190" s="180"/>
      <c r="O190" s="180"/>
      <c r="P190" s="180"/>
      <c r="Q190" s="180"/>
      <c r="R190" s="180"/>
      <c r="S190" s="180"/>
      <c r="T190" s="180"/>
      <c r="U190" s="180"/>
      <c r="V190" s="201"/>
      <c r="W190" s="180"/>
      <c r="X190" s="5"/>
    </row>
    <row r="191" spans="1:24" ht="15.75" x14ac:dyDescent="0.25">
      <c r="A191" s="181"/>
      <c r="B191" s="210" t="s">
        <v>65</v>
      </c>
      <c r="C191" s="183"/>
      <c r="D191" s="183"/>
      <c r="E191" s="183"/>
      <c r="F191" s="183"/>
      <c r="G191" s="183"/>
      <c r="H191" s="183"/>
      <c r="I191" s="183"/>
      <c r="J191" s="183"/>
      <c r="K191" s="183"/>
      <c r="L191" s="183"/>
      <c r="M191" s="183"/>
      <c r="N191" s="183"/>
      <c r="O191" s="183"/>
      <c r="P191" s="183"/>
      <c r="Q191" s="183"/>
      <c r="R191" s="183"/>
      <c r="S191" s="183"/>
      <c r="T191" s="183"/>
      <c r="U191" s="183"/>
      <c r="V191" s="217"/>
      <c r="W191" s="183"/>
      <c r="X191" s="5"/>
    </row>
    <row r="192" spans="1:24" ht="15.75" x14ac:dyDescent="0.25">
      <c r="A192" s="285"/>
      <c r="B192" s="286" t="s">
        <v>66</v>
      </c>
      <c r="C192" s="286"/>
      <c r="D192" s="286"/>
      <c r="E192" s="286"/>
      <c r="F192" s="286"/>
      <c r="G192" s="286"/>
      <c r="H192" s="286"/>
      <c r="I192" s="286"/>
      <c r="J192" s="286"/>
      <c r="K192" s="286"/>
      <c r="L192" s="286"/>
      <c r="M192" s="286"/>
      <c r="N192" s="286"/>
      <c r="O192" s="286"/>
      <c r="P192" s="286"/>
      <c r="Q192" s="286"/>
      <c r="R192" s="286"/>
      <c r="S192" s="286"/>
      <c r="T192" s="286"/>
      <c r="U192" s="286"/>
      <c r="V192" s="343">
        <f>(V101+V103+V104+V105+V106)/-(V107+V108)</f>
        <v>3.8086469175340274</v>
      </c>
      <c r="W192" s="289" t="s">
        <v>115</v>
      </c>
      <c r="X192" s="5"/>
    </row>
    <row r="193" spans="1:24" ht="15.75" x14ac:dyDescent="0.25">
      <c r="A193" s="285"/>
      <c r="B193" s="286" t="s">
        <v>67</v>
      </c>
      <c r="C193" s="286"/>
      <c r="D193" s="286"/>
      <c r="E193" s="286"/>
      <c r="F193" s="286"/>
      <c r="G193" s="286"/>
      <c r="H193" s="286"/>
      <c r="I193" s="286"/>
      <c r="J193" s="286"/>
      <c r="K193" s="286"/>
      <c r="L193" s="286"/>
      <c r="M193" s="286"/>
      <c r="N193" s="286"/>
      <c r="O193" s="286"/>
      <c r="P193" s="286"/>
      <c r="Q193" s="286"/>
      <c r="R193" s="286"/>
      <c r="S193" s="286"/>
      <c r="T193" s="286"/>
      <c r="U193" s="286"/>
      <c r="V193" s="347">
        <v>1.83</v>
      </c>
      <c r="W193" s="289" t="s">
        <v>115</v>
      </c>
      <c r="X193" s="5"/>
    </row>
    <row r="194" spans="1:24" ht="15.75" x14ac:dyDescent="0.25">
      <c r="A194" s="285"/>
      <c r="B194" s="286" t="s">
        <v>68</v>
      </c>
      <c r="C194" s="286"/>
      <c r="D194" s="286"/>
      <c r="E194" s="286"/>
      <c r="F194" s="286"/>
      <c r="G194" s="286"/>
      <c r="H194" s="286"/>
      <c r="I194" s="286"/>
      <c r="J194" s="286"/>
      <c r="K194" s="286"/>
      <c r="L194" s="286"/>
      <c r="M194" s="286"/>
      <c r="N194" s="286"/>
      <c r="O194" s="286"/>
      <c r="P194" s="286"/>
      <c r="Q194" s="286"/>
      <c r="R194" s="286"/>
      <c r="S194" s="286"/>
      <c r="T194" s="286"/>
      <c r="U194" s="286"/>
      <c r="V194" s="343">
        <f>(V101+V103+V104+V105+V106+V107+V108)/-(V109+V110)</f>
        <v>16.469483568075116</v>
      </c>
      <c r="W194" s="289" t="s">
        <v>115</v>
      </c>
      <c r="X194" s="5"/>
    </row>
    <row r="195" spans="1:24" ht="15.75" x14ac:dyDescent="0.25">
      <c r="A195" s="285"/>
      <c r="B195" s="286" t="s">
        <v>69</v>
      </c>
      <c r="C195" s="286"/>
      <c r="D195" s="286"/>
      <c r="E195" s="286"/>
      <c r="F195" s="286"/>
      <c r="G195" s="286"/>
      <c r="H195" s="286"/>
      <c r="I195" s="286"/>
      <c r="J195" s="286"/>
      <c r="K195" s="286"/>
      <c r="L195" s="286"/>
      <c r="M195" s="286"/>
      <c r="N195" s="286"/>
      <c r="O195" s="286"/>
      <c r="P195" s="286"/>
      <c r="Q195" s="286"/>
      <c r="R195" s="286"/>
      <c r="S195" s="286"/>
      <c r="T195" s="286"/>
      <c r="U195" s="286"/>
      <c r="V195" s="347">
        <v>7.98</v>
      </c>
      <c r="W195" s="289" t="s">
        <v>115</v>
      </c>
      <c r="X195" s="5"/>
    </row>
    <row r="196" spans="1:24" ht="15.75" x14ac:dyDescent="0.25">
      <c r="A196" s="285"/>
      <c r="B196" s="286" t="s">
        <v>198</v>
      </c>
      <c r="C196" s="286"/>
      <c r="D196" s="286"/>
      <c r="E196" s="286"/>
      <c r="F196" s="286"/>
      <c r="G196" s="286"/>
      <c r="H196" s="286"/>
      <c r="I196" s="286"/>
      <c r="J196" s="286"/>
      <c r="K196" s="286"/>
      <c r="L196" s="286"/>
      <c r="M196" s="286"/>
      <c r="N196" s="286"/>
      <c r="O196" s="286"/>
      <c r="P196" s="286"/>
      <c r="Q196" s="286"/>
      <c r="R196" s="286"/>
      <c r="S196" s="286"/>
      <c r="T196" s="286"/>
      <c r="U196" s="286"/>
      <c r="V196" s="343">
        <f>(V101+V103+V104+V105+V106+V107+V108+V109+V110)/-(V111)</f>
        <v>9.8358208955223887</v>
      </c>
      <c r="W196" s="289" t="s">
        <v>115</v>
      </c>
      <c r="X196" s="5"/>
    </row>
    <row r="197" spans="1:24" ht="15.75" x14ac:dyDescent="0.25">
      <c r="A197" s="285"/>
      <c r="B197" s="286" t="s">
        <v>199</v>
      </c>
      <c r="C197" s="286"/>
      <c r="D197" s="286"/>
      <c r="E197" s="286"/>
      <c r="F197" s="286"/>
      <c r="G197" s="286"/>
      <c r="H197" s="286"/>
      <c r="I197" s="286"/>
      <c r="J197" s="286"/>
      <c r="K197" s="286"/>
      <c r="L197" s="286"/>
      <c r="M197" s="286"/>
      <c r="N197" s="286"/>
      <c r="O197" s="286"/>
      <c r="P197" s="286"/>
      <c r="Q197" s="286"/>
      <c r="R197" s="286"/>
      <c r="S197" s="286"/>
      <c r="T197" s="286"/>
      <c r="U197" s="286"/>
      <c r="V197" s="347">
        <v>6.09</v>
      </c>
      <c r="W197" s="289" t="s">
        <v>115</v>
      </c>
      <c r="X197" s="5"/>
    </row>
    <row r="198" spans="1:24" ht="15.75" x14ac:dyDescent="0.25">
      <c r="A198" s="285"/>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9"/>
      <c r="X198" s="5"/>
    </row>
    <row r="199" spans="1:24" ht="15.75" x14ac:dyDescent="0.25">
      <c r="A199" s="181"/>
      <c r="B199" s="346"/>
      <c r="C199" s="346"/>
      <c r="D199" s="346"/>
      <c r="E199" s="346"/>
      <c r="F199" s="346"/>
      <c r="G199" s="346"/>
      <c r="H199" s="346"/>
      <c r="I199" s="346"/>
      <c r="J199" s="346"/>
      <c r="K199" s="346"/>
      <c r="L199" s="346"/>
      <c r="M199" s="346"/>
      <c r="N199" s="346"/>
      <c r="O199" s="346"/>
      <c r="P199" s="346"/>
      <c r="Q199" s="346"/>
      <c r="R199" s="346"/>
      <c r="S199" s="346"/>
      <c r="T199" s="346"/>
      <c r="U199" s="346"/>
      <c r="V199" s="346"/>
      <c r="W199" s="346"/>
      <c r="X199" s="5"/>
    </row>
    <row r="200" spans="1:24" ht="15.75" x14ac:dyDescent="0.25">
      <c r="A200" s="181"/>
      <c r="B200" s="255"/>
      <c r="C200" s="255"/>
      <c r="D200" s="255"/>
      <c r="E200" s="255"/>
      <c r="F200" s="255"/>
      <c r="G200" s="255"/>
      <c r="H200" s="255"/>
      <c r="I200" s="255"/>
      <c r="J200" s="255"/>
      <c r="K200" s="255"/>
      <c r="L200" s="255"/>
      <c r="M200" s="255"/>
      <c r="N200" s="255"/>
      <c r="O200" s="255"/>
      <c r="P200" s="255"/>
      <c r="Q200" s="255"/>
      <c r="R200" s="255"/>
      <c r="S200" s="255"/>
      <c r="T200" s="255"/>
      <c r="U200" s="255"/>
      <c r="V200" s="255"/>
      <c r="W200" s="255"/>
      <c r="X200" s="5"/>
    </row>
    <row r="201" spans="1:24" ht="19.5" thickBot="1" x14ac:dyDescent="0.35">
      <c r="A201" s="197"/>
      <c r="B201" s="270" t="str">
        <f>B135</f>
        <v>PM15 INVESTOR REPORT QUARTER ENDING MAY 2013</v>
      </c>
      <c r="C201" s="271"/>
      <c r="D201" s="271"/>
      <c r="E201" s="271"/>
      <c r="F201" s="271"/>
      <c r="G201" s="271"/>
      <c r="H201" s="271"/>
      <c r="I201" s="271"/>
      <c r="J201" s="271"/>
      <c r="K201" s="271"/>
      <c r="L201" s="271"/>
      <c r="M201" s="271"/>
      <c r="N201" s="271"/>
      <c r="O201" s="271"/>
      <c r="P201" s="271"/>
      <c r="Q201" s="271"/>
      <c r="R201" s="271"/>
      <c r="S201" s="271"/>
      <c r="T201" s="271"/>
      <c r="U201" s="271"/>
      <c r="V201" s="271"/>
      <c r="W201" s="272"/>
      <c r="X201" s="5"/>
    </row>
    <row r="202" spans="1:24" ht="15.75" x14ac:dyDescent="0.25">
      <c r="A202" s="236"/>
      <c r="B202" s="403" t="s">
        <v>70</v>
      </c>
      <c r="C202" s="404"/>
      <c r="D202" s="404"/>
      <c r="E202" s="404"/>
      <c r="F202" s="404"/>
      <c r="G202" s="405"/>
      <c r="H202" s="405"/>
      <c r="I202" s="405"/>
      <c r="J202" s="405"/>
      <c r="K202" s="405"/>
      <c r="L202" s="405"/>
      <c r="M202" s="405"/>
      <c r="N202" s="405"/>
      <c r="O202" s="405"/>
      <c r="P202" s="405"/>
      <c r="Q202" s="405"/>
      <c r="R202" s="405"/>
      <c r="S202" s="405"/>
      <c r="T202" s="405">
        <v>41425</v>
      </c>
      <c r="U202" s="238"/>
      <c r="V202" s="238"/>
      <c r="W202" s="238"/>
      <c r="X202" s="5"/>
    </row>
    <row r="203" spans="1:24" ht="15.75" x14ac:dyDescent="0.25">
      <c r="A203" s="218"/>
      <c r="B203" s="219"/>
      <c r="C203" s="220"/>
      <c r="D203" s="220"/>
      <c r="E203" s="220"/>
      <c r="F203" s="220"/>
      <c r="G203" s="221"/>
      <c r="H203" s="221"/>
      <c r="I203" s="221"/>
      <c r="J203" s="221"/>
      <c r="K203" s="221"/>
      <c r="L203" s="221"/>
      <c r="M203" s="221"/>
      <c r="N203" s="221"/>
      <c r="O203" s="221"/>
      <c r="P203" s="221"/>
      <c r="Q203" s="221"/>
      <c r="R203" s="221"/>
      <c r="S203" s="221"/>
      <c r="T203" s="221"/>
      <c r="U203" s="183"/>
      <c r="V203" s="183"/>
      <c r="W203" s="183"/>
      <c r="X203" s="5"/>
    </row>
    <row r="204" spans="1:24" ht="15.75" x14ac:dyDescent="0.25">
      <c r="A204" s="350"/>
      <c r="B204" s="286" t="s">
        <v>71</v>
      </c>
      <c r="C204" s="406"/>
      <c r="D204" s="406"/>
      <c r="E204" s="406"/>
      <c r="F204" s="406"/>
      <c r="G204" s="397"/>
      <c r="H204" s="397"/>
      <c r="I204" s="397"/>
      <c r="J204" s="397"/>
      <c r="K204" s="397"/>
      <c r="L204" s="397"/>
      <c r="M204" s="397"/>
      <c r="N204" s="397"/>
      <c r="O204" s="397"/>
      <c r="P204" s="397"/>
      <c r="Q204" s="397"/>
      <c r="R204" s="397"/>
      <c r="S204" s="397"/>
      <c r="T204" s="321">
        <v>5.3830000000000003E-2</v>
      </c>
      <c r="U204" s="286"/>
      <c r="V204" s="286"/>
      <c r="W204" s="289"/>
      <c r="X204" s="5"/>
    </row>
    <row r="205" spans="1:24" ht="15.75" x14ac:dyDescent="0.25">
      <c r="A205" s="350"/>
      <c r="B205" s="286" t="s">
        <v>151</v>
      </c>
      <c r="C205" s="406"/>
      <c r="D205" s="406"/>
      <c r="E205" s="406"/>
      <c r="F205" s="406"/>
      <c r="G205" s="397"/>
      <c r="H205" s="397"/>
      <c r="I205" s="397"/>
      <c r="J205" s="397"/>
      <c r="K205" s="397"/>
      <c r="L205" s="397"/>
      <c r="M205" s="397"/>
      <c r="N205" s="397"/>
      <c r="O205" s="397"/>
      <c r="P205" s="397"/>
      <c r="Q205" s="397"/>
      <c r="R205" s="397"/>
      <c r="S205" s="397"/>
      <c r="T205" s="321">
        <v>6.25E-2</v>
      </c>
      <c r="U205" s="286"/>
      <c r="V205" s="286"/>
      <c r="W205" s="289"/>
      <c r="X205" s="5"/>
    </row>
    <row r="206" spans="1:24" ht="15.75" x14ac:dyDescent="0.25">
      <c r="A206" s="350"/>
      <c r="B206" s="286" t="s">
        <v>72</v>
      </c>
      <c r="C206" s="406"/>
      <c r="D206" s="406"/>
      <c r="E206" s="406"/>
      <c r="F206" s="406"/>
      <c r="G206" s="397"/>
      <c r="H206" s="397"/>
      <c r="I206" s="397"/>
      <c r="J206" s="397"/>
      <c r="K206" s="397"/>
      <c r="L206" s="397"/>
      <c r="M206" s="397"/>
      <c r="N206" s="397"/>
      <c r="O206" s="397"/>
      <c r="P206" s="397"/>
      <c r="Q206" s="397"/>
      <c r="R206" s="397"/>
      <c r="S206" s="397"/>
      <c r="T206" s="321">
        <f>T204-T205</f>
        <v>-8.6699999999999972E-3</v>
      </c>
      <c r="U206" s="286"/>
      <c r="V206" s="286"/>
      <c r="W206" s="289"/>
      <c r="X206" s="5"/>
    </row>
    <row r="207" spans="1:24" ht="15.75" x14ac:dyDescent="0.25">
      <c r="A207" s="350"/>
      <c r="B207" s="286" t="s">
        <v>73</v>
      </c>
      <c r="C207" s="406"/>
      <c r="D207" s="406"/>
      <c r="E207" s="406"/>
      <c r="F207" s="406"/>
      <c r="G207" s="397"/>
      <c r="H207" s="397"/>
      <c r="I207" s="397"/>
      <c r="J207" s="397"/>
      <c r="K207" s="397"/>
      <c r="L207" s="397"/>
      <c r="M207" s="397"/>
      <c r="N207" s="397"/>
      <c r="O207" s="397"/>
      <c r="P207" s="397"/>
      <c r="Q207" s="397"/>
      <c r="R207" s="397"/>
      <c r="S207" s="397"/>
      <c r="T207" s="321">
        <v>2.4830000000000001E-2</v>
      </c>
      <c r="U207" s="286"/>
      <c r="V207" s="286"/>
      <c r="W207" s="289"/>
      <c r="X207" s="5"/>
    </row>
    <row r="208" spans="1:24" ht="15.75" x14ac:dyDescent="0.25">
      <c r="A208" s="350"/>
      <c r="B208" s="286" t="s">
        <v>218</v>
      </c>
      <c r="C208" s="406"/>
      <c r="D208" s="406"/>
      <c r="E208" s="406"/>
      <c r="F208" s="406"/>
      <c r="G208" s="397"/>
      <c r="H208" s="397"/>
      <c r="I208" s="397"/>
      <c r="J208" s="397"/>
      <c r="K208" s="397"/>
      <c r="L208" s="397"/>
      <c r="M208" s="397"/>
      <c r="N208" s="397"/>
      <c r="O208" s="397"/>
      <c r="P208" s="397"/>
      <c r="Q208" s="397"/>
      <c r="R208" s="397"/>
      <c r="S208" s="397"/>
      <c r="T208" s="321">
        <f>V43</f>
        <v>8.6172245895676531E-3</v>
      </c>
      <c r="U208" s="286"/>
      <c r="V208" s="286"/>
      <c r="W208" s="289"/>
      <c r="X208" s="5"/>
    </row>
    <row r="209" spans="1:24" ht="15.75" x14ac:dyDescent="0.25">
      <c r="A209" s="350"/>
      <c r="B209" s="286" t="s">
        <v>74</v>
      </c>
      <c r="C209" s="406"/>
      <c r="D209" s="406"/>
      <c r="E209" s="406"/>
      <c r="F209" s="406"/>
      <c r="G209" s="397"/>
      <c r="H209" s="397"/>
      <c r="I209" s="397"/>
      <c r="J209" s="397"/>
      <c r="K209" s="397"/>
      <c r="L209" s="397"/>
      <c r="M209" s="397"/>
      <c r="N209" s="397"/>
      <c r="O209" s="397"/>
      <c r="P209" s="397"/>
      <c r="Q209" s="397"/>
      <c r="R209" s="397"/>
      <c r="S209" s="397"/>
      <c r="T209" s="321">
        <f>T207-T208</f>
        <v>1.6212775410432347E-2</v>
      </c>
      <c r="U209" s="286"/>
      <c r="V209" s="286"/>
      <c r="W209" s="289"/>
      <c r="X209" s="5"/>
    </row>
    <row r="210" spans="1:24" ht="15.75" x14ac:dyDescent="0.25">
      <c r="A210" s="350"/>
      <c r="B210" s="286" t="s">
        <v>227</v>
      </c>
      <c r="C210" s="406"/>
      <c r="D210" s="406"/>
      <c r="E210" s="406"/>
      <c r="F210" s="406"/>
      <c r="G210" s="397"/>
      <c r="H210" s="397"/>
      <c r="I210" s="397"/>
      <c r="J210" s="397"/>
      <c r="K210" s="397"/>
      <c r="L210" s="397"/>
      <c r="M210" s="397"/>
      <c r="N210" s="397"/>
      <c r="O210" s="397"/>
      <c r="P210" s="397"/>
      <c r="Q210" s="397"/>
      <c r="R210" s="397"/>
      <c r="S210" s="397"/>
      <c r="T210" s="321">
        <f>V101/N71</f>
        <v>6.4814757669828613E-3</v>
      </c>
      <c r="U210" s="286"/>
      <c r="V210" s="286"/>
      <c r="W210" s="289"/>
      <c r="X210" s="5"/>
    </row>
    <row r="211" spans="1:24" ht="15.75" x14ac:dyDescent="0.25">
      <c r="A211" s="350"/>
      <c r="B211" s="286" t="s">
        <v>207</v>
      </c>
      <c r="C211" s="406"/>
      <c r="D211" s="406"/>
      <c r="E211" s="406"/>
      <c r="F211" s="406"/>
      <c r="G211" s="397"/>
      <c r="H211" s="397"/>
      <c r="I211" s="397"/>
      <c r="J211" s="397"/>
      <c r="K211" s="397"/>
      <c r="L211" s="397"/>
      <c r="M211" s="397"/>
      <c r="N211" s="397"/>
      <c r="O211" s="397"/>
      <c r="P211" s="397"/>
      <c r="Q211" s="397"/>
      <c r="R211" s="397"/>
      <c r="S211" s="397"/>
      <c r="T211" s="352">
        <v>51105</v>
      </c>
      <c r="U211" s="286"/>
      <c r="V211" s="286"/>
      <c r="W211" s="289"/>
      <c r="X211" s="5"/>
    </row>
    <row r="212" spans="1:24" ht="15.75" x14ac:dyDescent="0.25">
      <c r="A212" s="350"/>
      <c r="B212" s="286" t="s">
        <v>208</v>
      </c>
      <c r="C212" s="406"/>
      <c r="D212" s="406"/>
      <c r="E212" s="406"/>
      <c r="F212" s="406"/>
      <c r="G212" s="397"/>
      <c r="H212" s="397"/>
      <c r="I212" s="397"/>
      <c r="J212" s="397"/>
      <c r="K212" s="397"/>
      <c r="L212" s="397"/>
      <c r="M212" s="397"/>
      <c r="N212" s="397"/>
      <c r="O212" s="397"/>
      <c r="P212" s="397"/>
      <c r="Q212" s="397"/>
      <c r="R212" s="397"/>
      <c r="S212" s="397"/>
      <c r="T212" s="352">
        <v>51105</v>
      </c>
      <c r="U212" s="286"/>
      <c r="V212" s="286"/>
      <c r="W212" s="289"/>
      <c r="X212" s="5"/>
    </row>
    <row r="213" spans="1:24" ht="15.75" x14ac:dyDescent="0.25">
      <c r="A213" s="350"/>
      <c r="B213" s="286" t="s">
        <v>209</v>
      </c>
      <c r="C213" s="406"/>
      <c r="D213" s="406"/>
      <c r="E213" s="406"/>
      <c r="F213" s="406"/>
      <c r="G213" s="397"/>
      <c r="H213" s="397"/>
      <c r="I213" s="397"/>
      <c r="J213" s="397"/>
      <c r="K213" s="397"/>
      <c r="L213" s="397"/>
      <c r="M213" s="397"/>
      <c r="N213" s="397"/>
      <c r="O213" s="397"/>
      <c r="P213" s="397"/>
      <c r="Q213" s="397"/>
      <c r="R213" s="397"/>
      <c r="S213" s="397"/>
      <c r="T213" s="352">
        <v>51105</v>
      </c>
      <c r="U213" s="286"/>
      <c r="V213" s="286"/>
      <c r="W213" s="289"/>
      <c r="X213" s="5"/>
    </row>
    <row r="214" spans="1:24" ht="15.75" x14ac:dyDescent="0.25">
      <c r="A214" s="350"/>
      <c r="B214" s="286" t="s">
        <v>75</v>
      </c>
      <c r="C214" s="406"/>
      <c r="D214" s="406"/>
      <c r="E214" s="406"/>
      <c r="F214" s="406"/>
      <c r="G214" s="397"/>
      <c r="H214" s="397"/>
      <c r="I214" s="397"/>
      <c r="J214" s="397"/>
      <c r="K214" s="397"/>
      <c r="L214" s="397"/>
      <c r="M214" s="397"/>
      <c r="N214" s="397"/>
      <c r="O214" s="397"/>
      <c r="P214" s="397"/>
      <c r="Q214" s="397"/>
      <c r="R214" s="397"/>
      <c r="S214" s="397"/>
      <c r="T214" s="327">
        <v>21.06</v>
      </c>
      <c r="U214" s="286" t="s">
        <v>110</v>
      </c>
      <c r="V214" s="286"/>
      <c r="W214" s="289"/>
      <c r="X214" s="5"/>
    </row>
    <row r="215" spans="1:24" ht="15.75" x14ac:dyDescent="0.25">
      <c r="A215" s="350"/>
      <c r="B215" s="286" t="s">
        <v>76</v>
      </c>
      <c r="C215" s="406"/>
      <c r="D215" s="406"/>
      <c r="E215" s="406"/>
      <c r="F215" s="406"/>
      <c r="G215" s="397"/>
      <c r="H215" s="397"/>
      <c r="I215" s="397"/>
      <c r="J215" s="397"/>
      <c r="K215" s="397"/>
      <c r="L215" s="397"/>
      <c r="M215" s="397"/>
      <c r="N215" s="397"/>
      <c r="O215" s="397"/>
      <c r="P215" s="397"/>
      <c r="Q215" s="397"/>
      <c r="R215" s="397"/>
      <c r="S215" s="397"/>
      <c r="T215" s="327">
        <v>15.4</v>
      </c>
      <c r="U215" s="286" t="s">
        <v>110</v>
      </c>
      <c r="V215" s="286"/>
      <c r="W215" s="289"/>
      <c r="X215" s="5"/>
    </row>
    <row r="216" spans="1:24" ht="15.75" x14ac:dyDescent="0.25">
      <c r="A216" s="350"/>
      <c r="B216" s="286" t="s">
        <v>77</v>
      </c>
      <c r="C216" s="406"/>
      <c r="D216" s="406"/>
      <c r="E216" s="406"/>
      <c r="F216" s="406"/>
      <c r="G216" s="397"/>
      <c r="H216" s="397"/>
      <c r="I216" s="397"/>
      <c r="J216" s="397"/>
      <c r="K216" s="397"/>
      <c r="L216" s="397"/>
      <c r="M216" s="397"/>
      <c r="N216" s="397"/>
      <c r="O216" s="397"/>
      <c r="P216" s="397"/>
      <c r="Q216" s="397"/>
      <c r="R216" s="397"/>
      <c r="S216" s="397"/>
      <c r="T216" s="321">
        <f>+P68/N68</f>
        <v>6.3728545772105336E-3</v>
      </c>
      <c r="U216" s="286"/>
      <c r="V216" s="286"/>
      <c r="W216" s="289"/>
      <c r="X216" s="5"/>
    </row>
    <row r="217" spans="1:24" ht="15.75" x14ac:dyDescent="0.25">
      <c r="A217" s="350"/>
      <c r="B217" s="286" t="s">
        <v>78</v>
      </c>
      <c r="C217" s="406"/>
      <c r="D217" s="406"/>
      <c r="E217" s="406"/>
      <c r="F217" s="406"/>
      <c r="G217" s="397"/>
      <c r="H217" s="397"/>
      <c r="I217" s="397"/>
      <c r="J217" s="397"/>
      <c r="K217" s="397"/>
      <c r="L217" s="397"/>
      <c r="M217" s="397"/>
      <c r="N217" s="397"/>
      <c r="O217" s="397"/>
      <c r="P217" s="397"/>
      <c r="Q217" s="397"/>
      <c r="R217" s="397"/>
      <c r="S217" s="397"/>
      <c r="T217" s="321">
        <v>3.8699999999999998E-2</v>
      </c>
      <c r="U217" s="286"/>
      <c r="V217" s="286"/>
      <c r="W217" s="289"/>
      <c r="X217" s="5"/>
    </row>
    <row r="218" spans="1:24" ht="15.75" x14ac:dyDescent="0.25">
      <c r="A218" s="218"/>
      <c r="B218" s="348"/>
      <c r="C218" s="348"/>
      <c r="D218" s="348"/>
      <c r="E218" s="348"/>
      <c r="F218" s="348"/>
      <c r="G218" s="212"/>
      <c r="H218" s="212"/>
      <c r="I218" s="212"/>
      <c r="J218" s="212"/>
      <c r="K218" s="212"/>
      <c r="L218" s="212"/>
      <c r="M218" s="212"/>
      <c r="N218" s="212"/>
      <c r="O218" s="212"/>
      <c r="P218" s="212"/>
      <c r="Q218" s="212"/>
      <c r="R218" s="212"/>
      <c r="S218" s="212"/>
      <c r="T218" s="344"/>
      <c r="U218" s="212"/>
      <c r="V218" s="349"/>
      <c r="W218" s="212"/>
      <c r="X218" s="5"/>
    </row>
    <row r="219" spans="1:24" ht="15.75" x14ac:dyDescent="0.25">
      <c r="A219" s="242"/>
      <c r="B219" s="399" t="s">
        <v>79</v>
      </c>
      <c r="C219" s="400"/>
      <c r="D219" s="400"/>
      <c r="E219" s="400"/>
      <c r="F219" s="407"/>
      <c r="G219" s="400"/>
      <c r="H219" s="400"/>
      <c r="I219" s="400"/>
      <c r="J219" s="400"/>
      <c r="K219" s="400"/>
      <c r="L219" s="400"/>
      <c r="M219" s="400"/>
      <c r="N219" s="400"/>
      <c r="O219" s="400"/>
      <c r="P219" s="400"/>
      <c r="Q219" s="400"/>
      <c r="R219" s="400"/>
      <c r="S219" s="400" t="s">
        <v>102</v>
      </c>
      <c r="T219" s="407" t="s">
        <v>108</v>
      </c>
      <c r="U219" s="225"/>
      <c r="V219" s="225"/>
      <c r="W219" s="225"/>
      <c r="X219" s="5"/>
    </row>
    <row r="220" spans="1:24" ht="15.75" x14ac:dyDescent="0.25">
      <c r="A220" s="222"/>
      <c r="B220" s="250" t="s">
        <v>80</v>
      </c>
      <c r="C220" s="249"/>
      <c r="D220" s="249"/>
      <c r="E220" s="249"/>
      <c r="F220" s="250"/>
      <c r="G220" s="250"/>
      <c r="H220" s="268"/>
      <c r="I220" s="268"/>
      <c r="J220" s="268"/>
      <c r="K220" s="268"/>
      <c r="L220" s="268"/>
      <c r="M220" s="268"/>
      <c r="N220" s="268"/>
      <c r="O220" s="268"/>
      <c r="P220" s="268"/>
      <c r="Q220" s="268"/>
      <c r="R220" s="268"/>
      <c r="S220" s="268">
        <v>11</v>
      </c>
      <c r="T220" s="269">
        <v>1084</v>
      </c>
      <c r="U220" s="250"/>
      <c r="V220" s="266"/>
      <c r="W220" s="223"/>
      <c r="X220" s="5"/>
    </row>
    <row r="221" spans="1:24" ht="15.75" x14ac:dyDescent="0.25">
      <c r="A221" s="358"/>
      <c r="B221" s="286" t="s">
        <v>145</v>
      </c>
      <c r="C221" s="337"/>
      <c r="D221" s="337"/>
      <c r="E221" s="337"/>
      <c r="F221" s="286"/>
      <c r="G221" s="286"/>
      <c r="H221" s="296"/>
      <c r="I221" s="296"/>
      <c r="J221" s="296"/>
      <c r="K221" s="296"/>
      <c r="L221" s="296"/>
      <c r="M221" s="296"/>
      <c r="N221" s="296"/>
      <c r="O221" s="296"/>
      <c r="P221" s="296"/>
      <c r="Q221" s="296"/>
      <c r="R221" s="296"/>
      <c r="S221" s="359">
        <f>+R273</f>
        <v>117</v>
      </c>
      <c r="T221" s="360">
        <f>+T273</f>
        <v>17499</v>
      </c>
      <c r="U221" s="286"/>
      <c r="V221" s="361"/>
      <c r="W221" s="362"/>
      <c r="X221" s="5"/>
    </row>
    <row r="222" spans="1:24" ht="15.75" x14ac:dyDescent="0.25">
      <c r="A222" s="358"/>
      <c r="B222" s="286" t="s">
        <v>81</v>
      </c>
      <c r="C222" s="337"/>
      <c r="D222" s="337"/>
      <c r="E222" s="337"/>
      <c r="F222" s="286"/>
      <c r="G222" s="286"/>
      <c r="H222" s="296"/>
      <c r="I222" s="296"/>
      <c r="J222" s="296"/>
      <c r="K222" s="296"/>
      <c r="L222" s="296"/>
      <c r="M222" s="296"/>
      <c r="N222" s="296"/>
      <c r="O222" s="296"/>
      <c r="P222" s="296"/>
      <c r="Q222" s="296"/>
      <c r="R222" s="296"/>
      <c r="S222" s="359">
        <f>+R285</f>
        <v>0</v>
      </c>
      <c r="T222" s="360">
        <f>+T285</f>
        <v>0</v>
      </c>
      <c r="U222" s="286"/>
      <c r="V222" s="361"/>
      <c r="W222" s="362"/>
      <c r="X222" s="5"/>
    </row>
    <row r="223" spans="1:24" ht="15.75" x14ac:dyDescent="0.25">
      <c r="A223" s="358"/>
      <c r="B223" s="313" t="s">
        <v>82</v>
      </c>
      <c r="C223" s="363"/>
      <c r="D223" s="363"/>
      <c r="E223" s="363"/>
      <c r="F223" s="314"/>
      <c r="G223" s="314"/>
      <c r="H223" s="314"/>
      <c r="I223" s="314"/>
      <c r="J223" s="314"/>
      <c r="K223" s="314"/>
      <c r="L223" s="314"/>
      <c r="M223" s="314"/>
      <c r="N223" s="314"/>
      <c r="O223" s="314"/>
      <c r="P223" s="314"/>
      <c r="Q223" s="314"/>
      <c r="R223" s="314"/>
      <c r="S223" s="286"/>
      <c r="T223" s="360">
        <v>0</v>
      </c>
      <c r="U223" s="314"/>
      <c r="V223" s="364"/>
      <c r="W223" s="362"/>
      <c r="X223" s="5"/>
    </row>
    <row r="224" spans="1:24" ht="15.75" x14ac:dyDescent="0.25">
      <c r="A224" s="358"/>
      <c r="B224" s="313" t="s">
        <v>228</v>
      </c>
      <c r="C224" s="363"/>
      <c r="D224" s="363"/>
      <c r="E224" s="363"/>
      <c r="F224" s="314"/>
      <c r="G224" s="314"/>
      <c r="H224" s="314"/>
      <c r="I224" s="314"/>
      <c r="J224" s="314"/>
      <c r="K224" s="314"/>
      <c r="L224" s="314"/>
      <c r="M224" s="314"/>
      <c r="N224" s="314"/>
      <c r="O224" s="314"/>
      <c r="P224" s="314"/>
      <c r="Q224" s="314"/>
      <c r="R224" s="314"/>
      <c r="S224" s="286"/>
      <c r="T224" s="360">
        <f>+N81</f>
        <v>0</v>
      </c>
      <c r="U224" s="314"/>
      <c r="V224" s="364"/>
      <c r="W224" s="362"/>
      <c r="X224" s="5"/>
    </row>
    <row r="225" spans="1:24" ht="15.75" x14ac:dyDescent="0.25">
      <c r="A225" s="365"/>
      <c r="B225" s="313" t="s">
        <v>83</v>
      </c>
      <c r="C225" s="366"/>
      <c r="D225" s="366"/>
      <c r="E225" s="366"/>
      <c r="F225" s="366"/>
      <c r="G225" s="314"/>
      <c r="H225" s="314"/>
      <c r="I225" s="314"/>
      <c r="J225" s="314"/>
      <c r="K225" s="314"/>
      <c r="L225" s="314"/>
      <c r="M225" s="314"/>
      <c r="N225" s="314"/>
      <c r="O225" s="314"/>
      <c r="P225" s="314"/>
      <c r="Q225" s="314"/>
      <c r="R225" s="314"/>
      <c r="S225" s="286"/>
      <c r="T225" s="360"/>
      <c r="U225" s="314"/>
      <c r="V225" s="364"/>
      <c r="W225" s="367"/>
      <c r="X225" s="5"/>
    </row>
    <row r="226" spans="1:24" ht="15.75" x14ac:dyDescent="0.25">
      <c r="A226" s="365"/>
      <c r="B226" s="286" t="s">
        <v>84</v>
      </c>
      <c r="C226" s="366"/>
      <c r="D226" s="366"/>
      <c r="E226" s="366"/>
      <c r="F226" s="366"/>
      <c r="G226" s="314"/>
      <c r="H226" s="314"/>
      <c r="I226" s="314"/>
      <c r="J226" s="314"/>
      <c r="K226" s="314"/>
      <c r="L226" s="314"/>
      <c r="M226" s="314"/>
      <c r="N226" s="314"/>
      <c r="O226" s="314"/>
      <c r="P226" s="314"/>
      <c r="Q226" s="314"/>
      <c r="R226" s="314"/>
      <c r="S226" s="296"/>
      <c r="T226" s="360">
        <f>V164</f>
        <v>550</v>
      </c>
      <c r="U226" s="314"/>
      <c r="V226" s="364"/>
      <c r="W226" s="367"/>
      <c r="X226" s="5"/>
    </row>
    <row r="227" spans="1:24" ht="15.75" x14ac:dyDescent="0.25">
      <c r="A227" s="358"/>
      <c r="B227" s="286" t="s">
        <v>85</v>
      </c>
      <c r="C227" s="363"/>
      <c r="D227" s="363"/>
      <c r="E227" s="363"/>
      <c r="F227" s="363"/>
      <c r="G227" s="314"/>
      <c r="H227" s="314"/>
      <c r="I227" s="314"/>
      <c r="J227" s="314"/>
      <c r="K227" s="314"/>
      <c r="L227" s="314"/>
      <c r="M227" s="314"/>
      <c r="N227" s="314"/>
      <c r="O227" s="314"/>
      <c r="P227" s="314"/>
      <c r="Q227" s="314"/>
      <c r="R227" s="314"/>
      <c r="S227" s="296"/>
      <c r="T227" s="360">
        <f>'Feb 13'!T227+T226</f>
        <v>5640</v>
      </c>
      <c r="U227" s="314"/>
      <c r="V227" s="364"/>
      <c r="W227" s="367"/>
      <c r="X227" s="5"/>
    </row>
    <row r="228" spans="1:24" ht="15.75" x14ac:dyDescent="0.25">
      <c r="A228" s="365"/>
      <c r="B228" s="313" t="s">
        <v>285</v>
      </c>
      <c r="C228" s="366"/>
      <c r="D228" s="366"/>
      <c r="E228" s="366"/>
      <c r="F228" s="366"/>
      <c r="G228" s="314"/>
      <c r="H228" s="314"/>
      <c r="I228" s="314"/>
      <c r="J228" s="314"/>
      <c r="K228" s="314"/>
      <c r="L228" s="314"/>
      <c r="M228" s="314"/>
      <c r="N228" s="314"/>
      <c r="O228" s="314"/>
      <c r="P228" s="314"/>
      <c r="Q228" s="314"/>
      <c r="R228" s="314"/>
      <c r="S228" s="296"/>
      <c r="T228" s="360"/>
      <c r="U228" s="314"/>
      <c r="V228" s="364"/>
      <c r="W228" s="367"/>
      <c r="X228" s="5"/>
    </row>
    <row r="229" spans="1:24" ht="15.75" x14ac:dyDescent="0.25">
      <c r="A229" s="365"/>
      <c r="B229" s="286" t="s">
        <v>282</v>
      </c>
      <c r="C229" s="366"/>
      <c r="D229" s="366"/>
      <c r="E229" s="366"/>
      <c r="F229" s="366"/>
      <c r="G229" s="314"/>
      <c r="H229" s="314"/>
      <c r="I229" s="314"/>
      <c r="J229" s="314"/>
      <c r="K229" s="314"/>
      <c r="L229" s="314"/>
      <c r="M229" s="314"/>
      <c r="N229" s="314"/>
      <c r="O229" s="314"/>
      <c r="P229" s="314"/>
      <c r="Q229" s="314"/>
      <c r="R229" s="314"/>
      <c r="S229" s="296">
        <v>1</v>
      </c>
      <c r="T229" s="360">
        <v>57</v>
      </c>
      <c r="U229" s="314"/>
      <c r="V229" s="364"/>
      <c r="W229" s="367"/>
      <c r="X229" s="5"/>
    </row>
    <row r="230" spans="1:24" ht="15.75" x14ac:dyDescent="0.25">
      <c r="A230" s="358"/>
      <c r="B230" s="286" t="s">
        <v>86</v>
      </c>
      <c r="C230" s="368"/>
      <c r="D230" s="368"/>
      <c r="E230" s="368"/>
      <c r="F230" s="369"/>
      <c r="G230" s="314"/>
      <c r="H230" s="314"/>
      <c r="I230" s="314"/>
      <c r="J230" s="314"/>
      <c r="K230" s="314"/>
      <c r="L230" s="314"/>
      <c r="M230" s="314"/>
      <c r="N230" s="314"/>
      <c r="O230" s="314"/>
      <c r="P230" s="314"/>
      <c r="Q230" s="314"/>
      <c r="R230" s="314"/>
      <c r="S230" s="286"/>
      <c r="T230" s="370">
        <v>25.14</v>
      </c>
      <c r="U230" s="314"/>
      <c r="V230" s="364"/>
      <c r="W230" s="367"/>
      <c r="X230" s="5"/>
    </row>
    <row r="231" spans="1:24" ht="15.75" x14ac:dyDescent="0.25">
      <c r="A231" s="358"/>
      <c r="B231" s="286" t="s">
        <v>87</v>
      </c>
      <c r="C231" s="368"/>
      <c r="D231" s="368"/>
      <c r="E231" s="368"/>
      <c r="F231" s="369"/>
      <c r="G231" s="314"/>
      <c r="H231" s="314"/>
      <c r="I231" s="314"/>
      <c r="J231" s="314"/>
      <c r="K231" s="314"/>
      <c r="L231" s="314"/>
      <c r="M231" s="314"/>
      <c r="N231" s="314"/>
      <c r="O231" s="314"/>
      <c r="P231" s="314"/>
      <c r="Q231" s="314"/>
      <c r="R231" s="314"/>
      <c r="S231" s="286"/>
      <c r="T231" s="370">
        <v>14.06</v>
      </c>
      <c r="U231" s="314"/>
      <c r="V231" s="364"/>
      <c r="W231" s="367"/>
      <c r="X231" s="5"/>
    </row>
    <row r="232" spans="1:24" ht="15.75" x14ac:dyDescent="0.25">
      <c r="A232" s="358"/>
      <c r="B232" s="313" t="s">
        <v>216</v>
      </c>
      <c r="C232" s="368"/>
      <c r="D232" s="368"/>
      <c r="E232" s="368"/>
      <c r="F232" s="369"/>
      <c r="G232" s="314"/>
      <c r="H232" s="314"/>
      <c r="I232" s="314"/>
      <c r="J232" s="314"/>
      <c r="K232" s="314"/>
      <c r="L232" s="314"/>
      <c r="M232" s="314"/>
      <c r="N232" s="314"/>
      <c r="O232" s="314"/>
      <c r="P232" s="314"/>
      <c r="Q232" s="314"/>
      <c r="R232" s="314"/>
      <c r="S232" s="286"/>
      <c r="T232" s="371"/>
      <c r="U232" s="314"/>
      <c r="V232" s="364"/>
      <c r="W232" s="367"/>
      <c r="X232" s="5"/>
    </row>
    <row r="233" spans="1:24" ht="15.75" x14ac:dyDescent="0.25">
      <c r="A233" s="358"/>
      <c r="B233" s="286" t="s">
        <v>282</v>
      </c>
      <c r="C233" s="368"/>
      <c r="D233" s="368"/>
      <c r="E233" s="368"/>
      <c r="F233" s="369"/>
      <c r="G233" s="314"/>
      <c r="H233" s="314"/>
      <c r="I233" s="314"/>
      <c r="J233" s="314"/>
      <c r="K233" s="314"/>
      <c r="L233" s="314"/>
      <c r="M233" s="314"/>
      <c r="N233" s="314"/>
      <c r="O233" s="314"/>
      <c r="P233" s="314"/>
      <c r="Q233" s="314"/>
      <c r="R233" s="314"/>
      <c r="S233" s="296">
        <v>6</v>
      </c>
      <c r="T233" s="360">
        <v>1120</v>
      </c>
      <c r="U233" s="314"/>
      <c r="V233" s="364"/>
      <c r="W233" s="367"/>
      <c r="X233" s="5"/>
    </row>
    <row r="234" spans="1:24" ht="15.75" x14ac:dyDescent="0.25">
      <c r="A234" s="358"/>
      <c r="B234" s="286" t="s">
        <v>217</v>
      </c>
      <c r="C234" s="368"/>
      <c r="D234" s="368"/>
      <c r="E234" s="368"/>
      <c r="F234" s="369"/>
      <c r="G234" s="314"/>
      <c r="H234" s="314"/>
      <c r="I234" s="314"/>
      <c r="J234" s="314"/>
      <c r="K234" s="314"/>
      <c r="L234" s="314"/>
      <c r="M234" s="314"/>
      <c r="N234" s="314"/>
      <c r="O234" s="314"/>
      <c r="P234" s="314"/>
      <c r="Q234" s="314"/>
      <c r="R234" s="314"/>
      <c r="S234" s="286"/>
      <c r="T234" s="370">
        <v>3.75</v>
      </c>
      <c r="U234" s="314"/>
      <c r="V234" s="364"/>
      <c r="W234" s="367"/>
      <c r="X234" s="5"/>
    </row>
    <row r="235" spans="1:24" ht="15.75" x14ac:dyDescent="0.25">
      <c r="A235" s="358"/>
      <c r="B235" s="366"/>
      <c r="C235" s="368"/>
      <c r="D235" s="368"/>
      <c r="E235" s="368"/>
      <c r="F235" s="369"/>
      <c r="G235" s="314"/>
      <c r="H235" s="314"/>
      <c r="I235" s="314"/>
      <c r="J235" s="314"/>
      <c r="K235" s="314"/>
      <c r="L235" s="314"/>
      <c r="M235" s="314"/>
      <c r="N235" s="314"/>
      <c r="O235" s="314"/>
      <c r="P235" s="314"/>
      <c r="Q235" s="314"/>
      <c r="R235" s="314"/>
      <c r="S235" s="286"/>
      <c r="T235" s="371"/>
      <c r="U235" s="314"/>
      <c r="V235" s="364"/>
      <c r="W235" s="367"/>
      <c r="X235" s="5"/>
    </row>
    <row r="236" spans="1:24" ht="15.75" x14ac:dyDescent="0.25">
      <c r="A236" s="358"/>
      <c r="B236" s="366"/>
      <c r="C236" s="368"/>
      <c r="D236" s="368"/>
      <c r="E236" s="368"/>
      <c r="F236" s="369"/>
      <c r="G236" s="314"/>
      <c r="H236" s="314"/>
      <c r="I236" s="314"/>
      <c r="J236" s="314"/>
      <c r="K236" s="314"/>
      <c r="L236" s="314"/>
      <c r="M236" s="314"/>
      <c r="N236" s="314"/>
      <c r="O236" s="314"/>
      <c r="P236" s="314"/>
      <c r="Q236" s="314"/>
      <c r="R236" s="314"/>
      <c r="S236" s="314"/>
      <c r="T236" s="372"/>
      <c r="U236" s="314"/>
      <c r="V236" s="364"/>
      <c r="W236" s="367"/>
      <c r="X236" s="5"/>
    </row>
    <row r="237" spans="1:24" ht="18.75" x14ac:dyDescent="0.3">
      <c r="A237" s="358"/>
      <c r="B237" s="373" t="s">
        <v>168</v>
      </c>
      <c r="C237" s="368"/>
      <c r="D237" s="368"/>
      <c r="E237" s="368"/>
      <c r="F237" s="369"/>
      <c r="G237" s="314"/>
      <c r="H237" s="314"/>
      <c r="I237" s="314"/>
      <c r="J237" s="314"/>
      <c r="K237" s="314"/>
      <c r="L237" s="314"/>
      <c r="M237" s="314"/>
      <c r="N237" s="314"/>
      <c r="O237" s="314"/>
      <c r="P237" s="374" t="s">
        <v>167</v>
      </c>
      <c r="Q237" s="314"/>
      <c r="R237" s="314"/>
      <c r="S237" s="314"/>
      <c r="T237" s="372"/>
      <c r="U237" s="314"/>
      <c r="V237" s="364"/>
      <c r="W237" s="367"/>
      <c r="X237" s="5"/>
    </row>
    <row r="238" spans="1:24" ht="15.75" x14ac:dyDescent="0.25">
      <c r="A238" s="353"/>
      <c r="B238" s="348"/>
      <c r="C238" s="354"/>
      <c r="D238" s="354"/>
      <c r="E238" s="354"/>
      <c r="F238" s="355"/>
      <c r="G238" s="212"/>
      <c r="H238" s="212"/>
      <c r="I238" s="212"/>
      <c r="J238" s="212"/>
      <c r="K238" s="212"/>
      <c r="L238" s="212"/>
      <c r="M238" s="212"/>
      <c r="N238" s="212"/>
      <c r="O238" s="212"/>
      <c r="P238" s="212"/>
      <c r="Q238" s="212"/>
      <c r="R238" s="212"/>
      <c r="S238" s="212"/>
      <c r="T238" s="356"/>
      <c r="U238" s="212"/>
      <c r="V238" s="349"/>
      <c r="W238" s="357"/>
      <c r="X238" s="5"/>
    </row>
    <row r="239" spans="1:24" ht="15.75" x14ac:dyDescent="0.25">
      <c r="A239" s="224"/>
      <c r="B239" s="399" t="s">
        <v>297</v>
      </c>
      <c r="C239" s="400"/>
      <c r="D239" s="400"/>
      <c r="E239" s="400"/>
      <c r="F239" s="407"/>
      <c r="G239" s="400"/>
      <c r="H239" s="400"/>
      <c r="I239" s="400"/>
      <c r="J239" s="400"/>
      <c r="K239" s="400"/>
      <c r="L239" s="400"/>
      <c r="M239" s="400"/>
      <c r="N239" s="400"/>
      <c r="O239" s="400"/>
      <c r="P239" s="400"/>
      <c r="Q239" s="400"/>
      <c r="R239" s="407" t="s">
        <v>102</v>
      </c>
      <c r="S239" s="400" t="s">
        <v>103</v>
      </c>
      <c r="T239" s="407" t="s">
        <v>109</v>
      </c>
      <c r="U239" s="400" t="s">
        <v>103</v>
      </c>
      <c r="V239" s="225"/>
      <c r="W239" s="399"/>
      <c r="X239" s="5"/>
    </row>
    <row r="240" spans="1:24" ht="15.75" x14ac:dyDescent="0.25">
      <c r="A240" s="193"/>
      <c r="B240" s="249" t="s">
        <v>88</v>
      </c>
      <c r="C240" s="265"/>
      <c r="D240" s="265"/>
      <c r="E240" s="265"/>
      <c r="F240" s="250"/>
      <c r="G240" s="265"/>
      <c r="H240" s="265"/>
      <c r="I240" s="265"/>
      <c r="J240" s="265"/>
      <c r="K240" s="265"/>
      <c r="L240" s="265"/>
      <c r="M240" s="265"/>
      <c r="N240" s="265"/>
      <c r="O240" s="265"/>
      <c r="P240" s="265"/>
      <c r="Q240" s="265"/>
      <c r="R240" s="249">
        <f t="shared" ref="R240:R247" si="1">+R252+R264+R276</f>
        <v>5598</v>
      </c>
      <c r="S240" s="252">
        <f t="shared" ref="S240:S247" si="2">R240/$R$249</f>
        <v>0.98834745762711862</v>
      </c>
      <c r="T240" s="253">
        <f t="shared" ref="T240:T247" si="3">+T252+T264+T276</f>
        <v>795875</v>
      </c>
      <c r="U240" s="252">
        <f t="shared" ref="U240:U247" si="4">T240/$T$249</f>
        <v>0.98866828075135682</v>
      </c>
      <c r="V240" s="266"/>
      <c r="W240" s="408"/>
      <c r="X240" s="5"/>
    </row>
    <row r="241" spans="1:25" ht="15.75" x14ac:dyDescent="0.25">
      <c r="A241" s="285"/>
      <c r="B241" s="337" t="s">
        <v>89</v>
      </c>
      <c r="C241" s="378"/>
      <c r="D241" s="378"/>
      <c r="E241" s="378"/>
      <c r="F241" s="286"/>
      <c r="G241" s="379"/>
      <c r="H241" s="378"/>
      <c r="I241" s="378"/>
      <c r="J241" s="378"/>
      <c r="K241" s="378"/>
      <c r="L241" s="378"/>
      <c r="M241" s="378"/>
      <c r="N241" s="378"/>
      <c r="O241" s="378"/>
      <c r="P241" s="378"/>
      <c r="Q241" s="378"/>
      <c r="R241" s="337">
        <f t="shared" si="1"/>
        <v>27</v>
      </c>
      <c r="S241" s="379">
        <f t="shared" si="2"/>
        <v>4.7669491525423732E-3</v>
      </c>
      <c r="T241" s="338">
        <f t="shared" si="3"/>
        <v>3850</v>
      </c>
      <c r="U241" s="379">
        <f t="shared" si="4"/>
        <v>4.7826265191050401E-3</v>
      </c>
      <c r="V241" s="361"/>
      <c r="W241" s="409"/>
      <c r="X241" s="5"/>
      <c r="Y241" s="109"/>
    </row>
    <row r="242" spans="1:25" ht="15.75" x14ac:dyDescent="0.25">
      <c r="A242" s="285"/>
      <c r="B242" s="337" t="s">
        <v>90</v>
      </c>
      <c r="C242" s="378"/>
      <c r="D242" s="378"/>
      <c r="E242" s="378"/>
      <c r="F242" s="286"/>
      <c r="G242" s="379"/>
      <c r="H242" s="378"/>
      <c r="I242" s="378"/>
      <c r="J242" s="378"/>
      <c r="K242" s="378"/>
      <c r="L242" s="378"/>
      <c r="M242" s="378"/>
      <c r="N242" s="378"/>
      <c r="O242" s="378"/>
      <c r="P242" s="378"/>
      <c r="Q242" s="378"/>
      <c r="R242" s="337">
        <f t="shared" si="1"/>
        <v>13</v>
      </c>
      <c r="S242" s="379">
        <f t="shared" si="2"/>
        <v>2.2951977401129945E-3</v>
      </c>
      <c r="T242" s="338">
        <f t="shared" si="3"/>
        <v>1134</v>
      </c>
      <c r="U242" s="379">
        <f t="shared" si="4"/>
        <v>1.4087009019909391E-3</v>
      </c>
      <c r="V242" s="361"/>
      <c r="W242" s="409"/>
      <c r="X242" s="5"/>
    </row>
    <row r="243" spans="1:25" ht="15.75" x14ac:dyDescent="0.25">
      <c r="A243" s="285"/>
      <c r="B243" s="337" t="s">
        <v>156</v>
      </c>
      <c r="C243" s="378"/>
      <c r="D243" s="378"/>
      <c r="E243" s="378"/>
      <c r="F243" s="286"/>
      <c r="G243" s="379"/>
      <c r="H243" s="378"/>
      <c r="I243" s="378"/>
      <c r="J243" s="378"/>
      <c r="K243" s="378"/>
      <c r="L243" s="378"/>
      <c r="M243" s="378"/>
      <c r="N243" s="378"/>
      <c r="O243" s="378"/>
      <c r="P243" s="378"/>
      <c r="Q243" s="378"/>
      <c r="R243" s="337">
        <f t="shared" si="1"/>
        <v>2</v>
      </c>
      <c r="S243" s="379">
        <f t="shared" si="2"/>
        <v>3.5310734463276836E-4</v>
      </c>
      <c r="T243" s="338">
        <f t="shared" si="3"/>
        <v>180</v>
      </c>
      <c r="U243" s="379">
        <f t="shared" si="4"/>
        <v>2.2360331777633954E-4</v>
      </c>
      <c r="V243" s="361"/>
      <c r="W243" s="409"/>
      <c r="X243" s="5"/>
      <c r="Y243" s="109"/>
    </row>
    <row r="244" spans="1:25" ht="15.75" x14ac:dyDescent="0.25">
      <c r="A244" s="285"/>
      <c r="B244" s="337" t="s">
        <v>157</v>
      </c>
      <c r="C244" s="378"/>
      <c r="D244" s="378"/>
      <c r="E244" s="378"/>
      <c r="F244" s="286"/>
      <c r="G244" s="379"/>
      <c r="H244" s="378"/>
      <c r="I244" s="378"/>
      <c r="J244" s="378"/>
      <c r="K244" s="378"/>
      <c r="L244" s="378"/>
      <c r="M244" s="378"/>
      <c r="N244" s="378"/>
      <c r="O244" s="378"/>
      <c r="P244" s="378"/>
      <c r="Q244" s="378"/>
      <c r="R244" s="337">
        <f t="shared" si="1"/>
        <v>2</v>
      </c>
      <c r="S244" s="379">
        <f t="shared" si="2"/>
        <v>3.5310734463276836E-4</v>
      </c>
      <c r="T244" s="338">
        <f t="shared" si="3"/>
        <v>353</v>
      </c>
      <c r="U244" s="379">
        <f t="shared" si="4"/>
        <v>4.3851095097248812E-4</v>
      </c>
      <c r="V244" s="361"/>
      <c r="W244" s="409"/>
      <c r="X244" s="5"/>
    </row>
    <row r="245" spans="1:25" ht="15.75" x14ac:dyDescent="0.25">
      <c r="A245" s="285"/>
      <c r="B245" s="337" t="s">
        <v>158</v>
      </c>
      <c r="C245" s="378"/>
      <c r="D245" s="378"/>
      <c r="E245" s="378"/>
      <c r="F245" s="286"/>
      <c r="G245" s="379"/>
      <c r="H245" s="378"/>
      <c r="I245" s="378"/>
      <c r="J245" s="378"/>
      <c r="K245" s="378"/>
      <c r="L245" s="378"/>
      <c r="M245" s="378"/>
      <c r="N245" s="378"/>
      <c r="O245" s="378"/>
      <c r="P245" s="378"/>
      <c r="Q245" s="378"/>
      <c r="R245" s="337">
        <f t="shared" si="1"/>
        <v>1</v>
      </c>
      <c r="S245" s="379">
        <f t="shared" si="2"/>
        <v>1.7655367231638418E-4</v>
      </c>
      <c r="T245" s="338">
        <f t="shared" si="3"/>
        <v>290</v>
      </c>
      <c r="U245" s="379">
        <f t="shared" si="4"/>
        <v>3.6024978975076927E-4</v>
      </c>
      <c r="V245" s="361"/>
      <c r="W245" s="409"/>
      <c r="X245" s="5"/>
      <c r="Y245" s="109"/>
    </row>
    <row r="246" spans="1:25" ht="15.75" x14ac:dyDescent="0.25">
      <c r="A246" s="285"/>
      <c r="B246" s="337" t="s">
        <v>159</v>
      </c>
      <c r="C246" s="378"/>
      <c r="D246" s="378"/>
      <c r="E246" s="378"/>
      <c r="F246" s="286"/>
      <c r="G246" s="379"/>
      <c r="H246" s="378"/>
      <c r="I246" s="378"/>
      <c r="J246" s="378"/>
      <c r="K246" s="378"/>
      <c r="L246" s="378"/>
      <c r="M246" s="378"/>
      <c r="N246" s="378"/>
      <c r="O246" s="378"/>
      <c r="P246" s="378"/>
      <c r="Q246" s="378"/>
      <c r="R246" s="337">
        <f t="shared" si="1"/>
        <v>9</v>
      </c>
      <c r="S246" s="379">
        <f t="shared" si="2"/>
        <v>1.5889830508474577E-3</v>
      </c>
      <c r="T246" s="338">
        <f t="shared" si="3"/>
        <v>1123</v>
      </c>
      <c r="U246" s="379">
        <f t="shared" si="4"/>
        <v>1.3950362547934961E-3</v>
      </c>
      <c r="V246" s="361"/>
      <c r="W246" s="409"/>
      <c r="X246" s="5"/>
    </row>
    <row r="247" spans="1:25" ht="15.75" x14ac:dyDescent="0.25">
      <c r="A247" s="285"/>
      <c r="B247" s="337" t="s">
        <v>160</v>
      </c>
      <c r="C247" s="378"/>
      <c r="D247" s="378"/>
      <c r="E247" s="378"/>
      <c r="F247" s="286"/>
      <c r="G247" s="379"/>
      <c r="H247" s="378"/>
      <c r="I247" s="378"/>
      <c r="J247" s="378"/>
      <c r="K247" s="378"/>
      <c r="L247" s="378"/>
      <c r="M247" s="378"/>
      <c r="N247" s="378"/>
      <c r="O247" s="378"/>
      <c r="P247" s="378"/>
      <c r="Q247" s="378"/>
      <c r="R247" s="386">
        <f t="shared" si="1"/>
        <v>12</v>
      </c>
      <c r="S247" s="379">
        <f t="shared" si="2"/>
        <v>2.1186440677966102E-3</v>
      </c>
      <c r="T247" s="383">
        <f t="shared" si="3"/>
        <v>2192</v>
      </c>
      <c r="U247" s="387">
        <f t="shared" si="4"/>
        <v>2.7229915142540904E-3</v>
      </c>
      <c r="V247" s="361"/>
      <c r="W247" s="409"/>
      <c r="X247" s="5"/>
      <c r="Y247" s="109"/>
    </row>
    <row r="248" spans="1:25" ht="15.75" x14ac:dyDescent="0.25">
      <c r="A248" s="285"/>
      <c r="B248" s="337"/>
      <c r="C248" s="378"/>
      <c r="D248" s="378"/>
      <c r="E248" s="378"/>
      <c r="F248" s="286"/>
      <c r="G248" s="379"/>
      <c r="H248" s="378"/>
      <c r="I248" s="378"/>
      <c r="J248" s="378"/>
      <c r="K248" s="378"/>
      <c r="L248" s="378"/>
      <c r="M248" s="378"/>
      <c r="N248" s="378"/>
      <c r="O248" s="378"/>
      <c r="P248" s="378"/>
      <c r="Q248" s="378"/>
      <c r="R248" s="337"/>
      <c r="S248" s="379"/>
      <c r="T248" s="338"/>
      <c r="U248" s="379"/>
      <c r="V248" s="361"/>
      <c r="W248" s="409"/>
      <c r="X248" s="5"/>
    </row>
    <row r="249" spans="1:25" ht="15.75" x14ac:dyDescent="0.25">
      <c r="A249" s="285"/>
      <c r="B249" s="286"/>
      <c r="C249" s="286"/>
      <c r="D249" s="286"/>
      <c r="E249" s="286"/>
      <c r="F249" s="286"/>
      <c r="G249" s="286"/>
      <c r="H249" s="381"/>
      <c r="I249" s="381"/>
      <c r="J249" s="381"/>
      <c r="K249" s="381"/>
      <c r="L249" s="381"/>
      <c r="M249" s="381"/>
      <c r="N249" s="381"/>
      <c r="O249" s="381"/>
      <c r="P249" s="381"/>
      <c r="Q249" s="381"/>
      <c r="R249" s="337">
        <f>SUM(R240:R248)</f>
        <v>5664</v>
      </c>
      <c r="S249" s="379">
        <f>SUM(S240:S248)</f>
        <v>1</v>
      </c>
      <c r="T249" s="338">
        <f>SUM(T240:T248)</f>
        <v>804997</v>
      </c>
      <c r="U249" s="379">
        <f>SUM(U240:U248)</f>
        <v>1</v>
      </c>
      <c r="V249" s="286"/>
      <c r="W249" s="289"/>
      <c r="X249" s="5"/>
    </row>
    <row r="250" spans="1:25" ht="15.75" x14ac:dyDescent="0.25">
      <c r="A250" s="181"/>
      <c r="B250" s="212"/>
      <c r="C250" s="212"/>
      <c r="D250" s="212"/>
      <c r="E250" s="212"/>
      <c r="F250" s="212"/>
      <c r="G250" s="212"/>
      <c r="H250" s="375"/>
      <c r="I250" s="375"/>
      <c r="J250" s="375"/>
      <c r="K250" s="375"/>
      <c r="L250" s="375"/>
      <c r="M250" s="375"/>
      <c r="N250" s="375"/>
      <c r="O250" s="375"/>
      <c r="P250" s="375"/>
      <c r="Q250" s="375"/>
      <c r="R250" s="335"/>
      <c r="S250" s="376"/>
      <c r="T250" s="377"/>
      <c r="U250" s="376"/>
      <c r="V250" s="212"/>
      <c r="W250" s="212"/>
      <c r="X250" s="5"/>
    </row>
    <row r="251" spans="1:25" ht="15.75" x14ac:dyDescent="0.25">
      <c r="A251" s="224"/>
      <c r="B251" s="399" t="s">
        <v>162</v>
      </c>
      <c r="C251" s="400"/>
      <c r="D251" s="400"/>
      <c r="E251" s="400"/>
      <c r="F251" s="407"/>
      <c r="G251" s="400"/>
      <c r="H251" s="400"/>
      <c r="I251" s="400"/>
      <c r="J251" s="400"/>
      <c r="K251" s="400"/>
      <c r="L251" s="400"/>
      <c r="M251" s="400"/>
      <c r="N251" s="400"/>
      <c r="O251" s="400"/>
      <c r="P251" s="400"/>
      <c r="Q251" s="400"/>
      <c r="R251" s="407" t="s">
        <v>102</v>
      </c>
      <c r="S251" s="400" t="s">
        <v>103</v>
      </c>
      <c r="T251" s="407" t="s">
        <v>109</v>
      </c>
      <c r="U251" s="400" t="s">
        <v>103</v>
      </c>
      <c r="V251" s="225"/>
      <c r="W251" s="399"/>
      <c r="X251" s="5"/>
    </row>
    <row r="252" spans="1:25" ht="15.75" x14ac:dyDescent="0.25">
      <c r="A252" s="193"/>
      <c r="B252" s="249" t="s">
        <v>88</v>
      </c>
      <c r="C252" s="265"/>
      <c r="D252" s="265"/>
      <c r="E252" s="265"/>
      <c r="F252" s="250"/>
      <c r="G252" s="265"/>
      <c r="H252" s="265"/>
      <c r="I252" s="265"/>
      <c r="J252" s="265"/>
      <c r="K252" s="265"/>
      <c r="L252" s="265"/>
      <c r="M252" s="265"/>
      <c r="N252" s="265"/>
      <c r="O252" s="265"/>
      <c r="P252" s="265"/>
      <c r="Q252" s="265"/>
      <c r="R252" s="249">
        <v>5510</v>
      </c>
      <c r="S252" s="252">
        <f t="shared" ref="S252:S259" si="5">R252/$R$261</f>
        <v>0.99332972778078243</v>
      </c>
      <c r="T252" s="253">
        <v>782155</v>
      </c>
      <c r="U252" s="252">
        <f t="shared" ref="U252:U259" si="6">T252/$T$261</f>
        <v>0.99321522086405301</v>
      </c>
      <c r="V252" s="266"/>
      <c r="W252" s="408"/>
      <c r="X252" s="5"/>
    </row>
    <row r="253" spans="1:25" ht="15.75" x14ac:dyDescent="0.25">
      <c r="A253" s="285"/>
      <c r="B253" s="337" t="s">
        <v>89</v>
      </c>
      <c r="C253" s="378"/>
      <c r="D253" s="378"/>
      <c r="E253" s="378"/>
      <c r="F253" s="286"/>
      <c r="G253" s="379"/>
      <c r="H253" s="378"/>
      <c r="I253" s="378"/>
      <c r="J253" s="378"/>
      <c r="K253" s="378"/>
      <c r="L253" s="378"/>
      <c r="M253" s="378"/>
      <c r="N253" s="378"/>
      <c r="O253" s="378"/>
      <c r="P253" s="378"/>
      <c r="Q253" s="378"/>
      <c r="R253" s="337">
        <v>20</v>
      </c>
      <c r="S253" s="379">
        <f t="shared" si="5"/>
        <v>3.6055525509284298E-3</v>
      </c>
      <c r="T253" s="338">
        <v>3144</v>
      </c>
      <c r="U253" s="379">
        <f t="shared" si="6"/>
        <v>3.9923910917868998E-3</v>
      </c>
      <c r="V253" s="361"/>
      <c r="W253" s="409"/>
      <c r="X253" s="5"/>
      <c r="Y253" s="109"/>
    </row>
    <row r="254" spans="1:25" ht="15.75" x14ac:dyDescent="0.25">
      <c r="A254" s="285"/>
      <c r="B254" s="337" t="s">
        <v>90</v>
      </c>
      <c r="C254" s="378"/>
      <c r="D254" s="378"/>
      <c r="E254" s="378"/>
      <c r="F254" s="286"/>
      <c r="G254" s="379"/>
      <c r="H254" s="378"/>
      <c r="I254" s="378"/>
      <c r="J254" s="378"/>
      <c r="K254" s="378"/>
      <c r="L254" s="378"/>
      <c r="M254" s="378"/>
      <c r="N254" s="378"/>
      <c r="O254" s="378"/>
      <c r="P254" s="378"/>
      <c r="Q254" s="378"/>
      <c r="R254" s="337">
        <v>11</v>
      </c>
      <c r="S254" s="379">
        <f t="shared" si="5"/>
        <v>1.9830539030106366E-3</v>
      </c>
      <c r="T254" s="338">
        <v>936</v>
      </c>
      <c r="U254" s="379">
        <f t="shared" si="6"/>
        <v>1.1885744471731993E-3</v>
      </c>
      <c r="V254" s="361"/>
      <c r="W254" s="409"/>
      <c r="X254" s="5"/>
    </row>
    <row r="255" spans="1:25" ht="15.75" x14ac:dyDescent="0.25">
      <c r="A255" s="285"/>
      <c r="B255" s="337" t="s">
        <v>156</v>
      </c>
      <c r="C255" s="378"/>
      <c r="D255" s="378"/>
      <c r="E255" s="378"/>
      <c r="F255" s="286"/>
      <c r="G255" s="379"/>
      <c r="H255" s="378"/>
      <c r="I255" s="378"/>
      <c r="J255" s="378"/>
      <c r="K255" s="378"/>
      <c r="L255" s="378"/>
      <c r="M255" s="378"/>
      <c r="N255" s="378"/>
      <c r="O255" s="378"/>
      <c r="P255" s="378"/>
      <c r="Q255" s="378"/>
      <c r="R255" s="337">
        <v>1</v>
      </c>
      <c r="S255" s="379">
        <f t="shared" si="5"/>
        <v>1.8027762754642149E-4</v>
      </c>
      <c r="T255" s="338">
        <v>79</v>
      </c>
      <c r="U255" s="379">
        <f t="shared" si="6"/>
        <v>1.0031771509260976E-4</v>
      </c>
      <c r="V255" s="361"/>
      <c r="W255" s="409"/>
      <c r="X255" s="5"/>
      <c r="Y255" s="109"/>
    </row>
    <row r="256" spans="1:25" ht="15.75" x14ac:dyDescent="0.25">
      <c r="A256" s="285"/>
      <c r="B256" s="337" t="s">
        <v>157</v>
      </c>
      <c r="C256" s="378"/>
      <c r="D256" s="378"/>
      <c r="E256" s="378"/>
      <c r="F256" s="286"/>
      <c r="G256" s="379"/>
      <c r="H256" s="378"/>
      <c r="I256" s="378"/>
      <c r="J256" s="378"/>
      <c r="K256" s="378"/>
      <c r="L256" s="378"/>
      <c r="M256" s="378"/>
      <c r="N256" s="378"/>
      <c r="O256" s="378"/>
      <c r="P256" s="378"/>
      <c r="Q256" s="378"/>
      <c r="R256" s="337">
        <v>1</v>
      </c>
      <c r="S256" s="379">
        <f t="shared" si="5"/>
        <v>1.8027762754642149E-4</v>
      </c>
      <c r="T256" s="338">
        <v>241</v>
      </c>
      <c r="U256" s="379">
        <f t="shared" si="6"/>
        <v>3.0603252325720192E-4</v>
      </c>
      <c r="V256" s="361"/>
      <c r="W256" s="409"/>
      <c r="X256" s="5"/>
    </row>
    <row r="257" spans="1:25" ht="15.75" x14ac:dyDescent="0.25">
      <c r="A257" s="285"/>
      <c r="B257" s="337" t="s">
        <v>158</v>
      </c>
      <c r="C257" s="378"/>
      <c r="D257" s="378"/>
      <c r="E257" s="378"/>
      <c r="F257" s="286"/>
      <c r="G257" s="379"/>
      <c r="H257" s="378"/>
      <c r="I257" s="378"/>
      <c r="J257" s="378"/>
      <c r="K257" s="378"/>
      <c r="L257" s="378"/>
      <c r="M257" s="378"/>
      <c r="N257" s="378"/>
      <c r="O257" s="378"/>
      <c r="P257" s="378"/>
      <c r="Q257" s="378"/>
      <c r="R257" s="337">
        <v>0</v>
      </c>
      <c r="S257" s="379">
        <f t="shared" si="5"/>
        <v>0</v>
      </c>
      <c r="T257" s="338">
        <v>0</v>
      </c>
      <c r="U257" s="379">
        <f t="shared" si="6"/>
        <v>0</v>
      </c>
      <c r="V257" s="361"/>
      <c r="W257" s="409"/>
      <c r="X257" s="5"/>
      <c r="Y257" s="109"/>
    </row>
    <row r="258" spans="1:25" ht="15.75" x14ac:dyDescent="0.25">
      <c r="A258" s="285"/>
      <c r="B258" s="337" t="s">
        <v>159</v>
      </c>
      <c r="C258" s="378"/>
      <c r="D258" s="378"/>
      <c r="E258" s="378"/>
      <c r="F258" s="286"/>
      <c r="G258" s="379"/>
      <c r="H258" s="378"/>
      <c r="I258" s="378"/>
      <c r="J258" s="378"/>
      <c r="K258" s="378"/>
      <c r="L258" s="378"/>
      <c r="M258" s="378"/>
      <c r="N258" s="378"/>
      <c r="O258" s="378"/>
      <c r="P258" s="378"/>
      <c r="Q258" s="378"/>
      <c r="R258" s="337">
        <v>2</v>
      </c>
      <c r="S258" s="379">
        <f t="shared" si="5"/>
        <v>3.6055525509284299E-4</v>
      </c>
      <c r="T258" s="338">
        <v>262</v>
      </c>
      <c r="U258" s="379">
        <f t="shared" si="6"/>
        <v>3.3269925764890833E-4</v>
      </c>
      <c r="V258" s="361"/>
      <c r="W258" s="409"/>
      <c r="X258" s="5"/>
    </row>
    <row r="259" spans="1:25" ht="15.75" x14ac:dyDescent="0.25">
      <c r="A259" s="285"/>
      <c r="B259" s="337" t="s">
        <v>160</v>
      </c>
      <c r="C259" s="378"/>
      <c r="D259" s="378"/>
      <c r="E259" s="378"/>
      <c r="F259" s="286"/>
      <c r="G259" s="379"/>
      <c r="H259" s="378"/>
      <c r="I259" s="378"/>
      <c r="J259" s="378"/>
      <c r="K259" s="378"/>
      <c r="L259" s="378"/>
      <c r="M259" s="378"/>
      <c r="N259" s="378"/>
      <c r="O259" s="378"/>
      <c r="P259" s="378"/>
      <c r="Q259" s="378"/>
      <c r="R259" s="337">
        <v>2</v>
      </c>
      <c r="S259" s="379">
        <f t="shared" si="5"/>
        <v>3.6055525509284299E-4</v>
      </c>
      <c r="T259" s="338">
        <v>681</v>
      </c>
      <c r="U259" s="379">
        <f t="shared" si="6"/>
        <v>8.6476410098819303E-4</v>
      </c>
      <c r="V259" s="361"/>
      <c r="W259" s="409"/>
      <c r="X259" s="5"/>
      <c r="Y259" s="109"/>
    </row>
    <row r="260" spans="1:25" ht="15.75" x14ac:dyDescent="0.25">
      <c r="A260" s="285"/>
      <c r="B260" s="337"/>
      <c r="C260" s="378"/>
      <c r="D260" s="378"/>
      <c r="E260" s="378"/>
      <c r="F260" s="286"/>
      <c r="G260" s="379"/>
      <c r="H260" s="378"/>
      <c r="I260" s="378"/>
      <c r="J260" s="378"/>
      <c r="K260" s="378"/>
      <c r="L260" s="378"/>
      <c r="M260" s="378"/>
      <c r="N260" s="378"/>
      <c r="O260" s="378"/>
      <c r="P260" s="378"/>
      <c r="Q260" s="378"/>
      <c r="R260" s="337"/>
      <c r="S260" s="379"/>
      <c r="T260" s="338"/>
      <c r="U260" s="379"/>
      <c r="V260" s="361"/>
      <c r="W260" s="409"/>
      <c r="X260" s="5"/>
    </row>
    <row r="261" spans="1:25" ht="15.75" x14ac:dyDescent="0.25">
      <c r="A261" s="285"/>
      <c r="B261" s="286"/>
      <c r="C261" s="286"/>
      <c r="D261" s="286"/>
      <c r="E261" s="286"/>
      <c r="F261" s="286"/>
      <c r="G261" s="286"/>
      <c r="H261" s="381"/>
      <c r="I261" s="381"/>
      <c r="J261" s="381"/>
      <c r="K261" s="381"/>
      <c r="L261" s="381"/>
      <c r="M261" s="381"/>
      <c r="N261" s="381"/>
      <c r="O261" s="381"/>
      <c r="P261" s="381"/>
      <c r="Q261" s="381"/>
      <c r="R261" s="337">
        <f>SUM(R252:R260)</f>
        <v>5547</v>
      </c>
      <c r="S261" s="379">
        <f>SUM(S252:S260)</f>
        <v>1.0000000000000002</v>
      </c>
      <c r="T261" s="338">
        <f>SUM(T252:T260)</f>
        <v>787498</v>
      </c>
      <c r="U261" s="379">
        <f>SUM(U252:U260)</f>
        <v>1</v>
      </c>
      <c r="V261" s="286"/>
      <c r="W261" s="289"/>
      <c r="X261" s="5"/>
    </row>
    <row r="262" spans="1:25" ht="15.75" x14ac:dyDescent="0.25">
      <c r="A262" s="181"/>
      <c r="B262" s="212"/>
      <c r="C262" s="212"/>
      <c r="D262" s="212"/>
      <c r="E262" s="212"/>
      <c r="F262" s="212"/>
      <c r="G262" s="212"/>
      <c r="H262" s="375"/>
      <c r="I262" s="375"/>
      <c r="J262" s="375"/>
      <c r="K262" s="375"/>
      <c r="L262" s="375"/>
      <c r="M262" s="375"/>
      <c r="N262" s="375"/>
      <c r="O262" s="375"/>
      <c r="P262" s="375"/>
      <c r="Q262" s="375"/>
      <c r="R262" s="335"/>
      <c r="S262" s="376"/>
      <c r="T262" s="377"/>
      <c r="U262" s="376"/>
      <c r="V262" s="212"/>
      <c r="W262" s="212"/>
      <c r="X262" s="5"/>
    </row>
    <row r="263" spans="1:25" ht="15.75" x14ac:dyDescent="0.25">
      <c r="A263" s="244"/>
      <c r="B263" s="399" t="s">
        <v>236</v>
      </c>
      <c r="C263" s="400"/>
      <c r="D263" s="400"/>
      <c r="E263" s="400"/>
      <c r="F263" s="407"/>
      <c r="G263" s="400"/>
      <c r="H263" s="400"/>
      <c r="I263" s="400"/>
      <c r="J263" s="400"/>
      <c r="K263" s="400"/>
      <c r="L263" s="400"/>
      <c r="M263" s="400"/>
      <c r="N263" s="400"/>
      <c r="O263" s="400"/>
      <c r="P263" s="400"/>
      <c r="Q263" s="400"/>
      <c r="R263" s="407" t="s">
        <v>102</v>
      </c>
      <c r="S263" s="400" t="s">
        <v>103</v>
      </c>
      <c r="T263" s="407" t="s">
        <v>109</v>
      </c>
      <c r="U263" s="400" t="s">
        <v>103</v>
      </c>
      <c r="V263" s="245"/>
      <c r="W263" s="246"/>
      <c r="X263" s="5"/>
    </row>
    <row r="264" spans="1:25" ht="15.75" x14ac:dyDescent="0.25">
      <c r="A264" s="193"/>
      <c r="B264" s="249" t="s">
        <v>88</v>
      </c>
      <c r="C264" s="265"/>
      <c r="D264" s="265"/>
      <c r="E264" s="265"/>
      <c r="F264" s="250"/>
      <c r="G264" s="265"/>
      <c r="H264" s="265"/>
      <c r="I264" s="265"/>
      <c r="J264" s="265"/>
      <c r="K264" s="265"/>
      <c r="L264" s="265"/>
      <c r="M264" s="265"/>
      <c r="N264" s="265"/>
      <c r="O264" s="265"/>
      <c r="P264" s="265"/>
      <c r="Q264" s="265"/>
      <c r="R264" s="249">
        <v>88</v>
      </c>
      <c r="S264" s="252">
        <f t="shared" ref="S264:S270" si="7">R264/$R$273</f>
        <v>0.75213675213675213</v>
      </c>
      <c r="T264" s="253">
        <v>13720</v>
      </c>
      <c r="U264" s="252">
        <f t="shared" ref="U264:U271" si="8">T264/$T$273</f>
        <v>0.7840448025601463</v>
      </c>
      <c r="V264" s="250"/>
      <c r="W264" s="250"/>
      <c r="X264" s="5"/>
    </row>
    <row r="265" spans="1:25" ht="15.75" x14ac:dyDescent="0.25">
      <c r="A265" s="285"/>
      <c r="B265" s="337" t="s">
        <v>89</v>
      </c>
      <c r="C265" s="378"/>
      <c r="D265" s="378"/>
      <c r="E265" s="378"/>
      <c r="F265" s="286"/>
      <c r="G265" s="379"/>
      <c r="H265" s="378"/>
      <c r="I265" s="378"/>
      <c r="J265" s="378"/>
      <c r="K265" s="378"/>
      <c r="L265" s="378"/>
      <c r="M265" s="378"/>
      <c r="N265" s="378"/>
      <c r="O265" s="378"/>
      <c r="P265" s="378"/>
      <c r="Q265" s="378"/>
      <c r="R265" s="337">
        <v>7</v>
      </c>
      <c r="S265" s="379">
        <f t="shared" si="7"/>
        <v>5.9829059829059832E-2</v>
      </c>
      <c r="T265" s="338">
        <v>706</v>
      </c>
      <c r="U265" s="379">
        <f t="shared" si="8"/>
        <v>4.03451625807189E-2</v>
      </c>
      <c r="V265" s="286"/>
      <c r="W265" s="289"/>
      <c r="X265" s="5"/>
    </row>
    <row r="266" spans="1:25" ht="15.75" x14ac:dyDescent="0.25">
      <c r="A266" s="285"/>
      <c r="B266" s="337" t="s">
        <v>90</v>
      </c>
      <c r="C266" s="378"/>
      <c r="D266" s="378"/>
      <c r="E266" s="378"/>
      <c r="F266" s="286"/>
      <c r="G266" s="379"/>
      <c r="H266" s="378"/>
      <c r="I266" s="378"/>
      <c r="J266" s="378"/>
      <c r="K266" s="378"/>
      <c r="L266" s="378"/>
      <c r="M266" s="378"/>
      <c r="N266" s="378"/>
      <c r="O266" s="378"/>
      <c r="P266" s="378"/>
      <c r="Q266" s="378"/>
      <c r="R266" s="337">
        <v>2</v>
      </c>
      <c r="S266" s="379">
        <f t="shared" si="7"/>
        <v>1.7094017094017096E-2</v>
      </c>
      <c r="T266" s="338">
        <v>198</v>
      </c>
      <c r="U266" s="379">
        <f t="shared" si="8"/>
        <v>1.1314932281844678E-2</v>
      </c>
      <c r="V266" s="286"/>
      <c r="W266" s="289"/>
      <c r="X266" s="5"/>
    </row>
    <row r="267" spans="1:25" ht="15.75" x14ac:dyDescent="0.25">
      <c r="A267" s="285"/>
      <c r="B267" s="337" t="s">
        <v>156</v>
      </c>
      <c r="C267" s="378"/>
      <c r="D267" s="378"/>
      <c r="E267" s="378"/>
      <c r="F267" s="286"/>
      <c r="G267" s="379"/>
      <c r="H267" s="378"/>
      <c r="I267" s="378"/>
      <c r="J267" s="378"/>
      <c r="K267" s="378"/>
      <c r="L267" s="378"/>
      <c r="M267" s="378"/>
      <c r="N267" s="378"/>
      <c r="O267" s="378"/>
      <c r="P267" s="378"/>
      <c r="Q267" s="378"/>
      <c r="R267" s="337">
        <v>1</v>
      </c>
      <c r="S267" s="379">
        <f t="shared" si="7"/>
        <v>8.5470085470085479E-3</v>
      </c>
      <c r="T267" s="338">
        <v>101</v>
      </c>
      <c r="U267" s="379">
        <f t="shared" si="8"/>
        <v>5.7717583861934965E-3</v>
      </c>
      <c r="V267" s="286"/>
      <c r="W267" s="289"/>
      <c r="X267" s="5"/>
    </row>
    <row r="268" spans="1:25" ht="15.75" x14ac:dyDescent="0.25">
      <c r="A268" s="285"/>
      <c r="B268" s="337" t="s">
        <v>157</v>
      </c>
      <c r="C268" s="378"/>
      <c r="D268" s="378"/>
      <c r="E268" s="378"/>
      <c r="F268" s="286"/>
      <c r="G268" s="379"/>
      <c r="H268" s="378"/>
      <c r="I268" s="378"/>
      <c r="J268" s="378"/>
      <c r="K268" s="378"/>
      <c r="L268" s="378"/>
      <c r="M268" s="378"/>
      <c r="N268" s="378"/>
      <c r="O268" s="378"/>
      <c r="P268" s="378"/>
      <c r="Q268" s="378"/>
      <c r="R268" s="337">
        <v>1</v>
      </c>
      <c r="S268" s="379">
        <f t="shared" si="7"/>
        <v>8.5470085470085479E-3</v>
      </c>
      <c r="T268" s="338">
        <v>112</v>
      </c>
      <c r="U268" s="379">
        <f t="shared" si="8"/>
        <v>6.4003657351848677E-3</v>
      </c>
      <c r="V268" s="286"/>
      <c r="W268" s="289"/>
      <c r="X268" s="5"/>
    </row>
    <row r="269" spans="1:25" ht="15.75" x14ac:dyDescent="0.25">
      <c r="A269" s="285"/>
      <c r="B269" s="337" t="s">
        <v>158</v>
      </c>
      <c r="C269" s="378"/>
      <c r="D269" s="378"/>
      <c r="E269" s="378"/>
      <c r="F269" s="286"/>
      <c r="G269" s="379"/>
      <c r="H269" s="378"/>
      <c r="I269" s="378"/>
      <c r="J269" s="378"/>
      <c r="K269" s="378"/>
      <c r="L269" s="378"/>
      <c r="M269" s="378"/>
      <c r="N269" s="378"/>
      <c r="O269" s="378"/>
      <c r="P269" s="378"/>
      <c r="Q269" s="378"/>
      <c r="R269" s="337">
        <v>1</v>
      </c>
      <c r="S269" s="379">
        <f t="shared" si="7"/>
        <v>8.5470085470085479E-3</v>
      </c>
      <c r="T269" s="338">
        <v>290</v>
      </c>
      <c r="U269" s="379">
        <f t="shared" si="8"/>
        <v>1.6572375564317961E-2</v>
      </c>
      <c r="V269" s="286"/>
      <c r="W269" s="289"/>
      <c r="X269" s="5"/>
    </row>
    <row r="270" spans="1:25" ht="15.75" x14ac:dyDescent="0.25">
      <c r="A270" s="285"/>
      <c r="B270" s="337" t="s">
        <v>159</v>
      </c>
      <c r="C270" s="378"/>
      <c r="D270" s="378"/>
      <c r="E270" s="378"/>
      <c r="F270" s="286"/>
      <c r="G270" s="379"/>
      <c r="H270" s="378"/>
      <c r="I270" s="378"/>
      <c r="J270" s="378"/>
      <c r="K270" s="378"/>
      <c r="L270" s="378"/>
      <c r="M270" s="378"/>
      <c r="N270" s="378"/>
      <c r="O270" s="378"/>
      <c r="P270" s="378"/>
      <c r="Q270" s="378"/>
      <c r="R270" s="337">
        <v>7</v>
      </c>
      <c r="S270" s="379">
        <f t="shared" si="7"/>
        <v>5.9829059829059832E-2</v>
      </c>
      <c r="T270" s="338">
        <v>861</v>
      </c>
      <c r="U270" s="379">
        <f t="shared" si="8"/>
        <v>4.9202811589233668E-2</v>
      </c>
      <c r="V270" s="286"/>
      <c r="W270" s="289"/>
      <c r="X270" s="5"/>
    </row>
    <row r="271" spans="1:25" ht="15.75" x14ac:dyDescent="0.25">
      <c r="A271" s="285"/>
      <c r="B271" s="337" t="s">
        <v>160</v>
      </c>
      <c r="C271" s="378"/>
      <c r="D271" s="378"/>
      <c r="E271" s="378"/>
      <c r="F271" s="286"/>
      <c r="G271" s="379"/>
      <c r="H271" s="378"/>
      <c r="I271" s="378"/>
      <c r="J271" s="378"/>
      <c r="K271" s="378"/>
      <c r="L271" s="378"/>
      <c r="M271" s="378"/>
      <c r="N271" s="378"/>
      <c r="O271" s="378"/>
      <c r="P271" s="378"/>
      <c r="Q271" s="378"/>
      <c r="R271" s="337">
        <v>10</v>
      </c>
      <c r="S271" s="379">
        <f>R271/$R$273</f>
        <v>8.5470085470085472E-2</v>
      </c>
      <c r="T271" s="338">
        <v>1511</v>
      </c>
      <c r="U271" s="379">
        <f t="shared" si="8"/>
        <v>8.634779130236013E-2</v>
      </c>
      <c r="V271" s="286"/>
      <c r="W271" s="289"/>
      <c r="X271" s="5"/>
    </row>
    <row r="272" spans="1:25" ht="15.75" x14ac:dyDescent="0.25">
      <c r="A272" s="285"/>
      <c r="B272" s="337"/>
      <c r="C272" s="378"/>
      <c r="D272" s="378"/>
      <c r="E272" s="378"/>
      <c r="F272" s="286"/>
      <c r="G272" s="379"/>
      <c r="H272" s="378"/>
      <c r="I272" s="378"/>
      <c r="J272" s="378"/>
      <c r="K272" s="378"/>
      <c r="L272" s="378"/>
      <c r="M272" s="378"/>
      <c r="N272" s="378"/>
      <c r="O272" s="378"/>
      <c r="P272" s="378"/>
      <c r="Q272" s="378"/>
      <c r="R272" s="337"/>
      <c r="S272" s="379"/>
      <c r="T272" s="338"/>
      <c r="U272" s="379"/>
      <c r="V272" s="286"/>
      <c r="W272" s="289"/>
      <c r="X272" s="5"/>
    </row>
    <row r="273" spans="1:24" ht="15.75" x14ac:dyDescent="0.25">
      <c r="A273" s="285"/>
      <c r="B273" s="286"/>
      <c r="C273" s="286"/>
      <c r="D273" s="286"/>
      <c r="E273" s="286"/>
      <c r="F273" s="286"/>
      <c r="G273" s="286"/>
      <c r="H273" s="381"/>
      <c r="I273" s="381"/>
      <c r="J273" s="381"/>
      <c r="K273" s="381"/>
      <c r="L273" s="381"/>
      <c r="M273" s="381"/>
      <c r="N273" s="381"/>
      <c r="O273" s="381"/>
      <c r="P273" s="381"/>
      <c r="Q273" s="381"/>
      <c r="R273" s="337">
        <f>SUM(R264:R272)</f>
        <v>117</v>
      </c>
      <c r="S273" s="379">
        <f>SUM(S264:S272)</f>
        <v>1</v>
      </c>
      <c r="T273" s="338">
        <f>SUM(T264:T272)</f>
        <v>17499</v>
      </c>
      <c r="U273" s="379">
        <f>SUM(U264:U272)</f>
        <v>1</v>
      </c>
      <c r="V273" s="286"/>
      <c r="W273" s="289"/>
      <c r="X273" s="5"/>
    </row>
    <row r="274" spans="1:24" ht="15.75" x14ac:dyDescent="0.25">
      <c r="A274" s="181"/>
      <c r="B274" s="212"/>
      <c r="C274" s="212"/>
      <c r="D274" s="212"/>
      <c r="E274" s="212"/>
      <c r="F274" s="212"/>
      <c r="G274" s="212"/>
      <c r="H274" s="375"/>
      <c r="I274" s="375"/>
      <c r="J274" s="375"/>
      <c r="K274" s="375"/>
      <c r="L274" s="375"/>
      <c r="M274" s="375"/>
      <c r="N274" s="375"/>
      <c r="O274" s="375"/>
      <c r="P274" s="375"/>
      <c r="Q274" s="375"/>
      <c r="R274" s="335"/>
      <c r="S274" s="376"/>
      <c r="T274" s="377"/>
      <c r="U274" s="376"/>
      <c r="V274" s="212"/>
      <c r="W274" s="212"/>
      <c r="X274" s="5"/>
    </row>
    <row r="275" spans="1:24" ht="15.75" x14ac:dyDescent="0.25">
      <c r="A275" s="244"/>
      <c r="B275" s="399" t="s">
        <v>163</v>
      </c>
      <c r="C275" s="245"/>
      <c r="D275" s="245"/>
      <c r="E275" s="245"/>
      <c r="F275" s="245"/>
      <c r="G275" s="245"/>
      <c r="H275" s="247"/>
      <c r="I275" s="247"/>
      <c r="J275" s="247"/>
      <c r="K275" s="247"/>
      <c r="L275" s="247"/>
      <c r="M275" s="247"/>
      <c r="N275" s="247"/>
      <c r="O275" s="247"/>
      <c r="P275" s="247"/>
      <c r="Q275" s="247"/>
      <c r="R275" s="407" t="s">
        <v>102</v>
      </c>
      <c r="S275" s="400" t="s">
        <v>103</v>
      </c>
      <c r="T275" s="407" t="s">
        <v>109</v>
      </c>
      <c r="U275" s="400" t="s">
        <v>103</v>
      </c>
      <c r="V275" s="245"/>
      <c r="W275" s="246"/>
      <c r="X275" s="5"/>
    </row>
    <row r="276" spans="1:24" ht="15.75" x14ac:dyDescent="0.25">
      <c r="A276" s="248"/>
      <c r="B276" s="249" t="s">
        <v>88</v>
      </c>
      <c r="C276" s="250"/>
      <c r="D276" s="250"/>
      <c r="E276" s="250"/>
      <c r="F276" s="250"/>
      <c r="G276" s="250"/>
      <c r="H276" s="251"/>
      <c r="I276" s="251"/>
      <c r="J276" s="251"/>
      <c r="K276" s="251"/>
      <c r="L276" s="251"/>
      <c r="M276" s="251"/>
      <c r="N276" s="251"/>
      <c r="O276" s="251"/>
      <c r="P276" s="251"/>
      <c r="Q276" s="251"/>
      <c r="R276" s="249">
        <v>0</v>
      </c>
      <c r="S276" s="252">
        <v>0</v>
      </c>
      <c r="T276" s="253">
        <v>0</v>
      </c>
      <c r="U276" s="252">
        <v>0</v>
      </c>
      <c r="V276" s="250"/>
      <c r="W276" s="250"/>
      <c r="X276" s="5"/>
    </row>
    <row r="277" spans="1:24" ht="15.75" x14ac:dyDescent="0.25">
      <c r="A277" s="295"/>
      <c r="B277" s="337" t="s">
        <v>89</v>
      </c>
      <c r="C277" s="286"/>
      <c r="D277" s="286"/>
      <c r="E277" s="286"/>
      <c r="F277" s="286"/>
      <c r="G277" s="286"/>
      <c r="H277" s="381"/>
      <c r="I277" s="381"/>
      <c r="J277" s="381"/>
      <c r="K277" s="381"/>
      <c r="L277" s="381"/>
      <c r="M277" s="381"/>
      <c r="N277" s="381"/>
      <c r="O277" s="381"/>
      <c r="P277" s="381"/>
      <c r="Q277" s="381"/>
      <c r="R277" s="337">
        <v>0</v>
      </c>
      <c r="S277" s="379">
        <v>0</v>
      </c>
      <c r="T277" s="338">
        <v>0</v>
      </c>
      <c r="U277" s="379">
        <v>0</v>
      </c>
      <c r="V277" s="286"/>
      <c r="W277" s="289"/>
      <c r="X277" s="5"/>
    </row>
    <row r="278" spans="1:24" ht="15.75" x14ac:dyDescent="0.25">
      <c r="A278" s="295"/>
      <c r="B278" s="337" t="s">
        <v>90</v>
      </c>
      <c r="C278" s="286"/>
      <c r="D278" s="286"/>
      <c r="E278" s="286"/>
      <c r="F278" s="286"/>
      <c r="G278" s="286"/>
      <c r="H278" s="381"/>
      <c r="I278" s="381"/>
      <c r="J278" s="381"/>
      <c r="K278" s="381"/>
      <c r="L278" s="381"/>
      <c r="M278" s="381"/>
      <c r="N278" s="381"/>
      <c r="O278" s="381"/>
      <c r="P278" s="381"/>
      <c r="Q278" s="381"/>
      <c r="R278" s="337">
        <v>0</v>
      </c>
      <c r="S278" s="379">
        <v>0</v>
      </c>
      <c r="T278" s="338">
        <v>0</v>
      </c>
      <c r="U278" s="379">
        <v>0</v>
      </c>
      <c r="V278" s="286"/>
      <c r="W278" s="289"/>
      <c r="X278" s="5"/>
    </row>
    <row r="279" spans="1:24" ht="15.75" x14ac:dyDescent="0.25">
      <c r="A279" s="295"/>
      <c r="B279" s="337" t="s">
        <v>156</v>
      </c>
      <c r="C279" s="286"/>
      <c r="D279" s="286"/>
      <c r="E279" s="286"/>
      <c r="F279" s="286"/>
      <c r="G279" s="286"/>
      <c r="H279" s="381"/>
      <c r="I279" s="381"/>
      <c r="J279" s="381"/>
      <c r="K279" s="381"/>
      <c r="L279" s="381"/>
      <c r="M279" s="381"/>
      <c r="N279" s="381"/>
      <c r="O279" s="381"/>
      <c r="P279" s="381"/>
      <c r="Q279" s="381"/>
      <c r="R279" s="337">
        <v>0</v>
      </c>
      <c r="S279" s="379">
        <v>0</v>
      </c>
      <c r="T279" s="338">
        <v>0</v>
      </c>
      <c r="U279" s="379">
        <v>0</v>
      </c>
      <c r="V279" s="286"/>
      <c r="W279" s="289"/>
      <c r="X279" s="5"/>
    </row>
    <row r="280" spans="1:24" ht="15.75" x14ac:dyDescent="0.25">
      <c r="A280" s="295"/>
      <c r="B280" s="337" t="s">
        <v>157</v>
      </c>
      <c r="C280" s="286"/>
      <c r="D280" s="286"/>
      <c r="E280" s="286"/>
      <c r="F280" s="286"/>
      <c r="G280" s="286"/>
      <c r="H280" s="381"/>
      <c r="I280" s="381"/>
      <c r="J280" s="381"/>
      <c r="K280" s="381"/>
      <c r="L280" s="381"/>
      <c r="M280" s="381"/>
      <c r="N280" s="381"/>
      <c r="O280" s="381"/>
      <c r="P280" s="381"/>
      <c r="Q280" s="381"/>
      <c r="R280" s="337">
        <v>0</v>
      </c>
      <c r="S280" s="379">
        <v>0</v>
      </c>
      <c r="T280" s="338">
        <v>0</v>
      </c>
      <c r="U280" s="379">
        <v>0</v>
      </c>
      <c r="V280" s="286"/>
      <c r="W280" s="289"/>
      <c r="X280" s="5"/>
    </row>
    <row r="281" spans="1:24" ht="15.75" x14ac:dyDescent="0.25">
      <c r="A281" s="295"/>
      <c r="B281" s="337" t="s">
        <v>158</v>
      </c>
      <c r="C281" s="286"/>
      <c r="D281" s="286"/>
      <c r="E281" s="286"/>
      <c r="F281" s="286"/>
      <c r="G281" s="286"/>
      <c r="H281" s="381"/>
      <c r="I281" s="381"/>
      <c r="J281" s="381"/>
      <c r="K281" s="381"/>
      <c r="L281" s="381"/>
      <c r="M281" s="381"/>
      <c r="N281" s="381"/>
      <c r="O281" s="381"/>
      <c r="P281" s="381"/>
      <c r="Q281" s="381"/>
      <c r="R281" s="337">
        <v>0</v>
      </c>
      <c r="S281" s="379">
        <v>0</v>
      </c>
      <c r="T281" s="338">
        <v>0</v>
      </c>
      <c r="U281" s="379">
        <v>0</v>
      </c>
      <c r="V281" s="286"/>
      <c r="W281" s="289"/>
      <c r="X281" s="5"/>
    </row>
    <row r="282" spans="1:24" ht="15.75" x14ac:dyDescent="0.25">
      <c r="A282" s="295"/>
      <c r="B282" s="337" t="s">
        <v>159</v>
      </c>
      <c r="C282" s="286"/>
      <c r="D282" s="286"/>
      <c r="E282" s="286"/>
      <c r="F282" s="286"/>
      <c r="G282" s="286"/>
      <c r="H282" s="381"/>
      <c r="I282" s="381"/>
      <c r="J282" s="381"/>
      <c r="K282" s="381"/>
      <c r="L282" s="381"/>
      <c r="M282" s="381"/>
      <c r="N282" s="381"/>
      <c r="O282" s="381"/>
      <c r="P282" s="381"/>
      <c r="Q282" s="381"/>
      <c r="R282" s="337">
        <v>0</v>
      </c>
      <c r="S282" s="379">
        <v>0</v>
      </c>
      <c r="T282" s="338">
        <v>0</v>
      </c>
      <c r="U282" s="379">
        <v>0</v>
      </c>
      <c r="V282" s="286"/>
      <c r="W282" s="289"/>
      <c r="X282" s="5"/>
    </row>
    <row r="283" spans="1:24" ht="15.75" x14ac:dyDescent="0.25">
      <c r="A283" s="295"/>
      <c r="B283" s="337" t="s">
        <v>160</v>
      </c>
      <c r="C283" s="286"/>
      <c r="D283" s="286"/>
      <c r="E283" s="286"/>
      <c r="F283" s="286"/>
      <c r="G283" s="286"/>
      <c r="H283" s="381"/>
      <c r="I283" s="381"/>
      <c r="J283" s="381"/>
      <c r="K283" s="381"/>
      <c r="L283" s="381"/>
      <c r="M283" s="381"/>
      <c r="N283" s="381"/>
      <c r="O283" s="381"/>
      <c r="P283" s="381"/>
      <c r="Q283" s="381"/>
      <c r="R283" s="337">
        <v>0</v>
      </c>
      <c r="S283" s="379">
        <v>0</v>
      </c>
      <c r="T283" s="338">
        <v>0</v>
      </c>
      <c r="U283" s="379">
        <v>0</v>
      </c>
      <c r="V283" s="286"/>
      <c r="W283" s="289"/>
      <c r="X283" s="5"/>
    </row>
    <row r="284" spans="1:24" ht="15.75" x14ac:dyDescent="0.25">
      <c r="A284" s="295"/>
      <c r="B284" s="337"/>
      <c r="C284" s="286"/>
      <c r="D284" s="286"/>
      <c r="E284" s="286"/>
      <c r="F284" s="286"/>
      <c r="G284" s="286"/>
      <c r="H284" s="381"/>
      <c r="I284" s="381"/>
      <c r="J284" s="381"/>
      <c r="K284" s="381"/>
      <c r="L284" s="381"/>
      <c r="M284" s="381"/>
      <c r="N284" s="381"/>
      <c r="O284" s="381"/>
      <c r="P284" s="381"/>
      <c r="Q284" s="381"/>
      <c r="R284" s="337"/>
      <c r="S284" s="379"/>
      <c r="T284" s="338"/>
      <c r="U284" s="379"/>
      <c r="V284" s="286"/>
      <c r="W284" s="289"/>
      <c r="X284" s="5"/>
    </row>
    <row r="285" spans="1:24" ht="15.75" x14ac:dyDescent="0.25">
      <c r="A285" s="295"/>
      <c r="B285" s="286" t="s">
        <v>114</v>
      </c>
      <c r="C285" s="286"/>
      <c r="D285" s="286"/>
      <c r="E285" s="286"/>
      <c r="F285" s="286"/>
      <c r="G285" s="286"/>
      <c r="H285" s="381"/>
      <c r="I285" s="381"/>
      <c r="J285" s="381"/>
      <c r="K285" s="381"/>
      <c r="L285" s="381"/>
      <c r="M285" s="381"/>
      <c r="N285" s="381"/>
      <c r="O285" s="381"/>
      <c r="P285" s="381"/>
      <c r="Q285" s="381"/>
      <c r="R285" s="337">
        <f>SUM(R276:R283)</f>
        <v>0</v>
      </c>
      <c r="S285" s="379">
        <f>SUM(S276:S283)</f>
        <v>0</v>
      </c>
      <c r="T285" s="338">
        <f>SUM(T276:T283)</f>
        <v>0</v>
      </c>
      <c r="U285" s="379">
        <f>SUM(U276:U283)</f>
        <v>0</v>
      </c>
      <c r="V285" s="286"/>
      <c r="W285" s="289"/>
      <c r="X285" s="5"/>
    </row>
    <row r="286" spans="1:24" ht="15.75" x14ac:dyDescent="0.25">
      <c r="A286" s="295"/>
      <c r="B286" s="286"/>
      <c r="C286" s="286"/>
      <c r="D286" s="286"/>
      <c r="E286" s="286"/>
      <c r="F286" s="286"/>
      <c r="G286" s="286"/>
      <c r="H286" s="381"/>
      <c r="I286" s="381"/>
      <c r="J286" s="381"/>
      <c r="K286" s="381"/>
      <c r="L286" s="381"/>
      <c r="M286" s="381"/>
      <c r="N286" s="381"/>
      <c r="O286" s="381"/>
      <c r="P286" s="381"/>
      <c r="Q286" s="381"/>
      <c r="R286" s="337"/>
      <c r="S286" s="379"/>
      <c r="T286" s="338"/>
      <c r="U286" s="379"/>
      <c r="V286" s="286"/>
      <c r="W286" s="289"/>
      <c r="X286" s="5"/>
    </row>
    <row r="287" spans="1:24" ht="15.75" x14ac:dyDescent="0.25">
      <c r="A287" s="295"/>
      <c r="B287" s="297" t="s">
        <v>164</v>
      </c>
      <c r="C287" s="286"/>
      <c r="D287" s="286"/>
      <c r="E287" s="286"/>
      <c r="F287" s="286"/>
      <c r="G287" s="286"/>
      <c r="H287" s="381"/>
      <c r="I287" s="381"/>
      <c r="J287" s="381"/>
      <c r="K287" s="381"/>
      <c r="L287" s="381"/>
      <c r="M287" s="381"/>
      <c r="N287" s="381"/>
      <c r="O287" s="381"/>
      <c r="P287" s="381"/>
      <c r="Q287" s="381"/>
      <c r="R287" s="384">
        <f>R285+R273+R261</f>
        <v>5664</v>
      </c>
      <c r="S287" s="379"/>
      <c r="T287" s="410">
        <f>+T285+T273+T261</f>
        <v>804997</v>
      </c>
      <c r="U287" s="379"/>
      <c r="V287" s="286"/>
      <c r="W287" s="289"/>
      <c r="X287" s="5"/>
    </row>
    <row r="288" spans="1:24" ht="15.75" x14ac:dyDescent="0.25">
      <c r="A288" s="254"/>
      <c r="B288" s="346"/>
      <c r="C288" s="346"/>
      <c r="D288" s="346"/>
      <c r="E288" s="346"/>
      <c r="F288" s="346"/>
      <c r="G288" s="346"/>
      <c r="H288" s="382"/>
      <c r="I288" s="382"/>
      <c r="J288" s="382"/>
      <c r="K288" s="382"/>
      <c r="L288" s="382"/>
      <c r="M288" s="382"/>
      <c r="N288" s="382"/>
      <c r="O288" s="382"/>
      <c r="P288" s="382"/>
      <c r="Q288" s="382"/>
      <c r="R288" s="382"/>
      <c r="S288" s="382"/>
      <c r="T288" s="383"/>
      <c r="U288" s="382"/>
      <c r="V288" s="346"/>
      <c r="W288" s="346"/>
      <c r="X288" s="5"/>
    </row>
    <row r="289" spans="1:24" ht="15.75" x14ac:dyDescent="0.25">
      <c r="A289" s="254"/>
      <c r="B289" s="255"/>
      <c r="C289" s="255"/>
      <c r="D289" s="255"/>
      <c r="E289" s="255"/>
      <c r="F289" s="255"/>
      <c r="G289" s="255"/>
      <c r="H289" s="256"/>
      <c r="I289" s="256"/>
      <c r="J289" s="256"/>
      <c r="K289" s="256"/>
      <c r="L289" s="256"/>
      <c r="M289" s="256"/>
      <c r="N289" s="256"/>
      <c r="O289" s="256"/>
      <c r="P289" s="256"/>
      <c r="Q289" s="256"/>
      <c r="R289" s="256"/>
      <c r="S289" s="256"/>
      <c r="T289" s="257"/>
      <c r="U289" s="256"/>
      <c r="V289" s="255"/>
      <c r="W289" s="255"/>
      <c r="X289" s="5"/>
    </row>
    <row r="290" spans="1:24" ht="15.75" x14ac:dyDescent="0.25">
      <c r="A290" s="258"/>
      <c r="B290" s="388" t="s">
        <v>91</v>
      </c>
      <c r="C290" s="255"/>
      <c r="D290" s="255"/>
      <c r="E290" s="255"/>
      <c r="F290" s="391" t="s">
        <v>97</v>
      </c>
      <c r="G290" s="255"/>
      <c r="H290" s="388" t="s">
        <v>99</v>
      </c>
      <c r="I290" s="388"/>
      <c r="J290" s="388"/>
      <c r="K290" s="261"/>
      <c r="L290" s="261"/>
      <c r="M290" s="261"/>
      <c r="N290" s="261"/>
      <c r="O290" s="261"/>
      <c r="P290" s="261"/>
      <c r="Q290" s="261"/>
      <c r="R290" s="261"/>
      <c r="S290" s="261"/>
      <c r="T290" s="261"/>
      <c r="U290" s="261"/>
      <c r="V290" s="261"/>
      <c r="W290" s="261"/>
      <c r="X290" s="5"/>
    </row>
    <row r="291" spans="1:24" ht="15.75" x14ac:dyDescent="0.25">
      <c r="A291" s="258"/>
      <c r="B291" s="261"/>
      <c r="C291" s="255"/>
      <c r="D291" s="255"/>
      <c r="E291" s="255"/>
      <c r="F291" s="255"/>
      <c r="G291" s="255"/>
      <c r="H291" s="255"/>
      <c r="I291" s="255"/>
      <c r="J291" s="255"/>
      <c r="K291" s="261"/>
      <c r="L291" s="261"/>
      <c r="M291" s="261"/>
      <c r="N291" s="261"/>
      <c r="O291" s="261"/>
      <c r="P291" s="261"/>
      <c r="Q291" s="261"/>
      <c r="R291" s="261"/>
      <c r="S291" s="261"/>
      <c r="T291" s="261"/>
      <c r="U291" s="261"/>
      <c r="V291" s="261"/>
      <c r="W291" s="261"/>
      <c r="X291" s="5"/>
    </row>
    <row r="292" spans="1:24" ht="15.75" x14ac:dyDescent="0.25">
      <c r="A292" s="258"/>
      <c r="B292" s="388" t="s">
        <v>318</v>
      </c>
      <c r="C292" s="388"/>
      <c r="D292" s="388"/>
      <c r="E292" s="388"/>
      <c r="F292" s="411" t="s">
        <v>148</v>
      </c>
      <c r="G292" s="388"/>
      <c r="H292" s="388" t="s">
        <v>152</v>
      </c>
      <c r="I292" s="388"/>
      <c r="J292" s="388"/>
      <c r="K292" s="261"/>
      <c r="L292" s="261"/>
      <c r="M292" s="261"/>
      <c r="N292" s="261"/>
      <c r="O292" s="261"/>
      <c r="P292" s="261"/>
      <c r="Q292" s="261"/>
      <c r="R292" s="261"/>
      <c r="S292" s="261"/>
      <c r="T292" s="261"/>
      <c r="U292" s="261"/>
      <c r="V292" s="261"/>
      <c r="W292" s="261"/>
      <c r="X292" s="5"/>
    </row>
    <row r="293" spans="1:24" ht="15.75" x14ac:dyDescent="0.25">
      <c r="A293" s="258"/>
      <c r="B293" s="388" t="s">
        <v>319</v>
      </c>
      <c r="C293" s="388"/>
      <c r="D293" s="388"/>
      <c r="E293" s="388"/>
      <c r="F293" s="411" t="s">
        <v>266</v>
      </c>
      <c r="G293" s="388"/>
      <c r="H293" s="388" t="s">
        <v>267</v>
      </c>
      <c r="I293" s="388"/>
      <c r="J293" s="388"/>
      <c r="K293" s="261"/>
      <c r="L293" s="261"/>
      <c r="M293" s="261"/>
      <c r="N293" s="261"/>
      <c r="O293" s="261"/>
      <c r="P293" s="261"/>
      <c r="Q293" s="261"/>
      <c r="R293" s="261"/>
      <c r="S293" s="261"/>
      <c r="T293" s="261"/>
      <c r="U293" s="261"/>
      <c r="V293" s="261"/>
      <c r="W293" s="261"/>
      <c r="X293" s="5"/>
    </row>
    <row r="294" spans="1:24" ht="15.75" x14ac:dyDescent="0.25">
      <c r="A294" s="258"/>
      <c r="B294" s="388" t="s">
        <v>320</v>
      </c>
      <c r="C294" s="388"/>
      <c r="D294" s="388"/>
      <c r="E294" s="388"/>
      <c r="F294" s="411" t="s">
        <v>147</v>
      </c>
      <c r="G294" s="388"/>
      <c r="H294" s="388" t="s">
        <v>153</v>
      </c>
      <c r="I294" s="388"/>
      <c r="J294" s="388"/>
      <c r="K294" s="261"/>
      <c r="L294" s="261"/>
      <c r="M294" s="261"/>
      <c r="N294" s="261"/>
      <c r="O294" s="261"/>
      <c r="P294" s="261"/>
      <c r="Q294" s="261"/>
      <c r="R294" s="261"/>
      <c r="S294" s="261"/>
      <c r="T294" s="261"/>
      <c r="U294" s="261"/>
      <c r="V294" s="261"/>
      <c r="W294" s="261"/>
      <c r="X294" s="5"/>
    </row>
    <row r="295" spans="1:24" ht="15.75" x14ac:dyDescent="0.25">
      <c r="A295" s="258"/>
      <c r="B295" s="388"/>
      <c r="C295" s="388"/>
      <c r="D295" s="388"/>
      <c r="E295" s="388"/>
      <c r="F295" s="388"/>
      <c r="G295" s="263"/>
      <c r="H295" s="261"/>
      <c r="I295" s="261"/>
      <c r="J295" s="261"/>
      <c r="K295" s="261"/>
      <c r="L295" s="261"/>
      <c r="M295" s="261"/>
      <c r="N295" s="261"/>
      <c r="O295" s="261"/>
      <c r="P295" s="261"/>
      <c r="Q295" s="261"/>
      <c r="R295" s="261"/>
      <c r="S295" s="261"/>
      <c r="T295" s="261"/>
      <c r="U295" s="261"/>
      <c r="V295" s="261"/>
      <c r="W295" s="261"/>
      <c r="X295" s="5"/>
    </row>
    <row r="296" spans="1:24" ht="15.75" x14ac:dyDescent="0.25">
      <c r="A296" s="258"/>
      <c r="B296" s="388"/>
      <c r="C296" s="388"/>
      <c r="D296" s="388"/>
      <c r="E296" s="388"/>
      <c r="F296" s="388"/>
      <c r="G296" s="263"/>
      <c r="H296" s="261"/>
      <c r="I296" s="261"/>
      <c r="J296" s="261"/>
      <c r="K296" s="261"/>
      <c r="L296" s="261"/>
      <c r="M296" s="261"/>
      <c r="N296" s="261"/>
      <c r="O296" s="261"/>
      <c r="P296" s="261"/>
      <c r="Q296" s="261"/>
      <c r="R296" s="261"/>
      <c r="S296" s="261"/>
      <c r="T296" s="261"/>
      <c r="U296" s="261"/>
      <c r="V296" s="261"/>
      <c r="W296" s="261"/>
      <c r="X296" s="5"/>
    </row>
    <row r="297" spans="1:24" ht="19.5" thickBot="1" x14ac:dyDescent="0.35">
      <c r="A297" s="258"/>
      <c r="B297" s="264" t="str">
        <f>B201</f>
        <v>PM15 INVESTOR REPORT QUARTER ENDING MAY 2013</v>
      </c>
      <c r="C297" s="388"/>
      <c r="D297" s="388"/>
      <c r="E297" s="388"/>
      <c r="F297" s="388"/>
      <c r="G297" s="263"/>
      <c r="H297" s="261"/>
      <c r="I297" s="261"/>
      <c r="J297" s="261"/>
      <c r="K297" s="261"/>
      <c r="L297" s="261"/>
      <c r="M297" s="261"/>
      <c r="N297" s="261"/>
      <c r="O297" s="261"/>
      <c r="P297" s="261"/>
      <c r="Q297" s="261"/>
      <c r="R297" s="261"/>
      <c r="S297" s="261"/>
      <c r="T297" s="261"/>
      <c r="U297" s="261"/>
      <c r="V297" s="261"/>
      <c r="W297" s="261"/>
      <c r="X297" s="5"/>
    </row>
    <row r="298" spans="1:24" x14ac:dyDescent="0.2">
      <c r="A298" s="100"/>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00"/>
    </row>
  </sheetData>
  <hyperlinks>
    <hyperlink ref="P237" r:id="rId1" xr:uid="{00000000-0004-0000-1600-000000000000}"/>
    <hyperlink ref="I9" r:id="rId2" xr:uid="{00000000-0004-0000-16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5" max="14" man="1"/>
    <brk id="201" max="14" man="1"/>
  </rowBreaks>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sheetPr>
  <dimension ref="A1:IV298"/>
  <sheetViews>
    <sheetView showGridLines="0" showOutlineSymbols="0" zoomScale="70" zoomScaleNormal="70" workbookViewId="0"/>
  </sheetViews>
  <sheetFormatPr defaultColWidth="9.6640625" defaultRowHeight="15" x14ac:dyDescent="0.2"/>
  <cols>
    <col min="1" max="1" width="4" style="1" customWidth="1"/>
    <col min="2" max="2" width="71.21875" style="1" customWidth="1"/>
    <col min="3" max="3" width="2.21875" style="1" customWidth="1"/>
    <col min="4" max="4" width="19.33203125" style="1" customWidth="1"/>
    <col min="5" max="5" width="2.21875" style="1" customWidth="1"/>
    <col min="6" max="6" width="25.109375" style="1" customWidth="1"/>
    <col min="7" max="7" width="2.21875" style="1" customWidth="1"/>
    <col min="8" max="8" width="16.21875" style="1" customWidth="1"/>
    <col min="9" max="9" width="2.88671875" style="1" customWidth="1"/>
    <col min="10" max="10" width="16.21875" style="1" customWidth="1"/>
    <col min="11" max="11" width="2.21875" style="1" customWidth="1"/>
    <col min="12" max="12" width="17.88671875" style="1" customWidth="1"/>
    <col min="13" max="13" width="2.33203125" style="1" customWidth="1"/>
    <col min="14" max="14" width="14.88671875" style="1" customWidth="1"/>
    <col min="15" max="15" width="2.33203125" style="1" customWidth="1"/>
    <col min="16" max="16" width="15.5546875" style="1" customWidth="1"/>
    <col min="17" max="17" width="2.21875" style="1" customWidth="1"/>
    <col min="18" max="18" width="15.5546875" style="1" customWidth="1"/>
    <col min="19" max="20" width="12.6640625" style="1" customWidth="1"/>
    <col min="21" max="21" width="7.77734375" style="1" customWidth="1"/>
    <col min="22" max="22" width="14.6640625" style="1" customWidth="1"/>
    <col min="23" max="23" width="11.77734375" style="1" customWidth="1"/>
    <col min="24" max="16384" width="9.6640625" style="1"/>
  </cols>
  <sheetData>
    <row r="1" spans="1:24" ht="20.25" x14ac:dyDescent="0.3">
      <c r="A1" s="179"/>
      <c r="B1" s="274" t="s">
        <v>237</v>
      </c>
      <c r="C1" s="180"/>
      <c r="D1" s="180"/>
      <c r="E1" s="180"/>
      <c r="F1" s="180"/>
      <c r="G1" s="180"/>
      <c r="H1" s="180"/>
      <c r="I1" s="180"/>
      <c r="J1" s="180"/>
      <c r="K1" s="180"/>
      <c r="L1" s="180"/>
      <c r="M1" s="180"/>
      <c r="N1" s="180"/>
      <c r="O1" s="180"/>
      <c r="P1" s="180"/>
      <c r="Q1" s="180"/>
      <c r="R1" s="180"/>
      <c r="S1" s="180"/>
      <c r="T1" s="180"/>
      <c r="U1" s="180"/>
      <c r="V1" s="180"/>
      <c r="W1" s="180"/>
      <c r="X1" s="5"/>
    </row>
    <row r="2" spans="1:24" ht="15.75" x14ac:dyDescent="0.25">
      <c r="A2" s="181"/>
      <c r="B2" s="182"/>
      <c r="C2" s="183"/>
      <c r="D2" s="183"/>
      <c r="E2" s="183"/>
      <c r="F2" s="183"/>
      <c r="G2" s="183"/>
      <c r="H2" s="183"/>
      <c r="I2" s="183"/>
      <c r="J2" s="183"/>
      <c r="K2" s="183"/>
      <c r="L2" s="183"/>
      <c r="M2" s="183"/>
      <c r="N2" s="183"/>
      <c r="O2" s="183"/>
      <c r="P2" s="183"/>
      <c r="Q2" s="183"/>
      <c r="R2" s="183"/>
      <c r="S2" s="183"/>
      <c r="T2" s="183"/>
      <c r="U2" s="183"/>
      <c r="V2" s="183"/>
      <c r="W2" s="183"/>
      <c r="X2" s="5"/>
    </row>
    <row r="3" spans="1:24" ht="15.75" x14ac:dyDescent="0.25">
      <c r="A3" s="184"/>
      <c r="B3" s="185" t="s">
        <v>238</v>
      </c>
      <c r="C3" s="183"/>
      <c r="D3" s="183"/>
      <c r="E3" s="183"/>
      <c r="F3" s="183"/>
      <c r="G3" s="183"/>
      <c r="H3" s="183"/>
      <c r="I3" s="183"/>
      <c r="J3" s="183"/>
      <c r="K3" s="183"/>
      <c r="L3" s="183"/>
      <c r="M3" s="183"/>
      <c r="N3" s="183"/>
      <c r="O3" s="183"/>
      <c r="P3" s="183"/>
      <c r="Q3" s="183"/>
      <c r="R3" s="183"/>
      <c r="S3" s="183"/>
      <c r="T3" s="183"/>
      <c r="U3" s="183"/>
      <c r="V3" s="183"/>
      <c r="W3" s="183"/>
      <c r="X3" s="5"/>
    </row>
    <row r="4" spans="1:24" ht="15.75" x14ac:dyDescent="0.25">
      <c r="A4" s="181"/>
      <c r="B4" s="182"/>
      <c r="C4" s="183"/>
      <c r="D4" s="183"/>
      <c r="E4" s="183"/>
      <c r="F4" s="183"/>
      <c r="G4" s="183"/>
      <c r="H4" s="183"/>
      <c r="I4" s="183"/>
      <c r="J4" s="183"/>
      <c r="K4" s="183"/>
      <c r="L4" s="183"/>
      <c r="M4" s="183"/>
      <c r="N4" s="183"/>
      <c r="O4" s="183"/>
      <c r="P4" s="183"/>
      <c r="Q4" s="183"/>
      <c r="R4" s="183"/>
      <c r="S4" s="183"/>
      <c r="T4" s="183"/>
      <c r="U4" s="183"/>
      <c r="V4" s="183"/>
      <c r="W4" s="183"/>
      <c r="X4" s="5"/>
    </row>
    <row r="5" spans="1:24" ht="15.75" x14ac:dyDescent="0.25">
      <c r="A5" s="181"/>
      <c r="B5" s="275" t="s">
        <v>137</v>
      </c>
      <c r="C5" s="183"/>
      <c r="D5" s="183"/>
      <c r="E5" s="183"/>
      <c r="F5" s="183"/>
      <c r="G5" s="183"/>
      <c r="H5" s="183"/>
      <c r="I5" s="183"/>
      <c r="J5" s="183"/>
      <c r="K5" s="183"/>
      <c r="L5" s="183"/>
      <c r="M5" s="183"/>
      <c r="N5" s="183"/>
      <c r="O5" s="183"/>
      <c r="P5" s="183"/>
      <c r="Q5" s="183"/>
      <c r="R5" s="183"/>
      <c r="S5" s="183"/>
      <c r="T5" s="183"/>
      <c r="U5" s="183"/>
      <c r="V5" s="183"/>
      <c r="W5" s="183"/>
      <c r="X5" s="5"/>
    </row>
    <row r="6" spans="1:24" ht="15.75" x14ac:dyDescent="0.25">
      <c r="A6" s="181"/>
      <c r="B6" s="275" t="s">
        <v>139</v>
      </c>
      <c r="C6" s="183"/>
      <c r="D6" s="183"/>
      <c r="E6" s="183"/>
      <c r="F6" s="183"/>
      <c r="G6" s="183"/>
      <c r="H6" s="183"/>
      <c r="I6" s="183"/>
      <c r="J6" s="183"/>
      <c r="K6" s="183"/>
      <c r="L6" s="183"/>
      <c r="M6" s="183"/>
      <c r="N6" s="183"/>
      <c r="O6" s="183"/>
      <c r="P6" s="183"/>
      <c r="Q6" s="183"/>
      <c r="R6" s="183"/>
      <c r="S6" s="183"/>
      <c r="T6" s="183"/>
      <c r="U6" s="183"/>
      <c r="V6" s="183"/>
      <c r="W6" s="183"/>
      <c r="X6" s="5"/>
    </row>
    <row r="7" spans="1:24" ht="15.75" x14ac:dyDescent="0.25">
      <c r="A7" s="181"/>
      <c r="B7" s="275" t="s">
        <v>138</v>
      </c>
      <c r="C7" s="183"/>
      <c r="D7" s="183"/>
      <c r="E7" s="183"/>
      <c r="F7" s="183"/>
      <c r="G7" s="183"/>
      <c r="H7" s="183"/>
      <c r="I7" s="183"/>
      <c r="J7" s="183"/>
      <c r="K7" s="183"/>
      <c r="L7" s="183"/>
      <c r="M7" s="183"/>
      <c r="N7" s="183"/>
      <c r="O7" s="183"/>
      <c r="P7" s="183"/>
      <c r="Q7" s="183"/>
      <c r="R7" s="183"/>
      <c r="S7" s="183"/>
      <c r="T7" s="183"/>
      <c r="U7" s="183"/>
      <c r="V7" s="183"/>
      <c r="W7" s="183"/>
      <c r="X7" s="5"/>
    </row>
    <row r="8" spans="1:24" ht="15.75" x14ac:dyDescent="0.25">
      <c r="A8" s="181"/>
      <c r="B8" s="186"/>
      <c r="C8" s="183"/>
      <c r="D8" s="183"/>
      <c r="E8" s="183"/>
      <c r="F8" s="183"/>
      <c r="G8" s="183"/>
      <c r="H8" s="183"/>
      <c r="I8" s="183"/>
      <c r="J8" s="183"/>
      <c r="K8" s="183"/>
      <c r="L8" s="183"/>
      <c r="M8" s="183"/>
      <c r="N8" s="183"/>
      <c r="O8" s="183"/>
      <c r="P8" s="183"/>
      <c r="Q8" s="183"/>
      <c r="R8" s="183"/>
      <c r="S8" s="183"/>
      <c r="T8" s="183"/>
      <c r="U8" s="183"/>
      <c r="V8" s="183"/>
      <c r="W8" s="183"/>
      <c r="X8" s="5"/>
    </row>
    <row r="9" spans="1:24" ht="18.75" x14ac:dyDescent="0.3">
      <c r="A9" s="181"/>
      <c r="B9" s="187" t="s">
        <v>166</v>
      </c>
      <c r="C9" s="183"/>
      <c r="D9" s="183"/>
      <c r="E9" s="183"/>
      <c r="F9" s="183"/>
      <c r="G9" s="183"/>
      <c r="H9" s="183"/>
      <c r="I9" s="188" t="s">
        <v>167</v>
      </c>
      <c r="J9" s="183"/>
      <c r="K9" s="183"/>
      <c r="L9" s="188"/>
      <c r="M9" s="183"/>
      <c r="N9" s="188"/>
      <c r="O9" s="183"/>
      <c r="P9" s="183"/>
      <c r="Q9" s="183"/>
      <c r="R9" s="183"/>
      <c r="S9" s="183"/>
      <c r="T9" s="183"/>
      <c r="U9" s="183"/>
      <c r="V9" s="183"/>
      <c r="W9" s="183"/>
      <c r="X9" s="5"/>
    </row>
    <row r="10" spans="1:24" ht="15.75" x14ac:dyDescent="0.25">
      <c r="A10" s="181"/>
      <c r="B10" s="186"/>
      <c r="C10" s="189"/>
      <c r="D10" s="189"/>
      <c r="E10" s="189"/>
      <c r="F10" s="183"/>
      <c r="G10" s="183"/>
      <c r="H10" s="183"/>
      <c r="I10" s="183"/>
      <c r="J10" s="183"/>
      <c r="K10" s="183"/>
      <c r="L10" s="183"/>
      <c r="M10" s="183"/>
      <c r="N10" s="183"/>
      <c r="O10" s="183"/>
      <c r="P10" s="183"/>
      <c r="Q10" s="183"/>
      <c r="R10" s="183"/>
      <c r="S10" s="183"/>
      <c r="T10" s="183"/>
      <c r="U10" s="183"/>
      <c r="V10" s="183"/>
      <c r="W10" s="183"/>
      <c r="X10" s="5"/>
    </row>
    <row r="11" spans="1:24" ht="15.75" x14ac:dyDescent="0.25">
      <c r="A11" s="181"/>
      <c r="B11" s="388" t="s">
        <v>0</v>
      </c>
      <c r="C11" s="183"/>
      <c r="D11" s="183"/>
      <c r="E11" s="183"/>
      <c r="F11" s="183"/>
      <c r="G11" s="183"/>
      <c r="H11" s="183"/>
      <c r="I11" s="183"/>
      <c r="J11" s="183"/>
      <c r="K11" s="183"/>
      <c r="L11" s="183"/>
      <c r="M11" s="183"/>
      <c r="N11" s="183"/>
      <c r="O11" s="183"/>
      <c r="P11" s="183"/>
      <c r="Q11" s="183"/>
      <c r="R11" s="183"/>
      <c r="S11" s="183"/>
      <c r="T11" s="183"/>
      <c r="U11" s="183"/>
      <c r="V11" s="183"/>
      <c r="W11" s="183"/>
      <c r="X11" s="5"/>
    </row>
    <row r="12" spans="1:24" ht="16.5" thickBot="1" x14ac:dyDescent="0.3">
      <c r="A12" s="181"/>
      <c r="B12" s="189"/>
      <c r="C12" s="183"/>
      <c r="D12" s="183"/>
      <c r="E12" s="183"/>
      <c r="F12" s="183"/>
      <c r="G12" s="183"/>
      <c r="H12" s="183"/>
      <c r="I12" s="183"/>
      <c r="J12" s="183"/>
      <c r="K12" s="183"/>
      <c r="L12" s="183"/>
      <c r="M12" s="183"/>
      <c r="N12" s="183"/>
      <c r="O12" s="183"/>
      <c r="P12" s="183"/>
      <c r="Q12" s="183"/>
      <c r="R12" s="183"/>
      <c r="S12" s="183"/>
      <c r="T12" s="183"/>
      <c r="U12" s="183"/>
      <c r="V12" s="183"/>
      <c r="W12" s="183"/>
      <c r="X12" s="5"/>
    </row>
    <row r="13" spans="1:24" ht="15.75" x14ac:dyDescent="0.25">
      <c r="A13" s="179"/>
      <c r="B13" s="180"/>
      <c r="C13" s="180"/>
      <c r="D13" s="180"/>
      <c r="E13" s="180"/>
      <c r="F13" s="180"/>
      <c r="G13" s="180"/>
      <c r="H13" s="180"/>
      <c r="I13" s="180"/>
      <c r="J13" s="180"/>
      <c r="K13" s="180"/>
      <c r="L13" s="180"/>
      <c r="M13" s="180"/>
      <c r="N13" s="180"/>
      <c r="O13" s="180"/>
      <c r="P13" s="180"/>
      <c r="Q13" s="180"/>
      <c r="R13" s="180"/>
      <c r="S13" s="180"/>
      <c r="T13" s="180"/>
      <c r="U13" s="180"/>
      <c r="V13" s="180"/>
      <c r="W13" s="180"/>
      <c r="X13" s="5"/>
    </row>
    <row r="14" spans="1:24" ht="15.75" x14ac:dyDescent="0.25">
      <c r="A14" s="181"/>
      <c r="B14" s="388" t="s">
        <v>1</v>
      </c>
      <c r="C14" s="255"/>
      <c r="D14" s="255"/>
      <c r="E14" s="255"/>
      <c r="F14" s="255"/>
      <c r="G14" s="255"/>
      <c r="H14" s="255"/>
      <c r="I14" s="255"/>
      <c r="J14" s="255"/>
      <c r="K14" s="255"/>
      <c r="L14" s="255"/>
      <c r="M14" s="255"/>
      <c r="N14" s="255"/>
      <c r="O14" s="255"/>
      <c r="P14" s="255"/>
      <c r="Q14" s="255"/>
      <c r="R14" s="255"/>
      <c r="S14" s="255"/>
      <c r="T14" s="255"/>
      <c r="U14" s="255"/>
      <c r="V14" s="276" t="s">
        <v>239</v>
      </c>
      <c r="W14" s="255"/>
      <c r="X14" s="5"/>
    </row>
    <row r="15" spans="1:24" ht="15.75" x14ac:dyDescent="0.25">
      <c r="A15" s="181"/>
      <c r="B15" s="388" t="s">
        <v>2</v>
      </c>
      <c r="C15" s="255"/>
      <c r="D15" s="255"/>
      <c r="E15" s="255"/>
      <c r="F15" s="255"/>
      <c r="G15" s="255"/>
      <c r="H15" s="389"/>
      <c r="I15" s="389"/>
      <c r="J15" s="389"/>
      <c r="K15" s="389"/>
      <c r="L15" s="389"/>
      <c r="M15" s="389"/>
      <c r="N15" s="389"/>
      <c r="O15" s="389"/>
      <c r="P15" s="389"/>
      <c r="Q15" s="389"/>
      <c r="R15" s="389" t="s">
        <v>104</v>
      </c>
      <c r="S15" s="390">
        <v>0.47189999999999999</v>
      </c>
      <c r="T15" s="391" t="s">
        <v>140</v>
      </c>
      <c r="U15" s="390">
        <v>0.52810000000000001</v>
      </c>
      <c r="V15" s="276"/>
      <c r="W15" s="255"/>
      <c r="X15" s="5"/>
    </row>
    <row r="16" spans="1:24" ht="15.75" x14ac:dyDescent="0.25">
      <c r="A16" s="181"/>
      <c r="B16" s="388" t="s">
        <v>3</v>
      </c>
      <c r="C16" s="255"/>
      <c r="D16" s="255"/>
      <c r="E16" s="255"/>
      <c r="F16" s="255"/>
      <c r="G16" s="255"/>
      <c r="H16" s="389"/>
      <c r="I16" s="389"/>
      <c r="J16" s="389"/>
      <c r="K16" s="389"/>
      <c r="L16" s="389"/>
      <c r="M16" s="389"/>
      <c r="N16" s="389"/>
      <c r="O16" s="389"/>
      <c r="P16" s="389"/>
      <c r="Q16" s="389"/>
      <c r="R16" s="389" t="s">
        <v>104</v>
      </c>
      <c r="S16" s="390">
        <v>0.54259999999999997</v>
      </c>
      <c r="T16" s="391" t="s">
        <v>140</v>
      </c>
      <c r="U16" s="390">
        <v>0.45739999999999997</v>
      </c>
      <c r="V16" s="276"/>
      <c r="W16" s="255"/>
      <c r="X16" s="5"/>
    </row>
    <row r="17" spans="1:24" ht="15.75" x14ac:dyDescent="0.25">
      <c r="A17" s="181"/>
      <c r="B17" s="388" t="s">
        <v>4</v>
      </c>
      <c r="C17" s="255"/>
      <c r="D17" s="255"/>
      <c r="E17" s="255"/>
      <c r="F17" s="255"/>
      <c r="G17" s="255"/>
      <c r="H17" s="255"/>
      <c r="I17" s="255"/>
      <c r="J17" s="255"/>
      <c r="K17" s="255"/>
      <c r="L17" s="255"/>
      <c r="M17" s="255"/>
      <c r="N17" s="255"/>
      <c r="O17" s="255"/>
      <c r="P17" s="255"/>
      <c r="Q17" s="255"/>
      <c r="R17" s="255"/>
      <c r="S17" s="255"/>
      <c r="T17" s="255"/>
      <c r="U17" s="255"/>
      <c r="V17" s="392">
        <v>39282</v>
      </c>
      <c r="W17" s="255"/>
      <c r="X17" s="5"/>
    </row>
    <row r="18" spans="1:24" ht="15.75" x14ac:dyDescent="0.25">
      <c r="A18" s="181"/>
      <c r="B18" s="388" t="s">
        <v>5</v>
      </c>
      <c r="C18" s="255"/>
      <c r="D18" s="255"/>
      <c r="E18" s="255"/>
      <c r="F18" s="255"/>
      <c r="G18" s="255"/>
      <c r="H18" s="255"/>
      <c r="I18" s="255"/>
      <c r="J18" s="255"/>
      <c r="K18" s="255"/>
      <c r="L18" s="255"/>
      <c r="M18" s="255"/>
      <c r="N18" s="255"/>
      <c r="O18" s="255"/>
      <c r="P18" s="255"/>
      <c r="Q18" s="255"/>
      <c r="R18" s="255"/>
      <c r="S18" s="255"/>
      <c r="T18" s="255"/>
      <c r="U18" s="255"/>
      <c r="V18" s="392">
        <v>41540</v>
      </c>
      <c r="W18" s="255"/>
      <c r="X18" s="5"/>
    </row>
    <row r="19" spans="1:24" ht="15.75" x14ac:dyDescent="0.25">
      <c r="A19" s="181"/>
      <c r="B19" s="183"/>
      <c r="C19" s="183"/>
      <c r="D19" s="183"/>
      <c r="E19" s="183"/>
      <c r="F19" s="183"/>
      <c r="G19" s="183"/>
      <c r="H19" s="183"/>
      <c r="I19" s="183"/>
      <c r="J19" s="183"/>
      <c r="K19" s="183"/>
      <c r="L19" s="183"/>
      <c r="M19" s="183"/>
      <c r="N19" s="183"/>
      <c r="O19" s="183"/>
      <c r="P19" s="183"/>
      <c r="Q19" s="183"/>
      <c r="R19" s="183"/>
      <c r="S19" s="183"/>
      <c r="T19" s="183"/>
      <c r="U19" s="183"/>
      <c r="V19" s="190"/>
      <c r="W19" s="183"/>
      <c r="X19" s="5"/>
    </row>
    <row r="20" spans="1:24" ht="15.75" x14ac:dyDescent="0.25">
      <c r="A20" s="181"/>
      <c r="B20" s="280" t="s">
        <v>6</v>
      </c>
      <c r="C20" s="255"/>
      <c r="D20" s="255"/>
      <c r="E20" s="255"/>
      <c r="F20" s="255"/>
      <c r="G20" s="255"/>
      <c r="H20" s="255"/>
      <c r="I20" s="255"/>
      <c r="J20" s="255"/>
      <c r="K20" s="255"/>
      <c r="L20" s="255"/>
      <c r="M20" s="255"/>
      <c r="N20" s="255"/>
      <c r="O20" s="255"/>
      <c r="P20" s="255"/>
      <c r="Q20" s="255"/>
      <c r="R20" s="255"/>
      <c r="S20" s="255"/>
      <c r="T20" s="281" t="s">
        <v>105</v>
      </c>
      <c r="U20" s="255"/>
      <c r="V20" s="261"/>
      <c r="W20" s="183"/>
      <c r="X20" s="5"/>
    </row>
    <row r="21" spans="1:24" ht="15.75" x14ac:dyDescent="0.25">
      <c r="A21" s="181"/>
      <c r="B21" s="183"/>
      <c r="C21" s="183"/>
      <c r="D21" s="183"/>
      <c r="E21" s="183"/>
      <c r="F21" s="183"/>
      <c r="G21" s="183"/>
      <c r="H21" s="183"/>
      <c r="I21" s="183"/>
      <c r="J21" s="183"/>
      <c r="K21" s="183"/>
      <c r="L21" s="183"/>
      <c r="M21" s="183"/>
      <c r="N21" s="183"/>
      <c r="O21" s="183"/>
      <c r="P21" s="183"/>
      <c r="Q21" s="183"/>
      <c r="R21" s="183"/>
      <c r="S21" s="183"/>
      <c r="T21" s="183"/>
      <c r="U21" s="183"/>
      <c r="V21" s="192"/>
      <c r="W21" s="183"/>
      <c r="X21" s="5"/>
    </row>
    <row r="22" spans="1:24" ht="15.75" x14ac:dyDescent="0.25">
      <c r="A22" s="224"/>
      <c r="B22" s="225"/>
      <c r="C22" s="226"/>
      <c r="D22" s="226" t="s">
        <v>177</v>
      </c>
      <c r="E22" s="226"/>
      <c r="F22" s="226" t="s">
        <v>178</v>
      </c>
      <c r="G22" s="226"/>
      <c r="H22" s="226" t="s">
        <v>179</v>
      </c>
      <c r="I22" s="226"/>
      <c r="J22" s="226" t="s">
        <v>219</v>
      </c>
      <c r="K22" s="226"/>
      <c r="L22" s="226" t="s">
        <v>180</v>
      </c>
      <c r="M22" s="226"/>
      <c r="N22" s="226" t="s">
        <v>181</v>
      </c>
      <c r="O22" s="226"/>
      <c r="P22" s="226" t="s">
        <v>182</v>
      </c>
      <c r="Q22" s="226"/>
      <c r="R22" s="226"/>
      <c r="S22" s="228"/>
      <c r="T22" s="228"/>
      <c r="U22" s="229"/>
      <c r="V22" s="229"/>
      <c r="W22" s="225"/>
      <c r="X22" s="5"/>
    </row>
    <row r="23" spans="1:24" ht="15.75" x14ac:dyDescent="0.25">
      <c r="A23" s="193"/>
      <c r="B23" s="250" t="s">
        <v>7</v>
      </c>
      <c r="C23" s="282"/>
      <c r="D23" s="282" t="s">
        <v>212</v>
      </c>
      <c r="E23" s="282"/>
      <c r="F23" s="282" t="s">
        <v>141</v>
      </c>
      <c r="G23" s="282"/>
      <c r="H23" s="282" t="s">
        <v>141</v>
      </c>
      <c r="I23" s="282"/>
      <c r="J23" s="282" t="s">
        <v>141</v>
      </c>
      <c r="K23" s="282"/>
      <c r="L23" s="282" t="s">
        <v>183</v>
      </c>
      <c r="M23" s="282"/>
      <c r="N23" s="282" t="s">
        <v>183</v>
      </c>
      <c r="O23" s="282"/>
      <c r="P23" s="282" t="s">
        <v>142</v>
      </c>
      <c r="Q23" s="282"/>
      <c r="R23" s="282"/>
      <c r="S23" s="282"/>
      <c r="T23" s="282"/>
      <c r="U23" s="273"/>
      <c r="V23" s="273"/>
      <c r="W23" s="250"/>
      <c r="X23" s="5"/>
    </row>
    <row r="24" spans="1:24" ht="15.75" x14ac:dyDescent="0.25">
      <c r="A24" s="285"/>
      <c r="B24" s="286" t="s">
        <v>8</v>
      </c>
      <c r="C24" s="287"/>
      <c r="D24" s="287" t="s">
        <v>213</v>
      </c>
      <c r="E24" s="287"/>
      <c r="F24" s="287" t="s">
        <v>143</v>
      </c>
      <c r="G24" s="287"/>
      <c r="H24" s="287" t="s">
        <v>143</v>
      </c>
      <c r="I24" s="287"/>
      <c r="J24" s="287" t="s">
        <v>143</v>
      </c>
      <c r="K24" s="287"/>
      <c r="L24" s="287" t="s">
        <v>165</v>
      </c>
      <c r="M24" s="287"/>
      <c r="N24" s="287" t="s">
        <v>165</v>
      </c>
      <c r="O24" s="287"/>
      <c r="P24" s="287" t="s">
        <v>144</v>
      </c>
      <c r="Q24" s="287"/>
      <c r="R24" s="287"/>
      <c r="S24" s="287"/>
      <c r="T24" s="287"/>
      <c r="U24" s="288"/>
      <c r="V24" s="288"/>
      <c r="W24" s="289"/>
      <c r="X24" s="5"/>
    </row>
    <row r="25" spans="1:24" ht="15.75" x14ac:dyDescent="0.25">
      <c r="A25" s="290"/>
      <c r="B25" s="286" t="s">
        <v>190</v>
      </c>
      <c r="C25" s="292"/>
      <c r="D25" s="287" t="s">
        <v>214</v>
      </c>
      <c r="E25" s="287"/>
      <c r="F25" s="287" t="s">
        <v>143</v>
      </c>
      <c r="G25" s="287"/>
      <c r="H25" s="287" t="s">
        <v>143</v>
      </c>
      <c r="I25" s="287"/>
      <c r="J25" s="287" t="s">
        <v>143</v>
      </c>
      <c r="K25" s="287"/>
      <c r="L25" s="287" t="s">
        <v>165</v>
      </c>
      <c r="M25" s="287"/>
      <c r="N25" s="287" t="s">
        <v>165</v>
      </c>
      <c r="O25" s="287"/>
      <c r="P25" s="287" t="s">
        <v>144</v>
      </c>
      <c r="Q25" s="287"/>
      <c r="R25" s="287"/>
      <c r="S25" s="292"/>
      <c r="T25" s="287"/>
      <c r="U25" s="288"/>
      <c r="V25" s="288"/>
      <c r="W25" s="289"/>
      <c r="X25" s="5"/>
    </row>
    <row r="26" spans="1:24" ht="15.75" x14ac:dyDescent="0.25">
      <c r="A26" s="393"/>
      <c r="B26" s="297" t="s">
        <v>9</v>
      </c>
      <c r="C26" s="292"/>
      <c r="D26" s="292" t="s">
        <v>141</v>
      </c>
      <c r="E26" s="292"/>
      <c r="F26" s="292" t="s">
        <v>141</v>
      </c>
      <c r="G26" s="292"/>
      <c r="H26" s="292" t="s">
        <v>141</v>
      </c>
      <c r="I26" s="292"/>
      <c r="J26" s="292" t="s">
        <v>141</v>
      </c>
      <c r="K26" s="292"/>
      <c r="L26" s="292" t="s">
        <v>183</v>
      </c>
      <c r="M26" s="292"/>
      <c r="N26" s="292" t="s">
        <v>183</v>
      </c>
      <c r="O26" s="292"/>
      <c r="P26" s="292" t="s">
        <v>142</v>
      </c>
      <c r="Q26" s="292"/>
      <c r="R26" s="292"/>
      <c r="S26" s="292"/>
      <c r="T26" s="287"/>
      <c r="U26" s="288"/>
      <c r="V26" s="288"/>
      <c r="W26" s="289"/>
      <c r="X26" s="5"/>
    </row>
    <row r="27" spans="1:24" ht="15.75" x14ac:dyDescent="0.25">
      <c r="A27" s="295"/>
      <c r="B27" s="297" t="s">
        <v>191</v>
      </c>
      <c r="C27" s="287"/>
      <c r="D27" s="292" t="s">
        <v>143</v>
      </c>
      <c r="E27" s="292"/>
      <c r="F27" s="292" t="s">
        <v>143</v>
      </c>
      <c r="G27" s="292"/>
      <c r="H27" s="292" t="s">
        <v>143</v>
      </c>
      <c r="I27" s="292"/>
      <c r="J27" s="292" t="s">
        <v>143</v>
      </c>
      <c r="K27" s="292"/>
      <c r="L27" s="292" t="s">
        <v>307</v>
      </c>
      <c r="M27" s="292"/>
      <c r="N27" s="292" t="s">
        <v>307</v>
      </c>
      <c r="O27" s="292"/>
      <c r="P27" s="292" t="s">
        <v>308</v>
      </c>
      <c r="Q27" s="292"/>
      <c r="R27" s="292"/>
      <c r="S27" s="287"/>
      <c r="T27" s="296"/>
      <c r="U27" s="288"/>
      <c r="V27" s="288"/>
      <c r="W27" s="289"/>
      <c r="X27" s="5"/>
    </row>
    <row r="28" spans="1:24" ht="15.75" x14ac:dyDescent="0.25">
      <c r="A28" s="295"/>
      <c r="B28" s="297" t="s">
        <v>192</v>
      </c>
      <c r="C28" s="287"/>
      <c r="D28" s="292" t="s">
        <v>143</v>
      </c>
      <c r="E28" s="292"/>
      <c r="F28" s="292" t="s">
        <v>143</v>
      </c>
      <c r="G28" s="292"/>
      <c r="H28" s="292" t="s">
        <v>143</v>
      </c>
      <c r="I28" s="292"/>
      <c r="J28" s="292" t="s">
        <v>143</v>
      </c>
      <c r="K28" s="292"/>
      <c r="L28" s="292" t="s">
        <v>165</v>
      </c>
      <c r="M28" s="292"/>
      <c r="N28" s="292" t="s">
        <v>165</v>
      </c>
      <c r="O28" s="292"/>
      <c r="P28" s="292" t="s">
        <v>309</v>
      </c>
      <c r="Q28" s="292"/>
      <c r="R28" s="292"/>
      <c r="S28" s="287"/>
      <c r="T28" s="296"/>
      <c r="U28" s="288"/>
      <c r="V28" s="288"/>
      <c r="W28" s="289"/>
      <c r="X28" s="5"/>
    </row>
    <row r="29" spans="1:24" ht="15.75" x14ac:dyDescent="0.25">
      <c r="A29" s="295"/>
      <c r="B29" s="286" t="s">
        <v>10</v>
      </c>
      <c r="C29" s="298"/>
      <c r="D29" s="287" t="s">
        <v>242</v>
      </c>
      <c r="E29" s="287"/>
      <c r="F29" s="296" t="s">
        <v>244</v>
      </c>
      <c r="G29" s="287"/>
      <c r="H29" s="287" t="s">
        <v>245</v>
      </c>
      <c r="I29" s="287"/>
      <c r="J29" s="287" t="s">
        <v>247</v>
      </c>
      <c r="K29" s="287"/>
      <c r="L29" s="287" t="s">
        <v>248</v>
      </c>
      <c r="M29" s="287"/>
      <c r="N29" s="287" t="s">
        <v>249</v>
      </c>
      <c r="O29" s="287"/>
      <c r="P29" s="287" t="s">
        <v>250</v>
      </c>
      <c r="Q29" s="287"/>
      <c r="R29" s="287"/>
      <c r="S29" s="299"/>
      <c r="T29" s="299"/>
      <c r="U29" s="300"/>
      <c r="V29" s="299"/>
      <c r="W29" s="301"/>
      <c r="X29" s="5"/>
    </row>
    <row r="30" spans="1:24" ht="15.75" x14ac:dyDescent="0.25">
      <c r="A30" s="295"/>
      <c r="B30" s="286" t="s">
        <v>10</v>
      </c>
      <c r="C30" s="298"/>
      <c r="D30" s="287" t="s">
        <v>243</v>
      </c>
      <c r="E30" s="287"/>
      <c r="F30" s="296" t="s">
        <v>118</v>
      </c>
      <c r="G30" s="287"/>
      <c r="H30" s="287" t="s">
        <v>118</v>
      </c>
      <c r="I30" s="287"/>
      <c r="J30" s="287" t="s">
        <v>246</v>
      </c>
      <c r="K30" s="287"/>
      <c r="L30" s="287" t="s">
        <v>118</v>
      </c>
      <c r="M30" s="287"/>
      <c r="N30" s="287" t="s">
        <v>118</v>
      </c>
      <c r="O30" s="287"/>
      <c r="P30" s="287" t="s">
        <v>118</v>
      </c>
      <c r="Q30" s="287"/>
      <c r="R30" s="287"/>
      <c r="S30" s="299"/>
      <c r="T30" s="299"/>
      <c r="U30" s="300"/>
      <c r="V30" s="299"/>
      <c r="W30" s="301"/>
      <c r="X30" s="5"/>
    </row>
    <row r="31" spans="1:24" ht="15.75" x14ac:dyDescent="0.25">
      <c r="A31" s="393"/>
      <c r="B31" s="286" t="s">
        <v>133</v>
      </c>
      <c r="C31" s="310"/>
      <c r="D31" s="303">
        <v>1000000</v>
      </c>
      <c r="E31" s="298"/>
      <c r="F31" s="299">
        <v>209500</v>
      </c>
      <c r="G31" s="299"/>
      <c r="H31" s="304">
        <v>110000</v>
      </c>
      <c r="I31" s="304"/>
      <c r="J31" s="303">
        <v>150000</v>
      </c>
      <c r="K31" s="299"/>
      <c r="L31" s="299">
        <v>17000</v>
      </c>
      <c r="M31" s="299"/>
      <c r="N31" s="304">
        <v>85500</v>
      </c>
      <c r="O31" s="299"/>
      <c r="P31" s="304">
        <v>110500</v>
      </c>
      <c r="Q31" s="299"/>
      <c r="R31" s="304"/>
      <c r="S31" s="312"/>
      <c r="T31" s="312"/>
      <c r="U31" s="306"/>
      <c r="V31" s="312"/>
      <c r="W31" s="301"/>
      <c r="X31" s="5"/>
    </row>
    <row r="32" spans="1:24" ht="15.75" x14ac:dyDescent="0.25">
      <c r="A32" s="295"/>
      <c r="B32" s="286" t="s">
        <v>132</v>
      </c>
      <c r="C32" s="298"/>
      <c r="D32" s="303">
        <f>D31*D38</f>
        <v>769541.7</v>
      </c>
      <c r="E32" s="298"/>
      <c r="F32" s="299">
        <f>F31*F38</f>
        <v>161219.2585</v>
      </c>
      <c r="G32" s="299"/>
      <c r="H32" s="304">
        <f>H31*H38</f>
        <v>84650.213999999993</v>
      </c>
      <c r="I32" s="304"/>
      <c r="J32" s="303">
        <f>J31*J38</f>
        <v>115431.255</v>
      </c>
      <c r="K32" s="299"/>
      <c r="L32" s="299">
        <f>L31*L38</f>
        <v>17000</v>
      </c>
      <c r="M32" s="299"/>
      <c r="N32" s="304">
        <f>N31*N38</f>
        <v>85500</v>
      </c>
      <c r="O32" s="299"/>
      <c r="P32" s="304">
        <f>P31*P38</f>
        <v>110500</v>
      </c>
      <c r="Q32" s="299"/>
      <c r="R32" s="304"/>
      <c r="S32" s="299"/>
      <c r="T32" s="299"/>
      <c r="U32" s="300"/>
      <c r="V32" s="299"/>
      <c r="W32" s="301"/>
      <c r="X32" s="5"/>
    </row>
    <row r="33" spans="1:27" ht="15.75" x14ac:dyDescent="0.25">
      <c r="A33" s="295"/>
      <c r="B33" s="297" t="s">
        <v>134</v>
      </c>
      <c r="C33" s="298"/>
      <c r="D33" s="394">
        <f>D37*D31</f>
        <v>761810.6</v>
      </c>
      <c r="E33" s="310"/>
      <c r="F33" s="312">
        <f>F37*F31</f>
        <v>159599.614</v>
      </c>
      <c r="G33" s="312"/>
      <c r="H33" s="395">
        <f>H31*H37</f>
        <v>83799.826000000001</v>
      </c>
      <c r="I33" s="395"/>
      <c r="J33" s="394">
        <f>J37*J31</f>
        <v>114271.59</v>
      </c>
      <c r="K33" s="312"/>
      <c r="L33" s="312">
        <f>L31*L37</f>
        <v>17000</v>
      </c>
      <c r="M33" s="312"/>
      <c r="N33" s="395">
        <f>N31*N37</f>
        <v>85500</v>
      </c>
      <c r="O33" s="312"/>
      <c r="P33" s="395">
        <f>P31*P37</f>
        <v>110500</v>
      </c>
      <c r="Q33" s="312"/>
      <c r="R33" s="395"/>
      <c r="S33" s="299"/>
      <c r="T33" s="299"/>
      <c r="U33" s="300"/>
      <c r="V33" s="299"/>
      <c r="W33" s="301"/>
      <c r="X33" s="5"/>
    </row>
    <row r="34" spans="1:27" ht="15.75" x14ac:dyDescent="0.25">
      <c r="A34" s="393"/>
      <c r="B34" s="286" t="s">
        <v>286</v>
      </c>
      <c r="C34" s="310"/>
      <c r="D34" s="299">
        <v>492951</v>
      </c>
      <c r="E34" s="298"/>
      <c r="F34" s="299">
        <v>209500</v>
      </c>
      <c r="G34" s="299"/>
      <c r="H34" s="299">
        <v>74677</v>
      </c>
      <c r="I34" s="299"/>
      <c r="J34" s="299">
        <v>73943</v>
      </c>
      <c r="K34" s="299"/>
      <c r="L34" s="299">
        <v>17000</v>
      </c>
      <c r="M34" s="299"/>
      <c r="N34" s="299">
        <v>58045</v>
      </c>
      <c r="O34" s="299"/>
      <c r="P34" s="299">
        <v>75017</v>
      </c>
      <c r="Q34" s="299"/>
      <c r="R34" s="299"/>
      <c r="S34" s="312"/>
      <c r="T34" s="312"/>
      <c r="U34" s="306"/>
      <c r="V34" s="299">
        <f>SUM(C34:R34)</f>
        <v>1001133</v>
      </c>
      <c r="W34" s="301"/>
      <c r="X34" s="5"/>
    </row>
    <row r="35" spans="1:27" ht="15.75" x14ac:dyDescent="0.25">
      <c r="A35" s="393"/>
      <c r="B35" s="286" t="s">
        <v>287</v>
      </c>
      <c r="C35" s="310"/>
      <c r="D35" s="299">
        <f>D34*D38</f>
        <v>379346.35055670002</v>
      </c>
      <c r="E35" s="298"/>
      <c r="F35" s="299">
        <f>F34*F38</f>
        <v>161219.2585</v>
      </c>
      <c r="G35" s="299"/>
      <c r="H35" s="299">
        <f>H34*H38</f>
        <v>57467.491189799999</v>
      </c>
      <c r="I35" s="299"/>
      <c r="J35" s="299">
        <f>J34*J38</f>
        <v>56902.221923099998</v>
      </c>
      <c r="K35" s="299"/>
      <c r="L35" s="299">
        <f>L34*L38</f>
        <v>17000</v>
      </c>
      <c r="M35" s="299"/>
      <c r="N35" s="299">
        <f>N34*N38</f>
        <v>58045</v>
      </c>
      <c r="O35" s="299"/>
      <c r="P35" s="299">
        <f>P34*P38</f>
        <v>75017</v>
      </c>
      <c r="Q35" s="299"/>
      <c r="R35" s="299"/>
      <c r="S35" s="299"/>
      <c r="T35" s="299"/>
      <c r="U35" s="300"/>
      <c r="V35" s="299">
        <f>SUM(C35:R35)</f>
        <v>804997.32216959994</v>
      </c>
      <c r="W35" s="301"/>
      <c r="X35" s="5"/>
    </row>
    <row r="36" spans="1:27" ht="15.75" x14ac:dyDescent="0.25">
      <c r="A36" s="393"/>
      <c r="B36" s="297" t="s">
        <v>288</v>
      </c>
      <c r="C36" s="310"/>
      <c r="D36" s="312">
        <f>D34*D37</f>
        <v>375535.29708059999</v>
      </c>
      <c r="E36" s="310"/>
      <c r="F36" s="312">
        <f>F34*F37</f>
        <v>159599.614</v>
      </c>
      <c r="G36" s="312"/>
      <c r="H36" s="312">
        <f>H34*H37</f>
        <v>56890.178238199995</v>
      </c>
      <c r="I36" s="312"/>
      <c r="J36" s="312">
        <f>J34*J37</f>
        <v>56330.561195800001</v>
      </c>
      <c r="K36" s="312"/>
      <c r="L36" s="312">
        <f>L34*L37</f>
        <v>17000</v>
      </c>
      <c r="M36" s="312"/>
      <c r="N36" s="312">
        <f>N34*N37</f>
        <v>58045</v>
      </c>
      <c r="O36" s="312"/>
      <c r="P36" s="312">
        <f>P34*P37</f>
        <v>75017</v>
      </c>
      <c r="Q36" s="312"/>
      <c r="R36" s="312"/>
      <c r="S36" s="311"/>
      <c r="T36" s="311"/>
      <c r="U36" s="300"/>
      <c r="V36" s="312">
        <f>SUM(C36:R36)-1</f>
        <v>798416.65051459998</v>
      </c>
      <c r="W36" s="301"/>
      <c r="X36" s="5"/>
    </row>
    <row r="37" spans="1:27" ht="15.75" x14ac:dyDescent="0.25">
      <c r="A37" s="285"/>
      <c r="B37" s="313" t="s">
        <v>130</v>
      </c>
      <c r="C37" s="314"/>
      <c r="D37" s="315">
        <v>0.7618106</v>
      </c>
      <c r="E37" s="315"/>
      <c r="F37" s="315">
        <v>0.76181200000000004</v>
      </c>
      <c r="G37" s="315"/>
      <c r="H37" s="315">
        <v>0.76181659999999995</v>
      </c>
      <c r="I37" s="315"/>
      <c r="J37" s="315">
        <v>0.7618106</v>
      </c>
      <c r="K37" s="315"/>
      <c r="L37" s="315">
        <v>1</v>
      </c>
      <c r="M37" s="315"/>
      <c r="N37" s="315">
        <v>1</v>
      </c>
      <c r="O37" s="315"/>
      <c r="P37" s="315">
        <v>1</v>
      </c>
      <c r="Q37" s="315"/>
      <c r="R37" s="315"/>
      <c r="S37" s="316"/>
      <c r="T37" s="316"/>
      <c r="U37" s="317"/>
      <c r="V37" s="317"/>
      <c r="W37" s="318"/>
      <c r="X37" s="5"/>
    </row>
    <row r="38" spans="1:27" ht="15.75" x14ac:dyDescent="0.25">
      <c r="A38" s="285"/>
      <c r="B38" s="313" t="s">
        <v>131</v>
      </c>
      <c r="C38" s="314"/>
      <c r="D38" s="315">
        <v>0.7695417</v>
      </c>
      <c r="E38" s="315"/>
      <c r="F38" s="315">
        <v>0.76954299999999998</v>
      </c>
      <c r="G38" s="315"/>
      <c r="H38" s="315">
        <v>0.76954739999999999</v>
      </c>
      <c r="I38" s="315"/>
      <c r="J38" s="315">
        <v>0.7695417</v>
      </c>
      <c r="K38" s="315"/>
      <c r="L38" s="315">
        <v>1</v>
      </c>
      <c r="M38" s="315"/>
      <c r="N38" s="315">
        <v>1</v>
      </c>
      <c r="O38" s="315"/>
      <c r="P38" s="315">
        <v>1</v>
      </c>
      <c r="Q38" s="315"/>
      <c r="R38" s="315"/>
      <c r="S38" s="319"/>
      <c r="T38" s="320"/>
      <c r="U38" s="317"/>
      <c r="V38" s="319"/>
      <c r="W38" s="318"/>
      <c r="X38" s="5"/>
    </row>
    <row r="39" spans="1:27" ht="15.75" x14ac:dyDescent="0.25">
      <c r="A39" s="285"/>
      <c r="B39" s="286" t="s">
        <v>11</v>
      </c>
      <c r="C39" s="286"/>
      <c r="D39" s="296" t="s">
        <v>304</v>
      </c>
      <c r="E39" s="286"/>
      <c r="F39" s="296" t="s">
        <v>256</v>
      </c>
      <c r="G39" s="296"/>
      <c r="H39" s="296" t="s">
        <v>257</v>
      </c>
      <c r="I39" s="296"/>
      <c r="J39" s="296" t="s">
        <v>258</v>
      </c>
      <c r="K39" s="296"/>
      <c r="L39" s="296" t="s">
        <v>259</v>
      </c>
      <c r="M39" s="296"/>
      <c r="N39" s="296" t="s">
        <v>259</v>
      </c>
      <c r="O39" s="296"/>
      <c r="P39" s="296" t="s">
        <v>260</v>
      </c>
      <c r="Q39" s="296"/>
      <c r="R39" s="296"/>
      <c r="S39" s="321"/>
      <c r="T39" s="322"/>
      <c r="U39" s="288"/>
      <c r="V39" s="288"/>
      <c r="W39" s="289"/>
      <c r="X39" s="5"/>
    </row>
    <row r="40" spans="1:27" ht="15.75" x14ac:dyDescent="0.25">
      <c r="A40" s="285"/>
      <c r="B40" s="286" t="s">
        <v>12</v>
      </c>
      <c r="C40" s="286"/>
      <c r="D40" s="322">
        <v>3.6405999999999999E-3</v>
      </c>
      <c r="E40" s="286"/>
      <c r="F40" s="322">
        <v>7.685E-3</v>
      </c>
      <c r="G40" s="321"/>
      <c r="H40" s="322">
        <v>4.4900000000000001E-3</v>
      </c>
      <c r="I40" s="322"/>
      <c r="J40" s="322">
        <v>4.9325000000000003E-3</v>
      </c>
      <c r="K40" s="321"/>
      <c r="L40" s="322">
        <v>1.0485E-2</v>
      </c>
      <c r="M40" s="321"/>
      <c r="N40" s="322">
        <v>7.4900000000000001E-3</v>
      </c>
      <c r="O40" s="321"/>
      <c r="P40" s="322">
        <v>1.3089999999999999E-2</v>
      </c>
      <c r="Q40" s="321"/>
      <c r="R40" s="322"/>
      <c r="S40" s="321"/>
      <c r="T40" s="322"/>
      <c r="U40" s="288"/>
      <c r="V40" s="296"/>
      <c r="W40" s="289"/>
      <c r="X40" s="5"/>
      <c r="AA40" s="1" t="s">
        <v>193</v>
      </c>
    </row>
    <row r="41" spans="1:27" ht="15.75" x14ac:dyDescent="0.25">
      <c r="A41" s="285"/>
      <c r="B41" s="286" t="s">
        <v>13</v>
      </c>
      <c r="C41" s="286"/>
      <c r="D41" s="322">
        <v>3.7919999999999998E-3</v>
      </c>
      <c r="E41" s="286"/>
      <c r="F41" s="322">
        <v>7.6687999999999999E-3</v>
      </c>
      <c r="G41" s="321"/>
      <c r="H41" s="322">
        <v>4.4299999999999999E-3</v>
      </c>
      <c r="I41" s="322"/>
      <c r="J41" s="322">
        <v>5.0010000000000002E-3</v>
      </c>
      <c r="K41" s="321"/>
      <c r="L41" s="322">
        <v>1.04688E-2</v>
      </c>
      <c r="M41" s="321"/>
      <c r="N41" s="322">
        <v>7.43E-3</v>
      </c>
      <c r="O41" s="321"/>
      <c r="P41" s="322">
        <v>1.303E-2</v>
      </c>
      <c r="Q41" s="321"/>
      <c r="R41" s="322"/>
      <c r="S41" s="321"/>
      <c r="T41" s="322"/>
      <c r="U41" s="288"/>
      <c r="V41" s="321" t="s">
        <v>193</v>
      </c>
      <c r="W41" s="289"/>
      <c r="X41" s="5"/>
    </row>
    <row r="42" spans="1:27" ht="15.75" x14ac:dyDescent="0.25">
      <c r="A42" s="285"/>
      <c r="B42" s="286" t="s">
        <v>289</v>
      </c>
      <c r="C42" s="286"/>
      <c r="D42" s="296" t="s">
        <v>311</v>
      </c>
      <c r="E42" s="286"/>
      <c r="F42" s="296" t="s">
        <v>256</v>
      </c>
      <c r="G42" s="296"/>
      <c r="H42" s="296" t="s">
        <v>261</v>
      </c>
      <c r="I42" s="296"/>
      <c r="J42" s="296" t="s">
        <v>261</v>
      </c>
      <c r="K42" s="296"/>
      <c r="L42" s="296" t="s">
        <v>259</v>
      </c>
      <c r="M42" s="296"/>
      <c r="N42" s="296" t="s">
        <v>263</v>
      </c>
      <c r="O42" s="296"/>
      <c r="P42" s="296" t="s">
        <v>264</v>
      </c>
      <c r="Q42" s="296"/>
      <c r="R42" s="296"/>
      <c r="S42" s="321"/>
      <c r="T42" s="322"/>
      <c r="U42" s="288"/>
      <c r="V42" s="288"/>
      <c r="W42" s="289"/>
      <c r="X42" s="5"/>
    </row>
    <row r="43" spans="1:27" ht="15.75" x14ac:dyDescent="0.25">
      <c r="A43" s="285"/>
      <c r="B43" s="286" t="s">
        <v>290</v>
      </c>
      <c r="C43" s="323"/>
      <c r="D43" s="322">
        <v>7.0819000000000003E-3</v>
      </c>
      <c r="E43" s="322"/>
      <c r="F43" s="322">
        <f>+F40</f>
        <v>7.685E-3</v>
      </c>
      <c r="G43" s="322"/>
      <c r="H43" s="322">
        <v>7.835E-3</v>
      </c>
      <c r="I43" s="322"/>
      <c r="J43" s="322">
        <v>7.8650000000000005E-3</v>
      </c>
      <c r="K43" s="322"/>
      <c r="L43" s="322">
        <f>+L40</f>
        <v>1.0485E-2</v>
      </c>
      <c r="M43" s="322"/>
      <c r="N43" s="322">
        <v>1.1219E-2</v>
      </c>
      <c r="O43" s="322"/>
      <c r="P43" s="322">
        <v>1.7378999999999999E-2</v>
      </c>
      <c r="Q43" s="321"/>
      <c r="R43" s="322"/>
      <c r="S43" s="296"/>
      <c r="T43" s="296"/>
      <c r="U43" s="288"/>
      <c r="V43" s="321">
        <f>SUMPRODUCT(D43:R43,D35:R35)/V35</f>
        <v>8.6415554398721981E-3</v>
      </c>
      <c r="W43" s="289"/>
      <c r="X43" s="5"/>
    </row>
    <row r="44" spans="1:27" ht="15.75" x14ac:dyDescent="0.25">
      <c r="A44" s="285"/>
      <c r="B44" s="286" t="s">
        <v>291</v>
      </c>
      <c r="C44" s="323"/>
      <c r="D44" s="322">
        <v>7.0657000000000003E-3</v>
      </c>
      <c r="E44" s="322"/>
      <c r="F44" s="322">
        <f>+F41</f>
        <v>7.6687999999999999E-3</v>
      </c>
      <c r="G44" s="322"/>
      <c r="H44" s="322">
        <v>7.8188000000000007E-3</v>
      </c>
      <c r="I44" s="322"/>
      <c r="J44" s="322">
        <v>7.8487999999999995E-3</v>
      </c>
      <c r="K44" s="322"/>
      <c r="L44" s="322">
        <f>+L41</f>
        <v>1.04688E-2</v>
      </c>
      <c r="M44" s="322"/>
      <c r="N44" s="322">
        <v>1.1202800000000001E-2</v>
      </c>
      <c r="O44" s="322"/>
      <c r="P44" s="322">
        <v>1.7362800000000001E-2</v>
      </c>
      <c r="Q44" s="321"/>
      <c r="R44" s="322"/>
      <c r="S44" s="296"/>
      <c r="T44" s="296"/>
      <c r="U44" s="288"/>
      <c r="V44" s="288"/>
      <c r="W44" s="289"/>
      <c r="X44" s="5"/>
    </row>
    <row r="45" spans="1:27" ht="15.75" x14ac:dyDescent="0.25">
      <c r="A45" s="285"/>
      <c r="B45" s="286" t="s">
        <v>14</v>
      </c>
      <c r="C45" s="286"/>
      <c r="D45" s="323">
        <v>40709</v>
      </c>
      <c r="E45" s="323"/>
      <c r="F45" s="323">
        <v>40709</v>
      </c>
      <c r="G45" s="323"/>
      <c r="H45" s="323">
        <v>40709</v>
      </c>
      <c r="I45" s="323"/>
      <c r="J45" s="323">
        <v>40709</v>
      </c>
      <c r="K45" s="323"/>
      <c r="L45" s="323">
        <v>40709</v>
      </c>
      <c r="M45" s="323"/>
      <c r="N45" s="323">
        <v>40709</v>
      </c>
      <c r="O45" s="323"/>
      <c r="P45" s="323">
        <v>40709</v>
      </c>
      <c r="Q45" s="323"/>
      <c r="R45" s="323"/>
      <c r="S45" s="296"/>
      <c r="T45" s="296"/>
      <c r="U45" s="288"/>
      <c r="V45" s="288"/>
      <c r="W45" s="289"/>
      <c r="X45" s="5"/>
    </row>
    <row r="46" spans="1:27" ht="15.75" x14ac:dyDescent="0.25">
      <c r="A46" s="285"/>
      <c r="B46" s="286" t="s">
        <v>15</v>
      </c>
      <c r="C46" s="286"/>
      <c r="D46" s="323">
        <v>41075</v>
      </c>
      <c r="E46" s="323"/>
      <c r="F46" s="323">
        <v>41075</v>
      </c>
      <c r="G46" s="323"/>
      <c r="H46" s="323">
        <v>41075</v>
      </c>
      <c r="I46" s="323"/>
      <c r="J46" s="323">
        <v>41075</v>
      </c>
      <c r="K46" s="296"/>
      <c r="L46" s="323">
        <v>41075</v>
      </c>
      <c r="M46" s="296"/>
      <c r="N46" s="323">
        <v>41075</v>
      </c>
      <c r="O46" s="296"/>
      <c r="P46" s="323">
        <v>41075</v>
      </c>
      <c r="Q46" s="296"/>
      <c r="R46" s="323"/>
      <c r="S46" s="296"/>
      <c r="T46" s="296"/>
      <c r="U46" s="288"/>
      <c r="V46" s="288"/>
      <c r="W46" s="289"/>
      <c r="X46" s="5"/>
    </row>
    <row r="47" spans="1:27" ht="15.75" x14ac:dyDescent="0.25">
      <c r="A47" s="285"/>
      <c r="B47" s="286" t="s">
        <v>119</v>
      </c>
      <c r="C47" s="286"/>
      <c r="D47" s="296" t="s">
        <v>304</v>
      </c>
      <c r="E47" s="286"/>
      <c r="F47" s="296" t="s">
        <v>256</v>
      </c>
      <c r="G47" s="296"/>
      <c r="H47" s="296" t="s">
        <v>257</v>
      </c>
      <c r="I47" s="296"/>
      <c r="J47" s="296" t="s">
        <v>258</v>
      </c>
      <c r="K47" s="296"/>
      <c r="L47" s="296" t="s">
        <v>259</v>
      </c>
      <c r="M47" s="296"/>
      <c r="N47" s="296" t="s">
        <v>259</v>
      </c>
      <c r="O47" s="296"/>
      <c r="P47" s="296" t="s">
        <v>260</v>
      </c>
      <c r="Q47" s="296"/>
      <c r="R47" s="296"/>
      <c r="S47" s="325"/>
      <c r="T47" s="325"/>
      <c r="U47" s="325"/>
      <c r="V47" s="325"/>
      <c r="W47" s="289"/>
      <c r="X47" s="5"/>
    </row>
    <row r="48" spans="1:27" ht="15.75" x14ac:dyDescent="0.25">
      <c r="A48" s="285"/>
      <c r="B48" s="286" t="s">
        <v>292</v>
      </c>
      <c r="C48" s="286"/>
      <c r="D48" s="296" t="s">
        <v>311</v>
      </c>
      <c r="E48" s="286"/>
      <c r="F48" s="296" t="s">
        <v>256</v>
      </c>
      <c r="G48" s="296"/>
      <c r="H48" s="296" t="s">
        <v>261</v>
      </c>
      <c r="I48" s="296"/>
      <c r="J48" s="296" t="s">
        <v>261</v>
      </c>
      <c r="K48" s="296"/>
      <c r="L48" s="296" t="s">
        <v>259</v>
      </c>
      <c r="M48" s="296"/>
      <c r="N48" s="296" t="s">
        <v>263</v>
      </c>
      <c r="O48" s="296"/>
      <c r="P48" s="296" t="s">
        <v>264</v>
      </c>
      <c r="Q48" s="296"/>
      <c r="R48" s="296"/>
      <c r="S48" s="286"/>
      <c r="T48" s="286"/>
      <c r="U48" s="286"/>
      <c r="V48" s="321"/>
      <c r="W48" s="289"/>
      <c r="X48" s="5"/>
    </row>
    <row r="49" spans="1:25" ht="15.75" x14ac:dyDescent="0.25">
      <c r="A49" s="285"/>
      <c r="B49" s="286"/>
      <c r="C49" s="286"/>
      <c r="D49" s="296"/>
      <c r="E49" s="286"/>
      <c r="F49" s="296"/>
      <c r="G49" s="296"/>
      <c r="H49" s="296"/>
      <c r="I49" s="296"/>
      <c r="J49" s="296"/>
      <c r="K49" s="296"/>
      <c r="L49" s="296"/>
      <c r="M49" s="296"/>
      <c r="N49" s="296"/>
      <c r="O49" s="296"/>
      <c r="P49" s="296"/>
      <c r="Q49" s="296"/>
      <c r="R49" s="296"/>
      <c r="S49" s="286"/>
      <c r="T49" s="286"/>
      <c r="U49" s="286"/>
      <c r="V49" s="321" t="s">
        <v>193</v>
      </c>
      <c r="W49" s="289"/>
      <c r="X49" s="5"/>
    </row>
    <row r="50" spans="1:25" ht="15.75" x14ac:dyDescent="0.25">
      <c r="A50" s="285"/>
      <c r="B50" s="286" t="s">
        <v>169</v>
      </c>
      <c r="C50" s="286"/>
      <c r="D50" s="296"/>
      <c r="E50" s="286"/>
      <c r="F50" s="296"/>
      <c r="G50" s="296"/>
      <c r="H50" s="296"/>
      <c r="I50" s="296"/>
      <c r="J50" s="296"/>
      <c r="K50" s="296"/>
      <c r="L50" s="296"/>
      <c r="M50" s="296"/>
      <c r="N50" s="296"/>
      <c r="O50" s="296"/>
      <c r="P50" s="296"/>
      <c r="Q50" s="296"/>
      <c r="R50" s="296"/>
      <c r="S50" s="286"/>
      <c r="T50" s="286"/>
      <c r="U50" s="286"/>
      <c r="V50" s="321">
        <f>SUM(L34:R34)/SUM(D34:J34)</f>
        <v>0.17632136449250416</v>
      </c>
      <c r="W50" s="289"/>
      <c r="X50" s="5"/>
    </row>
    <row r="51" spans="1:25" ht="15.75" x14ac:dyDescent="0.25">
      <c r="A51" s="285"/>
      <c r="B51" s="286" t="s">
        <v>170</v>
      </c>
      <c r="C51" s="286"/>
      <c r="D51" s="286"/>
      <c r="E51" s="286"/>
      <c r="F51" s="326"/>
      <c r="G51" s="286"/>
      <c r="H51" s="286"/>
      <c r="I51" s="286"/>
      <c r="J51" s="286"/>
      <c r="K51" s="286"/>
      <c r="L51" s="286"/>
      <c r="M51" s="286"/>
      <c r="N51" s="286"/>
      <c r="O51" s="286"/>
      <c r="P51" s="286"/>
      <c r="Q51" s="286"/>
      <c r="R51" s="286"/>
      <c r="S51" s="286"/>
      <c r="T51" s="286"/>
      <c r="U51" s="286"/>
      <c r="V51" s="321">
        <f>SUM(L36:R36)/SUM(D36:J36)</f>
        <v>0.2314501306202788</v>
      </c>
      <c r="W51" s="289"/>
      <c r="X51" s="5"/>
    </row>
    <row r="52" spans="1:25" ht="15.75" x14ac:dyDescent="0.25">
      <c r="A52" s="285"/>
      <c r="B52" s="286" t="s">
        <v>171</v>
      </c>
      <c r="C52" s="286"/>
      <c r="D52" s="286"/>
      <c r="E52" s="286"/>
      <c r="F52" s="286"/>
      <c r="G52" s="286"/>
      <c r="H52" s="286"/>
      <c r="I52" s="286"/>
      <c r="J52" s="286"/>
      <c r="K52" s="286"/>
      <c r="L52" s="286"/>
      <c r="M52" s="286"/>
      <c r="N52" s="286"/>
      <c r="O52" s="286"/>
      <c r="P52" s="286"/>
      <c r="Q52" s="286"/>
      <c r="R52" s="286"/>
      <c r="S52" s="286"/>
      <c r="T52" s="296"/>
      <c r="U52" s="296"/>
      <c r="V52" s="299" t="s">
        <v>268</v>
      </c>
      <c r="W52" s="289"/>
      <c r="X52" s="5"/>
    </row>
    <row r="53" spans="1:25" ht="15.75" x14ac:dyDescent="0.25">
      <c r="A53" s="285"/>
      <c r="B53" s="286"/>
      <c r="C53" s="286"/>
      <c r="D53" s="286"/>
      <c r="E53" s="286"/>
      <c r="F53" s="286"/>
      <c r="G53" s="286"/>
      <c r="H53" s="286"/>
      <c r="I53" s="286"/>
      <c r="J53" s="286"/>
      <c r="K53" s="286"/>
      <c r="L53" s="286"/>
      <c r="M53" s="286"/>
      <c r="N53" s="286"/>
      <c r="O53" s="286"/>
      <c r="P53" s="286"/>
      <c r="Q53" s="286"/>
      <c r="R53" s="286"/>
      <c r="S53" s="286"/>
      <c r="T53" s="286"/>
      <c r="U53" s="286"/>
      <c r="V53" s="327"/>
      <c r="W53" s="289"/>
      <c r="X53" s="5"/>
    </row>
    <row r="54" spans="1:25" ht="15.75" x14ac:dyDescent="0.25">
      <c r="A54" s="285"/>
      <c r="B54" s="286" t="s">
        <v>202</v>
      </c>
      <c r="C54" s="286"/>
      <c r="D54" s="286"/>
      <c r="E54" s="286"/>
      <c r="F54" s="286"/>
      <c r="G54" s="286"/>
      <c r="H54" s="286"/>
      <c r="I54" s="286"/>
      <c r="J54" s="286"/>
      <c r="K54" s="286"/>
      <c r="L54" s="286"/>
      <c r="M54" s="286"/>
      <c r="N54" s="286"/>
      <c r="O54" s="286"/>
      <c r="P54" s="286"/>
      <c r="Q54" s="286"/>
      <c r="R54" s="286"/>
      <c r="S54" s="286"/>
      <c r="T54" s="286"/>
      <c r="U54" s="286"/>
      <c r="V54" s="311" t="s">
        <v>203</v>
      </c>
      <c r="W54" s="289"/>
      <c r="X54" s="5"/>
    </row>
    <row r="55" spans="1:25" ht="15.75" x14ac:dyDescent="0.25">
      <c r="A55" s="285"/>
      <c r="B55" s="286" t="s">
        <v>270</v>
      </c>
      <c r="C55" s="286"/>
      <c r="D55" s="286"/>
      <c r="E55" s="286"/>
      <c r="F55" s="286"/>
      <c r="G55" s="286"/>
      <c r="H55" s="286"/>
      <c r="I55" s="286"/>
      <c r="J55" s="286"/>
      <c r="K55" s="286"/>
      <c r="L55" s="286"/>
      <c r="M55" s="286"/>
      <c r="N55" s="286"/>
      <c r="O55" s="286"/>
      <c r="P55" s="286"/>
      <c r="Q55" s="286"/>
      <c r="R55" s="286"/>
      <c r="S55" s="286"/>
      <c r="T55" s="296"/>
      <c r="U55" s="296"/>
      <c r="V55" s="396" t="s">
        <v>111</v>
      </c>
      <c r="W55" s="289"/>
      <c r="X55" s="5"/>
    </row>
    <row r="56" spans="1:25" ht="15.75" x14ac:dyDescent="0.25">
      <c r="A56" s="285"/>
      <c r="B56" s="297" t="s">
        <v>201</v>
      </c>
      <c r="C56" s="297"/>
      <c r="D56" s="297"/>
      <c r="E56" s="297"/>
      <c r="F56" s="297"/>
      <c r="G56" s="297"/>
      <c r="H56" s="297"/>
      <c r="I56" s="297"/>
      <c r="J56" s="297"/>
      <c r="K56" s="297"/>
      <c r="L56" s="297"/>
      <c r="M56" s="297"/>
      <c r="N56" s="297"/>
      <c r="O56" s="297"/>
      <c r="P56" s="297"/>
      <c r="Q56" s="297"/>
      <c r="R56" s="297"/>
      <c r="S56" s="297"/>
      <c r="T56" s="397"/>
      <c r="U56" s="397"/>
      <c r="V56" s="398">
        <v>41533</v>
      </c>
      <c r="W56" s="289"/>
      <c r="X56" s="5"/>
    </row>
    <row r="57" spans="1:25" ht="15.75" x14ac:dyDescent="0.25">
      <c r="A57" s="285"/>
      <c r="B57" s="286" t="s">
        <v>121</v>
      </c>
      <c r="C57" s="286"/>
      <c r="D57" s="286"/>
      <c r="E57" s="286"/>
      <c r="F57" s="286"/>
      <c r="G57" s="286"/>
      <c r="H57" s="332"/>
      <c r="I57" s="332"/>
      <c r="J57" s="332"/>
      <c r="K57" s="332"/>
      <c r="L57" s="332"/>
      <c r="M57" s="332"/>
      <c r="N57" s="332"/>
      <c r="O57" s="332"/>
      <c r="P57" s="332"/>
      <c r="Q57" s="332"/>
      <c r="R57" s="286">
        <f>+V57-T57+1</f>
        <v>94</v>
      </c>
      <c r="S57" s="332"/>
      <c r="T57" s="333">
        <v>41348</v>
      </c>
      <c r="U57" s="334"/>
      <c r="V57" s="333">
        <v>41441</v>
      </c>
      <c r="W57" s="289"/>
      <c r="X57" s="5"/>
    </row>
    <row r="58" spans="1:25" ht="15.75" x14ac:dyDescent="0.25">
      <c r="A58" s="285"/>
      <c r="B58" s="286" t="s">
        <v>122</v>
      </c>
      <c r="C58" s="286"/>
      <c r="D58" s="286"/>
      <c r="E58" s="286"/>
      <c r="F58" s="286"/>
      <c r="G58" s="286"/>
      <c r="H58" s="286"/>
      <c r="I58" s="286"/>
      <c r="J58" s="286"/>
      <c r="K58" s="286"/>
      <c r="L58" s="286"/>
      <c r="M58" s="286"/>
      <c r="N58" s="286"/>
      <c r="O58" s="286"/>
      <c r="P58" s="286"/>
      <c r="Q58" s="286"/>
      <c r="R58" s="286">
        <f>+V58-T58+1</f>
        <v>91</v>
      </c>
      <c r="S58" s="286"/>
      <c r="T58" s="333">
        <v>41442</v>
      </c>
      <c r="U58" s="334"/>
      <c r="V58" s="333">
        <v>41532</v>
      </c>
      <c r="W58" s="289"/>
      <c r="X58" s="5"/>
    </row>
    <row r="59" spans="1:25" ht="15.75" x14ac:dyDescent="0.25">
      <c r="A59" s="285"/>
      <c r="B59" s="286" t="s">
        <v>223</v>
      </c>
      <c r="C59" s="286"/>
      <c r="D59" s="286"/>
      <c r="E59" s="286"/>
      <c r="F59" s="286"/>
      <c r="G59" s="286"/>
      <c r="H59" s="286"/>
      <c r="I59" s="286"/>
      <c r="J59" s="286"/>
      <c r="K59" s="286"/>
      <c r="L59" s="286"/>
      <c r="M59" s="286"/>
      <c r="N59" s="286"/>
      <c r="O59" s="286"/>
      <c r="P59" s="286"/>
      <c r="Q59" s="286"/>
      <c r="R59" s="286"/>
      <c r="S59" s="286"/>
      <c r="T59" s="333"/>
      <c r="U59" s="334"/>
      <c r="V59" s="333" t="s">
        <v>120</v>
      </c>
      <c r="W59" s="289"/>
      <c r="X59" s="5"/>
    </row>
    <row r="60" spans="1:25" ht="15.75" x14ac:dyDescent="0.25">
      <c r="A60" s="285"/>
      <c r="B60" s="286" t="s">
        <v>271</v>
      </c>
      <c r="C60" s="286"/>
      <c r="D60" s="286"/>
      <c r="E60" s="286"/>
      <c r="F60" s="286"/>
      <c r="G60" s="286"/>
      <c r="H60" s="286"/>
      <c r="I60" s="286"/>
      <c r="J60" s="286"/>
      <c r="K60" s="286"/>
      <c r="L60" s="286"/>
      <c r="M60" s="286"/>
      <c r="N60" s="286"/>
      <c r="O60" s="286"/>
      <c r="P60" s="286"/>
      <c r="Q60" s="286"/>
      <c r="R60" s="286"/>
      <c r="S60" s="286"/>
      <c r="T60" s="333"/>
      <c r="U60" s="334"/>
      <c r="V60" s="333" t="s">
        <v>154</v>
      </c>
      <c r="W60" s="289"/>
      <c r="X60" s="5"/>
      <c r="Y60" s="133"/>
    </row>
    <row r="61" spans="1:25" ht="15.75" x14ac:dyDescent="0.25">
      <c r="A61" s="285"/>
      <c r="B61" s="286" t="s">
        <v>16</v>
      </c>
      <c r="C61" s="286"/>
      <c r="D61" s="286"/>
      <c r="E61" s="286"/>
      <c r="F61" s="286"/>
      <c r="G61" s="286"/>
      <c r="H61" s="286"/>
      <c r="I61" s="286"/>
      <c r="J61" s="286"/>
      <c r="K61" s="286"/>
      <c r="L61" s="286"/>
      <c r="M61" s="286"/>
      <c r="N61" s="286"/>
      <c r="O61" s="286"/>
      <c r="P61" s="286"/>
      <c r="Q61" s="286"/>
      <c r="R61" s="286"/>
      <c r="S61" s="286"/>
      <c r="T61" s="333"/>
      <c r="U61" s="334"/>
      <c r="V61" s="333">
        <v>41519</v>
      </c>
      <c r="W61" s="289"/>
      <c r="X61" s="5"/>
    </row>
    <row r="62" spans="1:25" ht="15.75" x14ac:dyDescent="0.25">
      <c r="A62" s="181"/>
      <c r="B62" s="212"/>
      <c r="C62" s="212"/>
      <c r="D62" s="212"/>
      <c r="E62" s="212"/>
      <c r="F62" s="212"/>
      <c r="G62" s="212"/>
      <c r="H62" s="212"/>
      <c r="I62" s="212"/>
      <c r="J62" s="212"/>
      <c r="K62" s="212"/>
      <c r="L62" s="212"/>
      <c r="M62" s="212"/>
      <c r="N62" s="212"/>
      <c r="O62" s="212"/>
      <c r="P62" s="212"/>
      <c r="Q62" s="212"/>
      <c r="R62" s="212"/>
      <c r="S62" s="212"/>
      <c r="T62" s="283"/>
      <c r="U62" s="284"/>
      <c r="V62" s="283"/>
      <c r="W62" s="212"/>
      <c r="X62" s="5"/>
    </row>
    <row r="63" spans="1:25" ht="15.75" x14ac:dyDescent="0.25">
      <c r="A63" s="181"/>
      <c r="B63" s="183"/>
      <c r="C63" s="183"/>
      <c r="D63" s="183"/>
      <c r="E63" s="183"/>
      <c r="F63" s="183"/>
      <c r="G63" s="183"/>
      <c r="H63" s="183"/>
      <c r="I63" s="183"/>
      <c r="J63" s="183"/>
      <c r="K63" s="183"/>
      <c r="L63" s="183"/>
      <c r="M63" s="183"/>
      <c r="N63" s="183"/>
      <c r="O63" s="183"/>
      <c r="P63" s="183"/>
      <c r="Q63" s="183"/>
      <c r="R63" s="183"/>
      <c r="S63" s="183"/>
      <c r="T63" s="195"/>
      <c r="U63" s="196"/>
      <c r="V63" s="195"/>
      <c r="W63" s="183"/>
      <c r="X63" s="5"/>
    </row>
    <row r="64" spans="1:25" ht="19.5" thickBot="1" x14ac:dyDescent="0.35">
      <c r="A64" s="197"/>
      <c r="B64" s="270" t="s">
        <v>321</v>
      </c>
      <c r="C64" s="198"/>
      <c r="D64" s="198"/>
      <c r="E64" s="198"/>
      <c r="F64" s="198"/>
      <c r="G64" s="198"/>
      <c r="H64" s="198"/>
      <c r="I64" s="198"/>
      <c r="J64" s="198"/>
      <c r="K64" s="198"/>
      <c r="L64" s="198"/>
      <c r="M64" s="198"/>
      <c r="N64" s="198"/>
      <c r="O64" s="198"/>
      <c r="P64" s="198"/>
      <c r="Q64" s="198"/>
      <c r="R64" s="198"/>
      <c r="S64" s="198"/>
      <c r="T64" s="198"/>
      <c r="U64" s="198"/>
      <c r="V64" s="199"/>
      <c r="W64" s="200"/>
      <c r="X64" s="5"/>
    </row>
    <row r="65" spans="1:24" ht="15.75" x14ac:dyDescent="0.25">
      <c r="A65" s="224"/>
      <c r="B65" s="230" t="s">
        <v>17</v>
      </c>
      <c r="C65" s="225"/>
      <c r="D65" s="225"/>
      <c r="E65" s="225"/>
      <c r="F65" s="225"/>
      <c r="G65" s="225"/>
      <c r="H65" s="225"/>
      <c r="I65" s="225"/>
      <c r="J65" s="225"/>
      <c r="K65" s="225"/>
      <c r="L65" s="225"/>
      <c r="M65" s="225"/>
      <c r="N65" s="225"/>
      <c r="O65" s="225"/>
      <c r="P65" s="225"/>
      <c r="Q65" s="225"/>
      <c r="R65" s="225"/>
      <c r="S65" s="225"/>
      <c r="T65" s="225"/>
      <c r="U65" s="225"/>
      <c r="V65" s="231"/>
      <c r="W65" s="225"/>
      <c r="X65" s="5"/>
    </row>
    <row r="66" spans="1:24" ht="15.75" x14ac:dyDescent="0.25">
      <c r="A66" s="181"/>
      <c r="B66" s="189"/>
      <c r="C66" s="183"/>
      <c r="D66" s="183"/>
      <c r="E66" s="183"/>
      <c r="F66" s="183"/>
      <c r="G66" s="183"/>
      <c r="H66" s="183"/>
      <c r="I66" s="183"/>
      <c r="J66" s="183"/>
      <c r="K66" s="183"/>
      <c r="L66" s="183"/>
      <c r="M66" s="183"/>
      <c r="N66" s="183"/>
      <c r="O66" s="183"/>
      <c r="P66" s="183"/>
      <c r="Q66" s="183"/>
      <c r="R66" s="183"/>
      <c r="S66" s="183"/>
      <c r="T66" s="183"/>
      <c r="U66" s="183"/>
      <c r="V66" s="202"/>
      <c r="W66" s="183"/>
      <c r="X66" s="5"/>
    </row>
    <row r="67" spans="1:24" ht="47.25" x14ac:dyDescent="0.25">
      <c r="A67" s="181"/>
      <c r="B67" s="203" t="s">
        <v>18</v>
      </c>
      <c r="C67" s="204"/>
      <c r="D67" s="204"/>
      <c r="E67" s="204"/>
      <c r="F67" s="204"/>
      <c r="G67" s="204"/>
      <c r="H67" s="204"/>
      <c r="I67" s="204"/>
      <c r="J67" s="204"/>
      <c r="K67" s="204"/>
      <c r="L67" s="204" t="s">
        <v>94</v>
      </c>
      <c r="M67" s="204"/>
      <c r="N67" s="204" t="s">
        <v>96</v>
      </c>
      <c r="O67" s="204"/>
      <c r="P67" s="204" t="s">
        <v>98</v>
      </c>
      <c r="Q67" s="204"/>
      <c r="R67" s="204" t="s">
        <v>100</v>
      </c>
      <c r="S67" s="204"/>
      <c r="T67" s="204" t="s">
        <v>106</v>
      </c>
      <c r="U67" s="204"/>
      <c r="V67" s="205" t="s">
        <v>112</v>
      </c>
      <c r="W67" s="206"/>
      <c r="X67" s="5"/>
    </row>
    <row r="68" spans="1:24" ht="15.75" x14ac:dyDescent="0.25">
      <c r="A68" s="285"/>
      <c r="B68" s="286" t="s">
        <v>19</v>
      </c>
      <c r="C68" s="337"/>
      <c r="D68" s="337"/>
      <c r="E68" s="337"/>
      <c r="F68" s="337"/>
      <c r="G68" s="337"/>
      <c r="H68" s="337"/>
      <c r="I68" s="337"/>
      <c r="J68" s="337"/>
      <c r="K68" s="337"/>
      <c r="L68" s="337">
        <v>812446</v>
      </c>
      <c r="M68" s="337"/>
      <c r="N68" s="338">
        <v>804997</v>
      </c>
      <c r="O68" s="337"/>
      <c r="P68" s="337">
        <f>6580+195+18</f>
        <v>6793</v>
      </c>
      <c r="Q68" s="337"/>
      <c r="R68" s="337">
        <f>195+18</f>
        <v>213</v>
      </c>
      <c r="S68" s="337"/>
      <c r="T68" s="337">
        <v>0</v>
      </c>
      <c r="U68" s="337"/>
      <c r="V68" s="338">
        <f>+N68-P68+R68-T68</f>
        <v>798417</v>
      </c>
      <c r="W68" s="289"/>
      <c r="X68" s="5"/>
    </row>
    <row r="69" spans="1:24" ht="15.75" x14ac:dyDescent="0.25">
      <c r="A69" s="285"/>
      <c r="B69" s="286" t="s">
        <v>20</v>
      </c>
      <c r="C69" s="337"/>
      <c r="D69" s="337"/>
      <c r="E69" s="337"/>
      <c r="F69" s="337"/>
      <c r="G69" s="337"/>
      <c r="H69" s="337"/>
      <c r="I69" s="337"/>
      <c r="J69" s="337"/>
      <c r="K69" s="337"/>
      <c r="L69" s="337">
        <v>0</v>
      </c>
      <c r="M69" s="337"/>
      <c r="N69" s="338">
        <v>0</v>
      </c>
      <c r="O69" s="337"/>
      <c r="P69" s="337">
        <v>0</v>
      </c>
      <c r="Q69" s="337"/>
      <c r="R69" s="337">
        <v>0</v>
      </c>
      <c r="S69" s="337"/>
      <c r="T69" s="337">
        <v>0</v>
      </c>
      <c r="U69" s="337"/>
      <c r="V69" s="338">
        <f>+L69-P69</f>
        <v>0</v>
      </c>
      <c r="W69" s="289"/>
      <c r="X69" s="5"/>
    </row>
    <row r="70" spans="1:24" ht="15.75" x14ac:dyDescent="0.25">
      <c r="A70" s="285"/>
      <c r="B70" s="286"/>
      <c r="C70" s="337"/>
      <c r="D70" s="337"/>
      <c r="E70" s="337"/>
      <c r="F70" s="337"/>
      <c r="G70" s="337"/>
      <c r="H70" s="337"/>
      <c r="I70" s="337"/>
      <c r="J70" s="337"/>
      <c r="K70" s="337"/>
      <c r="L70" s="337"/>
      <c r="M70" s="337"/>
      <c r="N70" s="338"/>
      <c r="O70" s="337"/>
      <c r="P70" s="337"/>
      <c r="Q70" s="337"/>
      <c r="R70" s="337"/>
      <c r="S70" s="337"/>
      <c r="T70" s="337"/>
      <c r="U70" s="337"/>
      <c r="V70" s="338"/>
      <c r="W70" s="289"/>
      <c r="X70" s="5"/>
    </row>
    <row r="71" spans="1:24" ht="15.75" x14ac:dyDescent="0.25">
      <c r="A71" s="285"/>
      <c r="B71" s="286" t="s">
        <v>21</v>
      </c>
      <c r="C71" s="337"/>
      <c r="D71" s="337"/>
      <c r="E71" s="337"/>
      <c r="F71" s="337"/>
      <c r="G71" s="337"/>
      <c r="H71" s="337"/>
      <c r="I71" s="337"/>
      <c r="J71" s="337"/>
      <c r="K71" s="337"/>
      <c r="L71" s="337">
        <f>SUM(L68:L70)</f>
        <v>812446</v>
      </c>
      <c r="M71" s="337"/>
      <c r="N71" s="337">
        <f>N68+N69</f>
        <v>804997</v>
      </c>
      <c r="O71" s="337"/>
      <c r="P71" s="337">
        <f>SUM(P68:P70)</f>
        <v>6793</v>
      </c>
      <c r="Q71" s="337"/>
      <c r="R71" s="337">
        <f>SUM(R68:R70)</f>
        <v>213</v>
      </c>
      <c r="S71" s="337"/>
      <c r="T71" s="337">
        <f>SUM(T68:T70)</f>
        <v>0</v>
      </c>
      <c r="U71" s="337"/>
      <c r="V71" s="337">
        <f>SUM(V68:V70)</f>
        <v>798417</v>
      </c>
      <c r="W71" s="289"/>
      <c r="X71" s="5"/>
    </row>
    <row r="72" spans="1:24" ht="15.75" x14ac:dyDescent="0.25">
      <c r="A72" s="181"/>
      <c r="B72" s="212"/>
      <c r="C72" s="335"/>
      <c r="D72" s="335"/>
      <c r="E72" s="335"/>
      <c r="F72" s="335"/>
      <c r="G72" s="335"/>
      <c r="H72" s="335"/>
      <c r="I72" s="335"/>
      <c r="J72" s="335"/>
      <c r="K72" s="335"/>
      <c r="L72" s="335"/>
      <c r="M72" s="335"/>
      <c r="N72" s="335"/>
      <c r="O72" s="335"/>
      <c r="P72" s="335"/>
      <c r="Q72" s="335"/>
      <c r="R72" s="335"/>
      <c r="S72" s="335"/>
      <c r="T72" s="335"/>
      <c r="U72" s="335"/>
      <c r="V72" s="336"/>
      <c r="W72" s="212"/>
      <c r="X72" s="5"/>
    </row>
    <row r="73" spans="1:24" ht="15.75" x14ac:dyDescent="0.25">
      <c r="A73" s="181"/>
      <c r="B73" s="185" t="s">
        <v>22</v>
      </c>
      <c r="C73" s="207"/>
      <c r="D73" s="207"/>
      <c r="E73" s="207"/>
      <c r="F73" s="207"/>
      <c r="G73" s="207"/>
      <c r="H73" s="207"/>
      <c r="I73" s="207"/>
      <c r="J73" s="207"/>
      <c r="K73" s="207"/>
      <c r="L73" s="207"/>
      <c r="M73" s="207"/>
      <c r="N73" s="207"/>
      <c r="O73" s="207"/>
      <c r="P73" s="207"/>
      <c r="Q73" s="207"/>
      <c r="R73" s="207"/>
      <c r="S73" s="207"/>
      <c r="T73" s="207"/>
      <c r="U73" s="207"/>
      <c r="V73" s="208"/>
      <c r="W73" s="183"/>
      <c r="X73" s="5"/>
    </row>
    <row r="74" spans="1:24" ht="15.75" x14ac:dyDescent="0.25">
      <c r="A74" s="181"/>
      <c r="B74" s="183"/>
      <c r="C74" s="207"/>
      <c r="D74" s="207"/>
      <c r="E74" s="207"/>
      <c r="F74" s="207"/>
      <c r="G74" s="207"/>
      <c r="H74" s="207"/>
      <c r="I74" s="207"/>
      <c r="J74" s="207"/>
      <c r="K74" s="207"/>
      <c r="L74" s="207"/>
      <c r="M74" s="207"/>
      <c r="N74" s="207"/>
      <c r="O74" s="207"/>
      <c r="P74" s="207"/>
      <c r="Q74" s="207"/>
      <c r="R74" s="207"/>
      <c r="S74" s="207"/>
      <c r="T74" s="207"/>
      <c r="U74" s="207"/>
      <c r="V74" s="208"/>
      <c r="W74" s="183"/>
      <c r="X74" s="5"/>
    </row>
    <row r="75" spans="1:24" ht="15.75" x14ac:dyDescent="0.25">
      <c r="A75" s="285"/>
      <c r="B75" s="286" t="s">
        <v>19</v>
      </c>
      <c r="C75" s="337"/>
      <c r="D75" s="337"/>
      <c r="E75" s="337"/>
      <c r="F75" s="337"/>
      <c r="G75" s="337"/>
      <c r="H75" s="337"/>
      <c r="I75" s="337"/>
      <c r="J75" s="337"/>
      <c r="K75" s="337"/>
      <c r="L75" s="337"/>
      <c r="M75" s="337"/>
      <c r="N75" s="337"/>
      <c r="O75" s="337"/>
      <c r="P75" s="337"/>
      <c r="Q75" s="337"/>
      <c r="R75" s="337"/>
      <c r="S75" s="337"/>
      <c r="T75" s="337"/>
      <c r="U75" s="337"/>
      <c r="V75" s="337"/>
      <c r="W75" s="289"/>
      <c r="X75" s="5"/>
    </row>
    <row r="76" spans="1:24" ht="15.75" x14ac:dyDescent="0.25">
      <c r="A76" s="285"/>
      <c r="B76" s="286" t="s">
        <v>20</v>
      </c>
      <c r="C76" s="337"/>
      <c r="D76" s="337"/>
      <c r="E76" s="337"/>
      <c r="F76" s="337"/>
      <c r="G76" s="337"/>
      <c r="H76" s="337"/>
      <c r="I76" s="337"/>
      <c r="J76" s="337"/>
      <c r="K76" s="337"/>
      <c r="L76" s="337"/>
      <c r="M76" s="337"/>
      <c r="N76" s="337"/>
      <c r="O76" s="337"/>
      <c r="P76" s="337"/>
      <c r="Q76" s="337"/>
      <c r="R76" s="337"/>
      <c r="S76" s="337"/>
      <c r="T76" s="337"/>
      <c r="U76" s="337"/>
      <c r="V76" s="337"/>
      <c r="W76" s="289"/>
      <c r="X76" s="5"/>
    </row>
    <row r="77" spans="1:24" ht="15.75" x14ac:dyDescent="0.25">
      <c r="A77" s="285"/>
      <c r="B77" s="286"/>
      <c r="C77" s="337"/>
      <c r="D77" s="337"/>
      <c r="E77" s="337"/>
      <c r="F77" s="337"/>
      <c r="G77" s="337"/>
      <c r="H77" s="337"/>
      <c r="I77" s="337"/>
      <c r="J77" s="337"/>
      <c r="K77" s="337"/>
      <c r="L77" s="337"/>
      <c r="M77" s="337"/>
      <c r="N77" s="337"/>
      <c r="O77" s="337"/>
      <c r="P77" s="337"/>
      <c r="Q77" s="337"/>
      <c r="R77" s="337"/>
      <c r="S77" s="337"/>
      <c r="T77" s="337"/>
      <c r="U77" s="337"/>
      <c r="V77" s="337"/>
      <c r="W77" s="289"/>
      <c r="X77" s="5"/>
    </row>
    <row r="78" spans="1:24" ht="15.75" x14ac:dyDescent="0.25">
      <c r="A78" s="285"/>
      <c r="B78" s="286" t="s">
        <v>21</v>
      </c>
      <c r="C78" s="337"/>
      <c r="D78" s="337"/>
      <c r="E78" s="337"/>
      <c r="F78" s="337"/>
      <c r="G78" s="337"/>
      <c r="H78" s="337"/>
      <c r="I78" s="337"/>
      <c r="J78" s="337"/>
      <c r="K78" s="337"/>
      <c r="L78" s="337"/>
      <c r="M78" s="337"/>
      <c r="N78" s="337"/>
      <c r="O78" s="337"/>
      <c r="P78" s="337"/>
      <c r="Q78" s="337"/>
      <c r="R78" s="337"/>
      <c r="S78" s="337"/>
      <c r="T78" s="337"/>
      <c r="U78" s="337"/>
      <c r="V78" s="337"/>
      <c r="W78" s="289"/>
      <c r="X78" s="5"/>
    </row>
    <row r="79" spans="1:24" ht="15.75" x14ac:dyDescent="0.25">
      <c r="A79" s="285"/>
      <c r="B79" s="286"/>
      <c r="C79" s="337"/>
      <c r="D79" s="337"/>
      <c r="E79" s="337"/>
      <c r="F79" s="337"/>
      <c r="G79" s="337"/>
      <c r="H79" s="337"/>
      <c r="I79" s="337"/>
      <c r="J79" s="337"/>
      <c r="K79" s="337"/>
      <c r="L79" s="337"/>
      <c r="M79" s="337"/>
      <c r="N79" s="337"/>
      <c r="O79" s="337"/>
      <c r="P79" s="337"/>
      <c r="Q79" s="337"/>
      <c r="R79" s="337"/>
      <c r="S79" s="337"/>
      <c r="T79" s="337"/>
      <c r="U79" s="337"/>
      <c r="V79" s="337"/>
      <c r="W79" s="289"/>
      <c r="X79" s="5"/>
    </row>
    <row r="80" spans="1:24" ht="15.75" x14ac:dyDescent="0.25">
      <c r="A80" s="285"/>
      <c r="B80" s="286" t="s">
        <v>23</v>
      </c>
      <c r="C80" s="337"/>
      <c r="D80" s="337"/>
      <c r="E80" s="337"/>
      <c r="F80" s="337"/>
      <c r="G80" s="337"/>
      <c r="H80" s="337"/>
      <c r="I80" s="337"/>
      <c r="J80" s="337"/>
      <c r="K80" s="337"/>
      <c r="L80" s="337">
        <v>0</v>
      </c>
      <c r="M80" s="337"/>
      <c r="N80" s="337">
        <v>0</v>
      </c>
      <c r="O80" s="337"/>
      <c r="P80" s="337"/>
      <c r="Q80" s="337"/>
      <c r="R80" s="337"/>
      <c r="S80" s="337"/>
      <c r="T80" s="337"/>
      <c r="U80" s="337"/>
      <c r="V80" s="338">
        <v>0</v>
      </c>
      <c r="W80" s="289"/>
      <c r="X80" s="5"/>
    </row>
    <row r="81" spans="1:24" ht="15.75" x14ac:dyDescent="0.25">
      <c r="A81" s="285"/>
      <c r="B81" s="286" t="s">
        <v>117</v>
      </c>
      <c r="C81" s="337"/>
      <c r="D81" s="337"/>
      <c r="E81" s="337"/>
      <c r="F81" s="337"/>
      <c r="G81" s="337"/>
      <c r="H81" s="337"/>
      <c r="I81" s="337"/>
      <c r="J81" s="337"/>
      <c r="K81" s="337"/>
      <c r="L81" s="337">
        <v>188687</v>
      </c>
      <c r="M81" s="337"/>
      <c r="N81" s="337">
        <v>0</v>
      </c>
      <c r="O81" s="337"/>
      <c r="P81" s="337">
        <v>0</v>
      </c>
      <c r="Q81" s="337"/>
      <c r="R81" s="337"/>
      <c r="S81" s="337"/>
      <c r="T81" s="337"/>
      <c r="U81" s="337"/>
      <c r="V81" s="337">
        <f>SUM(N81:R81)</f>
        <v>0</v>
      </c>
      <c r="W81" s="289"/>
      <c r="X81" s="5"/>
    </row>
    <row r="82" spans="1:24" ht="15.75" x14ac:dyDescent="0.25">
      <c r="A82" s="285"/>
      <c r="B82" s="286"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89"/>
      <c r="X82" s="5"/>
    </row>
    <row r="83" spans="1:24" ht="15.75" x14ac:dyDescent="0.25">
      <c r="A83" s="285"/>
      <c r="B83" s="286" t="s">
        <v>25</v>
      </c>
      <c r="C83" s="337"/>
      <c r="D83" s="337"/>
      <c r="E83" s="337"/>
      <c r="F83" s="337"/>
      <c r="G83" s="337"/>
      <c r="H83" s="337"/>
      <c r="I83" s="337"/>
      <c r="J83" s="337"/>
      <c r="K83" s="337"/>
      <c r="L83" s="337">
        <v>0</v>
      </c>
      <c r="M83" s="337"/>
      <c r="N83" s="337">
        <v>0</v>
      </c>
      <c r="O83" s="337"/>
      <c r="P83" s="337"/>
      <c r="Q83" s="337"/>
      <c r="R83" s="337"/>
      <c r="S83" s="337"/>
      <c r="T83" s="337"/>
      <c r="U83" s="337"/>
      <c r="V83" s="337">
        <v>0</v>
      </c>
      <c r="W83" s="289"/>
      <c r="X83" s="5"/>
    </row>
    <row r="84" spans="1:24" ht="15.75" x14ac:dyDescent="0.25">
      <c r="A84" s="285"/>
      <c r="B84" s="286" t="s">
        <v>26</v>
      </c>
      <c r="C84" s="337"/>
      <c r="D84" s="337"/>
      <c r="E84" s="337"/>
      <c r="F84" s="337"/>
      <c r="G84" s="337"/>
      <c r="H84" s="337"/>
      <c r="I84" s="337"/>
      <c r="J84" s="337"/>
      <c r="K84" s="337"/>
      <c r="L84" s="337">
        <f>SUM(L71:L83)</f>
        <v>1001133</v>
      </c>
      <c r="M84" s="337"/>
      <c r="N84" s="337">
        <f>SUM(N71:N83)</f>
        <v>804997</v>
      </c>
      <c r="O84" s="337"/>
      <c r="P84" s="337"/>
      <c r="Q84" s="337"/>
      <c r="R84" s="337"/>
      <c r="S84" s="337"/>
      <c r="T84" s="337"/>
      <c r="U84" s="337"/>
      <c r="V84" s="337">
        <f>SUM(V71:V83)</f>
        <v>798417</v>
      </c>
      <c r="W84" s="289"/>
      <c r="X84" s="5"/>
    </row>
    <row r="85" spans="1:24" ht="15.75" x14ac:dyDescent="0.25">
      <c r="A85" s="181"/>
      <c r="B85" s="212"/>
      <c r="C85" s="335"/>
      <c r="D85" s="335"/>
      <c r="E85" s="335"/>
      <c r="F85" s="335"/>
      <c r="G85" s="335"/>
      <c r="H85" s="335"/>
      <c r="I85" s="335"/>
      <c r="J85" s="335"/>
      <c r="K85" s="335"/>
      <c r="L85" s="335"/>
      <c r="M85" s="335"/>
      <c r="N85" s="335"/>
      <c r="O85" s="335"/>
      <c r="P85" s="335"/>
      <c r="Q85" s="335"/>
      <c r="R85" s="335"/>
      <c r="S85" s="335"/>
      <c r="T85" s="335"/>
      <c r="U85" s="335"/>
      <c r="V85" s="336"/>
      <c r="W85" s="212"/>
      <c r="X85" s="5"/>
    </row>
    <row r="86" spans="1:24" ht="15.75" x14ac:dyDescent="0.25">
      <c r="A86" s="181"/>
      <c r="B86" s="183"/>
      <c r="C86" s="183"/>
      <c r="D86" s="183"/>
      <c r="E86" s="183"/>
      <c r="F86" s="183"/>
      <c r="G86" s="183"/>
      <c r="H86" s="183"/>
      <c r="I86" s="183"/>
      <c r="J86" s="183"/>
      <c r="K86" s="183"/>
      <c r="L86" s="183"/>
      <c r="M86" s="183"/>
      <c r="N86" s="183"/>
      <c r="O86" s="183"/>
      <c r="P86" s="183"/>
      <c r="Q86" s="183"/>
      <c r="R86" s="183"/>
      <c r="S86" s="183"/>
      <c r="T86" s="183"/>
      <c r="U86" s="183"/>
      <c r="V86" s="183"/>
      <c r="W86" s="183"/>
      <c r="X86" s="5"/>
    </row>
    <row r="87" spans="1:24" ht="15.75" x14ac:dyDescent="0.25">
      <c r="A87" s="224"/>
      <c r="B87" s="399" t="s">
        <v>27</v>
      </c>
      <c r="C87" s="399"/>
      <c r="D87" s="399"/>
      <c r="E87" s="399"/>
      <c r="F87" s="399"/>
      <c r="G87" s="399"/>
      <c r="H87" s="400"/>
      <c r="I87" s="400"/>
      <c r="J87" s="400"/>
      <c r="K87" s="400"/>
      <c r="L87" s="401" t="s">
        <v>95</v>
      </c>
      <c r="M87" s="400"/>
      <c r="N87" s="402">
        <f>+T202</f>
        <v>41516</v>
      </c>
      <c r="O87" s="400"/>
      <c r="P87" s="400"/>
      <c r="Q87" s="400"/>
      <c r="R87" s="400"/>
      <c r="S87" s="400"/>
      <c r="T87" s="400" t="s">
        <v>107</v>
      </c>
      <c r="U87" s="400"/>
      <c r="V87" s="400" t="s">
        <v>113</v>
      </c>
      <c r="W87" s="225"/>
      <c r="X87" s="5"/>
    </row>
    <row r="88" spans="1:24" ht="15.75" x14ac:dyDescent="0.25">
      <c r="A88" s="248"/>
      <c r="B88" s="250" t="s">
        <v>28</v>
      </c>
      <c r="C88" s="194"/>
      <c r="D88" s="194"/>
      <c r="E88" s="194"/>
      <c r="F88" s="194"/>
      <c r="G88" s="194"/>
      <c r="H88" s="194"/>
      <c r="I88" s="194"/>
      <c r="J88" s="194"/>
      <c r="K88" s="194"/>
      <c r="L88" s="194"/>
      <c r="M88" s="194"/>
      <c r="N88" s="194"/>
      <c r="O88" s="194"/>
      <c r="P88" s="194"/>
      <c r="Q88" s="194"/>
      <c r="R88" s="194"/>
      <c r="S88" s="194"/>
      <c r="T88" s="249">
        <v>0</v>
      </c>
      <c r="U88" s="250"/>
      <c r="V88" s="253">
        <v>0</v>
      </c>
      <c r="W88" s="194"/>
      <c r="X88" s="5"/>
    </row>
    <row r="89" spans="1:24" ht="15.75" x14ac:dyDescent="0.25">
      <c r="A89" s="295"/>
      <c r="B89" s="286" t="s">
        <v>29</v>
      </c>
      <c r="C89" s="314"/>
      <c r="D89" s="314"/>
      <c r="E89" s="314"/>
      <c r="F89" s="314"/>
      <c r="G89" s="314"/>
      <c r="H89" s="339"/>
      <c r="I89" s="339"/>
      <c r="J89" s="339"/>
      <c r="K89" s="340"/>
      <c r="L89" s="339"/>
      <c r="M89" s="314"/>
      <c r="N89" s="341"/>
      <c r="O89" s="314"/>
      <c r="P89" s="314"/>
      <c r="Q89" s="314"/>
      <c r="R89" s="314"/>
      <c r="S89" s="314"/>
      <c r="T89" s="337">
        <f>6793-306</f>
        <v>6487</v>
      </c>
      <c r="U89" s="286"/>
      <c r="V89" s="338"/>
      <c r="W89" s="318"/>
      <c r="X89" s="5"/>
    </row>
    <row r="90" spans="1:24" ht="15.75" x14ac:dyDescent="0.25">
      <c r="A90" s="295"/>
      <c r="B90" s="286" t="s">
        <v>215</v>
      </c>
      <c r="C90" s="314"/>
      <c r="D90" s="314"/>
      <c r="E90" s="314"/>
      <c r="F90" s="314"/>
      <c r="G90" s="314"/>
      <c r="H90" s="339"/>
      <c r="I90" s="339"/>
      <c r="J90" s="339"/>
      <c r="K90" s="340"/>
      <c r="L90" s="339"/>
      <c r="M90" s="314"/>
      <c r="N90" s="341"/>
      <c r="O90" s="314"/>
      <c r="P90" s="314"/>
      <c r="Q90" s="314"/>
      <c r="R90" s="314"/>
      <c r="S90" s="314"/>
      <c r="T90" s="337"/>
      <c r="U90" s="286"/>
      <c r="V90" s="338">
        <f>3223+2787-438-408</f>
        <v>5164</v>
      </c>
      <c r="W90" s="318"/>
      <c r="X90" s="5"/>
    </row>
    <row r="91" spans="1:24" ht="15.75" x14ac:dyDescent="0.25">
      <c r="A91" s="295"/>
      <c r="B91" s="286" t="s">
        <v>210</v>
      </c>
      <c r="C91" s="314"/>
      <c r="D91" s="314"/>
      <c r="E91" s="314"/>
      <c r="F91" s="314"/>
      <c r="G91" s="314"/>
      <c r="H91" s="339"/>
      <c r="I91" s="339"/>
      <c r="J91" s="339"/>
      <c r="K91" s="340"/>
      <c r="L91" s="339"/>
      <c r="M91" s="314"/>
      <c r="N91" s="341"/>
      <c r="O91" s="314"/>
      <c r="P91" s="314"/>
      <c r="Q91" s="314"/>
      <c r="R91" s="314"/>
      <c r="S91" s="314"/>
      <c r="T91" s="337"/>
      <c r="U91" s="286"/>
      <c r="V91" s="338">
        <f>50+19</f>
        <v>69</v>
      </c>
      <c r="W91" s="318"/>
      <c r="X91" s="5"/>
    </row>
    <row r="92" spans="1:24" ht="15.75" x14ac:dyDescent="0.25">
      <c r="A92" s="295"/>
      <c r="B92" s="286" t="s">
        <v>211</v>
      </c>
      <c r="C92" s="314"/>
      <c r="D92" s="314"/>
      <c r="E92" s="314"/>
      <c r="F92" s="314"/>
      <c r="G92" s="314"/>
      <c r="H92" s="339"/>
      <c r="I92" s="339"/>
      <c r="J92" s="339"/>
      <c r="K92" s="340"/>
      <c r="L92" s="339"/>
      <c r="M92" s="314"/>
      <c r="N92" s="341"/>
      <c r="O92" s="314"/>
      <c r="P92" s="314"/>
      <c r="Q92" s="314"/>
      <c r="R92" s="314"/>
      <c r="S92" s="314"/>
      <c r="T92" s="337"/>
      <c r="U92" s="286"/>
      <c r="V92" s="338">
        <v>25</v>
      </c>
      <c r="W92" s="318"/>
      <c r="X92" s="5"/>
    </row>
    <row r="93" spans="1:24" ht="15.75" x14ac:dyDescent="0.25">
      <c r="A93" s="295"/>
      <c r="B93" s="286" t="s">
        <v>233</v>
      </c>
      <c r="C93" s="314"/>
      <c r="D93" s="314"/>
      <c r="E93" s="314"/>
      <c r="F93" s="314"/>
      <c r="G93" s="314"/>
      <c r="H93" s="339"/>
      <c r="I93" s="339"/>
      <c r="J93" s="339"/>
      <c r="K93" s="340"/>
      <c r="L93" s="339"/>
      <c r="M93" s="314"/>
      <c r="N93" s="341"/>
      <c r="O93" s="314"/>
      <c r="P93" s="314"/>
      <c r="Q93" s="314"/>
      <c r="R93" s="314"/>
      <c r="S93" s="314"/>
      <c r="T93" s="337"/>
      <c r="U93" s="286"/>
      <c r="V93" s="338">
        <v>0</v>
      </c>
      <c r="W93" s="318"/>
      <c r="X93" s="5"/>
    </row>
    <row r="94" spans="1:24" ht="15.75" x14ac:dyDescent="0.25">
      <c r="A94" s="295"/>
      <c r="B94" s="286" t="s">
        <v>235</v>
      </c>
      <c r="C94" s="314"/>
      <c r="D94" s="314"/>
      <c r="E94" s="314"/>
      <c r="F94" s="314"/>
      <c r="G94" s="314"/>
      <c r="H94" s="339"/>
      <c r="I94" s="339"/>
      <c r="J94" s="339"/>
      <c r="K94" s="340"/>
      <c r="L94" s="339"/>
      <c r="M94" s="314"/>
      <c r="N94" s="341"/>
      <c r="O94" s="314"/>
      <c r="P94" s="314"/>
      <c r="Q94" s="314"/>
      <c r="R94" s="314"/>
      <c r="S94" s="314"/>
      <c r="T94" s="337"/>
      <c r="U94" s="286"/>
      <c r="V94" s="338">
        <v>0</v>
      </c>
      <c r="W94" s="318"/>
      <c r="X94" s="5"/>
    </row>
    <row r="95" spans="1:24" ht="15.75" x14ac:dyDescent="0.25">
      <c r="A95" s="295"/>
      <c r="B95" s="286" t="s">
        <v>135</v>
      </c>
      <c r="C95" s="314"/>
      <c r="D95" s="314"/>
      <c r="E95" s="314"/>
      <c r="F95" s="314"/>
      <c r="G95" s="314"/>
      <c r="H95" s="314"/>
      <c r="I95" s="314"/>
      <c r="J95" s="314"/>
      <c r="K95" s="314"/>
      <c r="L95" s="314"/>
      <c r="M95" s="314"/>
      <c r="N95" s="314"/>
      <c r="O95" s="314"/>
      <c r="P95" s="314"/>
      <c r="Q95" s="314"/>
      <c r="R95" s="314"/>
      <c r="S95" s="314"/>
      <c r="T95" s="337"/>
      <c r="U95" s="286"/>
      <c r="V95" s="338">
        <v>0</v>
      </c>
      <c r="W95" s="318"/>
      <c r="X95" s="5"/>
    </row>
    <row r="96" spans="1:24" ht="15.75" x14ac:dyDescent="0.25">
      <c r="A96" s="295"/>
      <c r="B96" s="286" t="s">
        <v>272</v>
      </c>
      <c r="C96" s="314"/>
      <c r="D96" s="314"/>
      <c r="E96" s="314"/>
      <c r="F96" s="314"/>
      <c r="G96" s="314"/>
      <c r="H96" s="314"/>
      <c r="I96" s="314"/>
      <c r="J96" s="314"/>
      <c r="K96" s="314"/>
      <c r="L96" s="314"/>
      <c r="M96" s="314"/>
      <c r="N96" s="314"/>
      <c r="O96" s="314"/>
      <c r="P96" s="314"/>
      <c r="Q96" s="314"/>
      <c r="R96" s="314"/>
      <c r="S96" s="314"/>
      <c r="T96" s="337"/>
      <c r="U96" s="286"/>
      <c r="V96" s="338">
        <v>0</v>
      </c>
      <c r="W96" s="318"/>
      <c r="X96" s="5"/>
    </row>
    <row r="97" spans="1:25" ht="15.75" x14ac:dyDescent="0.25">
      <c r="A97" s="295"/>
      <c r="B97" s="286" t="s">
        <v>30</v>
      </c>
      <c r="C97" s="314"/>
      <c r="D97" s="314"/>
      <c r="E97" s="314"/>
      <c r="F97" s="314"/>
      <c r="G97" s="314"/>
      <c r="H97" s="314"/>
      <c r="I97" s="314"/>
      <c r="J97" s="314"/>
      <c r="K97" s="314"/>
      <c r="L97" s="314"/>
      <c r="M97" s="314"/>
      <c r="N97" s="314"/>
      <c r="O97" s="314"/>
      <c r="P97" s="314"/>
      <c r="Q97" s="314"/>
      <c r="R97" s="314"/>
      <c r="S97" s="314"/>
      <c r="T97" s="337">
        <f>SUM(T88:T96)</f>
        <v>6487</v>
      </c>
      <c r="U97" s="286"/>
      <c r="V97" s="337">
        <f>SUM(V88:V96)</f>
        <v>5258</v>
      </c>
      <c r="W97" s="318"/>
      <c r="X97" s="5"/>
    </row>
    <row r="98" spans="1:25" ht="15.75" x14ac:dyDescent="0.25">
      <c r="A98" s="295"/>
      <c r="B98" s="286" t="s">
        <v>161</v>
      </c>
      <c r="C98" s="314"/>
      <c r="D98" s="314"/>
      <c r="E98" s="314"/>
      <c r="F98" s="314"/>
      <c r="G98" s="314"/>
      <c r="H98" s="314"/>
      <c r="I98" s="314"/>
      <c r="J98" s="314"/>
      <c r="K98" s="314"/>
      <c r="L98" s="314"/>
      <c r="M98" s="314"/>
      <c r="N98" s="314"/>
      <c r="O98" s="314"/>
      <c r="P98" s="314"/>
      <c r="Q98" s="314"/>
      <c r="R98" s="314"/>
      <c r="S98" s="314"/>
      <c r="T98" s="337">
        <f>-V98</f>
        <v>0</v>
      </c>
      <c r="U98" s="286"/>
      <c r="V98" s="337">
        <v>0</v>
      </c>
      <c r="W98" s="318"/>
      <c r="X98" s="5"/>
    </row>
    <row r="99" spans="1:25" ht="15.75" x14ac:dyDescent="0.25">
      <c r="A99" s="295"/>
      <c r="B99" s="286" t="s">
        <v>31</v>
      </c>
      <c r="C99" s="314"/>
      <c r="D99" s="314"/>
      <c r="E99" s="314"/>
      <c r="F99" s="314"/>
      <c r="G99" s="314"/>
      <c r="H99" s="314"/>
      <c r="I99" s="314"/>
      <c r="J99" s="314"/>
      <c r="K99" s="314"/>
      <c r="L99" s="314"/>
      <c r="M99" s="314"/>
      <c r="N99" s="314"/>
      <c r="O99" s="314"/>
      <c r="P99" s="314"/>
      <c r="Q99" s="314"/>
      <c r="R99" s="314"/>
      <c r="S99" s="314"/>
      <c r="T99" s="337">
        <f>-V99</f>
        <v>0</v>
      </c>
      <c r="U99" s="286"/>
      <c r="V99" s="338">
        <v>0</v>
      </c>
      <c r="W99" s="318"/>
      <c r="X99" s="5"/>
    </row>
    <row r="100" spans="1:25" ht="15.75" x14ac:dyDescent="0.25">
      <c r="A100" s="295"/>
      <c r="B100" s="286" t="s">
        <v>274</v>
      </c>
      <c r="C100" s="314"/>
      <c r="D100" s="314"/>
      <c r="E100" s="314"/>
      <c r="F100" s="314"/>
      <c r="G100" s="314"/>
      <c r="H100" s="314"/>
      <c r="I100" s="314"/>
      <c r="J100" s="314"/>
      <c r="K100" s="314"/>
      <c r="L100" s="314"/>
      <c r="M100" s="314"/>
      <c r="N100" s="314"/>
      <c r="O100" s="314"/>
      <c r="P100" s="314"/>
      <c r="Q100" s="314"/>
      <c r="R100" s="314"/>
      <c r="S100" s="314"/>
      <c r="T100" s="337"/>
      <c r="U100" s="286"/>
      <c r="V100" s="338">
        <v>-41</v>
      </c>
      <c r="W100" s="318"/>
      <c r="X100" s="5"/>
    </row>
    <row r="101" spans="1:25" ht="15.75" x14ac:dyDescent="0.25">
      <c r="A101" s="295"/>
      <c r="B101" s="286" t="s">
        <v>32</v>
      </c>
      <c r="C101" s="314"/>
      <c r="D101" s="314"/>
      <c r="E101" s="314"/>
      <c r="F101" s="314"/>
      <c r="G101" s="314"/>
      <c r="H101" s="314"/>
      <c r="I101" s="314"/>
      <c r="J101" s="314"/>
      <c r="K101" s="314"/>
      <c r="L101" s="314"/>
      <c r="M101" s="314"/>
      <c r="N101" s="314"/>
      <c r="O101" s="314"/>
      <c r="P101" s="314"/>
      <c r="Q101" s="314"/>
      <c r="R101" s="314"/>
      <c r="S101" s="314"/>
      <c r="T101" s="337">
        <f>T97+T99+T98</f>
        <v>6487</v>
      </c>
      <c r="U101" s="286"/>
      <c r="V101" s="337">
        <f>V97+V99+V98+V100</f>
        <v>5217</v>
      </c>
      <c r="W101" s="318"/>
      <c r="X101" s="5"/>
    </row>
    <row r="102" spans="1:25" ht="15.75" x14ac:dyDescent="0.25">
      <c r="A102" s="285"/>
      <c r="B102" s="342" t="s">
        <v>33</v>
      </c>
      <c r="C102" s="314"/>
      <c r="D102" s="314"/>
      <c r="E102" s="314"/>
      <c r="F102" s="314"/>
      <c r="G102" s="314"/>
      <c r="H102" s="314"/>
      <c r="I102" s="314"/>
      <c r="J102" s="314"/>
      <c r="K102" s="314"/>
      <c r="L102" s="314"/>
      <c r="M102" s="314"/>
      <c r="N102" s="314"/>
      <c r="O102" s="314"/>
      <c r="P102" s="314"/>
      <c r="Q102" s="314"/>
      <c r="R102" s="314"/>
      <c r="S102" s="314"/>
      <c r="T102" s="337"/>
      <c r="U102" s="286"/>
      <c r="V102" s="338"/>
      <c r="W102" s="318"/>
      <c r="X102" s="5"/>
    </row>
    <row r="103" spans="1:25" ht="15.75" x14ac:dyDescent="0.25">
      <c r="A103" s="295">
        <v>1</v>
      </c>
      <c r="B103" s="286" t="s">
        <v>34</v>
      </c>
      <c r="C103" s="286"/>
      <c r="D103" s="286"/>
      <c r="E103" s="314"/>
      <c r="F103" s="314"/>
      <c r="G103" s="314"/>
      <c r="H103" s="314"/>
      <c r="I103" s="314"/>
      <c r="J103" s="314"/>
      <c r="K103" s="314"/>
      <c r="L103" s="314"/>
      <c r="M103" s="314"/>
      <c r="N103" s="314"/>
      <c r="O103" s="314"/>
      <c r="P103" s="314"/>
      <c r="Q103" s="314"/>
      <c r="R103" s="314"/>
      <c r="S103" s="314"/>
      <c r="T103" s="286"/>
      <c r="U103" s="286"/>
      <c r="V103" s="338">
        <v>0</v>
      </c>
      <c r="W103" s="318"/>
      <c r="X103" s="5"/>
    </row>
    <row r="104" spans="1:25" ht="15.75" x14ac:dyDescent="0.25">
      <c r="A104" s="295">
        <f>+A103+1</f>
        <v>2</v>
      </c>
      <c r="B104" s="286" t="s">
        <v>314</v>
      </c>
      <c r="C104" s="286"/>
      <c r="D104" s="286"/>
      <c r="E104" s="314"/>
      <c r="F104" s="314"/>
      <c r="G104" s="314"/>
      <c r="H104" s="314"/>
      <c r="I104" s="314"/>
      <c r="J104" s="314"/>
      <c r="K104" s="314"/>
      <c r="L104" s="314"/>
      <c r="M104" s="314"/>
      <c r="N104" s="314"/>
      <c r="O104" s="314"/>
      <c r="P104" s="314"/>
      <c r="Q104" s="314"/>
      <c r="R104" s="314"/>
      <c r="S104" s="314"/>
      <c r="T104" s="286"/>
      <c r="U104" s="286"/>
      <c r="V104" s="338">
        <v>-2</v>
      </c>
      <c r="W104" s="318"/>
      <c r="X104" s="5"/>
    </row>
    <row r="105" spans="1:25" ht="15.75" x14ac:dyDescent="0.25">
      <c r="A105" s="295">
        <f>+A104+1</f>
        <v>3</v>
      </c>
      <c r="B105" s="412" t="s">
        <v>316</v>
      </c>
      <c r="C105" s="286"/>
      <c r="D105" s="286"/>
      <c r="E105" s="314"/>
      <c r="F105" s="314"/>
      <c r="G105" s="314"/>
      <c r="H105" s="314"/>
      <c r="I105" s="314"/>
      <c r="J105" s="314"/>
      <c r="K105" s="314"/>
      <c r="L105" s="314"/>
      <c r="M105" s="314"/>
      <c r="N105" s="314"/>
      <c r="O105" s="314"/>
      <c r="P105" s="314"/>
      <c r="Q105" s="314"/>
      <c r="R105" s="314"/>
      <c r="S105" s="314"/>
      <c r="T105" s="286"/>
      <c r="U105" s="286"/>
      <c r="V105" s="338">
        <f>-308-200-10</f>
        <v>-518</v>
      </c>
      <c r="W105" s="318"/>
      <c r="X105" s="5"/>
    </row>
    <row r="106" spans="1:25" ht="15.75" x14ac:dyDescent="0.25">
      <c r="A106" s="295" t="s">
        <v>127</v>
      </c>
      <c r="B106" s="286" t="s">
        <v>116</v>
      </c>
      <c r="C106" s="286"/>
      <c r="D106" s="286"/>
      <c r="E106" s="314"/>
      <c r="F106" s="314"/>
      <c r="G106" s="314"/>
      <c r="H106" s="314"/>
      <c r="I106" s="314"/>
      <c r="J106" s="314"/>
      <c r="K106" s="314"/>
      <c r="L106" s="314"/>
      <c r="M106" s="314"/>
      <c r="N106" s="314"/>
      <c r="O106" s="314"/>
      <c r="P106" s="314"/>
      <c r="Q106" s="314"/>
      <c r="R106" s="314"/>
      <c r="S106" s="314"/>
      <c r="T106" s="286"/>
      <c r="U106" s="286"/>
      <c r="V106" s="338">
        <v>0</v>
      </c>
      <c r="W106" s="318"/>
      <c r="X106" s="5"/>
    </row>
    <row r="107" spans="1:25" ht="15.75" x14ac:dyDescent="0.25">
      <c r="A107" s="295" t="s">
        <v>128</v>
      </c>
      <c r="B107" s="286" t="s">
        <v>220</v>
      </c>
      <c r="C107" s="286"/>
      <c r="D107" s="286"/>
      <c r="E107" s="314"/>
      <c r="F107" s="314"/>
      <c r="G107" s="314"/>
      <c r="H107" s="314"/>
      <c r="I107" s="314"/>
      <c r="J107" s="314"/>
      <c r="K107" s="314"/>
      <c r="L107" s="314"/>
      <c r="M107" s="314"/>
      <c r="N107" s="314"/>
      <c r="O107" s="314"/>
      <c r="P107" s="314"/>
      <c r="Q107" s="314"/>
      <c r="R107" s="314"/>
      <c r="S107" s="314"/>
      <c r="T107" s="286"/>
      <c r="U107" s="286"/>
      <c r="V107" s="338">
        <f>-1203+309</f>
        <v>-894</v>
      </c>
      <c r="W107" s="318"/>
      <c r="X107" s="5"/>
      <c r="Y107" s="109"/>
    </row>
    <row r="108" spans="1:25" ht="15.75" x14ac:dyDescent="0.25">
      <c r="A108" s="295" t="s">
        <v>150</v>
      </c>
      <c r="B108" s="286" t="s">
        <v>184</v>
      </c>
      <c r="C108" s="286"/>
      <c r="D108" s="286"/>
      <c r="E108" s="314"/>
      <c r="F108" s="314"/>
      <c r="G108" s="314"/>
      <c r="H108" s="314"/>
      <c r="I108" s="314"/>
      <c r="J108" s="314"/>
      <c r="K108" s="314"/>
      <c r="L108" s="314"/>
      <c r="M108" s="314"/>
      <c r="N108" s="314"/>
      <c r="O108" s="314"/>
      <c r="P108" s="314"/>
      <c r="Q108" s="314"/>
      <c r="R108" s="314"/>
      <c r="S108" s="314"/>
      <c r="T108" s="286"/>
      <c r="U108" s="286"/>
      <c r="V108" s="338">
        <v>-309</v>
      </c>
      <c r="W108" s="318"/>
      <c r="X108" s="5"/>
      <c r="Y108" s="109"/>
    </row>
    <row r="109" spans="1:25" ht="15.75" x14ac:dyDescent="0.25">
      <c r="A109" s="295" t="s">
        <v>205</v>
      </c>
      <c r="B109" s="286" t="s">
        <v>185</v>
      </c>
      <c r="C109" s="286"/>
      <c r="D109" s="286"/>
      <c r="E109" s="314"/>
      <c r="F109" s="314"/>
      <c r="G109" s="314"/>
      <c r="H109" s="314"/>
      <c r="I109" s="314"/>
      <c r="J109" s="314"/>
      <c r="K109" s="314"/>
      <c r="L109" s="314"/>
      <c r="M109" s="314"/>
      <c r="N109" s="314"/>
      <c r="O109" s="314"/>
      <c r="P109" s="314"/>
      <c r="Q109" s="314"/>
      <c r="R109" s="314"/>
      <c r="S109" s="314"/>
      <c r="T109" s="286"/>
      <c r="U109" s="286"/>
      <c r="V109" s="338">
        <v>-162</v>
      </c>
      <c r="W109" s="318"/>
      <c r="X109" s="5"/>
      <c r="Y109" s="109"/>
    </row>
    <row r="110" spans="1:25" ht="15.75" x14ac:dyDescent="0.25">
      <c r="A110" s="295" t="s">
        <v>206</v>
      </c>
      <c r="B110" s="286" t="s">
        <v>186</v>
      </c>
      <c r="C110" s="286"/>
      <c r="D110" s="286"/>
      <c r="E110" s="314"/>
      <c r="F110" s="314"/>
      <c r="G110" s="314"/>
      <c r="H110" s="314"/>
      <c r="I110" s="314"/>
      <c r="J110" s="314"/>
      <c r="K110" s="314"/>
      <c r="L110" s="314"/>
      <c r="M110" s="314"/>
      <c r="N110" s="314"/>
      <c r="O110" s="314"/>
      <c r="P110" s="314"/>
      <c r="Q110" s="314"/>
      <c r="R110" s="314"/>
      <c r="S110" s="314"/>
      <c r="T110" s="286"/>
      <c r="U110" s="286"/>
      <c r="V110" s="338">
        <v>-45</v>
      </c>
      <c r="W110" s="318"/>
      <c r="X110" s="5"/>
      <c r="Y110" s="109"/>
    </row>
    <row r="111" spans="1:25" ht="15.75" x14ac:dyDescent="0.25">
      <c r="A111" s="295">
        <v>6</v>
      </c>
      <c r="B111" s="286" t="s">
        <v>196</v>
      </c>
      <c r="C111" s="286"/>
      <c r="D111" s="286"/>
      <c r="E111" s="314"/>
      <c r="F111" s="314"/>
      <c r="G111" s="314"/>
      <c r="H111" s="314"/>
      <c r="I111" s="314"/>
      <c r="J111" s="314"/>
      <c r="K111" s="314"/>
      <c r="L111" s="314"/>
      <c r="M111" s="314"/>
      <c r="N111" s="314"/>
      <c r="O111" s="314"/>
      <c r="P111" s="314"/>
      <c r="Q111" s="314"/>
      <c r="R111" s="314"/>
      <c r="S111" s="314"/>
      <c r="T111" s="286"/>
      <c r="U111" s="286"/>
      <c r="V111" s="338">
        <v>-325</v>
      </c>
      <c r="W111" s="318"/>
      <c r="X111" s="5"/>
      <c r="Y111" s="109"/>
    </row>
    <row r="112" spans="1:25" ht="15.75" x14ac:dyDescent="0.25">
      <c r="A112" s="295">
        <v>7</v>
      </c>
      <c r="B112" s="412" t="s">
        <v>315</v>
      </c>
      <c r="C112" s="286"/>
      <c r="D112" s="286"/>
      <c r="E112" s="314"/>
      <c r="F112" s="314"/>
      <c r="G112" s="314"/>
      <c r="H112" s="314"/>
      <c r="I112" s="314"/>
      <c r="J112" s="314"/>
      <c r="K112" s="314"/>
      <c r="L112" s="314"/>
      <c r="M112" s="314"/>
      <c r="N112" s="314"/>
      <c r="O112" s="314"/>
      <c r="P112" s="314"/>
      <c r="Q112" s="314"/>
      <c r="R112" s="314"/>
      <c r="S112" s="314"/>
      <c r="T112" s="286"/>
      <c r="U112" s="286"/>
      <c r="V112" s="338">
        <v>0</v>
      </c>
      <c r="W112" s="318"/>
      <c r="X112" s="5"/>
      <c r="Y112" s="109"/>
    </row>
    <row r="113" spans="1:24" ht="15.75" x14ac:dyDescent="0.25">
      <c r="A113" s="295">
        <v>8</v>
      </c>
      <c r="B113" s="286" t="s">
        <v>35</v>
      </c>
      <c r="C113" s="286"/>
      <c r="D113" s="286"/>
      <c r="E113" s="314"/>
      <c r="F113" s="314"/>
      <c r="G113" s="314"/>
      <c r="H113" s="314"/>
      <c r="I113" s="314"/>
      <c r="J113" s="314"/>
      <c r="K113" s="314"/>
      <c r="L113" s="314"/>
      <c r="M113" s="314"/>
      <c r="N113" s="314"/>
      <c r="O113" s="314"/>
      <c r="P113" s="314"/>
      <c r="Q113" s="314"/>
      <c r="R113" s="314"/>
      <c r="S113" s="314"/>
      <c r="T113" s="286"/>
      <c r="U113" s="286"/>
      <c r="V113" s="338">
        <v>-9</v>
      </c>
      <c r="W113" s="318"/>
      <c r="X113" s="5"/>
    </row>
    <row r="114" spans="1:24" ht="15.75" x14ac:dyDescent="0.25">
      <c r="A114" s="295">
        <f t="shared" ref="A114:A119" si="0">+A113+1</f>
        <v>9</v>
      </c>
      <c r="B114" s="286" t="s">
        <v>45</v>
      </c>
      <c r="C114" s="286"/>
      <c r="D114" s="286"/>
      <c r="E114" s="314"/>
      <c r="F114" s="314"/>
      <c r="G114" s="314"/>
      <c r="H114" s="314"/>
      <c r="I114" s="314"/>
      <c r="J114" s="314"/>
      <c r="K114" s="314"/>
      <c r="L114" s="314"/>
      <c r="M114" s="314"/>
      <c r="N114" s="314"/>
      <c r="O114" s="314"/>
      <c r="P114" s="314"/>
      <c r="Q114" s="314"/>
      <c r="R114" s="314"/>
      <c r="S114" s="314"/>
      <c r="T114" s="337">
        <f>-V114</f>
        <v>306</v>
      </c>
      <c r="U114" s="286"/>
      <c r="V114" s="338">
        <v>-306</v>
      </c>
      <c r="W114" s="318"/>
      <c r="X114" s="5"/>
    </row>
    <row r="115" spans="1:24" ht="15.75" x14ac:dyDescent="0.25">
      <c r="A115" s="295">
        <f t="shared" si="0"/>
        <v>10</v>
      </c>
      <c r="B115" s="286" t="s">
        <v>125</v>
      </c>
      <c r="C115" s="286"/>
      <c r="D115" s="286"/>
      <c r="E115" s="314"/>
      <c r="F115" s="314"/>
      <c r="G115" s="314"/>
      <c r="H115" s="314"/>
      <c r="I115" s="314"/>
      <c r="J115" s="314"/>
      <c r="K115" s="314"/>
      <c r="L115" s="314"/>
      <c r="M115" s="314"/>
      <c r="N115" s="314"/>
      <c r="O115" s="314"/>
      <c r="P115" s="314"/>
      <c r="Q115" s="314"/>
      <c r="R115" s="314"/>
      <c r="S115" s="314"/>
      <c r="T115" s="286"/>
      <c r="U115" s="286"/>
      <c r="V115" s="338">
        <v>0</v>
      </c>
      <c r="W115" s="318"/>
      <c r="X115" s="5"/>
    </row>
    <row r="116" spans="1:24" ht="15.75" x14ac:dyDescent="0.25">
      <c r="A116" s="295">
        <f t="shared" si="0"/>
        <v>11</v>
      </c>
      <c r="B116" s="286" t="s">
        <v>225</v>
      </c>
      <c r="C116" s="286"/>
      <c r="D116" s="286"/>
      <c r="E116" s="314"/>
      <c r="F116" s="314"/>
      <c r="G116" s="314"/>
      <c r="H116" s="314"/>
      <c r="I116" s="314"/>
      <c r="J116" s="314"/>
      <c r="K116" s="314"/>
      <c r="L116" s="314"/>
      <c r="M116" s="314"/>
      <c r="N116" s="314"/>
      <c r="O116" s="314"/>
      <c r="P116" s="314"/>
      <c r="Q116" s="314"/>
      <c r="R116" s="314"/>
      <c r="S116" s="314"/>
      <c r="T116" s="286"/>
      <c r="U116" s="286"/>
      <c r="V116" s="338">
        <v>0</v>
      </c>
      <c r="W116" s="318"/>
      <c r="X116" s="5"/>
    </row>
    <row r="117" spans="1:24" ht="15.75" x14ac:dyDescent="0.25">
      <c r="A117" s="295">
        <f t="shared" si="0"/>
        <v>12</v>
      </c>
      <c r="B117" s="286" t="s">
        <v>36</v>
      </c>
      <c r="C117" s="286"/>
      <c r="D117" s="286"/>
      <c r="E117" s="314"/>
      <c r="F117" s="314"/>
      <c r="G117" s="314"/>
      <c r="H117" s="314"/>
      <c r="I117" s="314"/>
      <c r="J117" s="314"/>
      <c r="K117" s="314"/>
      <c r="L117" s="314"/>
      <c r="M117" s="314"/>
      <c r="N117" s="314"/>
      <c r="O117" s="314"/>
      <c r="P117" s="314"/>
      <c r="Q117" s="314"/>
      <c r="R117" s="314"/>
      <c r="S117" s="314"/>
      <c r="T117" s="286"/>
      <c r="U117" s="286"/>
      <c r="V117" s="338">
        <v>0</v>
      </c>
      <c r="W117" s="318"/>
      <c r="X117" s="5"/>
    </row>
    <row r="118" spans="1:24" ht="15.75" x14ac:dyDescent="0.25">
      <c r="A118" s="295">
        <f t="shared" si="0"/>
        <v>13</v>
      </c>
      <c r="B118" s="286" t="s">
        <v>149</v>
      </c>
      <c r="C118" s="286"/>
      <c r="D118" s="286"/>
      <c r="E118" s="314"/>
      <c r="F118" s="314"/>
      <c r="G118" s="314"/>
      <c r="H118" s="314"/>
      <c r="I118" s="314"/>
      <c r="J118" s="314"/>
      <c r="K118" s="314"/>
      <c r="L118" s="314"/>
      <c r="M118" s="314"/>
      <c r="N118" s="314"/>
      <c r="O118" s="314"/>
      <c r="P118" s="314"/>
      <c r="Q118" s="314"/>
      <c r="R118" s="314"/>
      <c r="S118" s="314"/>
      <c r="T118" s="286"/>
      <c r="U118" s="286"/>
      <c r="V118" s="338">
        <v>-307</v>
      </c>
      <c r="W118" s="318"/>
      <c r="X118" s="5"/>
    </row>
    <row r="119" spans="1:24" ht="15.75" x14ac:dyDescent="0.25">
      <c r="A119" s="295">
        <f t="shared" si="0"/>
        <v>14</v>
      </c>
      <c r="B119" s="286" t="s">
        <v>126</v>
      </c>
      <c r="C119" s="286"/>
      <c r="D119" s="286"/>
      <c r="E119" s="314"/>
      <c r="F119" s="314"/>
      <c r="G119" s="314"/>
      <c r="H119" s="314"/>
      <c r="I119" s="314"/>
      <c r="J119" s="314"/>
      <c r="K119" s="314"/>
      <c r="L119" s="314"/>
      <c r="M119" s="314"/>
      <c r="N119" s="314"/>
      <c r="O119" s="314"/>
      <c r="P119" s="314"/>
      <c r="Q119" s="314"/>
      <c r="R119" s="314"/>
      <c r="S119" s="314"/>
      <c r="T119" s="286"/>
      <c r="U119" s="286"/>
      <c r="V119" s="338">
        <f>-V101-SUM(V103:V118)</f>
        <v>-2340</v>
      </c>
      <c r="W119" s="318"/>
      <c r="X119" s="5"/>
    </row>
    <row r="120" spans="1:24" ht="15.75" x14ac:dyDescent="0.25">
      <c r="A120" s="285"/>
      <c r="B120" s="342" t="s">
        <v>37</v>
      </c>
      <c r="C120" s="314"/>
      <c r="D120" s="314"/>
      <c r="E120" s="314"/>
      <c r="F120" s="314"/>
      <c r="G120" s="314"/>
      <c r="H120" s="314"/>
      <c r="I120" s="314"/>
      <c r="J120" s="314"/>
      <c r="K120" s="314"/>
      <c r="L120" s="314"/>
      <c r="M120" s="314"/>
      <c r="N120" s="314"/>
      <c r="O120" s="314"/>
      <c r="P120" s="314"/>
      <c r="Q120" s="314"/>
      <c r="R120" s="314"/>
      <c r="S120" s="314"/>
      <c r="T120" s="286"/>
      <c r="U120" s="286"/>
      <c r="V120" s="343"/>
      <c r="W120" s="318"/>
      <c r="X120" s="5"/>
    </row>
    <row r="121" spans="1:24" ht="15.75" x14ac:dyDescent="0.25">
      <c r="A121" s="285"/>
      <c r="B121" s="286" t="s">
        <v>173</v>
      </c>
      <c r="C121" s="314"/>
      <c r="D121" s="314"/>
      <c r="E121" s="314"/>
      <c r="F121" s="314"/>
      <c r="G121" s="314"/>
      <c r="H121" s="314"/>
      <c r="I121" s="314"/>
      <c r="J121" s="314"/>
      <c r="K121" s="314"/>
      <c r="L121" s="314"/>
      <c r="M121" s="314"/>
      <c r="N121" s="314"/>
      <c r="O121" s="314"/>
      <c r="P121" s="314"/>
      <c r="Q121" s="314"/>
      <c r="R121" s="314"/>
      <c r="S121" s="314"/>
      <c r="T121" s="337">
        <f>-T186</f>
        <v>0</v>
      </c>
      <c r="U121" s="337"/>
      <c r="V121" s="338"/>
      <c r="W121" s="318"/>
      <c r="X121" s="5"/>
    </row>
    <row r="122" spans="1:24" ht="15.75" x14ac:dyDescent="0.25">
      <c r="A122" s="285"/>
      <c r="B122" s="286" t="s">
        <v>174</v>
      </c>
      <c r="C122" s="314"/>
      <c r="D122" s="314"/>
      <c r="E122" s="314"/>
      <c r="F122" s="314"/>
      <c r="G122" s="314"/>
      <c r="H122" s="314"/>
      <c r="I122" s="314"/>
      <c r="J122" s="314"/>
      <c r="K122" s="314"/>
      <c r="L122" s="314"/>
      <c r="M122" s="314"/>
      <c r="N122" s="314"/>
      <c r="O122" s="314"/>
      <c r="P122" s="314"/>
      <c r="Q122" s="314"/>
      <c r="R122" s="314"/>
      <c r="S122" s="314"/>
      <c r="T122" s="337">
        <v>-4</v>
      </c>
      <c r="U122" s="337"/>
      <c r="V122" s="338"/>
      <c r="W122" s="318"/>
      <c r="X122" s="5"/>
    </row>
    <row r="123" spans="1:24" ht="15.75" x14ac:dyDescent="0.25">
      <c r="A123" s="285"/>
      <c r="B123" s="286" t="s">
        <v>38</v>
      </c>
      <c r="C123" s="314"/>
      <c r="D123" s="314"/>
      <c r="E123" s="314"/>
      <c r="F123" s="314"/>
      <c r="G123" s="314"/>
      <c r="H123" s="314"/>
      <c r="I123" s="314"/>
      <c r="J123" s="314"/>
      <c r="K123" s="314"/>
      <c r="L123" s="314"/>
      <c r="M123" s="314"/>
      <c r="N123" s="314"/>
      <c r="O123" s="314"/>
      <c r="P123" s="314"/>
      <c r="Q123" s="314"/>
      <c r="R123" s="314"/>
      <c r="S123" s="314"/>
      <c r="T123" s="337">
        <f>-S186</f>
        <v>-209</v>
      </c>
      <c r="U123" s="337"/>
      <c r="V123" s="338"/>
      <c r="W123" s="318"/>
      <c r="X123" s="5"/>
    </row>
    <row r="124" spans="1:24" ht="15.75" x14ac:dyDescent="0.25">
      <c r="A124" s="285"/>
      <c r="B124" s="286" t="s">
        <v>197</v>
      </c>
      <c r="C124" s="314"/>
      <c r="D124" s="314"/>
      <c r="E124" s="314"/>
      <c r="F124" s="314"/>
      <c r="G124" s="314"/>
      <c r="H124" s="314"/>
      <c r="I124" s="314"/>
      <c r="J124" s="314"/>
      <c r="K124" s="314"/>
      <c r="L124" s="314"/>
      <c r="M124" s="314"/>
      <c r="N124" s="314"/>
      <c r="O124" s="314"/>
      <c r="P124" s="314"/>
      <c r="Q124" s="314"/>
      <c r="R124" s="314"/>
      <c r="S124" s="314"/>
      <c r="T124" s="337">
        <v>-3811</v>
      </c>
      <c r="U124" s="337"/>
      <c r="V124" s="338"/>
      <c r="W124" s="318"/>
      <c r="X124" s="5"/>
    </row>
    <row r="125" spans="1:24" ht="15.75" x14ac:dyDescent="0.25">
      <c r="A125" s="285"/>
      <c r="B125" s="286" t="s">
        <v>195</v>
      </c>
      <c r="C125" s="314"/>
      <c r="D125" s="314"/>
      <c r="E125" s="314"/>
      <c r="F125" s="314"/>
      <c r="G125" s="314"/>
      <c r="H125" s="314"/>
      <c r="I125" s="314"/>
      <c r="J125" s="314"/>
      <c r="K125" s="314"/>
      <c r="L125" s="314"/>
      <c r="M125" s="314"/>
      <c r="N125" s="314"/>
      <c r="O125" s="314"/>
      <c r="P125" s="314"/>
      <c r="Q125" s="314"/>
      <c r="R125" s="314"/>
      <c r="S125" s="314"/>
      <c r="T125" s="337">
        <v>-1620</v>
      </c>
      <c r="U125" s="337"/>
      <c r="V125" s="338"/>
      <c r="W125" s="318"/>
      <c r="X125" s="5"/>
    </row>
    <row r="126" spans="1:24" ht="15.75" x14ac:dyDescent="0.25">
      <c r="A126" s="285"/>
      <c r="B126" s="286" t="s">
        <v>194</v>
      </c>
      <c r="C126" s="314"/>
      <c r="D126" s="314"/>
      <c r="E126" s="314"/>
      <c r="F126" s="314"/>
      <c r="G126" s="314"/>
      <c r="H126" s="314"/>
      <c r="I126" s="314"/>
      <c r="J126" s="314"/>
      <c r="K126" s="314"/>
      <c r="L126" s="314"/>
      <c r="M126" s="314"/>
      <c r="N126" s="314"/>
      <c r="O126" s="314"/>
      <c r="P126" s="314"/>
      <c r="Q126" s="314"/>
      <c r="R126" s="314"/>
      <c r="S126" s="314"/>
      <c r="T126" s="337">
        <v>-577</v>
      </c>
      <c r="U126" s="337"/>
      <c r="V126" s="338"/>
      <c r="W126" s="318"/>
      <c r="X126" s="5"/>
    </row>
    <row r="127" spans="1:24" ht="15.75" x14ac:dyDescent="0.25">
      <c r="A127" s="285"/>
      <c r="B127" s="286" t="s">
        <v>222</v>
      </c>
      <c r="C127" s="314"/>
      <c r="D127" s="314"/>
      <c r="E127" s="314"/>
      <c r="F127" s="314"/>
      <c r="G127" s="314"/>
      <c r="H127" s="314"/>
      <c r="I127" s="314"/>
      <c r="J127" s="314"/>
      <c r="K127" s="314"/>
      <c r="L127" s="314"/>
      <c r="M127" s="314"/>
      <c r="N127" s="314"/>
      <c r="O127" s="314"/>
      <c r="P127" s="314"/>
      <c r="Q127" s="314"/>
      <c r="R127" s="314"/>
      <c r="S127" s="314"/>
      <c r="T127" s="337">
        <v>-572</v>
      </c>
      <c r="U127" s="337"/>
      <c r="V127" s="338"/>
      <c r="W127" s="318"/>
      <c r="X127" s="5"/>
    </row>
    <row r="128" spans="1:24" ht="15.75" x14ac:dyDescent="0.25">
      <c r="A128" s="285"/>
      <c r="B128" s="286" t="s">
        <v>189</v>
      </c>
      <c r="C128" s="314"/>
      <c r="D128" s="314"/>
      <c r="E128" s="314"/>
      <c r="F128" s="314"/>
      <c r="G128" s="314"/>
      <c r="H128" s="314"/>
      <c r="I128" s="314"/>
      <c r="J128" s="314"/>
      <c r="K128" s="314"/>
      <c r="L128" s="314"/>
      <c r="M128" s="314"/>
      <c r="N128" s="314"/>
      <c r="O128" s="314"/>
      <c r="P128" s="314"/>
      <c r="Q128" s="314"/>
      <c r="R128" s="314"/>
      <c r="S128" s="314"/>
      <c r="T128" s="337">
        <v>0</v>
      </c>
      <c r="U128" s="337"/>
      <c r="V128" s="338"/>
      <c r="W128" s="318"/>
      <c r="X128" s="5"/>
    </row>
    <row r="129" spans="1:24" ht="15.75" x14ac:dyDescent="0.25">
      <c r="A129" s="285"/>
      <c r="B129" s="286" t="s">
        <v>188</v>
      </c>
      <c r="C129" s="314"/>
      <c r="D129" s="314"/>
      <c r="E129" s="314"/>
      <c r="F129" s="314"/>
      <c r="G129" s="314"/>
      <c r="H129" s="314"/>
      <c r="I129" s="314"/>
      <c r="J129" s="314"/>
      <c r="K129" s="314"/>
      <c r="L129" s="314"/>
      <c r="M129" s="314"/>
      <c r="N129" s="314"/>
      <c r="O129" s="314"/>
      <c r="P129" s="314"/>
      <c r="Q129" s="314"/>
      <c r="R129" s="314"/>
      <c r="S129" s="314"/>
      <c r="T129" s="337">
        <v>0</v>
      </c>
      <c r="U129" s="337"/>
      <c r="V129" s="338"/>
      <c r="W129" s="318"/>
      <c r="X129" s="5"/>
    </row>
    <row r="130" spans="1:24" ht="15.75" x14ac:dyDescent="0.25">
      <c r="A130" s="285"/>
      <c r="B130" s="286" t="s">
        <v>187</v>
      </c>
      <c r="C130" s="314"/>
      <c r="D130" s="314"/>
      <c r="E130" s="314"/>
      <c r="F130" s="314"/>
      <c r="G130" s="314"/>
      <c r="H130" s="314"/>
      <c r="I130" s="314"/>
      <c r="J130" s="314"/>
      <c r="K130" s="314"/>
      <c r="L130" s="314"/>
      <c r="M130" s="314"/>
      <c r="N130" s="314"/>
      <c r="O130" s="314"/>
      <c r="P130" s="314"/>
      <c r="Q130" s="314"/>
      <c r="R130" s="314"/>
      <c r="S130" s="314"/>
      <c r="T130" s="337">
        <v>0</v>
      </c>
      <c r="U130" s="337"/>
      <c r="V130" s="338"/>
      <c r="W130" s="318"/>
      <c r="X130" s="5"/>
    </row>
    <row r="131" spans="1:24" ht="15.75" x14ac:dyDescent="0.25">
      <c r="A131" s="285"/>
      <c r="B131" s="286" t="s">
        <v>39</v>
      </c>
      <c r="C131" s="314"/>
      <c r="D131" s="314"/>
      <c r="E131" s="314"/>
      <c r="F131" s="314"/>
      <c r="G131" s="314"/>
      <c r="H131" s="314"/>
      <c r="I131" s="314"/>
      <c r="J131" s="314"/>
      <c r="K131" s="314"/>
      <c r="L131" s="314"/>
      <c r="M131" s="314"/>
      <c r="N131" s="314"/>
      <c r="O131" s="314"/>
      <c r="P131" s="314"/>
      <c r="Q131" s="314"/>
      <c r="R131" s="314"/>
      <c r="S131" s="314"/>
      <c r="T131" s="337">
        <f>SUM(T121:T130)</f>
        <v>-6793</v>
      </c>
      <c r="U131" s="337"/>
      <c r="V131" s="337">
        <f>SUM(V102:V129)</f>
        <v>-5217</v>
      </c>
      <c r="W131" s="318"/>
      <c r="X131" s="5"/>
    </row>
    <row r="132" spans="1:24" ht="15.75" x14ac:dyDescent="0.25">
      <c r="A132" s="285"/>
      <c r="B132" s="286" t="s">
        <v>40</v>
      </c>
      <c r="C132" s="314"/>
      <c r="D132" s="314"/>
      <c r="E132" s="314"/>
      <c r="F132" s="314"/>
      <c r="G132" s="314"/>
      <c r="H132" s="314"/>
      <c r="I132" s="314"/>
      <c r="J132" s="314"/>
      <c r="K132" s="314"/>
      <c r="L132" s="314"/>
      <c r="M132" s="314"/>
      <c r="N132" s="314"/>
      <c r="O132" s="314"/>
      <c r="P132" s="314"/>
      <c r="Q132" s="314"/>
      <c r="R132" s="314"/>
      <c r="S132" s="314"/>
      <c r="T132" s="337">
        <f>T101+T131+T114</f>
        <v>0</v>
      </c>
      <c r="U132" s="337"/>
      <c r="V132" s="337">
        <f>V101+V131</f>
        <v>0</v>
      </c>
      <c r="W132" s="318"/>
      <c r="X132" s="5"/>
    </row>
    <row r="133" spans="1:24" ht="15.75" x14ac:dyDescent="0.25">
      <c r="A133" s="181"/>
      <c r="B133" s="212"/>
      <c r="C133" s="212"/>
      <c r="D133" s="212"/>
      <c r="E133" s="212"/>
      <c r="F133" s="212"/>
      <c r="G133" s="212"/>
      <c r="H133" s="212"/>
      <c r="I133" s="212"/>
      <c r="J133" s="212"/>
      <c r="K133" s="212"/>
      <c r="L133" s="212"/>
      <c r="M133" s="212"/>
      <c r="N133" s="212"/>
      <c r="O133" s="212"/>
      <c r="P133" s="212"/>
      <c r="Q133" s="212"/>
      <c r="R133" s="212"/>
      <c r="S133" s="212"/>
      <c r="T133" s="335"/>
      <c r="U133" s="335"/>
      <c r="V133" s="335"/>
      <c r="W133" s="212"/>
      <c r="X133" s="5"/>
    </row>
    <row r="134" spans="1:24" ht="15.75" x14ac:dyDescent="0.25">
      <c r="A134" s="181"/>
      <c r="B134" s="183"/>
      <c r="C134" s="183"/>
      <c r="D134" s="183"/>
      <c r="E134" s="183"/>
      <c r="F134" s="183"/>
      <c r="G134" s="183"/>
      <c r="H134" s="183"/>
      <c r="I134" s="183"/>
      <c r="J134" s="183"/>
      <c r="K134" s="183"/>
      <c r="L134" s="183"/>
      <c r="M134" s="183"/>
      <c r="N134" s="183"/>
      <c r="O134" s="183"/>
      <c r="P134" s="183"/>
      <c r="Q134" s="183"/>
      <c r="R134" s="183"/>
      <c r="S134" s="183"/>
      <c r="T134" s="183"/>
      <c r="U134" s="183"/>
      <c r="V134" s="202"/>
      <c r="W134" s="183"/>
      <c r="X134" s="5"/>
    </row>
    <row r="135" spans="1:24" ht="19.5" thickBot="1" x14ac:dyDescent="0.35">
      <c r="A135" s="197"/>
      <c r="B135" s="270" t="str">
        <f>B64</f>
        <v>PM15 INVESTOR REPORT QUARTER ENDING AUGUST 2013</v>
      </c>
      <c r="C135" s="198"/>
      <c r="D135" s="198"/>
      <c r="E135" s="198"/>
      <c r="F135" s="198"/>
      <c r="G135" s="198"/>
      <c r="H135" s="198"/>
      <c r="I135" s="198"/>
      <c r="J135" s="198"/>
      <c r="K135" s="198"/>
      <c r="L135" s="198"/>
      <c r="M135" s="198"/>
      <c r="N135" s="198"/>
      <c r="O135" s="198"/>
      <c r="P135" s="198"/>
      <c r="Q135" s="198"/>
      <c r="R135" s="198"/>
      <c r="S135" s="198"/>
      <c r="T135" s="198"/>
      <c r="U135" s="198"/>
      <c r="V135" s="209"/>
      <c r="W135" s="200"/>
      <c r="X135" s="5"/>
    </row>
    <row r="136" spans="1:24" ht="15.75" x14ac:dyDescent="0.25">
      <c r="A136" s="236"/>
      <c r="B136" s="403" t="s">
        <v>41</v>
      </c>
      <c r="C136" s="238"/>
      <c r="D136" s="238"/>
      <c r="E136" s="238"/>
      <c r="F136" s="238"/>
      <c r="G136" s="238"/>
      <c r="H136" s="238"/>
      <c r="I136" s="238"/>
      <c r="J136" s="238"/>
      <c r="K136" s="238"/>
      <c r="L136" s="238"/>
      <c r="M136" s="238"/>
      <c r="N136" s="238"/>
      <c r="O136" s="238"/>
      <c r="P136" s="238"/>
      <c r="Q136" s="238"/>
      <c r="R136" s="238"/>
      <c r="S136" s="238"/>
      <c r="T136" s="238"/>
      <c r="U136" s="238"/>
      <c r="V136" s="239"/>
      <c r="W136" s="238"/>
      <c r="X136" s="5"/>
    </row>
    <row r="137" spans="1:24" ht="15.75" x14ac:dyDescent="0.25">
      <c r="A137" s="181"/>
      <c r="B137" s="191"/>
      <c r="C137" s="183"/>
      <c r="D137" s="183"/>
      <c r="E137" s="183"/>
      <c r="F137" s="183"/>
      <c r="G137" s="183"/>
      <c r="H137" s="183"/>
      <c r="I137" s="183"/>
      <c r="J137" s="183"/>
      <c r="K137" s="183"/>
      <c r="L137" s="183"/>
      <c r="M137" s="183"/>
      <c r="N137" s="183"/>
      <c r="O137" s="183"/>
      <c r="P137" s="183"/>
      <c r="Q137" s="183"/>
      <c r="R137" s="183"/>
      <c r="S137" s="183"/>
      <c r="T137" s="183"/>
      <c r="U137" s="183"/>
      <c r="V137" s="202"/>
      <c r="W137" s="183"/>
      <c r="X137" s="5"/>
    </row>
    <row r="138" spans="1:24" ht="15.75" x14ac:dyDescent="0.25">
      <c r="A138" s="181"/>
      <c r="B138" s="210" t="s">
        <v>42</v>
      </c>
      <c r="C138" s="183"/>
      <c r="D138" s="183"/>
      <c r="E138" s="183"/>
      <c r="F138" s="183"/>
      <c r="G138" s="183"/>
      <c r="H138" s="183"/>
      <c r="I138" s="183"/>
      <c r="J138" s="183"/>
      <c r="K138" s="183"/>
      <c r="L138" s="183"/>
      <c r="M138" s="183"/>
      <c r="N138" s="183"/>
      <c r="O138" s="183"/>
      <c r="P138" s="183"/>
      <c r="Q138" s="183"/>
      <c r="R138" s="183"/>
      <c r="S138" s="183"/>
      <c r="T138" s="183"/>
      <c r="U138" s="183"/>
      <c r="V138" s="202"/>
      <c r="W138" s="183"/>
      <c r="X138" s="5"/>
    </row>
    <row r="139" spans="1:24" ht="15.75" x14ac:dyDescent="0.25">
      <c r="A139" s="285"/>
      <c r="B139" s="286" t="s">
        <v>43</v>
      </c>
      <c r="C139" s="286"/>
      <c r="D139" s="286"/>
      <c r="E139" s="286"/>
      <c r="F139" s="286"/>
      <c r="G139" s="286"/>
      <c r="H139" s="286"/>
      <c r="I139" s="286"/>
      <c r="J139" s="286"/>
      <c r="K139" s="286"/>
      <c r="L139" s="286"/>
      <c r="M139" s="286"/>
      <c r="N139" s="286"/>
      <c r="O139" s="286"/>
      <c r="P139" s="286"/>
      <c r="Q139" s="286"/>
      <c r="R139" s="286"/>
      <c r="S139" s="286"/>
      <c r="T139" s="286"/>
      <c r="U139" s="286"/>
      <c r="V139" s="338">
        <f>+V34*0.019</f>
        <v>19021.526999999998</v>
      </c>
      <c r="W139" s="289"/>
      <c r="X139" s="5"/>
    </row>
    <row r="140" spans="1:24" ht="15.75" x14ac:dyDescent="0.25">
      <c r="A140" s="285"/>
      <c r="B140" s="286" t="s">
        <v>44</v>
      </c>
      <c r="C140" s="286"/>
      <c r="D140" s="286"/>
      <c r="E140" s="286"/>
      <c r="F140" s="286"/>
      <c r="G140" s="286"/>
      <c r="H140" s="286"/>
      <c r="I140" s="286"/>
      <c r="J140" s="286"/>
      <c r="K140" s="286"/>
      <c r="L140" s="286"/>
      <c r="M140" s="286"/>
      <c r="N140" s="286"/>
      <c r="O140" s="286"/>
      <c r="P140" s="286"/>
      <c r="Q140" s="286"/>
      <c r="R140" s="286"/>
      <c r="S140" s="286"/>
      <c r="T140" s="286"/>
      <c r="U140" s="286"/>
      <c r="V140" s="338">
        <v>19022</v>
      </c>
      <c r="W140" s="289"/>
      <c r="X140" s="5"/>
    </row>
    <row r="141" spans="1:24" ht="15.75" x14ac:dyDescent="0.25">
      <c r="A141" s="285"/>
      <c r="B141" s="286" t="s">
        <v>136</v>
      </c>
      <c r="C141" s="286"/>
      <c r="D141" s="286"/>
      <c r="E141" s="286"/>
      <c r="F141" s="286"/>
      <c r="G141" s="286"/>
      <c r="H141" s="286"/>
      <c r="I141" s="286"/>
      <c r="J141" s="286"/>
      <c r="K141" s="286"/>
      <c r="L141" s="286"/>
      <c r="M141" s="286"/>
      <c r="N141" s="286"/>
      <c r="O141" s="286"/>
      <c r="P141" s="286"/>
      <c r="Q141" s="286"/>
      <c r="R141" s="286"/>
      <c r="S141" s="286"/>
      <c r="T141" s="286"/>
      <c r="U141" s="286"/>
      <c r="V141" s="338"/>
      <c r="W141" s="289"/>
      <c r="X141" s="5"/>
    </row>
    <row r="142" spans="1:24" ht="15.75" x14ac:dyDescent="0.25">
      <c r="A142" s="285"/>
      <c r="B142" s="286" t="s">
        <v>123</v>
      </c>
      <c r="C142" s="286"/>
      <c r="D142" s="286"/>
      <c r="E142" s="286"/>
      <c r="F142" s="286"/>
      <c r="G142" s="286"/>
      <c r="H142" s="286"/>
      <c r="I142" s="286"/>
      <c r="J142" s="286"/>
      <c r="K142" s="286"/>
      <c r="L142" s="286"/>
      <c r="M142" s="286"/>
      <c r="N142" s="286"/>
      <c r="O142" s="286"/>
      <c r="P142" s="286"/>
      <c r="Q142" s="286"/>
      <c r="R142" s="286"/>
      <c r="S142" s="286"/>
      <c r="T142" s="286"/>
      <c r="U142" s="286"/>
      <c r="V142" s="338">
        <v>0</v>
      </c>
      <c r="W142" s="289"/>
      <c r="X142" s="5"/>
    </row>
    <row r="143" spans="1:24" ht="15.75" x14ac:dyDescent="0.25">
      <c r="A143" s="285"/>
      <c r="B143" s="286" t="s">
        <v>124</v>
      </c>
      <c r="C143" s="286"/>
      <c r="D143" s="286"/>
      <c r="E143" s="286"/>
      <c r="F143" s="286"/>
      <c r="G143" s="286"/>
      <c r="H143" s="286"/>
      <c r="I143" s="286"/>
      <c r="J143" s="286"/>
      <c r="K143" s="286"/>
      <c r="L143" s="286"/>
      <c r="M143" s="286"/>
      <c r="N143" s="286"/>
      <c r="O143" s="286"/>
      <c r="P143" s="286"/>
      <c r="Q143" s="286"/>
      <c r="R143" s="286"/>
      <c r="S143" s="286"/>
      <c r="T143" s="286"/>
      <c r="U143" s="286"/>
      <c r="V143" s="338">
        <v>0</v>
      </c>
      <c r="W143" s="289"/>
      <c r="X143" s="5"/>
    </row>
    <row r="144" spans="1:24" ht="15.75" x14ac:dyDescent="0.25">
      <c r="A144" s="285"/>
      <c r="B144" s="286" t="s">
        <v>175</v>
      </c>
      <c r="C144" s="286"/>
      <c r="D144" s="286"/>
      <c r="E144" s="286"/>
      <c r="F144" s="286"/>
      <c r="G144" s="286"/>
      <c r="H144" s="286"/>
      <c r="I144" s="286"/>
      <c r="J144" s="286"/>
      <c r="K144" s="286"/>
      <c r="L144" s="286"/>
      <c r="M144" s="286"/>
      <c r="N144" s="286"/>
      <c r="O144" s="286"/>
      <c r="P144" s="286"/>
      <c r="Q144" s="286"/>
      <c r="R144" s="286"/>
      <c r="S144" s="286"/>
      <c r="T144" s="286"/>
      <c r="U144" s="286"/>
      <c r="V144" s="338">
        <v>0</v>
      </c>
      <c r="W144" s="289"/>
      <c r="X144" s="5"/>
    </row>
    <row r="145" spans="1:25" ht="15.75" x14ac:dyDescent="0.25">
      <c r="A145" s="285"/>
      <c r="B145" s="286" t="s">
        <v>45</v>
      </c>
      <c r="C145" s="286"/>
      <c r="D145" s="286"/>
      <c r="E145" s="286"/>
      <c r="F145" s="286"/>
      <c r="G145" s="286"/>
      <c r="H145" s="286"/>
      <c r="I145" s="286"/>
      <c r="J145" s="286"/>
      <c r="K145" s="286"/>
      <c r="L145" s="286"/>
      <c r="M145" s="286"/>
      <c r="N145" s="286"/>
      <c r="O145" s="286"/>
      <c r="P145" s="286"/>
      <c r="Q145" s="286"/>
      <c r="R145" s="286"/>
      <c r="S145" s="286"/>
      <c r="T145" s="286"/>
      <c r="U145" s="286"/>
      <c r="V145" s="338">
        <v>0</v>
      </c>
      <c r="W145" s="289"/>
      <c r="X145" s="5"/>
    </row>
    <row r="146" spans="1:25" ht="15.75" x14ac:dyDescent="0.25">
      <c r="A146" s="285"/>
      <c r="B146" s="286" t="s">
        <v>129</v>
      </c>
      <c r="C146" s="286"/>
      <c r="D146" s="286"/>
      <c r="E146" s="286"/>
      <c r="F146" s="286"/>
      <c r="G146" s="286"/>
      <c r="H146" s="286"/>
      <c r="I146" s="286"/>
      <c r="J146" s="286"/>
      <c r="K146" s="286"/>
      <c r="L146" s="286"/>
      <c r="M146" s="286"/>
      <c r="N146" s="286"/>
      <c r="O146" s="286"/>
      <c r="P146" s="286"/>
      <c r="Q146" s="286"/>
      <c r="R146" s="286"/>
      <c r="S146" s="286"/>
      <c r="T146" s="286"/>
      <c r="U146" s="286"/>
      <c r="V146" s="338">
        <v>0</v>
      </c>
      <c r="W146" s="289"/>
      <c r="X146" s="5"/>
    </row>
    <row r="147" spans="1:25" ht="15.75" x14ac:dyDescent="0.25">
      <c r="A147" s="285"/>
      <c r="B147" s="286" t="s">
        <v>241</v>
      </c>
      <c r="C147" s="286"/>
      <c r="D147" s="286"/>
      <c r="E147" s="286"/>
      <c r="F147" s="286"/>
      <c r="G147" s="286"/>
      <c r="H147" s="286"/>
      <c r="I147" s="286"/>
      <c r="J147" s="286"/>
      <c r="K147" s="286"/>
      <c r="L147" s="286"/>
      <c r="M147" s="286"/>
      <c r="N147" s="286"/>
      <c r="O147" s="286"/>
      <c r="P147" s="286"/>
      <c r="Q147" s="286"/>
      <c r="R147" s="286"/>
      <c r="S147" s="286"/>
      <c r="T147" s="286"/>
      <c r="U147" s="286"/>
      <c r="V147" s="338">
        <v>0</v>
      </c>
      <c r="W147" s="289"/>
      <c r="X147" s="5"/>
      <c r="Y147" s="109"/>
    </row>
    <row r="148" spans="1:25" ht="15.75" x14ac:dyDescent="0.25">
      <c r="A148" s="285"/>
      <c r="B148" s="286" t="s">
        <v>46</v>
      </c>
      <c r="C148" s="286"/>
      <c r="D148" s="286"/>
      <c r="E148" s="286"/>
      <c r="F148" s="286"/>
      <c r="G148" s="286"/>
      <c r="H148" s="286"/>
      <c r="I148" s="286"/>
      <c r="J148" s="286"/>
      <c r="K148" s="286"/>
      <c r="L148" s="286"/>
      <c r="M148" s="286"/>
      <c r="N148" s="286"/>
      <c r="O148" s="286"/>
      <c r="P148" s="286"/>
      <c r="Q148" s="286"/>
      <c r="R148" s="286"/>
      <c r="S148" s="286"/>
      <c r="T148" s="286"/>
      <c r="U148" s="286"/>
      <c r="V148" s="338">
        <f>SUM(V140:V147)</f>
        <v>19022</v>
      </c>
      <c r="W148" s="289"/>
      <c r="X148" s="5"/>
    </row>
    <row r="149" spans="1:25" ht="15.75" x14ac:dyDescent="0.25">
      <c r="A149" s="285"/>
      <c r="B149" s="314"/>
      <c r="C149" s="314"/>
      <c r="D149" s="314"/>
      <c r="E149" s="314"/>
      <c r="F149" s="314"/>
      <c r="G149" s="314"/>
      <c r="H149" s="314"/>
      <c r="I149" s="314"/>
      <c r="J149" s="314"/>
      <c r="K149" s="314"/>
      <c r="L149" s="314"/>
      <c r="M149" s="314"/>
      <c r="N149" s="314"/>
      <c r="O149" s="314"/>
      <c r="P149" s="314"/>
      <c r="Q149" s="314"/>
      <c r="R149" s="314"/>
      <c r="S149" s="314"/>
      <c r="T149" s="314"/>
      <c r="U149" s="314"/>
      <c r="V149" s="345"/>
      <c r="W149" s="318"/>
      <c r="X149" s="5"/>
    </row>
    <row r="150" spans="1:25" ht="15.75" x14ac:dyDescent="0.25">
      <c r="A150" s="285"/>
      <c r="B150" s="342" t="s">
        <v>269</v>
      </c>
      <c r="C150" s="314"/>
      <c r="D150" s="314"/>
      <c r="E150" s="314"/>
      <c r="F150" s="314"/>
      <c r="G150" s="314"/>
      <c r="H150" s="314"/>
      <c r="I150" s="314"/>
      <c r="J150" s="314"/>
      <c r="K150" s="314"/>
      <c r="L150" s="314"/>
      <c r="M150" s="314"/>
      <c r="N150" s="314"/>
      <c r="O150" s="314"/>
      <c r="P150" s="314"/>
      <c r="Q150" s="314"/>
      <c r="R150" s="314"/>
      <c r="S150" s="314"/>
      <c r="T150" s="314"/>
      <c r="U150" s="314"/>
      <c r="V150" s="345"/>
      <c r="W150" s="318"/>
      <c r="X150" s="5"/>
    </row>
    <row r="151" spans="1:25" ht="15.75" x14ac:dyDescent="0.25">
      <c r="A151" s="285"/>
      <c r="B151" s="286" t="s">
        <v>155</v>
      </c>
      <c r="C151" s="286"/>
      <c r="D151" s="286"/>
      <c r="E151" s="286"/>
      <c r="F151" s="286"/>
      <c r="G151" s="286"/>
      <c r="H151" s="286"/>
      <c r="I151" s="286"/>
      <c r="J151" s="286"/>
      <c r="K151" s="286"/>
      <c r="L151" s="286"/>
      <c r="M151" s="286"/>
      <c r="N151" s="286"/>
      <c r="O151" s="286"/>
      <c r="P151" s="286"/>
      <c r="Q151" s="286"/>
      <c r="R151" s="286"/>
      <c r="S151" s="286"/>
      <c r="T151" s="286"/>
      <c r="U151" s="286"/>
      <c r="V151" s="338">
        <v>0</v>
      </c>
      <c r="W151" s="289"/>
      <c r="X151" s="5"/>
    </row>
    <row r="152" spans="1:25" ht="15.75" x14ac:dyDescent="0.25">
      <c r="A152" s="285"/>
      <c r="B152" s="286" t="s">
        <v>172</v>
      </c>
      <c r="C152" s="286"/>
      <c r="D152" s="286"/>
      <c r="E152" s="286"/>
      <c r="F152" s="286"/>
      <c r="G152" s="286"/>
      <c r="H152" s="286"/>
      <c r="I152" s="286"/>
      <c r="J152" s="286"/>
      <c r="K152" s="286"/>
      <c r="L152" s="286"/>
      <c r="M152" s="286"/>
      <c r="N152" s="286"/>
      <c r="O152" s="286"/>
      <c r="P152" s="286"/>
      <c r="Q152" s="286"/>
      <c r="R152" s="286"/>
      <c r="S152" s="286"/>
      <c r="T152" s="286"/>
      <c r="U152" s="286"/>
      <c r="V152" s="338">
        <v>0</v>
      </c>
      <c r="W152" s="289"/>
      <c r="X152" s="5"/>
    </row>
    <row r="153" spans="1:25" ht="15.75" x14ac:dyDescent="0.25">
      <c r="A153" s="285"/>
      <c r="B153" s="286" t="s">
        <v>226</v>
      </c>
      <c r="C153" s="286"/>
      <c r="D153" s="286"/>
      <c r="E153" s="286"/>
      <c r="F153" s="286"/>
      <c r="G153" s="286"/>
      <c r="H153" s="286"/>
      <c r="I153" s="286"/>
      <c r="J153" s="286"/>
      <c r="K153" s="286"/>
      <c r="L153" s="286"/>
      <c r="M153" s="286"/>
      <c r="N153" s="286"/>
      <c r="O153" s="286"/>
      <c r="P153" s="286"/>
      <c r="Q153" s="286"/>
      <c r="R153" s="286"/>
      <c r="S153" s="286"/>
      <c r="T153" s="286"/>
      <c r="U153" s="286"/>
      <c r="V153" s="338">
        <v>0</v>
      </c>
      <c r="W153" s="289"/>
      <c r="X153" s="5"/>
    </row>
    <row r="154" spans="1:25" ht="15.75" x14ac:dyDescent="0.25">
      <c r="A154" s="285"/>
      <c r="B154" s="314"/>
      <c r="C154" s="314"/>
      <c r="D154" s="314"/>
      <c r="E154" s="314"/>
      <c r="F154" s="314"/>
      <c r="G154" s="314"/>
      <c r="H154" s="314"/>
      <c r="I154" s="314"/>
      <c r="J154" s="314"/>
      <c r="K154" s="314"/>
      <c r="L154" s="314"/>
      <c r="M154" s="314"/>
      <c r="N154" s="314"/>
      <c r="O154" s="314"/>
      <c r="P154" s="314"/>
      <c r="Q154" s="314"/>
      <c r="R154" s="314"/>
      <c r="S154" s="314"/>
      <c r="T154" s="314"/>
      <c r="U154" s="314"/>
      <c r="V154" s="345"/>
      <c r="W154" s="318"/>
      <c r="X154" s="5"/>
    </row>
    <row r="155" spans="1:25" ht="15.75" x14ac:dyDescent="0.25">
      <c r="A155" s="181"/>
      <c r="B155" s="212"/>
      <c r="C155" s="212"/>
      <c r="D155" s="212"/>
      <c r="E155" s="212"/>
      <c r="F155" s="212"/>
      <c r="G155" s="212"/>
      <c r="H155" s="212"/>
      <c r="I155" s="212"/>
      <c r="J155" s="212"/>
      <c r="K155" s="212"/>
      <c r="L155" s="212"/>
      <c r="M155" s="212"/>
      <c r="N155" s="212"/>
      <c r="O155" s="212"/>
      <c r="P155" s="212"/>
      <c r="Q155" s="212"/>
      <c r="R155" s="212"/>
      <c r="S155" s="212"/>
      <c r="T155" s="212"/>
      <c r="U155" s="212"/>
      <c r="V155" s="344"/>
      <c r="W155" s="212"/>
      <c r="X155" s="5"/>
    </row>
    <row r="156" spans="1:25" ht="15.75" x14ac:dyDescent="0.25">
      <c r="A156" s="181"/>
      <c r="B156" s="210" t="s">
        <v>24</v>
      </c>
      <c r="C156" s="183"/>
      <c r="D156" s="183"/>
      <c r="E156" s="183"/>
      <c r="F156" s="183"/>
      <c r="G156" s="183"/>
      <c r="H156" s="183"/>
      <c r="I156" s="183"/>
      <c r="J156" s="183"/>
      <c r="K156" s="183"/>
      <c r="L156" s="183"/>
      <c r="M156" s="183"/>
      <c r="N156" s="183"/>
      <c r="O156" s="183"/>
      <c r="P156" s="183"/>
      <c r="Q156" s="183"/>
      <c r="R156" s="183"/>
      <c r="S156" s="183"/>
      <c r="T156" s="183"/>
      <c r="U156" s="183"/>
      <c r="V156" s="202"/>
      <c r="W156" s="183"/>
      <c r="X156" s="5"/>
    </row>
    <row r="157" spans="1:25" ht="15.75" x14ac:dyDescent="0.25">
      <c r="A157" s="285"/>
      <c r="B157" s="286" t="s">
        <v>47</v>
      </c>
      <c r="C157" s="286"/>
      <c r="D157" s="286"/>
      <c r="E157" s="286"/>
      <c r="F157" s="286"/>
      <c r="G157" s="286"/>
      <c r="H157" s="286"/>
      <c r="I157" s="286"/>
      <c r="J157" s="286"/>
      <c r="K157" s="286"/>
      <c r="L157" s="286"/>
      <c r="M157" s="286"/>
      <c r="N157" s="286"/>
      <c r="O157" s="286"/>
      <c r="P157" s="286"/>
      <c r="Q157" s="286"/>
      <c r="R157" s="286"/>
      <c r="S157" s="286"/>
      <c r="T157" s="286"/>
      <c r="U157" s="286"/>
      <c r="V157" s="343" t="s">
        <v>118</v>
      </c>
      <c r="W157" s="318"/>
      <c r="X157" s="5"/>
    </row>
    <row r="158" spans="1:25" ht="15.75" x14ac:dyDescent="0.25">
      <c r="A158" s="285"/>
      <c r="B158" s="286" t="s">
        <v>48</v>
      </c>
      <c r="C158" s="288"/>
      <c r="D158" s="288"/>
      <c r="E158" s="288"/>
      <c r="F158" s="288"/>
      <c r="G158" s="288"/>
      <c r="H158" s="288"/>
      <c r="I158" s="288"/>
      <c r="J158" s="288"/>
      <c r="K158" s="288"/>
      <c r="L158" s="288"/>
      <c r="M158" s="288"/>
      <c r="N158" s="288"/>
      <c r="O158" s="288"/>
      <c r="P158" s="288"/>
      <c r="Q158" s="288"/>
      <c r="R158" s="288"/>
      <c r="S158" s="288"/>
      <c r="T158" s="288"/>
      <c r="U158" s="288"/>
      <c r="V158" s="343" t="s">
        <v>118</v>
      </c>
      <c r="W158" s="318"/>
      <c r="X158" s="5"/>
    </row>
    <row r="159" spans="1:25" ht="15.75" x14ac:dyDescent="0.25">
      <c r="A159" s="285"/>
      <c r="B159" s="286" t="s">
        <v>49</v>
      </c>
      <c r="C159" s="286"/>
      <c r="D159" s="286"/>
      <c r="E159" s="286"/>
      <c r="F159" s="286"/>
      <c r="G159" s="286"/>
      <c r="H159" s="286"/>
      <c r="I159" s="286"/>
      <c r="J159" s="286"/>
      <c r="K159" s="286"/>
      <c r="L159" s="286"/>
      <c r="M159" s="286"/>
      <c r="N159" s="286"/>
      <c r="O159" s="286"/>
      <c r="P159" s="286"/>
      <c r="Q159" s="286"/>
      <c r="R159" s="286"/>
      <c r="S159" s="286"/>
      <c r="T159" s="286"/>
      <c r="U159" s="286"/>
      <c r="V159" s="343" t="s">
        <v>118</v>
      </c>
      <c r="W159" s="318"/>
      <c r="X159" s="5"/>
    </row>
    <row r="160" spans="1:25" ht="15.75" x14ac:dyDescent="0.25">
      <c r="A160" s="285"/>
      <c r="B160" s="286" t="s">
        <v>50</v>
      </c>
      <c r="C160" s="286"/>
      <c r="D160" s="286"/>
      <c r="E160" s="286"/>
      <c r="F160" s="286"/>
      <c r="G160" s="286"/>
      <c r="H160" s="286"/>
      <c r="I160" s="286"/>
      <c r="J160" s="286"/>
      <c r="K160" s="286"/>
      <c r="L160" s="286"/>
      <c r="M160" s="286"/>
      <c r="N160" s="286"/>
      <c r="O160" s="286"/>
      <c r="P160" s="286"/>
      <c r="Q160" s="286"/>
      <c r="R160" s="286"/>
      <c r="S160" s="286"/>
      <c r="T160" s="286"/>
      <c r="U160" s="286"/>
      <c r="V160" s="343" t="s">
        <v>118</v>
      </c>
      <c r="W160" s="318"/>
      <c r="X160" s="5"/>
    </row>
    <row r="161" spans="1:256" ht="15.75" x14ac:dyDescent="0.25">
      <c r="A161" s="181"/>
      <c r="B161" s="212"/>
      <c r="C161" s="212"/>
      <c r="D161" s="212"/>
      <c r="E161" s="212"/>
      <c r="F161" s="212"/>
      <c r="G161" s="212"/>
      <c r="H161" s="212"/>
      <c r="I161" s="212"/>
      <c r="J161" s="212"/>
      <c r="K161" s="212"/>
      <c r="L161" s="212"/>
      <c r="M161" s="212"/>
      <c r="N161" s="212"/>
      <c r="O161" s="212"/>
      <c r="P161" s="212"/>
      <c r="Q161" s="212"/>
      <c r="R161" s="212"/>
      <c r="S161" s="212"/>
      <c r="T161" s="212"/>
      <c r="U161" s="212"/>
      <c r="V161" s="344"/>
      <c r="W161" s="212"/>
      <c r="X161" s="5"/>
    </row>
    <row r="162" spans="1:256" ht="15.75" x14ac:dyDescent="0.25">
      <c r="A162" s="181"/>
      <c r="B162" s="210" t="s">
        <v>51</v>
      </c>
      <c r="C162" s="183"/>
      <c r="D162" s="183"/>
      <c r="E162" s="183"/>
      <c r="F162" s="183"/>
      <c r="G162" s="183"/>
      <c r="H162" s="183"/>
      <c r="I162" s="183"/>
      <c r="J162" s="183"/>
      <c r="K162" s="183"/>
      <c r="L162" s="183"/>
      <c r="M162" s="183"/>
      <c r="N162" s="183"/>
      <c r="O162" s="183"/>
      <c r="P162" s="183"/>
      <c r="Q162" s="183"/>
      <c r="R162" s="183"/>
      <c r="S162" s="183"/>
      <c r="T162" s="183"/>
      <c r="U162" s="183"/>
      <c r="V162" s="211"/>
      <c r="W162" s="183"/>
      <c r="X162" s="5"/>
    </row>
    <row r="163" spans="1:256" ht="15.75" x14ac:dyDescent="0.25">
      <c r="A163" s="285"/>
      <c r="B163" s="286" t="s">
        <v>52</v>
      </c>
      <c r="C163" s="286"/>
      <c r="D163" s="286"/>
      <c r="E163" s="286"/>
      <c r="F163" s="286"/>
      <c r="G163" s="286"/>
      <c r="H163" s="286"/>
      <c r="I163" s="286"/>
      <c r="J163" s="286"/>
      <c r="K163" s="286"/>
      <c r="L163" s="286"/>
      <c r="M163" s="286"/>
      <c r="N163" s="286"/>
      <c r="O163" s="286"/>
      <c r="P163" s="286"/>
      <c r="Q163" s="286"/>
      <c r="R163" s="286"/>
      <c r="S163" s="286"/>
      <c r="T163" s="286"/>
      <c r="U163" s="286"/>
      <c r="V163" s="338">
        <v>0</v>
      </c>
      <c r="W163" s="289"/>
      <c r="X163" s="5"/>
    </row>
    <row r="164" spans="1:256" ht="15.75" x14ac:dyDescent="0.25">
      <c r="A164" s="285"/>
      <c r="B164" s="286" t="s">
        <v>53</v>
      </c>
      <c r="C164" s="286"/>
      <c r="D164" s="286"/>
      <c r="E164" s="286"/>
      <c r="F164" s="286"/>
      <c r="G164" s="286"/>
      <c r="H164" s="286"/>
      <c r="I164" s="286"/>
      <c r="J164" s="286"/>
      <c r="K164" s="286"/>
      <c r="L164" s="286"/>
      <c r="M164" s="286"/>
      <c r="N164" s="286"/>
      <c r="O164" s="286"/>
      <c r="P164" s="286"/>
      <c r="Q164" s="286"/>
      <c r="R164" s="286"/>
      <c r="S164" s="286"/>
      <c r="T164" s="286"/>
      <c r="U164" s="286"/>
      <c r="V164" s="338">
        <v>306</v>
      </c>
      <c r="W164" s="289"/>
      <c r="X164" s="5"/>
    </row>
    <row r="165" spans="1:256" ht="15.75" x14ac:dyDescent="0.25">
      <c r="A165" s="285"/>
      <c r="B165" s="286" t="s">
        <v>54</v>
      </c>
      <c r="C165" s="286"/>
      <c r="D165" s="286"/>
      <c r="E165" s="286"/>
      <c r="F165" s="286"/>
      <c r="G165" s="286"/>
      <c r="H165" s="286"/>
      <c r="I165" s="286"/>
      <c r="J165" s="286"/>
      <c r="K165" s="286"/>
      <c r="L165" s="286"/>
      <c r="M165" s="286"/>
      <c r="N165" s="286"/>
      <c r="O165" s="286"/>
      <c r="P165" s="286"/>
      <c r="Q165" s="286"/>
      <c r="R165" s="286"/>
      <c r="S165" s="286"/>
      <c r="T165" s="286"/>
      <c r="U165" s="286"/>
      <c r="V165" s="338">
        <f>V164+V163</f>
        <v>306</v>
      </c>
      <c r="W165" s="289"/>
      <c r="X165" s="5"/>
    </row>
    <row r="166" spans="1:256" ht="15.75" x14ac:dyDescent="0.25">
      <c r="A166" s="285"/>
      <c r="B166" s="286" t="s">
        <v>303</v>
      </c>
      <c r="C166" s="286"/>
      <c r="D166" s="286"/>
      <c r="E166" s="286"/>
      <c r="F166" s="286"/>
      <c r="G166" s="286"/>
      <c r="H166" s="286"/>
      <c r="I166" s="286"/>
      <c r="J166" s="286"/>
      <c r="K166" s="286"/>
      <c r="L166" s="286"/>
      <c r="M166" s="286"/>
      <c r="N166" s="286"/>
      <c r="O166" s="286"/>
      <c r="P166" s="286"/>
      <c r="Q166" s="286"/>
      <c r="R166" s="286"/>
      <c r="S166" s="286"/>
      <c r="T166" s="286"/>
      <c r="U166" s="286"/>
      <c r="V166" s="338">
        <f>V114</f>
        <v>-306</v>
      </c>
      <c r="W166" s="289"/>
      <c r="X166" s="5"/>
    </row>
    <row r="167" spans="1:256" ht="15.75" x14ac:dyDescent="0.25">
      <c r="A167" s="285"/>
      <c r="B167" s="286" t="s">
        <v>55</v>
      </c>
      <c r="C167" s="286"/>
      <c r="D167" s="286"/>
      <c r="E167" s="286"/>
      <c r="F167" s="286"/>
      <c r="G167" s="286"/>
      <c r="H167" s="286"/>
      <c r="I167" s="286"/>
      <c r="J167" s="286"/>
      <c r="K167" s="286"/>
      <c r="L167" s="286"/>
      <c r="M167" s="286"/>
      <c r="N167" s="286"/>
      <c r="O167" s="286"/>
      <c r="P167" s="286"/>
      <c r="Q167" s="286"/>
      <c r="R167" s="286"/>
      <c r="S167" s="286"/>
      <c r="T167" s="286"/>
      <c r="U167" s="286"/>
      <c r="V167" s="338">
        <f>V165+V166</f>
        <v>0</v>
      </c>
      <c r="W167" s="289"/>
      <c r="X167" s="5"/>
    </row>
    <row r="168" spans="1:256" ht="15.75" x14ac:dyDescent="0.25">
      <c r="A168" s="285"/>
      <c r="B168" s="286" t="s">
        <v>274</v>
      </c>
      <c r="C168" s="286"/>
      <c r="D168" s="286"/>
      <c r="E168" s="286"/>
      <c r="F168" s="286"/>
      <c r="G168" s="286"/>
      <c r="H168" s="286"/>
      <c r="I168" s="286"/>
      <c r="J168" s="286"/>
      <c r="K168" s="286"/>
      <c r="L168" s="286"/>
      <c r="M168" s="286"/>
      <c r="N168" s="286"/>
      <c r="O168" s="286"/>
      <c r="P168" s="286"/>
      <c r="Q168" s="286"/>
      <c r="R168" s="286"/>
      <c r="S168" s="286"/>
      <c r="T168" s="286"/>
      <c r="U168" s="286"/>
      <c r="V168" s="338">
        <f>-V100</f>
        <v>41</v>
      </c>
      <c r="W168" s="289"/>
      <c r="X168" s="5"/>
    </row>
    <row r="169" spans="1:256" ht="16.5" thickBot="1" x14ac:dyDescent="0.3">
      <c r="A169" s="181"/>
      <c r="B169" s="212"/>
      <c r="C169" s="212"/>
      <c r="D169" s="212"/>
      <c r="E169" s="212"/>
      <c r="F169" s="212"/>
      <c r="G169" s="212"/>
      <c r="H169" s="212"/>
      <c r="I169" s="212"/>
      <c r="J169" s="212"/>
      <c r="K169" s="212"/>
      <c r="L169" s="212"/>
      <c r="M169" s="212"/>
      <c r="N169" s="212"/>
      <c r="O169" s="212"/>
      <c r="P169" s="212"/>
      <c r="Q169" s="212"/>
      <c r="R169" s="212"/>
      <c r="S169" s="212"/>
      <c r="T169" s="212"/>
      <c r="U169" s="212"/>
      <c r="V169" s="344"/>
      <c r="W169" s="212"/>
      <c r="X169" s="5"/>
    </row>
    <row r="170" spans="1:256" ht="15.75" x14ac:dyDescent="0.25">
      <c r="A170" s="179"/>
      <c r="B170" s="180"/>
      <c r="C170" s="180"/>
      <c r="D170" s="180"/>
      <c r="E170" s="180"/>
      <c r="F170" s="180"/>
      <c r="G170" s="180"/>
      <c r="H170" s="180"/>
      <c r="I170" s="180"/>
      <c r="J170" s="180"/>
      <c r="K170" s="180"/>
      <c r="L170" s="180"/>
      <c r="M170" s="180"/>
      <c r="N170" s="180"/>
      <c r="O170" s="180"/>
      <c r="P170" s="180"/>
      <c r="Q170" s="180"/>
      <c r="R170" s="180"/>
      <c r="S170" s="180"/>
      <c r="T170" s="180"/>
      <c r="U170" s="180"/>
      <c r="V170" s="201"/>
      <c r="W170" s="180"/>
      <c r="X170" s="5"/>
    </row>
    <row r="171" spans="1:256" s="158" customFormat="1" ht="15.75" x14ac:dyDescent="0.25">
      <c r="A171" s="181"/>
      <c r="B171" s="210" t="s">
        <v>230</v>
      </c>
      <c r="C171" s="212"/>
      <c r="D171" s="212"/>
      <c r="E171" s="212"/>
      <c r="F171" s="212"/>
      <c r="G171" s="212"/>
      <c r="H171" s="212"/>
      <c r="I171" s="212"/>
      <c r="J171" s="212"/>
      <c r="K171" s="212"/>
      <c r="L171" s="212"/>
      <c r="M171" s="212"/>
      <c r="N171" s="212"/>
      <c r="O171" s="212"/>
      <c r="P171" s="212"/>
      <c r="Q171" s="212"/>
      <c r="R171" s="212"/>
      <c r="S171" s="212"/>
      <c r="T171" s="212"/>
      <c r="U171" s="212"/>
      <c r="V171" s="213"/>
      <c r="W171" s="212"/>
      <c r="X171" s="5"/>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s="160" customFormat="1" ht="15.75" x14ac:dyDescent="0.25">
      <c r="A172" s="285"/>
      <c r="B172" s="286" t="s">
        <v>231</v>
      </c>
      <c r="C172" s="286"/>
      <c r="D172" s="286"/>
      <c r="E172" s="286"/>
      <c r="F172" s="286"/>
      <c r="G172" s="286"/>
      <c r="H172" s="286"/>
      <c r="I172" s="286"/>
      <c r="J172" s="286"/>
      <c r="K172" s="286"/>
      <c r="L172" s="286"/>
      <c r="M172" s="286"/>
      <c r="N172" s="286"/>
      <c r="O172" s="286"/>
      <c r="P172" s="286"/>
      <c r="Q172" s="286"/>
      <c r="R172" s="286"/>
      <c r="S172" s="286"/>
      <c r="T172" s="286"/>
      <c r="U172" s="286"/>
      <c r="V172" s="338">
        <f>+'Aug 08'!V173</f>
        <v>0</v>
      </c>
      <c r="W172" s="289"/>
      <c r="X172" s="5"/>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s="160" customFormat="1" ht="15.75" x14ac:dyDescent="0.25">
      <c r="A173" s="285"/>
      <c r="B173" s="286" t="s">
        <v>234</v>
      </c>
      <c r="C173" s="286"/>
      <c r="D173" s="286"/>
      <c r="E173" s="286"/>
      <c r="F173" s="286"/>
      <c r="G173" s="286"/>
      <c r="H173" s="286"/>
      <c r="I173" s="286"/>
      <c r="J173" s="286"/>
      <c r="K173" s="286"/>
      <c r="L173" s="286"/>
      <c r="M173" s="286"/>
      <c r="N173" s="286"/>
      <c r="O173" s="286"/>
      <c r="P173" s="286"/>
      <c r="Q173" s="286"/>
      <c r="R173" s="286"/>
      <c r="S173" s="286"/>
      <c r="T173" s="286"/>
      <c r="U173" s="286"/>
      <c r="V173" s="338">
        <f>+V94</f>
        <v>0</v>
      </c>
      <c r="W173" s="289"/>
      <c r="X173" s="5"/>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s="160" customFormat="1" ht="15.75" x14ac:dyDescent="0.25">
      <c r="A174" s="285"/>
      <c r="B174" s="286" t="s">
        <v>232</v>
      </c>
      <c r="C174" s="286"/>
      <c r="D174" s="286"/>
      <c r="E174" s="286"/>
      <c r="F174" s="286"/>
      <c r="G174" s="286"/>
      <c r="H174" s="286"/>
      <c r="I174" s="286"/>
      <c r="J174" s="286"/>
      <c r="K174" s="286"/>
      <c r="L174" s="286"/>
      <c r="M174" s="286"/>
      <c r="N174" s="286"/>
      <c r="O174" s="286"/>
      <c r="P174" s="286"/>
      <c r="Q174" s="286"/>
      <c r="R174" s="286"/>
      <c r="S174" s="286"/>
      <c r="T174" s="286"/>
      <c r="U174" s="286"/>
      <c r="V174" s="338">
        <f>+V172-V173</f>
        <v>0</v>
      </c>
      <c r="W174" s="289"/>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6.5" thickBot="1" x14ac:dyDescent="0.3">
      <c r="A175" s="197"/>
      <c r="B175" s="212"/>
      <c r="C175" s="212"/>
      <c r="D175" s="212"/>
      <c r="E175" s="212"/>
      <c r="F175" s="212"/>
      <c r="G175" s="212"/>
      <c r="H175" s="212"/>
      <c r="I175" s="212"/>
      <c r="J175" s="212"/>
      <c r="K175" s="212"/>
      <c r="L175" s="212"/>
      <c r="M175" s="212"/>
      <c r="N175" s="212"/>
      <c r="O175" s="212"/>
      <c r="P175" s="212"/>
      <c r="Q175" s="212"/>
      <c r="R175" s="212"/>
      <c r="S175" s="212"/>
      <c r="T175" s="212"/>
      <c r="U175" s="212"/>
      <c r="V175" s="344"/>
      <c r="W175" s="212"/>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4" customFormat="1" ht="15.75" x14ac:dyDescent="0.25">
      <c r="A176" s="179"/>
      <c r="B176" s="180"/>
      <c r="C176" s="180"/>
      <c r="D176" s="180"/>
      <c r="E176" s="180"/>
      <c r="F176" s="180"/>
      <c r="G176" s="180"/>
      <c r="H176" s="180"/>
      <c r="I176" s="180"/>
      <c r="J176" s="180"/>
      <c r="K176" s="180"/>
      <c r="L176" s="180"/>
      <c r="M176" s="180"/>
      <c r="N176" s="180"/>
      <c r="O176" s="180"/>
      <c r="P176" s="180"/>
      <c r="Q176" s="180"/>
      <c r="R176" s="180"/>
      <c r="S176" s="180"/>
      <c r="T176" s="180"/>
      <c r="U176" s="180"/>
      <c r="V176" s="201"/>
      <c r="W176" s="180"/>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4" ht="15.75" x14ac:dyDescent="0.25">
      <c r="A177" s="181"/>
      <c r="B177" s="210" t="s">
        <v>56</v>
      </c>
      <c r="C177" s="183"/>
      <c r="D177" s="183"/>
      <c r="E177" s="183"/>
      <c r="F177" s="183"/>
      <c r="G177" s="183"/>
      <c r="H177" s="183"/>
      <c r="I177" s="183"/>
      <c r="J177" s="183"/>
      <c r="K177" s="183"/>
      <c r="L177" s="183"/>
      <c r="M177" s="183"/>
      <c r="N177" s="183"/>
      <c r="O177" s="183"/>
      <c r="P177" s="183"/>
      <c r="Q177" s="183"/>
      <c r="R177" s="183"/>
      <c r="S177" s="183"/>
      <c r="T177" s="183"/>
      <c r="U177" s="183"/>
      <c r="V177" s="202"/>
      <c r="W177" s="183"/>
      <c r="X177" s="5"/>
    </row>
    <row r="178" spans="1:24" ht="15.75" x14ac:dyDescent="0.25">
      <c r="A178" s="181"/>
      <c r="B178" s="191"/>
      <c r="C178" s="183"/>
      <c r="D178" s="183"/>
      <c r="E178" s="183"/>
      <c r="F178" s="183"/>
      <c r="G178" s="183"/>
      <c r="H178" s="183"/>
      <c r="I178" s="183"/>
      <c r="J178" s="183"/>
      <c r="K178" s="183"/>
      <c r="L178" s="183"/>
      <c r="M178" s="183"/>
      <c r="N178" s="183"/>
      <c r="O178" s="183"/>
      <c r="P178" s="183"/>
      <c r="Q178" s="183"/>
      <c r="R178" s="183"/>
      <c r="S178" s="183"/>
      <c r="T178" s="183"/>
      <c r="U178" s="183"/>
      <c r="V178" s="202"/>
      <c r="W178" s="183"/>
      <c r="X178" s="5"/>
    </row>
    <row r="179" spans="1:24" ht="15.75" x14ac:dyDescent="0.25">
      <c r="A179" s="285"/>
      <c r="B179" s="286" t="s">
        <v>57</v>
      </c>
      <c r="C179" s="286"/>
      <c r="D179" s="286"/>
      <c r="E179" s="286"/>
      <c r="F179" s="286"/>
      <c r="G179" s="286"/>
      <c r="H179" s="286"/>
      <c r="I179" s="286"/>
      <c r="J179" s="286"/>
      <c r="K179" s="286"/>
      <c r="L179" s="286"/>
      <c r="M179" s="286"/>
      <c r="N179" s="286"/>
      <c r="O179" s="286"/>
      <c r="P179" s="286"/>
      <c r="Q179" s="286"/>
      <c r="R179" s="286"/>
      <c r="S179" s="286"/>
      <c r="T179" s="286"/>
      <c r="U179" s="286"/>
      <c r="V179" s="338">
        <f>V71</f>
        <v>798417</v>
      </c>
      <c r="W179" s="289"/>
      <c r="X179" s="5"/>
    </row>
    <row r="180" spans="1:24" ht="15.75" x14ac:dyDescent="0.25">
      <c r="A180" s="285"/>
      <c r="B180" s="286" t="s">
        <v>58</v>
      </c>
      <c r="C180" s="286"/>
      <c r="D180" s="286"/>
      <c r="E180" s="286"/>
      <c r="F180" s="286"/>
      <c r="G180" s="286"/>
      <c r="H180" s="286"/>
      <c r="I180" s="286"/>
      <c r="J180" s="286"/>
      <c r="K180" s="286"/>
      <c r="L180" s="286"/>
      <c r="M180" s="286"/>
      <c r="N180" s="286"/>
      <c r="O180" s="286"/>
      <c r="P180" s="286"/>
      <c r="Q180" s="286"/>
      <c r="R180" s="286"/>
      <c r="S180" s="286"/>
      <c r="T180" s="286"/>
      <c r="U180" s="286"/>
      <c r="V180" s="338">
        <f>V84</f>
        <v>798417</v>
      </c>
      <c r="W180" s="289"/>
      <c r="X180" s="5"/>
    </row>
    <row r="181" spans="1:24" ht="16.5" thickBot="1" x14ac:dyDescent="0.3">
      <c r="A181" s="181"/>
      <c r="B181" s="212"/>
      <c r="C181" s="212"/>
      <c r="D181" s="212"/>
      <c r="E181" s="212"/>
      <c r="F181" s="212"/>
      <c r="G181" s="212"/>
      <c r="H181" s="212"/>
      <c r="I181" s="212"/>
      <c r="J181" s="212"/>
      <c r="K181" s="212"/>
      <c r="L181" s="212"/>
      <c r="M181" s="212"/>
      <c r="N181" s="212"/>
      <c r="O181" s="212"/>
      <c r="P181" s="212"/>
      <c r="Q181" s="212"/>
      <c r="R181" s="212"/>
      <c r="S181" s="212"/>
      <c r="T181" s="212"/>
      <c r="U181" s="212"/>
      <c r="V181" s="344"/>
      <c r="W181" s="212"/>
      <c r="X181" s="5"/>
    </row>
    <row r="182" spans="1:24" ht="15.75" x14ac:dyDescent="0.25">
      <c r="A182" s="179"/>
      <c r="B182" s="180"/>
      <c r="C182" s="180"/>
      <c r="D182" s="180"/>
      <c r="E182" s="180"/>
      <c r="F182" s="180"/>
      <c r="G182" s="180"/>
      <c r="H182" s="180"/>
      <c r="I182" s="180"/>
      <c r="J182" s="180"/>
      <c r="K182" s="180"/>
      <c r="L182" s="180"/>
      <c r="M182" s="180"/>
      <c r="N182" s="180"/>
      <c r="O182" s="180"/>
      <c r="P182" s="180"/>
      <c r="Q182" s="180"/>
      <c r="R182" s="180"/>
      <c r="S182" s="180"/>
      <c r="T182" s="180"/>
      <c r="U182" s="180"/>
      <c r="V182" s="201"/>
      <c r="W182" s="180"/>
      <c r="X182" s="5"/>
    </row>
    <row r="183" spans="1:24" ht="15.75" x14ac:dyDescent="0.25">
      <c r="A183" s="181"/>
      <c r="B183" s="210" t="s">
        <v>59</v>
      </c>
      <c r="C183" s="206"/>
      <c r="D183" s="206"/>
      <c r="E183" s="206"/>
      <c r="F183" s="206"/>
      <c r="G183" s="206"/>
      <c r="H183" s="214"/>
      <c r="I183" s="214"/>
      <c r="J183" s="214"/>
      <c r="K183" s="214"/>
      <c r="L183" s="214"/>
      <c r="M183" s="214"/>
      <c r="N183" s="214"/>
      <c r="O183" s="214"/>
      <c r="P183" s="214"/>
      <c r="Q183" s="214"/>
      <c r="R183" s="214"/>
      <c r="S183" s="214" t="s">
        <v>101</v>
      </c>
      <c r="T183" s="214" t="s">
        <v>176</v>
      </c>
      <c r="U183" s="185"/>
      <c r="V183" s="215" t="s">
        <v>114</v>
      </c>
      <c r="W183" s="216"/>
      <c r="X183" s="5"/>
    </row>
    <row r="184" spans="1:24" ht="15.75" x14ac:dyDescent="0.25">
      <c r="A184" s="285"/>
      <c r="B184" s="286" t="s">
        <v>60</v>
      </c>
      <c r="C184" s="286"/>
      <c r="D184" s="286"/>
      <c r="E184" s="286"/>
      <c r="F184" s="286"/>
      <c r="G184" s="286"/>
      <c r="H184" s="286"/>
      <c r="I184" s="286"/>
      <c r="J184" s="286"/>
      <c r="K184" s="286"/>
      <c r="L184" s="286"/>
      <c r="M184" s="286"/>
      <c r="N184" s="286"/>
      <c r="O184" s="286"/>
      <c r="P184" s="286"/>
      <c r="Q184" s="286"/>
      <c r="R184" s="286"/>
      <c r="S184" s="338">
        <f>+V34*0.16</f>
        <v>160181.28</v>
      </c>
      <c r="T184" s="325"/>
      <c r="U184" s="286"/>
      <c r="V184" s="338"/>
      <c r="W184" s="289"/>
      <c r="X184" s="5"/>
    </row>
    <row r="185" spans="1:24" ht="15.75" x14ac:dyDescent="0.25">
      <c r="A185" s="285"/>
      <c r="B185" s="286" t="s">
        <v>61</v>
      </c>
      <c r="C185" s="286"/>
      <c r="D185" s="286"/>
      <c r="E185" s="286"/>
      <c r="F185" s="286"/>
      <c r="G185" s="286"/>
      <c r="H185" s="286"/>
      <c r="I185" s="286"/>
      <c r="J185" s="286"/>
      <c r="K185" s="286"/>
      <c r="L185" s="286"/>
      <c r="M185" s="286"/>
      <c r="N185" s="286"/>
      <c r="O185" s="286"/>
      <c r="P185" s="286"/>
      <c r="Q185" s="286"/>
      <c r="R185" s="286"/>
      <c r="S185" s="338">
        <f>+'May 13'!S187</f>
        <v>10763</v>
      </c>
      <c r="T185" s="338">
        <f>+'May 13'!T187</f>
        <v>6090</v>
      </c>
      <c r="U185" s="286"/>
      <c r="V185" s="338">
        <f>S185+T185</f>
        <v>16853</v>
      </c>
      <c r="W185" s="289"/>
      <c r="X185" s="5"/>
    </row>
    <row r="186" spans="1:24" ht="15.75" x14ac:dyDescent="0.25">
      <c r="A186" s="285"/>
      <c r="B186" s="286" t="s">
        <v>62</v>
      </c>
      <c r="C186" s="286"/>
      <c r="D186" s="286"/>
      <c r="E186" s="286"/>
      <c r="F186" s="286"/>
      <c r="G186" s="286"/>
      <c r="H186" s="286"/>
      <c r="I186" s="286"/>
      <c r="J186" s="286"/>
      <c r="K186" s="286"/>
      <c r="L186" s="286"/>
      <c r="M186" s="286"/>
      <c r="N186" s="286"/>
      <c r="O186" s="286"/>
      <c r="P186" s="286"/>
      <c r="Q186" s="286"/>
      <c r="R186" s="286"/>
      <c r="S186" s="337">
        <f>14+195</f>
        <v>209</v>
      </c>
      <c r="T186" s="337">
        <v>0</v>
      </c>
      <c r="U186" s="286"/>
      <c r="V186" s="338">
        <f>S186+T186</f>
        <v>209</v>
      </c>
      <c r="W186" s="289"/>
      <c r="X186" s="5"/>
    </row>
    <row r="187" spans="1:24" ht="15.75" x14ac:dyDescent="0.25">
      <c r="A187" s="285"/>
      <c r="B187" s="286" t="s">
        <v>63</v>
      </c>
      <c r="C187" s="286"/>
      <c r="D187" s="286"/>
      <c r="E187" s="286"/>
      <c r="F187" s="286"/>
      <c r="G187" s="286"/>
      <c r="H187" s="286"/>
      <c r="I187" s="286"/>
      <c r="J187" s="286"/>
      <c r="K187" s="286"/>
      <c r="L187" s="286"/>
      <c r="M187" s="286"/>
      <c r="N187" s="286"/>
      <c r="O187" s="286"/>
      <c r="P187" s="286"/>
      <c r="Q187" s="286"/>
      <c r="R187" s="286"/>
      <c r="S187" s="338">
        <f>S185+S186</f>
        <v>10972</v>
      </c>
      <c r="T187" s="338">
        <f>T186+T185</f>
        <v>6090</v>
      </c>
      <c r="U187" s="286"/>
      <c r="V187" s="338">
        <f>S187+T187</f>
        <v>17062</v>
      </c>
      <c r="W187" s="289"/>
      <c r="X187" s="5"/>
    </row>
    <row r="188" spans="1:24" ht="15.75" x14ac:dyDescent="0.25">
      <c r="A188" s="285"/>
      <c r="B188" s="286" t="s">
        <v>64</v>
      </c>
      <c r="C188" s="286"/>
      <c r="D188" s="286"/>
      <c r="E188" s="286"/>
      <c r="F188" s="286"/>
      <c r="G188" s="286"/>
      <c r="H188" s="286"/>
      <c r="I188" s="286"/>
      <c r="J188" s="286"/>
      <c r="K188" s="286"/>
      <c r="L188" s="286"/>
      <c r="M188" s="286"/>
      <c r="N188" s="286"/>
      <c r="O188" s="286"/>
      <c r="P188" s="286"/>
      <c r="Q188" s="286"/>
      <c r="R188" s="286"/>
      <c r="S188" s="338">
        <f>S184-S187-T187</f>
        <v>143119.28</v>
      </c>
      <c r="T188" s="325"/>
      <c r="U188" s="286"/>
      <c r="V188" s="338"/>
      <c r="W188" s="289"/>
      <c r="X188" s="5"/>
    </row>
    <row r="189" spans="1:24" ht="16.5" thickBot="1" x14ac:dyDescent="0.3">
      <c r="A189" s="181"/>
      <c r="B189" s="212"/>
      <c r="C189" s="212"/>
      <c r="D189" s="212"/>
      <c r="E189" s="212"/>
      <c r="F189" s="212"/>
      <c r="G189" s="212"/>
      <c r="H189" s="212"/>
      <c r="I189" s="212"/>
      <c r="J189" s="212"/>
      <c r="K189" s="212"/>
      <c r="L189" s="212"/>
      <c r="M189" s="212"/>
      <c r="N189" s="212"/>
      <c r="O189" s="212"/>
      <c r="P189" s="212"/>
      <c r="Q189" s="212"/>
      <c r="R189" s="212"/>
      <c r="S189" s="212"/>
      <c r="T189" s="212"/>
      <c r="U189" s="212"/>
      <c r="V189" s="344"/>
      <c r="W189" s="212"/>
      <c r="X189" s="5"/>
    </row>
    <row r="190" spans="1:24" ht="15.75" x14ac:dyDescent="0.25">
      <c r="A190" s="179"/>
      <c r="B190" s="180"/>
      <c r="C190" s="180"/>
      <c r="D190" s="180"/>
      <c r="E190" s="180"/>
      <c r="F190" s="180"/>
      <c r="G190" s="180"/>
      <c r="H190" s="180"/>
      <c r="I190" s="180"/>
      <c r="J190" s="180"/>
      <c r="K190" s="180"/>
      <c r="L190" s="180"/>
      <c r="M190" s="180"/>
      <c r="N190" s="180"/>
      <c r="O190" s="180"/>
      <c r="P190" s="180"/>
      <c r="Q190" s="180"/>
      <c r="R190" s="180"/>
      <c r="S190" s="180"/>
      <c r="T190" s="180"/>
      <c r="U190" s="180"/>
      <c r="V190" s="201"/>
      <c r="W190" s="180"/>
      <c r="X190" s="5"/>
    </row>
    <row r="191" spans="1:24" ht="15.75" x14ac:dyDescent="0.25">
      <c r="A191" s="181"/>
      <c r="B191" s="210" t="s">
        <v>65</v>
      </c>
      <c r="C191" s="183"/>
      <c r="D191" s="183"/>
      <c r="E191" s="183"/>
      <c r="F191" s="183"/>
      <c r="G191" s="183"/>
      <c r="H191" s="183"/>
      <c r="I191" s="183"/>
      <c r="J191" s="183"/>
      <c r="K191" s="183"/>
      <c r="L191" s="183"/>
      <c r="M191" s="183"/>
      <c r="N191" s="183"/>
      <c r="O191" s="183"/>
      <c r="P191" s="183"/>
      <c r="Q191" s="183"/>
      <c r="R191" s="183"/>
      <c r="S191" s="183"/>
      <c r="T191" s="183"/>
      <c r="U191" s="183"/>
      <c r="V191" s="217"/>
      <c r="W191" s="183"/>
      <c r="X191" s="5"/>
    </row>
    <row r="192" spans="1:24" ht="15.75" x14ac:dyDescent="0.25">
      <c r="A192" s="285"/>
      <c r="B192" s="286" t="s">
        <v>66</v>
      </c>
      <c r="C192" s="286"/>
      <c r="D192" s="286"/>
      <c r="E192" s="286"/>
      <c r="F192" s="286"/>
      <c r="G192" s="286"/>
      <c r="H192" s="286"/>
      <c r="I192" s="286"/>
      <c r="J192" s="286"/>
      <c r="K192" s="286"/>
      <c r="L192" s="286"/>
      <c r="M192" s="286"/>
      <c r="N192" s="286"/>
      <c r="O192" s="286"/>
      <c r="P192" s="286"/>
      <c r="Q192" s="286"/>
      <c r="R192" s="286"/>
      <c r="S192" s="286"/>
      <c r="T192" s="286"/>
      <c r="U192" s="286"/>
      <c r="V192" s="343">
        <f>(V101+V103+V104+V105+V106)/-(V107+V108)</f>
        <v>3.9044056525353286</v>
      </c>
      <c r="W192" s="289" t="s">
        <v>115</v>
      </c>
      <c r="X192" s="5"/>
    </row>
    <row r="193" spans="1:24" ht="15.75" x14ac:dyDescent="0.25">
      <c r="A193" s="285"/>
      <c r="B193" s="286" t="s">
        <v>67</v>
      </c>
      <c r="C193" s="286"/>
      <c r="D193" s="286"/>
      <c r="E193" s="286"/>
      <c r="F193" s="286"/>
      <c r="G193" s="286"/>
      <c r="H193" s="286"/>
      <c r="I193" s="286"/>
      <c r="J193" s="286"/>
      <c r="K193" s="286"/>
      <c r="L193" s="286"/>
      <c r="M193" s="286"/>
      <c r="N193" s="286"/>
      <c r="O193" s="286"/>
      <c r="P193" s="286"/>
      <c r="Q193" s="286"/>
      <c r="R193" s="286"/>
      <c r="S193" s="286"/>
      <c r="T193" s="286"/>
      <c r="U193" s="286"/>
      <c r="V193" s="347">
        <v>1.86</v>
      </c>
      <c r="W193" s="289" t="s">
        <v>115</v>
      </c>
      <c r="X193" s="5"/>
    </row>
    <row r="194" spans="1:24" ht="15.75" x14ac:dyDescent="0.25">
      <c r="A194" s="285"/>
      <c r="B194" s="286" t="s">
        <v>68</v>
      </c>
      <c r="C194" s="286"/>
      <c r="D194" s="286"/>
      <c r="E194" s="286"/>
      <c r="F194" s="286"/>
      <c r="G194" s="286"/>
      <c r="H194" s="286"/>
      <c r="I194" s="286"/>
      <c r="J194" s="286"/>
      <c r="K194" s="286"/>
      <c r="L194" s="286"/>
      <c r="M194" s="286"/>
      <c r="N194" s="286"/>
      <c r="O194" s="286"/>
      <c r="P194" s="286"/>
      <c r="Q194" s="286"/>
      <c r="R194" s="286"/>
      <c r="S194" s="286"/>
      <c r="T194" s="286"/>
      <c r="U194" s="286"/>
      <c r="V194" s="343">
        <f>(V101+V103+V104+V105+V106+V107+V108)/-(V109+V110)</f>
        <v>16.879227053140095</v>
      </c>
      <c r="W194" s="289" t="s">
        <v>115</v>
      </c>
      <c r="X194" s="5"/>
    </row>
    <row r="195" spans="1:24" ht="15.75" x14ac:dyDescent="0.25">
      <c r="A195" s="285"/>
      <c r="B195" s="286" t="s">
        <v>69</v>
      </c>
      <c r="C195" s="286"/>
      <c r="D195" s="286"/>
      <c r="E195" s="286"/>
      <c r="F195" s="286"/>
      <c r="G195" s="286"/>
      <c r="H195" s="286"/>
      <c r="I195" s="286"/>
      <c r="J195" s="286"/>
      <c r="K195" s="286"/>
      <c r="L195" s="286"/>
      <c r="M195" s="286"/>
      <c r="N195" s="286"/>
      <c r="O195" s="286"/>
      <c r="P195" s="286"/>
      <c r="Q195" s="286"/>
      <c r="R195" s="286"/>
      <c r="S195" s="286"/>
      <c r="T195" s="286"/>
      <c r="U195" s="286"/>
      <c r="V195" s="347">
        <v>8.14</v>
      </c>
      <c r="W195" s="289" t="s">
        <v>115</v>
      </c>
      <c r="X195" s="5"/>
    </row>
    <row r="196" spans="1:24" ht="15.75" x14ac:dyDescent="0.25">
      <c r="A196" s="285"/>
      <c r="B196" s="286" t="s">
        <v>198</v>
      </c>
      <c r="C196" s="286"/>
      <c r="D196" s="286"/>
      <c r="E196" s="286"/>
      <c r="F196" s="286"/>
      <c r="G196" s="286"/>
      <c r="H196" s="286"/>
      <c r="I196" s="286"/>
      <c r="J196" s="286"/>
      <c r="K196" s="286"/>
      <c r="L196" s="286"/>
      <c r="M196" s="286"/>
      <c r="N196" s="286"/>
      <c r="O196" s="286"/>
      <c r="P196" s="286"/>
      <c r="Q196" s="286"/>
      <c r="R196" s="286"/>
      <c r="S196" s="286"/>
      <c r="T196" s="286"/>
      <c r="U196" s="286"/>
      <c r="V196" s="343">
        <f>(V101+V103+V104+V105+V106+V107+V108+V109+V110)/-(V111)</f>
        <v>10.113846153846154</v>
      </c>
      <c r="W196" s="289" t="s">
        <v>115</v>
      </c>
      <c r="X196" s="5"/>
    </row>
    <row r="197" spans="1:24" ht="15.75" x14ac:dyDescent="0.25">
      <c r="A197" s="285"/>
      <c r="B197" s="286" t="s">
        <v>199</v>
      </c>
      <c r="C197" s="286"/>
      <c r="D197" s="286"/>
      <c r="E197" s="286"/>
      <c r="F197" s="286"/>
      <c r="G197" s="286"/>
      <c r="H197" s="286"/>
      <c r="I197" s="286"/>
      <c r="J197" s="286"/>
      <c r="K197" s="286"/>
      <c r="L197" s="286"/>
      <c r="M197" s="286"/>
      <c r="N197" s="286"/>
      <c r="O197" s="286"/>
      <c r="P197" s="286"/>
      <c r="Q197" s="286"/>
      <c r="R197" s="286"/>
      <c r="S197" s="286"/>
      <c r="T197" s="286"/>
      <c r="U197" s="286"/>
      <c r="V197" s="347">
        <v>6.19</v>
      </c>
      <c r="W197" s="289" t="s">
        <v>115</v>
      </c>
      <c r="X197" s="5"/>
    </row>
    <row r="198" spans="1:24" ht="15.75" x14ac:dyDescent="0.25">
      <c r="A198" s="285"/>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9"/>
      <c r="X198" s="5"/>
    </row>
    <row r="199" spans="1:24" ht="15.75" x14ac:dyDescent="0.25">
      <c r="A199" s="181"/>
      <c r="B199" s="346"/>
      <c r="C199" s="346"/>
      <c r="D199" s="346"/>
      <c r="E199" s="346"/>
      <c r="F199" s="346"/>
      <c r="G199" s="346"/>
      <c r="H199" s="346"/>
      <c r="I199" s="346"/>
      <c r="J199" s="346"/>
      <c r="K199" s="346"/>
      <c r="L199" s="346"/>
      <c r="M199" s="346"/>
      <c r="N199" s="346"/>
      <c r="O199" s="346"/>
      <c r="P199" s="346"/>
      <c r="Q199" s="346"/>
      <c r="R199" s="346"/>
      <c r="S199" s="346"/>
      <c r="T199" s="346"/>
      <c r="U199" s="346"/>
      <c r="V199" s="346"/>
      <c r="W199" s="346"/>
      <c r="X199" s="5"/>
    </row>
    <row r="200" spans="1:24" ht="15.75" x14ac:dyDescent="0.25">
      <c r="A200" s="181"/>
      <c r="B200" s="255"/>
      <c r="C200" s="255"/>
      <c r="D200" s="255"/>
      <c r="E200" s="255"/>
      <c r="F200" s="255"/>
      <c r="G200" s="255"/>
      <c r="H200" s="255"/>
      <c r="I200" s="255"/>
      <c r="J200" s="255"/>
      <c r="K200" s="255"/>
      <c r="L200" s="255"/>
      <c r="M200" s="255"/>
      <c r="N200" s="255"/>
      <c r="O200" s="255"/>
      <c r="P200" s="255"/>
      <c r="Q200" s="255"/>
      <c r="R200" s="255"/>
      <c r="S200" s="255"/>
      <c r="T200" s="255"/>
      <c r="U200" s="255"/>
      <c r="V200" s="255"/>
      <c r="W200" s="255"/>
      <c r="X200" s="5"/>
    </row>
    <row r="201" spans="1:24" ht="19.5" thickBot="1" x14ac:dyDescent="0.35">
      <c r="A201" s="197"/>
      <c r="B201" s="270" t="str">
        <f>B135</f>
        <v>PM15 INVESTOR REPORT QUARTER ENDING AUGUST 2013</v>
      </c>
      <c r="C201" s="271"/>
      <c r="D201" s="271"/>
      <c r="E201" s="271"/>
      <c r="F201" s="271"/>
      <c r="G201" s="271"/>
      <c r="H201" s="271"/>
      <c r="I201" s="271"/>
      <c r="J201" s="271"/>
      <c r="K201" s="271"/>
      <c r="L201" s="271"/>
      <c r="M201" s="271"/>
      <c r="N201" s="271"/>
      <c r="O201" s="271"/>
      <c r="P201" s="271"/>
      <c r="Q201" s="271"/>
      <c r="R201" s="271"/>
      <c r="S201" s="271"/>
      <c r="T201" s="271"/>
      <c r="U201" s="271"/>
      <c r="V201" s="271"/>
      <c r="W201" s="272"/>
      <c r="X201" s="5"/>
    </row>
    <row r="202" spans="1:24" ht="15.75" x14ac:dyDescent="0.25">
      <c r="A202" s="236"/>
      <c r="B202" s="403" t="s">
        <v>70</v>
      </c>
      <c r="C202" s="404"/>
      <c r="D202" s="404"/>
      <c r="E202" s="404"/>
      <c r="F202" s="404"/>
      <c r="G202" s="405"/>
      <c r="H202" s="405"/>
      <c r="I202" s="405"/>
      <c r="J202" s="405"/>
      <c r="K202" s="405"/>
      <c r="L202" s="405"/>
      <c r="M202" s="405"/>
      <c r="N202" s="405"/>
      <c r="O202" s="405"/>
      <c r="P202" s="405"/>
      <c r="Q202" s="405"/>
      <c r="R202" s="405"/>
      <c r="S202" s="405"/>
      <c r="T202" s="405">
        <v>41516</v>
      </c>
      <c r="U202" s="238"/>
      <c r="V202" s="238"/>
      <c r="W202" s="238"/>
      <c r="X202" s="5"/>
    </row>
    <row r="203" spans="1:24" ht="15.75" x14ac:dyDescent="0.25">
      <c r="A203" s="218"/>
      <c r="B203" s="219"/>
      <c r="C203" s="220"/>
      <c r="D203" s="220"/>
      <c r="E203" s="220"/>
      <c r="F203" s="220"/>
      <c r="G203" s="221"/>
      <c r="H203" s="221"/>
      <c r="I203" s="221"/>
      <c r="J203" s="221"/>
      <c r="K203" s="221"/>
      <c r="L203" s="221"/>
      <c r="M203" s="221"/>
      <c r="N203" s="221"/>
      <c r="O203" s="221"/>
      <c r="P203" s="221"/>
      <c r="Q203" s="221"/>
      <c r="R203" s="221"/>
      <c r="S203" s="221"/>
      <c r="T203" s="221"/>
      <c r="U203" s="183"/>
      <c r="V203" s="183"/>
      <c r="W203" s="183"/>
      <c r="X203" s="5"/>
    </row>
    <row r="204" spans="1:24" ht="15.75" x14ac:dyDescent="0.25">
      <c r="A204" s="350"/>
      <c r="B204" s="286" t="s">
        <v>71</v>
      </c>
      <c r="C204" s="406"/>
      <c r="D204" s="406"/>
      <c r="E204" s="406"/>
      <c r="F204" s="406"/>
      <c r="G204" s="397"/>
      <c r="H204" s="397"/>
      <c r="I204" s="397"/>
      <c r="J204" s="397"/>
      <c r="K204" s="397"/>
      <c r="L204" s="397"/>
      <c r="M204" s="397"/>
      <c r="N204" s="397"/>
      <c r="O204" s="397"/>
      <c r="P204" s="397"/>
      <c r="Q204" s="397"/>
      <c r="R204" s="397"/>
      <c r="S204" s="397"/>
      <c r="T204" s="321">
        <v>5.3830000000000003E-2</v>
      </c>
      <c r="U204" s="286"/>
      <c r="V204" s="286"/>
      <c r="W204" s="289"/>
      <c r="X204" s="5"/>
    </row>
    <row r="205" spans="1:24" ht="15.75" x14ac:dyDescent="0.25">
      <c r="A205" s="350"/>
      <c r="B205" s="286" t="s">
        <v>151</v>
      </c>
      <c r="C205" s="406"/>
      <c r="D205" s="406"/>
      <c r="E205" s="406"/>
      <c r="F205" s="406"/>
      <c r="G205" s="397"/>
      <c r="H205" s="397"/>
      <c r="I205" s="397"/>
      <c r="J205" s="397"/>
      <c r="K205" s="397"/>
      <c r="L205" s="397"/>
      <c r="M205" s="397"/>
      <c r="N205" s="397"/>
      <c r="O205" s="397"/>
      <c r="P205" s="397"/>
      <c r="Q205" s="397"/>
      <c r="R205" s="397"/>
      <c r="S205" s="397"/>
      <c r="T205" s="321">
        <v>6.25E-2</v>
      </c>
      <c r="U205" s="286"/>
      <c r="V205" s="286"/>
      <c r="W205" s="289"/>
      <c r="X205" s="5"/>
    </row>
    <row r="206" spans="1:24" ht="15.75" x14ac:dyDescent="0.25">
      <c r="A206" s="350"/>
      <c r="B206" s="286" t="s">
        <v>72</v>
      </c>
      <c r="C206" s="406"/>
      <c r="D206" s="406"/>
      <c r="E206" s="406"/>
      <c r="F206" s="406"/>
      <c r="G206" s="397"/>
      <c r="H206" s="397"/>
      <c r="I206" s="397"/>
      <c r="J206" s="397"/>
      <c r="K206" s="397"/>
      <c r="L206" s="397"/>
      <c r="M206" s="397"/>
      <c r="N206" s="397"/>
      <c r="O206" s="397"/>
      <c r="P206" s="397"/>
      <c r="Q206" s="397"/>
      <c r="R206" s="397"/>
      <c r="S206" s="397"/>
      <c r="T206" s="321">
        <f>T204-T205</f>
        <v>-8.6699999999999972E-3</v>
      </c>
      <c r="U206" s="286"/>
      <c r="V206" s="286"/>
      <c r="W206" s="289"/>
      <c r="X206" s="5"/>
    </row>
    <row r="207" spans="1:24" ht="15.75" x14ac:dyDescent="0.25">
      <c r="A207" s="350"/>
      <c r="B207" s="286" t="s">
        <v>73</v>
      </c>
      <c r="C207" s="406"/>
      <c r="D207" s="406"/>
      <c r="E207" s="406"/>
      <c r="F207" s="406"/>
      <c r="G207" s="397"/>
      <c r="H207" s="397"/>
      <c r="I207" s="397"/>
      <c r="J207" s="397"/>
      <c r="K207" s="397"/>
      <c r="L207" s="397"/>
      <c r="M207" s="397"/>
      <c r="N207" s="397"/>
      <c r="O207" s="397"/>
      <c r="P207" s="397"/>
      <c r="Q207" s="397"/>
      <c r="R207" s="397"/>
      <c r="S207" s="397"/>
      <c r="T207" s="321">
        <v>2.4819999999999998E-2</v>
      </c>
      <c r="U207" s="286"/>
      <c r="V207" s="286"/>
      <c r="W207" s="289"/>
      <c r="X207" s="5"/>
    </row>
    <row r="208" spans="1:24" ht="15.75" x14ac:dyDescent="0.25">
      <c r="A208" s="350"/>
      <c r="B208" s="286" t="s">
        <v>218</v>
      </c>
      <c r="C208" s="406"/>
      <c r="D208" s="406"/>
      <c r="E208" s="406"/>
      <c r="F208" s="406"/>
      <c r="G208" s="397"/>
      <c r="H208" s="397"/>
      <c r="I208" s="397"/>
      <c r="J208" s="397"/>
      <c r="K208" s="397"/>
      <c r="L208" s="397"/>
      <c r="M208" s="397"/>
      <c r="N208" s="397"/>
      <c r="O208" s="397"/>
      <c r="P208" s="397"/>
      <c r="Q208" s="397"/>
      <c r="R208" s="397"/>
      <c r="S208" s="397"/>
      <c r="T208" s="321">
        <f>V43</f>
        <v>8.6415554398721981E-3</v>
      </c>
      <c r="U208" s="286"/>
      <c r="V208" s="286"/>
      <c r="W208" s="289"/>
      <c r="X208" s="5"/>
    </row>
    <row r="209" spans="1:24" ht="15.75" x14ac:dyDescent="0.25">
      <c r="A209" s="350"/>
      <c r="B209" s="286" t="s">
        <v>74</v>
      </c>
      <c r="C209" s="406"/>
      <c r="D209" s="406"/>
      <c r="E209" s="406"/>
      <c r="F209" s="406"/>
      <c r="G209" s="397"/>
      <c r="H209" s="397"/>
      <c r="I209" s="397"/>
      <c r="J209" s="397"/>
      <c r="K209" s="397"/>
      <c r="L209" s="397"/>
      <c r="M209" s="397"/>
      <c r="N209" s="397"/>
      <c r="O209" s="397"/>
      <c r="P209" s="397"/>
      <c r="Q209" s="397"/>
      <c r="R209" s="397"/>
      <c r="S209" s="397"/>
      <c r="T209" s="321">
        <f>T207-T208</f>
        <v>1.6178444560127798E-2</v>
      </c>
      <c r="U209" s="286"/>
      <c r="V209" s="286"/>
      <c r="W209" s="289"/>
      <c r="X209" s="5"/>
    </row>
    <row r="210" spans="1:24" ht="15.75" x14ac:dyDescent="0.25">
      <c r="A210" s="350"/>
      <c r="B210" s="286" t="s">
        <v>227</v>
      </c>
      <c r="C210" s="406"/>
      <c r="D210" s="406"/>
      <c r="E210" s="406"/>
      <c r="F210" s="406"/>
      <c r="G210" s="397"/>
      <c r="H210" s="397"/>
      <c r="I210" s="397"/>
      <c r="J210" s="397"/>
      <c r="K210" s="397"/>
      <c r="L210" s="397"/>
      <c r="M210" s="397"/>
      <c r="N210" s="397"/>
      <c r="O210" s="397"/>
      <c r="P210" s="397"/>
      <c r="Q210" s="397"/>
      <c r="R210" s="397"/>
      <c r="S210" s="397"/>
      <c r="T210" s="321">
        <f>V101/N71</f>
        <v>6.4807694935509075E-3</v>
      </c>
      <c r="U210" s="286"/>
      <c r="V210" s="286"/>
      <c r="W210" s="289"/>
      <c r="X210" s="5"/>
    </row>
    <row r="211" spans="1:24" ht="15.75" x14ac:dyDescent="0.25">
      <c r="A211" s="350"/>
      <c r="B211" s="286" t="s">
        <v>207</v>
      </c>
      <c r="C211" s="406"/>
      <c r="D211" s="406"/>
      <c r="E211" s="406"/>
      <c r="F211" s="406"/>
      <c r="G211" s="397"/>
      <c r="H211" s="397"/>
      <c r="I211" s="397"/>
      <c r="J211" s="397"/>
      <c r="K211" s="397"/>
      <c r="L211" s="397"/>
      <c r="M211" s="397"/>
      <c r="N211" s="397"/>
      <c r="O211" s="397"/>
      <c r="P211" s="397"/>
      <c r="Q211" s="397"/>
      <c r="R211" s="397"/>
      <c r="S211" s="397"/>
      <c r="T211" s="352">
        <v>51105</v>
      </c>
      <c r="U211" s="286"/>
      <c r="V211" s="286"/>
      <c r="W211" s="289"/>
      <c r="X211" s="5"/>
    </row>
    <row r="212" spans="1:24" ht="15.75" x14ac:dyDescent="0.25">
      <c r="A212" s="350"/>
      <c r="B212" s="286" t="s">
        <v>208</v>
      </c>
      <c r="C212" s="406"/>
      <c r="D212" s="406"/>
      <c r="E212" s="406"/>
      <c r="F212" s="406"/>
      <c r="G212" s="397"/>
      <c r="H212" s="397"/>
      <c r="I212" s="397"/>
      <c r="J212" s="397"/>
      <c r="K212" s="397"/>
      <c r="L212" s="397"/>
      <c r="M212" s="397"/>
      <c r="N212" s="397"/>
      <c r="O212" s="397"/>
      <c r="P212" s="397"/>
      <c r="Q212" s="397"/>
      <c r="R212" s="397"/>
      <c r="S212" s="397"/>
      <c r="T212" s="352">
        <v>51105</v>
      </c>
      <c r="U212" s="286"/>
      <c r="V212" s="286"/>
      <c r="W212" s="289"/>
      <c r="X212" s="5"/>
    </row>
    <row r="213" spans="1:24" ht="15.75" x14ac:dyDescent="0.25">
      <c r="A213" s="350"/>
      <c r="B213" s="286" t="s">
        <v>209</v>
      </c>
      <c r="C213" s="406"/>
      <c r="D213" s="406"/>
      <c r="E213" s="406"/>
      <c r="F213" s="406"/>
      <c r="G213" s="397"/>
      <c r="H213" s="397"/>
      <c r="I213" s="397"/>
      <c r="J213" s="397"/>
      <c r="K213" s="397"/>
      <c r="L213" s="397"/>
      <c r="M213" s="397"/>
      <c r="N213" s="397"/>
      <c r="O213" s="397"/>
      <c r="P213" s="397"/>
      <c r="Q213" s="397"/>
      <c r="R213" s="397"/>
      <c r="S213" s="397"/>
      <c r="T213" s="352">
        <v>51105</v>
      </c>
      <c r="U213" s="286"/>
      <c r="V213" s="286"/>
      <c r="W213" s="289"/>
      <c r="X213" s="5"/>
    </row>
    <row r="214" spans="1:24" ht="15.75" x14ac:dyDescent="0.25">
      <c r="A214" s="350"/>
      <c r="B214" s="286" t="s">
        <v>75</v>
      </c>
      <c r="C214" s="406"/>
      <c r="D214" s="406"/>
      <c r="E214" s="406"/>
      <c r="F214" s="406"/>
      <c r="G214" s="397"/>
      <c r="H214" s="397"/>
      <c r="I214" s="397"/>
      <c r="J214" s="397"/>
      <c r="K214" s="397"/>
      <c r="L214" s="397"/>
      <c r="M214" s="397"/>
      <c r="N214" s="397"/>
      <c r="O214" s="397"/>
      <c r="P214" s="397"/>
      <c r="Q214" s="397"/>
      <c r="R214" s="397"/>
      <c r="S214" s="397"/>
      <c r="T214" s="327">
        <v>21.06</v>
      </c>
      <c r="U214" s="286" t="s">
        <v>110</v>
      </c>
      <c r="V214" s="286"/>
      <c r="W214" s="289"/>
      <c r="X214" s="5"/>
    </row>
    <row r="215" spans="1:24" ht="15.75" x14ac:dyDescent="0.25">
      <c r="A215" s="350"/>
      <c r="B215" s="286" t="s">
        <v>76</v>
      </c>
      <c r="C215" s="406"/>
      <c r="D215" s="406"/>
      <c r="E215" s="406"/>
      <c r="F215" s="406"/>
      <c r="G215" s="397"/>
      <c r="H215" s="397"/>
      <c r="I215" s="397"/>
      <c r="J215" s="397"/>
      <c r="K215" s="397"/>
      <c r="L215" s="397"/>
      <c r="M215" s="397"/>
      <c r="N215" s="397"/>
      <c r="O215" s="397"/>
      <c r="P215" s="397"/>
      <c r="Q215" s="397"/>
      <c r="R215" s="397"/>
      <c r="S215" s="397"/>
      <c r="T215" s="327">
        <v>15.18</v>
      </c>
      <c r="U215" s="286" t="s">
        <v>110</v>
      </c>
      <c r="V215" s="286"/>
      <c r="W215" s="289"/>
      <c r="X215" s="5"/>
    </row>
    <row r="216" spans="1:24" ht="15.75" x14ac:dyDescent="0.25">
      <c r="A216" s="350"/>
      <c r="B216" s="286" t="s">
        <v>77</v>
      </c>
      <c r="C216" s="406"/>
      <c r="D216" s="406"/>
      <c r="E216" s="406"/>
      <c r="F216" s="406"/>
      <c r="G216" s="397"/>
      <c r="H216" s="397"/>
      <c r="I216" s="397"/>
      <c r="J216" s="397"/>
      <c r="K216" s="397"/>
      <c r="L216" s="397"/>
      <c r="M216" s="397"/>
      <c r="N216" s="397"/>
      <c r="O216" s="397"/>
      <c r="P216" s="397"/>
      <c r="Q216" s="397"/>
      <c r="R216" s="397"/>
      <c r="S216" s="397"/>
      <c r="T216" s="321">
        <f>+P68/N68</f>
        <v>8.4385407647481914E-3</v>
      </c>
      <c r="U216" s="286"/>
      <c r="V216" s="286"/>
      <c r="W216" s="289"/>
      <c r="X216" s="5"/>
    </row>
    <row r="217" spans="1:24" ht="15.75" x14ac:dyDescent="0.25">
      <c r="A217" s="350"/>
      <c r="B217" s="286" t="s">
        <v>78</v>
      </c>
      <c r="C217" s="406"/>
      <c r="D217" s="406"/>
      <c r="E217" s="406"/>
      <c r="F217" s="406"/>
      <c r="G217" s="397"/>
      <c r="H217" s="397"/>
      <c r="I217" s="397"/>
      <c r="J217" s="397"/>
      <c r="K217" s="397"/>
      <c r="L217" s="397"/>
      <c r="M217" s="397"/>
      <c r="N217" s="397"/>
      <c r="O217" s="397"/>
      <c r="P217" s="397"/>
      <c r="Q217" s="397"/>
      <c r="R217" s="397"/>
      <c r="S217" s="397"/>
      <c r="T217" s="321">
        <v>3.85E-2</v>
      </c>
      <c r="U217" s="286"/>
      <c r="V217" s="286"/>
      <c r="W217" s="289"/>
      <c r="X217" s="5"/>
    </row>
    <row r="218" spans="1:24" ht="15.75" x14ac:dyDescent="0.25">
      <c r="A218" s="218"/>
      <c r="B218" s="348"/>
      <c r="C218" s="348"/>
      <c r="D218" s="348"/>
      <c r="E218" s="348"/>
      <c r="F218" s="348"/>
      <c r="G218" s="212"/>
      <c r="H218" s="212"/>
      <c r="I218" s="212"/>
      <c r="J218" s="212"/>
      <c r="K218" s="212"/>
      <c r="L218" s="212"/>
      <c r="M218" s="212"/>
      <c r="N218" s="212"/>
      <c r="O218" s="212"/>
      <c r="P218" s="212"/>
      <c r="Q218" s="212"/>
      <c r="R218" s="212"/>
      <c r="S218" s="212"/>
      <c r="T218" s="344"/>
      <c r="U218" s="212"/>
      <c r="V218" s="349"/>
      <c r="W218" s="212"/>
      <c r="X218" s="5"/>
    </row>
    <row r="219" spans="1:24" ht="15.75" x14ac:dyDescent="0.25">
      <c r="A219" s="242"/>
      <c r="B219" s="399" t="s">
        <v>79</v>
      </c>
      <c r="C219" s="400"/>
      <c r="D219" s="400"/>
      <c r="E219" s="400"/>
      <c r="F219" s="407"/>
      <c r="G219" s="400"/>
      <c r="H219" s="400"/>
      <c r="I219" s="400"/>
      <c r="J219" s="400"/>
      <c r="K219" s="400"/>
      <c r="L219" s="400"/>
      <c r="M219" s="400"/>
      <c r="N219" s="400"/>
      <c r="O219" s="400"/>
      <c r="P219" s="400"/>
      <c r="Q219" s="400"/>
      <c r="R219" s="400"/>
      <c r="S219" s="400" t="s">
        <v>102</v>
      </c>
      <c r="T219" s="407" t="s">
        <v>108</v>
      </c>
      <c r="U219" s="225"/>
      <c r="V219" s="225"/>
      <c r="W219" s="225"/>
      <c r="X219" s="5"/>
    </row>
    <row r="220" spans="1:24" ht="15.75" x14ac:dyDescent="0.25">
      <c r="A220" s="222"/>
      <c r="B220" s="250" t="s">
        <v>80</v>
      </c>
      <c r="C220" s="249"/>
      <c r="D220" s="249"/>
      <c r="E220" s="249"/>
      <c r="F220" s="250"/>
      <c r="G220" s="250"/>
      <c r="H220" s="268"/>
      <c r="I220" s="268"/>
      <c r="J220" s="268"/>
      <c r="K220" s="268"/>
      <c r="L220" s="268"/>
      <c r="M220" s="268"/>
      <c r="N220" s="268"/>
      <c r="O220" s="268"/>
      <c r="P220" s="268"/>
      <c r="Q220" s="268"/>
      <c r="R220" s="268"/>
      <c r="S220" s="268">
        <v>9</v>
      </c>
      <c r="T220" s="269">
        <v>774</v>
      </c>
      <c r="U220" s="250"/>
      <c r="V220" s="266"/>
      <c r="W220" s="223"/>
      <c r="X220" s="5"/>
    </row>
    <row r="221" spans="1:24" ht="15.75" x14ac:dyDescent="0.25">
      <c r="A221" s="358"/>
      <c r="B221" s="286" t="s">
        <v>145</v>
      </c>
      <c r="C221" s="337"/>
      <c r="D221" s="337"/>
      <c r="E221" s="337"/>
      <c r="F221" s="286"/>
      <c r="G221" s="286"/>
      <c r="H221" s="296"/>
      <c r="I221" s="296"/>
      <c r="J221" s="296"/>
      <c r="K221" s="296"/>
      <c r="L221" s="296"/>
      <c r="M221" s="296"/>
      <c r="N221" s="296"/>
      <c r="O221" s="296"/>
      <c r="P221" s="296"/>
      <c r="Q221" s="296"/>
      <c r="R221" s="296"/>
      <c r="S221" s="359">
        <f>+R273</f>
        <v>122</v>
      </c>
      <c r="T221" s="360">
        <f>+T273</f>
        <v>17575</v>
      </c>
      <c r="U221" s="286"/>
      <c r="V221" s="361"/>
      <c r="W221" s="362"/>
      <c r="X221" s="5"/>
    </row>
    <row r="222" spans="1:24" ht="15.75" x14ac:dyDescent="0.25">
      <c r="A222" s="358"/>
      <c r="B222" s="286" t="s">
        <v>81</v>
      </c>
      <c r="C222" s="337"/>
      <c r="D222" s="337"/>
      <c r="E222" s="337"/>
      <c r="F222" s="286"/>
      <c r="G222" s="286"/>
      <c r="H222" s="296"/>
      <c r="I222" s="296"/>
      <c r="J222" s="296"/>
      <c r="K222" s="296"/>
      <c r="L222" s="296"/>
      <c r="M222" s="296"/>
      <c r="N222" s="296"/>
      <c r="O222" s="296"/>
      <c r="P222" s="296"/>
      <c r="Q222" s="296"/>
      <c r="R222" s="296"/>
      <c r="S222" s="359">
        <f>+R285</f>
        <v>0</v>
      </c>
      <c r="T222" s="360">
        <f>+T285</f>
        <v>0</v>
      </c>
      <c r="U222" s="286"/>
      <c r="V222" s="361"/>
      <c r="W222" s="362"/>
      <c r="X222" s="5"/>
    </row>
    <row r="223" spans="1:24" ht="15.75" x14ac:dyDescent="0.25">
      <c r="A223" s="358"/>
      <c r="B223" s="313" t="s">
        <v>82</v>
      </c>
      <c r="C223" s="363"/>
      <c r="D223" s="363"/>
      <c r="E223" s="363"/>
      <c r="F223" s="314"/>
      <c r="G223" s="314"/>
      <c r="H223" s="314"/>
      <c r="I223" s="314"/>
      <c r="J223" s="314"/>
      <c r="K223" s="314"/>
      <c r="L223" s="314"/>
      <c r="M223" s="314"/>
      <c r="N223" s="314"/>
      <c r="O223" s="314"/>
      <c r="P223" s="314"/>
      <c r="Q223" s="314"/>
      <c r="R223" s="314"/>
      <c r="S223" s="286"/>
      <c r="T223" s="360">
        <v>0</v>
      </c>
      <c r="U223" s="314"/>
      <c r="V223" s="364"/>
      <c r="W223" s="362"/>
      <c r="X223" s="5"/>
    </row>
    <row r="224" spans="1:24" ht="15.75" x14ac:dyDescent="0.25">
      <c r="A224" s="358"/>
      <c r="B224" s="313" t="s">
        <v>228</v>
      </c>
      <c r="C224" s="363"/>
      <c r="D224" s="363"/>
      <c r="E224" s="363"/>
      <c r="F224" s="314"/>
      <c r="G224" s="314"/>
      <c r="H224" s="314"/>
      <c r="I224" s="314"/>
      <c r="J224" s="314"/>
      <c r="K224" s="314"/>
      <c r="L224" s="314"/>
      <c r="M224" s="314"/>
      <c r="N224" s="314"/>
      <c r="O224" s="314"/>
      <c r="P224" s="314"/>
      <c r="Q224" s="314"/>
      <c r="R224" s="314"/>
      <c r="S224" s="286"/>
      <c r="T224" s="360">
        <f>+N81</f>
        <v>0</v>
      </c>
      <c r="U224" s="314"/>
      <c r="V224" s="364"/>
      <c r="W224" s="362"/>
      <c r="X224" s="5"/>
    </row>
    <row r="225" spans="1:24" ht="15.75" x14ac:dyDescent="0.25">
      <c r="A225" s="365"/>
      <c r="B225" s="313" t="s">
        <v>83</v>
      </c>
      <c r="C225" s="366"/>
      <c r="D225" s="366"/>
      <c r="E225" s="366"/>
      <c r="F225" s="366"/>
      <c r="G225" s="314"/>
      <c r="H225" s="314"/>
      <c r="I225" s="314"/>
      <c r="J225" s="314"/>
      <c r="K225" s="314"/>
      <c r="L225" s="314"/>
      <c r="M225" s="314"/>
      <c r="N225" s="314"/>
      <c r="O225" s="314"/>
      <c r="P225" s="314"/>
      <c r="Q225" s="314"/>
      <c r="R225" s="314"/>
      <c r="S225" s="286"/>
      <c r="T225" s="360"/>
      <c r="U225" s="314"/>
      <c r="V225" s="364"/>
      <c r="W225" s="367"/>
      <c r="X225" s="5"/>
    </row>
    <row r="226" spans="1:24" ht="15.75" x14ac:dyDescent="0.25">
      <c r="A226" s="365"/>
      <c r="B226" s="286" t="s">
        <v>84</v>
      </c>
      <c r="C226" s="366"/>
      <c r="D226" s="366"/>
      <c r="E226" s="366"/>
      <c r="F226" s="366"/>
      <c r="G226" s="314"/>
      <c r="H226" s="314"/>
      <c r="I226" s="314"/>
      <c r="J226" s="314"/>
      <c r="K226" s="314"/>
      <c r="L226" s="314"/>
      <c r="M226" s="314"/>
      <c r="N226" s="314"/>
      <c r="O226" s="314"/>
      <c r="P226" s="314"/>
      <c r="Q226" s="314"/>
      <c r="R226" s="314"/>
      <c r="S226" s="296"/>
      <c r="T226" s="360">
        <f>V164</f>
        <v>306</v>
      </c>
      <c r="U226" s="314"/>
      <c r="V226" s="364"/>
      <c r="W226" s="367"/>
      <c r="X226" s="5"/>
    </row>
    <row r="227" spans="1:24" ht="15.75" x14ac:dyDescent="0.25">
      <c r="A227" s="358"/>
      <c r="B227" s="286" t="s">
        <v>85</v>
      </c>
      <c r="C227" s="363"/>
      <c r="D227" s="363"/>
      <c r="E227" s="363"/>
      <c r="F227" s="363"/>
      <c r="G227" s="314"/>
      <c r="H227" s="314"/>
      <c r="I227" s="314"/>
      <c r="J227" s="314"/>
      <c r="K227" s="314"/>
      <c r="L227" s="314"/>
      <c r="M227" s="314"/>
      <c r="N227" s="314"/>
      <c r="O227" s="314"/>
      <c r="P227" s="314"/>
      <c r="Q227" s="314"/>
      <c r="R227" s="314"/>
      <c r="S227" s="296"/>
      <c r="T227" s="360">
        <f>'May 13'!T227+T226</f>
        <v>5946</v>
      </c>
      <c r="U227" s="314"/>
      <c r="V227" s="364"/>
      <c r="W227" s="367"/>
      <c r="X227" s="5"/>
    </row>
    <row r="228" spans="1:24" ht="15.75" x14ac:dyDescent="0.25">
      <c r="A228" s="365"/>
      <c r="B228" s="313" t="s">
        <v>285</v>
      </c>
      <c r="C228" s="366"/>
      <c r="D228" s="366"/>
      <c r="E228" s="366"/>
      <c r="F228" s="366"/>
      <c r="G228" s="314"/>
      <c r="H228" s="314"/>
      <c r="I228" s="314"/>
      <c r="J228" s="314"/>
      <c r="K228" s="314"/>
      <c r="L228" s="314"/>
      <c r="M228" s="314"/>
      <c r="N228" s="314"/>
      <c r="O228" s="314"/>
      <c r="P228" s="314"/>
      <c r="Q228" s="314"/>
      <c r="R228" s="314"/>
      <c r="S228" s="296"/>
      <c r="T228" s="360"/>
      <c r="U228" s="314"/>
      <c r="V228" s="364"/>
      <c r="W228" s="367"/>
      <c r="X228" s="5"/>
    </row>
    <row r="229" spans="1:24" ht="15.75" x14ac:dyDescent="0.25">
      <c r="A229" s="365"/>
      <c r="B229" s="286" t="s">
        <v>282</v>
      </c>
      <c r="C229" s="366"/>
      <c r="D229" s="366"/>
      <c r="E229" s="366"/>
      <c r="F229" s="366"/>
      <c r="G229" s="314"/>
      <c r="H229" s="314"/>
      <c r="I229" s="314"/>
      <c r="J229" s="314"/>
      <c r="K229" s="314"/>
      <c r="L229" s="314"/>
      <c r="M229" s="314"/>
      <c r="N229" s="314"/>
      <c r="O229" s="314"/>
      <c r="P229" s="314"/>
      <c r="Q229" s="314"/>
      <c r="R229" s="314"/>
      <c r="S229" s="296">
        <v>0</v>
      </c>
      <c r="T229" s="360">
        <v>0</v>
      </c>
      <c r="U229" s="314"/>
      <c r="V229" s="364"/>
      <c r="W229" s="367"/>
      <c r="X229" s="5"/>
    </row>
    <row r="230" spans="1:24" ht="15.75" x14ac:dyDescent="0.25">
      <c r="A230" s="358"/>
      <c r="B230" s="286" t="s">
        <v>86</v>
      </c>
      <c r="C230" s="368"/>
      <c r="D230" s="368"/>
      <c r="E230" s="368"/>
      <c r="F230" s="369"/>
      <c r="G230" s="314"/>
      <c r="H230" s="314"/>
      <c r="I230" s="314"/>
      <c r="J230" s="314"/>
      <c r="K230" s="314"/>
      <c r="L230" s="314"/>
      <c r="M230" s="314"/>
      <c r="N230" s="314"/>
      <c r="O230" s="314"/>
      <c r="P230" s="314"/>
      <c r="Q230" s="314"/>
      <c r="R230" s="314"/>
      <c r="S230" s="286"/>
      <c r="T230" s="370">
        <v>0</v>
      </c>
      <c r="U230" s="314"/>
      <c r="V230" s="364"/>
      <c r="W230" s="367"/>
      <c r="X230" s="5"/>
    </row>
    <row r="231" spans="1:24" ht="15.75" x14ac:dyDescent="0.25">
      <c r="A231" s="358"/>
      <c r="B231" s="286" t="s">
        <v>87</v>
      </c>
      <c r="C231" s="368"/>
      <c r="D231" s="368"/>
      <c r="E231" s="368"/>
      <c r="F231" s="369"/>
      <c r="G231" s="314"/>
      <c r="H231" s="314"/>
      <c r="I231" s="314"/>
      <c r="J231" s="314"/>
      <c r="K231" s="314"/>
      <c r="L231" s="314"/>
      <c r="M231" s="314"/>
      <c r="N231" s="314"/>
      <c r="O231" s="314"/>
      <c r="P231" s="314"/>
      <c r="Q231" s="314"/>
      <c r="R231" s="314"/>
      <c r="S231" s="286"/>
      <c r="T231" s="370">
        <v>0</v>
      </c>
      <c r="U231" s="314"/>
      <c r="V231" s="364"/>
      <c r="W231" s="367"/>
      <c r="X231" s="5"/>
    </row>
    <row r="232" spans="1:24" ht="15.75" x14ac:dyDescent="0.25">
      <c r="A232" s="358"/>
      <c r="B232" s="313" t="s">
        <v>216</v>
      </c>
      <c r="C232" s="368"/>
      <c r="D232" s="368"/>
      <c r="E232" s="368"/>
      <c r="F232" s="369"/>
      <c r="G232" s="314"/>
      <c r="H232" s="314"/>
      <c r="I232" s="314"/>
      <c r="J232" s="314"/>
      <c r="K232" s="314"/>
      <c r="L232" s="314"/>
      <c r="M232" s="314"/>
      <c r="N232" s="314"/>
      <c r="O232" s="314"/>
      <c r="P232" s="314"/>
      <c r="Q232" s="314"/>
      <c r="R232" s="314"/>
      <c r="S232" s="286"/>
      <c r="T232" s="371"/>
      <c r="U232" s="314"/>
      <c r="V232" s="364"/>
      <c r="W232" s="367"/>
      <c r="X232" s="5"/>
    </row>
    <row r="233" spans="1:24" ht="15.75" x14ac:dyDescent="0.25">
      <c r="A233" s="358"/>
      <c r="B233" s="286" t="s">
        <v>282</v>
      </c>
      <c r="C233" s="368"/>
      <c r="D233" s="368"/>
      <c r="E233" s="368"/>
      <c r="F233" s="369"/>
      <c r="G233" s="314"/>
      <c r="H233" s="314"/>
      <c r="I233" s="314"/>
      <c r="J233" s="314"/>
      <c r="K233" s="314"/>
      <c r="L233" s="314"/>
      <c r="M233" s="314"/>
      <c r="N233" s="314"/>
      <c r="O233" s="314"/>
      <c r="P233" s="314"/>
      <c r="Q233" s="314"/>
      <c r="R233" s="314"/>
      <c r="S233" s="296">
        <v>4</v>
      </c>
      <c r="T233" s="360">
        <v>537</v>
      </c>
      <c r="U233" s="314"/>
      <c r="V233" s="364"/>
      <c r="W233" s="367"/>
      <c r="X233" s="5"/>
    </row>
    <row r="234" spans="1:24" ht="15.75" x14ac:dyDescent="0.25">
      <c r="A234" s="358"/>
      <c r="B234" s="286" t="s">
        <v>217</v>
      </c>
      <c r="C234" s="368"/>
      <c r="D234" s="368"/>
      <c r="E234" s="368"/>
      <c r="F234" s="369"/>
      <c r="G234" s="314"/>
      <c r="H234" s="314"/>
      <c r="I234" s="314"/>
      <c r="J234" s="314"/>
      <c r="K234" s="314"/>
      <c r="L234" s="314"/>
      <c r="M234" s="314"/>
      <c r="N234" s="314"/>
      <c r="O234" s="314"/>
      <c r="P234" s="314"/>
      <c r="Q234" s="314"/>
      <c r="R234" s="314"/>
      <c r="S234" s="286"/>
      <c r="T234" s="370">
        <v>8.9499999999999993</v>
      </c>
      <c r="U234" s="314"/>
      <c r="V234" s="364"/>
      <c r="W234" s="367"/>
      <c r="X234" s="5"/>
    </row>
    <row r="235" spans="1:24" ht="15.75" x14ac:dyDescent="0.25">
      <c r="A235" s="358"/>
      <c r="B235" s="366"/>
      <c r="C235" s="368"/>
      <c r="D235" s="368"/>
      <c r="E235" s="368"/>
      <c r="F235" s="369"/>
      <c r="G235" s="314"/>
      <c r="H235" s="314"/>
      <c r="I235" s="314"/>
      <c r="J235" s="314"/>
      <c r="K235" s="314"/>
      <c r="L235" s="314"/>
      <c r="M235" s="314"/>
      <c r="N235" s="314"/>
      <c r="O235" s="314"/>
      <c r="P235" s="314"/>
      <c r="Q235" s="314"/>
      <c r="R235" s="314"/>
      <c r="S235" s="286"/>
      <c r="T235" s="371"/>
      <c r="U235" s="314"/>
      <c r="V235" s="364"/>
      <c r="W235" s="367"/>
      <c r="X235" s="5"/>
    </row>
    <row r="236" spans="1:24" ht="15.75" x14ac:dyDescent="0.25">
      <c r="A236" s="358"/>
      <c r="B236" s="366"/>
      <c r="C236" s="368"/>
      <c r="D236" s="368"/>
      <c r="E236" s="368"/>
      <c r="F236" s="369"/>
      <c r="G236" s="314"/>
      <c r="H236" s="314"/>
      <c r="I236" s="314"/>
      <c r="J236" s="314"/>
      <c r="K236" s="314"/>
      <c r="L236" s="314"/>
      <c r="M236" s="314"/>
      <c r="N236" s="314"/>
      <c r="O236" s="314"/>
      <c r="P236" s="314"/>
      <c r="Q236" s="314"/>
      <c r="R236" s="314"/>
      <c r="S236" s="314"/>
      <c r="T236" s="372"/>
      <c r="U236" s="314"/>
      <c r="V236" s="364"/>
      <c r="W236" s="367"/>
      <c r="X236" s="5"/>
    </row>
    <row r="237" spans="1:24" ht="18.75" x14ac:dyDescent="0.3">
      <c r="A237" s="358"/>
      <c r="B237" s="373" t="s">
        <v>168</v>
      </c>
      <c r="C237" s="368"/>
      <c r="D237" s="368"/>
      <c r="E237" s="368"/>
      <c r="F237" s="369"/>
      <c r="G237" s="314"/>
      <c r="H237" s="314"/>
      <c r="I237" s="314"/>
      <c r="J237" s="314"/>
      <c r="K237" s="314"/>
      <c r="L237" s="314"/>
      <c r="M237" s="314"/>
      <c r="N237" s="314"/>
      <c r="O237" s="314"/>
      <c r="P237" s="374" t="s">
        <v>167</v>
      </c>
      <c r="Q237" s="314"/>
      <c r="R237" s="314"/>
      <c r="S237" s="314"/>
      <c r="T237" s="372"/>
      <c r="U237" s="314"/>
      <c r="V237" s="364"/>
      <c r="W237" s="367"/>
      <c r="X237" s="5"/>
    </row>
    <row r="238" spans="1:24" ht="15.75" x14ac:dyDescent="0.25">
      <c r="A238" s="353"/>
      <c r="B238" s="348"/>
      <c r="C238" s="354"/>
      <c r="D238" s="354"/>
      <c r="E238" s="354"/>
      <c r="F238" s="355"/>
      <c r="G238" s="212"/>
      <c r="H238" s="212"/>
      <c r="I238" s="212"/>
      <c r="J238" s="212"/>
      <c r="K238" s="212"/>
      <c r="L238" s="212"/>
      <c r="M238" s="212"/>
      <c r="N238" s="212"/>
      <c r="O238" s="212"/>
      <c r="P238" s="212"/>
      <c r="Q238" s="212"/>
      <c r="R238" s="212"/>
      <c r="S238" s="212"/>
      <c r="T238" s="356"/>
      <c r="U238" s="212"/>
      <c r="V238" s="349"/>
      <c r="W238" s="357"/>
      <c r="X238" s="5"/>
    </row>
    <row r="239" spans="1:24" ht="15.75" x14ac:dyDescent="0.25">
      <c r="A239" s="224"/>
      <c r="B239" s="399" t="s">
        <v>297</v>
      </c>
      <c r="C239" s="400"/>
      <c r="D239" s="400"/>
      <c r="E239" s="400"/>
      <c r="F239" s="407"/>
      <c r="G239" s="400"/>
      <c r="H239" s="400"/>
      <c r="I239" s="400"/>
      <c r="J239" s="400"/>
      <c r="K239" s="400"/>
      <c r="L239" s="400"/>
      <c r="M239" s="400"/>
      <c r="N239" s="400"/>
      <c r="O239" s="400"/>
      <c r="P239" s="400"/>
      <c r="Q239" s="400"/>
      <c r="R239" s="407" t="s">
        <v>102</v>
      </c>
      <c r="S239" s="400" t="s">
        <v>103</v>
      </c>
      <c r="T239" s="407" t="s">
        <v>109</v>
      </c>
      <c r="U239" s="400" t="s">
        <v>103</v>
      </c>
      <c r="V239" s="225"/>
      <c r="W239" s="399"/>
      <c r="X239" s="5"/>
    </row>
    <row r="240" spans="1:24" ht="15.75" x14ac:dyDescent="0.25">
      <c r="A240" s="193"/>
      <c r="B240" s="249" t="s">
        <v>88</v>
      </c>
      <c r="C240" s="265"/>
      <c r="D240" s="265"/>
      <c r="E240" s="265"/>
      <c r="F240" s="250"/>
      <c r="G240" s="265"/>
      <c r="H240" s="265"/>
      <c r="I240" s="265"/>
      <c r="J240" s="265"/>
      <c r="K240" s="265"/>
      <c r="L240" s="265"/>
      <c r="M240" s="265"/>
      <c r="N240" s="265"/>
      <c r="O240" s="265"/>
      <c r="P240" s="265"/>
      <c r="Q240" s="265"/>
      <c r="R240" s="249">
        <f t="shared" ref="R240:R247" si="1">+R252+R264+R276</f>
        <v>5576</v>
      </c>
      <c r="S240" s="252">
        <f t="shared" ref="S240:S247" si="2">R240/$R$249</f>
        <v>0.99111269107714184</v>
      </c>
      <c r="T240" s="253">
        <f t="shared" ref="T240:T247" si="3">+T252+T264+T276</f>
        <v>792544</v>
      </c>
      <c r="U240" s="252">
        <f t="shared" ref="U240:U247" si="4">T240/$T$249</f>
        <v>0.9926441947002631</v>
      </c>
      <c r="V240" s="266"/>
      <c r="W240" s="408"/>
      <c r="X240" s="5"/>
    </row>
    <row r="241" spans="1:25" ht="15.75" x14ac:dyDescent="0.25">
      <c r="A241" s="285"/>
      <c r="B241" s="337" t="s">
        <v>89</v>
      </c>
      <c r="C241" s="378"/>
      <c r="D241" s="378"/>
      <c r="E241" s="378"/>
      <c r="F241" s="286"/>
      <c r="G241" s="379"/>
      <c r="H241" s="378"/>
      <c r="I241" s="378"/>
      <c r="J241" s="378"/>
      <c r="K241" s="378"/>
      <c r="L241" s="378"/>
      <c r="M241" s="378"/>
      <c r="N241" s="378"/>
      <c r="O241" s="378"/>
      <c r="P241" s="378"/>
      <c r="Q241" s="378"/>
      <c r="R241" s="337">
        <f t="shared" si="1"/>
        <v>12</v>
      </c>
      <c r="S241" s="379">
        <f t="shared" si="2"/>
        <v>2.1329541414859582E-3</v>
      </c>
      <c r="T241" s="338">
        <f t="shared" si="3"/>
        <v>1487</v>
      </c>
      <c r="U241" s="379">
        <f t="shared" si="4"/>
        <v>1.8624352938376814E-3</v>
      </c>
      <c r="V241" s="361"/>
      <c r="W241" s="409"/>
      <c r="X241" s="5"/>
      <c r="Y241" s="109"/>
    </row>
    <row r="242" spans="1:25" ht="15.75" x14ac:dyDescent="0.25">
      <c r="A242" s="285"/>
      <c r="B242" s="337" t="s">
        <v>90</v>
      </c>
      <c r="C242" s="378"/>
      <c r="D242" s="378"/>
      <c r="E242" s="378"/>
      <c r="F242" s="286"/>
      <c r="G242" s="379"/>
      <c r="H242" s="378"/>
      <c r="I242" s="378"/>
      <c r="J242" s="378"/>
      <c r="K242" s="378"/>
      <c r="L242" s="378"/>
      <c r="M242" s="378"/>
      <c r="N242" s="378"/>
      <c r="O242" s="378"/>
      <c r="P242" s="378"/>
      <c r="Q242" s="378"/>
      <c r="R242" s="337">
        <f t="shared" si="1"/>
        <v>12</v>
      </c>
      <c r="S242" s="379">
        <f t="shared" si="2"/>
        <v>2.1329541414859582E-3</v>
      </c>
      <c r="T242" s="338">
        <f t="shared" si="3"/>
        <v>1096</v>
      </c>
      <c r="U242" s="379">
        <f t="shared" si="4"/>
        <v>1.3727162623040341E-3</v>
      </c>
      <c r="V242" s="361"/>
      <c r="W242" s="409"/>
      <c r="X242" s="5"/>
    </row>
    <row r="243" spans="1:25" ht="15.75" x14ac:dyDescent="0.25">
      <c r="A243" s="285"/>
      <c r="B243" s="337" t="s">
        <v>156</v>
      </c>
      <c r="C243" s="378"/>
      <c r="D243" s="378"/>
      <c r="E243" s="378"/>
      <c r="F243" s="286"/>
      <c r="G243" s="379"/>
      <c r="H243" s="378"/>
      <c r="I243" s="378"/>
      <c r="J243" s="378"/>
      <c r="K243" s="378"/>
      <c r="L243" s="378"/>
      <c r="M243" s="378"/>
      <c r="N243" s="378"/>
      <c r="O243" s="378"/>
      <c r="P243" s="378"/>
      <c r="Q243" s="378"/>
      <c r="R243" s="337">
        <f t="shared" si="1"/>
        <v>1</v>
      </c>
      <c r="S243" s="379">
        <f t="shared" si="2"/>
        <v>1.7774617845716317E-4</v>
      </c>
      <c r="T243" s="338">
        <f t="shared" si="3"/>
        <v>341</v>
      </c>
      <c r="U243" s="379">
        <f t="shared" si="4"/>
        <v>4.2709511445773322E-4</v>
      </c>
      <c r="V243" s="361"/>
      <c r="W243" s="409"/>
      <c r="X243" s="5"/>
      <c r="Y243" s="109"/>
    </row>
    <row r="244" spans="1:25" ht="15.75" x14ac:dyDescent="0.25">
      <c r="A244" s="285"/>
      <c r="B244" s="337" t="s">
        <v>157</v>
      </c>
      <c r="C244" s="378"/>
      <c r="D244" s="378"/>
      <c r="E244" s="378"/>
      <c r="F244" s="286"/>
      <c r="G244" s="379"/>
      <c r="H244" s="378"/>
      <c r="I244" s="378"/>
      <c r="J244" s="378"/>
      <c r="K244" s="378"/>
      <c r="L244" s="378"/>
      <c r="M244" s="378"/>
      <c r="N244" s="378"/>
      <c r="O244" s="378"/>
      <c r="P244" s="378"/>
      <c r="Q244" s="378"/>
      <c r="R244" s="337">
        <f t="shared" si="1"/>
        <v>2</v>
      </c>
      <c r="S244" s="379">
        <f t="shared" si="2"/>
        <v>3.5549235691432633E-4</v>
      </c>
      <c r="T244" s="338">
        <f t="shared" si="3"/>
        <v>109</v>
      </c>
      <c r="U244" s="379">
        <f t="shared" si="4"/>
        <v>1.3652013922549244E-4</v>
      </c>
      <c r="V244" s="361"/>
      <c r="W244" s="409"/>
      <c r="X244" s="5"/>
    </row>
    <row r="245" spans="1:25" ht="15.75" x14ac:dyDescent="0.25">
      <c r="A245" s="285"/>
      <c r="B245" s="337" t="s">
        <v>158</v>
      </c>
      <c r="C245" s="378"/>
      <c r="D245" s="378"/>
      <c r="E245" s="378"/>
      <c r="F245" s="286"/>
      <c r="G245" s="379"/>
      <c r="H245" s="378"/>
      <c r="I245" s="378"/>
      <c r="J245" s="378"/>
      <c r="K245" s="378"/>
      <c r="L245" s="378"/>
      <c r="M245" s="378"/>
      <c r="N245" s="378"/>
      <c r="O245" s="378"/>
      <c r="P245" s="378"/>
      <c r="Q245" s="378"/>
      <c r="R245" s="337">
        <f t="shared" si="1"/>
        <v>10</v>
      </c>
      <c r="S245" s="379">
        <f t="shared" si="2"/>
        <v>1.7774617845716318E-3</v>
      </c>
      <c r="T245" s="338">
        <f t="shared" si="3"/>
        <v>767</v>
      </c>
      <c r="U245" s="379">
        <f t="shared" si="4"/>
        <v>9.6065088794452017E-4</v>
      </c>
      <c r="V245" s="361"/>
      <c r="W245" s="409"/>
      <c r="X245" s="5"/>
      <c r="Y245" s="109"/>
    </row>
    <row r="246" spans="1:25" ht="15.75" x14ac:dyDescent="0.25">
      <c r="A246" s="285"/>
      <c r="B246" s="337" t="s">
        <v>159</v>
      </c>
      <c r="C246" s="378"/>
      <c r="D246" s="378"/>
      <c r="E246" s="378"/>
      <c r="F246" s="286"/>
      <c r="G246" s="379"/>
      <c r="H246" s="378"/>
      <c r="I246" s="378"/>
      <c r="J246" s="378"/>
      <c r="K246" s="378"/>
      <c r="L246" s="378"/>
      <c r="M246" s="378"/>
      <c r="N246" s="378"/>
      <c r="O246" s="378"/>
      <c r="P246" s="378"/>
      <c r="Q246" s="378"/>
      <c r="R246" s="337">
        <f t="shared" si="1"/>
        <v>6</v>
      </c>
      <c r="S246" s="379">
        <f t="shared" si="2"/>
        <v>1.0664770707429791E-3</v>
      </c>
      <c r="T246" s="338">
        <f t="shared" si="3"/>
        <v>895</v>
      </c>
      <c r="U246" s="379">
        <f t="shared" si="4"/>
        <v>1.1209681156588601E-3</v>
      </c>
      <c r="V246" s="361"/>
      <c r="W246" s="409"/>
      <c r="X246" s="5"/>
    </row>
    <row r="247" spans="1:25" ht="15.75" x14ac:dyDescent="0.25">
      <c r="A247" s="285"/>
      <c r="B247" s="337" t="s">
        <v>160</v>
      </c>
      <c r="C247" s="378"/>
      <c r="D247" s="378"/>
      <c r="E247" s="378"/>
      <c r="F247" s="286"/>
      <c r="G247" s="379"/>
      <c r="H247" s="378"/>
      <c r="I247" s="378"/>
      <c r="J247" s="378"/>
      <c r="K247" s="378"/>
      <c r="L247" s="378"/>
      <c r="M247" s="378"/>
      <c r="N247" s="378"/>
      <c r="O247" s="378"/>
      <c r="P247" s="378"/>
      <c r="Q247" s="378"/>
      <c r="R247" s="386">
        <f t="shared" si="1"/>
        <v>7</v>
      </c>
      <c r="S247" s="379">
        <f t="shared" si="2"/>
        <v>1.2442232492001421E-3</v>
      </c>
      <c r="T247" s="383">
        <f t="shared" si="3"/>
        <v>1178</v>
      </c>
      <c r="U247" s="387">
        <f t="shared" si="4"/>
        <v>1.4754194863085331E-3</v>
      </c>
      <c r="V247" s="361"/>
      <c r="W247" s="409"/>
      <c r="X247" s="5"/>
      <c r="Y247" s="109"/>
    </row>
    <row r="248" spans="1:25" ht="15.75" x14ac:dyDescent="0.25">
      <c r="A248" s="285"/>
      <c r="B248" s="337"/>
      <c r="C248" s="378"/>
      <c r="D248" s="378"/>
      <c r="E248" s="378"/>
      <c r="F248" s="286"/>
      <c r="G248" s="379"/>
      <c r="H248" s="378"/>
      <c r="I248" s="378"/>
      <c r="J248" s="378"/>
      <c r="K248" s="378"/>
      <c r="L248" s="378"/>
      <c r="M248" s="378"/>
      <c r="N248" s="378"/>
      <c r="O248" s="378"/>
      <c r="P248" s="378"/>
      <c r="Q248" s="378"/>
      <c r="R248" s="337"/>
      <c r="S248" s="379"/>
      <c r="T248" s="338"/>
      <c r="U248" s="379"/>
      <c r="V248" s="361"/>
      <c r="W248" s="409"/>
      <c r="X248" s="5"/>
    </row>
    <row r="249" spans="1:25" ht="15.75" x14ac:dyDescent="0.25">
      <c r="A249" s="285"/>
      <c r="B249" s="286"/>
      <c r="C249" s="286"/>
      <c r="D249" s="286"/>
      <c r="E249" s="286"/>
      <c r="F249" s="286"/>
      <c r="G249" s="286"/>
      <c r="H249" s="381"/>
      <c r="I249" s="381"/>
      <c r="J249" s="381"/>
      <c r="K249" s="381"/>
      <c r="L249" s="381"/>
      <c r="M249" s="381"/>
      <c r="N249" s="381"/>
      <c r="O249" s="381"/>
      <c r="P249" s="381"/>
      <c r="Q249" s="381"/>
      <c r="R249" s="337">
        <f>SUM(R240:R248)</f>
        <v>5626</v>
      </c>
      <c r="S249" s="379">
        <f>SUM(S240:S248)</f>
        <v>1</v>
      </c>
      <c r="T249" s="338">
        <f>SUM(T240:T248)</f>
        <v>798417</v>
      </c>
      <c r="U249" s="379">
        <f>SUM(U240:U248)</f>
        <v>1</v>
      </c>
      <c r="V249" s="286"/>
      <c r="W249" s="289"/>
      <c r="X249" s="5"/>
    </row>
    <row r="250" spans="1:25" ht="15.75" x14ac:dyDescent="0.25">
      <c r="A250" s="181"/>
      <c r="B250" s="212"/>
      <c r="C250" s="212"/>
      <c r="D250" s="212"/>
      <c r="E250" s="212"/>
      <c r="F250" s="212"/>
      <c r="G250" s="212"/>
      <c r="H250" s="375"/>
      <c r="I250" s="375"/>
      <c r="J250" s="375"/>
      <c r="K250" s="375"/>
      <c r="L250" s="375"/>
      <c r="M250" s="375"/>
      <c r="N250" s="375"/>
      <c r="O250" s="375"/>
      <c r="P250" s="375"/>
      <c r="Q250" s="375"/>
      <c r="R250" s="335"/>
      <c r="S250" s="376"/>
      <c r="T250" s="377"/>
      <c r="U250" s="376"/>
      <c r="V250" s="212"/>
      <c r="W250" s="212"/>
      <c r="X250" s="5"/>
    </row>
    <row r="251" spans="1:25" ht="15.75" x14ac:dyDescent="0.25">
      <c r="A251" s="224"/>
      <c r="B251" s="399" t="s">
        <v>162</v>
      </c>
      <c r="C251" s="400"/>
      <c r="D251" s="400"/>
      <c r="E251" s="400"/>
      <c r="F251" s="407"/>
      <c r="G251" s="400"/>
      <c r="H251" s="400"/>
      <c r="I251" s="400"/>
      <c r="J251" s="400"/>
      <c r="K251" s="400"/>
      <c r="L251" s="400"/>
      <c r="M251" s="400"/>
      <c r="N251" s="400"/>
      <c r="O251" s="400"/>
      <c r="P251" s="400"/>
      <c r="Q251" s="400"/>
      <c r="R251" s="407" t="s">
        <v>102</v>
      </c>
      <c r="S251" s="400" t="s">
        <v>103</v>
      </c>
      <c r="T251" s="407" t="s">
        <v>109</v>
      </c>
      <c r="U251" s="400" t="s">
        <v>103</v>
      </c>
      <c r="V251" s="225"/>
      <c r="W251" s="399"/>
      <c r="X251" s="5"/>
    </row>
    <row r="252" spans="1:25" ht="15.75" x14ac:dyDescent="0.25">
      <c r="A252" s="193"/>
      <c r="B252" s="249" t="s">
        <v>88</v>
      </c>
      <c r="C252" s="265"/>
      <c r="D252" s="265"/>
      <c r="E252" s="265"/>
      <c r="F252" s="250"/>
      <c r="G252" s="265"/>
      <c r="H252" s="265"/>
      <c r="I252" s="265"/>
      <c r="J252" s="265"/>
      <c r="K252" s="265"/>
      <c r="L252" s="265"/>
      <c r="M252" s="265"/>
      <c r="N252" s="265"/>
      <c r="O252" s="265"/>
      <c r="P252" s="265"/>
      <c r="Q252" s="265"/>
      <c r="R252" s="249">
        <v>5485</v>
      </c>
      <c r="S252" s="252">
        <f t="shared" ref="S252:S259" si="5">R252/$R$261</f>
        <v>0.99654796511627908</v>
      </c>
      <c r="T252" s="253">
        <v>778586</v>
      </c>
      <c r="U252" s="252">
        <f t="shared" ref="U252:U259" si="6">T252/$T$261</f>
        <v>0.99711081115001499</v>
      </c>
      <c r="V252" s="266"/>
      <c r="W252" s="408"/>
      <c r="X252" s="5"/>
    </row>
    <row r="253" spans="1:25" ht="15.75" x14ac:dyDescent="0.25">
      <c r="A253" s="285"/>
      <c r="B253" s="337" t="s">
        <v>89</v>
      </c>
      <c r="C253" s="378"/>
      <c r="D253" s="378"/>
      <c r="E253" s="378"/>
      <c r="F253" s="286"/>
      <c r="G253" s="379"/>
      <c r="H253" s="378"/>
      <c r="I253" s="378"/>
      <c r="J253" s="378"/>
      <c r="K253" s="378"/>
      <c r="L253" s="378"/>
      <c r="M253" s="378"/>
      <c r="N253" s="378"/>
      <c r="O253" s="378"/>
      <c r="P253" s="378"/>
      <c r="Q253" s="378"/>
      <c r="R253" s="337">
        <v>5</v>
      </c>
      <c r="S253" s="379">
        <f t="shared" si="5"/>
        <v>9.0843023255813952E-4</v>
      </c>
      <c r="T253" s="338">
        <v>860</v>
      </c>
      <c r="U253" s="379">
        <f t="shared" si="6"/>
        <v>1.101375182175139E-3</v>
      </c>
      <c r="V253" s="361"/>
      <c r="W253" s="409"/>
      <c r="X253" s="5"/>
      <c r="Y253" s="109"/>
    </row>
    <row r="254" spans="1:25" ht="15.75" x14ac:dyDescent="0.25">
      <c r="A254" s="285"/>
      <c r="B254" s="337" t="s">
        <v>90</v>
      </c>
      <c r="C254" s="378"/>
      <c r="D254" s="378"/>
      <c r="E254" s="378"/>
      <c r="F254" s="286"/>
      <c r="G254" s="379"/>
      <c r="H254" s="378"/>
      <c r="I254" s="378"/>
      <c r="J254" s="378"/>
      <c r="K254" s="378"/>
      <c r="L254" s="378"/>
      <c r="M254" s="378"/>
      <c r="N254" s="378"/>
      <c r="O254" s="378"/>
      <c r="P254" s="378"/>
      <c r="Q254" s="378"/>
      <c r="R254" s="337">
        <v>3</v>
      </c>
      <c r="S254" s="379">
        <f t="shared" si="5"/>
        <v>5.4505813953488371E-4</v>
      </c>
      <c r="T254" s="338">
        <v>272</v>
      </c>
      <c r="U254" s="379">
        <f t="shared" si="6"/>
        <v>3.4834191808329982E-4</v>
      </c>
      <c r="V254" s="361"/>
      <c r="W254" s="409"/>
      <c r="X254" s="5"/>
    </row>
    <row r="255" spans="1:25" ht="15.75" x14ac:dyDescent="0.25">
      <c r="A255" s="285"/>
      <c r="B255" s="337" t="s">
        <v>156</v>
      </c>
      <c r="C255" s="378"/>
      <c r="D255" s="378"/>
      <c r="E255" s="378"/>
      <c r="F255" s="286"/>
      <c r="G255" s="379"/>
      <c r="H255" s="378"/>
      <c r="I255" s="378"/>
      <c r="J255" s="378"/>
      <c r="K255" s="378"/>
      <c r="L255" s="378"/>
      <c r="M255" s="378"/>
      <c r="N255" s="378"/>
      <c r="O255" s="378"/>
      <c r="P255" s="378"/>
      <c r="Q255" s="378"/>
      <c r="R255" s="337">
        <v>0</v>
      </c>
      <c r="S255" s="379">
        <f t="shared" si="5"/>
        <v>0</v>
      </c>
      <c r="T255" s="338">
        <v>0</v>
      </c>
      <c r="U255" s="379">
        <f t="shared" si="6"/>
        <v>0</v>
      </c>
      <c r="V255" s="361"/>
      <c r="W255" s="409"/>
      <c r="X255" s="5"/>
      <c r="Y255" s="109"/>
    </row>
    <row r="256" spans="1:25" ht="15.75" x14ac:dyDescent="0.25">
      <c r="A256" s="285"/>
      <c r="B256" s="337" t="s">
        <v>157</v>
      </c>
      <c r="C256" s="378"/>
      <c r="D256" s="378"/>
      <c r="E256" s="378"/>
      <c r="F256" s="286"/>
      <c r="G256" s="379"/>
      <c r="H256" s="378"/>
      <c r="I256" s="378"/>
      <c r="J256" s="378"/>
      <c r="K256" s="378"/>
      <c r="L256" s="378"/>
      <c r="M256" s="378"/>
      <c r="N256" s="378"/>
      <c r="O256" s="378"/>
      <c r="P256" s="378"/>
      <c r="Q256" s="378"/>
      <c r="R256" s="337">
        <v>0</v>
      </c>
      <c r="S256" s="379">
        <f t="shared" si="5"/>
        <v>0</v>
      </c>
      <c r="T256" s="338">
        <v>0</v>
      </c>
      <c r="U256" s="379">
        <f t="shared" si="6"/>
        <v>0</v>
      </c>
      <c r="V256" s="361"/>
      <c r="W256" s="409"/>
      <c r="X256" s="5"/>
    </row>
    <row r="257" spans="1:25" ht="15.75" x14ac:dyDescent="0.25">
      <c r="A257" s="285"/>
      <c r="B257" s="337" t="s">
        <v>158</v>
      </c>
      <c r="C257" s="378"/>
      <c r="D257" s="378"/>
      <c r="E257" s="378"/>
      <c r="F257" s="286"/>
      <c r="G257" s="379"/>
      <c r="H257" s="378"/>
      <c r="I257" s="378"/>
      <c r="J257" s="378"/>
      <c r="K257" s="378"/>
      <c r="L257" s="378"/>
      <c r="M257" s="378"/>
      <c r="N257" s="378"/>
      <c r="O257" s="378"/>
      <c r="P257" s="378"/>
      <c r="Q257" s="378"/>
      <c r="R257" s="337">
        <v>8</v>
      </c>
      <c r="S257" s="379">
        <f t="shared" si="5"/>
        <v>1.4534883720930232E-3</v>
      </c>
      <c r="T257" s="338">
        <v>533</v>
      </c>
      <c r="U257" s="379">
        <f t="shared" si="6"/>
        <v>6.825964791852897E-4</v>
      </c>
      <c r="V257" s="361"/>
      <c r="W257" s="409"/>
      <c r="X257" s="5"/>
      <c r="Y257" s="109"/>
    </row>
    <row r="258" spans="1:25" ht="15.75" x14ac:dyDescent="0.25">
      <c r="A258" s="285"/>
      <c r="B258" s="337" t="s">
        <v>159</v>
      </c>
      <c r="C258" s="378"/>
      <c r="D258" s="378"/>
      <c r="E258" s="378"/>
      <c r="F258" s="286"/>
      <c r="G258" s="379"/>
      <c r="H258" s="378"/>
      <c r="I258" s="378"/>
      <c r="J258" s="378"/>
      <c r="K258" s="378"/>
      <c r="L258" s="378"/>
      <c r="M258" s="378"/>
      <c r="N258" s="378"/>
      <c r="O258" s="378"/>
      <c r="P258" s="378"/>
      <c r="Q258" s="378"/>
      <c r="R258" s="337">
        <v>2</v>
      </c>
      <c r="S258" s="379">
        <f t="shared" si="5"/>
        <v>3.6337209302325581E-4</v>
      </c>
      <c r="T258" s="338">
        <v>262</v>
      </c>
      <c r="U258" s="379">
        <f t="shared" si="6"/>
        <v>3.3553522991847264E-4</v>
      </c>
      <c r="V258" s="361"/>
      <c r="W258" s="409"/>
      <c r="X258" s="5"/>
    </row>
    <row r="259" spans="1:25" ht="15.75" x14ac:dyDescent="0.25">
      <c r="A259" s="285"/>
      <c r="B259" s="337" t="s">
        <v>160</v>
      </c>
      <c r="C259" s="378"/>
      <c r="D259" s="378"/>
      <c r="E259" s="378"/>
      <c r="F259" s="286"/>
      <c r="G259" s="379"/>
      <c r="H259" s="378"/>
      <c r="I259" s="378"/>
      <c r="J259" s="378"/>
      <c r="K259" s="378"/>
      <c r="L259" s="378"/>
      <c r="M259" s="378"/>
      <c r="N259" s="378"/>
      <c r="O259" s="378"/>
      <c r="P259" s="378"/>
      <c r="Q259" s="378"/>
      <c r="R259" s="337">
        <v>1</v>
      </c>
      <c r="S259" s="379">
        <f t="shared" si="5"/>
        <v>1.816860465116279E-4</v>
      </c>
      <c r="T259" s="338">
        <v>329</v>
      </c>
      <c r="U259" s="379">
        <f t="shared" si="6"/>
        <v>4.2134004062281487E-4</v>
      </c>
      <c r="V259" s="361"/>
      <c r="W259" s="409"/>
      <c r="X259" s="5"/>
      <c r="Y259" s="109"/>
    </row>
    <row r="260" spans="1:25" ht="15.75" x14ac:dyDescent="0.25">
      <c r="A260" s="285"/>
      <c r="B260" s="337"/>
      <c r="C260" s="378"/>
      <c r="D260" s="378"/>
      <c r="E260" s="378"/>
      <c r="F260" s="286"/>
      <c r="G260" s="379"/>
      <c r="H260" s="378"/>
      <c r="I260" s="378"/>
      <c r="J260" s="378"/>
      <c r="K260" s="378"/>
      <c r="L260" s="378"/>
      <c r="M260" s="378"/>
      <c r="N260" s="378"/>
      <c r="O260" s="378"/>
      <c r="P260" s="378"/>
      <c r="Q260" s="378"/>
      <c r="R260" s="337"/>
      <c r="S260" s="379"/>
      <c r="T260" s="338"/>
      <c r="U260" s="379"/>
      <c r="V260" s="361"/>
      <c r="W260" s="409"/>
      <c r="X260" s="5"/>
    </row>
    <row r="261" spans="1:25" ht="15.75" x14ac:dyDescent="0.25">
      <c r="A261" s="285"/>
      <c r="B261" s="286"/>
      <c r="C261" s="286"/>
      <c r="D261" s="286"/>
      <c r="E261" s="286"/>
      <c r="F261" s="286"/>
      <c r="G261" s="286"/>
      <c r="H261" s="381"/>
      <c r="I261" s="381"/>
      <c r="J261" s="381"/>
      <c r="K261" s="381"/>
      <c r="L261" s="381"/>
      <c r="M261" s="381"/>
      <c r="N261" s="381"/>
      <c r="O261" s="381"/>
      <c r="P261" s="381"/>
      <c r="Q261" s="381"/>
      <c r="R261" s="337">
        <f>SUM(R252:R260)</f>
        <v>5504</v>
      </c>
      <c r="S261" s="379">
        <f>SUM(S252:S260)</f>
        <v>1</v>
      </c>
      <c r="T261" s="338">
        <f>SUM(T252:T260)</f>
        <v>780842</v>
      </c>
      <c r="U261" s="379">
        <f>SUM(U252:U260)</f>
        <v>1</v>
      </c>
      <c r="V261" s="286"/>
      <c r="W261" s="289"/>
      <c r="X261" s="5"/>
    </row>
    <row r="262" spans="1:25" ht="15.75" x14ac:dyDescent="0.25">
      <c r="A262" s="181"/>
      <c r="B262" s="212"/>
      <c r="C262" s="212"/>
      <c r="D262" s="212"/>
      <c r="E262" s="212"/>
      <c r="F262" s="212"/>
      <c r="G262" s="212"/>
      <c r="H262" s="375"/>
      <c r="I262" s="375"/>
      <c r="J262" s="375"/>
      <c r="K262" s="375"/>
      <c r="L262" s="375"/>
      <c r="M262" s="375"/>
      <c r="N262" s="375"/>
      <c r="O262" s="375"/>
      <c r="P262" s="375"/>
      <c r="Q262" s="375"/>
      <c r="R262" s="335"/>
      <c r="S262" s="376"/>
      <c r="T262" s="377"/>
      <c r="U262" s="376"/>
      <c r="V262" s="212"/>
      <c r="W262" s="212"/>
      <c r="X262" s="5"/>
    </row>
    <row r="263" spans="1:25" ht="15.75" x14ac:dyDescent="0.25">
      <c r="A263" s="244"/>
      <c r="B263" s="399" t="s">
        <v>236</v>
      </c>
      <c r="C263" s="400"/>
      <c r="D263" s="400"/>
      <c r="E263" s="400"/>
      <c r="F263" s="407"/>
      <c r="G263" s="400"/>
      <c r="H263" s="400"/>
      <c r="I263" s="400"/>
      <c r="J263" s="400"/>
      <c r="K263" s="400"/>
      <c r="L263" s="400"/>
      <c r="M263" s="400"/>
      <c r="N263" s="400"/>
      <c r="O263" s="400"/>
      <c r="P263" s="400"/>
      <c r="Q263" s="400"/>
      <c r="R263" s="407" t="s">
        <v>102</v>
      </c>
      <c r="S263" s="400" t="s">
        <v>103</v>
      </c>
      <c r="T263" s="407" t="s">
        <v>109</v>
      </c>
      <c r="U263" s="400" t="s">
        <v>103</v>
      </c>
      <c r="V263" s="245"/>
      <c r="W263" s="246"/>
      <c r="X263" s="5"/>
    </row>
    <row r="264" spans="1:25" ht="15.75" x14ac:dyDescent="0.25">
      <c r="A264" s="193"/>
      <c r="B264" s="249" t="s">
        <v>88</v>
      </c>
      <c r="C264" s="265"/>
      <c r="D264" s="265"/>
      <c r="E264" s="265"/>
      <c r="F264" s="250"/>
      <c r="G264" s="265"/>
      <c r="H264" s="265"/>
      <c r="I264" s="265"/>
      <c r="J264" s="265"/>
      <c r="K264" s="265"/>
      <c r="L264" s="265"/>
      <c r="M264" s="265"/>
      <c r="N264" s="265"/>
      <c r="O264" s="265"/>
      <c r="P264" s="265"/>
      <c r="Q264" s="265"/>
      <c r="R264" s="249">
        <v>91</v>
      </c>
      <c r="S264" s="252">
        <f t="shared" ref="S264:S270" si="7">R264/$R$273</f>
        <v>0.74590163934426235</v>
      </c>
      <c r="T264" s="253">
        <v>13958</v>
      </c>
      <c r="U264" s="252">
        <f t="shared" ref="U264:U271" si="8">T264/$T$273</f>
        <v>0.79419630156472265</v>
      </c>
      <c r="V264" s="250"/>
      <c r="W264" s="250"/>
      <c r="X264" s="5"/>
    </row>
    <row r="265" spans="1:25" ht="15.75" x14ac:dyDescent="0.25">
      <c r="A265" s="285"/>
      <c r="B265" s="337" t="s">
        <v>89</v>
      </c>
      <c r="C265" s="378"/>
      <c r="D265" s="378"/>
      <c r="E265" s="378"/>
      <c r="F265" s="286"/>
      <c r="G265" s="379"/>
      <c r="H265" s="378"/>
      <c r="I265" s="378"/>
      <c r="J265" s="378"/>
      <c r="K265" s="378"/>
      <c r="L265" s="378"/>
      <c r="M265" s="378"/>
      <c r="N265" s="378"/>
      <c r="O265" s="378"/>
      <c r="P265" s="378"/>
      <c r="Q265" s="378"/>
      <c r="R265" s="337">
        <v>7</v>
      </c>
      <c r="S265" s="379">
        <f t="shared" si="7"/>
        <v>5.737704918032787E-2</v>
      </c>
      <c r="T265" s="338">
        <v>627</v>
      </c>
      <c r="U265" s="379">
        <f t="shared" si="8"/>
        <v>3.5675675675675679E-2</v>
      </c>
      <c r="V265" s="286"/>
      <c r="W265" s="289"/>
      <c r="X265" s="5"/>
    </row>
    <row r="266" spans="1:25" ht="15.75" x14ac:dyDescent="0.25">
      <c r="A266" s="285"/>
      <c r="B266" s="337" t="s">
        <v>90</v>
      </c>
      <c r="C266" s="378"/>
      <c r="D266" s="378"/>
      <c r="E266" s="378"/>
      <c r="F266" s="286"/>
      <c r="G266" s="379"/>
      <c r="H266" s="378"/>
      <c r="I266" s="378"/>
      <c r="J266" s="378"/>
      <c r="K266" s="378"/>
      <c r="L266" s="378"/>
      <c r="M266" s="378"/>
      <c r="N266" s="378"/>
      <c r="O266" s="378"/>
      <c r="P266" s="378"/>
      <c r="Q266" s="378"/>
      <c r="R266" s="337">
        <v>9</v>
      </c>
      <c r="S266" s="379">
        <f t="shared" si="7"/>
        <v>7.3770491803278687E-2</v>
      </c>
      <c r="T266" s="338">
        <v>824</v>
      </c>
      <c r="U266" s="379">
        <f t="shared" si="8"/>
        <v>4.6884779516358464E-2</v>
      </c>
      <c r="V266" s="286"/>
      <c r="W266" s="289"/>
      <c r="X266" s="5"/>
    </row>
    <row r="267" spans="1:25" ht="15.75" x14ac:dyDescent="0.25">
      <c r="A267" s="285"/>
      <c r="B267" s="337" t="s">
        <v>156</v>
      </c>
      <c r="C267" s="378"/>
      <c r="D267" s="378"/>
      <c r="E267" s="378"/>
      <c r="F267" s="286"/>
      <c r="G267" s="379"/>
      <c r="H267" s="378"/>
      <c r="I267" s="378"/>
      <c r="J267" s="378"/>
      <c r="K267" s="378"/>
      <c r="L267" s="378"/>
      <c r="M267" s="378"/>
      <c r="N267" s="378"/>
      <c r="O267" s="378"/>
      <c r="P267" s="378"/>
      <c r="Q267" s="378"/>
      <c r="R267" s="337">
        <v>1</v>
      </c>
      <c r="S267" s="379">
        <f t="shared" si="7"/>
        <v>8.1967213114754103E-3</v>
      </c>
      <c r="T267" s="338">
        <v>341</v>
      </c>
      <c r="U267" s="379">
        <f t="shared" si="8"/>
        <v>1.9402560455192033E-2</v>
      </c>
      <c r="V267" s="286"/>
      <c r="W267" s="289"/>
      <c r="X267" s="5"/>
    </row>
    <row r="268" spans="1:25" ht="15.75" x14ac:dyDescent="0.25">
      <c r="A268" s="285"/>
      <c r="B268" s="337" t="s">
        <v>157</v>
      </c>
      <c r="C268" s="378"/>
      <c r="D268" s="378"/>
      <c r="E268" s="378"/>
      <c r="F268" s="286"/>
      <c r="G268" s="379"/>
      <c r="H268" s="378"/>
      <c r="I268" s="378"/>
      <c r="J268" s="378"/>
      <c r="K268" s="378"/>
      <c r="L268" s="378"/>
      <c r="M268" s="378"/>
      <c r="N268" s="378"/>
      <c r="O268" s="378"/>
      <c r="P268" s="378"/>
      <c r="Q268" s="378"/>
      <c r="R268" s="337">
        <v>2</v>
      </c>
      <c r="S268" s="379">
        <f t="shared" si="7"/>
        <v>1.6393442622950821E-2</v>
      </c>
      <c r="T268" s="338">
        <v>109</v>
      </c>
      <c r="U268" s="379">
        <f t="shared" si="8"/>
        <v>6.2019914651493596E-3</v>
      </c>
      <c r="V268" s="286"/>
      <c r="W268" s="289"/>
      <c r="X268" s="5"/>
    </row>
    <row r="269" spans="1:25" ht="15.75" x14ac:dyDescent="0.25">
      <c r="A269" s="285"/>
      <c r="B269" s="337" t="s">
        <v>158</v>
      </c>
      <c r="C269" s="378"/>
      <c r="D269" s="378"/>
      <c r="E269" s="378"/>
      <c r="F269" s="286"/>
      <c r="G269" s="379"/>
      <c r="H269" s="378"/>
      <c r="I269" s="378"/>
      <c r="J269" s="378"/>
      <c r="K269" s="378"/>
      <c r="L269" s="378"/>
      <c r="M269" s="378"/>
      <c r="N269" s="378"/>
      <c r="O269" s="378"/>
      <c r="P269" s="378"/>
      <c r="Q269" s="378"/>
      <c r="R269" s="337">
        <v>2</v>
      </c>
      <c r="S269" s="379">
        <f t="shared" si="7"/>
        <v>1.6393442622950821E-2</v>
      </c>
      <c r="T269" s="338">
        <v>234</v>
      </c>
      <c r="U269" s="379">
        <f t="shared" si="8"/>
        <v>1.3314366998577526E-2</v>
      </c>
      <c r="V269" s="286"/>
      <c r="W269" s="289"/>
      <c r="X269" s="5"/>
    </row>
    <row r="270" spans="1:25" ht="15.75" x14ac:dyDescent="0.25">
      <c r="A270" s="285"/>
      <c r="B270" s="337" t="s">
        <v>159</v>
      </c>
      <c r="C270" s="378"/>
      <c r="D270" s="378"/>
      <c r="E270" s="378"/>
      <c r="F270" s="286"/>
      <c r="G270" s="379"/>
      <c r="H270" s="378"/>
      <c r="I270" s="378"/>
      <c r="J270" s="378"/>
      <c r="K270" s="378"/>
      <c r="L270" s="378"/>
      <c r="M270" s="378"/>
      <c r="N270" s="378"/>
      <c r="O270" s="378"/>
      <c r="P270" s="378"/>
      <c r="Q270" s="378"/>
      <c r="R270" s="337">
        <v>4</v>
      </c>
      <c r="S270" s="379">
        <f t="shared" si="7"/>
        <v>3.2786885245901641E-2</v>
      </c>
      <c r="T270" s="338">
        <v>633</v>
      </c>
      <c r="U270" s="379">
        <f t="shared" si="8"/>
        <v>3.6017069701280227E-2</v>
      </c>
      <c r="V270" s="286"/>
      <c r="W270" s="289"/>
      <c r="X270" s="5"/>
    </row>
    <row r="271" spans="1:25" ht="15.75" x14ac:dyDescent="0.25">
      <c r="A271" s="285"/>
      <c r="B271" s="337" t="s">
        <v>160</v>
      </c>
      <c r="C271" s="378"/>
      <c r="D271" s="378"/>
      <c r="E271" s="378"/>
      <c r="F271" s="286"/>
      <c r="G271" s="379"/>
      <c r="H271" s="378"/>
      <c r="I271" s="378"/>
      <c r="J271" s="378"/>
      <c r="K271" s="378"/>
      <c r="L271" s="378"/>
      <c r="M271" s="378"/>
      <c r="N271" s="378"/>
      <c r="O271" s="378"/>
      <c r="P271" s="378"/>
      <c r="Q271" s="378"/>
      <c r="R271" s="337">
        <v>6</v>
      </c>
      <c r="S271" s="379">
        <f>R271/$R$273</f>
        <v>4.9180327868852458E-2</v>
      </c>
      <c r="T271" s="338">
        <v>849</v>
      </c>
      <c r="U271" s="379">
        <f t="shared" si="8"/>
        <v>4.8307254623044096E-2</v>
      </c>
      <c r="V271" s="286"/>
      <c r="W271" s="289"/>
      <c r="X271" s="5"/>
    </row>
    <row r="272" spans="1:25" ht="15.75" x14ac:dyDescent="0.25">
      <c r="A272" s="285"/>
      <c r="B272" s="337"/>
      <c r="C272" s="378"/>
      <c r="D272" s="378"/>
      <c r="E272" s="378"/>
      <c r="F272" s="286"/>
      <c r="G272" s="379"/>
      <c r="H272" s="378"/>
      <c r="I272" s="378"/>
      <c r="J272" s="378"/>
      <c r="K272" s="378"/>
      <c r="L272" s="378"/>
      <c r="M272" s="378"/>
      <c r="N272" s="378"/>
      <c r="O272" s="378"/>
      <c r="P272" s="378"/>
      <c r="Q272" s="378"/>
      <c r="R272" s="337"/>
      <c r="S272" s="379"/>
      <c r="T272" s="338"/>
      <c r="U272" s="379"/>
      <c r="V272" s="286"/>
      <c r="W272" s="289"/>
      <c r="X272" s="5"/>
    </row>
    <row r="273" spans="1:24" ht="15.75" x14ac:dyDescent="0.25">
      <c r="A273" s="285"/>
      <c r="B273" s="286"/>
      <c r="C273" s="286"/>
      <c r="D273" s="286"/>
      <c r="E273" s="286"/>
      <c r="F273" s="286"/>
      <c r="G273" s="286"/>
      <c r="H273" s="381"/>
      <c r="I273" s="381"/>
      <c r="J273" s="381"/>
      <c r="K273" s="381"/>
      <c r="L273" s="381"/>
      <c r="M273" s="381"/>
      <c r="N273" s="381"/>
      <c r="O273" s="381"/>
      <c r="P273" s="381"/>
      <c r="Q273" s="381"/>
      <c r="R273" s="337">
        <f>SUM(R264:R272)</f>
        <v>122</v>
      </c>
      <c r="S273" s="379">
        <f>SUM(S264:S272)</f>
        <v>1</v>
      </c>
      <c r="T273" s="338">
        <f>SUM(T264:T272)</f>
        <v>17575</v>
      </c>
      <c r="U273" s="379">
        <f>SUM(U264:U272)</f>
        <v>1.0000000000000002</v>
      </c>
      <c r="V273" s="286"/>
      <c r="W273" s="289"/>
      <c r="X273" s="5"/>
    </row>
    <row r="274" spans="1:24" ht="15.75" x14ac:dyDescent="0.25">
      <c r="A274" s="181"/>
      <c r="B274" s="212"/>
      <c r="C274" s="212"/>
      <c r="D274" s="212"/>
      <c r="E274" s="212"/>
      <c r="F274" s="212"/>
      <c r="G274" s="212"/>
      <c r="H274" s="375"/>
      <c r="I274" s="375"/>
      <c r="J274" s="375"/>
      <c r="K274" s="375"/>
      <c r="L274" s="375"/>
      <c r="M274" s="375"/>
      <c r="N274" s="375"/>
      <c r="O274" s="375"/>
      <c r="P274" s="375"/>
      <c r="Q274" s="375"/>
      <c r="R274" s="335"/>
      <c r="S274" s="376"/>
      <c r="T274" s="377"/>
      <c r="U274" s="376"/>
      <c r="V274" s="212"/>
      <c r="W274" s="212"/>
      <c r="X274" s="5"/>
    </row>
    <row r="275" spans="1:24" ht="15.75" x14ac:dyDescent="0.25">
      <c r="A275" s="244"/>
      <c r="B275" s="399" t="s">
        <v>163</v>
      </c>
      <c r="C275" s="245"/>
      <c r="D275" s="245"/>
      <c r="E275" s="245"/>
      <c r="F275" s="245"/>
      <c r="G275" s="245"/>
      <c r="H275" s="247"/>
      <c r="I275" s="247"/>
      <c r="J275" s="247"/>
      <c r="K275" s="247"/>
      <c r="L275" s="247"/>
      <c r="M275" s="247"/>
      <c r="N275" s="247"/>
      <c r="O275" s="247"/>
      <c r="P275" s="247"/>
      <c r="Q275" s="247"/>
      <c r="R275" s="407" t="s">
        <v>102</v>
      </c>
      <c r="S275" s="400" t="s">
        <v>103</v>
      </c>
      <c r="T275" s="407" t="s">
        <v>109</v>
      </c>
      <c r="U275" s="400" t="s">
        <v>103</v>
      </c>
      <c r="V275" s="245"/>
      <c r="W275" s="246"/>
      <c r="X275" s="5"/>
    </row>
    <row r="276" spans="1:24" ht="15.75" x14ac:dyDescent="0.25">
      <c r="A276" s="248"/>
      <c r="B276" s="249" t="s">
        <v>88</v>
      </c>
      <c r="C276" s="250"/>
      <c r="D276" s="250"/>
      <c r="E276" s="250"/>
      <c r="F276" s="250"/>
      <c r="G276" s="250"/>
      <c r="H276" s="251"/>
      <c r="I276" s="251"/>
      <c r="J276" s="251"/>
      <c r="K276" s="251"/>
      <c r="L276" s="251"/>
      <c r="M276" s="251"/>
      <c r="N276" s="251"/>
      <c r="O276" s="251"/>
      <c r="P276" s="251"/>
      <c r="Q276" s="251"/>
      <c r="R276" s="249">
        <v>0</v>
      </c>
      <c r="S276" s="252">
        <v>0</v>
      </c>
      <c r="T276" s="253">
        <v>0</v>
      </c>
      <c r="U276" s="252">
        <v>0</v>
      </c>
      <c r="V276" s="250"/>
      <c r="W276" s="250"/>
      <c r="X276" s="5"/>
    </row>
    <row r="277" spans="1:24" ht="15.75" x14ac:dyDescent="0.25">
      <c r="A277" s="295"/>
      <c r="B277" s="337" t="s">
        <v>89</v>
      </c>
      <c r="C277" s="286"/>
      <c r="D277" s="286"/>
      <c r="E277" s="286"/>
      <c r="F277" s="286"/>
      <c r="G277" s="286"/>
      <c r="H277" s="381"/>
      <c r="I277" s="381"/>
      <c r="J277" s="381"/>
      <c r="K277" s="381"/>
      <c r="L277" s="381"/>
      <c r="M277" s="381"/>
      <c r="N277" s="381"/>
      <c r="O277" s="381"/>
      <c r="P277" s="381"/>
      <c r="Q277" s="381"/>
      <c r="R277" s="337">
        <v>0</v>
      </c>
      <c r="S277" s="379">
        <v>0</v>
      </c>
      <c r="T277" s="338">
        <v>0</v>
      </c>
      <c r="U277" s="379">
        <v>0</v>
      </c>
      <c r="V277" s="286"/>
      <c r="W277" s="289"/>
      <c r="X277" s="5"/>
    </row>
    <row r="278" spans="1:24" ht="15.75" x14ac:dyDescent="0.25">
      <c r="A278" s="295"/>
      <c r="B278" s="337" t="s">
        <v>90</v>
      </c>
      <c r="C278" s="286"/>
      <c r="D278" s="286"/>
      <c r="E278" s="286"/>
      <c r="F278" s="286"/>
      <c r="G278" s="286"/>
      <c r="H278" s="381"/>
      <c r="I278" s="381"/>
      <c r="J278" s="381"/>
      <c r="K278" s="381"/>
      <c r="L278" s="381"/>
      <c r="M278" s="381"/>
      <c r="N278" s="381"/>
      <c r="O278" s="381"/>
      <c r="P278" s="381"/>
      <c r="Q278" s="381"/>
      <c r="R278" s="337">
        <v>0</v>
      </c>
      <c r="S278" s="379">
        <v>0</v>
      </c>
      <c r="T278" s="338">
        <v>0</v>
      </c>
      <c r="U278" s="379">
        <v>0</v>
      </c>
      <c r="V278" s="286"/>
      <c r="W278" s="289"/>
      <c r="X278" s="5"/>
    </row>
    <row r="279" spans="1:24" ht="15.75" x14ac:dyDescent="0.25">
      <c r="A279" s="295"/>
      <c r="B279" s="337" t="s">
        <v>156</v>
      </c>
      <c r="C279" s="286"/>
      <c r="D279" s="286"/>
      <c r="E279" s="286"/>
      <c r="F279" s="286"/>
      <c r="G279" s="286"/>
      <c r="H279" s="381"/>
      <c r="I279" s="381"/>
      <c r="J279" s="381"/>
      <c r="K279" s="381"/>
      <c r="L279" s="381"/>
      <c r="M279" s="381"/>
      <c r="N279" s="381"/>
      <c r="O279" s="381"/>
      <c r="P279" s="381"/>
      <c r="Q279" s="381"/>
      <c r="R279" s="337">
        <v>0</v>
      </c>
      <c r="S279" s="379">
        <v>0</v>
      </c>
      <c r="T279" s="338">
        <v>0</v>
      </c>
      <c r="U279" s="379">
        <v>0</v>
      </c>
      <c r="V279" s="286"/>
      <c r="W279" s="289"/>
      <c r="X279" s="5"/>
    </row>
    <row r="280" spans="1:24" ht="15.75" x14ac:dyDescent="0.25">
      <c r="A280" s="295"/>
      <c r="B280" s="337" t="s">
        <v>157</v>
      </c>
      <c r="C280" s="286"/>
      <c r="D280" s="286"/>
      <c r="E280" s="286"/>
      <c r="F280" s="286"/>
      <c r="G280" s="286"/>
      <c r="H280" s="381"/>
      <c r="I280" s="381"/>
      <c r="J280" s="381"/>
      <c r="K280" s="381"/>
      <c r="L280" s="381"/>
      <c r="M280" s="381"/>
      <c r="N280" s="381"/>
      <c r="O280" s="381"/>
      <c r="P280" s="381"/>
      <c r="Q280" s="381"/>
      <c r="R280" s="337">
        <v>0</v>
      </c>
      <c r="S280" s="379">
        <v>0</v>
      </c>
      <c r="T280" s="338">
        <v>0</v>
      </c>
      <c r="U280" s="379">
        <v>0</v>
      </c>
      <c r="V280" s="286"/>
      <c r="W280" s="289"/>
      <c r="X280" s="5"/>
    </row>
    <row r="281" spans="1:24" ht="15.75" x14ac:dyDescent="0.25">
      <c r="A281" s="295"/>
      <c r="B281" s="337" t="s">
        <v>158</v>
      </c>
      <c r="C281" s="286"/>
      <c r="D281" s="286"/>
      <c r="E281" s="286"/>
      <c r="F281" s="286"/>
      <c r="G281" s="286"/>
      <c r="H281" s="381"/>
      <c r="I281" s="381"/>
      <c r="J281" s="381"/>
      <c r="K281" s="381"/>
      <c r="L281" s="381"/>
      <c r="M281" s="381"/>
      <c r="N281" s="381"/>
      <c r="O281" s="381"/>
      <c r="P281" s="381"/>
      <c r="Q281" s="381"/>
      <c r="R281" s="337">
        <v>0</v>
      </c>
      <c r="S281" s="379">
        <v>0</v>
      </c>
      <c r="T281" s="338">
        <v>0</v>
      </c>
      <c r="U281" s="379">
        <v>0</v>
      </c>
      <c r="V281" s="286"/>
      <c r="W281" s="289"/>
      <c r="X281" s="5"/>
    </row>
    <row r="282" spans="1:24" ht="15.75" x14ac:dyDescent="0.25">
      <c r="A282" s="295"/>
      <c r="B282" s="337" t="s">
        <v>159</v>
      </c>
      <c r="C282" s="286"/>
      <c r="D282" s="286"/>
      <c r="E282" s="286"/>
      <c r="F282" s="286"/>
      <c r="G282" s="286"/>
      <c r="H282" s="381"/>
      <c r="I282" s="381"/>
      <c r="J282" s="381"/>
      <c r="K282" s="381"/>
      <c r="L282" s="381"/>
      <c r="M282" s="381"/>
      <c r="N282" s="381"/>
      <c r="O282" s="381"/>
      <c r="P282" s="381"/>
      <c r="Q282" s="381"/>
      <c r="R282" s="337">
        <v>0</v>
      </c>
      <c r="S282" s="379">
        <v>0</v>
      </c>
      <c r="T282" s="338">
        <v>0</v>
      </c>
      <c r="U282" s="379">
        <v>0</v>
      </c>
      <c r="V282" s="286"/>
      <c r="W282" s="289"/>
      <c r="X282" s="5"/>
    </row>
    <row r="283" spans="1:24" ht="15.75" x14ac:dyDescent="0.25">
      <c r="A283" s="295"/>
      <c r="B283" s="337" t="s">
        <v>160</v>
      </c>
      <c r="C283" s="286"/>
      <c r="D283" s="286"/>
      <c r="E283" s="286"/>
      <c r="F283" s="286"/>
      <c r="G283" s="286"/>
      <c r="H283" s="381"/>
      <c r="I283" s="381"/>
      <c r="J283" s="381"/>
      <c r="K283" s="381"/>
      <c r="L283" s="381"/>
      <c r="M283" s="381"/>
      <c r="N283" s="381"/>
      <c r="O283" s="381"/>
      <c r="P283" s="381"/>
      <c r="Q283" s="381"/>
      <c r="R283" s="337">
        <v>0</v>
      </c>
      <c r="S283" s="379">
        <v>0</v>
      </c>
      <c r="T283" s="338">
        <v>0</v>
      </c>
      <c r="U283" s="379">
        <v>0</v>
      </c>
      <c r="V283" s="286"/>
      <c r="W283" s="289"/>
      <c r="X283" s="5"/>
    </row>
    <row r="284" spans="1:24" ht="15.75" x14ac:dyDescent="0.25">
      <c r="A284" s="295"/>
      <c r="B284" s="337"/>
      <c r="C284" s="286"/>
      <c r="D284" s="286"/>
      <c r="E284" s="286"/>
      <c r="F284" s="286"/>
      <c r="G284" s="286"/>
      <c r="H284" s="381"/>
      <c r="I284" s="381"/>
      <c r="J284" s="381"/>
      <c r="K284" s="381"/>
      <c r="L284" s="381"/>
      <c r="M284" s="381"/>
      <c r="N284" s="381"/>
      <c r="O284" s="381"/>
      <c r="P284" s="381"/>
      <c r="Q284" s="381"/>
      <c r="R284" s="337"/>
      <c r="S284" s="379"/>
      <c r="T284" s="338"/>
      <c r="U284" s="379"/>
      <c r="V284" s="286"/>
      <c r="W284" s="289"/>
      <c r="X284" s="5"/>
    </row>
    <row r="285" spans="1:24" ht="15.75" x14ac:dyDescent="0.25">
      <c r="A285" s="295"/>
      <c r="B285" s="286" t="s">
        <v>114</v>
      </c>
      <c r="C285" s="286"/>
      <c r="D285" s="286"/>
      <c r="E285" s="286"/>
      <c r="F285" s="286"/>
      <c r="G285" s="286"/>
      <c r="H285" s="381"/>
      <c r="I285" s="381"/>
      <c r="J285" s="381"/>
      <c r="K285" s="381"/>
      <c r="L285" s="381"/>
      <c r="M285" s="381"/>
      <c r="N285" s="381"/>
      <c r="O285" s="381"/>
      <c r="P285" s="381"/>
      <c r="Q285" s="381"/>
      <c r="R285" s="337">
        <f>SUM(R276:R283)</f>
        <v>0</v>
      </c>
      <c r="S285" s="379">
        <f>SUM(S276:S283)</f>
        <v>0</v>
      </c>
      <c r="T285" s="338">
        <f>SUM(T276:T283)</f>
        <v>0</v>
      </c>
      <c r="U285" s="379">
        <f>SUM(U276:U283)</f>
        <v>0</v>
      </c>
      <c r="V285" s="286"/>
      <c r="W285" s="289"/>
      <c r="X285" s="5"/>
    </row>
    <row r="286" spans="1:24" ht="15.75" x14ac:dyDescent="0.25">
      <c r="A286" s="295"/>
      <c r="B286" s="286"/>
      <c r="C286" s="286"/>
      <c r="D286" s="286"/>
      <c r="E286" s="286"/>
      <c r="F286" s="286"/>
      <c r="G286" s="286"/>
      <c r="H286" s="381"/>
      <c r="I286" s="381"/>
      <c r="J286" s="381"/>
      <c r="K286" s="381"/>
      <c r="L286" s="381"/>
      <c r="M286" s="381"/>
      <c r="N286" s="381"/>
      <c r="O286" s="381"/>
      <c r="P286" s="381"/>
      <c r="Q286" s="381"/>
      <c r="R286" s="337"/>
      <c r="S286" s="379"/>
      <c r="T286" s="338"/>
      <c r="U286" s="379"/>
      <c r="V286" s="286"/>
      <c r="W286" s="289"/>
      <c r="X286" s="5"/>
    </row>
    <row r="287" spans="1:24" ht="15.75" x14ac:dyDescent="0.25">
      <c r="A287" s="295"/>
      <c r="B287" s="297" t="s">
        <v>164</v>
      </c>
      <c r="C287" s="286"/>
      <c r="D287" s="286"/>
      <c r="E287" s="286"/>
      <c r="F287" s="286"/>
      <c r="G287" s="286"/>
      <c r="H287" s="381"/>
      <c r="I287" s="381"/>
      <c r="J287" s="381"/>
      <c r="K287" s="381"/>
      <c r="L287" s="381"/>
      <c r="M287" s="381"/>
      <c r="N287" s="381"/>
      <c r="O287" s="381"/>
      <c r="P287" s="381"/>
      <c r="Q287" s="381"/>
      <c r="R287" s="384">
        <f>R285+R273+R261</f>
        <v>5626</v>
      </c>
      <c r="S287" s="379"/>
      <c r="T287" s="410">
        <f>+T285+T273+T261</f>
        <v>798417</v>
      </c>
      <c r="U287" s="379"/>
      <c r="V287" s="286"/>
      <c r="W287" s="289"/>
      <c r="X287" s="5"/>
    </row>
    <row r="288" spans="1:24" ht="15.75" x14ac:dyDescent="0.25">
      <c r="A288" s="254"/>
      <c r="B288" s="346"/>
      <c r="C288" s="346"/>
      <c r="D288" s="346"/>
      <c r="E288" s="346"/>
      <c r="F288" s="346"/>
      <c r="G288" s="346"/>
      <c r="H288" s="382"/>
      <c r="I288" s="382"/>
      <c r="J288" s="382"/>
      <c r="K288" s="382"/>
      <c r="L288" s="382"/>
      <c r="M288" s="382"/>
      <c r="N288" s="382"/>
      <c r="O288" s="382"/>
      <c r="P288" s="382"/>
      <c r="Q288" s="382"/>
      <c r="R288" s="382"/>
      <c r="S288" s="382"/>
      <c r="T288" s="383"/>
      <c r="U288" s="382"/>
      <c r="V288" s="346"/>
      <c r="W288" s="346"/>
      <c r="X288" s="5"/>
    </row>
    <row r="289" spans="1:24" ht="15.75" x14ac:dyDescent="0.25">
      <c r="A289" s="254"/>
      <c r="B289" s="255"/>
      <c r="C289" s="255"/>
      <c r="D289" s="255"/>
      <c r="E289" s="255"/>
      <c r="F289" s="255"/>
      <c r="G289" s="255"/>
      <c r="H289" s="256"/>
      <c r="I289" s="256"/>
      <c r="J289" s="256"/>
      <c r="K289" s="256"/>
      <c r="L289" s="256"/>
      <c r="M289" s="256"/>
      <c r="N289" s="256"/>
      <c r="O289" s="256"/>
      <c r="P289" s="256"/>
      <c r="Q289" s="256"/>
      <c r="R289" s="256"/>
      <c r="S289" s="256"/>
      <c r="T289" s="257"/>
      <c r="U289" s="256"/>
      <c r="V289" s="255"/>
      <c r="W289" s="255"/>
      <c r="X289" s="5"/>
    </row>
    <row r="290" spans="1:24" ht="15.75" x14ac:dyDescent="0.25">
      <c r="A290" s="258"/>
      <c r="B290" s="388" t="s">
        <v>91</v>
      </c>
      <c r="C290" s="255"/>
      <c r="D290" s="255"/>
      <c r="E290" s="255"/>
      <c r="F290" s="391" t="s">
        <v>97</v>
      </c>
      <c r="G290" s="255"/>
      <c r="H290" s="388" t="s">
        <v>99</v>
      </c>
      <c r="I290" s="388"/>
      <c r="J290" s="388"/>
      <c r="K290" s="261"/>
      <c r="L290" s="261"/>
      <c r="M290" s="261"/>
      <c r="N290" s="261"/>
      <c r="O290" s="261"/>
      <c r="P290" s="261"/>
      <c r="Q290" s="261"/>
      <c r="R290" s="261"/>
      <c r="S290" s="261"/>
      <c r="T290" s="261"/>
      <c r="U290" s="261"/>
      <c r="V290" s="261"/>
      <c r="W290" s="261"/>
      <c r="X290" s="5"/>
    </row>
    <row r="291" spans="1:24" ht="15.75" x14ac:dyDescent="0.25">
      <c r="A291" s="258"/>
      <c r="B291" s="261"/>
      <c r="C291" s="255"/>
      <c r="D291" s="255"/>
      <c r="E291" s="255"/>
      <c r="F291" s="255"/>
      <c r="G291" s="255"/>
      <c r="H291" s="255"/>
      <c r="I291" s="255"/>
      <c r="J291" s="255"/>
      <c r="K291" s="261"/>
      <c r="L291" s="261"/>
      <c r="M291" s="261"/>
      <c r="N291" s="261"/>
      <c r="O291" s="261"/>
      <c r="P291" s="261"/>
      <c r="Q291" s="261"/>
      <c r="R291" s="261"/>
      <c r="S291" s="261"/>
      <c r="T291" s="261"/>
      <c r="U291" s="261"/>
      <c r="V291" s="261"/>
      <c r="W291" s="261"/>
      <c r="X291" s="5"/>
    </row>
    <row r="292" spans="1:24" ht="15.75" x14ac:dyDescent="0.25">
      <c r="A292" s="258"/>
      <c r="B292" s="388" t="s">
        <v>318</v>
      </c>
      <c r="C292" s="388"/>
      <c r="D292" s="388"/>
      <c r="E292" s="388"/>
      <c r="F292" s="411" t="s">
        <v>148</v>
      </c>
      <c r="G292" s="388"/>
      <c r="H292" s="388" t="s">
        <v>152</v>
      </c>
      <c r="I292" s="388"/>
      <c r="J292" s="388"/>
      <c r="K292" s="261"/>
      <c r="L292" s="261"/>
      <c r="M292" s="261"/>
      <c r="N292" s="261"/>
      <c r="O292" s="261"/>
      <c r="P292" s="261"/>
      <c r="Q292" s="261"/>
      <c r="R292" s="261"/>
      <c r="S292" s="261"/>
      <c r="T292" s="261"/>
      <c r="U292" s="261"/>
      <c r="V292" s="261"/>
      <c r="W292" s="261"/>
      <c r="X292" s="5"/>
    </row>
    <row r="293" spans="1:24" ht="15.75" x14ac:dyDescent="0.25">
      <c r="A293" s="258"/>
      <c r="B293" s="388" t="s">
        <v>319</v>
      </c>
      <c r="C293" s="388"/>
      <c r="D293" s="388"/>
      <c r="E293" s="388"/>
      <c r="F293" s="411" t="s">
        <v>266</v>
      </c>
      <c r="G293" s="388"/>
      <c r="H293" s="388" t="s">
        <v>267</v>
      </c>
      <c r="I293" s="388"/>
      <c r="J293" s="388"/>
      <c r="K293" s="261"/>
      <c r="L293" s="261"/>
      <c r="M293" s="261"/>
      <c r="N293" s="261"/>
      <c r="O293" s="261"/>
      <c r="P293" s="261"/>
      <c r="Q293" s="261"/>
      <c r="R293" s="261"/>
      <c r="S293" s="261"/>
      <c r="T293" s="261"/>
      <c r="U293" s="261"/>
      <c r="V293" s="261"/>
      <c r="W293" s="261"/>
      <c r="X293" s="5"/>
    </row>
    <row r="294" spans="1:24" ht="15.75" x14ac:dyDescent="0.25">
      <c r="A294" s="258"/>
      <c r="B294" s="388" t="s">
        <v>320</v>
      </c>
      <c r="C294" s="388"/>
      <c r="D294" s="388"/>
      <c r="E294" s="388"/>
      <c r="F294" s="411" t="s">
        <v>147</v>
      </c>
      <c r="G294" s="388"/>
      <c r="H294" s="388" t="s">
        <v>153</v>
      </c>
      <c r="I294" s="388"/>
      <c r="J294" s="388"/>
      <c r="K294" s="261"/>
      <c r="L294" s="261"/>
      <c r="M294" s="261"/>
      <c r="N294" s="261"/>
      <c r="O294" s="261"/>
      <c r="P294" s="261"/>
      <c r="Q294" s="261"/>
      <c r="R294" s="261"/>
      <c r="S294" s="261"/>
      <c r="T294" s="261"/>
      <c r="U294" s="261"/>
      <c r="V294" s="261"/>
      <c r="W294" s="261"/>
      <c r="X294" s="5"/>
    </row>
    <row r="295" spans="1:24" ht="15.75" x14ac:dyDescent="0.25">
      <c r="A295" s="258"/>
      <c r="B295" s="388"/>
      <c r="C295" s="388"/>
      <c r="D295" s="388"/>
      <c r="E295" s="388"/>
      <c r="F295" s="388"/>
      <c r="G295" s="263"/>
      <c r="H295" s="261"/>
      <c r="I295" s="261"/>
      <c r="J295" s="261"/>
      <c r="K295" s="261"/>
      <c r="L295" s="261"/>
      <c r="M295" s="261"/>
      <c r="N295" s="261"/>
      <c r="O295" s="261"/>
      <c r="P295" s="261"/>
      <c r="Q295" s="261"/>
      <c r="R295" s="261"/>
      <c r="S295" s="261"/>
      <c r="T295" s="261"/>
      <c r="U295" s="261"/>
      <c r="V295" s="261"/>
      <c r="W295" s="261"/>
      <c r="X295" s="5"/>
    </row>
    <row r="296" spans="1:24" ht="15.75" x14ac:dyDescent="0.25">
      <c r="A296" s="258"/>
      <c r="B296" s="388"/>
      <c r="C296" s="388"/>
      <c r="D296" s="388"/>
      <c r="E296" s="388"/>
      <c r="F296" s="388"/>
      <c r="G296" s="263"/>
      <c r="H296" s="261"/>
      <c r="I296" s="261"/>
      <c r="J296" s="261"/>
      <c r="K296" s="261"/>
      <c r="L296" s="261"/>
      <c r="M296" s="261"/>
      <c r="N296" s="261"/>
      <c r="O296" s="261"/>
      <c r="P296" s="261"/>
      <c r="Q296" s="261"/>
      <c r="R296" s="261"/>
      <c r="S296" s="261"/>
      <c r="T296" s="261"/>
      <c r="U296" s="261"/>
      <c r="V296" s="261"/>
      <c r="W296" s="261"/>
      <c r="X296" s="5"/>
    </row>
    <row r="297" spans="1:24" ht="19.5" thickBot="1" x14ac:dyDescent="0.35">
      <c r="A297" s="258"/>
      <c r="B297" s="264" t="str">
        <f>B201</f>
        <v>PM15 INVESTOR REPORT QUARTER ENDING AUGUST 2013</v>
      </c>
      <c r="C297" s="388"/>
      <c r="D297" s="388"/>
      <c r="E297" s="388"/>
      <c r="F297" s="388"/>
      <c r="G297" s="263"/>
      <c r="H297" s="261"/>
      <c r="I297" s="261"/>
      <c r="J297" s="261"/>
      <c r="K297" s="261"/>
      <c r="L297" s="261"/>
      <c r="M297" s="261"/>
      <c r="N297" s="261"/>
      <c r="O297" s="261"/>
      <c r="P297" s="261"/>
      <c r="Q297" s="261"/>
      <c r="R297" s="261"/>
      <c r="S297" s="261"/>
      <c r="T297" s="261"/>
      <c r="U297" s="261"/>
      <c r="V297" s="261"/>
      <c r="W297" s="261"/>
      <c r="X297" s="5"/>
    </row>
    <row r="298" spans="1:24" x14ac:dyDescent="0.2">
      <c r="A298" s="100"/>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00"/>
    </row>
  </sheetData>
  <hyperlinks>
    <hyperlink ref="P237" r:id="rId1" xr:uid="{00000000-0004-0000-1700-000000000000}"/>
    <hyperlink ref="I9" r:id="rId2" xr:uid="{00000000-0004-0000-17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5" max="14" man="1"/>
    <brk id="201" max="14" man="1"/>
  </rowBreaks>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4"/>
  </sheetPr>
  <dimension ref="A1:IV298"/>
  <sheetViews>
    <sheetView showGridLines="0" showOutlineSymbols="0" zoomScale="70" zoomScaleNormal="70" workbookViewId="0"/>
  </sheetViews>
  <sheetFormatPr defaultColWidth="9.6640625" defaultRowHeight="15" x14ac:dyDescent="0.2"/>
  <cols>
    <col min="1" max="1" width="4" style="1" customWidth="1"/>
    <col min="2" max="2" width="71.21875" style="1" customWidth="1"/>
    <col min="3" max="3" width="2.21875" style="1" customWidth="1"/>
    <col min="4" max="4" width="19.33203125" style="1" customWidth="1"/>
    <col min="5" max="5" width="2.21875" style="1" customWidth="1"/>
    <col min="6" max="6" width="25.109375" style="1" customWidth="1"/>
    <col min="7" max="7" width="2.21875" style="1" customWidth="1"/>
    <col min="8" max="8" width="16.21875" style="1" customWidth="1"/>
    <col min="9" max="9" width="2.88671875" style="1" customWidth="1"/>
    <col min="10" max="10" width="16.21875" style="1" customWidth="1"/>
    <col min="11" max="11" width="2.21875" style="1" customWidth="1"/>
    <col min="12" max="12" width="17.88671875" style="1" customWidth="1"/>
    <col min="13" max="13" width="2.33203125" style="1" customWidth="1"/>
    <col min="14" max="14" width="14.88671875" style="1" customWidth="1"/>
    <col min="15" max="15" width="2.33203125" style="1" customWidth="1"/>
    <col min="16" max="16" width="15.5546875" style="1" customWidth="1"/>
    <col min="17" max="17" width="2.21875" style="1" customWidth="1"/>
    <col min="18" max="18" width="15.5546875" style="1" customWidth="1"/>
    <col min="19" max="20" width="12.6640625" style="1" customWidth="1"/>
    <col min="21" max="21" width="7.77734375" style="1" customWidth="1"/>
    <col min="22" max="22" width="14.6640625" style="1" customWidth="1"/>
    <col min="23" max="23" width="11.77734375" style="1" customWidth="1"/>
    <col min="24" max="16384" width="9.6640625" style="1"/>
  </cols>
  <sheetData>
    <row r="1" spans="1:24" ht="20.25" x14ac:dyDescent="0.3">
      <c r="A1" s="179"/>
      <c r="B1" s="274" t="s">
        <v>237</v>
      </c>
      <c r="C1" s="180"/>
      <c r="D1" s="180"/>
      <c r="E1" s="180"/>
      <c r="F1" s="180"/>
      <c r="G1" s="180"/>
      <c r="H1" s="180"/>
      <c r="I1" s="180"/>
      <c r="J1" s="180"/>
      <c r="K1" s="180"/>
      <c r="L1" s="180"/>
      <c r="M1" s="180"/>
      <c r="N1" s="180"/>
      <c r="O1" s="180"/>
      <c r="P1" s="180"/>
      <c r="Q1" s="180"/>
      <c r="R1" s="180"/>
      <c r="S1" s="180"/>
      <c r="T1" s="180"/>
      <c r="U1" s="180"/>
      <c r="V1" s="180"/>
      <c r="W1" s="180"/>
      <c r="X1" s="5"/>
    </row>
    <row r="2" spans="1:24" ht="15.75" x14ac:dyDescent="0.25">
      <c r="A2" s="181"/>
      <c r="B2" s="182"/>
      <c r="C2" s="183"/>
      <c r="D2" s="183"/>
      <c r="E2" s="183"/>
      <c r="F2" s="183"/>
      <c r="G2" s="183"/>
      <c r="H2" s="183"/>
      <c r="I2" s="183"/>
      <c r="J2" s="183"/>
      <c r="K2" s="183"/>
      <c r="L2" s="183"/>
      <c r="M2" s="183"/>
      <c r="N2" s="183"/>
      <c r="O2" s="183"/>
      <c r="P2" s="183"/>
      <c r="Q2" s="183"/>
      <c r="R2" s="183"/>
      <c r="S2" s="183"/>
      <c r="T2" s="183"/>
      <c r="U2" s="183"/>
      <c r="V2" s="183"/>
      <c r="W2" s="183"/>
      <c r="X2" s="5"/>
    </row>
    <row r="3" spans="1:24" ht="15.75" x14ac:dyDescent="0.25">
      <c r="A3" s="184"/>
      <c r="B3" s="185" t="s">
        <v>238</v>
      </c>
      <c r="C3" s="183"/>
      <c r="D3" s="183"/>
      <c r="E3" s="183"/>
      <c r="F3" s="183"/>
      <c r="G3" s="183"/>
      <c r="H3" s="183"/>
      <c r="I3" s="183"/>
      <c r="J3" s="183"/>
      <c r="K3" s="183"/>
      <c r="L3" s="183"/>
      <c r="M3" s="183"/>
      <c r="N3" s="183"/>
      <c r="O3" s="183"/>
      <c r="P3" s="183"/>
      <c r="Q3" s="183"/>
      <c r="R3" s="183"/>
      <c r="S3" s="183"/>
      <c r="T3" s="183"/>
      <c r="U3" s="183"/>
      <c r="V3" s="183"/>
      <c r="W3" s="183"/>
      <c r="X3" s="5"/>
    </row>
    <row r="4" spans="1:24" ht="15.75" x14ac:dyDescent="0.25">
      <c r="A4" s="181"/>
      <c r="B4" s="182"/>
      <c r="C4" s="183"/>
      <c r="D4" s="183"/>
      <c r="E4" s="183"/>
      <c r="F4" s="183"/>
      <c r="G4" s="183"/>
      <c r="H4" s="183"/>
      <c r="I4" s="183"/>
      <c r="J4" s="183"/>
      <c r="K4" s="183"/>
      <c r="L4" s="183"/>
      <c r="M4" s="183"/>
      <c r="N4" s="183"/>
      <c r="O4" s="183"/>
      <c r="P4" s="183"/>
      <c r="Q4" s="183"/>
      <c r="R4" s="183"/>
      <c r="S4" s="183"/>
      <c r="T4" s="183"/>
      <c r="U4" s="183"/>
      <c r="V4" s="183"/>
      <c r="W4" s="183"/>
      <c r="X4" s="5"/>
    </row>
    <row r="5" spans="1:24" ht="15.75" x14ac:dyDescent="0.25">
      <c r="A5" s="181"/>
      <c r="B5" s="275" t="s">
        <v>137</v>
      </c>
      <c r="C5" s="183"/>
      <c r="D5" s="183"/>
      <c r="E5" s="183"/>
      <c r="F5" s="183"/>
      <c r="G5" s="183"/>
      <c r="H5" s="183"/>
      <c r="I5" s="183"/>
      <c r="J5" s="183"/>
      <c r="K5" s="183"/>
      <c r="L5" s="183"/>
      <c r="M5" s="183"/>
      <c r="N5" s="183"/>
      <c r="O5" s="183"/>
      <c r="P5" s="183"/>
      <c r="Q5" s="183"/>
      <c r="R5" s="183"/>
      <c r="S5" s="183"/>
      <c r="T5" s="183"/>
      <c r="U5" s="183"/>
      <c r="V5" s="183"/>
      <c r="W5" s="183"/>
      <c r="X5" s="5"/>
    </row>
    <row r="6" spans="1:24" ht="15.75" x14ac:dyDescent="0.25">
      <c r="A6" s="181"/>
      <c r="B6" s="275" t="s">
        <v>139</v>
      </c>
      <c r="C6" s="183"/>
      <c r="D6" s="183"/>
      <c r="E6" s="183"/>
      <c r="F6" s="183"/>
      <c r="G6" s="183"/>
      <c r="H6" s="183"/>
      <c r="I6" s="183"/>
      <c r="J6" s="183"/>
      <c r="K6" s="183"/>
      <c r="L6" s="183"/>
      <c r="M6" s="183"/>
      <c r="N6" s="183"/>
      <c r="O6" s="183"/>
      <c r="P6" s="183"/>
      <c r="Q6" s="183"/>
      <c r="R6" s="183"/>
      <c r="S6" s="183"/>
      <c r="T6" s="183"/>
      <c r="U6" s="183"/>
      <c r="V6" s="183"/>
      <c r="W6" s="183"/>
      <c r="X6" s="5"/>
    </row>
    <row r="7" spans="1:24" ht="15.75" x14ac:dyDescent="0.25">
      <c r="A7" s="181"/>
      <c r="B7" s="275" t="s">
        <v>138</v>
      </c>
      <c r="C7" s="183"/>
      <c r="D7" s="183"/>
      <c r="E7" s="183"/>
      <c r="F7" s="183"/>
      <c r="G7" s="183"/>
      <c r="H7" s="183"/>
      <c r="I7" s="183"/>
      <c r="J7" s="183"/>
      <c r="K7" s="183"/>
      <c r="L7" s="183"/>
      <c r="M7" s="183"/>
      <c r="N7" s="183"/>
      <c r="O7" s="183"/>
      <c r="P7" s="183"/>
      <c r="Q7" s="183"/>
      <c r="R7" s="183"/>
      <c r="S7" s="183"/>
      <c r="T7" s="183"/>
      <c r="U7" s="183"/>
      <c r="V7" s="183"/>
      <c r="W7" s="183"/>
      <c r="X7" s="5"/>
    </row>
    <row r="8" spans="1:24" ht="15.75" x14ac:dyDescent="0.25">
      <c r="A8" s="181"/>
      <c r="B8" s="186"/>
      <c r="C8" s="183"/>
      <c r="D8" s="183"/>
      <c r="E8" s="183"/>
      <c r="F8" s="183"/>
      <c r="G8" s="183"/>
      <c r="H8" s="183"/>
      <c r="I8" s="183"/>
      <c r="J8" s="183"/>
      <c r="K8" s="183"/>
      <c r="L8" s="183"/>
      <c r="M8" s="183"/>
      <c r="N8" s="183"/>
      <c r="O8" s="183"/>
      <c r="P8" s="183"/>
      <c r="Q8" s="183"/>
      <c r="R8" s="183"/>
      <c r="S8" s="183"/>
      <c r="T8" s="183"/>
      <c r="U8" s="183"/>
      <c r="V8" s="183"/>
      <c r="W8" s="183"/>
      <c r="X8" s="5"/>
    </row>
    <row r="9" spans="1:24" ht="18.75" x14ac:dyDescent="0.3">
      <c r="A9" s="181"/>
      <c r="B9" s="187" t="s">
        <v>166</v>
      </c>
      <c r="C9" s="183"/>
      <c r="D9" s="183"/>
      <c r="E9" s="183"/>
      <c r="F9" s="183"/>
      <c r="G9" s="183"/>
      <c r="H9" s="183"/>
      <c r="I9" s="188" t="s">
        <v>167</v>
      </c>
      <c r="J9" s="183"/>
      <c r="K9" s="183"/>
      <c r="L9" s="188"/>
      <c r="M9" s="183"/>
      <c r="N9" s="188"/>
      <c r="O9" s="183"/>
      <c r="P9" s="183"/>
      <c r="Q9" s="183"/>
      <c r="R9" s="183"/>
      <c r="S9" s="183"/>
      <c r="T9" s="183"/>
      <c r="U9" s="183"/>
      <c r="V9" s="183"/>
      <c r="W9" s="183"/>
      <c r="X9" s="5"/>
    </row>
    <row r="10" spans="1:24" ht="15.75" x14ac:dyDescent="0.25">
      <c r="A10" s="181"/>
      <c r="B10" s="186"/>
      <c r="C10" s="189"/>
      <c r="D10" s="189"/>
      <c r="E10" s="189"/>
      <c r="F10" s="183"/>
      <c r="G10" s="183"/>
      <c r="H10" s="183"/>
      <c r="I10" s="183"/>
      <c r="J10" s="183"/>
      <c r="K10" s="183"/>
      <c r="L10" s="183"/>
      <c r="M10" s="183"/>
      <c r="N10" s="183"/>
      <c r="O10" s="183"/>
      <c r="P10" s="183"/>
      <c r="Q10" s="183"/>
      <c r="R10" s="183"/>
      <c r="S10" s="183"/>
      <c r="T10" s="183"/>
      <c r="U10" s="183"/>
      <c r="V10" s="183"/>
      <c r="W10" s="183"/>
      <c r="X10" s="5"/>
    </row>
    <row r="11" spans="1:24" ht="15.75" x14ac:dyDescent="0.25">
      <c r="A11" s="181"/>
      <c r="B11" s="388" t="s">
        <v>0</v>
      </c>
      <c r="C11" s="183"/>
      <c r="D11" s="183"/>
      <c r="E11" s="183"/>
      <c r="F11" s="183"/>
      <c r="G11" s="183"/>
      <c r="H11" s="183"/>
      <c r="I11" s="183"/>
      <c r="J11" s="183"/>
      <c r="K11" s="183"/>
      <c r="L11" s="183"/>
      <c r="M11" s="183"/>
      <c r="N11" s="183"/>
      <c r="O11" s="183"/>
      <c r="P11" s="183"/>
      <c r="Q11" s="183"/>
      <c r="R11" s="183"/>
      <c r="S11" s="183"/>
      <c r="T11" s="183"/>
      <c r="U11" s="183"/>
      <c r="V11" s="183"/>
      <c r="W11" s="183"/>
      <c r="X11" s="5"/>
    </row>
    <row r="12" spans="1:24" ht="16.5" thickBot="1" x14ac:dyDescent="0.3">
      <c r="A12" s="181"/>
      <c r="B12" s="189"/>
      <c r="C12" s="183"/>
      <c r="D12" s="183"/>
      <c r="E12" s="183"/>
      <c r="F12" s="183"/>
      <c r="G12" s="183"/>
      <c r="H12" s="183"/>
      <c r="I12" s="183"/>
      <c r="J12" s="183"/>
      <c r="K12" s="183"/>
      <c r="L12" s="183"/>
      <c r="M12" s="183"/>
      <c r="N12" s="183"/>
      <c r="O12" s="183"/>
      <c r="P12" s="183"/>
      <c r="Q12" s="183"/>
      <c r="R12" s="183"/>
      <c r="S12" s="183"/>
      <c r="T12" s="183"/>
      <c r="U12" s="183"/>
      <c r="V12" s="183"/>
      <c r="W12" s="183"/>
      <c r="X12" s="5"/>
    </row>
    <row r="13" spans="1:24" ht="15.75" x14ac:dyDescent="0.25">
      <c r="A13" s="179"/>
      <c r="B13" s="180"/>
      <c r="C13" s="180"/>
      <c r="D13" s="180"/>
      <c r="E13" s="180"/>
      <c r="F13" s="180"/>
      <c r="G13" s="180"/>
      <c r="H13" s="180"/>
      <c r="I13" s="180"/>
      <c r="J13" s="180"/>
      <c r="K13" s="180"/>
      <c r="L13" s="180"/>
      <c r="M13" s="180"/>
      <c r="N13" s="180"/>
      <c r="O13" s="180"/>
      <c r="P13" s="180"/>
      <c r="Q13" s="180"/>
      <c r="R13" s="180"/>
      <c r="S13" s="180"/>
      <c r="T13" s="180"/>
      <c r="U13" s="180"/>
      <c r="V13" s="180"/>
      <c r="W13" s="180"/>
      <c r="X13" s="5"/>
    </row>
    <row r="14" spans="1:24" ht="15.75" x14ac:dyDescent="0.25">
      <c r="A14" s="181"/>
      <c r="B14" s="388" t="s">
        <v>1</v>
      </c>
      <c r="C14" s="255"/>
      <c r="D14" s="255"/>
      <c r="E14" s="255"/>
      <c r="F14" s="255"/>
      <c r="G14" s="255"/>
      <c r="H14" s="255"/>
      <c r="I14" s="255"/>
      <c r="J14" s="255"/>
      <c r="K14" s="255"/>
      <c r="L14" s="255"/>
      <c r="M14" s="255"/>
      <c r="N14" s="255"/>
      <c r="O14" s="255"/>
      <c r="P14" s="255"/>
      <c r="Q14" s="255"/>
      <c r="R14" s="255"/>
      <c r="S14" s="255"/>
      <c r="T14" s="255"/>
      <c r="U14" s="255"/>
      <c r="V14" s="276" t="s">
        <v>239</v>
      </c>
      <c r="W14" s="255"/>
      <c r="X14" s="5"/>
    </row>
    <row r="15" spans="1:24" ht="15.75" x14ac:dyDescent="0.25">
      <c r="A15" s="181"/>
      <c r="B15" s="388" t="s">
        <v>2</v>
      </c>
      <c r="C15" s="255"/>
      <c r="D15" s="255"/>
      <c r="E15" s="255"/>
      <c r="F15" s="255"/>
      <c r="G15" s="255"/>
      <c r="H15" s="389"/>
      <c r="I15" s="389"/>
      <c r="J15" s="389"/>
      <c r="K15" s="389"/>
      <c r="L15" s="389"/>
      <c r="M15" s="389"/>
      <c r="N15" s="389"/>
      <c r="O15" s="389"/>
      <c r="P15" s="389"/>
      <c r="Q15" s="389"/>
      <c r="R15" s="389" t="s">
        <v>104</v>
      </c>
      <c r="S15" s="390">
        <v>0.47189999999999999</v>
      </c>
      <c r="T15" s="391" t="s">
        <v>140</v>
      </c>
      <c r="U15" s="390">
        <v>0.52810000000000001</v>
      </c>
      <c r="V15" s="276"/>
      <c r="W15" s="255"/>
      <c r="X15" s="5"/>
    </row>
    <row r="16" spans="1:24" ht="15.75" x14ac:dyDescent="0.25">
      <c r="A16" s="181"/>
      <c r="B16" s="388" t="s">
        <v>3</v>
      </c>
      <c r="C16" s="255"/>
      <c r="D16" s="255"/>
      <c r="E16" s="255"/>
      <c r="F16" s="255"/>
      <c r="G16" s="255"/>
      <c r="H16" s="389"/>
      <c r="I16" s="389"/>
      <c r="J16" s="389"/>
      <c r="K16" s="389"/>
      <c r="L16" s="389"/>
      <c r="M16" s="389"/>
      <c r="N16" s="389"/>
      <c r="O16" s="389"/>
      <c r="P16" s="389"/>
      <c r="Q16" s="389"/>
      <c r="R16" s="389" t="s">
        <v>104</v>
      </c>
      <c r="S16" s="390">
        <v>0.54359999999999997</v>
      </c>
      <c r="T16" s="391" t="s">
        <v>140</v>
      </c>
      <c r="U16" s="390">
        <v>0.45639999999999997</v>
      </c>
      <c r="V16" s="276"/>
      <c r="W16" s="255"/>
      <c r="X16" s="5"/>
    </row>
    <row r="17" spans="1:24" ht="15.75" x14ac:dyDescent="0.25">
      <c r="A17" s="181"/>
      <c r="B17" s="388" t="s">
        <v>4</v>
      </c>
      <c r="C17" s="255"/>
      <c r="D17" s="255"/>
      <c r="E17" s="255"/>
      <c r="F17" s="255"/>
      <c r="G17" s="255"/>
      <c r="H17" s="255"/>
      <c r="I17" s="255"/>
      <c r="J17" s="255"/>
      <c r="K17" s="255"/>
      <c r="L17" s="255"/>
      <c r="M17" s="255"/>
      <c r="N17" s="255"/>
      <c r="O17" s="255"/>
      <c r="P17" s="255"/>
      <c r="Q17" s="255"/>
      <c r="R17" s="255"/>
      <c r="S17" s="255"/>
      <c r="T17" s="255"/>
      <c r="U17" s="255"/>
      <c r="V17" s="392">
        <v>39282</v>
      </c>
      <c r="W17" s="255"/>
      <c r="X17" s="5"/>
    </row>
    <row r="18" spans="1:24" ht="15.75" x14ac:dyDescent="0.25">
      <c r="A18" s="181"/>
      <c r="B18" s="388" t="s">
        <v>5</v>
      </c>
      <c r="C18" s="255"/>
      <c r="D18" s="255"/>
      <c r="E18" s="255"/>
      <c r="F18" s="255"/>
      <c r="G18" s="255"/>
      <c r="H18" s="255"/>
      <c r="I18" s="255"/>
      <c r="J18" s="255"/>
      <c r="K18" s="255"/>
      <c r="L18" s="255"/>
      <c r="M18" s="255"/>
      <c r="N18" s="255"/>
      <c r="O18" s="255"/>
      <c r="P18" s="255"/>
      <c r="Q18" s="255"/>
      <c r="R18" s="255"/>
      <c r="S18" s="255"/>
      <c r="T18" s="255"/>
      <c r="U18" s="255"/>
      <c r="V18" s="392">
        <v>41628</v>
      </c>
      <c r="W18" s="255"/>
      <c r="X18" s="5"/>
    </row>
    <row r="19" spans="1:24" ht="15.75" x14ac:dyDescent="0.25">
      <c r="A19" s="181"/>
      <c r="B19" s="183"/>
      <c r="C19" s="183"/>
      <c r="D19" s="183"/>
      <c r="E19" s="183"/>
      <c r="F19" s="183"/>
      <c r="G19" s="183"/>
      <c r="H19" s="183"/>
      <c r="I19" s="183"/>
      <c r="J19" s="183"/>
      <c r="K19" s="183"/>
      <c r="L19" s="183"/>
      <c r="M19" s="183"/>
      <c r="N19" s="183"/>
      <c r="O19" s="183"/>
      <c r="P19" s="183"/>
      <c r="Q19" s="183"/>
      <c r="R19" s="183"/>
      <c r="S19" s="183"/>
      <c r="T19" s="183"/>
      <c r="U19" s="183"/>
      <c r="V19" s="190"/>
      <c r="W19" s="183"/>
      <c r="X19" s="5"/>
    </row>
    <row r="20" spans="1:24" ht="15.75" x14ac:dyDescent="0.25">
      <c r="A20" s="181"/>
      <c r="B20" s="280" t="s">
        <v>6</v>
      </c>
      <c r="C20" s="255"/>
      <c r="D20" s="255"/>
      <c r="E20" s="255"/>
      <c r="F20" s="255"/>
      <c r="G20" s="255"/>
      <c r="H20" s="255"/>
      <c r="I20" s="255"/>
      <c r="J20" s="255"/>
      <c r="K20" s="255"/>
      <c r="L20" s="255"/>
      <c r="M20" s="255"/>
      <c r="N20" s="255"/>
      <c r="O20" s="255"/>
      <c r="P20" s="255"/>
      <c r="Q20" s="255"/>
      <c r="R20" s="255"/>
      <c r="S20" s="255"/>
      <c r="T20" s="281" t="s">
        <v>105</v>
      </c>
      <c r="U20" s="255"/>
      <c r="V20" s="261"/>
      <c r="W20" s="183"/>
      <c r="X20" s="5"/>
    </row>
    <row r="21" spans="1:24" ht="15.75" x14ac:dyDescent="0.25">
      <c r="A21" s="181"/>
      <c r="B21" s="183"/>
      <c r="C21" s="183"/>
      <c r="D21" s="183"/>
      <c r="E21" s="183"/>
      <c r="F21" s="183"/>
      <c r="G21" s="183"/>
      <c r="H21" s="183"/>
      <c r="I21" s="183"/>
      <c r="J21" s="183"/>
      <c r="K21" s="183"/>
      <c r="L21" s="183"/>
      <c r="M21" s="183"/>
      <c r="N21" s="183"/>
      <c r="O21" s="183"/>
      <c r="P21" s="183"/>
      <c r="Q21" s="183"/>
      <c r="R21" s="183"/>
      <c r="S21" s="183"/>
      <c r="T21" s="183"/>
      <c r="U21" s="183"/>
      <c r="V21" s="192"/>
      <c r="W21" s="183"/>
      <c r="X21" s="5"/>
    </row>
    <row r="22" spans="1:24" ht="15.75" x14ac:dyDescent="0.25">
      <c r="A22" s="224"/>
      <c r="B22" s="225"/>
      <c r="C22" s="226"/>
      <c r="D22" s="226" t="s">
        <v>177</v>
      </c>
      <c r="E22" s="226"/>
      <c r="F22" s="226" t="s">
        <v>178</v>
      </c>
      <c r="G22" s="226"/>
      <c r="H22" s="226" t="s">
        <v>179</v>
      </c>
      <c r="I22" s="226"/>
      <c r="J22" s="226" t="s">
        <v>219</v>
      </c>
      <c r="K22" s="226"/>
      <c r="L22" s="226" t="s">
        <v>180</v>
      </c>
      <c r="M22" s="226"/>
      <c r="N22" s="226" t="s">
        <v>181</v>
      </c>
      <c r="O22" s="226"/>
      <c r="P22" s="226" t="s">
        <v>182</v>
      </c>
      <c r="Q22" s="226"/>
      <c r="R22" s="226"/>
      <c r="S22" s="228"/>
      <c r="T22" s="228"/>
      <c r="U22" s="229"/>
      <c r="V22" s="229"/>
      <c r="W22" s="225"/>
      <c r="X22" s="5"/>
    </row>
    <row r="23" spans="1:24" ht="15.75" x14ac:dyDescent="0.25">
      <c r="A23" s="193"/>
      <c r="B23" s="250" t="s">
        <v>7</v>
      </c>
      <c r="C23" s="282"/>
      <c r="D23" s="282" t="s">
        <v>212</v>
      </c>
      <c r="E23" s="282"/>
      <c r="F23" s="282" t="s">
        <v>141</v>
      </c>
      <c r="G23" s="282"/>
      <c r="H23" s="282" t="s">
        <v>141</v>
      </c>
      <c r="I23" s="282"/>
      <c r="J23" s="282" t="s">
        <v>141</v>
      </c>
      <c r="K23" s="282"/>
      <c r="L23" s="282" t="s">
        <v>183</v>
      </c>
      <c r="M23" s="282"/>
      <c r="N23" s="282" t="s">
        <v>183</v>
      </c>
      <c r="O23" s="282"/>
      <c r="P23" s="282" t="s">
        <v>142</v>
      </c>
      <c r="Q23" s="282"/>
      <c r="R23" s="282"/>
      <c r="S23" s="282"/>
      <c r="T23" s="282"/>
      <c r="U23" s="273"/>
      <c r="V23" s="273"/>
      <c r="W23" s="250"/>
      <c r="X23" s="5"/>
    </row>
    <row r="24" spans="1:24" ht="15.75" x14ac:dyDescent="0.25">
      <c r="A24" s="285"/>
      <c r="B24" s="286" t="s">
        <v>8</v>
      </c>
      <c r="C24" s="287"/>
      <c r="D24" s="287" t="s">
        <v>213</v>
      </c>
      <c r="E24" s="287"/>
      <c r="F24" s="287" t="s">
        <v>143</v>
      </c>
      <c r="G24" s="287"/>
      <c r="H24" s="287" t="s">
        <v>143</v>
      </c>
      <c r="I24" s="287"/>
      <c r="J24" s="287" t="s">
        <v>143</v>
      </c>
      <c r="K24" s="287"/>
      <c r="L24" s="287" t="s">
        <v>165</v>
      </c>
      <c r="M24" s="287"/>
      <c r="N24" s="287" t="s">
        <v>165</v>
      </c>
      <c r="O24" s="287"/>
      <c r="P24" s="287" t="s">
        <v>144</v>
      </c>
      <c r="Q24" s="287"/>
      <c r="R24" s="287"/>
      <c r="S24" s="287"/>
      <c r="T24" s="287"/>
      <c r="U24" s="288"/>
      <c r="V24" s="288"/>
      <c r="W24" s="289"/>
      <c r="X24" s="5"/>
    </row>
    <row r="25" spans="1:24" ht="15.75" x14ac:dyDescent="0.25">
      <c r="A25" s="290"/>
      <c r="B25" s="286" t="s">
        <v>190</v>
      </c>
      <c r="C25" s="292"/>
      <c r="D25" s="287" t="s">
        <v>214</v>
      </c>
      <c r="E25" s="287"/>
      <c r="F25" s="287" t="s">
        <v>143</v>
      </c>
      <c r="G25" s="287"/>
      <c r="H25" s="287" t="s">
        <v>143</v>
      </c>
      <c r="I25" s="287"/>
      <c r="J25" s="287" t="s">
        <v>143</v>
      </c>
      <c r="K25" s="287"/>
      <c r="L25" s="287" t="s">
        <v>165</v>
      </c>
      <c r="M25" s="287"/>
      <c r="N25" s="287" t="s">
        <v>165</v>
      </c>
      <c r="O25" s="287"/>
      <c r="P25" s="287" t="s">
        <v>144</v>
      </c>
      <c r="Q25" s="287"/>
      <c r="R25" s="287"/>
      <c r="S25" s="292"/>
      <c r="T25" s="287"/>
      <c r="U25" s="288"/>
      <c r="V25" s="288"/>
      <c r="W25" s="289"/>
      <c r="X25" s="5"/>
    </row>
    <row r="26" spans="1:24" ht="15.75" x14ac:dyDescent="0.25">
      <c r="A26" s="393"/>
      <c r="B26" s="297" t="s">
        <v>9</v>
      </c>
      <c r="C26" s="292"/>
      <c r="D26" s="292" t="s">
        <v>141</v>
      </c>
      <c r="E26" s="292"/>
      <c r="F26" s="292" t="s">
        <v>141</v>
      </c>
      <c r="G26" s="292"/>
      <c r="H26" s="292" t="s">
        <v>141</v>
      </c>
      <c r="I26" s="292"/>
      <c r="J26" s="292" t="s">
        <v>141</v>
      </c>
      <c r="K26" s="292"/>
      <c r="L26" s="292" t="s">
        <v>183</v>
      </c>
      <c r="M26" s="292"/>
      <c r="N26" s="292" t="s">
        <v>183</v>
      </c>
      <c r="O26" s="292"/>
      <c r="P26" s="292" t="s">
        <v>142</v>
      </c>
      <c r="Q26" s="292"/>
      <c r="R26" s="292"/>
      <c r="S26" s="292"/>
      <c r="T26" s="287"/>
      <c r="U26" s="288"/>
      <c r="V26" s="288"/>
      <c r="W26" s="289"/>
      <c r="X26" s="5"/>
    </row>
    <row r="27" spans="1:24" ht="15.75" x14ac:dyDescent="0.25">
      <c r="A27" s="295"/>
      <c r="B27" s="297" t="s">
        <v>191</v>
      </c>
      <c r="C27" s="287"/>
      <c r="D27" s="292" t="s">
        <v>143</v>
      </c>
      <c r="E27" s="292"/>
      <c r="F27" s="292" t="s">
        <v>143</v>
      </c>
      <c r="G27" s="292"/>
      <c r="H27" s="292" t="s">
        <v>143</v>
      </c>
      <c r="I27" s="292"/>
      <c r="J27" s="292" t="s">
        <v>143</v>
      </c>
      <c r="K27" s="292"/>
      <c r="L27" s="292" t="s">
        <v>307</v>
      </c>
      <c r="M27" s="292"/>
      <c r="N27" s="292" t="s">
        <v>307</v>
      </c>
      <c r="O27" s="292"/>
      <c r="P27" s="292" t="s">
        <v>308</v>
      </c>
      <c r="Q27" s="292"/>
      <c r="R27" s="292"/>
      <c r="S27" s="287"/>
      <c r="T27" s="296"/>
      <c r="U27" s="288"/>
      <c r="V27" s="288"/>
      <c r="W27" s="289"/>
      <c r="X27" s="5"/>
    </row>
    <row r="28" spans="1:24" ht="15.75" x14ac:dyDescent="0.25">
      <c r="A28" s="295"/>
      <c r="B28" s="297" t="s">
        <v>192</v>
      </c>
      <c r="C28" s="287"/>
      <c r="D28" s="292" t="s">
        <v>143</v>
      </c>
      <c r="E28" s="292"/>
      <c r="F28" s="292" t="s">
        <v>143</v>
      </c>
      <c r="G28" s="292"/>
      <c r="H28" s="292" t="s">
        <v>143</v>
      </c>
      <c r="I28" s="292"/>
      <c r="J28" s="292" t="s">
        <v>143</v>
      </c>
      <c r="K28" s="292"/>
      <c r="L28" s="292" t="s">
        <v>165</v>
      </c>
      <c r="M28" s="292"/>
      <c r="N28" s="292" t="s">
        <v>165</v>
      </c>
      <c r="O28" s="292"/>
      <c r="P28" s="292" t="s">
        <v>309</v>
      </c>
      <c r="Q28" s="292"/>
      <c r="R28" s="292"/>
      <c r="S28" s="287"/>
      <c r="T28" s="296"/>
      <c r="U28" s="288"/>
      <c r="V28" s="288"/>
      <c r="W28" s="289"/>
      <c r="X28" s="5"/>
    </row>
    <row r="29" spans="1:24" ht="15.75" x14ac:dyDescent="0.25">
      <c r="A29" s="295"/>
      <c r="B29" s="286" t="s">
        <v>10</v>
      </c>
      <c r="C29" s="298"/>
      <c r="D29" s="287" t="s">
        <v>242</v>
      </c>
      <c r="E29" s="287"/>
      <c r="F29" s="296" t="s">
        <v>244</v>
      </c>
      <c r="G29" s="287"/>
      <c r="H29" s="287" t="s">
        <v>245</v>
      </c>
      <c r="I29" s="287"/>
      <c r="J29" s="287" t="s">
        <v>247</v>
      </c>
      <c r="K29" s="287"/>
      <c r="L29" s="287" t="s">
        <v>248</v>
      </c>
      <c r="M29" s="287"/>
      <c r="N29" s="287" t="s">
        <v>249</v>
      </c>
      <c r="O29" s="287"/>
      <c r="P29" s="287" t="s">
        <v>250</v>
      </c>
      <c r="Q29" s="287"/>
      <c r="R29" s="287"/>
      <c r="S29" s="299"/>
      <c r="T29" s="299"/>
      <c r="U29" s="300"/>
      <c r="V29" s="299"/>
      <c r="W29" s="301"/>
      <c r="X29" s="5"/>
    </row>
    <row r="30" spans="1:24" ht="15.75" x14ac:dyDescent="0.25">
      <c r="A30" s="295"/>
      <c r="B30" s="286" t="s">
        <v>10</v>
      </c>
      <c r="C30" s="298"/>
      <c r="D30" s="287" t="s">
        <v>243</v>
      </c>
      <c r="E30" s="287"/>
      <c r="F30" s="296" t="s">
        <v>118</v>
      </c>
      <c r="G30" s="287"/>
      <c r="H30" s="287" t="s">
        <v>118</v>
      </c>
      <c r="I30" s="287"/>
      <c r="J30" s="287" t="s">
        <v>246</v>
      </c>
      <c r="K30" s="287"/>
      <c r="L30" s="287" t="s">
        <v>118</v>
      </c>
      <c r="M30" s="287"/>
      <c r="N30" s="287" t="s">
        <v>118</v>
      </c>
      <c r="O30" s="287"/>
      <c r="P30" s="287" t="s">
        <v>118</v>
      </c>
      <c r="Q30" s="287"/>
      <c r="R30" s="287"/>
      <c r="S30" s="299"/>
      <c r="T30" s="299"/>
      <c r="U30" s="300"/>
      <c r="V30" s="299"/>
      <c r="W30" s="301"/>
      <c r="X30" s="5"/>
    </row>
    <row r="31" spans="1:24" ht="15.75" x14ac:dyDescent="0.25">
      <c r="A31" s="393"/>
      <c r="B31" s="286" t="s">
        <v>133</v>
      </c>
      <c r="C31" s="310"/>
      <c r="D31" s="303">
        <v>1000000</v>
      </c>
      <c r="E31" s="298"/>
      <c r="F31" s="299">
        <v>209500</v>
      </c>
      <c r="G31" s="299"/>
      <c r="H31" s="304">
        <v>110000</v>
      </c>
      <c r="I31" s="304"/>
      <c r="J31" s="303">
        <v>150000</v>
      </c>
      <c r="K31" s="299"/>
      <c r="L31" s="299">
        <v>17000</v>
      </c>
      <c r="M31" s="299"/>
      <c r="N31" s="304">
        <v>85500</v>
      </c>
      <c r="O31" s="299"/>
      <c r="P31" s="304">
        <v>110500</v>
      </c>
      <c r="Q31" s="299"/>
      <c r="R31" s="304"/>
      <c r="S31" s="312"/>
      <c r="T31" s="312"/>
      <c r="U31" s="306"/>
      <c r="V31" s="312"/>
      <c r="W31" s="301"/>
      <c r="X31" s="5"/>
    </row>
    <row r="32" spans="1:24" ht="15.75" x14ac:dyDescent="0.25">
      <c r="A32" s="295"/>
      <c r="B32" s="286" t="s">
        <v>132</v>
      </c>
      <c r="C32" s="298"/>
      <c r="D32" s="303">
        <f>D31*D38</f>
        <v>761810.6</v>
      </c>
      <c r="E32" s="298"/>
      <c r="F32" s="299">
        <f>F31*F38</f>
        <v>159599.614</v>
      </c>
      <c r="G32" s="299"/>
      <c r="H32" s="304">
        <f>H31*H38</f>
        <v>83799.826000000001</v>
      </c>
      <c r="I32" s="304"/>
      <c r="J32" s="303">
        <f>J31*J38</f>
        <v>114271.59</v>
      </c>
      <c r="K32" s="299"/>
      <c r="L32" s="299">
        <f>L31*L38</f>
        <v>17000</v>
      </c>
      <c r="M32" s="299"/>
      <c r="N32" s="304">
        <f>N31*N38</f>
        <v>85500</v>
      </c>
      <c r="O32" s="299"/>
      <c r="P32" s="304">
        <f>P31*P38</f>
        <v>110500</v>
      </c>
      <c r="Q32" s="299"/>
      <c r="R32" s="304"/>
      <c r="S32" s="299"/>
      <c r="T32" s="299"/>
      <c r="U32" s="300"/>
      <c r="V32" s="299"/>
      <c r="W32" s="301"/>
      <c r="X32" s="5"/>
    </row>
    <row r="33" spans="1:27" ht="15.75" x14ac:dyDescent="0.25">
      <c r="A33" s="295"/>
      <c r="B33" s="297" t="s">
        <v>134</v>
      </c>
      <c r="C33" s="298"/>
      <c r="D33" s="394">
        <f>D37*D31</f>
        <v>751928.9</v>
      </c>
      <c r="E33" s="310"/>
      <c r="F33" s="312">
        <f>F37*F31</f>
        <v>157529.41880000001</v>
      </c>
      <c r="G33" s="312"/>
      <c r="H33" s="395">
        <f>H31*H37</f>
        <v>82712.872000000003</v>
      </c>
      <c r="I33" s="395"/>
      <c r="J33" s="394">
        <f>J37*J31</f>
        <v>112789.33500000001</v>
      </c>
      <c r="K33" s="312"/>
      <c r="L33" s="312">
        <f>L31*L37</f>
        <v>17000</v>
      </c>
      <c r="M33" s="312"/>
      <c r="N33" s="395">
        <f>N31*N37</f>
        <v>85500</v>
      </c>
      <c r="O33" s="312"/>
      <c r="P33" s="395">
        <f>P31*P37</f>
        <v>110500</v>
      </c>
      <c r="Q33" s="312"/>
      <c r="R33" s="395"/>
      <c r="S33" s="299"/>
      <c r="T33" s="299"/>
      <c r="U33" s="300"/>
      <c r="V33" s="299"/>
      <c r="W33" s="301"/>
      <c r="X33" s="5"/>
    </row>
    <row r="34" spans="1:27" ht="15.75" x14ac:dyDescent="0.25">
      <c r="A34" s="393"/>
      <c r="B34" s="286" t="s">
        <v>286</v>
      </c>
      <c r="C34" s="310"/>
      <c r="D34" s="299">
        <v>492951</v>
      </c>
      <c r="E34" s="298"/>
      <c r="F34" s="299">
        <v>209500</v>
      </c>
      <c r="G34" s="299"/>
      <c r="H34" s="299">
        <v>74677</v>
      </c>
      <c r="I34" s="299"/>
      <c r="J34" s="299">
        <v>73943</v>
      </c>
      <c r="K34" s="299"/>
      <c r="L34" s="299">
        <v>17000</v>
      </c>
      <c r="M34" s="299"/>
      <c r="N34" s="299">
        <v>58045</v>
      </c>
      <c r="O34" s="299"/>
      <c r="P34" s="299">
        <v>75017</v>
      </c>
      <c r="Q34" s="299"/>
      <c r="R34" s="299"/>
      <c r="S34" s="312"/>
      <c r="T34" s="312"/>
      <c r="U34" s="306"/>
      <c r="V34" s="299">
        <f>SUM(C34:R34)</f>
        <v>1001133</v>
      </c>
      <c r="W34" s="301"/>
      <c r="X34" s="5"/>
    </row>
    <row r="35" spans="1:27" ht="15.75" x14ac:dyDescent="0.25">
      <c r="A35" s="393"/>
      <c r="B35" s="286" t="s">
        <v>287</v>
      </c>
      <c r="C35" s="310"/>
      <c r="D35" s="299">
        <f>D34*D38</f>
        <v>375535.29708059999</v>
      </c>
      <c r="E35" s="298"/>
      <c r="F35" s="299">
        <f>F34*F38</f>
        <v>159599.614</v>
      </c>
      <c r="G35" s="299"/>
      <c r="H35" s="299">
        <f>H34*H38</f>
        <v>56890.178238199995</v>
      </c>
      <c r="I35" s="299"/>
      <c r="J35" s="299">
        <f>J34*J38</f>
        <v>56330.561195800001</v>
      </c>
      <c r="K35" s="299"/>
      <c r="L35" s="299">
        <f>L34*L38</f>
        <v>17000</v>
      </c>
      <c r="M35" s="299"/>
      <c r="N35" s="299">
        <f>N34*N38</f>
        <v>58045</v>
      </c>
      <c r="O35" s="299"/>
      <c r="P35" s="299">
        <f>P34*P38</f>
        <v>75017</v>
      </c>
      <c r="Q35" s="299"/>
      <c r="R35" s="299"/>
      <c r="S35" s="299"/>
      <c r="T35" s="299"/>
      <c r="U35" s="300"/>
      <c r="V35" s="299">
        <f>SUM(C35:R35)</f>
        <v>798417.65051459998</v>
      </c>
      <c r="W35" s="301"/>
      <c r="X35" s="5"/>
    </row>
    <row r="36" spans="1:27" ht="15.75" x14ac:dyDescent="0.25">
      <c r="A36" s="393"/>
      <c r="B36" s="297" t="s">
        <v>288</v>
      </c>
      <c r="C36" s="310"/>
      <c r="D36" s="312">
        <f>D34*D37</f>
        <v>370664.10318390001</v>
      </c>
      <c r="E36" s="310"/>
      <c r="F36" s="312">
        <f>F34*F37</f>
        <v>157529.41880000001</v>
      </c>
      <c r="G36" s="312"/>
      <c r="H36" s="312">
        <f>H34*H37</f>
        <v>56152.264930400001</v>
      </c>
      <c r="I36" s="312"/>
      <c r="J36" s="312">
        <f>J34*J37</f>
        <v>55599.878652699997</v>
      </c>
      <c r="K36" s="312"/>
      <c r="L36" s="312">
        <f>L34*L37</f>
        <v>17000</v>
      </c>
      <c r="M36" s="312"/>
      <c r="N36" s="312">
        <f>N34*N37</f>
        <v>58045</v>
      </c>
      <c r="O36" s="312"/>
      <c r="P36" s="312">
        <f>P34*P37</f>
        <v>75017</v>
      </c>
      <c r="Q36" s="312"/>
      <c r="R36" s="312"/>
      <c r="S36" s="311"/>
      <c r="T36" s="311"/>
      <c r="U36" s="300"/>
      <c r="V36" s="312">
        <f>SUM(C36:R36)-1</f>
        <v>790006.66556699993</v>
      </c>
      <c r="W36" s="301"/>
      <c r="X36" s="5"/>
    </row>
    <row r="37" spans="1:27" ht="15.75" x14ac:dyDescent="0.25">
      <c r="A37" s="285"/>
      <c r="B37" s="313" t="s">
        <v>130</v>
      </c>
      <c r="C37" s="314"/>
      <c r="D37" s="315">
        <v>0.75192890000000001</v>
      </c>
      <c r="E37" s="315"/>
      <c r="F37" s="315">
        <v>0.7519304</v>
      </c>
      <c r="G37" s="315"/>
      <c r="H37" s="315">
        <v>0.75193520000000003</v>
      </c>
      <c r="I37" s="315"/>
      <c r="J37" s="315">
        <v>0.75192890000000001</v>
      </c>
      <c r="K37" s="315"/>
      <c r="L37" s="315">
        <v>1</v>
      </c>
      <c r="M37" s="315"/>
      <c r="N37" s="315">
        <v>1</v>
      </c>
      <c r="O37" s="315"/>
      <c r="P37" s="315">
        <v>1</v>
      </c>
      <c r="Q37" s="315"/>
      <c r="R37" s="315"/>
      <c r="S37" s="316"/>
      <c r="T37" s="316"/>
      <c r="U37" s="317"/>
      <c r="V37" s="317"/>
      <c r="W37" s="318"/>
      <c r="X37" s="5"/>
    </row>
    <row r="38" spans="1:27" ht="15.75" x14ac:dyDescent="0.25">
      <c r="A38" s="285"/>
      <c r="B38" s="313" t="s">
        <v>131</v>
      </c>
      <c r="C38" s="314"/>
      <c r="D38" s="315">
        <v>0.7618106</v>
      </c>
      <c r="E38" s="315"/>
      <c r="F38" s="315">
        <v>0.76181200000000004</v>
      </c>
      <c r="G38" s="315"/>
      <c r="H38" s="315">
        <v>0.76181659999999995</v>
      </c>
      <c r="I38" s="315"/>
      <c r="J38" s="315">
        <v>0.7618106</v>
      </c>
      <c r="K38" s="315"/>
      <c r="L38" s="315">
        <v>1</v>
      </c>
      <c r="M38" s="315"/>
      <c r="N38" s="315">
        <v>1</v>
      </c>
      <c r="O38" s="315"/>
      <c r="P38" s="315">
        <v>1</v>
      </c>
      <c r="Q38" s="315"/>
      <c r="R38" s="315"/>
      <c r="S38" s="319"/>
      <c r="T38" s="320"/>
      <c r="U38" s="317"/>
      <c r="V38" s="319"/>
      <c r="W38" s="318"/>
      <c r="X38" s="5"/>
    </row>
    <row r="39" spans="1:27" ht="15.75" x14ac:dyDescent="0.25">
      <c r="A39" s="285"/>
      <c r="B39" s="286" t="s">
        <v>11</v>
      </c>
      <c r="C39" s="286"/>
      <c r="D39" s="296" t="s">
        <v>304</v>
      </c>
      <c r="E39" s="286"/>
      <c r="F39" s="296" t="s">
        <v>256</v>
      </c>
      <c r="G39" s="296"/>
      <c r="H39" s="296" t="s">
        <v>257</v>
      </c>
      <c r="I39" s="296"/>
      <c r="J39" s="296" t="s">
        <v>258</v>
      </c>
      <c r="K39" s="296"/>
      <c r="L39" s="296" t="s">
        <v>259</v>
      </c>
      <c r="M39" s="296"/>
      <c r="N39" s="296" t="s">
        <v>259</v>
      </c>
      <c r="O39" s="296"/>
      <c r="P39" s="296" t="s">
        <v>260</v>
      </c>
      <c r="Q39" s="296"/>
      <c r="R39" s="296"/>
      <c r="S39" s="321"/>
      <c r="T39" s="322"/>
      <c r="U39" s="288"/>
      <c r="V39" s="288"/>
      <c r="W39" s="289"/>
      <c r="X39" s="5"/>
    </row>
    <row r="40" spans="1:27" ht="15.75" x14ac:dyDescent="0.25">
      <c r="A40" s="285"/>
      <c r="B40" s="286" t="s">
        <v>12</v>
      </c>
      <c r="C40" s="286"/>
      <c r="D40" s="322">
        <v>3.4770000000000001E-3</v>
      </c>
      <c r="E40" s="286"/>
      <c r="F40" s="322">
        <v>7.7738E-3</v>
      </c>
      <c r="G40" s="321"/>
      <c r="H40" s="322">
        <v>4.64E-3</v>
      </c>
      <c r="I40" s="322"/>
      <c r="J40" s="322">
        <v>4.744E-3</v>
      </c>
      <c r="K40" s="321"/>
      <c r="L40" s="322">
        <v>1.05738E-2</v>
      </c>
      <c r="M40" s="321"/>
      <c r="N40" s="322">
        <v>7.6400000000000001E-3</v>
      </c>
      <c r="O40" s="321"/>
      <c r="P40" s="322">
        <v>1.324E-2</v>
      </c>
      <c r="Q40" s="321"/>
      <c r="R40" s="322"/>
      <c r="S40" s="321"/>
      <c r="T40" s="322"/>
      <c r="U40" s="288"/>
      <c r="V40" s="296"/>
      <c r="W40" s="289"/>
      <c r="X40" s="5"/>
      <c r="AA40" s="1" t="s">
        <v>193</v>
      </c>
    </row>
    <row r="41" spans="1:27" ht="15.75" x14ac:dyDescent="0.25">
      <c r="A41" s="285"/>
      <c r="B41" s="286" t="s">
        <v>13</v>
      </c>
      <c r="C41" s="286"/>
      <c r="D41" s="322">
        <v>3.6405999999999999E-3</v>
      </c>
      <c r="E41" s="286"/>
      <c r="F41" s="322">
        <v>7.685E-3</v>
      </c>
      <c r="G41" s="321"/>
      <c r="H41" s="322">
        <v>4.4900000000000001E-3</v>
      </c>
      <c r="I41" s="322"/>
      <c r="J41" s="322">
        <v>4.9325000000000003E-3</v>
      </c>
      <c r="K41" s="321"/>
      <c r="L41" s="322">
        <v>1.0485E-2</v>
      </c>
      <c r="M41" s="321"/>
      <c r="N41" s="322">
        <v>7.4900000000000001E-3</v>
      </c>
      <c r="O41" s="321"/>
      <c r="P41" s="322">
        <v>1.3089999999999999E-2</v>
      </c>
      <c r="Q41" s="321"/>
      <c r="R41" s="322"/>
      <c r="S41" s="321"/>
      <c r="T41" s="322"/>
      <c r="U41" s="288"/>
      <c r="V41" s="321" t="s">
        <v>193</v>
      </c>
      <c r="W41" s="289"/>
      <c r="X41" s="5"/>
    </row>
    <row r="42" spans="1:27" ht="15.75" x14ac:dyDescent="0.25">
      <c r="A42" s="285"/>
      <c r="B42" s="286" t="s">
        <v>289</v>
      </c>
      <c r="C42" s="286"/>
      <c r="D42" s="296" t="s">
        <v>311</v>
      </c>
      <c r="E42" s="286"/>
      <c r="F42" s="296" t="s">
        <v>256</v>
      </c>
      <c r="G42" s="296"/>
      <c r="H42" s="296" t="s">
        <v>261</v>
      </c>
      <c r="I42" s="296"/>
      <c r="J42" s="296" t="s">
        <v>261</v>
      </c>
      <c r="K42" s="296"/>
      <c r="L42" s="296" t="s">
        <v>259</v>
      </c>
      <c r="M42" s="296"/>
      <c r="N42" s="296" t="s">
        <v>263</v>
      </c>
      <c r="O42" s="296"/>
      <c r="P42" s="296" t="s">
        <v>264</v>
      </c>
      <c r="Q42" s="296"/>
      <c r="R42" s="296"/>
      <c r="S42" s="321"/>
      <c r="T42" s="322"/>
      <c r="U42" s="288"/>
      <c r="V42" s="288"/>
      <c r="W42" s="289"/>
      <c r="X42" s="5"/>
    </row>
    <row r="43" spans="1:27" ht="15.75" x14ac:dyDescent="0.25">
      <c r="A43" s="285"/>
      <c r="B43" s="286" t="s">
        <v>290</v>
      </c>
      <c r="C43" s="323"/>
      <c r="D43" s="322">
        <v>7.1707000000000003E-3</v>
      </c>
      <c r="E43" s="322"/>
      <c r="F43" s="322">
        <f>+F40</f>
        <v>7.7738E-3</v>
      </c>
      <c r="G43" s="322"/>
      <c r="H43" s="322">
        <v>7.9237999999999999E-3</v>
      </c>
      <c r="I43" s="322"/>
      <c r="J43" s="322">
        <v>7.9538000000000005E-3</v>
      </c>
      <c r="K43" s="322"/>
      <c r="L43" s="322">
        <f>+L40</f>
        <v>1.05738E-2</v>
      </c>
      <c r="M43" s="322"/>
      <c r="N43" s="322">
        <v>1.13078E-2</v>
      </c>
      <c r="O43" s="322"/>
      <c r="P43" s="322">
        <v>1.7467799999999999E-2</v>
      </c>
      <c r="Q43" s="321"/>
      <c r="R43" s="322"/>
      <c r="S43" s="296"/>
      <c r="T43" s="296"/>
      <c r="U43" s="288"/>
      <c r="V43" s="321">
        <f>SUMPRODUCT(D43:R43,D35:R35)/V35</f>
        <v>8.7408797202241286E-3</v>
      </c>
      <c r="W43" s="289"/>
      <c r="X43" s="5"/>
    </row>
    <row r="44" spans="1:27" ht="15.75" x14ac:dyDescent="0.25">
      <c r="A44" s="285"/>
      <c r="B44" s="286" t="s">
        <v>291</v>
      </c>
      <c r="C44" s="323"/>
      <c r="D44" s="322">
        <v>7.0819000000000003E-3</v>
      </c>
      <c r="E44" s="322"/>
      <c r="F44" s="322">
        <f>+F41</f>
        <v>7.685E-3</v>
      </c>
      <c r="G44" s="322"/>
      <c r="H44" s="322">
        <v>7.835E-3</v>
      </c>
      <c r="I44" s="322"/>
      <c r="J44" s="322">
        <v>7.8650000000000005E-3</v>
      </c>
      <c r="K44" s="322"/>
      <c r="L44" s="322">
        <f>+L41</f>
        <v>1.0485E-2</v>
      </c>
      <c r="M44" s="322"/>
      <c r="N44" s="322">
        <v>1.1219E-2</v>
      </c>
      <c r="O44" s="322"/>
      <c r="P44" s="322">
        <v>1.7378999999999999E-2</v>
      </c>
      <c r="Q44" s="321"/>
      <c r="R44" s="322"/>
      <c r="S44" s="296"/>
      <c r="T44" s="296"/>
      <c r="U44" s="288"/>
      <c r="V44" s="288"/>
      <c r="W44" s="289"/>
      <c r="X44" s="5"/>
    </row>
    <row r="45" spans="1:27" ht="15.75" x14ac:dyDescent="0.25">
      <c r="A45" s="285"/>
      <c r="B45" s="286" t="s">
        <v>14</v>
      </c>
      <c r="C45" s="286"/>
      <c r="D45" s="323">
        <v>40709</v>
      </c>
      <c r="E45" s="323"/>
      <c r="F45" s="323">
        <v>40709</v>
      </c>
      <c r="G45" s="323"/>
      <c r="H45" s="323">
        <v>40709</v>
      </c>
      <c r="I45" s="323"/>
      <c r="J45" s="323">
        <v>40709</v>
      </c>
      <c r="K45" s="323"/>
      <c r="L45" s="323">
        <v>40709</v>
      </c>
      <c r="M45" s="323"/>
      <c r="N45" s="323">
        <v>40709</v>
      </c>
      <c r="O45" s="323"/>
      <c r="P45" s="323">
        <v>40709</v>
      </c>
      <c r="Q45" s="323"/>
      <c r="R45" s="323"/>
      <c r="S45" s="296"/>
      <c r="T45" s="296"/>
      <c r="U45" s="288"/>
      <c r="V45" s="288"/>
      <c r="W45" s="289"/>
      <c r="X45" s="5"/>
    </row>
    <row r="46" spans="1:27" ht="15.75" x14ac:dyDescent="0.25">
      <c r="A46" s="285"/>
      <c r="B46" s="286" t="s">
        <v>15</v>
      </c>
      <c r="C46" s="286"/>
      <c r="D46" s="323">
        <v>41075</v>
      </c>
      <c r="E46" s="323"/>
      <c r="F46" s="323">
        <v>41075</v>
      </c>
      <c r="G46" s="323"/>
      <c r="H46" s="323">
        <v>41075</v>
      </c>
      <c r="I46" s="323"/>
      <c r="J46" s="323">
        <v>41075</v>
      </c>
      <c r="K46" s="296"/>
      <c r="L46" s="323">
        <v>41075</v>
      </c>
      <c r="M46" s="296"/>
      <c r="N46" s="323">
        <v>41075</v>
      </c>
      <c r="O46" s="296"/>
      <c r="P46" s="323">
        <v>41075</v>
      </c>
      <c r="Q46" s="296"/>
      <c r="R46" s="323"/>
      <c r="S46" s="296"/>
      <c r="T46" s="296"/>
      <c r="U46" s="288"/>
      <c r="V46" s="288"/>
      <c r="W46" s="289"/>
      <c r="X46" s="5"/>
    </row>
    <row r="47" spans="1:27" ht="15.75" x14ac:dyDescent="0.25">
      <c r="A47" s="285"/>
      <c r="B47" s="286" t="s">
        <v>119</v>
      </c>
      <c r="C47" s="286"/>
      <c r="D47" s="296" t="s">
        <v>304</v>
      </c>
      <c r="E47" s="286"/>
      <c r="F47" s="296" t="s">
        <v>256</v>
      </c>
      <c r="G47" s="296"/>
      <c r="H47" s="296" t="s">
        <v>257</v>
      </c>
      <c r="I47" s="296"/>
      <c r="J47" s="296" t="s">
        <v>258</v>
      </c>
      <c r="K47" s="296"/>
      <c r="L47" s="296" t="s">
        <v>259</v>
      </c>
      <c r="M47" s="296"/>
      <c r="N47" s="296" t="s">
        <v>259</v>
      </c>
      <c r="O47" s="296"/>
      <c r="P47" s="296" t="s">
        <v>260</v>
      </c>
      <c r="Q47" s="296"/>
      <c r="R47" s="296"/>
      <c r="S47" s="325"/>
      <c r="T47" s="325"/>
      <c r="U47" s="325"/>
      <c r="V47" s="325"/>
      <c r="W47" s="289"/>
      <c r="X47" s="5"/>
    </row>
    <row r="48" spans="1:27" ht="15.75" x14ac:dyDescent="0.25">
      <c r="A48" s="285"/>
      <c r="B48" s="286" t="s">
        <v>292</v>
      </c>
      <c r="C48" s="286"/>
      <c r="D48" s="296" t="s">
        <v>311</v>
      </c>
      <c r="E48" s="286"/>
      <c r="F48" s="296" t="s">
        <v>256</v>
      </c>
      <c r="G48" s="296"/>
      <c r="H48" s="296" t="s">
        <v>261</v>
      </c>
      <c r="I48" s="296"/>
      <c r="J48" s="296" t="s">
        <v>261</v>
      </c>
      <c r="K48" s="296"/>
      <c r="L48" s="296" t="s">
        <v>259</v>
      </c>
      <c r="M48" s="296"/>
      <c r="N48" s="296" t="s">
        <v>263</v>
      </c>
      <c r="O48" s="296"/>
      <c r="P48" s="296" t="s">
        <v>264</v>
      </c>
      <c r="Q48" s="296"/>
      <c r="R48" s="296"/>
      <c r="S48" s="286"/>
      <c r="T48" s="286"/>
      <c r="U48" s="286"/>
      <c r="V48" s="321"/>
      <c r="W48" s="289"/>
      <c r="X48" s="5"/>
    </row>
    <row r="49" spans="1:25" ht="15.75" x14ac:dyDescent="0.25">
      <c r="A49" s="285"/>
      <c r="B49" s="286"/>
      <c r="C49" s="286"/>
      <c r="D49" s="296"/>
      <c r="E49" s="286"/>
      <c r="F49" s="296"/>
      <c r="G49" s="296"/>
      <c r="H49" s="296"/>
      <c r="I49" s="296"/>
      <c r="J49" s="296"/>
      <c r="K49" s="296"/>
      <c r="L49" s="296"/>
      <c r="M49" s="296"/>
      <c r="N49" s="296"/>
      <c r="O49" s="296"/>
      <c r="P49" s="296"/>
      <c r="Q49" s="296"/>
      <c r="R49" s="296"/>
      <c r="S49" s="286"/>
      <c r="T49" s="286"/>
      <c r="U49" s="286"/>
      <c r="V49" s="321" t="s">
        <v>193</v>
      </c>
      <c r="W49" s="289"/>
      <c r="X49" s="5"/>
    </row>
    <row r="50" spans="1:25" ht="15.75" x14ac:dyDescent="0.25">
      <c r="A50" s="285"/>
      <c r="B50" s="286" t="s">
        <v>169</v>
      </c>
      <c r="C50" s="286"/>
      <c r="D50" s="296"/>
      <c r="E50" s="286"/>
      <c r="F50" s="296"/>
      <c r="G50" s="296"/>
      <c r="H50" s="296"/>
      <c r="I50" s="296"/>
      <c r="J50" s="296"/>
      <c r="K50" s="296"/>
      <c r="L50" s="296"/>
      <c r="M50" s="296"/>
      <c r="N50" s="296"/>
      <c r="O50" s="296"/>
      <c r="P50" s="296"/>
      <c r="Q50" s="296"/>
      <c r="R50" s="296"/>
      <c r="S50" s="286"/>
      <c r="T50" s="286"/>
      <c r="U50" s="286"/>
      <c r="V50" s="321">
        <f>SUM(L34:R34)/SUM(D34:J34)</f>
        <v>0.17632136449250416</v>
      </c>
      <c r="W50" s="289"/>
      <c r="X50" s="5"/>
    </row>
    <row r="51" spans="1:25" ht="15.75" x14ac:dyDescent="0.25">
      <c r="A51" s="285"/>
      <c r="B51" s="286" t="s">
        <v>170</v>
      </c>
      <c r="C51" s="286"/>
      <c r="D51" s="286"/>
      <c r="E51" s="286"/>
      <c r="F51" s="326"/>
      <c r="G51" s="286"/>
      <c r="H51" s="286"/>
      <c r="I51" s="286"/>
      <c r="J51" s="286"/>
      <c r="K51" s="286"/>
      <c r="L51" s="286"/>
      <c r="M51" s="286"/>
      <c r="N51" s="286"/>
      <c r="O51" s="286"/>
      <c r="P51" s="286"/>
      <c r="Q51" s="286"/>
      <c r="R51" s="286"/>
      <c r="S51" s="286"/>
      <c r="T51" s="286"/>
      <c r="U51" s="286"/>
      <c r="V51" s="321">
        <f>SUM(L36:R36)/SUM(D36:J36)</f>
        <v>0.23449178277821942</v>
      </c>
      <c r="W51" s="289"/>
      <c r="X51" s="5"/>
    </row>
    <row r="52" spans="1:25" ht="15.75" x14ac:dyDescent="0.25">
      <c r="A52" s="285"/>
      <c r="B52" s="286" t="s">
        <v>171</v>
      </c>
      <c r="C52" s="286"/>
      <c r="D52" s="286"/>
      <c r="E52" s="286"/>
      <c r="F52" s="286"/>
      <c r="G52" s="286"/>
      <c r="H52" s="286"/>
      <c r="I52" s="286"/>
      <c r="J52" s="286"/>
      <c r="K52" s="286"/>
      <c r="L52" s="286"/>
      <c r="M52" s="286"/>
      <c r="N52" s="286"/>
      <c r="O52" s="286"/>
      <c r="P52" s="286"/>
      <c r="Q52" s="286"/>
      <c r="R52" s="286"/>
      <c r="S52" s="286"/>
      <c r="T52" s="296"/>
      <c r="U52" s="296"/>
      <c r="V52" s="299" t="s">
        <v>268</v>
      </c>
      <c r="W52" s="289"/>
      <c r="X52" s="5"/>
    </row>
    <row r="53" spans="1:25" ht="15.75" x14ac:dyDescent="0.25">
      <c r="A53" s="285"/>
      <c r="B53" s="286"/>
      <c r="C53" s="286"/>
      <c r="D53" s="286"/>
      <c r="E53" s="286"/>
      <c r="F53" s="286"/>
      <c r="G53" s="286"/>
      <c r="H53" s="286"/>
      <c r="I53" s="286"/>
      <c r="J53" s="286"/>
      <c r="K53" s="286"/>
      <c r="L53" s="286"/>
      <c r="M53" s="286"/>
      <c r="N53" s="286"/>
      <c r="O53" s="286"/>
      <c r="P53" s="286"/>
      <c r="Q53" s="286"/>
      <c r="R53" s="286"/>
      <c r="S53" s="286"/>
      <c r="T53" s="286"/>
      <c r="U53" s="286"/>
      <c r="V53" s="327"/>
      <c r="W53" s="289"/>
      <c r="X53" s="5"/>
    </row>
    <row r="54" spans="1:25" ht="15.75" x14ac:dyDescent="0.25">
      <c r="A54" s="285"/>
      <c r="B54" s="286" t="s">
        <v>202</v>
      </c>
      <c r="C54" s="286"/>
      <c r="D54" s="286"/>
      <c r="E54" s="286"/>
      <c r="F54" s="286"/>
      <c r="G54" s="286"/>
      <c r="H54" s="286"/>
      <c r="I54" s="286"/>
      <c r="J54" s="286"/>
      <c r="K54" s="286"/>
      <c r="L54" s="286"/>
      <c r="M54" s="286"/>
      <c r="N54" s="286"/>
      <c r="O54" s="286"/>
      <c r="P54" s="286"/>
      <c r="Q54" s="286"/>
      <c r="R54" s="286"/>
      <c r="S54" s="286"/>
      <c r="T54" s="286"/>
      <c r="U54" s="286"/>
      <c r="V54" s="311" t="s">
        <v>203</v>
      </c>
      <c r="W54" s="289"/>
      <c r="X54" s="5"/>
    </row>
    <row r="55" spans="1:25" ht="15.75" x14ac:dyDescent="0.25">
      <c r="A55" s="285"/>
      <c r="B55" s="286" t="s">
        <v>270</v>
      </c>
      <c r="C55" s="286"/>
      <c r="D55" s="286"/>
      <c r="E55" s="286"/>
      <c r="F55" s="286"/>
      <c r="G55" s="286"/>
      <c r="H55" s="286"/>
      <c r="I55" s="286"/>
      <c r="J55" s="286"/>
      <c r="K55" s="286"/>
      <c r="L55" s="286"/>
      <c r="M55" s="286"/>
      <c r="N55" s="286"/>
      <c r="O55" s="286"/>
      <c r="P55" s="286"/>
      <c r="Q55" s="286"/>
      <c r="R55" s="286"/>
      <c r="S55" s="286"/>
      <c r="T55" s="296"/>
      <c r="U55" s="296"/>
      <c r="V55" s="396" t="s">
        <v>111</v>
      </c>
      <c r="W55" s="289"/>
      <c r="X55" s="5"/>
    </row>
    <row r="56" spans="1:25" ht="15.75" x14ac:dyDescent="0.25">
      <c r="A56" s="285"/>
      <c r="B56" s="297" t="s">
        <v>201</v>
      </c>
      <c r="C56" s="297"/>
      <c r="D56" s="297"/>
      <c r="E56" s="297"/>
      <c r="F56" s="297"/>
      <c r="G56" s="297"/>
      <c r="H56" s="297"/>
      <c r="I56" s="297"/>
      <c r="J56" s="297"/>
      <c r="K56" s="297"/>
      <c r="L56" s="297"/>
      <c r="M56" s="297"/>
      <c r="N56" s="297"/>
      <c r="O56" s="297"/>
      <c r="P56" s="297"/>
      <c r="Q56" s="297"/>
      <c r="R56" s="297"/>
      <c r="S56" s="297"/>
      <c r="T56" s="397"/>
      <c r="U56" s="397"/>
      <c r="V56" s="398">
        <v>41624</v>
      </c>
      <c r="W56" s="289"/>
      <c r="X56" s="5"/>
    </row>
    <row r="57" spans="1:25" ht="15.75" x14ac:dyDescent="0.25">
      <c r="A57" s="285"/>
      <c r="B57" s="286" t="s">
        <v>121</v>
      </c>
      <c r="C57" s="286"/>
      <c r="D57" s="286"/>
      <c r="E57" s="286"/>
      <c r="F57" s="286"/>
      <c r="G57" s="286"/>
      <c r="H57" s="332"/>
      <c r="I57" s="332"/>
      <c r="J57" s="332"/>
      <c r="K57" s="332"/>
      <c r="L57" s="332"/>
      <c r="M57" s="332"/>
      <c r="N57" s="332"/>
      <c r="O57" s="332"/>
      <c r="P57" s="332"/>
      <c r="Q57" s="332"/>
      <c r="R57" s="286">
        <f>+V57-T57+1</f>
        <v>91</v>
      </c>
      <c r="S57" s="332"/>
      <c r="T57" s="333">
        <v>41442</v>
      </c>
      <c r="U57" s="334"/>
      <c r="V57" s="333">
        <v>41532</v>
      </c>
      <c r="W57" s="289"/>
      <c r="X57" s="5"/>
    </row>
    <row r="58" spans="1:25" ht="15.75" x14ac:dyDescent="0.25">
      <c r="A58" s="285"/>
      <c r="B58" s="286" t="s">
        <v>122</v>
      </c>
      <c r="C58" s="286"/>
      <c r="D58" s="286"/>
      <c r="E58" s="286"/>
      <c r="F58" s="286"/>
      <c r="G58" s="286"/>
      <c r="H58" s="286"/>
      <c r="I58" s="286"/>
      <c r="J58" s="286"/>
      <c r="K58" s="286"/>
      <c r="L58" s="286"/>
      <c r="M58" s="286"/>
      <c r="N58" s="286"/>
      <c r="O58" s="286"/>
      <c r="P58" s="286"/>
      <c r="Q58" s="286"/>
      <c r="R58" s="286">
        <f>+V58-T58+1</f>
        <v>91</v>
      </c>
      <c r="S58" s="286"/>
      <c r="T58" s="333">
        <v>41533</v>
      </c>
      <c r="U58" s="334"/>
      <c r="V58" s="333">
        <v>41623</v>
      </c>
      <c r="W58" s="289"/>
      <c r="X58" s="5"/>
    </row>
    <row r="59" spans="1:25" ht="15.75" x14ac:dyDescent="0.25">
      <c r="A59" s="285"/>
      <c r="B59" s="286" t="s">
        <v>223</v>
      </c>
      <c r="C59" s="286"/>
      <c r="D59" s="286"/>
      <c r="E59" s="286"/>
      <c r="F59" s="286"/>
      <c r="G59" s="286"/>
      <c r="H59" s="286"/>
      <c r="I59" s="286"/>
      <c r="J59" s="286"/>
      <c r="K59" s="286"/>
      <c r="L59" s="286"/>
      <c r="M59" s="286"/>
      <c r="N59" s="286"/>
      <c r="O59" s="286"/>
      <c r="P59" s="286"/>
      <c r="Q59" s="286"/>
      <c r="R59" s="286"/>
      <c r="S59" s="286"/>
      <c r="T59" s="333"/>
      <c r="U59" s="334"/>
      <c r="V59" s="333" t="s">
        <v>120</v>
      </c>
      <c r="W59" s="289"/>
      <c r="X59" s="5"/>
    </row>
    <row r="60" spans="1:25" ht="15.75" x14ac:dyDescent="0.25">
      <c r="A60" s="285"/>
      <c r="B60" s="286" t="s">
        <v>271</v>
      </c>
      <c r="C60" s="286"/>
      <c r="D60" s="286"/>
      <c r="E60" s="286"/>
      <c r="F60" s="286"/>
      <c r="G60" s="286"/>
      <c r="H60" s="286"/>
      <c r="I60" s="286"/>
      <c r="J60" s="286"/>
      <c r="K60" s="286"/>
      <c r="L60" s="286"/>
      <c r="M60" s="286"/>
      <c r="N60" s="286"/>
      <c r="O60" s="286"/>
      <c r="P60" s="286"/>
      <c r="Q60" s="286"/>
      <c r="R60" s="286"/>
      <c r="S60" s="286"/>
      <c r="T60" s="333"/>
      <c r="U60" s="334"/>
      <c r="V60" s="333" t="s">
        <v>154</v>
      </c>
      <c r="W60" s="289"/>
      <c r="X60" s="5"/>
      <c r="Y60" s="133"/>
    </row>
    <row r="61" spans="1:25" ht="15.75" x14ac:dyDescent="0.25">
      <c r="A61" s="285"/>
      <c r="B61" s="286" t="s">
        <v>16</v>
      </c>
      <c r="C61" s="286"/>
      <c r="D61" s="286"/>
      <c r="E61" s="286"/>
      <c r="F61" s="286"/>
      <c r="G61" s="286"/>
      <c r="H61" s="286"/>
      <c r="I61" s="286"/>
      <c r="J61" s="286"/>
      <c r="K61" s="286"/>
      <c r="L61" s="286"/>
      <c r="M61" s="286"/>
      <c r="N61" s="286"/>
      <c r="O61" s="286"/>
      <c r="P61" s="286"/>
      <c r="Q61" s="286"/>
      <c r="R61" s="286"/>
      <c r="S61" s="286"/>
      <c r="T61" s="333"/>
      <c r="U61" s="334"/>
      <c r="V61" s="333">
        <v>41610</v>
      </c>
      <c r="W61" s="289"/>
      <c r="X61" s="5"/>
    </row>
    <row r="62" spans="1:25" ht="15.75" x14ac:dyDescent="0.25">
      <c r="A62" s="181"/>
      <c r="B62" s="212"/>
      <c r="C62" s="212"/>
      <c r="D62" s="212"/>
      <c r="E62" s="212"/>
      <c r="F62" s="212"/>
      <c r="G62" s="212"/>
      <c r="H62" s="212"/>
      <c r="I62" s="212"/>
      <c r="J62" s="212"/>
      <c r="K62" s="212"/>
      <c r="L62" s="212"/>
      <c r="M62" s="212"/>
      <c r="N62" s="212"/>
      <c r="O62" s="212"/>
      <c r="P62" s="212"/>
      <c r="Q62" s="212"/>
      <c r="R62" s="212"/>
      <c r="S62" s="212"/>
      <c r="T62" s="283"/>
      <c r="U62" s="284"/>
      <c r="V62" s="283"/>
      <c r="W62" s="212"/>
      <c r="X62" s="5"/>
    </row>
    <row r="63" spans="1:25" ht="15.75" x14ac:dyDescent="0.25">
      <c r="A63" s="181"/>
      <c r="B63" s="183"/>
      <c r="C63" s="183"/>
      <c r="D63" s="183"/>
      <c r="E63" s="183"/>
      <c r="F63" s="183"/>
      <c r="G63" s="183"/>
      <c r="H63" s="183"/>
      <c r="I63" s="183"/>
      <c r="J63" s="183"/>
      <c r="K63" s="183"/>
      <c r="L63" s="183"/>
      <c r="M63" s="183"/>
      <c r="N63" s="183"/>
      <c r="O63" s="183"/>
      <c r="P63" s="183"/>
      <c r="Q63" s="183"/>
      <c r="R63" s="183"/>
      <c r="S63" s="183"/>
      <c r="T63" s="195"/>
      <c r="U63" s="196"/>
      <c r="V63" s="195"/>
      <c r="W63" s="183"/>
      <c r="X63" s="5"/>
    </row>
    <row r="64" spans="1:25" ht="19.5" thickBot="1" x14ac:dyDescent="0.35">
      <c r="A64" s="197"/>
      <c r="B64" s="270" t="s">
        <v>322</v>
      </c>
      <c r="C64" s="198"/>
      <c r="D64" s="198"/>
      <c r="E64" s="198"/>
      <c r="F64" s="198"/>
      <c r="G64" s="198"/>
      <c r="H64" s="198"/>
      <c r="I64" s="198"/>
      <c r="J64" s="198"/>
      <c r="K64" s="198"/>
      <c r="L64" s="198"/>
      <c r="M64" s="198"/>
      <c r="N64" s="198"/>
      <c r="O64" s="198"/>
      <c r="P64" s="198"/>
      <c r="Q64" s="198"/>
      <c r="R64" s="198"/>
      <c r="S64" s="198"/>
      <c r="T64" s="198"/>
      <c r="U64" s="198"/>
      <c r="V64" s="199"/>
      <c r="W64" s="200"/>
      <c r="X64" s="5"/>
    </row>
    <row r="65" spans="1:24" ht="15.75" x14ac:dyDescent="0.25">
      <c r="A65" s="224"/>
      <c r="B65" s="230" t="s">
        <v>17</v>
      </c>
      <c r="C65" s="225"/>
      <c r="D65" s="225"/>
      <c r="E65" s="225"/>
      <c r="F65" s="225"/>
      <c r="G65" s="225"/>
      <c r="H65" s="225"/>
      <c r="I65" s="225"/>
      <c r="J65" s="225"/>
      <c r="K65" s="225"/>
      <c r="L65" s="225"/>
      <c r="M65" s="225"/>
      <c r="N65" s="225"/>
      <c r="O65" s="225"/>
      <c r="P65" s="225"/>
      <c r="Q65" s="225"/>
      <c r="R65" s="225"/>
      <c r="S65" s="225"/>
      <c r="T65" s="225"/>
      <c r="U65" s="225"/>
      <c r="V65" s="231"/>
      <c r="W65" s="225"/>
      <c r="X65" s="5"/>
    </row>
    <row r="66" spans="1:24" ht="15.75" x14ac:dyDescent="0.25">
      <c r="A66" s="181"/>
      <c r="B66" s="189"/>
      <c r="C66" s="183"/>
      <c r="D66" s="183"/>
      <c r="E66" s="183"/>
      <c r="F66" s="183"/>
      <c r="G66" s="183"/>
      <c r="H66" s="183"/>
      <c r="I66" s="183"/>
      <c r="J66" s="183"/>
      <c r="K66" s="183"/>
      <c r="L66" s="183"/>
      <c r="M66" s="183"/>
      <c r="N66" s="183"/>
      <c r="O66" s="183"/>
      <c r="P66" s="183"/>
      <c r="Q66" s="183"/>
      <c r="R66" s="183"/>
      <c r="S66" s="183"/>
      <c r="T66" s="183"/>
      <c r="U66" s="183"/>
      <c r="V66" s="202"/>
      <c r="W66" s="183"/>
      <c r="X66" s="5"/>
    </row>
    <row r="67" spans="1:24" ht="47.25" x14ac:dyDescent="0.25">
      <c r="A67" s="181"/>
      <c r="B67" s="203" t="s">
        <v>18</v>
      </c>
      <c r="C67" s="204"/>
      <c r="D67" s="204"/>
      <c r="E67" s="204"/>
      <c r="F67" s="204"/>
      <c r="G67" s="204"/>
      <c r="H67" s="204"/>
      <c r="I67" s="204"/>
      <c r="J67" s="204"/>
      <c r="K67" s="204"/>
      <c r="L67" s="204" t="s">
        <v>94</v>
      </c>
      <c r="M67" s="204"/>
      <c r="N67" s="204" t="s">
        <v>96</v>
      </c>
      <c r="O67" s="204"/>
      <c r="P67" s="204" t="s">
        <v>98</v>
      </c>
      <c r="Q67" s="204"/>
      <c r="R67" s="204" t="s">
        <v>100</v>
      </c>
      <c r="S67" s="204"/>
      <c r="T67" s="204" t="s">
        <v>106</v>
      </c>
      <c r="U67" s="204"/>
      <c r="V67" s="205" t="s">
        <v>112</v>
      </c>
      <c r="W67" s="206"/>
      <c r="X67" s="5"/>
    </row>
    <row r="68" spans="1:24" ht="15.75" x14ac:dyDescent="0.25">
      <c r="A68" s="285"/>
      <c r="B68" s="286" t="s">
        <v>19</v>
      </c>
      <c r="C68" s="337"/>
      <c r="D68" s="337"/>
      <c r="E68" s="337"/>
      <c r="F68" s="337"/>
      <c r="G68" s="337"/>
      <c r="H68" s="337"/>
      <c r="I68" s="337"/>
      <c r="J68" s="337"/>
      <c r="K68" s="337"/>
      <c r="L68" s="337">
        <v>812446</v>
      </c>
      <c r="M68" s="337"/>
      <c r="N68" s="338">
        <v>798417</v>
      </c>
      <c r="O68" s="337"/>
      <c r="P68" s="337">
        <f>8410+19+41</f>
        <v>8470</v>
      </c>
      <c r="Q68" s="337"/>
      <c r="R68" s="337">
        <f>19+41</f>
        <v>60</v>
      </c>
      <c r="S68" s="337"/>
      <c r="T68" s="337">
        <v>0</v>
      </c>
      <c r="U68" s="337"/>
      <c r="V68" s="338">
        <f>+N68-P68+R68-T68</f>
        <v>790007</v>
      </c>
      <c r="W68" s="289"/>
      <c r="X68" s="5"/>
    </row>
    <row r="69" spans="1:24" ht="15.75" x14ac:dyDescent="0.25">
      <c r="A69" s="285"/>
      <c r="B69" s="286" t="s">
        <v>20</v>
      </c>
      <c r="C69" s="337"/>
      <c r="D69" s="337"/>
      <c r="E69" s="337"/>
      <c r="F69" s="337"/>
      <c r="G69" s="337"/>
      <c r="H69" s="337"/>
      <c r="I69" s="337"/>
      <c r="J69" s="337"/>
      <c r="K69" s="337"/>
      <c r="L69" s="337">
        <v>0</v>
      </c>
      <c r="M69" s="337"/>
      <c r="N69" s="338">
        <v>0</v>
      </c>
      <c r="O69" s="337"/>
      <c r="P69" s="337">
        <v>0</v>
      </c>
      <c r="Q69" s="337"/>
      <c r="R69" s="337">
        <v>0</v>
      </c>
      <c r="S69" s="337"/>
      <c r="T69" s="337">
        <v>0</v>
      </c>
      <c r="U69" s="337"/>
      <c r="V69" s="338">
        <f>+L69-P69</f>
        <v>0</v>
      </c>
      <c r="W69" s="289"/>
      <c r="X69" s="5"/>
    </row>
    <row r="70" spans="1:24" ht="15.75" x14ac:dyDescent="0.25">
      <c r="A70" s="285"/>
      <c r="B70" s="286"/>
      <c r="C70" s="337"/>
      <c r="D70" s="337"/>
      <c r="E70" s="337"/>
      <c r="F70" s="337"/>
      <c r="G70" s="337"/>
      <c r="H70" s="337"/>
      <c r="I70" s="337"/>
      <c r="J70" s="337"/>
      <c r="K70" s="337"/>
      <c r="L70" s="337"/>
      <c r="M70" s="337"/>
      <c r="N70" s="338"/>
      <c r="O70" s="337"/>
      <c r="P70" s="337"/>
      <c r="Q70" s="337"/>
      <c r="R70" s="337"/>
      <c r="S70" s="337"/>
      <c r="T70" s="337"/>
      <c r="U70" s="337"/>
      <c r="V70" s="338"/>
      <c r="W70" s="289"/>
      <c r="X70" s="5"/>
    </row>
    <row r="71" spans="1:24" ht="15.75" x14ac:dyDescent="0.25">
      <c r="A71" s="285"/>
      <c r="B71" s="286" t="s">
        <v>21</v>
      </c>
      <c r="C71" s="337"/>
      <c r="D71" s="337"/>
      <c r="E71" s="337"/>
      <c r="F71" s="337"/>
      <c r="G71" s="337"/>
      <c r="H71" s="337"/>
      <c r="I71" s="337"/>
      <c r="J71" s="337"/>
      <c r="K71" s="337"/>
      <c r="L71" s="337">
        <f>SUM(L68:L70)</f>
        <v>812446</v>
      </c>
      <c r="M71" s="337"/>
      <c r="N71" s="337">
        <f>N68+N69</f>
        <v>798417</v>
      </c>
      <c r="O71" s="337"/>
      <c r="P71" s="337">
        <f>SUM(P68:P70)</f>
        <v>8470</v>
      </c>
      <c r="Q71" s="337"/>
      <c r="R71" s="337">
        <f>SUM(R68:R70)</f>
        <v>60</v>
      </c>
      <c r="S71" s="337"/>
      <c r="T71" s="337">
        <f>SUM(T68:T70)</f>
        <v>0</v>
      </c>
      <c r="U71" s="337"/>
      <c r="V71" s="337">
        <f>SUM(V68:V70)</f>
        <v>790007</v>
      </c>
      <c r="W71" s="289"/>
      <c r="X71" s="5"/>
    </row>
    <row r="72" spans="1:24" ht="15.75" x14ac:dyDescent="0.25">
      <c r="A72" s="181"/>
      <c r="B72" s="212"/>
      <c r="C72" s="335"/>
      <c r="D72" s="335"/>
      <c r="E72" s="335"/>
      <c r="F72" s="335"/>
      <c r="G72" s="335"/>
      <c r="H72" s="335"/>
      <c r="I72" s="335"/>
      <c r="J72" s="335"/>
      <c r="K72" s="335"/>
      <c r="L72" s="335"/>
      <c r="M72" s="335"/>
      <c r="N72" s="335"/>
      <c r="O72" s="335"/>
      <c r="P72" s="335"/>
      <c r="Q72" s="335"/>
      <c r="R72" s="335"/>
      <c r="S72" s="335"/>
      <c r="T72" s="335"/>
      <c r="U72" s="335"/>
      <c r="V72" s="336"/>
      <c r="W72" s="212"/>
      <c r="X72" s="5"/>
    </row>
    <row r="73" spans="1:24" ht="15.75" x14ac:dyDescent="0.25">
      <c r="A73" s="181"/>
      <c r="B73" s="185" t="s">
        <v>22</v>
      </c>
      <c r="C73" s="207"/>
      <c r="D73" s="207"/>
      <c r="E73" s="207"/>
      <c r="F73" s="207"/>
      <c r="G73" s="207"/>
      <c r="H73" s="207"/>
      <c r="I73" s="207"/>
      <c r="J73" s="207"/>
      <c r="K73" s="207"/>
      <c r="L73" s="207"/>
      <c r="M73" s="207"/>
      <c r="N73" s="207"/>
      <c r="O73" s="207"/>
      <c r="P73" s="207"/>
      <c r="Q73" s="207"/>
      <c r="R73" s="207"/>
      <c r="S73" s="207"/>
      <c r="T73" s="207"/>
      <c r="U73" s="207"/>
      <c r="V73" s="208"/>
      <c r="W73" s="183"/>
      <c r="X73" s="5"/>
    </row>
    <row r="74" spans="1:24" ht="15.75" x14ac:dyDescent="0.25">
      <c r="A74" s="181"/>
      <c r="B74" s="183"/>
      <c r="C74" s="207"/>
      <c r="D74" s="207"/>
      <c r="E74" s="207"/>
      <c r="F74" s="207"/>
      <c r="G74" s="207"/>
      <c r="H74" s="207"/>
      <c r="I74" s="207"/>
      <c r="J74" s="207"/>
      <c r="K74" s="207"/>
      <c r="L74" s="207"/>
      <c r="M74" s="207"/>
      <c r="N74" s="207"/>
      <c r="O74" s="207"/>
      <c r="P74" s="207"/>
      <c r="Q74" s="207"/>
      <c r="R74" s="207"/>
      <c r="S74" s="207"/>
      <c r="T74" s="207"/>
      <c r="U74" s="207"/>
      <c r="V74" s="208"/>
      <c r="W74" s="183"/>
      <c r="X74" s="5"/>
    </row>
    <row r="75" spans="1:24" ht="15.75" x14ac:dyDescent="0.25">
      <c r="A75" s="285"/>
      <c r="B75" s="286" t="s">
        <v>19</v>
      </c>
      <c r="C75" s="337"/>
      <c r="D75" s="337"/>
      <c r="E75" s="337"/>
      <c r="F75" s="337"/>
      <c r="G75" s="337"/>
      <c r="H75" s="337"/>
      <c r="I75" s="337"/>
      <c r="J75" s="337"/>
      <c r="K75" s="337"/>
      <c r="L75" s="337"/>
      <c r="M75" s="337"/>
      <c r="N75" s="337"/>
      <c r="O75" s="337"/>
      <c r="P75" s="337"/>
      <c r="Q75" s="337"/>
      <c r="R75" s="337"/>
      <c r="S75" s="337"/>
      <c r="T75" s="337"/>
      <c r="U75" s="337"/>
      <c r="V75" s="337"/>
      <c r="W75" s="289"/>
      <c r="X75" s="5"/>
    </row>
    <row r="76" spans="1:24" ht="15.75" x14ac:dyDescent="0.25">
      <c r="A76" s="285"/>
      <c r="B76" s="286" t="s">
        <v>20</v>
      </c>
      <c r="C76" s="337"/>
      <c r="D76" s="337"/>
      <c r="E76" s="337"/>
      <c r="F76" s="337"/>
      <c r="G76" s="337"/>
      <c r="H76" s="337"/>
      <c r="I76" s="337"/>
      <c r="J76" s="337"/>
      <c r="K76" s="337"/>
      <c r="L76" s="337"/>
      <c r="M76" s="337"/>
      <c r="N76" s="337"/>
      <c r="O76" s="337"/>
      <c r="P76" s="337"/>
      <c r="Q76" s="337"/>
      <c r="R76" s="337"/>
      <c r="S76" s="337"/>
      <c r="T76" s="337"/>
      <c r="U76" s="337"/>
      <c r="V76" s="337"/>
      <c r="W76" s="289"/>
      <c r="X76" s="5"/>
    </row>
    <row r="77" spans="1:24" ht="15.75" x14ac:dyDescent="0.25">
      <c r="A77" s="285"/>
      <c r="B77" s="286"/>
      <c r="C77" s="337"/>
      <c r="D77" s="337"/>
      <c r="E77" s="337"/>
      <c r="F77" s="337"/>
      <c r="G77" s="337"/>
      <c r="H77" s="337"/>
      <c r="I77" s="337"/>
      <c r="J77" s="337"/>
      <c r="K77" s="337"/>
      <c r="L77" s="337"/>
      <c r="M77" s="337"/>
      <c r="N77" s="337"/>
      <c r="O77" s="337"/>
      <c r="P77" s="337"/>
      <c r="Q77" s="337"/>
      <c r="R77" s="337"/>
      <c r="S77" s="337"/>
      <c r="T77" s="337"/>
      <c r="U77" s="337"/>
      <c r="V77" s="337"/>
      <c r="W77" s="289"/>
      <c r="X77" s="5"/>
    </row>
    <row r="78" spans="1:24" ht="15.75" x14ac:dyDescent="0.25">
      <c r="A78" s="285"/>
      <c r="B78" s="286" t="s">
        <v>21</v>
      </c>
      <c r="C78" s="337"/>
      <c r="D78" s="337"/>
      <c r="E78" s="337"/>
      <c r="F78" s="337"/>
      <c r="G78" s="337"/>
      <c r="H78" s="337"/>
      <c r="I78" s="337"/>
      <c r="J78" s="337"/>
      <c r="K78" s="337"/>
      <c r="L78" s="337"/>
      <c r="M78" s="337"/>
      <c r="N78" s="337"/>
      <c r="O78" s="337"/>
      <c r="P78" s="337"/>
      <c r="Q78" s="337"/>
      <c r="R78" s="337"/>
      <c r="S78" s="337"/>
      <c r="T78" s="337"/>
      <c r="U78" s="337"/>
      <c r="V78" s="337"/>
      <c r="W78" s="289"/>
      <c r="X78" s="5"/>
    </row>
    <row r="79" spans="1:24" ht="15.75" x14ac:dyDescent="0.25">
      <c r="A79" s="285"/>
      <c r="B79" s="286"/>
      <c r="C79" s="337"/>
      <c r="D79" s="337"/>
      <c r="E79" s="337"/>
      <c r="F79" s="337"/>
      <c r="G79" s="337"/>
      <c r="H79" s="337"/>
      <c r="I79" s="337"/>
      <c r="J79" s="337"/>
      <c r="K79" s="337"/>
      <c r="L79" s="337"/>
      <c r="M79" s="337"/>
      <c r="N79" s="337"/>
      <c r="O79" s="337"/>
      <c r="P79" s="337"/>
      <c r="Q79" s="337"/>
      <c r="R79" s="337"/>
      <c r="S79" s="337"/>
      <c r="T79" s="337"/>
      <c r="U79" s="337"/>
      <c r="V79" s="337"/>
      <c r="W79" s="289"/>
      <c r="X79" s="5"/>
    </row>
    <row r="80" spans="1:24" ht="15.75" x14ac:dyDescent="0.25">
      <c r="A80" s="285"/>
      <c r="B80" s="286" t="s">
        <v>23</v>
      </c>
      <c r="C80" s="337"/>
      <c r="D80" s="337"/>
      <c r="E80" s="337"/>
      <c r="F80" s="337"/>
      <c r="G80" s="337"/>
      <c r="H80" s="337"/>
      <c r="I80" s="337"/>
      <c r="J80" s="337"/>
      <c r="K80" s="337"/>
      <c r="L80" s="337">
        <v>0</v>
      </c>
      <c r="M80" s="337"/>
      <c r="N80" s="337">
        <v>0</v>
      </c>
      <c r="O80" s="337"/>
      <c r="P80" s="337"/>
      <c r="Q80" s="337"/>
      <c r="R80" s="337"/>
      <c r="S80" s="337"/>
      <c r="T80" s="337"/>
      <c r="U80" s="337"/>
      <c r="V80" s="338">
        <v>0</v>
      </c>
      <c r="W80" s="289"/>
      <c r="X80" s="5"/>
    </row>
    <row r="81" spans="1:24" ht="15.75" x14ac:dyDescent="0.25">
      <c r="A81" s="285"/>
      <c r="B81" s="286" t="s">
        <v>117</v>
      </c>
      <c r="C81" s="337"/>
      <c r="D81" s="337"/>
      <c r="E81" s="337"/>
      <c r="F81" s="337"/>
      <c r="G81" s="337"/>
      <c r="H81" s="337"/>
      <c r="I81" s="337"/>
      <c r="J81" s="337"/>
      <c r="K81" s="337"/>
      <c r="L81" s="337">
        <v>188687</v>
      </c>
      <c r="M81" s="337"/>
      <c r="N81" s="337">
        <v>0</v>
      </c>
      <c r="O81" s="337"/>
      <c r="P81" s="337">
        <v>0</v>
      </c>
      <c r="Q81" s="337"/>
      <c r="R81" s="337"/>
      <c r="S81" s="337"/>
      <c r="T81" s="337"/>
      <c r="U81" s="337"/>
      <c r="V81" s="337">
        <f>SUM(N81:R81)</f>
        <v>0</v>
      </c>
      <c r="W81" s="289"/>
      <c r="X81" s="5"/>
    </row>
    <row r="82" spans="1:24" ht="15.75" x14ac:dyDescent="0.25">
      <c r="A82" s="285"/>
      <c r="B82" s="286"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89"/>
      <c r="X82" s="5"/>
    </row>
    <row r="83" spans="1:24" ht="15.75" x14ac:dyDescent="0.25">
      <c r="A83" s="285"/>
      <c r="B83" s="286" t="s">
        <v>25</v>
      </c>
      <c r="C83" s="337"/>
      <c r="D83" s="337"/>
      <c r="E83" s="337"/>
      <c r="F83" s="337"/>
      <c r="G83" s="337"/>
      <c r="H83" s="337"/>
      <c r="I83" s="337"/>
      <c r="J83" s="337"/>
      <c r="K83" s="337"/>
      <c r="L83" s="337">
        <v>0</v>
      </c>
      <c r="M83" s="337"/>
      <c r="N83" s="337">
        <v>0</v>
      </c>
      <c r="O83" s="337"/>
      <c r="P83" s="337"/>
      <c r="Q83" s="337"/>
      <c r="R83" s="337"/>
      <c r="S83" s="337"/>
      <c r="T83" s="337"/>
      <c r="U83" s="337"/>
      <c r="V83" s="337">
        <v>0</v>
      </c>
      <c r="W83" s="289"/>
      <c r="X83" s="5"/>
    </row>
    <row r="84" spans="1:24" ht="15.75" x14ac:dyDescent="0.25">
      <c r="A84" s="285"/>
      <c r="B84" s="286" t="s">
        <v>26</v>
      </c>
      <c r="C84" s="337"/>
      <c r="D84" s="337"/>
      <c r="E84" s="337"/>
      <c r="F84" s="337"/>
      <c r="G84" s="337"/>
      <c r="H84" s="337"/>
      <c r="I84" s="337"/>
      <c r="J84" s="337"/>
      <c r="K84" s="337"/>
      <c r="L84" s="337">
        <f>SUM(L71:L83)</f>
        <v>1001133</v>
      </c>
      <c r="M84" s="337"/>
      <c r="N84" s="337">
        <f>SUM(N71:N83)</f>
        <v>798417</v>
      </c>
      <c r="O84" s="337"/>
      <c r="P84" s="337"/>
      <c r="Q84" s="337"/>
      <c r="R84" s="337"/>
      <c r="S84" s="337"/>
      <c r="T84" s="337"/>
      <c r="U84" s="337"/>
      <c r="V84" s="337">
        <f>SUM(V71:V83)</f>
        <v>790007</v>
      </c>
      <c r="W84" s="289"/>
      <c r="X84" s="5"/>
    </row>
    <row r="85" spans="1:24" ht="15.75" x14ac:dyDescent="0.25">
      <c r="A85" s="181"/>
      <c r="B85" s="212"/>
      <c r="C85" s="335"/>
      <c r="D85" s="335"/>
      <c r="E85" s="335"/>
      <c r="F85" s="335"/>
      <c r="G85" s="335"/>
      <c r="H85" s="335"/>
      <c r="I85" s="335"/>
      <c r="J85" s="335"/>
      <c r="K85" s="335"/>
      <c r="L85" s="335"/>
      <c r="M85" s="335"/>
      <c r="N85" s="335"/>
      <c r="O85" s="335"/>
      <c r="P85" s="335"/>
      <c r="Q85" s="335"/>
      <c r="R85" s="335"/>
      <c r="S85" s="335"/>
      <c r="T85" s="335"/>
      <c r="U85" s="335"/>
      <c r="V85" s="336"/>
      <c r="W85" s="212"/>
      <c r="X85" s="5"/>
    </row>
    <row r="86" spans="1:24" ht="15.75" x14ac:dyDescent="0.25">
      <c r="A86" s="181"/>
      <c r="B86" s="183"/>
      <c r="C86" s="183"/>
      <c r="D86" s="183"/>
      <c r="E86" s="183"/>
      <c r="F86" s="183"/>
      <c r="G86" s="183"/>
      <c r="H86" s="183"/>
      <c r="I86" s="183"/>
      <c r="J86" s="183"/>
      <c r="K86" s="183"/>
      <c r="L86" s="183"/>
      <c r="M86" s="183"/>
      <c r="N86" s="183"/>
      <c r="O86" s="183"/>
      <c r="P86" s="183"/>
      <c r="Q86" s="183"/>
      <c r="R86" s="183"/>
      <c r="S86" s="183"/>
      <c r="T86" s="183"/>
      <c r="U86" s="183"/>
      <c r="V86" s="183"/>
      <c r="W86" s="183"/>
      <c r="X86" s="5"/>
    </row>
    <row r="87" spans="1:24" ht="15.75" x14ac:dyDescent="0.25">
      <c r="A87" s="224"/>
      <c r="B87" s="399" t="s">
        <v>27</v>
      </c>
      <c r="C87" s="399"/>
      <c r="D87" s="399"/>
      <c r="E87" s="399"/>
      <c r="F87" s="399"/>
      <c r="G87" s="399"/>
      <c r="H87" s="400"/>
      <c r="I87" s="400"/>
      <c r="J87" s="400"/>
      <c r="K87" s="400"/>
      <c r="L87" s="401" t="s">
        <v>95</v>
      </c>
      <c r="M87" s="400"/>
      <c r="N87" s="402">
        <f>+T202</f>
        <v>41607</v>
      </c>
      <c r="O87" s="400"/>
      <c r="P87" s="400"/>
      <c r="Q87" s="400"/>
      <c r="R87" s="400"/>
      <c r="S87" s="400"/>
      <c r="T87" s="400" t="s">
        <v>107</v>
      </c>
      <c r="U87" s="400"/>
      <c r="V87" s="400" t="s">
        <v>113</v>
      </c>
      <c r="W87" s="225"/>
      <c r="X87" s="5"/>
    </row>
    <row r="88" spans="1:24" ht="15.75" x14ac:dyDescent="0.25">
      <c r="A88" s="248"/>
      <c r="B88" s="250" t="s">
        <v>28</v>
      </c>
      <c r="C88" s="194"/>
      <c r="D88" s="194"/>
      <c r="E88" s="194"/>
      <c r="F88" s="194"/>
      <c r="G88" s="194"/>
      <c r="H88" s="194"/>
      <c r="I88" s="194"/>
      <c r="J88" s="194"/>
      <c r="K88" s="194"/>
      <c r="L88" s="194"/>
      <c r="M88" s="194"/>
      <c r="N88" s="194"/>
      <c r="O88" s="194"/>
      <c r="P88" s="194"/>
      <c r="Q88" s="194"/>
      <c r="R88" s="194"/>
      <c r="S88" s="194"/>
      <c r="T88" s="249">
        <v>0</v>
      </c>
      <c r="U88" s="250"/>
      <c r="V88" s="253">
        <v>0</v>
      </c>
      <c r="W88" s="194"/>
      <c r="X88" s="5"/>
    </row>
    <row r="89" spans="1:24" ht="15.75" x14ac:dyDescent="0.25">
      <c r="A89" s="295"/>
      <c r="B89" s="286" t="s">
        <v>29</v>
      </c>
      <c r="C89" s="314"/>
      <c r="D89" s="314"/>
      <c r="E89" s="314"/>
      <c r="F89" s="314"/>
      <c r="G89" s="314"/>
      <c r="H89" s="339"/>
      <c r="I89" s="339"/>
      <c r="J89" s="339"/>
      <c r="K89" s="340"/>
      <c r="L89" s="339"/>
      <c r="M89" s="314"/>
      <c r="N89" s="341"/>
      <c r="O89" s="314"/>
      <c r="P89" s="314"/>
      <c r="Q89" s="314"/>
      <c r="R89" s="314"/>
      <c r="S89" s="314"/>
      <c r="T89" s="337">
        <f>8470-455</f>
        <v>8015</v>
      </c>
      <c r="U89" s="286"/>
      <c r="V89" s="338"/>
      <c r="W89" s="318"/>
      <c r="X89" s="5"/>
    </row>
    <row r="90" spans="1:24" ht="15.75" x14ac:dyDescent="0.25">
      <c r="A90" s="295"/>
      <c r="B90" s="286" t="s">
        <v>215</v>
      </c>
      <c r="C90" s="314"/>
      <c r="D90" s="314"/>
      <c r="E90" s="314"/>
      <c r="F90" s="314"/>
      <c r="G90" s="314"/>
      <c r="H90" s="339"/>
      <c r="I90" s="339"/>
      <c r="J90" s="339"/>
      <c r="K90" s="340"/>
      <c r="L90" s="339"/>
      <c r="M90" s="314"/>
      <c r="N90" s="341"/>
      <c r="O90" s="314"/>
      <c r="P90" s="314"/>
      <c r="Q90" s="314"/>
      <c r="R90" s="314"/>
      <c r="S90" s="314"/>
      <c r="T90" s="337"/>
      <c r="U90" s="286"/>
      <c r="V90" s="338">
        <f>3322+2737-355-447</f>
        <v>5257</v>
      </c>
      <c r="W90" s="318"/>
      <c r="X90" s="5"/>
    </row>
    <row r="91" spans="1:24" ht="15.75" x14ac:dyDescent="0.25">
      <c r="A91" s="295"/>
      <c r="B91" s="286" t="s">
        <v>210</v>
      </c>
      <c r="C91" s="314"/>
      <c r="D91" s="314"/>
      <c r="E91" s="314"/>
      <c r="F91" s="314"/>
      <c r="G91" s="314"/>
      <c r="H91" s="339"/>
      <c r="I91" s="339"/>
      <c r="J91" s="339"/>
      <c r="K91" s="340"/>
      <c r="L91" s="339"/>
      <c r="M91" s="314"/>
      <c r="N91" s="341"/>
      <c r="O91" s="314"/>
      <c r="P91" s="314"/>
      <c r="Q91" s="314"/>
      <c r="R91" s="314"/>
      <c r="S91" s="314"/>
      <c r="T91" s="337"/>
      <c r="U91" s="286"/>
      <c r="V91" s="338">
        <f>79+15</f>
        <v>94</v>
      </c>
      <c r="W91" s="318"/>
      <c r="X91" s="5"/>
    </row>
    <row r="92" spans="1:24" ht="15.75" x14ac:dyDescent="0.25">
      <c r="A92" s="295"/>
      <c r="B92" s="286" t="s">
        <v>211</v>
      </c>
      <c r="C92" s="314"/>
      <c r="D92" s="314"/>
      <c r="E92" s="314"/>
      <c r="F92" s="314"/>
      <c r="G92" s="314"/>
      <c r="H92" s="339"/>
      <c r="I92" s="339"/>
      <c r="J92" s="339"/>
      <c r="K92" s="340"/>
      <c r="L92" s="339"/>
      <c r="M92" s="314"/>
      <c r="N92" s="341"/>
      <c r="O92" s="314"/>
      <c r="P92" s="314"/>
      <c r="Q92" s="314"/>
      <c r="R92" s="314"/>
      <c r="S92" s="314"/>
      <c r="T92" s="337"/>
      <c r="U92" s="286"/>
      <c r="V92" s="338">
        <v>28</v>
      </c>
      <c r="W92" s="318"/>
      <c r="X92" s="5"/>
    </row>
    <row r="93" spans="1:24" ht="15.75" x14ac:dyDescent="0.25">
      <c r="A93" s="295"/>
      <c r="B93" s="286" t="s">
        <v>233</v>
      </c>
      <c r="C93" s="314"/>
      <c r="D93" s="314"/>
      <c r="E93" s="314"/>
      <c r="F93" s="314"/>
      <c r="G93" s="314"/>
      <c r="H93" s="339"/>
      <c r="I93" s="339"/>
      <c r="J93" s="339"/>
      <c r="K93" s="340"/>
      <c r="L93" s="339"/>
      <c r="M93" s="314"/>
      <c r="N93" s="341"/>
      <c r="O93" s="314"/>
      <c r="P93" s="314"/>
      <c r="Q93" s="314"/>
      <c r="R93" s="314"/>
      <c r="S93" s="314"/>
      <c r="T93" s="337"/>
      <c r="U93" s="286"/>
      <c r="V93" s="338">
        <v>0</v>
      </c>
      <c r="W93" s="318"/>
      <c r="X93" s="5"/>
    </row>
    <row r="94" spans="1:24" ht="15.75" x14ac:dyDescent="0.25">
      <c r="A94" s="295"/>
      <c r="B94" s="286" t="s">
        <v>235</v>
      </c>
      <c r="C94" s="314"/>
      <c r="D94" s="314"/>
      <c r="E94" s="314"/>
      <c r="F94" s="314"/>
      <c r="G94" s="314"/>
      <c r="H94" s="339"/>
      <c r="I94" s="339"/>
      <c r="J94" s="339"/>
      <c r="K94" s="340"/>
      <c r="L94" s="339"/>
      <c r="M94" s="314"/>
      <c r="N94" s="341"/>
      <c r="O94" s="314"/>
      <c r="P94" s="314"/>
      <c r="Q94" s="314"/>
      <c r="R94" s="314"/>
      <c r="S94" s="314"/>
      <c r="T94" s="337"/>
      <c r="U94" s="286"/>
      <c r="V94" s="338">
        <v>0</v>
      </c>
      <c r="W94" s="318"/>
      <c r="X94" s="5"/>
    </row>
    <row r="95" spans="1:24" ht="15.75" x14ac:dyDescent="0.25">
      <c r="A95" s="295"/>
      <c r="B95" s="286" t="s">
        <v>135</v>
      </c>
      <c r="C95" s="314"/>
      <c r="D95" s="314"/>
      <c r="E95" s="314"/>
      <c r="F95" s="314"/>
      <c r="G95" s="314"/>
      <c r="H95" s="314"/>
      <c r="I95" s="314"/>
      <c r="J95" s="314"/>
      <c r="K95" s="314"/>
      <c r="L95" s="314"/>
      <c r="M95" s="314"/>
      <c r="N95" s="314"/>
      <c r="O95" s="314"/>
      <c r="P95" s="314"/>
      <c r="Q95" s="314"/>
      <c r="R95" s="314"/>
      <c r="S95" s="314"/>
      <c r="T95" s="337"/>
      <c r="U95" s="286"/>
      <c r="V95" s="338">
        <v>0</v>
      </c>
      <c r="W95" s="318"/>
      <c r="X95" s="5"/>
    </row>
    <row r="96" spans="1:24" ht="15.75" x14ac:dyDescent="0.25">
      <c r="A96" s="295"/>
      <c r="B96" s="286" t="s">
        <v>272</v>
      </c>
      <c r="C96" s="314"/>
      <c r="D96" s="314"/>
      <c r="E96" s="314"/>
      <c r="F96" s="314"/>
      <c r="G96" s="314"/>
      <c r="H96" s="314"/>
      <c r="I96" s="314"/>
      <c r="J96" s="314"/>
      <c r="K96" s="314"/>
      <c r="L96" s="314"/>
      <c r="M96" s="314"/>
      <c r="N96" s="314"/>
      <c r="O96" s="314"/>
      <c r="P96" s="314"/>
      <c r="Q96" s="314"/>
      <c r="R96" s="314"/>
      <c r="S96" s="314"/>
      <c r="T96" s="337"/>
      <c r="U96" s="286"/>
      <c r="V96" s="338">
        <v>0</v>
      </c>
      <c r="W96" s="318"/>
      <c r="X96" s="5"/>
    </row>
    <row r="97" spans="1:25" ht="15.75" x14ac:dyDescent="0.25">
      <c r="A97" s="295"/>
      <c r="B97" s="286" t="s">
        <v>30</v>
      </c>
      <c r="C97" s="314"/>
      <c r="D97" s="314"/>
      <c r="E97" s="314"/>
      <c r="F97" s="314"/>
      <c r="G97" s="314"/>
      <c r="H97" s="314"/>
      <c r="I97" s="314"/>
      <c r="J97" s="314"/>
      <c r="K97" s="314"/>
      <c r="L97" s="314"/>
      <c r="M97" s="314"/>
      <c r="N97" s="314"/>
      <c r="O97" s="314"/>
      <c r="P97" s="314"/>
      <c r="Q97" s="314"/>
      <c r="R97" s="314"/>
      <c r="S97" s="314"/>
      <c r="T97" s="337">
        <f>SUM(T88:T96)</f>
        <v>8015</v>
      </c>
      <c r="U97" s="286"/>
      <c r="V97" s="337">
        <f>SUM(V88:V96)</f>
        <v>5379</v>
      </c>
      <c r="W97" s="318"/>
      <c r="X97" s="5"/>
    </row>
    <row r="98" spans="1:25" ht="15.75" x14ac:dyDescent="0.25">
      <c r="A98" s="295"/>
      <c r="B98" s="286" t="s">
        <v>161</v>
      </c>
      <c r="C98" s="314"/>
      <c r="D98" s="314"/>
      <c r="E98" s="314"/>
      <c r="F98" s="314"/>
      <c r="G98" s="314"/>
      <c r="H98" s="314"/>
      <c r="I98" s="314"/>
      <c r="J98" s="314"/>
      <c r="K98" s="314"/>
      <c r="L98" s="314"/>
      <c r="M98" s="314"/>
      <c r="N98" s="314"/>
      <c r="O98" s="314"/>
      <c r="P98" s="314"/>
      <c r="Q98" s="314"/>
      <c r="R98" s="314"/>
      <c r="S98" s="314"/>
      <c r="T98" s="337">
        <f>-V98</f>
        <v>-1</v>
      </c>
      <c r="U98" s="286"/>
      <c r="V98" s="337">
        <v>1</v>
      </c>
      <c r="W98" s="318"/>
      <c r="X98" s="5"/>
    </row>
    <row r="99" spans="1:25" ht="15.75" x14ac:dyDescent="0.25">
      <c r="A99" s="295"/>
      <c r="B99" s="286" t="s">
        <v>31</v>
      </c>
      <c r="C99" s="314"/>
      <c r="D99" s="314"/>
      <c r="E99" s="314"/>
      <c r="F99" s="314"/>
      <c r="G99" s="314"/>
      <c r="H99" s="314"/>
      <c r="I99" s="314"/>
      <c r="J99" s="314"/>
      <c r="K99" s="314"/>
      <c r="L99" s="314"/>
      <c r="M99" s="314"/>
      <c r="N99" s="314"/>
      <c r="O99" s="314"/>
      <c r="P99" s="314"/>
      <c r="Q99" s="314"/>
      <c r="R99" s="314"/>
      <c r="S99" s="314"/>
      <c r="T99" s="337">
        <f>-V99</f>
        <v>0</v>
      </c>
      <c r="U99" s="286"/>
      <c r="V99" s="338">
        <v>0</v>
      </c>
      <c r="W99" s="318"/>
      <c r="X99" s="5"/>
    </row>
    <row r="100" spans="1:25" ht="15.75" x14ac:dyDescent="0.25">
      <c r="A100" s="295"/>
      <c r="B100" s="286" t="s">
        <v>274</v>
      </c>
      <c r="C100" s="314"/>
      <c r="D100" s="314"/>
      <c r="E100" s="314"/>
      <c r="F100" s="314"/>
      <c r="G100" s="314"/>
      <c r="H100" s="314"/>
      <c r="I100" s="314"/>
      <c r="J100" s="314"/>
      <c r="K100" s="314"/>
      <c r="L100" s="314"/>
      <c r="M100" s="314"/>
      <c r="N100" s="314"/>
      <c r="O100" s="314"/>
      <c r="P100" s="314"/>
      <c r="Q100" s="314"/>
      <c r="R100" s="314"/>
      <c r="S100" s="314"/>
      <c r="T100" s="337"/>
      <c r="U100" s="286"/>
      <c r="V100" s="338">
        <v>341</v>
      </c>
      <c r="W100" s="318"/>
      <c r="X100" s="5"/>
    </row>
    <row r="101" spans="1:25" ht="15.75" x14ac:dyDescent="0.25">
      <c r="A101" s="295"/>
      <c r="B101" s="286" t="s">
        <v>32</v>
      </c>
      <c r="C101" s="314"/>
      <c r="D101" s="314"/>
      <c r="E101" s="314"/>
      <c r="F101" s="314"/>
      <c r="G101" s="314"/>
      <c r="H101" s="314"/>
      <c r="I101" s="314"/>
      <c r="J101" s="314"/>
      <c r="K101" s="314"/>
      <c r="L101" s="314"/>
      <c r="M101" s="314"/>
      <c r="N101" s="314"/>
      <c r="O101" s="314"/>
      <c r="P101" s="314"/>
      <c r="Q101" s="314"/>
      <c r="R101" s="314"/>
      <c r="S101" s="314"/>
      <c r="T101" s="337">
        <f>T97+T99+T98</f>
        <v>8014</v>
      </c>
      <c r="U101" s="286"/>
      <c r="V101" s="337">
        <f>V97+V99+V98+V100</f>
        <v>5721</v>
      </c>
      <c r="W101" s="318"/>
      <c r="X101" s="5"/>
    </row>
    <row r="102" spans="1:25" ht="15.75" x14ac:dyDescent="0.25">
      <c r="A102" s="285"/>
      <c r="B102" s="342" t="s">
        <v>33</v>
      </c>
      <c r="C102" s="314"/>
      <c r="D102" s="314"/>
      <c r="E102" s="314"/>
      <c r="F102" s="314"/>
      <c r="G102" s="314"/>
      <c r="H102" s="314"/>
      <c r="I102" s="314"/>
      <c r="J102" s="314"/>
      <c r="K102" s="314"/>
      <c r="L102" s="314"/>
      <c r="M102" s="314"/>
      <c r="N102" s="314"/>
      <c r="O102" s="314"/>
      <c r="P102" s="314"/>
      <c r="Q102" s="314"/>
      <c r="R102" s="314"/>
      <c r="S102" s="314"/>
      <c r="T102" s="337"/>
      <c r="U102" s="286"/>
      <c r="V102" s="338"/>
      <c r="W102" s="318"/>
      <c r="X102" s="5"/>
    </row>
    <row r="103" spans="1:25" ht="15.75" x14ac:dyDescent="0.25">
      <c r="A103" s="295">
        <v>1</v>
      </c>
      <c r="B103" s="286" t="s">
        <v>34</v>
      </c>
      <c r="C103" s="286"/>
      <c r="D103" s="286"/>
      <c r="E103" s="314"/>
      <c r="F103" s="314"/>
      <c r="G103" s="314"/>
      <c r="H103" s="314"/>
      <c r="I103" s="314"/>
      <c r="J103" s="314"/>
      <c r="K103" s="314"/>
      <c r="L103" s="314"/>
      <c r="M103" s="314"/>
      <c r="N103" s="314"/>
      <c r="O103" s="314"/>
      <c r="P103" s="314"/>
      <c r="Q103" s="314"/>
      <c r="R103" s="314"/>
      <c r="S103" s="314"/>
      <c r="T103" s="286"/>
      <c r="U103" s="286"/>
      <c r="V103" s="338">
        <v>0</v>
      </c>
      <c r="W103" s="318"/>
      <c r="X103" s="5"/>
    </row>
    <row r="104" spans="1:25" ht="15.75" x14ac:dyDescent="0.25">
      <c r="A104" s="295">
        <f>+A103+1</f>
        <v>2</v>
      </c>
      <c r="B104" s="286" t="s">
        <v>314</v>
      </c>
      <c r="C104" s="286"/>
      <c r="D104" s="286"/>
      <c r="E104" s="314"/>
      <c r="F104" s="314"/>
      <c r="G104" s="314"/>
      <c r="H104" s="314"/>
      <c r="I104" s="314"/>
      <c r="J104" s="314"/>
      <c r="K104" s="314"/>
      <c r="L104" s="314"/>
      <c r="M104" s="314"/>
      <c r="N104" s="314"/>
      <c r="O104" s="314"/>
      <c r="P104" s="314"/>
      <c r="Q104" s="314"/>
      <c r="R104" s="314"/>
      <c r="S104" s="314"/>
      <c r="T104" s="286"/>
      <c r="U104" s="286"/>
      <c r="V104" s="338">
        <v>-2</v>
      </c>
      <c r="W104" s="318"/>
      <c r="X104" s="5"/>
    </row>
    <row r="105" spans="1:25" ht="15.75" x14ac:dyDescent="0.25">
      <c r="A105" s="295">
        <f>+A104+1</f>
        <v>3</v>
      </c>
      <c r="B105" s="412" t="s">
        <v>316</v>
      </c>
      <c r="C105" s="286"/>
      <c r="D105" s="286"/>
      <c r="E105" s="314"/>
      <c r="F105" s="314"/>
      <c r="G105" s="314"/>
      <c r="H105" s="314"/>
      <c r="I105" s="314"/>
      <c r="J105" s="314"/>
      <c r="K105" s="314"/>
      <c r="L105" s="314"/>
      <c r="M105" s="314"/>
      <c r="N105" s="314"/>
      <c r="O105" s="314"/>
      <c r="P105" s="314"/>
      <c r="Q105" s="314"/>
      <c r="R105" s="314"/>
      <c r="S105" s="314"/>
      <c r="T105" s="286"/>
      <c r="U105" s="286"/>
      <c r="V105" s="338">
        <f>-302-180-10</f>
        <v>-492</v>
      </c>
      <c r="W105" s="318"/>
      <c r="X105" s="5"/>
    </row>
    <row r="106" spans="1:25" ht="15.75" x14ac:dyDescent="0.25">
      <c r="A106" s="295" t="s">
        <v>127</v>
      </c>
      <c r="B106" s="286" t="s">
        <v>116</v>
      </c>
      <c r="C106" s="286"/>
      <c r="D106" s="286"/>
      <c r="E106" s="314"/>
      <c r="F106" s="314"/>
      <c r="G106" s="314"/>
      <c r="H106" s="314"/>
      <c r="I106" s="314"/>
      <c r="J106" s="314"/>
      <c r="K106" s="314"/>
      <c r="L106" s="314"/>
      <c r="M106" s="314"/>
      <c r="N106" s="314"/>
      <c r="O106" s="314"/>
      <c r="P106" s="314"/>
      <c r="Q106" s="314"/>
      <c r="R106" s="314"/>
      <c r="S106" s="314"/>
      <c r="T106" s="286"/>
      <c r="U106" s="286"/>
      <c r="V106" s="338">
        <v>0</v>
      </c>
      <c r="W106" s="318"/>
      <c r="X106" s="5"/>
    </row>
    <row r="107" spans="1:25" ht="15.75" x14ac:dyDescent="0.25">
      <c r="A107" s="295" t="s">
        <v>128</v>
      </c>
      <c r="B107" s="286" t="s">
        <v>220</v>
      </c>
      <c r="C107" s="286"/>
      <c r="D107" s="286"/>
      <c r="E107" s="314"/>
      <c r="F107" s="314"/>
      <c r="G107" s="314"/>
      <c r="H107" s="314"/>
      <c r="I107" s="314"/>
      <c r="J107" s="314"/>
      <c r="K107" s="314"/>
      <c r="L107" s="314"/>
      <c r="M107" s="314"/>
      <c r="N107" s="314"/>
      <c r="O107" s="314"/>
      <c r="P107" s="314"/>
      <c r="Q107" s="314"/>
      <c r="R107" s="314"/>
      <c r="S107" s="314"/>
      <c r="T107" s="286"/>
      <c r="U107" s="286"/>
      <c r="V107" s="338">
        <f>-1205+309</f>
        <v>-896</v>
      </c>
      <c r="W107" s="318"/>
      <c r="X107" s="5"/>
      <c r="Y107" s="109"/>
    </row>
    <row r="108" spans="1:25" ht="15.75" x14ac:dyDescent="0.25">
      <c r="A108" s="295" t="s">
        <v>150</v>
      </c>
      <c r="B108" s="286" t="s">
        <v>184</v>
      </c>
      <c r="C108" s="286"/>
      <c r="D108" s="286"/>
      <c r="E108" s="314"/>
      <c r="F108" s="314"/>
      <c r="G108" s="314"/>
      <c r="H108" s="314"/>
      <c r="I108" s="314"/>
      <c r="J108" s="314"/>
      <c r="K108" s="314"/>
      <c r="L108" s="314"/>
      <c r="M108" s="314"/>
      <c r="N108" s="314"/>
      <c r="O108" s="314"/>
      <c r="P108" s="314"/>
      <c r="Q108" s="314"/>
      <c r="R108" s="314"/>
      <c r="S108" s="314"/>
      <c r="T108" s="286"/>
      <c r="U108" s="286"/>
      <c r="V108" s="338">
        <v>-309</v>
      </c>
      <c r="W108" s="318"/>
      <c r="X108" s="5"/>
      <c r="Y108" s="109"/>
    </row>
    <row r="109" spans="1:25" ht="15.75" x14ac:dyDescent="0.25">
      <c r="A109" s="295" t="s">
        <v>205</v>
      </c>
      <c r="B109" s="286" t="s">
        <v>185</v>
      </c>
      <c r="C109" s="286"/>
      <c r="D109" s="286"/>
      <c r="E109" s="314"/>
      <c r="F109" s="314"/>
      <c r="G109" s="314"/>
      <c r="H109" s="314"/>
      <c r="I109" s="314"/>
      <c r="J109" s="314"/>
      <c r="K109" s="314"/>
      <c r="L109" s="314"/>
      <c r="M109" s="314"/>
      <c r="N109" s="314"/>
      <c r="O109" s="314"/>
      <c r="P109" s="314"/>
      <c r="Q109" s="314"/>
      <c r="R109" s="314"/>
      <c r="S109" s="314"/>
      <c r="T109" s="286"/>
      <c r="U109" s="286"/>
      <c r="V109" s="338">
        <v>-164</v>
      </c>
      <c r="W109" s="318"/>
      <c r="X109" s="5"/>
      <c r="Y109" s="109"/>
    </row>
    <row r="110" spans="1:25" ht="15.75" x14ac:dyDescent="0.25">
      <c r="A110" s="295" t="s">
        <v>206</v>
      </c>
      <c r="B110" s="286" t="s">
        <v>186</v>
      </c>
      <c r="C110" s="286"/>
      <c r="D110" s="286"/>
      <c r="E110" s="314"/>
      <c r="F110" s="314"/>
      <c r="G110" s="314"/>
      <c r="H110" s="314"/>
      <c r="I110" s="314"/>
      <c r="J110" s="314"/>
      <c r="K110" s="314"/>
      <c r="L110" s="314"/>
      <c r="M110" s="314"/>
      <c r="N110" s="314"/>
      <c r="O110" s="314"/>
      <c r="P110" s="314"/>
      <c r="Q110" s="314"/>
      <c r="R110" s="314"/>
      <c r="S110" s="314"/>
      <c r="T110" s="286"/>
      <c r="U110" s="286"/>
      <c r="V110" s="338">
        <v>-45</v>
      </c>
      <c r="W110" s="318"/>
      <c r="X110" s="5"/>
      <c r="Y110" s="109"/>
    </row>
    <row r="111" spans="1:25" ht="15.75" x14ac:dyDescent="0.25">
      <c r="A111" s="295">
        <v>6</v>
      </c>
      <c r="B111" s="286" t="s">
        <v>196</v>
      </c>
      <c r="C111" s="286"/>
      <c r="D111" s="286"/>
      <c r="E111" s="314"/>
      <c r="F111" s="314"/>
      <c r="G111" s="314"/>
      <c r="H111" s="314"/>
      <c r="I111" s="314"/>
      <c r="J111" s="314"/>
      <c r="K111" s="314"/>
      <c r="L111" s="314"/>
      <c r="M111" s="314"/>
      <c r="N111" s="314"/>
      <c r="O111" s="314"/>
      <c r="P111" s="314"/>
      <c r="Q111" s="314"/>
      <c r="R111" s="314"/>
      <c r="S111" s="314"/>
      <c r="T111" s="286"/>
      <c r="U111" s="286"/>
      <c r="V111" s="338">
        <v>-327</v>
      </c>
      <c r="W111" s="318"/>
      <c r="X111" s="5"/>
      <c r="Y111" s="109"/>
    </row>
    <row r="112" spans="1:25" ht="15.75" x14ac:dyDescent="0.25">
      <c r="A112" s="295">
        <v>7</v>
      </c>
      <c r="B112" s="412" t="s">
        <v>315</v>
      </c>
      <c r="C112" s="286"/>
      <c r="D112" s="286"/>
      <c r="E112" s="314"/>
      <c r="F112" s="314"/>
      <c r="G112" s="314"/>
      <c r="H112" s="314"/>
      <c r="I112" s="314"/>
      <c r="J112" s="314"/>
      <c r="K112" s="314"/>
      <c r="L112" s="314"/>
      <c r="M112" s="314"/>
      <c r="N112" s="314"/>
      <c r="O112" s="314"/>
      <c r="P112" s="314"/>
      <c r="Q112" s="314"/>
      <c r="R112" s="314"/>
      <c r="S112" s="314"/>
      <c r="T112" s="286"/>
      <c r="U112" s="286"/>
      <c r="V112" s="338">
        <v>0</v>
      </c>
      <c r="W112" s="318"/>
      <c r="X112" s="5"/>
      <c r="Y112" s="109"/>
    </row>
    <row r="113" spans="1:24" ht="15.75" x14ac:dyDescent="0.25">
      <c r="A113" s="295">
        <v>8</v>
      </c>
      <c r="B113" s="286" t="s">
        <v>35</v>
      </c>
      <c r="C113" s="286"/>
      <c r="D113" s="286"/>
      <c r="E113" s="314"/>
      <c r="F113" s="314"/>
      <c r="G113" s="314"/>
      <c r="H113" s="314"/>
      <c r="I113" s="314"/>
      <c r="J113" s="314"/>
      <c r="K113" s="314"/>
      <c r="L113" s="314"/>
      <c r="M113" s="314"/>
      <c r="N113" s="314"/>
      <c r="O113" s="314"/>
      <c r="P113" s="314"/>
      <c r="Q113" s="314"/>
      <c r="R113" s="314"/>
      <c r="S113" s="314"/>
      <c r="T113" s="286"/>
      <c r="U113" s="286"/>
      <c r="V113" s="338">
        <v>-9</v>
      </c>
      <c r="W113" s="318"/>
      <c r="X113" s="5"/>
    </row>
    <row r="114" spans="1:24" ht="15.75" x14ac:dyDescent="0.25">
      <c r="A114" s="295">
        <f t="shared" ref="A114:A119" si="0">+A113+1</f>
        <v>9</v>
      </c>
      <c r="B114" s="286" t="s">
        <v>45</v>
      </c>
      <c r="C114" s="286"/>
      <c r="D114" s="286"/>
      <c r="E114" s="314"/>
      <c r="F114" s="314"/>
      <c r="G114" s="314"/>
      <c r="H114" s="314"/>
      <c r="I114" s="314"/>
      <c r="J114" s="314"/>
      <c r="K114" s="314"/>
      <c r="L114" s="314"/>
      <c r="M114" s="314"/>
      <c r="N114" s="314"/>
      <c r="O114" s="314"/>
      <c r="P114" s="314"/>
      <c r="Q114" s="314"/>
      <c r="R114" s="314"/>
      <c r="S114" s="314"/>
      <c r="T114" s="337">
        <f>-V114</f>
        <v>455</v>
      </c>
      <c r="U114" s="286"/>
      <c r="V114" s="338">
        <v>-455</v>
      </c>
      <c r="W114" s="318"/>
      <c r="X114" s="5"/>
    </row>
    <row r="115" spans="1:24" ht="15.75" x14ac:dyDescent="0.25">
      <c r="A115" s="295">
        <f t="shared" si="0"/>
        <v>10</v>
      </c>
      <c r="B115" s="286" t="s">
        <v>125</v>
      </c>
      <c r="C115" s="286"/>
      <c r="D115" s="286"/>
      <c r="E115" s="314"/>
      <c r="F115" s="314"/>
      <c r="G115" s="314"/>
      <c r="H115" s="314"/>
      <c r="I115" s="314"/>
      <c r="J115" s="314"/>
      <c r="K115" s="314"/>
      <c r="L115" s="314"/>
      <c r="M115" s="314"/>
      <c r="N115" s="314"/>
      <c r="O115" s="314"/>
      <c r="P115" s="314"/>
      <c r="Q115" s="314"/>
      <c r="R115" s="314"/>
      <c r="S115" s="314"/>
      <c r="T115" s="286"/>
      <c r="U115" s="286"/>
      <c r="V115" s="338">
        <v>0</v>
      </c>
      <c r="W115" s="318"/>
      <c r="X115" s="5"/>
    </row>
    <row r="116" spans="1:24" ht="15.75" x14ac:dyDescent="0.25">
      <c r="A116" s="295">
        <f t="shared" si="0"/>
        <v>11</v>
      </c>
      <c r="B116" s="286" t="s">
        <v>225</v>
      </c>
      <c r="C116" s="286"/>
      <c r="D116" s="286"/>
      <c r="E116" s="314"/>
      <c r="F116" s="314"/>
      <c r="G116" s="314"/>
      <c r="H116" s="314"/>
      <c r="I116" s="314"/>
      <c r="J116" s="314"/>
      <c r="K116" s="314"/>
      <c r="L116" s="314"/>
      <c r="M116" s="314"/>
      <c r="N116" s="314"/>
      <c r="O116" s="314"/>
      <c r="P116" s="314"/>
      <c r="Q116" s="314"/>
      <c r="R116" s="314"/>
      <c r="S116" s="314"/>
      <c r="T116" s="286"/>
      <c r="U116" s="286"/>
      <c r="V116" s="338">
        <v>0</v>
      </c>
      <c r="W116" s="318"/>
      <c r="X116" s="5"/>
    </row>
    <row r="117" spans="1:24" ht="15.75" x14ac:dyDescent="0.25">
      <c r="A117" s="295">
        <f t="shared" si="0"/>
        <v>12</v>
      </c>
      <c r="B117" s="286" t="s">
        <v>36</v>
      </c>
      <c r="C117" s="286"/>
      <c r="D117" s="286"/>
      <c r="E117" s="314"/>
      <c r="F117" s="314"/>
      <c r="G117" s="314"/>
      <c r="H117" s="314"/>
      <c r="I117" s="314"/>
      <c r="J117" s="314"/>
      <c r="K117" s="314"/>
      <c r="L117" s="314"/>
      <c r="M117" s="314"/>
      <c r="N117" s="314"/>
      <c r="O117" s="314"/>
      <c r="P117" s="314"/>
      <c r="Q117" s="314"/>
      <c r="R117" s="314"/>
      <c r="S117" s="314"/>
      <c r="T117" s="286"/>
      <c r="U117" s="286"/>
      <c r="V117" s="338">
        <v>0</v>
      </c>
      <c r="W117" s="318"/>
      <c r="X117" s="5"/>
    </row>
    <row r="118" spans="1:24" ht="15.75" x14ac:dyDescent="0.25">
      <c r="A118" s="295">
        <f t="shared" si="0"/>
        <v>13</v>
      </c>
      <c r="B118" s="286" t="s">
        <v>149</v>
      </c>
      <c r="C118" s="286"/>
      <c r="D118" s="286"/>
      <c r="E118" s="314"/>
      <c r="F118" s="314"/>
      <c r="G118" s="314"/>
      <c r="H118" s="314"/>
      <c r="I118" s="314"/>
      <c r="J118" s="314"/>
      <c r="K118" s="314"/>
      <c r="L118" s="314"/>
      <c r="M118" s="314"/>
      <c r="N118" s="314"/>
      <c r="O118" s="314"/>
      <c r="P118" s="314"/>
      <c r="Q118" s="314"/>
      <c r="R118" s="314"/>
      <c r="S118" s="314"/>
      <c r="T118" s="286"/>
      <c r="U118" s="286"/>
      <c r="V118" s="338">
        <v>-302</v>
      </c>
      <c r="W118" s="318"/>
      <c r="X118" s="5"/>
    </row>
    <row r="119" spans="1:24" ht="15.75" x14ac:dyDescent="0.25">
      <c r="A119" s="295">
        <f t="shared" si="0"/>
        <v>14</v>
      </c>
      <c r="B119" s="286" t="s">
        <v>126</v>
      </c>
      <c r="C119" s="286"/>
      <c r="D119" s="286"/>
      <c r="E119" s="314"/>
      <c r="F119" s="314"/>
      <c r="G119" s="314"/>
      <c r="H119" s="314"/>
      <c r="I119" s="314"/>
      <c r="J119" s="314"/>
      <c r="K119" s="314"/>
      <c r="L119" s="314"/>
      <c r="M119" s="314"/>
      <c r="N119" s="314"/>
      <c r="O119" s="314"/>
      <c r="P119" s="314"/>
      <c r="Q119" s="314"/>
      <c r="R119" s="314"/>
      <c r="S119" s="314"/>
      <c r="T119" s="286"/>
      <c r="U119" s="286"/>
      <c r="V119" s="338">
        <f>-V101-SUM(V103:V118)</f>
        <v>-2720</v>
      </c>
      <c r="W119" s="318"/>
      <c r="X119" s="5"/>
    </row>
    <row r="120" spans="1:24" ht="15.75" x14ac:dyDescent="0.25">
      <c r="A120" s="285"/>
      <c r="B120" s="342" t="s">
        <v>37</v>
      </c>
      <c r="C120" s="314"/>
      <c r="D120" s="314"/>
      <c r="E120" s="314"/>
      <c r="F120" s="314"/>
      <c r="G120" s="314"/>
      <c r="H120" s="314"/>
      <c r="I120" s="314"/>
      <c r="J120" s="314"/>
      <c r="K120" s="314"/>
      <c r="L120" s="314"/>
      <c r="M120" s="314"/>
      <c r="N120" s="314"/>
      <c r="O120" s="314"/>
      <c r="P120" s="314"/>
      <c r="Q120" s="314"/>
      <c r="R120" s="314"/>
      <c r="S120" s="314"/>
      <c r="T120" s="286"/>
      <c r="U120" s="286"/>
      <c r="V120" s="343"/>
      <c r="W120" s="318"/>
      <c r="X120" s="5"/>
    </row>
    <row r="121" spans="1:24" ht="15.75" x14ac:dyDescent="0.25">
      <c r="A121" s="285"/>
      <c r="B121" s="286" t="s">
        <v>173</v>
      </c>
      <c r="C121" s="314"/>
      <c r="D121" s="314"/>
      <c r="E121" s="314"/>
      <c r="F121" s="314"/>
      <c r="G121" s="314"/>
      <c r="H121" s="314"/>
      <c r="I121" s="314"/>
      <c r="J121" s="314"/>
      <c r="K121" s="314"/>
      <c r="L121" s="314"/>
      <c r="M121" s="314"/>
      <c r="N121" s="314"/>
      <c r="O121" s="314"/>
      <c r="P121" s="314"/>
      <c r="Q121" s="314"/>
      <c r="R121" s="314"/>
      <c r="S121" s="314"/>
      <c r="T121" s="337">
        <f>-T186</f>
        <v>0</v>
      </c>
      <c r="U121" s="337"/>
      <c r="V121" s="338"/>
      <c r="W121" s="318"/>
      <c r="X121" s="5"/>
    </row>
    <row r="122" spans="1:24" ht="15.75" x14ac:dyDescent="0.25">
      <c r="A122" s="285"/>
      <c r="B122" s="286" t="s">
        <v>174</v>
      </c>
      <c r="C122" s="314"/>
      <c r="D122" s="314"/>
      <c r="E122" s="314"/>
      <c r="F122" s="314"/>
      <c r="G122" s="314"/>
      <c r="H122" s="314"/>
      <c r="I122" s="314"/>
      <c r="J122" s="314"/>
      <c r="K122" s="314"/>
      <c r="L122" s="314"/>
      <c r="M122" s="314"/>
      <c r="N122" s="314"/>
      <c r="O122" s="314"/>
      <c r="P122" s="314"/>
      <c r="Q122" s="314"/>
      <c r="R122" s="314"/>
      <c r="S122" s="314"/>
      <c r="T122" s="337">
        <v>0</v>
      </c>
      <c r="U122" s="337"/>
      <c r="V122" s="338"/>
      <c r="W122" s="318"/>
      <c r="X122" s="5"/>
    </row>
    <row r="123" spans="1:24" ht="15.75" x14ac:dyDescent="0.25">
      <c r="A123" s="285"/>
      <c r="B123" s="286" t="s">
        <v>38</v>
      </c>
      <c r="C123" s="314"/>
      <c r="D123" s="314"/>
      <c r="E123" s="314"/>
      <c r="F123" s="314"/>
      <c r="G123" s="314"/>
      <c r="H123" s="314"/>
      <c r="I123" s="314"/>
      <c r="J123" s="314"/>
      <c r="K123" s="314"/>
      <c r="L123" s="314"/>
      <c r="M123" s="314"/>
      <c r="N123" s="314"/>
      <c r="O123" s="314"/>
      <c r="P123" s="314"/>
      <c r="Q123" s="314"/>
      <c r="R123" s="314"/>
      <c r="S123" s="314"/>
      <c r="T123" s="337">
        <f>-S186</f>
        <v>-59</v>
      </c>
      <c r="U123" s="337"/>
      <c r="V123" s="338"/>
      <c r="W123" s="318"/>
      <c r="X123" s="5"/>
    </row>
    <row r="124" spans="1:24" ht="15.75" x14ac:dyDescent="0.25">
      <c r="A124" s="285"/>
      <c r="B124" s="286" t="s">
        <v>197</v>
      </c>
      <c r="C124" s="314"/>
      <c r="D124" s="314"/>
      <c r="E124" s="314"/>
      <c r="F124" s="314"/>
      <c r="G124" s="314"/>
      <c r="H124" s="314"/>
      <c r="I124" s="314"/>
      <c r="J124" s="314"/>
      <c r="K124" s="314"/>
      <c r="L124" s="314"/>
      <c r="M124" s="314"/>
      <c r="N124" s="314"/>
      <c r="O124" s="314"/>
      <c r="P124" s="314"/>
      <c r="Q124" s="314"/>
      <c r="R124" s="314"/>
      <c r="S124" s="314"/>
      <c r="T124" s="337">
        <v>-4871</v>
      </c>
      <c r="U124" s="337"/>
      <c r="V124" s="338"/>
      <c r="W124" s="318"/>
      <c r="X124" s="5"/>
    </row>
    <row r="125" spans="1:24" ht="15.75" x14ac:dyDescent="0.25">
      <c r="A125" s="285"/>
      <c r="B125" s="286" t="s">
        <v>195</v>
      </c>
      <c r="C125" s="314"/>
      <c r="D125" s="314"/>
      <c r="E125" s="314"/>
      <c r="F125" s="314"/>
      <c r="G125" s="314"/>
      <c r="H125" s="314"/>
      <c r="I125" s="314"/>
      <c r="J125" s="314"/>
      <c r="K125" s="314"/>
      <c r="L125" s="314"/>
      <c r="M125" s="314"/>
      <c r="N125" s="314"/>
      <c r="O125" s="314"/>
      <c r="P125" s="314"/>
      <c r="Q125" s="314"/>
      <c r="R125" s="314"/>
      <c r="S125" s="314"/>
      <c r="T125" s="337">
        <v>-2070</v>
      </c>
      <c r="U125" s="337"/>
      <c r="V125" s="338"/>
      <c r="W125" s="318"/>
      <c r="X125" s="5"/>
    </row>
    <row r="126" spans="1:24" ht="15.75" x14ac:dyDescent="0.25">
      <c r="A126" s="285"/>
      <c r="B126" s="286" t="s">
        <v>194</v>
      </c>
      <c r="C126" s="314"/>
      <c r="D126" s="314"/>
      <c r="E126" s="314"/>
      <c r="F126" s="314"/>
      <c r="G126" s="314"/>
      <c r="H126" s="314"/>
      <c r="I126" s="314"/>
      <c r="J126" s="314"/>
      <c r="K126" s="314"/>
      <c r="L126" s="314"/>
      <c r="M126" s="314"/>
      <c r="N126" s="314"/>
      <c r="O126" s="314"/>
      <c r="P126" s="314"/>
      <c r="Q126" s="314"/>
      <c r="R126" s="314"/>
      <c r="S126" s="314"/>
      <c r="T126" s="337">
        <v>-738</v>
      </c>
      <c r="U126" s="337"/>
      <c r="V126" s="338"/>
      <c r="W126" s="318"/>
      <c r="X126" s="5"/>
    </row>
    <row r="127" spans="1:24" ht="15.75" x14ac:dyDescent="0.25">
      <c r="A127" s="285"/>
      <c r="B127" s="286" t="s">
        <v>222</v>
      </c>
      <c r="C127" s="314"/>
      <c r="D127" s="314"/>
      <c r="E127" s="314"/>
      <c r="F127" s="314"/>
      <c r="G127" s="314"/>
      <c r="H127" s="314"/>
      <c r="I127" s="314"/>
      <c r="J127" s="314"/>
      <c r="K127" s="314"/>
      <c r="L127" s="314"/>
      <c r="M127" s="314"/>
      <c r="N127" s="314"/>
      <c r="O127" s="314"/>
      <c r="P127" s="314"/>
      <c r="Q127" s="314"/>
      <c r="R127" s="314"/>
      <c r="S127" s="314"/>
      <c r="T127" s="337">
        <v>-731</v>
      </c>
      <c r="U127" s="337"/>
      <c r="V127" s="338"/>
      <c r="W127" s="318"/>
      <c r="X127" s="5"/>
    </row>
    <row r="128" spans="1:24" ht="15.75" x14ac:dyDescent="0.25">
      <c r="A128" s="285"/>
      <c r="B128" s="286" t="s">
        <v>189</v>
      </c>
      <c r="C128" s="314"/>
      <c r="D128" s="314"/>
      <c r="E128" s="314"/>
      <c r="F128" s="314"/>
      <c r="G128" s="314"/>
      <c r="H128" s="314"/>
      <c r="I128" s="314"/>
      <c r="J128" s="314"/>
      <c r="K128" s="314"/>
      <c r="L128" s="314"/>
      <c r="M128" s="314"/>
      <c r="N128" s="314"/>
      <c r="O128" s="314"/>
      <c r="P128" s="314"/>
      <c r="Q128" s="314"/>
      <c r="R128" s="314"/>
      <c r="S128" s="314"/>
      <c r="T128" s="337">
        <v>0</v>
      </c>
      <c r="U128" s="337"/>
      <c r="V128" s="338"/>
      <c r="W128" s="318"/>
      <c r="X128" s="5"/>
    </row>
    <row r="129" spans="1:24" ht="15.75" x14ac:dyDescent="0.25">
      <c r="A129" s="285"/>
      <c r="B129" s="286" t="s">
        <v>188</v>
      </c>
      <c r="C129" s="314"/>
      <c r="D129" s="314"/>
      <c r="E129" s="314"/>
      <c r="F129" s="314"/>
      <c r="G129" s="314"/>
      <c r="H129" s="314"/>
      <c r="I129" s="314"/>
      <c r="J129" s="314"/>
      <c r="K129" s="314"/>
      <c r="L129" s="314"/>
      <c r="M129" s="314"/>
      <c r="N129" s="314"/>
      <c r="O129" s="314"/>
      <c r="P129" s="314"/>
      <c r="Q129" s="314"/>
      <c r="R129" s="314"/>
      <c r="S129" s="314"/>
      <c r="T129" s="337">
        <v>0</v>
      </c>
      <c r="U129" s="337"/>
      <c r="V129" s="338"/>
      <c r="W129" s="318"/>
      <c r="X129" s="5"/>
    </row>
    <row r="130" spans="1:24" ht="15.75" x14ac:dyDescent="0.25">
      <c r="A130" s="285"/>
      <c r="B130" s="286" t="s">
        <v>187</v>
      </c>
      <c r="C130" s="314"/>
      <c r="D130" s="314"/>
      <c r="E130" s="314"/>
      <c r="F130" s="314"/>
      <c r="G130" s="314"/>
      <c r="H130" s="314"/>
      <c r="I130" s="314"/>
      <c r="J130" s="314"/>
      <c r="K130" s="314"/>
      <c r="L130" s="314"/>
      <c r="M130" s="314"/>
      <c r="N130" s="314"/>
      <c r="O130" s="314"/>
      <c r="P130" s="314"/>
      <c r="Q130" s="314"/>
      <c r="R130" s="314"/>
      <c r="S130" s="314"/>
      <c r="T130" s="337">
        <v>0</v>
      </c>
      <c r="U130" s="337"/>
      <c r="V130" s="338"/>
      <c r="W130" s="318"/>
      <c r="X130" s="5"/>
    </row>
    <row r="131" spans="1:24" ht="15.75" x14ac:dyDescent="0.25">
      <c r="A131" s="285"/>
      <c r="B131" s="286" t="s">
        <v>39</v>
      </c>
      <c r="C131" s="314"/>
      <c r="D131" s="314"/>
      <c r="E131" s="314"/>
      <c r="F131" s="314"/>
      <c r="G131" s="314"/>
      <c r="H131" s="314"/>
      <c r="I131" s="314"/>
      <c r="J131" s="314"/>
      <c r="K131" s="314"/>
      <c r="L131" s="314"/>
      <c r="M131" s="314"/>
      <c r="N131" s="314"/>
      <c r="O131" s="314"/>
      <c r="P131" s="314"/>
      <c r="Q131" s="314"/>
      <c r="R131" s="314"/>
      <c r="S131" s="314"/>
      <c r="T131" s="337">
        <f>SUM(T121:T130)</f>
        <v>-8469</v>
      </c>
      <c r="U131" s="337"/>
      <c r="V131" s="337">
        <f>SUM(V102:V129)</f>
        <v>-5721</v>
      </c>
      <c r="W131" s="318"/>
      <c r="X131" s="5"/>
    </row>
    <row r="132" spans="1:24" ht="15.75" x14ac:dyDescent="0.25">
      <c r="A132" s="285"/>
      <c r="B132" s="286" t="s">
        <v>40</v>
      </c>
      <c r="C132" s="314"/>
      <c r="D132" s="314"/>
      <c r="E132" s="314"/>
      <c r="F132" s="314"/>
      <c r="G132" s="314"/>
      <c r="H132" s="314"/>
      <c r="I132" s="314"/>
      <c r="J132" s="314"/>
      <c r="K132" s="314"/>
      <c r="L132" s="314"/>
      <c r="M132" s="314"/>
      <c r="N132" s="314"/>
      <c r="O132" s="314"/>
      <c r="P132" s="314"/>
      <c r="Q132" s="314"/>
      <c r="R132" s="314"/>
      <c r="S132" s="314"/>
      <c r="T132" s="337">
        <f>T101+T131+T114</f>
        <v>0</v>
      </c>
      <c r="U132" s="337"/>
      <c r="V132" s="337">
        <f>V101+V131</f>
        <v>0</v>
      </c>
      <c r="W132" s="318"/>
      <c r="X132" s="5"/>
    </row>
    <row r="133" spans="1:24" ht="15.75" x14ac:dyDescent="0.25">
      <c r="A133" s="181"/>
      <c r="B133" s="212"/>
      <c r="C133" s="212"/>
      <c r="D133" s="212"/>
      <c r="E133" s="212"/>
      <c r="F133" s="212"/>
      <c r="G133" s="212"/>
      <c r="H133" s="212"/>
      <c r="I133" s="212"/>
      <c r="J133" s="212"/>
      <c r="K133" s="212"/>
      <c r="L133" s="212"/>
      <c r="M133" s="212"/>
      <c r="N133" s="212"/>
      <c r="O133" s="212"/>
      <c r="P133" s="212"/>
      <c r="Q133" s="212"/>
      <c r="R133" s="212"/>
      <c r="S133" s="212"/>
      <c r="T133" s="335"/>
      <c r="U133" s="335"/>
      <c r="V133" s="335"/>
      <c r="W133" s="212"/>
      <c r="X133" s="5"/>
    </row>
    <row r="134" spans="1:24" ht="15.75" x14ac:dyDescent="0.25">
      <c r="A134" s="181"/>
      <c r="B134" s="183"/>
      <c r="C134" s="183"/>
      <c r="D134" s="183"/>
      <c r="E134" s="183"/>
      <c r="F134" s="183"/>
      <c r="G134" s="183"/>
      <c r="H134" s="183"/>
      <c r="I134" s="183"/>
      <c r="J134" s="183"/>
      <c r="K134" s="183"/>
      <c r="L134" s="183"/>
      <c r="M134" s="183"/>
      <c r="N134" s="183"/>
      <c r="O134" s="183"/>
      <c r="P134" s="183"/>
      <c r="Q134" s="183"/>
      <c r="R134" s="183"/>
      <c r="S134" s="183"/>
      <c r="T134" s="183"/>
      <c r="U134" s="183"/>
      <c r="V134" s="202"/>
      <c r="W134" s="183"/>
      <c r="X134" s="5"/>
    </row>
    <row r="135" spans="1:24" ht="19.5" thickBot="1" x14ac:dyDescent="0.35">
      <c r="A135" s="197"/>
      <c r="B135" s="270" t="str">
        <f>B64</f>
        <v>PM15 INVESTOR REPORT QUARTER ENDING NOVEMBER 2013</v>
      </c>
      <c r="C135" s="198"/>
      <c r="D135" s="198"/>
      <c r="E135" s="198"/>
      <c r="F135" s="198"/>
      <c r="G135" s="198"/>
      <c r="H135" s="198"/>
      <c r="I135" s="198"/>
      <c r="J135" s="198"/>
      <c r="K135" s="198"/>
      <c r="L135" s="198"/>
      <c r="M135" s="198"/>
      <c r="N135" s="198"/>
      <c r="O135" s="198"/>
      <c r="P135" s="198"/>
      <c r="Q135" s="198"/>
      <c r="R135" s="198"/>
      <c r="S135" s="198"/>
      <c r="T135" s="198"/>
      <c r="U135" s="198"/>
      <c r="V135" s="209"/>
      <c r="W135" s="200"/>
      <c r="X135" s="5"/>
    </row>
    <row r="136" spans="1:24" ht="15.75" x14ac:dyDescent="0.25">
      <c r="A136" s="236"/>
      <c r="B136" s="403" t="s">
        <v>41</v>
      </c>
      <c r="C136" s="238"/>
      <c r="D136" s="238"/>
      <c r="E136" s="238"/>
      <c r="F136" s="238"/>
      <c r="G136" s="238"/>
      <c r="H136" s="238"/>
      <c r="I136" s="238"/>
      <c r="J136" s="238"/>
      <c r="K136" s="238"/>
      <c r="L136" s="238"/>
      <c r="M136" s="238"/>
      <c r="N136" s="238"/>
      <c r="O136" s="238"/>
      <c r="P136" s="238"/>
      <c r="Q136" s="238"/>
      <c r="R136" s="238"/>
      <c r="S136" s="238"/>
      <c r="T136" s="238"/>
      <c r="U136" s="238"/>
      <c r="V136" s="239"/>
      <c r="W136" s="238"/>
      <c r="X136" s="5"/>
    </row>
    <row r="137" spans="1:24" ht="15.75" x14ac:dyDescent="0.25">
      <c r="A137" s="181"/>
      <c r="B137" s="191"/>
      <c r="C137" s="183"/>
      <c r="D137" s="183"/>
      <c r="E137" s="183"/>
      <c r="F137" s="183"/>
      <c r="G137" s="183"/>
      <c r="H137" s="183"/>
      <c r="I137" s="183"/>
      <c r="J137" s="183"/>
      <c r="K137" s="183"/>
      <c r="L137" s="183"/>
      <c r="M137" s="183"/>
      <c r="N137" s="183"/>
      <c r="O137" s="183"/>
      <c r="P137" s="183"/>
      <c r="Q137" s="183"/>
      <c r="R137" s="183"/>
      <c r="S137" s="183"/>
      <c r="T137" s="183"/>
      <c r="U137" s="183"/>
      <c r="V137" s="202"/>
      <c r="W137" s="183"/>
      <c r="X137" s="5"/>
    </row>
    <row r="138" spans="1:24" ht="15.75" x14ac:dyDescent="0.25">
      <c r="A138" s="181"/>
      <c r="B138" s="210" t="s">
        <v>42</v>
      </c>
      <c r="C138" s="183"/>
      <c r="D138" s="183"/>
      <c r="E138" s="183"/>
      <c r="F138" s="183"/>
      <c r="G138" s="183"/>
      <c r="H138" s="183"/>
      <c r="I138" s="183"/>
      <c r="J138" s="183"/>
      <c r="K138" s="183"/>
      <c r="L138" s="183"/>
      <c r="M138" s="183"/>
      <c r="N138" s="183"/>
      <c r="O138" s="183"/>
      <c r="P138" s="183"/>
      <c r="Q138" s="183"/>
      <c r="R138" s="183"/>
      <c r="S138" s="183"/>
      <c r="T138" s="183"/>
      <c r="U138" s="183"/>
      <c r="V138" s="202"/>
      <c r="W138" s="183"/>
      <c r="X138" s="5"/>
    </row>
    <row r="139" spans="1:24" ht="15.75" x14ac:dyDescent="0.25">
      <c r="A139" s="285"/>
      <c r="B139" s="286" t="s">
        <v>43</v>
      </c>
      <c r="C139" s="286"/>
      <c r="D139" s="286"/>
      <c r="E139" s="286"/>
      <c r="F139" s="286"/>
      <c r="G139" s="286"/>
      <c r="H139" s="286"/>
      <c r="I139" s="286"/>
      <c r="J139" s="286"/>
      <c r="K139" s="286"/>
      <c r="L139" s="286"/>
      <c r="M139" s="286"/>
      <c r="N139" s="286"/>
      <c r="O139" s="286"/>
      <c r="P139" s="286"/>
      <c r="Q139" s="286"/>
      <c r="R139" s="286"/>
      <c r="S139" s="286"/>
      <c r="T139" s="286"/>
      <c r="U139" s="286"/>
      <c r="V139" s="338">
        <f>+V34*0.019</f>
        <v>19021.526999999998</v>
      </c>
      <c r="W139" s="289"/>
      <c r="X139" s="5"/>
    </row>
    <row r="140" spans="1:24" ht="15.75" x14ac:dyDescent="0.25">
      <c r="A140" s="285"/>
      <c r="B140" s="286" t="s">
        <v>44</v>
      </c>
      <c r="C140" s="286"/>
      <c r="D140" s="286"/>
      <c r="E140" s="286"/>
      <c r="F140" s="286"/>
      <c r="G140" s="286"/>
      <c r="H140" s="286"/>
      <c r="I140" s="286"/>
      <c r="J140" s="286"/>
      <c r="K140" s="286"/>
      <c r="L140" s="286"/>
      <c r="M140" s="286"/>
      <c r="N140" s="286"/>
      <c r="O140" s="286"/>
      <c r="P140" s="286"/>
      <c r="Q140" s="286"/>
      <c r="R140" s="286"/>
      <c r="S140" s="286"/>
      <c r="T140" s="286"/>
      <c r="U140" s="286"/>
      <c r="V140" s="338">
        <v>19022</v>
      </c>
      <c r="W140" s="289"/>
      <c r="X140" s="5"/>
    </row>
    <row r="141" spans="1:24" ht="15.75" x14ac:dyDescent="0.25">
      <c r="A141" s="285"/>
      <c r="B141" s="286" t="s">
        <v>136</v>
      </c>
      <c r="C141" s="286"/>
      <c r="D141" s="286"/>
      <c r="E141" s="286"/>
      <c r="F141" s="286"/>
      <c r="G141" s="286"/>
      <c r="H141" s="286"/>
      <c r="I141" s="286"/>
      <c r="J141" s="286"/>
      <c r="K141" s="286"/>
      <c r="L141" s="286"/>
      <c r="M141" s="286"/>
      <c r="N141" s="286"/>
      <c r="O141" s="286"/>
      <c r="P141" s="286"/>
      <c r="Q141" s="286"/>
      <c r="R141" s="286"/>
      <c r="S141" s="286"/>
      <c r="T141" s="286"/>
      <c r="U141" s="286"/>
      <c r="V141" s="338"/>
      <c r="W141" s="289"/>
      <c r="X141" s="5"/>
    </row>
    <row r="142" spans="1:24" ht="15.75" x14ac:dyDescent="0.25">
      <c r="A142" s="285"/>
      <c r="B142" s="286" t="s">
        <v>123</v>
      </c>
      <c r="C142" s="286"/>
      <c r="D142" s="286"/>
      <c r="E142" s="286"/>
      <c r="F142" s="286"/>
      <c r="G142" s="286"/>
      <c r="H142" s="286"/>
      <c r="I142" s="286"/>
      <c r="J142" s="286"/>
      <c r="K142" s="286"/>
      <c r="L142" s="286"/>
      <c r="M142" s="286"/>
      <c r="N142" s="286"/>
      <c r="O142" s="286"/>
      <c r="P142" s="286"/>
      <c r="Q142" s="286"/>
      <c r="R142" s="286"/>
      <c r="S142" s="286"/>
      <c r="T142" s="286"/>
      <c r="U142" s="286"/>
      <c r="V142" s="338">
        <v>0</v>
      </c>
      <c r="W142" s="289"/>
      <c r="X142" s="5"/>
    </row>
    <row r="143" spans="1:24" ht="15.75" x14ac:dyDescent="0.25">
      <c r="A143" s="285"/>
      <c r="B143" s="286" t="s">
        <v>124</v>
      </c>
      <c r="C143" s="286"/>
      <c r="D143" s="286"/>
      <c r="E143" s="286"/>
      <c r="F143" s="286"/>
      <c r="G143" s="286"/>
      <c r="H143" s="286"/>
      <c r="I143" s="286"/>
      <c r="J143" s="286"/>
      <c r="K143" s="286"/>
      <c r="L143" s="286"/>
      <c r="M143" s="286"/>
      <c r="N143" s="286"/>
      <c r="O143" s="286"/>
      <c r="P143" s="286"/>
      <c r="Q143" s="286"/>
      <c r="R143" s="286"/>
      <c r="S143" s="286"/>
      <c r="T143" s="286"/>
      <c r="U143" s="286"/>
      <c r="V143" s="338">
        <v>0</v>
      </c>
      <c r="W143" s="289"/>
      <c r="X143" s="5"/>
    </row>
    <row r="144" spans="1:24" ht="15.75" x14ac:dyDescent="0.25">
      <c r="A144" s="285"/>
      <c r="B144" s="286" t="s">
        <v>175</v>
      </c>
      <c r="C144" s="286"/>
      <c r="D144" s="286"/>
      <c r="E144" s="286"/>
      <c r="F144" s="286"/>
      <c r="G144" s="286"/>
      <c r="H144" s="286"/>
      <c r="I144" s="286"/>
      <c r="J144" s="286"/>
      <c r="K144" s="286"/>
      <c r="L144" s="286"/>
      <c r="M144" s="286"/>
      <c r="N144" s="286"/>
      <c r="O144" s="286"/>
      <c r="P144" s="286"/>
      <c r="Q144" s="286"/>
      <c r="R144" s="286"/>
      <c r="S144" s="286"/>
      <c r="T144" s="286"/>
      <c r="U144" s="286"/>
      <c r="V144" s="338">
        <v>0</v>
      </c>
      <c r="W144" s="289"/>
      <c r="X144" s="5"/>
    </row>
    <row r="145" spans="1:25" ht="15.75" x14ac:dyDescent="0.25">
      <c r="A145" s="285"/>
      <c r="B145" s="286" t="s">
        <v>45</v>
      </c>
      <c r="C145" s="286"/>
      <c r="D145" s="286"/>
      <c r="E145" s="286"/>
      <c r="F145" s="286"/>
      <c r="G145" s="286"/>
      <c r="H145" s="286"/>
      <c r="I145" s="286"/>
      <c r="J145" s="286"/>
      <c r="K145" s="286"/>
      <c r="L145" s="286"/>
      <c r="M145" s="286"/>
      <c r="N145" s="286"/>
      <c r="O145" s="286"/>
      <c r="P145" s="286"/>
      <c r="Q145" s="286"/>
      <c r="R145" s="286"/>
      <c r="S145" s="286"/>
      <c r="T145" s="286"/>
      <c r="U145" s="286"/>
      <c r="V145" s="338">
        <v>0</v>
      </c>
      <c r="W145" s="289"/>
      <c r="X145" s="5"/>
    </row>
    <row r="146" spans="1:25" ht="15.75" x14ac:dyDescent="0.25">
      <c r="A146" s="285"/>
      <c r="B146" s="286" t="s">
        <v>129</v>
      </c>
      <c r="C146" s="286"/>
      <c r="D146" s="286"/>
      <c r="E146" s="286"/>
      <c r="F146" s="286"/>
      <c r="G146" s="286"/>
      <c r="H146" s="286"/>
      <c r="I146" s="286"/>
      <c r="J146" s="286"/>
      <c r="K146" s="286"/>
      <c r="L146" s="286"/>
      <c r="M146" s="286"/>
      <c r="N146" s="286"/>
      <c r="O146" s="286"/>
      <c r="P146" s="286"/>
      <c r="Q146" s="286"/>
      <c r="R146" s="286"/>
      <c r="S146" s="286"/>
      <c r="T146" s="286"/>
      <c r="U146" s="286"/>
      <c r="V146" s="338">
        <v>0</v>
      </c>
      <c r="W146" s="289"/>
      <c r="X146" s="5"/>
    </row>
    <row r="147" spans="1:25" ht="15.75" x14ac:dyDescent="0.25">
      <c r="A147" s="285"/>
      <c r="B147" s="286" t="s">
        <v>241</v>
      </c>
      <c r="C147" s="286"/>
      <c r="D147" s="286"/>
      <c r="E147" s="286"/>
      <c r="F147" s="286"/>
      <c r="G147" s="286"/>
      <c r="H147" s="286"/>
      <c r="I147" s="286"/>
      <c r="J147" s="286"/>
      <c r="K147" s="286"/>
      <c r="L147" s="286"/>
      <c r="M147" s="286"/>
      <c r="N147" s="286"/>
      <c r="O147" s="286"/>
      <c r="P147" s="286"/>
      <c r="Q147" s="286"/>
      <c r="R147" s="286"/>
      <c r="S147" s="286"/>
      <c r="T147" s="286"/>
      <c r="U147" s="286"/>
      <c r="V147" s="338">
        <v>0</v>
      </c>
      <c r="W147" s="289"/>
      <c r="X147" s="5"/>
      <c r="Y147" s="109"/>
    </row>
    <row r="148" spans="1:25" ht="15.75" x14ac:dyDescent="0.25">
      <c r="A148" s="285"/>
      <c r="B148" s="286" t="s">
        <v>46</v>
      </c>
      <c r="C148" s="286"/>
      <c r="D148" s="286"/>
      <c r="E148" s="286"/>
      <c r="F148" s="286"/>
      <c r="G148" s="286"/>
      <c r="H148" s="286"/>
      <c r="I148" s="286"/>
      <c r="J148" s="286"/>
      <c r="K148" s="286"/>
      <c r="L148" s="286"/>
      <c r="M148" s="286"/>
      <c r="N148" s="286"/>
      <c r="O148" s="286"/>
      <c r="P148" s="286"/>
      <c r="Q148" s="286"/>
      <c r="R148" s="286"/>
      <c r="S148" s="286"/>
      <c r="T148" s="286"/>
      <c r="U148" s="286"/>
      <c r="V148" s="338">
        <f>SUM(V140:V147)</f>
        <v>19022</v>
      </c>
      <c r="W148" s="289"/>
      <c r="X148" s="5"/>
    </row>
    <row r="149" spans="1:25" ht="15.75" x14ac:dyDescent="0.25">
      <c r="A149" s="285"/>
      <c r="B149" s="314"/>
      <c r="C149" s="314"/>
      <c r="D149" s="314"/>
      <c r="E149" s="314"/>
      <c r="F149" s="314"/>
      <c r="G149" s="314"/>
      <c r="H149" s="314"/>
      <c r="I149" s="314"/>
      <c r="J149" s="314"/>
      <c r="K149" s="314"/>
      <c r="L149" s="314"/>
      <c r="M149" s="314"/>
      <c r="N149" s="314"/>
      <c r="O149" s="314"/>
      <c r="P149" s="314"/>
      <c r="Q149" s="314"/>
      <c r="R149" s="314"/>
      <c r="S149" s="314"/>
      <c r="T149" s="314"/>
      <c r="U149" s="314"/>
      <c r="V149" s="345"/>
      <c r="W149" s="318"/>
      <c r="X149" s="5"/>
    </row>
    <row r="150" spans="1:25" ht="15.75" x14ac:dyDescent="0.25">
      <c r="A150" s="285"/>
      <c r="B150" s="342" t="s">
        <v>269</v>
      </c>
      <c r="C150" s="314"/>
      <c r="D150" s="314"/>
      <c r="E150" s="314"/>
      <c r="F150" s="314"/>
      <c r="G150" s="314"/>
      <c r="H150" s="314"/>
      <c r="I150" s="314"/>
      <c r="J150" s="314"/>
      <c r="K150" s="314"/>
      <c r="L150" s="314"/>
      <c r="M150" s="314"/>
      <c r="N150" s="314"/>
      <c r="O150" s="314"/>
      <c r="P150" s="314"/>
      <c r="Q150" s="314"/>
      <c r="R150" s="314"/>
      <c r="S150" s="314"/>
      <c r="T150" s="314"/>
      <c r="U150" s="314"/>
      <c r="V150" s="345"/>
      <c r="W150" s="318"/>
      <c r="X150" s="5"/>
    </row>
    <row r="151" spans="1:25" ht="15.75" x14ac:dyDescent="0.25">
      <c r="A151" s="285"/>
      <c r="B151" s="286" t="s">
        <v>155</v>
      </c>
      <c r="C151" s="286"/>
      <c r="D151" s="286"/>
      <c r="E151" s="286"/>
      <c r="F151" s="286"/>
      <c r="G151" s="286"/>
      <c r="H151" s="286"/>
      <c r="I151" s="286"/>
      <c r="J151" s="286"/>
      <c r="K151" s="286"/>
      <c r="L151" s="286"/>
      <c r="M151" s="286"/>
      <c r="N151" s="286"/>
      <c r="O151" s="286"/>
      <c r="P151" s="286"/>
      <c r="Q151" s="286"/>
      <c r="R151" s="286"/>
      <c r="S151" s="286"/>
      <c r="T151" s="286"/>
      <c r="U151" s="286"/>
      <c r="V151" s="338">
        <v>0</v>
      </c>
      <c r="W151" s="289"/>
      <c r="X151" s="5"/>
    </row>
    <row r="152" spans="1:25" ht="15.75" x14ac:dyDescent="0.25">
      <c r="A152" s="285"/>
      <c r="B152" s="286" t="s">
        <v>172</v>
      </c>
      <c r="C152" s="286"/>
      <c r="D152" s="286"/>
      <c r="E152" s="286"/>
      <c r="F152" s="286"/>
      <c r="G152" s="286"/>
      <c r="H152" s="286"/>
      <c r="I152" s="286"/>
      <c r="J152" s="286"/>
      <c r="K152" s="286"/>
      <c r="L152" s="286"/>
      <c r="M152" s="286"/>
      <c r="N152" s="286"/>
      <c r="O152" s="286"/>
      <c r="P152" s="286"/>
      <c r="Q152" s="286"/>
      <c r="R152" s="286"/>
      <c r="S152" s="286"/>
      <c r="T152" s="286"/>
      <c r="U152" s="286"/>
      <c r="V152" s="338">
        <v>0</v>
      </c>
      <c r="W152" s="289"/>
      <c r="X152" s="5"/>
    </row>
    <row r="153" spans="1:25" ht="15.75" x14ac:dyDescent="0.25">
      <c r="A153" s="285"/>
      <c r="B153" s="286" t="s">
        <v>226</v>
      </c>
      <c r="C153" s="286"/>
      <c r="D153" s="286"/>
      <c r="E153" s="286"/>
      <c r="F153" s="286"/>
      <c r="G153" s="286"/>
      <c r="H153" s="286"/>
      <c r="I153" s="286"/>
      <c r="J153" s="286"/>
      <c r="K153" s="286"/>
      <c r="L153" s="286"/>
      <c r="M153" s="286"/>
      <c r="N153" s="286"/>
      <c r="O153" s="286"/>
      <c r="P153" s="286"/>
      <c r="Q153" s="286"/>
      <c r="R153" s="286"/>
      <c r="S153" s="286"/>
      <c r="T153" s="286"/>
      <c r="U153" s="286"/>
      <c r="V153" s="338">
        <v>0</v>
      </c>
      <c r="W153" s="289"/>
      <c r="X153" s="5"/>
    </row>
    <row r="154" spans="1:25" ht="15.75" x14ac:dyDescent="0.25">
      <c r="A154" s="285"/>
      <c r="B154" s="314"/>
      <c r="C154" s="314"/>
      <c r="D154" s="314"/>
      <c r="E154" s="314"/>
      <c r="F154" s="314"/>
      <c r="G154" s="314"/>
      <c r="H154" s="314"/>
      <c r="I154" s="314"/>
      <c r="J154" s="314"/>
      <c r="K154" s="314"/>
      <c r="L154" s="314"/>
      <c r="M154" s="314"/>
      <c r="N154" s="314"/>
      <c r="O154" s="314"/>
      <c r="P154" s="314"/>
      <c r="Q154" s="314"/>
      <c r="R154" s="314"/>
      <c r="S154" s="314"/>
      <c r="T154" s="314"/>
      <c r="U154" s="314"/>
      <c r="V154" s="345"/>
      <c r="W154" s="318"/>
      <c r="X154" s="5"/>
    </row>
    <row r="155" spans="1:25" ht="15.75" x14ac:dyDescent="0.25">
      <c r="A155" s="181"/>
      <c r="B155" s="212"/>
      <c r="C155" s="212"/>
      <c r="D155" s="212"/>
      <c r="E155" s="212"/>
      <c r="F155" s="212"/>
      <c r="G155" s="212"/>
      <c r="H155" s="212"/>
      <c r="I155" s="212"/>
      <c r="J155" s="212"/>
      <c r="K155" s="212"/>
      <c r="L155" s="212"/>
      <c r="M155" s="212"/>
      <c r="N155" s="212"/>
      <c r="O155" s="212"/>
      <c r="P155" s="212"/>
      <c r="Q155" s="212"/>
      <c r="R155" s="212"/>
      <c r="S155" s="212"/>
      <c r="T155" s="212"/>
      <c r="U155" s="212"/>
      <c r="V155" s="344"/>
      <c r="W155" s="212"/>
      <c r="X155" s="5"/>
    </row>
    <row r="156" spans="1:25" ht="15.75" x14ac:dyDescent="0.25">
      <c r="A156" s="181"/>
      <c r="B156" s="210" t="s">
        <v>24</v>
      </c>
      <c r="C156" s="183"/>
      <c r="D156" s="183"/>
      <c r="E156" s="183"/>
      <c r="F156" s="183"/>
      <c r="G156" s="183"/>
      <c r="H156" s="183"/>
      <c r="I156" s="183"/>
      <c r="J156" s="183"/>
      <c r="K156" s="183"/>
      <c r="L156" s="183"/>
      <c r="M156" s="183"/>
      <c r="N156" s="183"/>
      <c r="O156" s="183"/>
      <c r="P156" s="183"/>
      <c r="Q156" s="183"/>
      <c r="R156" s="183"/>
      <c r="S156" s="183"/>
      <c r="T156" s="183"/>
      <c r="U156" s="183"/>
      <c r="V156" s="202"/>
      <c r="W156" s="183"/>
      <c r="X156" s="5"/>
    </row>
    <row r="157" spans="1:25" ht="15.75" x14ac:dyDescent="0.25">
      <c r="A157" s="285"/>
      <c r="B157" s="286" t="s">
        <v>47</v>
      </c>
      <c r="C157" s="286"/>
      <c r="D157" s="286"/>
      <c r="E157" s="286"/>
      <c r="F157" s="286"/>
      <c r="G157" s="286"/>
      <c r="H157" s="286"/>
      <c r="I157" s="286"/>
      <c r="J157" s="286"/>
      <c r="K157" s="286"/>
      <c r="L157" s="286"/>
      <c r="M157" s="286"/>
      <c r="N157" s="286"/>
      <c r="O157" s="286"/>
      <c r="P157" s="286"/>
      <c r="Q157" s="286"/>
      <c r="R157" s="286"/>
      <c r="S157" s="286"/>
      <c r="T157" s="286"/>
      <c r="U157" s="286"/>
      <c r="V157" s="343" t="s">
        <v>118</v>
      </c>
      <c r="W157" s="318"/>
      <c r="X157" s="5"/>
    </row>
    <row r="158" spans="1:25" ht="15.75" x14ac:dyDescent="0.25">
      <c r="A158" s="285"/>
      <c r="B158" s="286" t="s">
        <v>48</v>
      </c>
      <c r="C158" s="288"/>
      <c r="D158" s="288"/>
      <c r="E158" s="288"/>
      <c r="F158" s="288"/>
      <c r="G158" s="288"/>
      <c r="H158" s="288"/>
      <c r="I158" s="288"/>
      <c r="J158" s="288"/>
      <c r="K158" s="288"/>
      <c r="L158" s="288"/>
      <c r="M158" s="288"/>
      <c r="N158" s="288"/>
      <c r="O158" s="288"/>
      <c r="P158" s="288"/>
      <c r="Q158" s="288"/>
      <c r="R158" s="288"/>
      <c r="S158" s="288"/>
      <c r="T158" s="288"/>
      <c r="U158" s="288"/>
      <c r="V158" s="343" t="s">
        <v>118</v>
      </c>
      <c r="W158" s="318"/>
      <c r="X158" s="5"/>
    </row>
    <row r="159" spans="1:25" ht="15.75" x14ac:dyDescent="0.25">
      <c r="A159" s="285"/>
      <c r="B159" s="286" t="s">
        <v>49</v>
      </c>
      <c r="C159" s="286"/>
      <c r="D159" s="286"/>
      <c r="E159" s="286"/>
      <c r="F159" s="286"/>
      <c r="G159" s="286"/>
      <c r="H159" s="286"/>
      <c r="I159" s="286"/>
      <c r="J159" s="286"/>
      <c r="K159" s="286"/>
      <c r="L159" s="286"/>
      <c r="M159" s="286"/>
      <c r="N159" s="286"/>
      <c r="O159" s="286"/>
      <c r="P159" s="286"/>
      <c r="Q159" s="286"/>
      <c r="R159" s="286"/>
      <c r="S159" s="286"/>
      <c r="T159" s="286"/>
      <c r="U159" s="286"/>
      <c r="V159" s="343" t="s">
        <v>118</v>
      </c>
      <c r="W159" s="318"/>
      <c r="X159" s="5"/>
    </row>
    <row r="160" spans="1:25" ht="15.75" x14ac:dyDescent="0.25">
      <c r="A160" s="285"/>
      <c r="B160" s="286" t="s">
        <v>50</v>
      </c>
      <c r="C160" s="286"/>
      <c r="D160" s="286"/>
      <c r="E160" s="286"/>
      <c r="F160" s="286"/>
      <c r="G160" s="286"/>
      <c r="H160" s="286"/>
      <c r="I160" s="286"/>
      <c r="J160" s="286"/>
      <c r="K160" s="286"/>
      <c r="L160" s="286"/>
      <c r="M160" s="286"/>
      <c r="N160" s="286"/>
      <c r="O160" s="286"/>
      <c r="P160" s="286"/>
      <c r="Q160" s="286"/>
      <c r="R160" s="286"/>
      <c r="S160" s="286"/>
      <c r="T160" s="286"/>
      <c r="U160" s="286"/>
      <c r="V160" s="343" t="s">
        <v>118</v>
      </c>
      <c r="W160" s="318"/>
      <c r="X160" s="5"/>
    </row>
    <row r="161" spans="1:256" ht="15.75" x14ac:dyDescent="0.25">
      <c r="A161" s="181"/>
      <c r="B161" s="212"/>
      <c r="C161" s="212"/>
      <c r="D161" s="212"/>
      <c r="E161" s="212"/>
      <c r="F161" s="212"/>
      <c r="G161" s="212"/>
      <c r="H161" s="212"/>
      <c r="I161" s="212"/>
      <c r="J161" s="212"/>
      <c r="K161" s="212"/>
      <c r="L161" s="212"/>
      <c r="M161" s="212"/>
      <c r="N161" s="212"/>
      <c r="O161" s="212"/>
      <c r="P161" s="212"/>
      <c r="Q161" s="212"/>
      <c r="R161" s="212"/>
      <c r="S161" s="212"/>
      <c r="T161" s="212"/>
      <c r="U161" s="212"/>
      <c r="V161" s="344"/>
      <c r="W161" s="212"/>
      <c r="X161" s="5"/>
    </row>
    <row r="162" spans="1:256" ht="15.75" x14ac:dyDescent="0.25">
      <c r="A162" s="181"/>
      <c r="B162" s="210" t="s">
        <v>51</v>
      </c>
      <c r="C162" s="183"/>
      <c r="D162" s="183"/>
      <c r="E162" s="183"/>
      <c r="F162" s="183"/>
      <c r="G162" s="183"/>
      <c r="H162" s="183"/>
      <c r="I162" s="183"/>
      <c r="J162" s="183"/>
      <c r="K162" s="183"/>
      <c r="L162" s="183"/>
      <c r="M162" s="183"/>
      <c r="N162" s="183"/>
      <c r="O162" s="183"/>
      <c r="P162" s="183"/>
      <c r="Q162" s="183"/>
      <c r="R162" s="183"/>
      <c r="S162" s="183"/>
      <c r="T162" s="183"/>
      <c r="U162" s="183"/>
      <c r="V162" s="211"/>
      <c r="W162" s="183"/>
      <c r="X162" s="5"/>
    </row>
    <row r="163" spans="1:256" ht="15.75" x14ac:dyDescent="0.25">
      <c r="A163" s="285"/>
      <c r="B163" s="286" t="s">
        <v>52</v>
      </c>
      <c r="C163" s="286"/>
      <c r="D163" s="286"/>
      <c r="E163" s="286"/>
      <c r="F163" s="286"/>
      <c r="G163" s="286"/>
      <c r="H163" s="286"/>
      <c r="I163" s="286"/>
      <c r="J163" s="286"/>
      <c r="K163" s="286"/>
      <c r="L163" s="286"/>
      <c r="M163" s="286"/>
      <c r="N163" s="286"/>
      <c r="O163" s="286"/>
      <c r="P163" s="286"/>
      <c r="Q163" s="286"/>
      <c r="R163" s="286"/>
      <c r="S163" s="286"/>
      <c r="T163" s="286"/>
      <c r="U163" s="286"/>
      <c r="V163" s="338">
        <v>0</v>
      </c>
      <c r="W163" s="289"/>
      <c r="X163" s="5"/>
    </row>
    <row r="164" spans="1:256" ht="15.75" x14ac:dyDescent="0.25">
      <c r="A164" s="285"/>
      <c r="B164" s="286" t="s">
        <v>53</v>
      </c>
      <c r="C164" s="286"/>
      <c r="D164" s="286"/>
      <c r="E164" s="286"/>
      <c r="F164" s="286"/>
      <c r="G164" s="286"/>
      <c r="H164" s="286"/>
      <c r="I164" s="286"/>
      <c r="J164" s="286"/>
      <c r="K164" s="286"/>
      <c r="L164" s="286"/>
      <c r="M164" s="286"/>
      <c r="N164" s="286"/>
      <c r="O164" s="286"/>
      <c r="P164" s="286"/>
      <c r="Q164" s="286"/>
      <c r="R164" s="286"/>
      <c r="S164" s="286"/>
      <c r="T164" s="286"/>
      <c r="U164" s="286"/>
      <c r="V164" s="338">
        <v>455</v>
      </c>
      <c r="W164" s="289"/>
      <c r="X164" s="5"/>
    </row>
    <row r="165" spans="1:256" ht="15.75" x14ac:dyDescent="0.25">
      <c r="A165" s="285"/>
      <c r="B165" s="286" t="s">
        <v>54</v>
      </c>
      <c r="C165" s="286"/>
      <c r="D165" s="286"/>
      <c r="E165" s="286"/>
      <c r="F165" s="286"/>
      <c r="G165" s="286"/>
      <c r="H165" s="286"/>
      <c r="I165" s="286"/>
      <c r="J165" s="286"/>
      <c r="K165" s="286"/>
      <c r="L165" s="286"/>
      <c r="M165" s="286"/>
      <c r="N165" s="286"/>
      <c r="O165" s="286"/>
      <c r="P165" s="286"/>
      <c r="Q165" s="286"/>
      <c r="R165" s="286"/>
      <c r="S165" s="286"/>
      <c r="T165" s="286"/>
      <c r="U165" s="286"/>
      <c r="V165" s="338">
        <f>V164+V163</f>
        <v>455</v>
      </c>
      <c r="W165" s="289"/>
      <c r="X165" s="5"/>
    </row>
    <row r="166" spans="1:256" ht="15.75" x14ac:dyDescent="0.25">
      <c r="A166" s="285"/>
      <c r="B166" s="286" t="s">
        <v>303</v>
      </c>
      <c r="C166" s="286"/>
      <c r="D166" s="286"/>
      <c r="E166" s="286"/>
      <c r="F166" s="286"/>
      <c r="G166" s="286"/>
      <c r="H166" s="286"/>
      <c r="I166" s="286"/>
      <c r="J166" s="286"/>
      <c r="K166" s="286"/>
      <c r="L166" s="286"/>
      <c r="M166" s="286"/>
      <c r="N166" s="286"/>
      <c r="O166" s="286"/>
      <c r="P166" s="286"/>
      <c r="Q166" s="286"/>
      <c r="R166" s="286"/>
      <c r="S166" s="286"/>
      <c r="T166" s="286"/>
      <c r="U166" s="286"/>
      <c r="V166" s="338">
        <f>V114</f>
        <v>-455</v>
      </c>
      <c r="W166" s="289"/>
      <c r="X166" s="5"/>
    </row>
    <row r="167" spans="1:256" ht="15.75" x14ac:dyDescent="0.25">
      <c r="A167" s="285"/>
      <c r="B167" s="286" t="s">
        <v>55</v>
      </c>
      <c r="C167" s="286"/>
      <c r="D167" s="286"/>
      <c r="E167" s="286"/>
      <c r="F167" s="286"/>
      <c r="G167" s="286"/>
      <c r="H167" s="286"/>
      <c r="I167" s="286"/>
      <c r="J167" s="286"/>
      <c r="K167" s="286"/>
      <c r="L167" s="286"/>
      <c r="M167" s="286"/>
      <c r="N167" s="286"/>
      <c r="O167" s="286"/>
      <c r="P167" s="286"/>
      <c r="Q167" s="286"/>
      <c r="R167" s="286"/>
      <c r="S167" s="286"/>
      <c r="T167" s="286"/>
      <c r="U167" s="286"/>
      <c r="V167" s="338">
        <f>V165+V166</f>
        <v>0</v>
      </c>
      <c r="W167" s="289"/>
      <c r="X167" s="5"/>
    </row>
    <row r="168" spans="1:256" ht="15.75" x14ac:dyDescent="0.25">
      <c r="A168" s="285"/>
      <c r="B168" s="286" t="s">
        <v>274</v>
      </c>
      <c r="C168" s="286"/>
      <c r="D168" s="286"/>
      <c r="E168" s="286"/>
      <c r="F168" s="286"/>
      <c r="G168" s="286"/>
      <c r="H168" s="286"/>
      <c r="I168" s="286"/>
      <c r="J168" s="286"/>
      <c r="K168" s="286"/>
      <c r="L168" s="286"/>
      <c r="M168" s="286"/>
      <c r="N168" s="286"/>
      <c r="O168" s="286"/>
      <c r="P168" s="286"/>
      <c r="Q168" s="286"/>
      <c r="R168" s="286"/>
      <c r="S168" s="286"/>
      <c r="T168" s="286"/>
      <c r="U168" s="286"/>
      <c r="V168" s="338">
        <v>0</v>
      </c>
      <c r="W168" s="289"/>
      <c r="X168" s="5"/>
    </row>
    <row r="169" spans="1:256" ht="16.5" thickBot="1" x14ac:dyDescent="0.3">
      <c r="A169" s="181"/>
      <c r="B169" s="212"/>
      <c r="C169" s="212"/>
      <c r="D169" s="212"/>
      <c r="E169" s="212"/>
      <c r="F169" s="212"/>
      <c r="G169" s="212"/>
      <c r="H169" s="212"/>
      <c r="I169" s="212"/>
      <c r="J169" s="212"/>
      <c r="K169" s="212"/>
      <c r="L169" s="212"/>
      <c r="M169" s="212"/>
      <c r="N169" s="212"/>
      <c r="O169" s="212"/>
      <c r="P169" s="212"/>
      <c r="Q169" s="212"/>
      <c r="R169" s="212"/>
      <c r="S169" s="212"/>
      <c r="T169" s="212"/>
      <c r="U169" s="212"/>
      <c r="V169" s="344"/>
      <c r="W169" s="212"/>
      <c r="X169" s="5"/>
    </row>
    <row r="170" spans="1:256" ht="15.75" x14ac:dyDescent="0.25">
      <c r="A170" s="179"/>
      <c r="B170" s="180"/>
      <c r="C170" s="180"/>
      <c r="D170" s="180"/>
      <c r="E170" s="180"/>
      <c r="F170" s="180"/>
      <c r="G170" s="180"/>
      <c r="H170" s="180"/>
      <c r="I170" s="180"/>
      <c r="J170" s="180"/>
      <c r="K170" s="180"/>
      <c r="L170" s="180"/>
      <c r="M170" s="180"/>
      <c r="N170" s="180"/>
      <c r="O170" s="180"/>
      <c r="P170" s="180"/>
      <c r="Q170" s="180"/>
      <c r="R170" s="180"/>
      <c r="S170" s="180"/>
      <c r="T170" s="180"/>
      <c r="U170" s="180"/>
      <c r="V170" s="201"/>
      <c r="W170" s="180"/>
      <c r="X170" s="5"/>
    </row>
    <row r="171" spans="1:256" s="158" customFormat="1" ht="15.75" x14ac:dyDescent="0.25">
      <c r="A171" s="181"/>
      <c r="B171" s="210" t="s">
        <v>230</v>
      </c>
      <c r="C171" s="212"/>
      <c r="D171" s="212"/>
      <c r="E171" s="212"/>
      <c r="F171" s="212"/>
      <c r="G171" s="212"/>
      <c r="H171" s="212"/>
      <c r="I171" s="212"/>
      <c r="J171" s="212"/>
      <c r="K171" s="212"/>
      <c r="L171" s="212"/>
      <c r="M171" s="212"/>
      <c r="N171" s="212"/>
      <c r="O171" s="212"/>
      <c r="P171" s="212"/>
      <c r="Q171" s="212"/>
      <c r="R171" s="212"/>
      <c r="S171" s="212"/>
      <c r="T171" s="212"/>
      <c r="U171" s="212"/>
      <c r="V171" s="213"/>
      <c r="W171" s="212"/>
      <c r="X171" s="5"/>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s="160" customFormat="1" ht="15.75" x14ac:dyDescent="0.25">
      <c r="A172" s="285"/>
      <c r="B172" s="286" t="s">
        <v>231</v>
      </c>
      <c r="C172" s="286"/>
      <c r="D172" s="286"/>
      <c r="E172" s="286"/>
      <c r="F172" s="286"/>
      <c r="G172" s="286"/>
      <c r="H172" s="286"/>
      <c r="I172" s="286"/>
      <c r="J172" s="286"/>
      <c r="K172" s="286"/>
      <c r="L172" s="286"/>
      <c r="M172" s="286"/>
      <c r="N172" s="286"/>
      <c r="O172" s="286"/>
      <c r="P172" s="286"/>
      <c r="Q172" s="286"/>
      <c r="R172" s="286"/>
      <c r="S172" s="286"/>
      <c r="T172" s="286"/>
      <c r="U172" s="286"/>
      <c r="V172" s="338">
        <f>+'Aug 08'!V173</f>
        <v>0</v>
      </c>
      <c r="W172" s="289"/>
      <c r="X172" s="5"/>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s="160" customFormat="1" ht="15.75" x14ac:dyDescent="0.25">
      <c r="A173" s="285"/>
      <c r="B173" s="286" t="s">
        <v>234</v>
      </c>
      <c r="C173" s="286"/>
      <c r="D173" s="286"/>
      <c r="E173" s="286"/>
      <c r="F173" s="286"/>
      <c r="G173" s="286"/>
      <c r="H173" s="286"/>
      <c r="I173" s="286"/>
      <c r="J173" s="286"/>
      <c r="K173" s="286"/>
      <c r="L173" s="286"/>
      <c r="M173" s="286"/>
      <c r="N173" s="286"/>
      <c r="O173" s="286"/>
      <c r="P173" s="286"/>
      <c r="Q173" s="286"/>
      <c r="R173" s="286"/>
      <c r="S173" s="286"/>
      <c r="T173" s="286"/>
      <c r="U173" s="286"/>
      <c r="V173" s="338">
        <f>+V94</f>
        <v>0</v>
      </c>
      <c r="W173" s="289"/>
      <c r="X173" s="5"/>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s="160" customFormat="1" ht="15.75" x14ac:dyDescent="0.25">
      <c r="A174" s="285"/>
      <c r="B174" s="286" t="s">
        <v>232</v>
      </c>
      <c r="C174" s="286"/>
      <c r="D174" s="286"/>
      <c r="E174" s="286"/>
      <c r="F174" s="286"/>
      <c r="G174" s="286"/>
      <c r="H174" s="286"/>
      <c r="I174" s="286"/>
      <c r="J174" s="286"/>
      <c r="K174" s="286"/>
      <c r="L174" s="286"/>
      <c r="M174" s="286"/>
      <c r="N174" s="286"/>
      <c r="O174" s="286"/>
      <c r="P174" s="286"/>
      <c r="Q174" s="286"/>
      <c r="R174" s="286"/>
      <c r="S174" s="286"/>
      <c r="T174" s="286"/>
      <c r="U174" s="286"/>
      <c r="V174" s="338">
        <f>+V172-V173</f>
        <v>0</v>
      </c>
      <c r="W174" s="289"/>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6.5" thickBot="1" x14ac:dyDescent="0.3">
      <c r="A175" s="197"/>
      <c r="B175" s="212"/>
      <c r="C175" s="212"/>
      <c r="D175" s="212"/>
      <c r="E175" s="212"/>
      <c r="F175" s="212"/>
      <c r="G175" s="212"/>
      <c r="H175" s="212"/>
      <c r="I175" s="212"/>
      <c r="J175" s="212"/>
      <c r="K175" s="212"/>
      <c r="L175" s="212"/>
      <c r="M175" s="212"/>
      <c r="N175" s="212"/>
      <c r="O175" s="212"/>
      <c r="P175" s="212"/>
      <c r="Q175" s="212"/>
      <c r="R175" s="212"/>
      <c r="S175" s="212"/>
      <c r="T175" s="212"/>
      <c r="U175" s="212"/>
      <c r="V175" s="344"/>
      <c r="W175" s="212"/>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4" customFormat="1" ht="15.75" x14ac:dyDescent="0.25">
      <c r="A176" s="179"/>
      <c r="B176" s="180"/>
      <c r="C176" s="180"/>
      <c r="D176" s="180"/>
      <c r="E176" s="180"/>
      <c r="F176" s="180"/>
      <c r="G176" s="180"/>
      <c r="H176" s="180"/>
      <c r="I176" s="180"/>
      <c r="J176" s="180"/>
      <c r="K176" s="180"/>
      <c r="L176" s="180"/>
      <c r="M176" s="180"/>
      <c r="N176" s="180"/>
      <c r="O176" s="180"/>
      <c r="P176" s="180"/>
      <c r="Q176" s="180"/>
      <c r="R176" s="180"/>
      <c r="S176" s="180"/>
      <c r="T176" s="180"/>
      <c r="U176" s="180"/>
      <c r="V176" s="201"/>
      <c r="W176" s="180"/>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4" ht="15.75" x14ac:dyDescent="0.25">
      <c r="A177" s="181"/>
      <c r="B177" s="210" t="s">
        <v>56</v>
      </c>
      <c r="C177" s="183"/>
      <c r="D177" s="183"/>
      <c r="E177" s="183"/>
      <c r="F177" s="183"/>
      <c r="G177" s="183"/>
      <c r="H177" s="183"/>
      <c r="I177" s="183"/>
      <c r="J177" s="183"/>
      <c r="K177" s="183"/>
      <c r="L177" s="183"/>
      <c r="M177" s="183"/>
      <c r="N177" s="183"/>
      <c r="O177" s="183"/>
      <c r="P177" s="183"/>
      <c r="Q177" s="183"/>
      <c r="R177" s="183"/>
      <c r="S177" s="183"/>
      <c r="T177" s="183"/>
      <c r="U177" s="183"/>
      <c r="V177" s="202"/>
      <c r="W177" s="183"/>
      <c r="X177" s="5"/>
    </row>
    <row r="178" spans="1:24" ht="15.75" x14ac:dyDescent="0.25">
      <c r="A178" s="181"/>
      <c r="B178" s="191"/>
      <c r="C178" s="183"/>
      <c r="D178" s="183"/>
      <c r="E178" s="183"/>
      <c r="F178" s="183"/>
      <c r="G178" s="183"/>
      <c r="H178" s="183"/>
      <c r="I178" s="183"/>
      <c r="J178" s="183"/>
      <c r="K178" s="183"/>
      <c r="L178" s="183"/>
      <c r="M178" s="183"/>
      <c r="N178" s="183"/>
      <c r="O178" s="183"/>
      <c r="P178" s="183"/>
      <c r="Q178" s="183"/>
      <c r="R178" s="183"/>
      <c r="S178" s="183"/>
      <c r="T178" s="183"/>
      <c r="U178" s="183"/>
      <c r="V178" s="202"/>
      <c r="W178" s="183"/>
      <c r="X178" s="5"/>
    </row>
    <row r="179" spans="1:24" ht="15.75" x14ac:dyDescent="0.25">
      <c r="A179" s="285"/>
      <c r="B179" s="286" t="s">
        <v>57</v>
      </c>
      <c r="C179" s="286"/>
      <c r="D179" s="286"/>
      <c r="E179" s="286"/>
      <c r="F179" s="286"/>
      <c r="G179" s="286"/>
      <c r="H179" s="286"/>
      <c r="I179" s="286"/>
      <c r="J179" s="286"/>
      <c r="K179" s="286"/>
      <c r="L179" s="286"/>
      <c r="M179" s="286"/>
      <c r="N179" s="286"/>
      <c r="O179" s="286"/>
      <c r="P179" s="286"/>
      <c r="Q179" s="286"/>
      <c r="R179" s="286"/>
      <c r="S179" s="286"/>
      <c r="T179" s="286"/>
      <c r="U179" s="286"/>
      <c r="V179" s="338">
        <f>V71</f>
        <v>790007</v>
      </c>
      <c r="W179" s="289"/>
      <c r="X179" s="5"/>
    </row>
    <row r="180" spans="1:24" ht="15.75" x14ac:dyDescent="0.25">
      <c r="A180" s="285"/>
      <c r="B180" s="286" t="s">
        <v>58</v>
      </c>
      <c r="C180" s="286"/>
      <c r="D180" s="286"/>
      <c r="E180" s="286"/>
      <c r="F180" s="286"/>
      <c r="G180" s="286"/>
      <c r="H180" s="286"/>
      <c r="I180" s="286"/>
      <c r="J180" s="286"/>
      <c r="K180" s="286"/>
      <c r="L180" s="286"/>
      <c r="M180" s="286"/>
      <c r="N180" s="286"/>
      <c r="O180" s="286"/>
      <c r="P180" s="286"/>
      <c r="Q180" s="286"/>
      <c r="R180" s="286"/>
      <c r="S180" s="286"/>
      <c r="T180" s="286"/>
      <c r="U180" s="286"/>
      <c r="V180" s="338">
        <f>V84</f>
        <v>790007</v>
      </c>
      <c r="W180" s="289"/>
      <c r="X180" s="5"/>
    </row>
    <row r="181" spans="1:24" ht="16.5" thickBot="1" x14ac:dyDescent="0.3">
      <c r="A181" s="181"/>
      <c r="B181" s="212"/>
      <c r="C181" s="212"/>
      <c r="D181" s="212"/>
      <c r="E181" s="212"/>
      <c r="F181" s="212"/>
      <c r="G181" s="212"/>
      <c r="H181" s="212"/>
      <c r="I181" s="212"/>
      <c r="J181" s="212"/>
      <c r="K181" s="212"/>
      <c r="L181" s="212"/>
      <c r="M181" s="212"/>
      <c r="N181" s="212"/>
      <c r="O181" s="212"/>
      <c r="P181" s="212"/>
      <c r="Q181" s="212"/>
      <c r="R181" s="212"/>
      <c r="S181" s="212"/>
      <c r="T181" s="212"/>
      <c r="U181" s="212"/>
      <c r="V181" s="344"/>
      <c r="W181" s="212"/>
      <c r="X181" s="5"/>
    </row>
    <row r="182" spans="1:24" ht="15.75" x14ac:dyDescent="0.25">
      <c r="A182" s="179"/>
      <c r="B182" s="180"/>
      <c r="C182" s="180"/>
      <c r="D182" s="180"/>
      <c r="E182" s="180"/>
      <c r="F182" s="180"/>
      <c r="G182" s="180"/>
      <c r="H182" s="180"/>
      <c r="I182" s="180"/>
      <c r="J182" s="180"/>
      <c r="K182" s="180"/>
      <c r="L182" s="180"/>
      <c r="M182" s="180"/>
      <c r="N182" s="180"/>
      <c r="O182" s="180"/>
      <c r="P182" s="180"/>
      <c r="Q182" s="180"/>
      <c r="R182" s="180"/>
      <c r="S182" s="180"/>
      <c r="T182" s="180"/>
      <c r="U182" s="180"/>
      <c r="V182" s="201"/>
      <c r="W182" s="180"/>
      <c r="X182" s="5"/>
    </row>
    <row r="183" spans="1:24" ht="15.75" x14ac:dyDescent="0.25">
      <c r="A183" s="181"/>
      <c r="B183" s="210" t="s">
        <v>59</v>
      </c>
      <c r="C183" s="206"/>
      <c r="D183" s="206"/>
      <c r="E183" s="206"/>
      <c r="F183" s="206"/>
      <c r="G183" s="206"/>
      <c r="H183" s="214"/>
      <c r="I183" s="214"/>
      <c r="J183" s="214"/>
      <c r="K183" s="214"/>
      <c r="L183" s="214"/>
      <c r="M183" s="214"/>
      <c r="N183" s="214"/>
      <c r="O183" s="214"/>
      <c r="P183" s="214"/>
      <c r="Q183" s="214"/>
      <c r="R183" s="214"/>
      <c r="S183" s="214" t="s">
        <v>101</v>
      </c>
      <c r="T183" s="214" t="s">
        <v>176</v>
      </c>
      <c r="U183" s="185"/>
      <c r="V183" s="215" t="s">
        <v>114</v>
      </c>
      <c r="W183" s="216"/>
      <c r="X183" s="5"/>
    </row>
    <row r="184" spans="1:24" ht="15.75" x14ac:dyDescent="0.25">
      <c r="A184" s="285"/>
      <c r="B184" s="286" t="s">
        <v>60</v>
      </c>
      <c r="C184" s="286"/>
      <c r="D184" s="286"/>
      <c r="E184" s="286"/>
      <c r="F184" s="286"/>
      <c r="G184" s="286"/>
      <c r="H184" s="286"/>
      <c r="I184" s="286"/>
      <c r="J184" s="286"/>
      <c r="K184" s="286"/>
      <c r="L184" s="286"/>
      <c r="M184" s="286"/>
      <c r="N184" s="286"/>
      <c r="O184" s="286"/>
      <c r="P184" s="286"/>
      <c r="Q184" s="286"/>
      <c r="R184" s="286"/>
      <c r="S184" s="338">
        <f>+V34*0.16</f>
        <v>160181.28</v>
      </c>
      <c r="T184" s="325"/>
      <c r="U184" s="286"/>
      <c r="V184" s="338"/>
      <c r="W184" s="289"/>
      <c r="X184" s="5"/>
    </row>
    <row r="185" spans="1:24" ht="15.75" x14ac:dyDescent="0.25">
      <c r="A185" s="285"/>
      <c r="B185" s="286" t="s">
        <v>61</v>
      </c>
      <c r="C185" s="286"/>
      <c r="D185" s="286"/>
      <c r="E185" s="286"/>
      <c r="F185" s="286"/>
      <c r="G185" s="286"/>
      <c r="H185" s="286"/>
      <c r="I185" s="286"/>
      <c r="J185" s="286"/>
      <c r="K185" s="286"/>
      <c r="L185" s="286"/>
      <c r="M185" s="286"/>
      <c r="N185" s="286"/>
      <c r="O185" s="286"/>
      <c r="P185" s="286"/>
      <c r="Q185" s="286"/>
      <c r="R185" s="286"/>
      <c r="S185" s="338">
        <f>+'Aug 13'!S187</f>
        <v>10972</v>
      </c>
      <c r="T185" s="338">
        <f>+'Aug 13'!T187</f>
        <v>6090</v>
      </c>
      <c r="U185" s="286"/>
      <c r="V185" s="338">
        <f>S185+T185</f>
        <v>17062</v>
      </c>
      <c r="W185" s="289"/>
      <c r="X185" s="5"/>
    </row>
    <row r="186" spans="1:24" ht="15.75" x14ac:dyDescent="0.25">
      <c r="A186" s="285"/>
      <c r="B186" s="286" t="s">
        <v>62</v>
      </c>
      <c r="C186" s="286"/>
      <c r="D186" s="286"/>
      <c r="E186" s="286"/>
      <c r="F186" s="286"/>
      <c r="G186" s="286"/>
      <c r="H186" s="286"/>
      <c r="I186" s="286"/>
      <c r="J186" s="286"/>
      <c r="K186" s="286"/>
      <c r="L186" s="286"/>
      <c r="M186" s="286"/>
      <c r="N186" s="286"/>
      <c r="O186" s="286"/>
      <c r="P186" s="286"/>
      <c r="Q186" s="286"/>
      <c r="R186" s="286"/>
      <c r="S186" s="337">
        <f>19+40</f>
        <v>59</v>
      </c>
      <c r="T186" s="337">
        <v>0</v>
      </c>
      <c r="U186" s="286"/>
      <c r="V186" s="338">
        <f>S186+T186</f>
        <v>59</v>
      </c>
      <c r="W186" s="289"/>
      <c r="X186" s="5"/>
    </row>
    <row r="187" spans="1:24" ht="15.75" x14ac:dyDescent="0.25">
      <c r="A187" s="285"/>
      <c r="B187" s="286" t="s">
        <v>63</v>
      </c>
      <c r="C187" s="286"/>
      <c r="D187" s="286"/>
      <c r="E187" s="286"/>
      <c r="F187" s="286"/>
      <c r="G187" s="286"/>
      <c r="H187" s="286"/>
      <c r="I187" s="286"/>
      <c r="J187" s="286"/>
      <c r="K187" s="286"/>
      <c r="L187" s="286"/>
      <c r="M187" s="286"/>
      <c r="N187" s="286"/>
      <c r="O187" s="286"/>
      <c r="P187" s="286"/>
      <c r="Q187" s="286"/>
      <c r="R187" s="286"/>
      <c r="S187" s="338">
        <f>S185+S186</f>
        <v>11031</v>
      </c>
      <c r="T187" s="338">
        <f>T186+T185</f>
        <v>6090</v>
      </c>
      <c r="U187" s="286"/>
      <c r="V187" s="338">
        <f>S187+T187</f>
        <v>17121</v>
      </c>
      <c r="W187" s="289"/>
      <c r="X187" s="5"/>
    </row>
    <row r="188" spans="1:24" ht="15.75" x14ac:dyDescent="0.25">
      <c r="A188" s="285"/>
      <c r="B188" s="286" t="s">
        <v>64</v>
      </c>
      <c r="C188" s="286"/>
      <c r="D188" s="286"/>
      <c r="E188" s="286"/>
      <c r="F188" s="286"/>
      <c r="G188" s="286"/>
      <c r="H188" s="286"/>
      <c r="I188" s="286"/>
      <c r="J188" s="286"/>
      <c r="K188" s="286"/>
      <c r="L188" s="286"/>
      <c r="M188" s="286"/>
      <c r="N188" s="286"/>
      <c r="O188" s="286"/>
      <c r="P188" s="286"/>
      <c r="Q188" s="286"/>
      <c r="R188" s="286"/>
      <c r="S188" s="338">
        <f>S184-S187-T187</f>
        <v>143060.28</v>
      </c>
      <c r="T188" s="325"/>
      <c r="U188" s="286"/>
      <c r="V188" s="338"/>
      <c r="W188" s="289"/>
      <c r="X188" s="5"/>
    </row>
    <row r="189" spans="1:24" ht="16.5" thickBot="1" x14ac:dyDescent="0.3">
      <c r="A189" s="181"/>
      <c r="B189" s="212"/>
      <c r="C189" s="212"/>
      <c r="D189" s="212"/>
      <c r="E189" s="212"/>
      <c r="F189" s="212"/>
      <c r="G189" s="212"/>
      <c r="H189" s="212"/>
      <c r="I189" s="212"/>
      <c r="J189" s="212"/>
      <c r="K189" s="212"/>
      <c r="L189" s="212"/>
      <c r="M189" s="212"/>
      <c r="N189" s="212"/>
      <c r="O189" s="212"/>
      <c r="P189" s="212"/>
      <c r="Q189" s="212"/>
      <c r="R189" s="212"/>
      <c r="S189" s="212"/>
      <c r="T189" s="212"/>
      <c r="U189" s="212"/>
      <c r="V189" s="344"/>
      <c r="W189" s="212"/>
      <c r="X189" s="5"/>
    </row>
    <row r="190" spans="1:24" ht="15.75" x14ac:dyDescent="0.25">
      <c r="A190" s="179"/>
      <c r="B190" s="180"/>
      <c r="C190" s="180"/>
      <c r="D190" s="180"/>
      <c r="E190" s="180"/>
      <c r="F190" s="180"/>
      <c r="G190" s="180"/>
      <c r="H190" s="180"/>
      <c r="I190" s="180"/>
      <c r="J190" s="180"/>
      <c r="K190" s="180"/>
      <c r="L190" s="180"/>
      <c r="M190" s="180"/>
      <c r="N190" s="180"/>
      <c r="O190" s="180"/>
      <c r="P190" s="180"/>
      <c r="Q190" s="180"/>
      <c r="R190" s="180"/>
      <c r="S190" s="180"/>
      <c r="T190" s="180"/>
      <c r="U190" s="180"/>
      <c r="V190" s="201"/>
      <c r="W190" s="180"/>
      <c r="X190" s="5"/>
    </row>
    <row r="191" spans="1:24" ht="15.75" x14ac:dyDescent="0.25">
      <c r="A191" s="181"/>
      <c r="B191" s="210" t="s">
        <v>65</v>
      </c>
      <c r="C191" s="183"/>
      <c r="D191" s="183"/>
      <c r="E191" s="183"/>
      <c r="F191" s="183"/>
      <c r="G191" s="183"/>
      <c r="H191" s="183"/>
      <c r="I191" s="183"/>
      <c r="J191" s="183"/>
      <c r="K191" s="183"/>
      <c r="L191" s="183"/>
      <c r="M191" s="183"/>
      <c r="N191" s="183"/>
      <c r="O191" s="183"/>
      <c r="P191" s="183"/>
      <c r="Q191" s="183"/>
      <c r="R191" s="183"/>
      <c r="S191" s="183"/>
      <c r="T191" s="183"/>
      <c r="U191" s="183"/>
      <c r="V191" s="217"/>
      <c r="W191" s="183"/>
      <c r="X191" s="5"/>
    </row>
    <row r="192" spans="1:24" ht="15.75" x14ac:dyDescent="0.25">
      <c r="A192" s="285"/>
      <c r="B192" s="286" t="s">
        <v>66</v>
      </c>
      <c r="C192" s="286"/>
      <c r="D192" s="286"/>
      <c r="E192" s="286"/>
      <c r="F192" s="286"/>
      <c r="G192" s="286"/>
      <c r="H192" s="286"/>
      <c r="I192" s="286"/>
      <c r="J192" s="286"/>
      <c r="K192" s="286"/>
      <c r="L192" s="286"/>
      <c r="M192" s="286"/>
      <c r="N192" s="286"/>
      <c r="O192" s="286"/>
      <c r="P192" s="286"/>
      <c r="Q192" s="286"/>
      <c r="R192" s="286"/>
      <c r="S192" s="286"/>
      <c r="T192" s="286"/>
      <c r="U192" s="286"/>
      <c r="V192" s="343">
        <f>(V101+V103+V104+V105+V106)/-(V107+V108)</f>
        <v>4.3377593360995848</v>
      </c>
      <c r="W192" s="289" t="s">
        <v>115</v>
      </c>
      <c r="X192" s="5"/>
    </row>
    <row r="193" spans="1:24" ht="15.75" x14ac:dyDescent="0.25">
      <c r="A193" s="285"/>
      <c r="B193" s="286" t="s">
        <v>67</v>
      </c>
      <c r="C193" s="286"/>
      <c r="D193" s="286"/>
      <c r="E193" s="286"/>
      <c r="F193" s="286"/>
      <c r="G193" s="286"/>
      <c r="H193" s="286"/>
      <c r="I193" s="286"/>
      <c r="J193" s="286"/>
      <c r="K193" s="286"/>
      <c r="L193" s="286"/>
      <c r="M193" s="286"/>
      <c r="N193" s="286"/>
      <c r="O193" s="286"/>
      <c r="P193" s="286"/>
      <c r="Q193" s="286"/>
      <c r="R193" s="286"/>
      <c r="S193" s="286"/>
      <c r="T193" s="286"/>
      <c r="U193" s="286"/>
      <c r="V193" s="347">
        <v>1.88</v>
      </c>
      <c r="W193" s="289" t="s">
        <v>115</v>
      </c>
      <c r="X193" s="5"/>
    </row>
    <row r="194" spans="1:24" ht="15.75" x14ac:dyDescent="0.25">
      <c r="A194" s="285"/>
      <c r="B194" s="286" t="s">
        <v>68</v>
      </c>
      <c r="C194" s="286"/>
      <c r="D194" s="286"/>
      <c r="E194" s="286"/>
      <c r="F194" s="286"/>
      <c r="G194" s="286"/>
      <c r="H194" s="286"/>
      <c r="I194" s="286"/>
      <c r="J194" s="286"/>
      <c r="K194" s="286"/>
      <c r="L194" s="286"/>
      <c r="M194" s="286"/>
      <c r="N194" s="286"/>
      <c r="O194" s="286"/>
      <c r="P194" s="286"/>
      <c r="Q194" s="286"/>
      <c r="R194" s="286"/>
      <c r="S194" s="286"/>
      <c r="T194" s="286"/>
      <c r="U194" s="286"/>
      <c r="V194" s="343">
        <f>(V101+V103+V104+V105+V106+V107+V108)/-(V109+V110)</f>
        <v>19.244019138755981</v>
      </c>
      <c r="W194" s="289" t="s">
        <v>115</v>
      </c>
      <c r="X194" s="5"/>
    </row>
    <row r="195" spans="1:24" ht="15.75" x14ac:dyDescent="0.25">
      <c r="A195" s="285"/>
      <c r="B195" s="286" t="s">
        <v>69</v>
      </c>
      <c r="C195" s="286"/>
      <c r="D195" s="286"/>
      <c r="E195" s="286"/>
      <c r="F195" s="286"/>
      <c r="G195" s="286"/>
      <c r="H195" s="286"/>
      <c r="I195" s="286"/>
      <c r="J195" s="286"/>
      <c r="K195" s="286"/>
      <c r="L195" s="286"/>
      <c r="M195" s="286"/>
      <c r="N195" s="286"/>
      <c r="O195" s="286"/>
      <c r="P195" s="286"/>
      <c r="Q195" s="286"/>
      <c r="R195" s="286"/>
      <c r="S195" s="286"/>
      <c r="T195" s="286"/>
      <c r="U195" s="286"/>
      <c r="V195" s="347">
        <v>8.34</v>
      </c>
      <c r="W195" s="289" t="s">
        <v>115</v>
      </c>
      <c r="X195" s="5"/>
    </row>
    <row r="196" spans="1:24" ht="15.75" x14ac:dyDescent="0.25">
      <c r="A196" s="285"/>
      <c r="B196" s="286" t="s">
        <v>198</v>
      </c>
      <c r="C196" s="286"/>
      <c r="D196" s="286"/>
      <c r="E196" s="286"/>
      <c r="F196" s="286"/>
      <c r="G196" s="286"/>
      <c r="H196" s="286"/>
      <c r="I196" s="286"/>
      <c r="J196" s="286"/>
      <c r="K196" s="286"/>
      <c r="L196" s="286"/>
      <c r="M196" s="286"/>
      <c r="N196" s="286"/>
      <c r="O196" s="286"/>
      <c r="P196" s="286"/>
      <c r="Q196" s="286"/>
      <c r="R196" s="286"/>
      <c r="S196" s="286"/>
      <c r="T196" s="286"/>
      <c r="U196" s="286"/>
      <c r="V196" s="343">
        <f>(V101+V103+V104+V105+V106+V107+V108+V109+V110)/-(V111)</f>
        <v>11.660550458715596</v>
      </c>
      <c r="W196" s="289" t="s">
        <v>115</v>
      </c>
      <c r="X196" s="5"/>
    </row>
    <row r="197" spans="1:24" ht="15.75" x14ac:dyDescent="0.25">
      <c r="A197" s="285"/>
      <c r="B197" s="286" t="s">
        <v>199</v>
      </c>
      <c r="C197" s="286"/>
      <c r="D197" s="286"/>
      <c r="E197" s="286"/>
      <c r="F197" s="286"/>
      <c r="G197" s="286"/>
      <c r="H197" s="286"/>
      <c r="I197" s="286"/>
      <c r="J197" s="286"/>
      <c r="K197" s="286"/>
      <c r="L197" s="286"/>
      <c r="M197" s="286"/>
      <c r="N197" s="286"/>
      <c r="O197" s="286"/>
      <c r="P197" s="286"/>
      <c r="Q197" s="286"/>
      <c r="R197" s="286"/>
      <c r="S197" s="286"/>
      <c r="T197" s="286"/>
      <c r="U197" s="286"/>
      <c r="V197" s="347">
        <v>6.32</v>
      </c>
      <c r="W197" s="289" t="s">
        <v>115</v>
      </c>
      <c r="X197" s="5"/>
    </row>
    <row r="198" spans="1:24" ht="15.75" x14ac:dyDescent="0.25">
      <c r="A198" s="285"/>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9"/>
      <c r="X198" s="5"/>
    </row>
    <row r="199" spans="1:24" ht="15.75" x14ac:dyDescent="0.25">
      <c r="A199" s="181"/>
      <c r="B199" s="346"/>
      <c r="C199" s="346"/>
      <c r="D199" s="346"/>
      <c r="E199" s="346"/>
      <c r="F199" s="346"/>
      <c r="G199" s="346"/>
      <c r="H199" s="346"/>
      <c r="I199" s="346"/>
      <c r="J199" s="346"/>
      <c r="K199" s="346"/>
      <c r="L199" s="346"/>
      <c r="M199" s="346"/>
      <c r="N199" s="346"/>
      <c r="O199" s="346"/>
      <c r="P199" s="346"/>
      <c r="Q199" s="346"/>
      <c r="R199" s="346"/>
      <c r="S199" s="346"/>
      <c r="T199" s="346"/>
      <c r="U199" s="346"/>
      <c r="V199" s="346"/>
      <c r="W199" s="346"/>
      <c r="X199" s="5"/>
    </row>
    <row r="200" spans="1:24" ht="15.75" x14ac:dyDescent="0.25">
      <c r="A200" s="181"/>
      <c r="B200" s="255"/>
      <c r="C200" s="255"/>
      <c r="D200" s="255"/>
      <c r="E200" s="255"/>
      <c r="F200" s="255"/>
      <c r="G200" s="255"/>
      <c r="H200" s="255"/>
      <c r="I200" s="255"/>
      <c r="J200" s="255"/>
      <c r="K200" s="255"/>
      <c r="L200" s="255"/>
      <c r="M200" s="255"/>
      <c r="N200" s="255"/>
      <c r="O200" s="255"/>
      <c r="P200" s="255"/>
      <c r="Q200" s="255"/>
      <c r="R200" s="255"/>
      <c r="S200" s="255"/>
      <c r="T200" s="255"/>
      <c r="U200" s="255"/>
      <c r="V200" s="255"/>
      <c r="W200" s="255"/>
      <c r="X200" s="5"/>
    </row>
    <row r="201" spans="1:24" ht="19.5" thickBot="1" x14ac:dyDescent="0.35">
      <c r="A201" s="197"/>
      <c r="B201" s="270" t="str">
        <f>B135</f>
        <v>PM15 INVESTOR REPORT QUARTER ENDING NOVEMBER 2013</v>
      </c>
      <c r="C201" s="271"/>
      <c r="D201" s="271"/>
      <c r="E201" s="271"/>
      <c r="F201" s="271"/>
      <c r="G201" s="271"/>
      <c r="H201" s="271"/>
      <c r="I201" s="271"/>
      <c r="J201" s="271"/>
      <c r="K201" s="271"/>
      <c r="L201" s="271"/>
      <c r="M201" s="271"/>
      <c r="N201" s="271"/>
      <c r="O201" s="271"/>
      <c r="P201" s="271"/>
      <c r="Q201" s="271"/>
      <c r="R201" s="271"/>
      <c r="S201" s="271"/>
      <c r="T201" s="271"/>
      <c r="U201" s="271"/>
      <c r="V201" s="271"/>
      <c r="W201" s="272"/>
      <c r="X201" s="5"/>
    </row>
    <row r="202" spans="1:24" ht="15.75" x14ac:dyDescent="0.25">
      <c r="A202" s="236"/>
      <c r="B202" s="403" t="s">
        <v>70</v>
      </c>
      <c r="C202" s="404"/>
      <c r="D202" s="404"/>
      <c r="E202" s="404"/>
      <c r="F202" s="404"/>
      <c r="G202" s="405"/>
      <c r="H202" s="405"/>
      <c r="I202" s="405"/>
      <c r="J202" s="405"/>
      <c r="K202" s="405"/>
      <c r="L202" s="405"/>
      <c r="M202" s="405"/>
      <c r="N202" s="405"/>
      <c r="O202" s="405"/>
      <c r="P202" s="405"/>
      <c r="Q202" s="405"/>
      <c r="R202" s="405"/>
      <c r="S202" s="405"/>
      <c r="T202" s="405">
        <v>41607</v>
      </c>
      <c r="U202" s="238"/>
      <c r="V202" s="238"/>
      <c r="W202" s="238"/>
      <c r="X202" s="5"/>
    </row>
    <row r="203" spans="1:24" ht="15.75" x14ac:dyDescent="0.25">
      <c r="A203" s="218"/>
      <c r="B203" s="219"/>
      <c r="C203" s="220"/>
      <c r="D203" s="220"/>
      <c r="E203" s="220"/>
      <c r="F203" s="220"/>
      <c r="G203" s="221"/>
      <c r="H203" s="221"/>
      <c r="I203" s="221"/>
      <c r="J203" s="221"/>
      <c r="K203" s="221"/>
      <c r="L203" s="221"/>
      <c r="M203" s="221"/>
      <c r="N203" s="221"/>
      <c r="O203" s="221"/>
      <c r="P203" s="221"/>
      <c r="Q203" s="221"/>
      <c r="R203" s="221"/>
      <c r="S203" s="221"/>
      <c r="T203" s="221"/>
      <c r="U203" s="183"/>
      <c r="V203" s="183"/>
      <c r="W203" s="183"/>
      <c r="X203" s="5"/>
    </row>
    <row r="204" spans="1:24" ht="15.75" x14ac:dyDescent="0.25">
      <c r="A204" s="350"/>
      <c r="B204" s="286" t="s">
        <v>71</v>
      </c>
      <c r="C204" s="406"/>
      <c r="D204" s="406"/>
      <c r="E204" s="406"/>
      <c r="F204" s="406"/>
      <c r="G204" s="397"/>
      <c r="H204" s="397"/>
      <c r="I204" s="397"/>
      <c r="J204" s="397"/>
      <c r="K204" s="397"/>
      <c r="L204" s="397"/>
      <c r="M204" s="397"/>
      <c r="N204" s="397"/>
      <c r="O204" s="397"/>
      <c r="P204" s="397"/>
      <c r="Q204" s="397"/>
      <c r="R204" s="397"/>
      <c r="S204" s="397"/>
      <c r="T204" s="321">
        <v>5.3830000000000003E-2</v>
      </c>
      <c r="U204" s="286"/>
      <c r="V204" s="286"/>
      <c r="W204" s="289"/>
      <c r="X204" s="5"/>
    </row>
    <row r="205" spans="1:24" ht="15.75" x14ac:dyDescent="0.25">
      <c r="A205" s="350"/>
      <c r="B205" s="286" t="s">
        <v>151</v>
      </c>
      <c r="C205" s="406"/>
      <c r="D205" s="406"/>
      <c r="E205" s="406"/>
      <c r="F205" s="406"/>
      <c r="G205" s="397"/>
      <c r="H205" s="397"/>
      <c r="I205" s="397"/>
      <c r="J205" s="397"/>
      <c r="K205" s="397"/>
      <c r="L205" s="397"/>
      <c r="M205" s="397"/>
      <c r="N205" s="397"/>
      <c r="O205" s="397"/>
      <c r="P205" s="397"/>
      <c r="Q205" s="397"/>
      <c r="R205" s="397"/>
      <c r="S205" s="397"/>
      <c r="T205" s="321">
        <v>6.25E-2</v>
      </c>
      <c r="U205" s="286"/>
      <c r="V205" s="286"/>
      <c r="W205" s="289"/>
      <c r="X205" s="5"/>
    </row>
    <row r="206" spans="1:24" ht="15.75" x14ac:dyDescent="0.25">
      <c r="A206" s="350"/>
      <c r="B206" s="286" t="s">
        <v>72</v>
      </c>
      <c r="C206" s="406"/>
      <c r="D206" s="406"/>
      <c r="E206" s="406"/>
      <c r="F206" s="406"/>
      <c r="G206" s="397"/>
      <c r="H206" s="397"/>
      <c r="I206" s="397"/>
      <c r="J206" s="397"/>
      <c r="K206" s="397"/>
      <c r="L206" s="397"/>
      <c r="M206" s="397"/>
      <c r="N206" s="397"/>
      <c r="O206" s="397"/>
      <c r="P206" s="397"/>
      <c r="Q206" s="397"/>
      <c r="R206" s="397"/>
      <c r="S206" s="397"/>
      <c r="T206" s="321">
        <f>T204-T205</f>
        <v>-8.6699999999999972E-3</v>
      </c>
      <c r="U206" s="286"/>
      <c r="V206" s="286"/>
      <c r="W206" s="289"/>
      <c r="X206" s="5"/>
    </row>
    <row r="207" spans="1:24" ht="15.75" x14ac:dyDescent="0.25">
      <c r="A207" s="350"/>
      <c r="B207" s="286" t="s">
        <v>73</v>
      </c>
      <c r="C207" s="406"/>
      <c r="D207" s="406"/>
      <c r="E207" s="406"/>
      <c r="F207" s="406"/>
      <c r="G207" s="397"/>
      <c r="H207" s="397"/>
      <c r="I207" s="397"/>
      <c r="J207" s="397"/>
      <c r="K207" s="397"/>
      <c r="L207" s="397"/>
      <c r="M207" s="397"/>
      <c r="N207" s="397"/>
      <c r="O207" s="397"/>
      <c r="P207" s="397"/>
      <c r="Q207" s="397"/>
      <c r="R207" s="397"/>
      <c r="S207" s="397"/>
      <c r="T207" s="321">
        <v>2.486E-2</v>
      </c>
      <c r="U207" s="286"/>
      <c r="V207" s="286"/>
      <c r="W207" s="289"/>
      <c r="X207" s="5"/>
    </row>
    <row r="208" spans="1:24" ht="15.75" x14ac:dyDescent="0.25">
      <c r="A208" s="350"/>
      <c r="B208" s="286" t="s">
        <v>218</v>
      </c>
      <c r="C208" s="406"/>
      <c r="D208" s="406"/>
      <c r="E208" s="406"/>
      <c r="F208" s="406"/>
      <c r="G208" s="397"/>
      <c r="H208" s="397"/>
      <c r="I208" s="397"/>
      <c r="J208" s="397"/>
      <c r="K208" s="397"/>
      <c r="L208" s="397"/>
      <c r="M208" s="397"/>
      <c r="N208" s="397"/>
      <c r="O208" s="397"/>
      <c r="P208" s="397"/>
      <c r="Q208" s="397"/>
      <c r="R208" s="397"/>
      <c r="S208" s="397"/>
      <c r="T208" s="321">
        <f>V43</f>
        <v>8.7408797202241286E-3</v>
      </c>
      <c r="U208" s="286"/>
      <c r="V208" s="286"/>
      <c r="W208" s="289"/>
      <c r="X208" s="5"/>
    </row>
    <row r="209" spans="1:24" ht="15.75" x14ac:dyDescent="0.25">
      <c r="A209" s="350"/>
      <c r="B209" s="286" t="s">
        <v>74</v>
      </c>
      <c r="C209" s="406"/>
      <c r="D209" s="406"/>
      <c r="E209" s="406"/>
      <c r="F209" s="406"/>
      <c r="G209" s="397"/>
      <c r="H209" s="397"/>
      <c r="I209" s="397"/>
      <c r="J209" s="397"/>
      <c r="K209" s="397"/>
      <c r="L209" s="397"/>
      <c r="M209" s="397"/>
      <c r="N209" s="397"/>
      <c r="O209" s="397"/>
      <c r="P209" s="397"/>
      <c r="Q209" s="397"/>
      <c r="R209" s="397"/>
      <c r="S209" s="397"/>
      <c r="T209" s="321">
        <f>T207-T208</f>
        <v>1.611912027977587E-2</v>
      </c>
      <c r="U209" s="286"/>
      <c r="V209" s="286"/>
      <c r="W209" s="289"/>
      <c r="X209" s="5"/>
    </row>
    <row r="210" spans="1:24" ht="15.75" x14ac:dyDescent="0.25">
      <c r="A210" s="350"/>
      <c r="B210" s="286" t="s">
        <v>227</v>
      </c>
      <c r="C210" s="406"/>
      <c r="D210" s="406"/>
      <c r="E210" s="406"/>
      <c r="F210" s="406"/>
      <c r="G210" s="397"/>
      <c r="H210" s="397"/>
      <c r="I210" s="397"/>
      <c r="J210" s="397"/>
      <c r="K210" s="397"/>
      <c r="L210" s="397"/>
      <c r="M210" s="397"/>
      <c r="N210" s="397"/>
      <c r="O210" s="397"/>
      <c r="P210" s="397"/>
      <c r="Q210" s="397"/>
      <c r="R210" s="397"/>
      <c r="S210" s="397"/>
      <c r="T210" s="321">
        <f>V101/N71</f>
        <v>7.1654285918260757E-3</v>
      </c>
      <c r="U210" s="286"/>
      <c r="V210" s="286"/>
      <c r="W210" s="289"/>
      <c r="X210" s="5"/>
    </row>
    <row r="211" spans="1:24" ht="15.75" x14ac:dyDescent="0.25">
      <c r="A211" s="350"/>
      <c r="B211" s="286" t="s">
        <v>207</v>
      </c>
      <c r="C211" s="406"/>
      <c r="D211" s="406"/>
      <c r="E211" s="406"/>
      <c r="F211" s="406"/>
      <c r="G211" s="397"/>
      <c r="H211" s="397"/>
      <c r="I211" s="397"/>
      <c r="J211" s="397"/>
      <c r="K211" s="397"/>
      <c r="L211" s="397"/>
      <c r="M211" s="397"/>
      <c r="N211" s="397"/>
      <c r="O211" s="397"/>
      <c r="P211" s="397"/>
      <c r="Q211" s="397"/>
      <c r="R211" s="397"/>
      <c r="S211" s="397"/>
      <c r="T211" s="352">
        <v>51105</v>
      </c>
      <c r="U211" s="286"/>
      <c r="V211" s="286"/>
      <c r="W211" s="289"/>
      <c r="X211" s="5"/>
    </row>
    <row r="212" spans="1:24" ht="15.75" x14ac:dyDescent="0.25">
      <c r="A212" s="350"/>
      <c r="B212" s="286" t="s">
        <v>208</v>
      </c>
      <c r="C212" s="406"/>
      <c r="D212" s="406"/>
      <c r="E212" s="406"/>
      <c r="F212" s="406"/>
      <c r="G212" s="397"/>
      <c r="H212" s="397"/>
      <c r="I212" s="397"/>
      <c r="J212" s="397"/>
      <c r="K212" s="397"/>
      <c r="L212" s="397"/>
      <c r="M212" s="397"/>
      <c r="N212" s="397"/>
      <c r="O212" s="397"/>
      <c r="P212" s="397"/>
      <c r="Q212" s="397"/>
      <c r="R212" s="397"/>
      <c r="S212" s="397"/>
      <c r="T212" s="352">
        <v>51105</v>
      </c>
      <c r="U212" s="286"/>
      <c r="V212" s="286"/>
      <c r="W212" s="289"/>
      <c r="X212" s="5"/>
    </row>
    <row r="213" spans="1:24" ht="15.75" x14ac:dyDescent="0.25">
      <c r="A213" s="350"/>
      <c r="B213" s="286" t="s">
        <v>209</v>
      </c>
      <c r="C213" s="406"/>
      <c r="D213" s="406"/>
      <c r="E213" s="406"/>
      <c r="F213" s="406"/>
      <c r="G213" s="397"/>
      <c r="H213" s="397"/>
      <c r="I213" s="397"/>
      <c r="J213" s="397"/>
      <c r="K213" s="397"/>
      <c r="L213" s="397"/>
      <c r="M213" s="397"/>
      <c r="N213" s="397"/>
      <c r="O213" s="397"/>
      <c r="P213" s="397"/>
      <c r="Q213" s="397"/>
      <c r="R213" s="397"/>
      <c r="S213" s="397"/>
      <c r="T213" s="352">
        <v>51105</v>
      </c>
      <c r="U213" s="286"/>
      <c r="V213" s="286"/>
      <c r="W213" s="289"/>
      <c r="X213" s="5"/>
    </row>
    <row r="214" spans="1:24" ht="15.75" x14ac:dyDescent="0.25">
      <c r="A214" s="350"/>
      <c r="B214" s="286" t="s">
        <v>75</v>
      </c>
      <c r="C214" s="406"/>
      <c r="D214" s="406"/>
      <c r="E214" s="406"/>
      <c r="F214" s="406"/>
      <c r="G214" s="397"/>
      <c r="H214" s="397"/>
      <c r="I214" s="397"/>
      <c r="J214" s="397"/>
      <c r="K214" s="397"/>
      <c r="L214" s="397"/>
      <c r="M214" s="397"/>
      <c r="N214" s="397"/>
      <c r="O214" s="397"/>
      <c r="P214" s="397"/>
      <c r="Q214" s="397"/>
      <c r="R214" s="397"/>
      <c r="S214" s="397"/>
      <c r="T214" s="327">
        <v>21.06</v>
      </c>
      <c r="U214" s="286" t="s">
        <v>110</v>
      </c>
      <c r="V214" s="286"/>
      <c r="W214" s="289"/>
      <c r="X214" s="5"/>
    </row>
    <row r="215" spans="1:24" ht="15.75" x14ac:dyDescent="0.25">
      <c r="A215" s="350"/>
      <c r="B215" s="286" t="s">
        <v>76</v>
      </c>
      <c r="C215" s="406"/>
      <c r="D215" s="406"/>
      <c r="E215" s="406"/>
      <c r="F215" s="406"/>
      <c r="G215" s="397"/>
      <c r="H215" s="397"/>
      <c r="I215" s="397"/>
      <c r="J215" s="397"/>
      <c r="K215" s="397"/>
      <c r="L215" s="397"/>
      <c r="M215" s="397"/>
      <c r="N215" s="397"/>
      <c r="O215" s="397"/>
      <c r="P215" s="397"/>
      <c r="Q215" s="397"/>
      <c r="R215" s="397"/>
      <c r="S215" s="397"/>
      <c r="T215" s="327">
        <v>14.93</v>
      </c>
      <c r="U215" s="286" t="s">
        <v>110</v>
      </c>
      <c r="V215" s="286"/>
      <c r="W215" s="289"/>
      <c r="X215" s="5"/>
    </row>
    <row r="216" spans="1:24" ht="15.75" x14ac:dyDescent="0.25">
      <c r="A216" s="350"/>
      <c r="B216" s="286" t="s">
        <v>77</v>
      </c>
      <c r="C216" s="406"/>
      <c r="D216" s="406"/>
      <c r="E216" s="406"/>
      <c r="F216" s="406"/>
      <c r="G216" s="397"/>
      <c r="H216" s="397"/>
      <c r="I216" s="397"/>
      <c r="J216" s="397"/>
      <c r="K216" s="397"/>
      <c r="L216" s="397"/>
      <c r="M216" s="397"/>
      <c r="N216" s="397"/>
      <c r="O216" s="397"/>
      <c r="P216" s="397"/>
      <c r="Q216" s="397"/>
      <c r="R216" s="397"/>
      <c r="S216" s="397"/>
      <c r="T216" s="321">
        <f>+P68/N68</f>
        <v>1.0608491552659825E-2</v>
      </c>
      <c r="U216" s="286"/>
      <c r="V216" s="286"/>
      <c r="W216" s="289"/>
      <c r="X216" s="5"/>
    </row>
    <row r="217" spans="1:24" ht="15.75" x14ac:dyDescent="0.25">
      <c r="A217" s="350"/>
      <c r="B217" s="286" t="s">
        <v>78</v>
      </c>
      <c r="C217" s="406"/>
      <c r="D217" s="406"/>
      <c r="E217" s="406"/>
      <c r="F217" s="406"/>
      <c r="G217" s="397"/>
      <c r="H217" s="397"/>
      <c r="I217" s="397"/>
      <c r="J217" s="397"/>
      <c r="K217" s="397"/>
      <c r="L217" s="397"/>
      <c r="M217" s="397"/>
      <c r="N217" s="397"/>
      <c r="O217" s="397"/>
      <c r="P217" s="397"/>
      <c r="Q217" s="397"/>
      <c r="R217" s="397"/>
      <c r="S217" s="397"/>
      <c r="T217" s="321">
        <v>3.8600000000000002E-2</v>
      </c>
      <c r="U217" s="286"/>
      <c r="V217" s="286"/>
      <c r="W217" s="289"/>
      <c r="X217" s="5"/>
    </row>
    <row r="218" spans="1:24" ht="15.75" x14ac:dyDescent="0.25">
      <c r="A218" s="218"/>
      <c r="B218" s="348"/>
      <c r="C218" s="348"/>
      <c r="D218" s="348"/>
      <c r="E218" s="348"/>
      <c r="F218" s="348"/>
      <c r="G218" s="212"/>
      <c r="H218" s="212"/>
      <c r="I218" s="212"/>
      <c r="J218" s="212"/>
      <c r="K218" s="212"/>
      <c r="L218" s="212"/>
      <c r="M218" s="212"/>
      <c r="N218" s="212"/>
      <c r="O218" s="212"/>
      <c r="P218" s="212"/>
      <c r="Q218" s="212"/>
      <c r="R218" s="212"/>
      <c r="S218" s="212"/>
      <c r="T218" s="344"/>
      <c r="U218" s="212"/>
      <c r="V218" s="349"/>
      <c r="W218" s="212"/>
      <c r="X218" s="5"/>
    </row>
    <row r="219" spans="1:24" ht="15.75" x14ac:dyDescent="0.25">
      <c r="A219" s="242"/>
      <c r="B219" s="399" t="s">
        <v>79</v>
      </c>
      <c r="C219" s="400"/>
      <c r="D219" s="400"/>
      <c r="E219" s="400"/>
      <c r="F219" s="407"/>
      <c r="G219" s="400"/>
      <c r="H219" s="400"/>
      <c r="I219" s="400"/>
      <c r="J219" s="400"/>
      <c r="K219" s="400"/>
      <c r="L219" s="400"/>
      <c r="M219" s="400"/>
      <c r="N219" s="400"/>
      <c r="O219" s="400"/>
      <c r="P219" s="400"/>
      <c r="Q219" s="400"/>
      <c r="R219" s="400"/>
      <c r="S219" s="400" t="s">
        <v>102</v>
      </c>
      <c r="T219" s="407" t="s">
        <v>108</v>
      </c>
      <c r="U219" s="225"/>
      <c r="V219" s="225"/>
      <c r="W219" s="225"/>
      <c r="X219" s="5"/>
    </row>
    <row r="220" spans="1:24" ht="15.75" x14ac:dyDescent="0.25">
      <c r="A220" s="222"/>
      <c r="B220" s="250" t="s">
        <v>80</v>
      </c>
      <c r="C220" s="249"/>
      <c r="D220" s="249"/>
      <c r="E220" s="249"/>
      <c r="F220" s="250"/>
      <c r="G220" s="250"/>
      <c r="H220" s="268"/>
      <c r="I220" s="268"/>
      <c r="J220" s="268"/>
      <c r="K220" s="268"/>
      <c r="L220" s="268"/>
      <c r="M220" s="268"/>
      <c r="N220" s="268"/>
      <c r="O220" s="268"/>
      <c r="P220" s="268"/>
      <c r="Q220" s="268"/>
      <c r="R220" s="268"/>
      <c r="S220" s="268">
        <v>9</v>
      </c>
      <c r="T220" s="269">
        <v>763</v>
      </c>
      <c r="U220" s="250"/>
      <c r="V220" s="266"/>
      <c r="W220" s="223"/>
      <c r="X220" s="5"/>
    </row>
    <row r="221" spans="1:24" ht="15.75" x14ac:dyDescent="0.25">
      <c r="A221" s="358"/>
      <c r="B221" s="286" t="s">
        <v>145</v>
      </c>
      <c r="C221" s="337"/>
      <c r="D221" s="337"/>
      <c r="E221" s="337"/>
      <c r="F221" s="286"/>
      <c r="G221" s="286"/>
      <c r="H221" s="296"/>
      <c r="I221" s="296"/>
      <c r="J221" s="296"/>
      <c r="K221" s="296"/>
      <c r="L221" s="296"/>
      <c r="M221" s="296"/>
      <c r="N221" s="296"/>
      <c r="O221" s="296"/>
      <c r="P221" s="296"/>
      <c r="Q221" s="296"/>
      <c r="R221" s="296"/>
      <c r="S221" s="359">
        <f>+R273</f>
        <v>114</v>
      </c>
      <c r="T221" s="360">
        <f>+T273</f>
        <v>16292</v>
      </c>
      <c r="U221" s="286"/>
      <c r="V221" s="361"/>
      <c r="W221" s="362"/>
      <c r="X221" s="5"/>
    </row>
    <row r="222" spans="1:24" ht="15.75" x14ac:dyDescent="0.25">
      <c r="A222" s="358"/>
      <c r="B222" s="286" t="s">
        <v>81</v>
      </c>
      <c r="C222" s="337"/>
      <c r="D222" s="337"/>
      <c r="E222" s="337"/>
      <c r="F222" s="286"/>
      <c r="G222" s="286"/>
      <c r="H222" s="296"/>
      <c r="I222" s="296"/>
      <c r="J222" s="296"/>
      <c r="K222" s="296"/>
      <c r="L222" s="296"/>
      <c r="M222" s="296"/>
      <c r="N222" s="296"/>
      <c r="O222" s="296"/>
      <c r="P222" s="296"/>
      <c r="Q222" s="296"/>
      <c r="R222" s="296"/>
      <c r="S222" s="359">
        <f>+R285</f>
        <v>0</v>
      </c>
      <c r="T222" s="360">
        <f>+T285</f>
        <v>0</v>
      </c>
      <c r="U222" s="286"/>
      <c r="V222" s="361"/>
      <c r="W222" s="362"/>
      <c r="X222" s="5"/>
    </row>
    <row r="223" spans="1:24" ht="15.75" x14ac:dyDescent="0.25">
      <c r="A223" s="358"/>
      <c r="B223" s="313" t="s">
        <v>82</v>
      </c>
      <c r="C223" s="363"/>
      <c r="D223" s="363"/>
      <c r="E223" s="363"/>
      <c r="F223" s="314"/>
      <c r="G223" s="314"/>
      <c r="H223" s="314"/>
      <c r="I223" s="314"/>
      <c r="J223" s="314"/>
      <c r="K223" s="314"/>
      <c r="L223" s="314"/>
      <c r="M223" s="314"/>
      <c r="N223" s="314"/>
      <c r="O223" s="314"/>
      <c r="P223" s="314"/>
      <c r="Q223" s="314"/>
      <c r="R223" s="314"/>
      <c r="S223" s="286"/>
      <c r="T223" s="360">
        <v>0</v>
      </c>
      <c r="U223" s="314"/>
      <c r="V223" s="364"/>
      <c r="W223" s="362"/>
      <c r="X223" s="5"/>
    </row>
    <row r="224" spans="1:24" ht="15.75" x14ac:dyDescent="0.25">
      <c r="A224" s="358"/>
      <c r="B224" s="313" t="s">
        <v>228</v>
      </c>
      <c r="C224" s="363"/>
      <c r="D224" s="363"/>
      <c r="E224" s="363"/>
      <c r="F224" s="314"/>
      <c r="G224" s="314"/>
      <c r="H224" s="314"/>
      <c r="I224" s="314"/>
      <c r="J224" s="314"/>
      <c r="K224" s="314"/>
      <c r="L224" s="314"/>
      <c r="M224" s="314"/>
      <c r="N224" s="314"/>
      <c r="O224" s="314"/>
      <c r="P224" s="314"/>
      <c r="Q224" s="314"/>
      <c r="R224" s="314"/>
      <c r="S224" s="286"/>
      <c r="T224" s="360">
        <f>+N81</f>
        <v>0</v>
      </c>
      <c r="U224" s="314"/>
      <c r="V224" s="364"/>
      <c r="W224" s="362"/>
      <c r="X224" s="5"/>
    </row>
    <row r="225" spans="1:24" ht="15.75" x14ac:dyDescent="0.25">
      <c r="A225" s="365"/>
      <c r="B225" s="313" t="s">
        <v>83</v>
      </c>
      <c r="C225" s="366"/>
      <c r="D225" s="366"/>
      <c r="E225" s="366"/>
      <c r="F225" s="366"/>
      <c r="G225" s="314"/>
      <c r="H225" s="314"/>
      <c r="I225" s="314"/>
      <c r="J225" s="314"/>
      <c r="K225" s="314"/>
      <c r="L225" s="314"/>
      <c r="M225" s="314"/>
      <c r="N225" s="314"/>
      <c r="O225" s="314"/>
      <c r="P225" s="314"/>
      <c r="Q225" s="314"/>
      <c r="R225" s="314"/>
      <c r="S225" s="286"/>
      <c r="T225" s="360"/>
      <c r="U225" s="314"/>
      <c r="V225" s="364"/>
      <c r="W225" s="367"/>
      <c r="X225" s="5"/>
    </row>
    <row r="226" spans="1:24" ht="15.75" x14ac:dyDescent="0.25">
      <c r="A226" s="365"/>
      <c r="B226" s="286" t="s">
        <v>84</v>
      </c>
      <c r="C226" s="366"/>
      <c r="D226" s="366"/>
      <c r="E226" s="366"/>
      <c r="F226" s="366"/>
      <c r="G226" s="314"/>
      <c r="H226" s="314"/>
      <c r="I226" s="314"/>
      <c r="J226" s="314"/>
      <c r="K226" s="314"/>
      <c r="L226" s="314"/>
      <c r="M226" s="314"/>
      <c r="N226" s="314"/>
      <c r="O226" s="314"/>
      <c r="P226" s="314"/>
      <c r="Q226" s="314"/>
      <c r="R226" s="314"/>
      <c r="S226" s="296"/>
      <c r="T226" s="360">
        <f>V164</f>
        <v>455</v>
      </c>
      <c r="U226" s="314"/>
      <c r="V226" s="364"/>
      <c r="W226" s="367"/>
      <c r="X226" s="5"/>
    </row>
    <row r="227" spans="1:24" ht="15.75" x14ac:dyDescent="0.25">
      <c r="A227" s="358"/>
      <c r="B227" s="286" t="s">
        <v>85</v>
      </c>
      <c r="C227" s="363"/>
      <c r="D227" s="363"/>
      <c r="E227" s="363"/>
      <c r="F227" s="363"/>
      <c r="G227" s="314"/>
      <c r="H227" s="314"/>
      <c r="I227" s="314"/>
      <c r="J227" s="314"/>
      <c r="K227" s="314"/>
      <c r="L227" s="314"/>
      <c r="M227" s="314"/>
      <c r="N227" s="314"/>
      <c r="O227" s="314"/>
      <c r="P227" s="314"/>
      <c r="Q227" s="314"/>
      <c r="R227" s="314"/>
      <c r="S227" s="296"/>
      <c r="T227" s="360">
        <f>'Aug 13'!T227+T226</f>
        <v>6401</v>
      </c>
      <c r="U227" s="314"/>
      <c r="V227" s="364"/>
      <c r="W227" s="367"/>
      <c r="X227" s="5"/>
    </row>
    <row r="228" spans="1:24" ht="15.75" x14ac:dyDescent="0.25">
      <c r="A228" s="365"/>
      <c r="B228" s="313" t="s">
        <v>285</v>
      </c>
      <c r="C228" s="366"/>
      <c r="D228" s="366"/>
      <c r="E228" s="366"/>
      <c r="F228" s="366"/>
      <c r="G228" s="314"/>
      <c r="H228" s="314"/>
      <c r="I228" s="314"/>
      <c r="J228" s="314"/>
      <c r="K228" s="314"/>
      <c r="L228" s="314"/>
      <c r="M228" s="314"/>
      <c r="N228" s="314"/>
      <c r="O228" s="314"/>
      <c r="P228" s="314"/>
      <c r="Q228" s="314"/>
      <c r="R228" s="314"/>
      <c r="S228" s="296"/>
      <c r="T228" s="360"/>
      <c r="U228" s="314"/>
      <c r="V228" s="364"/>
      <c r="W228" s="367"/>
      <c r="X228" s="5"/>
    </row>
    <row r="229" spans="1:24" ht="15.75" x14ac:dyDescent="0.25">
      <c r="A229" s="365"/>
      <c r="B229" s="286" t="s">
        <v>282</v>
      </c>
      <c r="C229" s="366"/>
      <c r="D229" s="366"/>
      <c r="E229" s="366"/>
      <c r="F229" s="366"/>
      <c r="G229" s="314"/>
      <c r="H229" s="314"/>
      <c r="I229" s="314"/>
      <c r="J229" s="314"/>
      <c r="K229" s="314"/>
      <c r="L229" s="314"/>
      <c r="M229" s="314"/>
      <c r="N229" s="314"/>
      <c r="O229" s="314"/>
      <c r="P229" s="314"/>
      <c r="Q229" s="314"/>
      <c r="R229" s="314"/>
      <c r="S229" s="296">
        <v>0</v>
      </c>
      <c r="T229" s="360">
        <v>0</v>
      </c>
      <c r="U229" s="314"/>
      <c r="V229" s="364"/>
      <c r="W229" s="367"/>
      <c r="X229" s="5"/>
    </row>
    <row r="230" spans="1:24" ht="15.75" x14ac:dyDescent="0.25">
      <c r="A230" s="358"/>
      <c r="B230" s="286" t="s">
        <v>86</v>
      </c>
      <c r="C230" s="368"/>
      <c r="D230" s="368"/>
      <c r="E230" s="368"/>
      <c r="F230" s="369"/>
      <c r="G230" s="314"/>
      <c r="H230" s="314"/>
      <c r="I230" s="314"/>
      <c r="J230" s="314"/>
      <c r="K230" s="314"/>
      <c r="L230" s="314"/>
      <c r="M230" s="314"/>
      <c r="N230" s="314"/>
      <c r="O230" s="314"/>
      <c r="P230" s="314"/>
      <c r="Q230" s="314"/>
      <c r="R230" s="314"/>
      <c r="S230" s="286"/>
      <c r="T230" s="370">
        <v>0</v>
      </c>
      <c r="U230" s="314"/>
      <c r="V230" s="364"/>
      <c r="W230" s="367"/>
      <c r="X230" s="5"/>
    </row>
    <row r="231" spans="1:24" ht="15.75" x14ac:dyDescent="0.25">
      <c r="A231" s="358"/>
      <c r="B231" s="286" t="s">
        <v>87</v>
      </c>
      <c r="C231" s="368"/>
      <c r="D231" s="368"/>
      <c r="E231" s="368"/>
      <c r="F231" s="369"/>
      <c r="G231" s="314"/>
      <c r="H231" s="314"/>
      <c r="I231" s="314"/>
      <c r="J231" s="314"/>
      <c r="K231" s="314"/>
      <c r="L231" s="314"/>
      <c r="M231" s="314"/>
      <c r="N231" s="314"/>
      <c r="O231" s="314"/>
      <c r="P231" s="314"/>
      <c r="Q231" s="314"/>
      <c r="R231" s="314"/>
      <c r="S231" s="286"/>
      <c r="T231" s="370">
        <v>0</v>
      </c>
      <c r="U231" s="314"/>
      <c r="V231" s="364"/>
      <c r="W231" s="367"/>
      <c r="X231" s="5"/>
    </row>
    <row r="232" spans="1:24" ht="15.75" x14ac:dyDescent="0.25">
      <c r="A232" s="358"/>
      <c r="B232" s="313" t="s">
        <v>216</v>
      </c>
      <c r="C232" s="368"/>
      <c r="D232" s="368"/>
      <c r="E232" s="368"/>
      <c r="F232" s="369"/>
      <c r="G232" s="314"/>
      <c r="H232" s="314"/>
      <c r="I232" s="314"/>
      <c r="J232" s="314"/>
      <c r="K232" s="314"/>
      <c r="L232" s="314"/>
      <c r="M232" s="314"/>
      <c r="N232" s="314"/>
      <c r="O232" s="314"/>
      <c r="P232" s="314"/>
      <c r="Q232" s="314"/>
      <c r="R232" s="314"/>
      <c r="S232" s="286"/>
      <c r="T232" s="371"/>
      <c r="U232" s="314"/>
      <c r="V232" s="364"/>
      <c r="W232" s="367"/>
      <c r="X232" s="5"/>
    </row>
    <row r="233" spans="1:24" ht="15.75" x14ac:dyDescent="0.25">
      <c r="A233" s="358"/>
      <c r="B233" s="286" t="s">
        <v>282</v>
      </c>
      <c r="C233" s="368"/>
      <c r="D233" s="368"/>
      <c r="E233" s="368"/>
      <c r="F233" s="369"/>
      <c r="G233" s="314"/>
      <c r="H233" s="314"/>
      <c r="I233" s="314"/>
      <c r="J233" s="314"/>
      <c r="K233" s="314"/>
      <c r="L233" s="314"/>
      <c r="M233" s="314"/>
      <c r="N233" s="314"/>
      <c r="O233" s="314"/>
      <c r="P233" s="314"/>
      <c r="Q233" s="314"/>
      <c r="R233" s="314"/>
      <c r="S233" s="296">
        <v>8</v>
      </c>
      <c r="T233" s="360">
        <v>1280</v>
      </c>
      <c r="U233" s="314"/>
      <c r="V233" s="364"/>
      <c r="W233" s="367"/>
      <c r="X233" s="5"/>
    </row>
    <row r="234" spans="1:24" ht="15.75" x14ac:dyDescent="0.25">
      <c r="A234" s="358"/>
      <c r="B234" s="286" t="s">
        <v>217</v>
      </c>
      <c r="C234" s="368"/>
      <c r="D234" s="368"/>
      <c r="E234" s="368"/>
      <c r="F234" s="369"/>
      <c r="G234" s="314"/>
      <c r="H234" s="314"/>
      <c r="I234" s="314"/>
      <c r="J234" s="314"/>
      <c r="K234" s="314"/>
      <c r="L234" s="314"/>
      <c r="M234" s="314"/>
      <c r="N234" s="314"/>
      <c r="O234" s="314"/>
      <c r="P234" s="314"/>
      <c r="Q234" s="314"/>
      <c r="R234" s="314"/>
      <c r="S234" s="286"/>
      <c r="T234" s="370">
        <v>1.41</v>
      </c>
      <c r="U234" s="314"/>
      <c r="V234" s="364"/>
      <c r="W234" s="367"/>
      <c r="X234" s="5"/>
    </row>
    <row r="235" spans="1:24" ht="15.75" x14ac:dyDescent="0.25">
      <c r="A235" s="358"/>
      <c r="B235" s="366"/>
      <c r="C235" s="368"/>
      <c r="D235" s="368"/>
      <c r="E235" s="368"/>
      <c r="F235" s="369"/>
      <c r="G235" s="314"/>
      <c r="H235" s="314"/>
      <c r="I235" s="314"/>
      <c r="J235" s="314"/>
      <c r="K235" s="314"/>
      <c r="L235" s="314"/>
      <c r="M235" s="314"/>
      <c r="N235" s="314"/>
      <c r="O235" s="314"/>
      <c r="P235" s="314"/>
      <c r="Q235" s="314"/>
      <c r="R235" s="314"/>
      <c r="S235" s="286"/>
      <c r="T235" s="371"/>
      <c r="U235" s="314"/>
      <c r="V235" s="364"/>
      <c r="W235" s="367"/>
      <c r="X235" s="5"/>
    </row>
    <row r="236" spans="1:24" ht="15.75" x14ac:dyDescent="0.25">
      <c r="A236" s="358"/>
      <c r="B236" s="366"/>
      <c r="C236" s="368"/>
      <c r="D236" s="368"/>
      <c r="E236" s="368"/>
      <c r="F236" s="369"/>
      <c r="G236" s="314"/>
      <c r="H236" s="314"/>
      <c r="I236" s="314"/>
      <c r="J236" s="314"/>
      <c r="K236" s="314"/>
      <c r="L236" s="314"/>
      <c r="M236" s="314"/>
      <c r="N236" s="314"/>
      <c r="O236" s="314"/>
      <c r="P236" s="314"/>
      <c r="Q236" s="314"/>
      <c r="R236" s="314"/>
      <c r="S236" s="314"/>
      <c r="T236" s="372"/>
      <c r="U236" s="314"/>
      <c r="V236" s="364"/>
      <c r="W236" s="367"/>
      <c r="X236" s="5"/>
    </row>
    <row r="237" spans="1:24" ht="18.75" x14ac:dyDescent="0.3">
      <c r="A237" s="358"/>
      <c r="B237" s="373" t="s">
        <v>168</v>
      </c>
      <c r="C237" s="368"/>
      <c r="D237" s="368"/>
      <c r="E237" s="368"/>
      <c r="F237" s="369"/>
      <c r="G237" s="314"/>
      <c r="H237" s="314"/>
      <c r="I237" s="314"/>
      <c r="J237" s="314"/>
      <c r="K237" s="314"/>
      <c r="L237" s="314"/>
      <c r="M237" s="314"/>
      <c r="N237" s="314"/>
      <c r="O237" s="314"/>
      <c r="P237" s="374" t="s">
        <v>167</v>
      </c>
      <c r="Q237" s="314"/>
      <c r="R237" s="314"/>
      <c r="S237" s="314"/>
      <c r="T237" s="372"/>
      <c r="U237" s="314"/>
      <c r="V237" s="364"/>
      <c r="W237" s="367"/>
      <c r="X237" s="5"/>
    </row>
    <row r="238" spans="1:24" ht="15.75" x14ac:dyDescent="0.25">
      <c r="A238" s="353"/>
      <c r="B238" s="348"/>
      <c r="C238" s="354"/>
      <c r="D238" s="354"/>
      <c r="E238" s="354"/>
      <c r="F238" s="355"/>
      <c r="G238" s="212"/>
      <c r="H238" s="212"/>
      <c r="I238" s="212"/>
      <c r="J238" s="212"/>
      <c r="K238" s="212"/>
      <c r="L238" s="212"/>
      <c r="M238" s="212"/>
      <c r="N238" s="212"/>
      <c r="O238" s="212"/>
      <c r="P238" s="212"/>
      <c r="Q238" s="212"/>
      <c r="R238" s="212"/>
      <c r="S238" s="212"/>
      <c r="T238" s="356"/>
      <c r="U238" s="212"/>
      <c r="V238" s="349"/>
      <c r="W238" s="357"/>
      <c r="X238" s="5"/>
    </row>
    <row r="239" spans="1:24" ht="15.75" x14ac:dyDescent="0.25">
      <c r="A239" s="224"/>
      <c r="B239" s="399" t="s">
        <v>297</v>
      </c>
      <c r="C239" s="400"/>
      <c r="D239" s="400"/>
      <c r="E239" s="400"/>
      <c r="F239" s="407"/>
      <c r="G239" s="400"/>
      <c r="H239" s="400"/>
      <c r="I239" s="400"/>
      <c r="J239" s="400"/>
      <c r="K239" s="400"/>
      <c r="L239" s="400"/>
      <c r="M239" s="400"/>
      <c r="N239" s="400"/>
      <c r="O239" s="400"/>
      <c r="P239" s="400"/>
      <c r="Q239" s="400"/>
      <c r="R239" s="407" t="s">
        <v>102</v>
      </c>
      <c r="S239" s="400" t="s">
        <v>103</v>
      </c>
      <c r="T239" s="407" t="s">
        <v>109</v>
      </c>
      <c r="U239" s="400" t="s">
        <v>103</v>
      </c>
      <c r="V239" s="225"/>
      <c r="W239" s="399"/>
      <c r="X239" s="5"/>
    </row>
    <row r="240" spans="1:24" ht="15.75" x14ac:dyDescent="0.25">
      <c r="A240" s="193"/>
      <c r="B240" s="249" t="s">
        <v>88</v>
      </c>
      <c r="C240" s="265"/>
      <c r="D240" s="265"/>
      <c r="E240" s="265"/>
      <c r="F240" s="250"/>
      <c r="G240" s="265"/>
      <c r="H240" s="265"/>
      <c r="I240" s="265"/>
      <c r="J240" s="265"/>
      <c r="K240" s="265"/>
      <c r="L240" s="265"/>
      <c r="M240" s="265"/>
      <c r="N240" s="265"/>
      <c r="O240" s="265"/>
      <c r="P240" s="265"/>
      <c r="Q240" s="265"/>
      <c r="R240" s="249">
        <f t="shared" ref="R240:R247" si="1">+R252+R264+R276</f>
        <v>5544</v>
      </c>
      <c r="S240" s="252">
        <f t="shared" ref="S240:S247" si="2">R240/$R$249</f>
        <v>0.99283667621776506</v>
      </c>
      <c r="T240" s="253">
        <f t="shared" ref="T240:T247" si="3">+T252+T264+T276</f>
        <v>784950</v>
      </c>
      <c r="U240" s="252">
        <f t="shared" ref="U240:U247" si="4">T240/$T$249</f>
        <v>0.99359879089678949</v>
      </c>
      <c r="V240" s="266"/>
      <c r="W240" s="408"/>
      <c r="X240" s="5"/>
    </row>
    <row r="241" spans="1:25" ht="15.75" x14ac:dyDescent="0.25">
      <c r="A241" s="285"/>
      <c r="B241" s="337" t="s">
        <v>89</v>
      </c>
      <c r="C241" s="378"/>
      <c r="D241" s="378"/>
      <c r="E241" s="378"/>
      <c r="F241" s="286"/>
      <c r="G241" s="379"/>
      <c r="H241" s="378"/>
      <c r="I241" s="378"/>
      <c r="J241" s="378"/>
      <c r="K241" s="378"/>
      <c r="L241" s="378"/>
      <c r="M241" s="378"/>
      <c r="N241" s="378"/>
      <c r="O241" s="378"/>
      <c r="P241" s="378"/>
      <c r="Q241" s="378"/>
      <c r="R241" s="337">
        <f t="shared" si="1"/>
        <v>11</v>
      </c>
      <c r="S241" s="379">
        <f t="shared" si="2"/>
        <v>1.9699140401146131E-3</v>
      </c>
      <c r="T241" s="338">
        <f t="shared" si="3"/>
        <v>1440</v>
      </c>
      <c r="U241" s="379">
        <f t="shared" si="4"/>
        <v>1.8227686590118822E-3</v>
      </c>
      <c r="V241" s="361"/>
      <c r="W241" s="409"/>
      <c r="X241" s="5"/>
      <c r="Y241" s="109"/>
    </row>
    <row r="242" spans="1:25" ht="15.75" x14ac:dyDescent="0.25">
      <c r="A242" s="285"/>
      <c r="B242" s="337" t="s">
        <v>90</v>
      </c>
      <c r="C242" s="378"/>
      <c r="D242" s="378"/>
      <c r="E242" s="378"/>
      <c r="F242" s="286"/>
      <c r="G242" s="379"/>
      <c r="H242" s="378"/>
      <c r="I242" s="378"/>
      <c r="J242" s="378"/>
      <c r="K242" s="378"/>
      <c r="L242" s="378"/>
      <c r="M242" s="378"/>
      <c r="N242" s="378"/>
      <c r="O242" s="378"/>
      <c r="P242" s="378"/>
      <c r="Q242" s="378"/>
      <c r="R242" s="337">
        <f t="shared" si="1"/>
        <v>4</v>
      </c>
      <c r="S242" s="379">
        <f t="shared" si="2"/>
        <v>7.1633237822349568E-4</v>
      </c>
      <c r="T242" s="338">
        <f t="shared" si="3"/>
        <v>382</v>
      </c>
      <c r="U242" s="379">
        <f t="shared" si="4"/>
        <v>4.8354001926565208E-4</v>
      </c>
      <c r="V242" s="361"/>
      <c r="W242" s="409"/>
      <c r="X242" s="5"/>
    </row>
    <row r="243" spans="1:25" ht="15.75" x14ac:dyDescent="0.25">
      <c r="A243" s="285"/>
      <c r="B243" s="337" t="s">
        <v>156</v>
      </c>
      <c r="C243" s="378"/>
      <c r="D243" s="378"/>
      <c r="E243" s="378"/>
      <c r="F243" s="286"/>
      <c r="G243" s="379"/>
      <c r="H243" s="378"/>
      <c r="I243" s="378"/>
      <c r="J243" s="378"/>
      <c r="K243" s="378"/>
      <c r="L243" s="378"/>
      <c r="M243" s="378"/>
      <c r="N243" s="378"/>
      <c r="O243" s="378"/>
      <c r="P243" s="378"/>
      <c r="Q243" s="378"/>
      <c r="R243" s="337">
        <f t="shared" si="1"/>
        <v>0</v>
      </c>
      <c r="S243" s="379">
        <f t="shared" si="2"/>
        <v>0</v>
      </c>
      <c r="T243" s="338">
        <f t="shared" si="3"/>
        <v>0</v>
      </c>
      <c r="U243" s="379">
        <f t="shared" si="4"/>
        <v>0</v>
      </c>
      <c r="V243" s="361"/>
      <c r="W243" s="409"/>
      <c r="X243" s="5"/>
      <c r="Y243" s="109"/>
    </row>
    <row r="244" spans="1:25" ht="15.75" x14ac:dyDescent="0.25">
      <c r="A244" s="285"/>
      <c r="B244" s="337" t="s">
        <v>157</v>
      </c>
      <c r="C244" s="378"/>
      <c r="D244" s="378"/>
      <c r="E244" s="378"/>
      <c r="F244" s="286"/>
      <c r="G244" s="379"/>
      <c r="H244" s="378"/>
      <c r="I244" s="378"/>
      <c r="J244" s="378"/>
      <c r="K244" s="378"/>
      <c r="L244" s="378"/>
      <c r="M244" s="378"/>
      <c r="N244" s="378"/>
      <c r="O244" s="378"/>
      <c r="P244" s="378"/>
      <c r="Q244" s="378"/>
      <c r="R244" s="337">
        <f t="shared" si="1"/>
        <v>2</v>
      </c>
      <c r="S244" s="379">
        <f t="shared" si="2"/>
        <v>3.5816618911174784E-4</v>
      </c>
      <c r="T244" s="338">
        <f t="shared" si="3"/>
        <v>184</v>
      </c>
      <c r="U244" s="379">
        <f t="shared" si="4"/>
        <v>2.3290932865151827E-4</v>
      </c>
      <c r="V244" s="361"/>
      <c r="W244" s="409"/>
      <c r="X244" s="5"/>
    </row>
    <row r="245" spans="1:25" ht="15.75" x14ac:dyDescent="0.25">
      <c r="A245" s="285"/>
      <c r="B245" s="337" t="s">
        <v>158</v>
      </c>
      <c r="C245" s="378"/>
      <c r="D245" s="378"/>
      <c r="E245" s="378"/>
      <c r="F245" s="286"/>
      <c r="G245" s="379"/>
      <c r="H245" s="378"/>
      <c r="I245" s="378"/>
      <c r="J245" s="378"/>
      <c r="K245" s="378"/>
      <c r="L245" s="378"/>
      <c r="M245" s="378"/>
      <c r="N245" s="378"/>
      <c r="O245" s="378"/>
      <c r="P245" s="378"/>
      <c r="Q245" s="378"/>
      <c r="R245" s="337">
        <f t="shared" si="1"/>
        <v>2</v>
      </c>
      <c r="S245" s="379">
        <f t="shared" si="2"/>
        <v>3.5816618911174784E-4</v>
      </c>
      <c r="T245" s="338">
        <f t="shared" si="3"/>
        <v>317</v>
      </c>
      <c r="U245" s="379">
        <f t="shared" si="4"/>
        <v>4.0126226729636575E-4</v>
      </c>
      <c r="V245" s="361"/>
      <c r="W245" s="409"/>
      <c r="X245" s="5"/>
      <c r="Y245" s="109"/>
    </row>
    <row r="246" spans="1:25" ht="15.75" x14ac:dyDescent="0.25">
      <c r="A246" s="285"/>
      <c r="B246" s="337" t="s">
        <v>159</v>
      </c>
      <c r="C246" s="378"/>
      <c r="D246" s="378"/>
      <c r="E246" s="378"/>
      <c r="F246" s="286"/>
      <c r="G246" s="379"/>
      <c r="H246" s="378"/>
      <c r="I246" s="378"/>
      <c r="J246" s="378"/>
      <c r="K246" s="378"/>
      <c r="L246" s="378"/>
      <c r="M246" s="378"/>
      <c r="N246" s="378"/>
      <c r="O246" s="378"/>
      <c r="P246" s="378"/>
      <c r="Q246" s="378"/>
      <c r="R246" s="337">
        <f t="shared" si="1"/>
        <v>12</v>
      </c>
      <c r="S246" s="379">
        <f t="shared" si="2"/>
        <v>2.1489971346704871E-3</v>
      </c>
      <c r="T246" s="338">
        <f t="shared" si="3"/>
        <v>1350</v>
      </c>
      <c r="U246" s="379">
        <f t="shared" si="4"/>
        <v>1.7088456178236395E-3</v>
      </c>
      <c r="V246" s="361"/>
      <c r="W246" s="409"/>
      <c r="X246" s="5"/>
    </row>
    <row r="247" spans="1:25" ht="15.75" x14ac:dyDescent="0.25">
      <c r="A247" s="285"/>
      <c r="B247" s="337" t="s">
        <v>160</v>
      </c>
      <c r="C247" s="378"/>
      <c r="D247" s="378"/>
      <c r="E247" s="378"/>
      <c r="F247" s="286"/>
      <c r="G247" s="379"/>
      <c r="H247" s="378"/>
      <c r="I247" s="378"/>
      <c r="J247" s="378"/>
      <c r="K247" s="378"/>
      <c r="L247" s="378"/>
      <c r="M247" s="378"/>
      <c r="N247" s="378"/>
      <c r="O247" s="378"/>
      <c r="P247" s="378"/>
      <c r="Q247" s="378"/>
      <c r="R247" s="386">
        <f t="shared" si="1"/>
        <v>9</v>
      </c>
      <c r="S247" s="379">
        <f t="shared" si="2"/>
        <v>1.6117478510028654E-3</v>
      </c>
      <c r="T247" s="383">
        <f t="shared" si="3"/>
        <v>1384</v>
      </c>
      <c r="U247" s="387">
        <f t="shared" si="4"/>
        <v>1.75188321116142E-3</v>
      </c>
      <c r="V247" s="361"/>
      <c r="W247" s="409"/>
      <c r="X247" s="5"/>
      <c r="Y247" s="109"/>
    </row>
    <row r="248" spans="1:25" ht="15.75" x14ac:dyDescent="0.25">
      <c r="A248" s="285"/>
      <c r="B248" s="337"/>
      <c r="C248" s="378"/>
      <c r="D248" s="378"/>
      <c r="E248" s="378"/>
      <c r="F248" s="286"/>
      <c r="G248" s="379"/>
      <c r="H248" s="378"/>
      <c r="I248" s="378"/>
      <c r="J248" s="378"/>
      <c r="K248" s="378"/>
      <c r="L248" s="378"/>
      <c r="M248" s="378"/>
      <c r="N248" s="378"/>
      <c r="O248" s="378"/>
      <c r="P248" s="378"/>
      <c r="Q248" s="378"/>
      <c r="R248" s="337"/>
      <c r="S248" s="379"/>
      <c r="T248" s="338"/>
      <c r="U248" s="379"/>
      <c r="V248" s="361"/>
      <c r="W248" s="409"/>
      <c r="X248" s="5"/>
    </row>
    <row r="249" spans="1:25" ht="15.75" x14ac:dyDescent="0.25">
      <c r="A249" s="285"/>
      <c r="B249" s="286"/>
      <c r="C249" s="286"/>
      <c r="D249" s="286"/>
      <c r="E249" s="286"/>
      <c r="F249" s="286"/>
      <c r="G249" s="286"/>
      <c r="H249" s="381"/>
      <c r="I249" s="381"/>
      <c r="J249" s="381"/>
      <c r="K249" s="381"/>
      <c r="L249" s="381"/>
      <c r="M249" s="381"/>
      <c r="N249" s="381"/>
      <c r="O249" s="381"/>
      <c r="P249" s="381"/>
      <c r="Q249" s="381"/>
      <c r="R249" s="337">
        <f>SUM(R240:R248)</f>
        <v>5584</v>
      </c>
      <c r="S249" s="379">
        <f>SUM(S240:S248)</f>
        <v>1.0000000000000002</v>
      </c>
      <c r="T249" s="338">
        <f>SUM(T240:T248)</f>
        <v>790007</v>
      </c>
      <c r="U249" s="379">
        <f>SUM(U240:U248)</f>
        <v>0.99999999999999989</v>
      </c>
      <c r="V249" s="286"/>
      <c r="W249" s="289"/>
      <c r="X249" s="5"/>
    </row>
    <row r="250" spans="1:25" ht="15.75" x14ac:dyDescent="0.25">
      <c r="A250" s="181"/>
      <c r="B250" s="212"/>
      <c r="C250" s="212"/>
      <c r="D250" s="212"/>
      <c r="E250" s="212"/>
      <c r="F250" s="212"/>
      <c r="G250" s="212"/>
      <c r="H250" s="375"/>
      <c r="I250" s="375"/>
      <c r="J250" s="375"/>
      <c r="K250" s="375"/>
      <c r="L250" s="375"/>
      <c r="M250" s="375"/>
      <c r="N250" s="375"/>
      <c r="O250" s="375"/>
      <c r="P250" s="375"/>
      <c r="Q250" s="375"/>
      <c r="R250" s="335"/>
      <c r="S250" s="376"/>
      <c r="T250" s="377"/>
      <c r="U250" s="376"/>
      <c r="V250" s="212"/>
      <c r="W250" s="212"/>
      <c r="X250" s="5"/>
    </row>
    <row r="251" spans="1:25" ht="15.75" x14ac:dyDescent="0.25">
      <c r="A251" s="224"/>
      <c r="B251" s="399" t="s">
        <v>162</v>
      </c>
      <c r="C251" s="400"/>
      <c r="D251" s="400"/>
      <c r="E251" s="400"/>
      <c r="F251" s="407"/>
      <c r="G251" s="400"/>
      <c r="H251" s="400"/>
      <c r="I251" s="400"/>
      <c r="J251" s="400"/>
      <c r="K251" s="400"/>
      <c r="L251" s="400"/>
      <c r="M251" s="400"/>
      <c r="N251" s="400"/>
      <c r="O251" s="400"/>
      <c r="P251" s="400"/>
      <c r="Q251" s="400"/>
      <c r="R251" s="407" t="s">
        <v>102</v>
      </c>
      <c r="S251" s="400" t="s">
        <v>103</v>
      </c>
      <c r="T251" s="407" t="s">
        <v>109</v>
      </c>
      <c r="U251" s="400" t="s">
        <v>103</v>
      </c>
      <c r="V251" s="225"/>
      <c r="W251" s="399"/>
      <c r="X251" s="5"/>
    </row>
    <row r="252" spans="1:25" ht="15.75" x14ac:dyDescent="0.25">
      <c r="A252" s="193"/>
      <c r="B252" s="249" t="s">
        <v>88</v>
      </c>
      <c r="C252" s="265"/>
      <c r="D252" s="265"/>
      <c r="E252" s="265"/>
      <c r="F252" s="250"/>
      <c r="G252" s="265"/>
      <c r="H252" s="265"/>
      <c r="I252" s="265"/>
      <c r="J252" s="265"/>
      <c r="K252" s="265"/>
      <c r="L252" s="265"/>
      <c r="M252" s="265"/>
      <c r="N252" s="265"/>
      <c r="O252" s="265"/>
      <c r="P252" s="265"/>
      <c r="Q252" s="265"/>
      <c r="R252" s="249">
        <v>5448</v>
      </c>
      <c r="S252" s="252">
        <f t="shared" ref="S252:S259" si="5">R252/$R$261</f>
        <v>0.99597806215722118</v>
      </c>
      <c r="T252" s="253">
        <v>770977</v>
      </c>
      <c r="U252" s="252">
        <f t="shared" ref="U252:U259" si="6">T252/$T$261</f>
        <v>0.99646122926400549</v>
      </c>
      <c r="V252" s="266"/>
      <c r="W252" s="408"/>
      <c r="X252" s="5"/>
    </row>
    <row r="253" spans="1:25" ht="15.75" x14ac:dyDescent="0.25">
      <c r="A253" s="285"/>
      <c r="B253" s="337" t="s">
        <v>89</v>
      </c>
      <c r="C253" s="378"/>
      <c r="D253" s="378"/>
      <c r="E253" s="378"/>
      <c r="F253" s="286"/>
      <c r="G253" s="379"/>
      <c r="H253" s="378"/>
      <c r="I253" s="378"/>
      <c r="J253" s="378"/>
      <c r="K253" s="378"/>
      <c r="L253" s="378"/>
      <c r="M253" s="378"/>
      <c r="N253" s="378"/>
      <c r="O253" s="378"/>
      <c r="P253" s="378"/>
      <c r="Q253" s="378"/>
      <c r="R253" s="337">
        <v>8</v>
      </c>
      <c r="S253" s="379">
        <f t="shared" si="5"/>
        <v>1.4625228519195613E-3</v>
      </c>
      <c r="T253" s="338">
        <v>1216</v>
      </c>
      <c r="U253" s="379">
        <f t="shared" si="6"/>
        <v>1.5716381354891659E-3</v>
      </c>
      <c r="V253" s="361"/>
      <c r="W253" s="409"/>
      <c r="X253" s="5"/>
      <c r="Y253" s="109"/>
    </row>
    <row r="254" spans="1:25" ht="15.75" x14ac:dyDescent="0.25">
      <c r="A254" s="285"/>
      <c r="B254" s="337" t="s">
        <v>90</v>
      </c>
      <c r="C254" s="378"/>
      <c r="D254" s="378"/>
      <c r="E254" s="378"/>
      <c r="F254" s="286"/>
      <c r="G254" s="379"/>
      <c r="H254" s="378"/>
      <c r="I254" s="378"/>
      <c r="J254" s="378"/>
      <c r="K254" s="378"/>
      <c r="L254" s="378"/>
      <c r="M254" s="378"/>
      <c r="N254" s="378"/>
      <c r="O254" s="378"/>
      <c r="P254" s="378"/>
      <c r="Q254" s="378"/>
      <c r="R254" s="337">
        <v>1</v>
      </c>
      <c r="S254" s="379">
        <f t="shared" si="5"/>
        <v>1.8281535648994517E-4</v>
      </c>
      <c r="T254" s="338">
        <v>231</v>
      </c>
      <c r="U254" s="379">
        <f t="shared" si="6"/>
        <v>2.9855954712006361E-4</v>
      </c>
      <c r="V254" s="361"/>
      <c r="W254" s="409"/>
      <c r="X254" s="5"/>
    </row>
    <row r="255" spans="1:25" ht="15.75" x14ac:dyDescent="0.25">
      <c r="A255" s="285"/>
      <c r="B255" s="337" t="s">
        <v>156</v>
      </c>
      <c r="C255" s="378"/>
      <c r="D255" s="378"/>
      <c r="E255" s="378"/>
      <c r="F255" s="286"/>
      <c r="G255" s="379"/>
      <c r="H255" s="378"/>
      <c r="I255" s="378"/>
      <c r="J255" s="378"/>
      <c r="K255" s="378"/>
      <c r="L255" s="378"/>
      <c r="M255" s="378"/>
      <c r="N255" s="378"/>
      <c r="O255" s="378"/>
      <c r="P255" s="378"/>
      <c r="Q255" s="378"/>
      <c r="R255" s="337">
        <v>0</v>
      </c>
      <c r="S255" s="379">
        <f t="shared" si="5"/>
        <v>0</v>
      </c>
      <c r="T255" s="338">
        <v>0</v>
      </c>
      <c r="U255" s="379">
        <f t="shared" si="6"/>
        <v>0</v>
      </c>
      <c r="V255" s="361"/>
      <c r="W255" s="409"/>
      <c r="X255" s="5"/>
      <c r="Y255" s="109"/>
    </row>
    <row r="256" spans="1:25" ht="15.75" x14ac:dyDescent="0.25">
      <c r="A256" s="285"/>
      <c r="B256" s="337" t="s">
        <v>157</v>
      </c>
      <c r="C256" s="378"/>
      <c r="D256" s="378"/>
      <c r="E256" s="378"/>
      <c r="F256" s="286"/>
      <c r="G256" s="379"/>
      <c r="H256" s="378"/>
      <c r="I256" s="378"/>
      <c r="J256" s="378"/>
      <c r="K256" s="378"/>
      <c r="L256" s="378"/>
      <c r="M256" s="378"/>
      <c r="N256" s="378"/>
      <c r="O256" s="378"/>
      <c r="P256" s="378"/>
      <c r="Q256" s="378"/>
      <c r="R256" s="337">
        <v>1</v>
      </c>
      <c r="S256" s="379">
        <f t="shared" si="5"/>
        <v>1.8281535648994517E-4</v>
      </c>
      <c r="T256" s="338">
        <v>63</v>
      </c>
      <c r="U256" s="379">
        <f t="shared" si="6"/>
        <v>8.1425331032744619E-5</v>
      </c>
      <c r="V256" s="361"/>
      <c r="W256" s="409"/>
      <c r="X256" s="5"/>
    </row>
    <row r="257" spans="1:25" ht="15.75" x14ac:dyDescent="0.25">
      <c r="A257" s="285"/>
      <c r="B257" s="337" t="s">
        <v>158</v>
      </c>
      <c r="C257" s="378"/>
      <c r="D257" s="378"/>
      <c r="E257" s="378"/>
      <c r="F257" s="286"/>
      <c r="G257" s="379"/>
      <c r="H257" s="378"/>
      <c r="I257" s="378"/>
      <c r="J257" s="378"/>
      <c r="K257" s="378"/>
      <c r="L257" s="378"/>
      <c r="M257" s="378"/>
      <c r="N257" s="378"/>
      <c r="O257" s="378"/>
      <c r="P257" s="378"/>
      <c r="Q257" s="378"/>
      <c r="R257" s="337">
        <v>0</v>
      </c>
      <c r="S257" s="379">
        <f t="shared" si="5"/>
        <v>0</v>
      </c>
      <c r="T257" s="338">
        <v>0</v>
      </c>
      <c r="U257" s="379">
        <f t="shared" si="6"/>
        <v>0</v>
      </c>
      <c r="V257" s="361"/>
      <c r="W257" s="409"/>
      <c r="X257" s="5"/>
      <c r="Y257" s="109"/>
    </row>
    <row r="258" spans="1:25" ht="15.75" x14ac:dyDescent="0.25">
      <c r="A258" s="285"/>
      <c r="B258" s="337" t="s">
        <v>159</v>
      </c>
      <c r="C258" s="378"/>
      <c r="D258" s="378"/>
      <c r="E258" s="378"/>
      <c r="F258" s="286"/>
      <c r="G258" s="379"/>
      <c r="H258" s="378"/>
      <c r="I258" s="378"/>
      <c r="J258" s="378"/>
      <c r="K258" s="378"/>
      <c r="L258" s="378"/>
      <c r="M258" s="378"/>
      <c r="N258" s="378"/>
      <c r="O258" s="378"/>
      <c r="P258" s="378"/>
      <c r="Q258" s="378"/>
      <c r="R258" s="337">
        <v>9</v>
      </c>
      <c r="S258" s="379">
        <f t="shared" si="5"/>
        <v>1.6453382084095063E-3</v>
      </c>
      <c r="T258" s="338">
        <v>693</v>
      </c>
      <c r="U258" s="379">
        <f t="shared" si="6"/>
        <v>8.9567864136019077E-4</v>
      </c>
      <c r="V258" s="361"/>
      <c r="W258" s="409"/>
      <c r="X258" s="5"/>
    </row>
    <row r="259" spans="1:25" ht="15.75" x14ac:dyDescent="0.25">
      <c r="A259" s="285"/>
      <c r="B259" s="337" t="s">
        <v>160</v>
      </c>
      <c r="C259" s="378"/>
      <c r="D259" s="378"/>
      <c r="E259" s="378"/>
      <c r="F259" s="286"/>
      <c r="G259" s="379"/>
      <c r="H259" s="378"/>
      <c r="I259" s="378"/>
      <c r="J259" s="378"/>
      <c r="K259" s="378"/>
      <c r="L259" s="378"/>
      <c r="M259" s="378"/>
      <c r="N259" s="378"/>
      <c r="O259" s="378"/>
      <c r="P259" s="378"/>
      <c r="Q259" s="378"/>
      <c r="R259" s="337">
        <v>3</v>
      </c>
      <c r="S259" s="379">
        <f t="shared" si="5"/>
        <v>5.4844606946983544E-4</v>
      </c>
      <c r="T259" s="338">
        <v>535</v>
      </c>
      <c r="U259" s="379">
        <f t="shared" si="6"/>
        <v>6.9146908099235508E-4</v>
      </c>
      <c r="V259" s="361"/>
      <c r="W259" s="409"/>
      <c r="X259" s="5"/>
      <c r="Y259" s="109"/>
    </row>
    <row r="260" spans="1:25" ht="15.75" x14ac:dyDescent="0.25">
      <c r="A260" s="285"/>
      <c r="B260" s="337"/>
      <c r="C260" s="378"/>
      <c r="D260" s="378"/>
      <c r="E260" s="378"/>
      <c r="F260" s="286"/>
      <c r="G260" s="379"/>
      <c r="H260" s="378"/>
      <c r="I260" s="378"/>
      <c r="J260" s="378"/>
      <c r="K260" s="378"/>
      <c r="L260" s="378"/>
      <c r="M260" s="378"/>
      <c r="N260" s="378"/>
      <c r="O260" s="378"/>
      <c r="P260" s="378"/>
      <c r="Q260" s="378"/>
      <c r="R260" s="337"/>
      <c r="S260" s="379"/>
      <c r="T260" s="338"/>
      <c r="U260" s="379"/>
      <c r="V260" s="361"/>
      <c r="W260" s="409"/>
      <c r="X260" s="5"/>
    </row>
    <row r="261" spans="1:25" ht="15.75" x14ac:dyDescent="0.25">
      <c r="A261" s="285"/>
      <c r="B261" s="286"/>
      <c r="C261" s="286"/>
      <c r="D261" s="286"/>
      <c r="E261" s="286"/>
      <c r="F261" s="286"/>
      <c r="G261" s="286"/>
      <c r="H261" s="381"/>
      <c r="I261" s="381"/>
      <c r="J261" s="381"/>
      <c r="K261" s="381"/>
      <c r="L261" s="381"/>
      <c r="M261" s="381"/>
      <c r="N261" s="381"/>
      <c r="O261" s="381"/>
      <c r="P261" s="381"/>
      <c r="Q261" s="381"/>
      <c r="R261" s="337">
        <f>SUM(R252:R260)</f>
        <v>5470</v>
      </c>
      <c r="S261" s="379">
        <f>SUM(S252:S260)</f>
        <v>0.99999999999999989</v>
      </c>
      <c r="T261" s="338">
        <f>SUM(T252:T260)</f>
        <v>773715</v>
      </c>
      <c r="U261" s="379">
        <f>SUM(U252:U260)</f>
        <v>1</v>
      </c>
      <c r="V261" s="286"/>
      <c r="W261" s="289"/>
      <c r="X261" s="5"/>
    </row>
    <row r="262" spans="1:25" ht="15.75" x14ac:dyDescent="0.25">
      <c r="A262" s="181"/>
      <c r="B262" s="212"/>
      <c r="C262" s="212"/>
      <c r="D262" s="212"/>
      <c r="E262" s="212"/>
      <c r="F262" s="212"/>
      <c r="G262" s="212"/>
      <c r="H262" s="375"/>
      <c r="I262" s="375"/>
      <c r="J262" s="375"/>
      <c r="K262" s="375"/>
      <c r="L262" s="375"/>
      <c r="M262" s="375"/>
      <c r="N262" s="375"/>
      <c r="O262" s="375"/>
      <c r="P262" s="375"/>
      <c r="Q262" s="375"/>
      <c r="R262" s="335"/>
      <c r="S262" s="376"/>
      <c r="T262" s="377"/>
      <c r="U262" s="376"/>
      <c r="V262" s="212"/>
      <c r="W262" s="212"/>
      <c r="X262" s="5"/>
    </row>
    <row r="263" spans="1:25" ht="15.75" x14ac:dyDescent="0.25">
      <c r="A263" s="244"/>
      <c r="B263" s="399" t="s">
        <v>236</v>
      </c>
      <c r="C263" s="400"/>
      <c r="D263" s="400"/>
      <c r="E263" s="400"/>
      <c r="F263" s="407"/>
      <c r="G263" s="400"/>
      <c r="H263" s="400"/>
      <c r="I263" s="400"/>
      <c r="J263" s="400"/>
      <c r="K263" s="400"/>
      <c r="L263" s="400"/>
      <c r="M263" s="400"/>
      <c r="N263" s="400"/>
      <c r="O263" s="400"/>
      <c r="P263" s="400"/>
      <c r="Q263" s="400"/>
      <c r="R263" s="407" t="s">
        <v>102</v>
      </c>
      <c r="S263" s="400" t="s">
        <v>103</v>
      </c>
      <c r="T263" s="407" t="s">
        <v>109</v>
      </c>
      <c r="U263" s="400" t="s">
        <v>103</v>
      </c>
      <c r="V263" s="245"/>
      <c r="W263" s="246"/>
      <c r="X263" s="5"/>
    </row>
    <row r="264" spans="1:25" ht="15.75" x14ac:dyDescent="0.25">
      <c r="A264" s="193"/>
      <c r="B264" s="249" t="s">
        <v>88</v>
      </c>
      <c r="C264" s="265"/>
      <c r="D264" s="265"/>
      <c r="E264" s="265"/>
      <c r="F264" s="250"/>
      <c r="G264" s="265"/>
      <c r="H264" s="265"/>
      <c r="I264" s="265"/>
      <c r="J264" s="265"/>
      <c r="K264" s="265"/>
      <c r="L264" s="265"/>
      <c r="M264" s="265"/>
      <c r="N264" s="265"/>
      <c r="O264" s="265"/>
      <c r="P264" s="265"/>
      <c r="Q264" s="265"/>
      <c r="R264" s="249">
        <v>96</v>
      </c>
      <c r="S264" s="252">
        <f t="shared" ref="S264:S270" si="7">R264/$R$273</f>
        <v>0.84210526315789469</v>
      </c>
      <c r="T264" s="253">
        <v>13973</v>
      </c>
      <c r="U264" s="252">
        <f t="shared" ref="U264:U271" si="8">T264/$T$273</f>
        <v>0.85766020132580412</v>
      </c>
      <c r="V264" s="250"/>
      <c r="W264" s="250"/>
      <c r="X264" s="5"/>
    </row>
    <row r="265" spans="1:25" ht="15.75" x14ac:dyDescent="0.25">
      <c r="A265" s="285"/>
      <c r="B265" s="337" t="s">
        <v>89</v>
      </c>
      <c r="C265" s="378"/>
      <c r="D265" s="378"/>
      <c r="E265" s="378"/>
      <c r="F265" s="286"/>
      <c r="G265" s="379"/>
      <c r="H265" s="378"/>
      <c r="I265" s="378"/>
      <c r="J265" s="378"/>
      <c r="K265" s="378"/>
      <c r="L265" s="378"/>
      <c r="M265" s="378"/>
      <c r="N265" s="378"/>
      <c r="O265" s="378"/>
      <c r="P265" s="378"/>
      <c r="Q265" s="378"/>
      <c r="R265" s="337">
        <v>3</v>
      </c>
      <c r="S265" s="379">
        <f t="shared" si="7"/>
        <v>2.6315789473684209E-2</v>
      </c>
      <c r="T265" s="338">
        <v>224</v>
      </c>
      <c r="U265" s="379">
        <f t="shared" si="8"/>
        <v>1.3749079302725264E-2</v>
      </c>
      <c r="V265" s="286"/>
      <c r="W265" s="289"/>
      <c r="X265" s="5"/>
    </row>
    <row r="266" spans="1:25" ht="15.75" x14ac:dyDescent="0.25">
      <c r="A266" s="285"/>
      <c r="B266" s="337" t="s">
        <v>90</v>
      </c>
      <c r="C266" s="378"/>
      <c r="D266" s="378"/>
      <c r="E266" s="378"/>
      <c r="F266" s="286"/>
      <c r="G266" s="379"/>
      <c r="H266" s="378"/>
      <c r="I266" s="378"/>
      <c r="J266" s="378"/>
      <c r="K266" s="378"/>
      <c r="L266" s="378"/>
      <c r="M266" s="378"/>
      <c r="N266" s="378"/>
      <c r="O266" s="378"/>
      <c r="P266" s="378"/>
      <c r="Q266" s="378"/>
      <c r="R266" s="337">
        <v>3</v>
      </c>
      <c r="S266" s="379">
        <f t="shared" si="7"/>
        <v>2.6315789473684209E-2</v>
      </c>
      <c r="T266" s="338">
        <v>151</v>
      </c>
      <c r="U266" s="379">
        <f t="shared" si="8"/>
        <v>9.2683525656764056E-3</v>
      </c>
      <c r="V266" s="286"/>
      <c r="W266" s="289"/>
      <c r="X266" s="5"/>
    </row>
    <row r="267" spans="1:25" ht="15.75" x14ac:dyDescent="0.25">
      <c r="A267" s="285"/>
      <c r="B267" s="337" t="s">
        <v>156</v>
      </c>
      <c r="C267" s="378"/>
      <c r="D267" s="378"/>
      <c r="E267" s="378"/>
      <c r="F267" s="286"/>
      <c r="G267" s="379"/>
      <c r="H267" s="378"/>
      <c r="I267" s="378"/>
      <c r="J267" s="378"/>
      <c r="K267" s="378"/>
      <c r="L267" s="378"/>
      <c r="M267" s="378"/>
      <c r="N267" s="378"/>
      <c r="O267" s="378"/>
      <c r="P267" s="378"/>
      <c r="Q267" s="378"/>
      <c r="R267" s="337">
        <v>0</v>
      </c>
      <c r="S267" s="379">
        <f t="shared" si="7"/>
        <v>0</v>
      </c>
      <c r="T267" s="338">
        <v>0</v>
      </c>
      <c r="U267" s="379">
        <f t="shared" si="8"/>
        <v>0</v>
      </c>
      <c r="V267" s="286"/>
      <c r="W267" s="289"/>
      <c r="X267" s="5"/>
    </row>
    <row r="268" spans="1:25" ht="15.75" x14ac:dyDescent="0.25">
      <c r="A268" s="285"/>
      <c r="B268" s="337" t="s">
        <v>157</v>
      </c>
      <c r="C268" s="378"/>
      <c r="D268" s="378"/>
      <c r="E268" s="378"/>
      <c r="F268" s="286"/>
      <c r="G268" s="379"/>
      <c r="H268" s="378"/>
      <c r="I268" s="378"/>
      <c r="J268" s="378"/>
      <c r="K268" s="378"/>
      <c r="L268" s="378"/>
      <c r="M268" s="378"/>
      <c r="N268" s="378"/>
      <c r="O268" s="378"/>
      <c r="P268" s="378"/>
      <c r="Q268" s="378"/>
      <c r="R268" s="337">
        <v>1</v>
      </c>
      <c r="S268" s="379">
        <f t="shared" si="7"/>
        <v>8.771929824561403E-3</v>
      </c>
      <c r="T268" s="338">
        <v>121</v>
      </c>
      <c r="U268" s="379">
        <f t="shared" si="8"/>
        <v>7.4269580162042723E-3</v>
      </c>
      <c r="V268" s="286"/>
      <c r="W268" s="289"/>
      <c r="X268" s="5"/>
    </row>
    <row r="269" spans="1:25" ht="15.75" x14ac:dyDescent="0.25">
      <c r="A269" s="285"/>
      <c r="B269" s="337" t="s">
        <v>158</v>
      </c>
      <c r="C269" s="378"/>
      <c r="D269" s="378"/>
      <c r="E269" s="378"/>
      <c r="F269" s="286"/>
      <c r="G269" s="379"/>
      <c r="H269" s="378"/>
      <c r="I269" s="378"/>
      <c r="J269" s="378"/>
      <c r="K269" s="378"/>
      <c r="L269" s="378"/>
      <c r="M269" s="378"/>
      <c r="N269" s="378"/>
      <c r="O269" s="378"/>
      <c r="P269" s="378"/>
      <c r="Q269" s="378"/>
      <c r="R269" s="337">
        <v>2</v>
      </c>
      <c r="S269" s="379">
        <f t="shared" si="7"/>
        <v>1.7543859649122806E-2</v>
      </c>
      <c r="T269" s="338">
        <v>317</v>
      </c>
      <c r="U269" s="379">
        <f t="shared" si="8"/>
        <v>1.9457402406088876E-2</v>
      </c>
      <c r="V269" s="286"/>
      <c r="W269" s="289"/>
      <c r="X269" s="5"/>
    </row>
    <row r="270" spans="1:25" ht="15.75" x14ac:dyDescent="0.25">
      <c r="A270" s="285"/>
      <c r="B270" s="337" t="s">
        <v>159</v>
      </c>
      <c r="C270" s="378"/>
      <c r="D270" s="378"/>
      <c r="E270" s="378"/>
      <c r="F270" s="286"/>
      <c r="G270" s="379"/>
      <c r="H270" s="378"/>
      <c r="I270" s="378"/>
      <c r="J270" s="378"/>
      <c r="K270" s="378"/>
      <c r="L270" s="378"/>
      <c r="M270" s="378"/>
      <c r="N270" s="378"/>
      <c r="O270" s="378"/>
      <c r="P270" s="378"/>
      <c r="Q270" s="378"/>
      <c r="R270" s="337">
        <v>3</v>
      </c>
      <c r="S270" s="379">
        <f t="shared" si="7"/>
        <v>2.6315789473684209E-2</v>
      </c>
      <c r="T270" s="338">
        <v>657</v>
      </c>
      <c r="U270" s="379">
        <f t="shared" si="8"/>
        <v>4.0326540633439725E-2</v>
      </c>
      <c r="V270" s="286"/>
      <c r="W270" s="289"/>
      <c r="X270" s="5"/>
    </row>
    <row r="271" spans="1:25" ht="15.75" x14ac:dyDescent="0.25">
      <c r="A271" s="285"/>
      <c r="B271" s="337" t="s">
        <v>160</v>
      </c>
      <c r="C271" s="378"/>
      <c r="D271" s="378"/>
      <c r="E271" s="378"/>
      <c r="F271" s="286"/>
      <c r="G271" s="379"/>
      <c r="H271" s="378"/>
      <c r="I271" s="378"/>
      <c r="J271" s="378"/>
      <c r="K271" s="378"/>
      <c r="L271" s="378"/>
      <c r="M271" s="378"/>
      <c r="N271" s="378"/>
      <c r="O271" s="378"/>
      <c r="P271" s="378"/>
      <c r="Q271" s="378"/>
      <c r="R271" s="337">
        <v>6</v>
      </c>
      <c r="S271" s="379">
        <f>R271/$R$273</f>
        <v>5.2631578947368418E-2</v>
      </c>
      <c r="T271" s="338">
        <v>849</v>
      </c>
      <c r="U271" s="379">
        <f t="shared" si="8"/>
        <v>5.2111465750061377E-2</v>
      </c>
      <c r="V271" s="286"/>
      <c r="W271" s="289"/>
      <c r="X271" s="5"/>
    </row>
    <row r="272" spans="1:25" ht="15.75" x14ac:dyDescent="0.25">
      <c r="A272" s="285"/>
      <c r="B272" s="337"/>
      <c r="C272" s="378"/>
      <c r="D272" s="378"/>
      <c r="E272" s="378"/>
      <c r="F272" s="286"/>
      <c r="G272" s="379"/>
      <c r="H272" s="378"/>
      <c r="I272" s="378"/>
      <c r="J272" s="378"/>
      <c r="K272" s="378"/>
      <c r="L272" s="378"/>
      <c r="M272" s="378"/>
      <c r="N272" s="378"/>
      <c r="O272" s="378"/>
      <c r="P272" s="378"/>
      <c r="Q272" s="378"/>
      <c r="R272" s="337"/>
      <c r="S272" s="379"/>
      <c r="T272" s="338"/>
      <c r="U272" s="379"/>
      <c r="V272" s="286"/>
      <c r="W272" s="289"/>
      <c r="X272" s="5"/>
    </row>
    <row r="273" spans="1:24" ht="15.75" x14ac:dyDescent="0.25">
      <c r="A273" s="285"/>
      <c r="B273" s="286"/>
      <c r="C273" s="286"/>
      <c r="D273" s="286"/>
      <c r="E273" s="286"/>
      <c r="F273" s="286"/>
      <c r="G273" s="286"/>
      <c r="H273" s="381"/>
      <c r="I273" s="381"/>
      <c r="J273" s="381"/>
      <c r="K273" s="381"/>
      <c r="L273" s="381"/>
      <c r="M273" s="381"/>
      <c r="N273" s="381"/>
      <c r="O273" s="381"/>
      <c r="P273" s="381"/>
      <c r="Q273" s="381"/>
      <c r="R273" s="337">
        <f>SUM(R264:R272)</f>
        <v>114</v>
      </c>
      <c r="S273" s="379">
        <f>SUM(S264:S272)</f>
        <v>1</v>
      </c>
      <c r="T273" s="338">
        <f>SUM(T264:T272)</f>
        <v>16292</v>
      </c>
      <c r="U273" s="379">
        <f>SUM(U264:U272)</f>
        <v>1</v>
      </c>
      <c r="V273" s="286"/>
      <c r="W273" s="289"/>
      <c r="X273" s="5"/>
    </row>
    <row r="274" spans="1:24" ht="15.75" x14ac:dyDescent="0.25">
      <c r="A274" s="181"/>
      <c r="B274" s="212"/>
      <c r="C274" s="212"/>
      <c r="D274" s="212"/>
      <c r="E274" s="212"/>
      <c r="F274" s="212"/>
      <c r="G274" s="212"/>
      <c r="H274" s="375"/>
      <c r="I274" s="375"/>
      <c r="J274" s="375"/>
      <c r="K274" s="375"/>
      <c r="L274" s="375"/>
      <c r="M274" s="375"/>
      <c r="N274" s="375"/>
      <c r="O274" s="375"/>
      <c r="P274" s="375"/>
      <c r="Q274" s="375"/>
      <c r="R274" s="335"/>
      <c r="S274" s="376"/>
      <c r="T274" s="377"/>
      <c r="U274" s="376"/>
      <c r="V274" s="212"/>
      <c r="W274" s="212"/>
      <c r="X274" s="5"/>
    </row>
    <row r="275" spans="1:24" ht="15.75" x14ac:dyDescent="0.25">
      <c r="A275" s="244"/>
      <c r="B275" s="399" t="s">
        <v>163</v>
      </c>
      <c r="C275" s="245"/>
      <c r="D275" s="245"/>
      <c r="E275" s="245"/>
      <c r="F275" s="245"/>
      <c r="G275" s="245"/>
      <c r="H275" s="247"/>
      <c r="I275" s="247"/>
      <c r="J275" s="247"/>
      <c r="K275" s="247"/>
      <c r="L275" s="247"/>
      <c r="M275" s="247"/>
      <c r="N275" s="247"/>
      <c r="O275" s="247"/>
      <c r="P275" s="247"/>
      <c r="Q275" s="247"/>
      <c r="R275" s="407" t="s">
        <v>102</v>
      </c>
      <c r="S275" s="400" t="s">
        <v>103</v>
      </c>
      <c r="T275" s="407" t="s">
        <v>109</v>
      </c>
      <c r="U275" s="400" t="s">
        <v>103</v>
      </c>
      <c r="V275" s="245"/>
      <c r="W275" s="246"/>
      <c r="X275" s="5"/>
    </row>
    <row r="276" spans="1:24" ht="15.75" x14ac:dyDescent="0.25">
      <c r="A276" s="248"/>
      <c r="B276" s="249" t="s">
        <v>88</v>
      </c>
      <c r="C276" s="250"/>
      <c r="D276" s="250"/>
      <c r="E276" s="250"/>
      <c r="F276" s="250"/>
      <c r="G276" s="250"/>
      <c r="H276" s="251"/>
      <c r="I276" s="251"/>
      <c r="J276" s="251"/>
      <c r="K276" s="251"/>
      <c r="L276" s="251"/>
      <c r="M276" s="251"/>
      <c r="N276" s="251"/>
      <c r="O276" s="251"/>
      <c r="P276" s="251"/>
      <c r="Q276" s="251"/>
      <c r="R276" s="249">
        <v>0</v>
      </c>
      <c r="S276" s="252">
        <v>0</v>
      </c>
      <c r="T276" s="253">
        <v>0</v>
      </c>
      <c r="U276" s="252">
        <v>0</v>
      </c>
      <c r="V276" s="250"/>
      <c r="W276" s="250"/>
      <c r="X276" s="5"/>
    </row>
    <row r="277" spans="1:24" ht="15.75" x14ac:dyDescent="0.25">
      <c r="A277" s="295"/>
      <c r="B277" s="337" t="s">
        <v>89</v>
      </c>
      <c r="C277" s="286"/>
      <c r="D277" s="286"/>
      <c r="E277" s="286"/>
      <c r="F277" s="286"/>
      <c r="G277" s="286"/>
      <c r="H277" s="381"/>
      <c r="I277" s="381"/>
      <c r="J277" s="381"/>
      <c r="K277" s="381"/>
      <c r="L277" s="381"/>
      <c r="M277" s="381"/>
      <c r="N277" s="381"/>
      <c r="O277" s="381"/>
      <c r="P277" s="381"/>
      <c r="Q277" s="381"/>
      <c r="R277" s="337">
        <v>0</v>
      </c>
      <c r="S277" s="379">
        <v>0</v>
      </c>
      <c r="T277" s="338">
        <v>0</v>
      </c>
      <c r="U277" s="379">
        <v>0</v>
      </c>
      <c r="V277" s="286"/>
      <c r="W277" s="289"/>
      <c r="X277" s="5"/>
    </row>
    <row r="278" spans="1:24" ht="15.75" x14ac:dyDescent="0.25">
      <c r="A278" s="295"/>
      <c r="B278" s="337" t="s">
        <v>90</v>
      </c>
      <c r="C278" s="286"/>
      <c r="D278" s="286"/>
      <c r="E278" s="286"/>
      <c r="F278" s="286"/>
      <c r="G278" s="286"/>
      <c r="H278" s="381"/>
      <c r="I278" s="381"/>
      <c r="J278" s="381"/>
      <c r="K278" s="381"/>
      <c r="L278" s="381"/>
      <c r="M278" s="381"/>
      <c r="N278" s="381"/>
      <c r="O278" s="381"/>
      <c r="P278" s="381"/>
      <c r="Q278" s="381"/>
      <c r="R278" s="337">
        <v>0</v>
      </c>
      <c r="S278" s="379">
        <v>0</v>
      </c>
      <c r="T278" s="338">
        <v>0</v>
      </c>
      <c r="U278" s="379">
        <v>0</v>
      </c>
      <c r="V278" s="286"/>
      <c r="W278" s="289"/>
      <c r="X278" s="5"/>
    </row>
    <row r="279" spans="1:24" ht="15.75" x14ac:dyDescent="0.25">
      <c r="A279" s="295"/>
      <c r="B279" s="337" t="s">
        <v>156</v>
      </c>
      <c r="C279" s="286"/>
      <c r="D279" s="286"/>
      <c r="E279" s="286"/>
      <c r="F279" s="286"/>
      <c r="G279" s="286"/>
      <c r="H279" s="381"/>
      <c r="I279" s="381"/>
      <c r="J279" s="381"/>
      <c r="K279" s="381"/>
      <c r="L279" s="381"/>
      <c r="M279" s="381"/>
      <c r="N279" s="381"/>
      <c r="O279" s="381"/>
      <c r="P279" s="381"/>
      <c r="Q279" s="381"/>
      <c r="R279" s="337">
        <v>0</v>
      </c>
      <c r="S279" s="379">
        <v>0</v>
      </c>
      <c r="T279" s="338">
        <v>0</v>
      </c>
      <c r="U279" s="379">
        <v>0</v>
      </c>
      <c r="V279" s="286"/>
      <c r="W279" s="289"/>
      <c r="X279" s="5"/>
    </row>
    <row r="280" spans="1:24" ht="15.75" x14ac:dyDescent="0.25">
      <c r="A280" s="295"/>
      <c r="B280" s="337" t="s">
        <v>157</v>
      </c>
      <c r="C280" s="286"/>
      <c r="D280" s="286"/>
      <c r="E280" s="286"/>
      <c r="F280" s="286"/>
      <c r="G280" s="286"/>
      <c r="H280" s="381"/>
      <c r="I280" s="381"/>
      <c r="J280" s="381"/>
      <c r="K280" s="381"/>
      <c r="L280" s="381"/>
      <c r="M280" s="381"/>
      <c r="N280" s="381"/>
      <c r="O280" s="381"/>
      <c r="P280" s="381"/>
      <c r="Q280" s="381"/>
      <c r="R280" s="337">
        <v>0</v>
      </c>
      <c r="S280" s="379">
        <v>0</v>
      </c>
      <c r="T280" s="338">
        <v>0</v>
      </c>
      <c r="U280" s="379">
        <v>0</v>
      </c>
      <c r="V280" s="286"/>
      <c r="W280" s="289"/>
      <c r="X280" s="5"/>
    </row>
    <row r="281" spans="1:24" ht="15.75" x14ac:dyDescent="0.25">
      <c r="A281" s="295"/>
      <c r="B281" s="337" t="s">
        <v>158</v>
      </c>
      <c r="C281" s="286"/>
      <c r="D281" s="286"/>
      <c r="E281" s="286"/>
      <c r="F281" s="286"/>
      <c r="G281" s="286"/>
      <c r="H281" s="381"/>
      <c r="I281" s="381"/>
      <c r="J281" s="381"/>
      <c r="K281" s="381"/>
      <c r="L281" s="381"/>
      <c r="M281" s="381"/>
      <c r="N281" s="381"/>
      <c r="O281" s="381"/>
      <c r="P281" s="381"/>
      <c r="Q281" s="381"/>
      <c r="R281" s="337">
        <v>0</v>
      </c>
      <c r="S281" s="379">
        <v>0</v>
      </c>
      <c r="T281" s="338">
        <v>0</v>
      </c>
      <c r="U281" s="379">
        <v>0</v>
      </c>
      <c r="V281" s="286"/>
      <c r="W281" s="289"/>
      <c r="X281" s="5"/>
    </row>
    <row r="282" spans="1:24" ht="15.75" x14ac:dyDescent="0.25">
      <c r="A282" s="295"/>
      <c r="B282" s="337" t="s">
        <v>159</v>
      </c>
      <c r="C282" s="286"/>
      <c r="D282" s="286"/>
      <c r="E282" s="286"/>
      <c r="F282" s="286"/>
      <c r="G282" s="286"/>
      <c r="H282" s="381"/>
      <c r="I282" s="381"/>
      <c r="J282" s="381"/>
      <c r="K282" s="381"/>
      <c r="L282" s="381"/>
      <c r="M282" s="381"/>
      <c r="N282" s="381"/>
      <c r="O282" s="381"/>
      <c r="P282" s="381"/>
      <c r="Q282" s="381"/>
      <c r="R282" s="337">
        <v>0</v>
      </c>
      <c r="S282" s="379">
        <v>0</v>
      </c>
      <c r="T282" s="338">
        <v>0</v>
      </c>
      <c r="U282" s="379">
        <v>0</v>
      </c>
      <c r="V282" s="286"/>
      <c r="W282" s="289"/>
      <c r="X282" s="5"/>
    </row>
    <row r="283" spans="1:24" ht="15.75" x14ac:dyDescent="0.25">
      <c r="A283" s="295"/>
      <c r="B283" s="337" t="s">
        <v>160</v>
      </c>
      <c r="C283" s="286"/>
      <c r="D283" s="286"/>
      <c r="E283" s="286"/>
      <c r="F283" s="286"/>
      <c r="G283" s="286"/>
      <c r="H283" s="381"/>
      <c r="I283" s="381"/>
      <c r="J283" s="381"/>
      <c r="K283" s="381"/>
      <c r="L283" s="381"/>
      <c r="M283" s="381"/>
      <c r="N283" s="381"/>
      <c r="O283" s="381"/>
      <c r="P283" s="381"/>
      <c r="Q283" s="381"/>
      <c r="R283" s="337">
        <v>0</v>
      </c>
      <c r="S283" s="379">
        <v>0</v>
      </c>
      <c r="T283" s="338">
        <v>0</v>
      </c>
      <c r="U283" s="379">
        <v>0</v>
      </c>
      <c r="V283" s="286"/>
      <c r="W283" s="289"/>
      <c r="X283" s="5"/>
    </row>
    <row r="284" spans="1:24" ht="15.75" x14ac:dyDescent="0.25">
      <c r="A284" s="295"/>
      <c r="B284" s="337"/>
      <c r="C284" s="286"/>
      <c r="D284" s="286"/>
      <c r="E284" s="286"/>
      <c r="F284" s="286"/>
      <c r="G284" s="286"/>
      <c r="H284" s="381"/>
      <c r="I284" s="381"/>
      <c r="J284" s="381"/>
      <c r="K284" s="381"/>
      <c r="L284" s="381"/>
      <c r="M284" s="381"/>
      <c r="N284" s="381"/>
      <c r="O284" s="381"/>
      <c r="P284" s="381"/>
      <c r="Q284" s="381"/>
      <c r="R284" s="337"/>
      <c r="S284" s="379"/>
      <c r="T284" s="338"/>
      <c r="U284" s="379"/>
      <c r="V284" s="286"/>
      <c r="W284" s="289"/>
      <c r="X284" s="5"/>
    </row>
    <row r="285" spans="1:24" ht="15.75" x14ac:dyDescent="0.25">
      <c r="A285" s="295"/>
      <c r="B285" s="286" t="s">
        <v>114</v>
      </c>
      <c r="C285" s="286"/>
      <c r="D285" s="286"/>
      <c r="E285" s="286"/>
      <c r="F285" s="286"/>
      <c r="G285" s="286"/>
      <c r="H285" s="381"/>
      <c r="I285" s="381"/>
      <c r="J285" s="381"/>
      <c r="K285" s="381"/>
      <c r="L285" s="381"/>
      <c r="M285" s="381"/>
      <c r="N285" s="381"/>
      <c r="O285" s="381"/>
      <c r="P285" s="381"/>
      <c r="Q285" s="381"/>
      <c r="R285" s="337">
        <f>SUM(R276:R283)</f>
        <v>0</v>
      </c>
      <c r="S285" s="379">
        <f>SUM(S276:S283)</f>
        <v>0</v>
      </c>
      <c r="T285" s="338">
        <f>SUM(T276:T283)</f>
        <v>0</v>
      </c>
      <c r="U285" s="379">
        <f>SUM(U276:U283)</f>
        <v>0</v>
      </c>
      <c r="V285" s="286"/>
      <c r="W285" s="289"/>
      <c r="X285" s="5"/>
    </row>
    <row r="286" spans="1:24" ht="15.75" x14ac:dyDescent="0.25">
      <c r="A286" s="295"/>
      <c r="B286" s="286"/>
      <c r="C286" s="286"/>
      <c r="D286" s="286"/>
      <c r="E286" s="286"/>
      <c r="F286" s="286"/>
      <c r="G286" s="286"/>
      <c r="H286" s="381"/>
      <c r="I286" s="381"/>
      <c r="J286" s="381"/>
      <c r="K286" s="381"/>
      <c r="L286" s="381"/>
      <c r="M286" s="381"/>
      <c r="N286" s="381"/>
      <c r="O286" s="381"/>
      <c r="P286" s="381"/>
      <c r="Q286" s="381"/>
      <c r="R286" s="337"/>
      <c r="S286" s="379"/>
      <c r="T286" s="338"/>
      <c r="U286" s="379"/>
      <c r="V286" s="286"/>
      <c r="W286" s="289"/>
      <c r="X286" s="5"/>
    </row>
    <row r="287" spans="1:24" ht="15.75" x14ac:dyDescent="0.25">
      <c r="A287" s="295"/>
      <c r="B287" s="297" t="s">
        <v>164</v>
      </c>
      <c r="C287" s="286"/>
      <c r="D287" s="286"/>
      <c r="E287" s="286"/>
      <c r="F287" s="286"/>
      <c r="G287" s="286"/>
      <c r="H287" s="381"/>
      <c r="I287" s="381"/>
      <c r="J287" s="381"/>
      <c r="K287" s="381"/>
      <c r="L287" s="381"/>
      <c r="M287" s="381"/>
      <c r="N287" s="381"/>
      <c r="O287" s="381"/>
      <c r="P287" s="381"/>
      <c r="Q287" s="381"/>
      <c r="R287" s="384">
        <f>R285+R273+R261</f>
        <v>5584</v>
      </c>
      <c r="S287" s="379"/>
      <c r="T287" s="410">
        <f>+T285+T273+T261</f>
        <v>790007</v>
      </c>
      <c r="U287" s="379"/>
      <c r="V287" s="286"/>
      <c r="W287" s="289"/>
      <c r="X287" s="5"/>
    </row>
    <row r="288" spans="1:24" ht="15.75" x14ac:dyDescent="0.25">
      <c r="A288" s="254"/>
      <c r="B288" s="346"/>
      <c r="C288" s="346"/>
      <c r="D288" s="346"/>
      <c r="E288" s="346"/>
      <c r="F288" s="346"/>
      <c r="G288" s="346"/>
      <c r="H288" s="382"/>
      <c r="I288" s="382"/>
      <c r="J288" s="382"/>
      <c r="K288" s="382"/>
      <c r="L288" s="382"/>
      <c r="M288" s="382"/>
      <c r="N288" s="382"/>
      <c r="O288" s="382"/>
      <c r="P288" s="382"/>
      <c r="Q288" s="382"/>
      <c r="R288" s="382"/>
      <c r="S288" s="382"/>
      <c r="T288" s="383"/>
      <c r="U288" s="382"/>
      <c r="V288" s="346"/>
      <c r="W288" s="346"/>
      <c r="X288" s="5"/>
    </row>
    <row r="289" spans="1:24" ht="15.75" x14ac:dyDescent="0.25">
      <c r="A289" s="254"/>
      <c r="B289" s="255"/>
      <c r="C289" s="255"/>
      <c r="D289" s="255"/>
      <c r="E289" s="255"/>
      <c r="F289" s="255"/>
      <c r="G289" s="255"/>
      <c r="H289" s="256"/>
      <c r="I289" s="256"/>
      <c r="J289" s="256"/>
      <c r="K289" s="256"/>
      <c r="L289" s="256"/>
      <c r="M289" s="256"/>
      <c r="N289" s="256"/>
      <c r="O289" s="256"/>
      <c r="P289" s="256"/>
      <c r="Q289" s="256"/>
      <c r="R289" s="256"/>
      <c r="S289" s="256"/>
      <c r="T289" s="257"/>
      <c r="U289" s="256"/>
      <c r="V289" s="255"/>
      <c r="W289" s="255"/>
      <c r="X289" s="5"/>
    </row>
    <row r="290" spans="1:24" ht="15.75" x14ac:dyDescent="0.25">
      <c r="A290" s="258"/>
      <c r="B290" s="388" t="s">
        <v>91</v>
      </c>
      <c r="C290" s="255"/>
      <c r="D290" s="255"/>
      <c r="E290" s="255"/>
      <c r="F290" s="391" t="s">
        <v>97</v>
      </c>
      <c r="G290" s="255"/>
      <c r="H290" s="388" t="s">
        <v>99</v>
      </c>
      <c r="I290" s="388"/>
      <c r="J290" s="388"/>
      <c r="K290" s="261"/>
      <c r="L290" s="261"/>
      <c r="M290" s="261"/>
      <c r="N290" s="261"/>
      <c r="O290" s="261"/>
      <c r="P290" s="261"/>
      <c r="Q290" s="261"/>
      <c r="R290" s="261"/>
      <c r="S290" s="261"/>
      <c r="T290" s="261"/>
      <c r="U290" s="261"/>
      <c r="V290" s="261"/>
      <c r="W290" s="261"/>
      <c r="X290" s="5"/>
    </row>
    <row r="291" spans="1:24" ht="15.75" x14ac:dyDescent="0.25">
      <c r="A291" s="258"/>
      <c r="B291" s="261"/>
      <c r="C291" s="255"/>
      <c r="D291" s="255"/>
      <c r="E291" s="255"/>
      <c r="F291" s="255"/>
      <c r="G291" s="255"/>
      <c r="H291" s="255"/>
      <c r="I291" s="255"/>
      <c r="J291" s="255"/>
      <c r="K291" s="261"/>
      <c r="L291" s="261"/>
      <c r="M291" s="261"/>
      <c r="N291" s="261"/>
      <c r="O291" s="261"/>
      <c r="P291" s="261"/>
      <c r="Q291" s="261"/>
      <c r="R291" s="261"/>
      <c r="S291" s="261"/>
      <c r="T291" s="261"/>
      <c r="U291" s="261"/>
      <c r="V291" s="261"/>
      <c r="W291" s="261"/>
      <c r="X291" s="5"/>
    </row>
    <row r="292" spans="1:24" ht="15.75" x14ac:dyDescent="0.25">
      <c r="A292" s="258"/>
      <c r="B292" s="388" t="s">
        <v>318</v>
      </c>
      <c r="C292" s="388"/>
      <c r="D292" s="388"/>
      <c r="E292" s="388"/>
      <c r="F292" s="411" t="s">
        <v>148</v>
      </c>
      <c r="G292" s="388"/>
      <c r="H292" s="388" t="s">
        <v>152</v>
      </c>
      <c r="I292" s="388"/>
      <c r="J292" s="388"/>
      <c r="K292" s="261"/>
      <c r="L292" s="261"/>
      <c r="M292" s="261"/>
      <c r="N292" s="261"/>
      <c r="O292" s="261"/>
      <c r="P292" s="261"/>
      <c r="Q292" s="261"/>
      <c r="R292" s="261"/>
      <c r="S292" s="261"/>
      <c r="T292" s="261"/>
      <c r="U292" s="261"/>
      <c r="V292" s="261"/>
      <c r="W292" s="261"/>
      <c r="X292" s="5"/>
    </row>
    <row r="293" spans="1:24" ht="15.75" x14ac:dyDescent="0.25">
      <c r="A293" s="258"/>
      <c r="B293" s="388" t="s">
        <v>319</v>
      </c>
      <c r="C293" s="388"/>
      <c r="D293" s="388"/>
      <c r="E293" s="388"/>
      <c r="F293" s="411" t="s">
        <v>266</v>
      </c>
      <c r="G293" s="388"/>
      <c r="H293" s="388" t="s">
        <v>267</v>
      </c>
      <c r="I293" s="388"/>
      <c r="J293" s="388"/>
      <c r="K293" s="261"/>
      <c r="L293" s="261"/>
      <c r="M293" s="261"/>
      <c r="N293" s="261"/>
      <c r="O293" s="261"/>
      <c r="P293" s="261"/>
      <c r="Q293" s="261"/>
      <c r="R293" s="261"/>
      <c r="S293" s="261"/>
      <c r="T293" s="261"/>
      <c r="U293" s="261"/>
      <c r="V293" s="261"/>
      <c r="W293" s="261"/>
      <c r="X293" s="5"/>
    </row>
    <row r="294" spans="1:24" ht="15.75" x14ac:dyDescent="0.25">
      <c r="A294" s="258"/>
      <c r="B294" s="388" t="s">
        <v>320</v>
      </c>
      <c r="C294" s="388"/>
      <c r="D294" s="388"/>
      <c r="E294" s="388"/>
      <c r="F294" s="411" t="s">
        <v>147</v>
      </c>
      <c r="G294" s="388"/>
      <c r="H294" s="388" t="s">
        <v>153</v>
      </c>
      <c r="I294" s="388"/>
      <c r="J294" s="388"/>
      <c r="K294" s="261"/>
      <c r="L294" s="261"/>
      <c r="M294" s="261"/>
      <c r="N294" s="261"/>
      <c r="O294" s="261"/>
      <c r="P294" s="261"/>
      <c r="Q294" s="261"/>
      <c r="R294" s="261"/>
      <c r="S294" s="261"/>
      <c r="T294" s="261"/>
      <c r="U294" s="261"/>
      <c r="V294" s="261"/>
      <c r="W294" s="261"/>
      <c r="X294" s="5"/>
    </row>
    <row r="295" spans="1:24" ht="15.75" x14ac:dyDescent="0.25">
      <c r="A295" s="258"/>
      <c r="B295" s="388"/>
      <c r="C295" s="388"/>
      <c r="D295" s="388"/>
      <c r="E295" s="388"/>
      <c r="F295" s="388"/>
      <c r="G295" s="263"/>
      <c r="H295" s="261"/>
      <c r="I295" s="261"/>
      <c r="J295" s="261"/>
      <c r="K295" s="261"/>
      <c r="L295" s="261"/>
      <c r="M295" s="261"/>
      <c r="N295" s="261"/>
      <c r="O295" s="261"/>
      <c r="P295" s="261"/>
      <c r="Q295" s="261"/>
      <c r="R295" s="261"/>
      <c r="S295" s="261"/>
      <c r="T295" s="261"/>
      <c r="U295" s="261"/>
      <c r="V295" s="261"/>
      <c r="W295" s="261"/>
      <c r="X295" s="5"/>
    </row>
    <row r="296" spans="1:24" ht="15.75" x14ac:dyDescent="0.25">
      <c r="A296" s="258"/>
      <c r="B296" s="388"/>
      <c r="C296" s="388"/>
      <c r="D296" s="388"/>
      <c r="E296" s="388"/>
      <c r="F296" s="388"/>
      <c r="G296" s="263"/>
      <c r="H296" s="261"/>
      <c r="I296" s="261"/>
      <c r="J296" s="261"/>
      <c r="K296" s="261"/>
      <c r="L296" s="261"/>
      <c r="M296" s="261"/>
      <c r="N296" s="261"/>
      <c r="O296" s="261"/>
      <c r="P296" s="261"/>
      <c r="Q296" s="261"/>
      <c r="R296" s="261"/>
      <c r="S296" s="261"/>
      <c r="T296" s="261"/>
      <c r="U296" s="261"/>
      <c r="V296" s="261"/>
      <c r="W296" s="261"/>
      <c r="X296" s="5"/>
    </row>
    <row r="297" spans="1:24" ht="19.5" thickBot="1" x14ac:dyDescent="0.35">
      <c r="A297" s="258"/>
      <c r="B297" s="264" t="str">
        <f>B201</f>
        <v>PM15 INVESTOR REPORT QUARTER ENDING NOVEMBER 2013</v>
      </c>
      <c r="C297" s="388"/>
      <c r="D297" s="388"/>
      <c r="E297" s="388"/>
      <c r="F297" s="388"/>
      <c r="G297" s="263"/>
      <c r="H297" s="261"/>
      <c r="I297" s="261"/>
      <c r="J297" s="261"/>
      <c r="K297" s="261"/>
      <c r="L297" s="261"/>
      <c r="M297" s="261"/>
      <c r="N297" s="261"/>
      <c r="O297" s="261"/>
      <c r="P297" s="261"/>
      <c r="Q297" s="261"/>
      <c r="R297" s="261"/>
      <c r="S297" s="261"/>
      <c r="T297" s="261"/>
      <c r="U297" s="261"/>
      <c r="V297" s="261"/>
      <c r="W297" s="261"/>
      <c r="X297" s="5"/>
    </row>
    <row r="298" spans="1:24" x14ac:dyDescent="0.2">
      <c r="A298" s="100"/>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00"/>
    </row>
  </sheetData>
  <hyperlinks>
    <hyperlink ref="P237" r:id="rId1" xr:uid="{00000000-0004-0000-1800-000000000000}"/>
    <hyperlink ref="I9" r:id="rId2" xr:uid="{00000000-0004-0000-18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5" max="14" man="1"/>
    <brk id="201" max="14" man="1"/>
  </rowBreaks>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sheetPr>
  <dimension ref="A1:IV298"/>
  <sheetViews>
    <sheetView showGridLines="0" showOutlineSymbols="0" zoomScale="70" zoomScaleNormal="70" workbookViewId="0"/>
  </sheetViews>
  <sheetFormatPr defaultColWidth="9.6640625" defaultRowHeight="15" x14ac:dyDescent="0.2"/>
  <cols>
    <col min="1" max="1" width="4" style="1" customWidth="1"/>
    <col min="2" max="2" width="71.21875" style="1" customWidth="1"/>
    <col min="3" max="3" width="2.21875" style="1" customWidth="1"/>
    <col min="4" max="4" width="19.33203125" style="1" customWidth="1"/>
    <col min="5" max="5" width="2.21875" style="1" customWidth="1"/>
    <col min="6" max="6" width="25.109375" style="1" customWidth="1"/>
    <col min="7" max="7" width="2.21875" style="1" customWidth="1"/>
    <col min="8" max="8" width="16.21875" style="1" customWidth="1"/>
    <col min="9" max="9" width="2.88671875" style="1" customWidth="1"/>
    <col min="10" max="10" width="16.21875" style="1" customWidth="1"/>
    <col min="11" max="11" width="2.21875" style="1" customWidth="1"/>
    <col min="12" max="12" width="17.88671875" style="1" customWidth="1"/>
    <col min="13" max="13" width="2.33203125" style="1" customWidth="1"/>
    <col min="14" max="14" width="14.88671875" style="1" customWidth="1"/>
    <col min="15" max="15" width="2.33203125" style="1" customWidth="1"/>
    <col min="16" max="16" width="15.5546875" style="1" customWidth="1"/>
    <col min="17" max="17" width="2.21875" style="1" customWidth="1"/>
    <col min="18" max="18" width="15.5546875" style="1" customWidth="1"/>
    <col min="19" max="20" width="12.6640625" style="1" customWidth="1"/>
    <col min="21" max="21" width="7.77734375" style="1" customWidth="1"/>
    <col min="22" max="22" width="14.6640625" style="1" customWidth="1"/>
    <col min="23" max="23" width="11.77734375" style="1" customWidth="1"/>
    <col min="24" max="16384" width="9.6640625" style="1"/>
  </cols>
  <sheetData>
    <row r="1" spans="1:24" ht="20.25" x14ac:dyDescent="0.3">
      <c r="A1" s="179"/>
      <c r="B1" s="274" t="s">
        <v>237</v>
      </c>
      <c r="C1" s="180"/>
      <c r="D1" s="180"/>
      <c r="E1" s="180"/>
      <c r="F1" s="180"/>
      <c r="G1" s="180"/>
      <c r="H1" s="180"/>
      <c r="I1" s="180"/>
      <c r="J1" s="180"/>
      <c r="K1" s="180"/>
      <c r="L1" s="180"/>
      <c r="M1" s="180"/>
      <c r="N1" s="180"/>
      <c r="O1" s="180"/>
      <c r="P1" s="180"/>
      <c r="Q1" s="180"/>
      <c r="R1" s="180"/>
      <c r="S1" s="180"/>
      <c r="T1" s="180"/>
      <c r="U1" s="180"/>
      <c r="V1" s="180"/>
      <c r="W1" s="180"/>
      <c r="X1" s="5"/>
    </row>
    <row r="2" spans="1:24" ht="15.75" x14ac:dyDescent="0.25">
      <c r="A2" s="181"/>
      <c r="B2" s="182"/>
      <c r="C2" s="183"/>
      <c r="D2" s="183"/>
      <c r="E2" s="183"/>
      <c r="F2" s="183"/>
      <c r="G2" s="183"/>
      <c r="H2" s="183"/>
      <c r="I2" s="183"/>
      <c r="J2" s="183"/>
      <c r="K2" s="183"/>
      <c r="L2" s="183"/>
      <c r="M2" s="183"/>
      <c r="N2" s="183"/>
      <c r="O2" s="183"/>
      <c r="P2" s="183"/>
      <c r="Q2" s="183"/>
      <c r="R2" s="183"/>
      <c r="S2" s="183"/>
      <c r="T2" s="183"/>
      <c r="U2" s="183"/>
      <c r="V2" s="183"/>
      <c r="W2" s="183"/>
      <c r="X2" s="5"/>
    </row>
    <row r="3" spans="1:24" ht="15.75" x14ac:dyDescent="0.25">
      <c r="A3" s="184"/>
      <c r="B3" s="185" t="s">
        <v>238</v>
      </c>
      <c r="C3" s="183"/>
      <c r="D3" s="183"/>
      <c r="E3" s="183"/>
      <c r="F3" s="183"/>
      <c r="G3" s="183"/>
      <c r="H3" s="183"/>
      <c r="I3" s="183"/>
      <c r="J3" s="183"/>
      <c r="K3" s="183"/>
      <c r="L3" s="183"/>
      <c r="M3" s="183"/>
      <c r="N3" s="183"/>
      <c r="O3" s="183"/>
      <c r="P3" s="183"/>
      <c r="Q3" s="183"/>
      <c r="R3" s="183"/>
      <c r="S3" s="183"/>
      <c r="T3" s="183"/>
      <c r="U3" s="183"/>
      <c r="V3" s="183"/>
      <c r="W3" s="183"/>
      <c r="X3" s="5"/>
    </row>
    <row r="4" spans="1:24" ht="15.75" x14ac:dyDescent="0.25">
      <c r="A4" s="181"/>
      <c r="B4" s="182"/>
      <c r="C4" s="183"/>
      <c r="D4" s="183"/>
      <c r="E4" s="183"/>
      <c r="F4" s="183"/>
      <c r="G4" s="183"/>
      <c r="H4" s="183"/>
      <c r="I4" s="183"/>
      <c r="J4" s="183"/>
      <c r="K4" s="183"/>
      <c r="L4" s="183"/>
      <c r="M4" s="183"/>
      <c r="N4" s="183"/>
      <c r="O4" s="183"/>
      <c r="P4" s="183"/>
      <c r="Q4" s="183"/>
      <c r="R4" s="183"/>
      <c r="S4" s="183"/>
      <c r="T4" s="183"/>
      <c r="U4" s="183"/>
      <c r="V4" s="183"/>
      <c r="W4" s="183"/>
      <c r="X4" s="5"/>
    </row>
    <row r="5" spans="1:24" ht="15.75" x14ac:dyDescent="0.25">
      <c r="A5" s="181"/>
      <c r="B5" s="275" t="s">
        <v>137</v>
      </c>
      <c r="C5" s="183"/>
      <c r="D5" s="183"/>
      <c r="E5" s="183"/>
      <c r="F5" s="183"/>
      <c r="G5" s="183"/>
      <c r="H5" s="183"/>
      <c r="I5" s="183"/>
      <c r="J5" s="183"/>
      <c r="K5" s="183"/>
      <c r="L5" s="183"/>
      <c r="M5" s="183"/>
      <c r="N5" s="183"/>
      <c r="O5" s="183"/>
      <c r="P5" s="183"/>
      <c r="Q5" s="183"/>
      <c r="R5" s="183"/>
      <c r="S5" s="183"/>
      <c r="T5" s="183"/>
      <c r="U5" s="183"/>
      <c r="V5" s="183"/>
      <c r="W5" s="183"/>
      <c r="X5" s="5"/>
    </row>
    <row r="6" spans="1:24" ht="15.75" x14ac:dyDescent="0.25">
      <c r="A6" s="181"/>
      <c r="B6" s="275" t="s">
        <v>139</v>
      </c>
      <c r="C6" s="183"/>
      <c r="D6" s="183"/>
      <c r="E6" s="183"/>
      <c r="F6" s="183"/>
      <c r="G6" s="183"/>
      <c r="H6" s="183"/>
      <c r="I6" s="183"/>
      <c r="J6" s="183"/>
      <c r="K6" s="183"/>
      <c r="L6" s="183"/>
      <c r="M6" s="183"/>
      <c r="N6" s="183"/>
      <c r="O6" s="183"/>
      <c r="P6" s="183"/>
      <c r="Q6" s="183"/>
      <c r="R6" s="183"/>
      <c r="S6" s="183"/>
      <c r="T6" s="183"/>
      <c r="U6" s="183"/>
      <c r="V6" s="183"/>
      <c r="W6" s="183"/>
      <c r="X6" s="5"/>
    </row>
    <row r="7" spans="1:24" ht="15.75" x14ac:dyDescent="0.25">
      <c r="A7" s="181"/>
      <c r="B7" s="275" t="s">
        <v>138</v>
      </c>
      <c r="C7" s="183"/>
      <c r="D7" s="183"/>
      <c r="E7" s="183"/>
      <c r="F7" s="183"/>
      <c r="G7" s="183"/>
      <c r="H7" s="183"/>
      <c r="I7" s="183"/>
      <c r="J7" s="183"/>
      <c r="K7" s="183"/>
      <c r="L7" s="183"/>
      <c r="M7" s="183"/>
      <c r="N7" s="183"/>
      <c r="O7" s="183"/>
      <c r="P7" s="183"/>
      <c r="Q7" s="183"/>
      <c r="R7" s="183"/>
      <c r="S7" s="183"/>
      <c r="T7" s="183"/>
      <c r="U7" s="183"/>
      <c r="V7" s="183"/>
      <c r="W7" s="183"/>
      <c r="X7" s="5"/>
    </row>
    <row r="8" spans="1:24" ht="15.75" x14ac:dyDescent="0.25">
      <c r="A8" s="181"/>
      <c r="B8" s="186"/>
      <c r="C8" s="183"/>
      <c r="D8" s="183"/>
      <c r="E8" s="183"/>
      <c r="F8" s="183"/>
      <c r="G8" s="183"/>
      <c r="H8" s="183"/>
      <c r="I8" s="183"/>
      <c r="J8" s="183"/>
      <c r="K8" s="183"/>
      <c r="L8" s="183"/>
      <c r="M8" s="183"/>
      <c r="N8" s="183"/>
      <c r="O8" s="183"/>
      <c r="P8" s="183"/>
      <c r="Q8" s="183"/>
      <c r="R8" s="183"/>
      <c r="S8" s="183"/>
      <c r="T8" s="183"/>
      <c r="U8" s="183"/>
      <c r="V8" s="183"/>
      <c r="W8" s="183"/>
      <c r="X8" s="5"/>
    </row>
    <row r="9" spans="1:24" ht="18.75" x14ac:dyDescent="0.3">
      <c r="A9" s="181"/>
      <c r="B9" s="187" t="s">
        <v>166</v>
      </c>
      <c r="C9" s="183"/>
      <c r="D9" s="183"/>
      <c r="E9" s="183"/>
      <c r="F9" s="183"/>
      <c r="G9" s="183"/>
      <c r="H9" s="183"/>
      <c r="I9" s="188" t="s">
        <v>167</v>
      </c>
      <c r="J9" s="183"/>
      <c r="K9" s="183"/>
      <c r="L9" s="188"/>
      <c r="M9" s="183"/>
      <c r="N9" s="188"/>
      <c r="O9" s="183"/>
      <c r="P9" s="183"/>
      <c r="Q9" s="183"/>
      <c r="R9" s="183"/>
      <c r="S9" s="183"/>
      <c r="T9" s="183"/>
      <c r="U9" s="183"/>
      <c r="V9" s="183"/>
      <c r="W9" s="183"/>
      <c r="X9" s="5"/>
    </row>
    <row r="10" spans="1:24" ht="15.75" x14ac:dyDescent="0.25">
      <c r="A10" s="181"/>
      <c r="B10" s="186"/>
      <c r="C10" s="189"/>
      <c r="D10" s="189"/>
      <c r="E10" s="189"/>
      <c r="F10" s="183"/>
      <c r="G10" s="183"/>
      <c r="H10" s="183"/>
      <c r="I10" s="183"/>
      <c r="J10" s="183"/>
      <c r="K10" s="183"/>
      <c r="L10" s="183"/>
      <c r="M10" s="183"/>
      <c r="N10" s="183"/>
      <c r="O10" s="183"/>
      <c r="P10" s="183"/>
      <c r="Q10" s="183"/>
      <c r="R10" s="183"/>
      <c r="S10" s="183"/>
      <c r="T10" s="183"/>
      <c r="U10" s="183"/>
      <c r="V10" s="183"/>
      <c r="W10" s="183"/>
      <c r="X10" s="5"/>
    </row>
    <row r="11" spans="1:24" ht="15.75" x14ac:dyDescent="0.25">
      <c r="A11" s="181"/>
      <c r="B11" s="388" t="s">
        <v>0</v>
      </c>
      <c r="C11" s="183"/>
      <c r="D11" s="183"/>
      <c r="E11" s="183"/>
      <c r="F11" s="183"/>
      <c r="G11" s="183"/>
      <c r="H11" s="183"/>
      <c r="I11" s="183"/>
      <c r="J11" s="183"/>
      <c r="K11" s="183"/>
      <c r="L11" s="183"/>
      <c r="M11" s="183"/>
      <c r="N11" s="183"/>
      <c r="O11" s="183"/>
      <c r="P11" s="183"/>
      <c r="Q11" s="183"/>
      <c r="R11" s="183"/>
      <c r="S11" s="183"/>
      <c r="T11" s="183"/>
      <c r="U11" s="183"/>
      <c r="V11" s="183"/>
      <c r="W11" s="183"/>
      <c r="X11" s="5"/>
    </row>
    <row r="12" spans="1:24" ht="16.5" thickBot="1" x14ac:dyDescent="0.3">
      <c r="A12" s="181"/>
      <c r="B12" s="189"/>
      <c r="C12" s="183"/>
      <c r="D12" s="183"/>
      <c r="E12" s="183"/>
      <c r="F12" s="183"/>
      <c r="G12" s="183"/>
      <c r="H12" s="183"/>
      <c r="I12" s="183"/>
      <c r="J12" s="183"/>
      <c r="K12" s="183"/>
      <c r="L12" s="183"/>
      <c r="M12" s="183"/>
      <c r="N12" s="183"/>
      <c r="O12" s="183"/>
      <c r="P12" s="183"/>
      <c r="Q12" s="183"/>
      <c r="R12" s="183"/>
      <c r="S12" s="183"/>
      <c r="T12" s="183"/>
      <c r="U12" s="183"/>
      <c r="V12" s="183"/>
      <c r="W12" s="183"/>
      <c r="X12" s="5"/>
    </row>
    <row r="13" spans="1:24" ht="15.75" x14ac:dyDescent="0.25">
      <c r="A13" s="179"/>
      <c r="B13" s="180"/>
      <c r="C13" s="180"/>
      <c r="D13" s="180"/>
      <c r="E13" s="180"/>
      <c r="F13" s="180"/>
      <c r="G13" s="180"/>
      <c r="H13" s="180"/>
      <c r="I13" s="180"/>
      <c r="J13" s="180"/>
      <c r="K13" s="180"/>
      <c r="L13" s="180"/>
      <c r="M13" s="180"/>
      <c r="N13" s="180"/>
      <c r="O13" s="180"/>
      <c r="P13" s="180"/>
      <c r="Q13" s="180"/>
      <c r="R13" s="180"/>
      <c r="S13" s="180"/>
      <c r="T13" s="180"/>
      <c r="U13" s="180"/>
      <c r="V13" s="180"/>
      <c r="W13" s="180"/>
      <c r="X13" s="5"/>
    </row>
    <row r="14" spans="1:24" ht="15.75" x14ac:dyDescent="0.25">
      <c r="A14" s="181"/>
      <c r="B14" s="388" t="s">
        <v>1</v>
      </c>
      <c r="C14" s="255"/>
      <c r="D14" s="255"/>
      <c r="E14" s="255"/>
      <c r="F14" s="255"/>
      <c r="G14" s="255"/>
      <c r="H14" s="255"/>
      <c r="I14" s="255"/>
      <c r="J14" s="255"/>
      <c r="K14" s="255"/>
      <c r="L14" s="255"/>
      <c r="M14" s="255"/>
      <c r="N14" s="255"/>
      <c r="O14" s="255"/>
      <c r="P14" s="255"/>
      <c r="Q14" s="255"/>
      <c r="R14" s="255"/>
      <c r="S14" s="255"/>
      <c r="T14" s="255"/>
      <c r="U14" s="255"/>
      <c r="V14" s="276" t="s">
        <v>239</v>
      </c>
      <c r="W14" s="255"/>
      <c r="X14" s="5"/>
    </row>
    <row r="15" spans="1:24" ht="15.75" x14ac:dyDescent="0.25">
      <c r="A15" s="181"/>
      <c r="B15" s="388" t="s">
        <v>2</v>
      </c>
      <c r="C15" s="255"/>
      <c r="D15" s="255"/>
      <c r="E15" s="255"/>
      <c r="F15" s="255"/>
      <c r="G15" s="255"/>
      <c r="H15" s="389"/>
      <c r="I15" s="389"/>
      <c r="J15" s="389"/>
      <c r="K15" s="389"/>
      <c r="L15" s="389"/>
      <c r="M15" s="389"/>
      <c r="N15" s="389"/>
      <c r="O15" s="389"/>
      <c r="P15" s="389"/>
      <c r="Q15" s="389"/>
      <c r="R15" s="389" t="s">
        <v>104</v>
      </c>
      <c r="S15" s="390">
        <v>0.47189999999999999</v>
      </c>
      <c r="T15" s="391" t="s">
        <v>140</v>
      </c>
      <c r="U15" s="390">
        <v>0.52810000000000001</v>
      </c>
      <c r="V15" s="276"/>
      <c r="W15" s="255"/>
      <c r="X15" s="5"/>
    </row>
    <row r="16" spans="1:24" ht="15.75" x14ac:dyDescent="0.25">
      <c r="A16" s="181"/>
      <c r="B16" s="388" t="s">
        <v>3</v>
      </c>
      <c r="C16" s="255"/>
      <c r="D16" s="255"/>
      <c r="E16" s="255"/>
      <c r="F16" s="255"/>
      <c r="G16" s="255"/>
      <c r="H16" s="389"/>
      <c r="I16" s="389"/>
      <c r="J16" s="389"/>
      <c r="K16" s="389"/>
      <c r="L16" s="389"/>
      <c r="M16" s="389"/>
      <c r="N16" s="389"/>
      <c r="O16" s="389"/>
      <c r="P16" s="389"/>
      <c r="Q16" s="389"/>
      <c r="R16" s="389" t="s">
        <v>104</v>
      </c>
      <c r="S16" s="390">
        <v>0.54510000000000003</v>
      </c>
      <c r="T16" s="391" t="s">
        <v>140</v>
      </c>
      <c r="U16" s="390">
        <v>0.45490000000000003</v>
      </c>
      <c r="V16" s="276"/>
      <c r="W16" s="255"/>
      <c r="X16" s="5"/>
    </row>
    <row r="17" spans="1:24" ht="15.75" x14ac:dyDescent="0.25">
      <c r="A17" s="181"/>
      <c r="B17" s="388" t="s">
        <v>4</v>
      </c>
      <c r="C17" s="255"/>
      <c r="D17" s="255"/>
      <c r="E17" s="255"/>
      <c r="F17" s="255"/>
      <c r="G17" s="255"/>
      <c r="H17" s="255"/>
      <c r="I17" s="255"/>
      <c r="J17" s="255"/>
      <c r="K17" s="255"/>
      <c r="L17" s="255"/>
      <c r="M17" s="255"/>
      <c r="N17" s="255"/>
      <c r="O17" s="255"/>
      <c r="P17" s="255"/>
      <c r="Q17" s="255"/>
      <c r="R17" s="255"/>
      <c r="S17" s="255"/>
      <c r="T17" s="255"/>
      <c r="U17" s="255"/>
      <c r="V17" s="392">
        <v>39282</v>
      </c>
      <c r="W17" s="255"/>
      <c r="X17" s="5"/>
    </row>
    <row r="18" spans="1:24" ht="15.75" x14ac:dyDescent="0.25">
      <c r="A18" s="181"/>
      <c r="B18" s="388" t="s">
        <v>5</v>
      </c>
      <c r="C18" s="255"/>
      <c r="D18" s="255"/>
      <c r="E18" s="255"/>
      <c r="F18" s="255"/>
      <c r="G18" s="255"/>
      <c r="H18" s="255"/>
      <c r="I18" s="255"/>
      <c r="J18" s="255"/>
      <c r="K18" s="255"/>
      <c r="L18" s="255"/>
      <c r="M18" s="255"/>
      <c r="N18" s="255"/>
      <c r="O18" s="255"/>
      <c r="P18" s="255"/>
      <c r="Q18" s="255"/>
      <c r="R18" s="255"/>
      <c r="S18" s="255"/>
      <c r="T18" s="255"/>
      <c r="U18" s="255"/>
      <c r="V18" s="392">
        <v>41722</v>
      </c>
      <c r="W18" s="255"/>
      <c r="X18" s="5"/>
    </row>
    <row r="19" spans="1:24" ht="15.75" x14ac:dyDescent="0.25">
      <c r="A19" s="181"/>
      <c r="B19" s="183"/>
      <c r="C19" s="183"/>
      <c r="D19" s="183"/>
      <c r="E19" s="183"/>
      <c r="F19" s="183"/>
      <c r="G19" s="183"/>
      <c r="H19" s="183"/>
      <c r="I19" s="183"/>
      <c r="J19" s="183"/>
      <c r="K19" s="183"/>
      <c r="L19" s="183"/>
      <c r="M19" s="183"/>
      <c r="N19" s="183"/>
      <c r="O19" s="183"/>
      <c r="P19" s="183"/>
      <c r="Q19" s="183"/>
      <c r="R19" s="183"/>
      <c r="S19" s="183"/>
      <c r="T19" s="183"/>
      <c r="U19" s="183"/>
      <c r="V19" s="190"/>
      <c r="W19" s="183"/>
      <c r="X19" s="5"/>
    </row>
    <row r="20" spans="1:24" ht="15.75" x14ac:dyDescent="0.25">
      <c r="A20" s="181"/>
      <c r="B20" s="280" t="s">
        <v>6</v>
      </c>
      <c r="C20" s="255"/>
      <c r="D20" s="255"/>
      <c r="E20" s="255"/>
      <c r="F20" s="255"/>
      <c r="G20" s="255"/>
      <c r="H20" s="255"/>
      <c r="I20" s="255"/>
      <c r="J20" s="255"/>
      <c r="K20" s="255"/>
      <c r="L20" s="255"/>
      <c r="M20" s="255"/>
      <c r="N20" s="255"/>
      <c r="O20" s="255"/>
      <c r="P20" s="255"/>
      <c r="Q20" s="255"/>
      <c r="R20" s="255"/>
      <c r="S20" s="255"/>
      <c r="T20" s="281" t="s">
        <v>105</v>
      </c>
      <c r="U20" s="255"/>
      <c r="V20" s="261"/>
      <c r="W20" s="183"/>
      <c r="X20" s="5"/>
    </row>
    <row r="21" spans="1:24" ht="15.75" x14ac:dyDescent="0.25">
      <c r="A21" s="181"/>
      <c r="B21" s="183"/>
      <c r="C21" s="183"/>
      <c r="D21" s="183"/>
      <c r="E21" s="183"/>
      <c r="F21" s="183"/>
      <c r="G21" s="183"/>
      <c r="H21" s="183"/>
      <c r="I21" s="183"/>
      <c r="J21" s="183"/>
      <c r="K21" s="183"/>
      <c r="L21" s="183"/>
      <c r="M21" s="183"/>
      <c r="N21" s="183"/>
      <c r="O21" s="183"/>
      <c r="P21" s="183"/>
      <c r="Q21" s="183"/>
      <c r="R21" s="183"/>
      <c r="S21" s="183"/>
      <c r="T21" s="183"/>
      <c r="U21" s="183"/>
      <c r="V21" s="192"/>
      <c r="W21" s="183"/>
      <c r="X21" s="5"/>
    </row>
    <row r="22" spans="1:24" ht="15.75" x14ac:dyDescent="0.25">
      <c r="A22" s="224"/>
      <c r="B22" s="225"/>
      <c r="C22" s="226"/>
      <c r="D22" s="226" t="s">
        <v>177</v>
      </c>
      <c r="E22" s="226"/>
      <c r="F22" s="226" t="s">
        <v>178</v>
      </c>
      <c r="G22" s="226"/>
      <c r="H22" s="226" t="s">
        <v>179</v>
      </c>
      <c r="I22" s="226"/>
      <c r="J22" s="226" t="s">
        <v>219</v>
      </c>
      <c r="K22" s="226"/>
      <c r="L22" s="226" t="s">
        <v>180</v>
      </c>
      <c r="M22" s="226"/>
      <c r="N22" s="226" t="s">
        <v>181</v>
      </c>
      <c r="O22" s="226"/>
      <c r="P22" s="226" t="s">
        <v>182</v>
      </c>
      <c r="Q22" s="226"/>
      <c r="R22" s="226"/>
      <c r="S22" s="228"/>
      <c r="T22" s="228"/>
      <c r="U22" s="229"/>
      <c r="V22" s="229"/>
      <c r="W22" s="225"/>
      <c r="X22" s="5"/>
    </row>
    <row r="23" spans="1:24" ht="15.75" x14ac:dyDescent="0.25">
      <c r="A23" s="193"/>
      <c r="B23" s="250" t="s">
        <v>7</v>
      </c>
      <c r="C23" s="282"/>
      <c r="D23" s="282" t="s">
        <v>212</v>
      </c>
      <c r="E23" s="282"/>
      <c r="F23" s="282" t="s">
        <v>141</v>
      </c>
      <c r="G23" s="282"/>
      <c r="H23" s="282" t="s">
        <v>141</v>
      </c>
      <c r="I23" s="282"/>
      <c r="J23" s="282" t="s">
        <v>141</v>
      </c>
      <c r="K23" s="282"/>
      <c r="L23" s="282" t="s">
        <v>183</v>
      </c>
      <c r="M23" s="282"/>
      <c r="N23" s="282" t="s">
        <v>183</v>
      </c>
      <c r="O23" s="282"/>
      <c r="P23" s="282" t="s">
        <v>142</v>
      </c>
      <c r="Q23" s="282"/>
      <c r="R23" s="282"/>
      <c r="S23" s="282"/>
      <c r="T23" s="282"/>
      <c r="U23" s="273"/>
      <c r="V23" s="273"/>
      <c r="W23" s="250"/>
      <c r="X23" s="5"/>
    </row>
    <row r="24" spans="1:24" ht="15.75" x14ac:dyDescent="0.25">
      <c r="A24" s="285"/>
      <c r="B24" s="286" t="s">
        <v>8</v>
      </c>
      <c r="C24" s="287"/>
      <c r="D24" s="287" t="s">
        <v>213</v>
      </c>
      <c r="E24" s="287"/>
      <c r="F24" s="287" t="s">
        <v>143</v>
      </c>
      <c r="G24" s="287"/>
      <c r="H24" s="287" t="s">
        <v>143</v>
      </c>
      <c r="I24" s="287"/>
      <c r="J24" s="287" t="s">
        <v>143</v>
      </c>
      <c r="K24" s="287"/>
      <c r="L24" s="287" t="s">
        <v>165</v>
      </c>
      <c r="M24" s="287"/>
      <c r="N24" s="287" t="s">
        <v>165</v>
      </c>
      <c r="O24" s="287"/>
      <c r="P24" s="287" t="s">
        <v>144</v>
      </c>
      <c r="Q24" s="287"/>
      <c r="R24" s="287"/>
      <c r="S24" s="287"/>
      <c r="T24" s="287"/>
      <c r="U24" s="288"/>
      <c r="V24" s="288"/>
      <c r="W24" s="289"/>
      <c r="X24" s="5"/>
    </row>
    <row r="25" spans="1:24" ht="15.75" x14ac:dyDescent="0.25">
      <c r="A25" s="290"/>
      <c r="B25" s="286" t="s">
        <v>190</v>
      </c>
      <c r="C25" s="292"/>
      <c r="D25" s="287" t="s">
        <v>214</v>
      </c>
      <c r="E25" s="287"/>
      <c r="F25" s="287" t="s">
        <v>143</v>
      </c>
      <c r="G25" s="287"/>
      <c r="H25" s="287" t="s">
        <v>143</v>
      </c>
      <c r="I25" s="287"/>
      <c r="J25" s="287" t="s">
        <v>143</v>
      </c>
      <c r="K25" s="287"/>
      <c r="L25" s="287" t="s">
        <v>165</v>
      </c>
      <c r="M25" s="287"/>
      <c r="N25" s="287" t="s">
        <v>165</v>
      </c>
      <c r="O25" s="287"/>
      <c r="P25" s="287" t="s">
        <v>144</v>
      </c>
      <c r="Q25" s="287"/>
      <c r="R25" s="287"/>
      <c r="S25" s="292"/>
      <c r="T25" s="287"/>
      <c r="U25" s="288"/>
      <c r="V25" s="288"/>
      <c r="W25" s="289"/>
      <c r="X25" s="5"/>
    </row>
    <row r="26" spans="1:24" ht="15.75" x14ac:dyDescent="0.25">
      <c r="A26" s="393"/>
      <c r="B26" s="297" t="s">
        <v>9</v>
      </c>
      <c r="C26" s="292"/>
      <c r="D26" s="292" t="s">
        <v>141</v>
      </c>
      <c r="E26" s="292"/>
      <c r="F26" s="292" t="s">
        <v>141</v>
      </c>
      <c r="G26" s="292"/>
      <c r="H26" s="292" t="s">
        <v>141</v>
      </c>
      <c r="I26" s="292"/>
      <c r="J26" s="292" t="s">
        <v>141</v>
      </c>
      <c r="K26" s="292"/>
      <c r="L26" s="292" t="s">
        <v>183</v>
      </c>
      <c r="M26" s="292"/>
      <c r="N26" s="292" t="s">
        <v>183</v>
      </c>
      <c r="O26" s="292"/>
      <c r="P26" s="292" t="s">
        <v>142</v>
      </c>
      <c r="Q26" s="292"/>
      <c r="R26" s="292"/>
      <c r="S26" s="292"/>
      <c r="T26" s="287"/>
      <c r="U26" s="288"/>
      <c r="V26" s="288"/>
      <c r="W26" s="289"/>
      <c r="X26" s="5"/>
    </row>
    <row r="27" spans="1:24" ht="15.75" x14ac:dyDescent="0.25">
      <c r="A27" s="295"/>
      <c r="B27" s="297" t="s">
        <v>191</v>
      </c>
      <c r="C27" s="287"/>
      <c r="D27" s="292" t="s">
        <v>143</v>
      </c>
      <c r="E27" s="292"/>
      <c r="F27" s="292" t="s">
        <v>143</v>
      </c>
      <c r="G27" s="292"/>
      <c r="H27" s="292" t="s">
        <v>143</v>
      </c>
      <c r="I27" s="292"/>
      <c r="J27" s="292" t="s">
        <v>143</v>
      </c>
      <c r="K27" s="292"/>
      <c r="L27" s="292" t="s">
        <v>307</v>
      </c>
      <c r="M27" s="292"/>
      <c r="N27" s="292" t="s">
        <v>307</v>
      </c>
      <c r="O27" s="292"/>
      <c r="P27" s="292" t="s">
        <v>308</v>
      </c>
      <c r="Q27" s="292"/>
      <c r="R27" s="292"/>
      <c r="S27" s="287"/>
      <c r="T27" s="296"/>
      <c r="U27" s="288"/>
      <c r="V27" s="288"/>
      <c r="W27" s="289"/>
      <c r="X27" s="5"/>
    </row>
    <row r="28" spans="1:24" ht="15.75" x14ac:dyDescent="0.25">
      <c r="A28" s="295"/>
      <c r="B28" s="297" t="s">
        <v>192</v>
      </c>
      <c r="C28" s="287"/>
      <c r="D28" s="292" t="s">
        <v>143</v>
      </c>
      <c r="E28" s="292"/>
      <c r="F28" s="292" t="s">
        <v>143</v>
      </c>
      <c r="G28" s="292"/>
      <c r="H28" s="292" t="s">
        <v>143</v>
      </c>
      <c r="I28" s="292"/>
      <c r="J28" s="292" t="s">
        <v>143</v>
      </c>
      <c r="K28" s="292"/>
      <c r="L28" s="292" t="s">
        <v>165</v>
      </c>
      <c r="M28" s="292"/>
      <c r="N28" s="292" t="s">
        <v>165</v>
      </c>
      <c r="O28" s="292"/>
      <c r="P28" s="292" t="s">
        <v>309</v>
      </c>
      <c r="Q28" s="292"/>
      <c r="R28" s="292"/>
      <c r="S28" s="287"/>
      <c r="T28" s="296"/>
      <c r="U28" s="288"/>
      <c r="V28" s="288"/>
      <c r="W28" s="289"/>
      <c r="X28" s="5"/>
    </row>
    <row r="29" spans="1:24" ht="15.75" x14ac:dyDescent="0.25">
      <c r="A29" s="295"/>
      <c r="B29" s="286" t="s">
        <v>10</v>
      </c>
      <c r="C29" s="298"/>
      <c r="D29" s="287" t="s">
        <v>242</v>
      </c>
      <c r="E29" s="287"/>
      <c r="F29" s="296" t="s">
        <v>244</v>
      </c>
      <c r="G29" s="287"/>
      <c r="H29" s="287" t="s">
        <v>245</v>
      </c>
      <c r="I29" s="287"/>
      <c r="J29" s="287" t="s">
        <v>247</v>
      </c>
      <c r="K29" s="287"/>
      <c r="L29" s="287" t="s">
        <v>248</v>
      </c>
      <c r="M29" s="287"/>
      <c r="N29" s="287" t="s">
        <v>249</v>
      </c>
      <c r="O29" s="287"/>
      <c r="P29" s="287" t="s">
        <v>250</v>
      </c>
      <c r="Q29" s="287"/>
      <c r="R29" s="287"/>
      <c r="S29" s="299"/>
      <c r="T29" s="299"/>
      <c r="U29" s="300"/>
      <c r="V29" s="299"/>
      <c r="W29" s="301"/>
      <c r="X29" s="5"/>
    </row>
    <row r="30" spans="1:24" ht="15.75" x14ac:dyDescent="0.25">
      <c r="A30" s="295"/>
      <c r="B30" s="286" t="s">
        <v>10</v>
      </c>
      <c r="C30" s="298"/>
      <c r="D30" s="287" t="s">
        <v>243</v>
      </c>
      <c r="E30" s="287"/>
      <c r="F30" s="296" t="s">
        <v>118</v>
      </c>
      <c r="G30" s="287"/>
      <c r="H30" s="287" t="s">
        <v>118</v>
      </c>
      <c r="I30" s="287"/>
      <c r="J30" s="287" t="s">
        <v>246</v>
      </c>
      <c r="K30" s="287"/>
      <c r="L30" s="287" t="s">
        <v>118</v>
      </c>
      <c r="M30" s="287"/>
      <c r="N30" s="287" t="s">
        <v>118</v>
      </c>
      <c r="O30" s="287"/>
      <c r="P30" s="287" t="s">
        <v>118</v>
      </c>
      <c r="Q30" s="287"/>
      <c r="R30" s="287"/>
      <c r="S30" s="299"/>
      <c r="T30" s="299"/>
      <c r="U30" s="300"/>
      <c r="V30" s="299"/>
      <c r="W30" s="301"/>
      <c r="X30" s="5"/>
    </row>
    <row r="31" spans="1:24" ht="15.75" x14ac:dyDescent="0.25">
      <c r="A31" s="393"/>
      <c r="B31" s="286" t="s">
        <v>133</v>
      </c>
      <c r="C31" s="310"/>
      <c r="D31" s="303">
        <v>1000000</v>
      </c>
      <c r="E31" s="298"/>
      <c r="F31" s="299">
        <v>209500</v>
      </c>
      <c r="G31" s="299"/>
      <c r="H31" s="304">
        <v>110000</v>
      </c>
      <c r="I31" s="304"/>
      <c r="J31" s="303">
        <v>150000</v>
      </c>
      <c r="K31" s="299"/>
      <c r="L31" s="299">
        <v>17000</v>
      </c>
      <c r="M31" s="299"/>
      <c r="N31" s="304">
        <v>85500</v>
      </c>
      <c r="O31" s="299"/>
      <c r="P31" s="304">
        <v>110500</v>
      </c>
      <c r="Q31" s="299"/>
      <c r="R31" s="304"/>
      <c r="S31" s="312"/>
      <c r="T31" s="312"/>
      <c r="U31" s="306"/>
      <c r="V31" s="312"/>
      <c r="W31" s="301"/>
      <c r="X31" s="5"/>
    </row>
    <row r="32" spans="1:24" ht="15.75" x14ac:dyDescent="0.25">
      <c r="A32" s="295"/>
      <c r="B32" s="286" t="s">
        <v>132</v>
      </c>
      <c r="C32" s="298"/>
      <c r="D32" s="303">
        <f>D31*D38</f>
        <v>751928.9</v>
      </c>
      <c r="E32" s="298"/>
      <c r="F32" s="299">
        <f>F31*F38</f>
        <v>157529.41880000001</v>
      </c>
      <c r="G32" s="299"/>
      <c r="H32" s="304">
        <f>H31*H38</f>
        <v>82712.872000000003</v>
      </c>
      <c r="I32" s="304"/>
      <c r="J32" s="303">
        <f>J31*J38</f>
        <v>112789.33500000001</v>
      </c>
      <c r="K32" s="299"/>
      <c r="L32" s="299">
        <f>L31*L38</f>
        <v>17000</v>
      </c>
      <c r="M32" s="299"/>
      <c r="N32" s="304">
        <f>N31*N38</f>
        <v>85500</v>
      </c>
      <c r="O32" s="299"/>
      <c r="P32" s="304">
        <f>P31*P38</f>
        <v>110500</v>
      </c>
      <c r="Q32" s="299"/>
      <c r="R32" s="304"/>
      <c r="S32" s="299"/>
      <c r="T32" s="299"/>
      <c r="U32" s="300"/>
      <c r="V32" s="299"/>
      <c r="W32" s="301"/>
      <c r="X32" s="5"/>
    </row>
    <row r="33" spans="1:27" ht="15.75" x14ac:dyDescent="0.25">
      <c r="A33" s="295"/>
      <c r="B33" s="297" t="s">
        <v>134</v>
      </c>
      <c r="C33" s="298"/>
      <c r="D33" s="394">
        <f>D37*D31</f>
        <v>745989.29999999993</v>
      </c>
      <c r="E33" s="310"/>
      <c r="F33" s="312">
        <f>F37*F31</f>
        <v>156285.07259999998</v>
      </c>
      <c r="G33" s="312"/>
      <c r="H33" s="395">
        <f>H31*H37</f>
        <v>82059.538</v>
      </c>
      <c r="I33" s="395"/>
      <c r="J33" s="394">
        <f>J37*J31</f>
        <v>111898.39499999999</v>
      </c>
      <c r="K33" s="312"/>
      <c r="L33" s="312">
        <f>L31*L37</f>
        <v>17000</v>
      </c>
      <c r="M33" s="312"/>
      <c r="N33" s="395">
        <f>N31*N37</f>
        <v>85500</v>
      </c>
      <c r="O33" s="312"/>
      <c r="P33" s="395">
        <f>P31*P37</f>
        <v>110500</v>
      </c>
      <c r="Q33" s="312"/>
      <c r="R33" s="395"/>
      <c r="S33" s="299"/>
      <c r="T33" s="299"/>
      <c r="U33" s="300"/>
      <c r="V33" s="299"/>
      <c r="W33" s="301"/>
      <c r="X33" s="5"/>
    </row>
    <row r="34" spans="1:27" ht="15.75" x14ac:dyDescent="0.25">
      <c r="A34" s="393"/>
      <c r="B34" s="286" t="s">
        <v>286</v>
      </c>
      <c r="C34" s="310"/>
      <c r="D34" s="299">
        <v>492951</v>
      </c>
      <c r="E34" s="298"/>
      <c r="F34" s="299">
        <v>209500</v>
      </c>
      <c r="G34" s="299"/>
      <c r="H34" s="299">
        <v>74677</v>
      </c>
      <c r="I34" s="299"/>
      <c r="J34" s="299">
        <v>73943</v>
      </c>
      <c r="K34" s="299"/>
      <c r="L34" s="299">
        <v>17000</v>
      </c>
      <c r="M34" s="299"/>
      <c r="N34" s="299">
        <v>58045</v>
      </c>
      <c r="O34" s="299"/>
      <c r="P34" s="299">
        <v>75017</v>
      </c>
      <c r="Q34" s="299"/>
      <c r="R34" s="299"/>
      <c r="S34" s="312"/>
      <c r="T34" s="312"/>
      <c r="U34" s="306"/>
      <c r="V34" s="299">
        <f>SUM(C34:R34)</f>
        <v>1001133</v>
      </c>
      <c r="W34" s="301"/>
      <c r="X34" s="5"/>
    </row>
    <row r="35" spans="1:27" ht="15.75" x14ac:dyDescent="0.25">
      <c r="A35" s="393"/>
      <c r="B35" s="286" t="s">
        <v>287</v>
      </c>
      <c r="C35" s="310"/>
      <c r="D35" s="299">
        <f>D34*D38</f>
        <v>370664.10318390001</v>
      </c>
      <c r="E35" s="298"/>
      <c r="F35" s="299">
        <f>F34*F38</f>
        <v>157529.41880000001</v>
      </c>
      <c r="G35" s="299"/>
      <c r="H35" s="299">
        <f>H34*H38</f>
        <v>56152.264930400001</v>
      </c>
      <c r="I35" s="299"/>
      <c r="J35" s="299">
        <f>J34*J38</f>
        <v>55599.878652699997</v>
      </c>
      <c r="K35" s="299"/>
      <c r="L35" s="299">
        <f>L34*L38</f>
        <v>17000</v>
      </c>
      <c r="M35" s="299"/>
      <c r="N35" s="299">
        <f>N34*N38</f>
        <v>58045</v>
      </c>
      <c r="O35" s="299"/>
      <c r="P35" s="299">
        <f>P34*P38</f>
        <v>75017</v>
      </c>
      <c r="Q35" s="299"/>
      <c r="R35" s="299"/>
      <c r="S35" s="299"/>
      <c r="T35" s="299"/>
      <c r="U35" s="300"/>
      <c r="V35" s="299">
        <f>SUM(C35:R35)-1</f>
        <v>790006.66556699993</v>
      </c>
      <c r="W35" s="301"/>
      <c r="X35" s="5"/>
    </row>
    <row r="36" spans="1:27" ht="15.75" x14ac:dyDescent="0.25">
      <c r="A36" s="393"/>
      <c r="B36" s="297" t="s">
        <v>288</v>
      </c>
      <c r="C36" s="310"/>
      <c r="D36" s="312">
        <f>D34*D37</f>
        <v>367736.1714243</v>
      </c>
      <c r="E36" s="310"/>
      <c r="F36" s="312">
        <f>F34*F37</f>
        <v>156285.07259999998</v>
      </c>
      <c r="G36" s="312"/>
      <c r="H36" s="312">
        <f>H34*H37</f>
        <v>55708.728356599997</v>
      </c>
      <c r="I36" s="312"/>
      <c r="J36" s="312">
        <f>J34*J37</f>
        <v>55160.686809899998</v>
      </c>
      <c r="K36" s="312"/>
      <c r="L36" s="312">
        <f>L34*L37</f>
        <v>17000</v>
      </c>
      <c r="M36" s="312"/>
      <c r="N36" s="312">
        <f>N34*N37</f>
        <v>58045</v>
      </c>
      <c r="O36" s="312"/>
      <c r="P36" s="312">
        <f>P34*P37</f>
        <v>75017</v>
      </c>
      <c r="Q36" s="312"/>
      <c r="R36" s="312"/>
      <c r="S36" s="311"/>
      <c r="T36" s="311"/>
      <c r="U36" s="300"/>
      <c r="V36" s="312">
        <f>SUM(C36:R36)-1</f>
        <v>784951.65919080004</v>
      </c>
      <c r="W36" s="301"/>
      <c r="X36" s="5"/>
    </row>
    <row r="37" spans="1:27" ht="15.75" x14ac:dyDescent="0.25">
      <c r="A37" s="285"/>
      <c r="B37" s="313" t="s">
        <v>130</v>
      </c>
      <c r="C37" s="314"/>
      <c r="D37" s="315">
        <v>0.74598929999999997</v>
      </c>
      <c r="E37" s="315"/>
      <c r="F37" s="315">
        <v>0.74599079999999995</v>
      </c>
      <c r="G37" s="315"/>
      <c r="H37" s="315">
        <v>0.74599579999999999</v>
      </c>
      <c r="I37" s="315"/>
      <c r="J37" s="315">
        <v>0.74598929999999997</v>
      </c>
      <c r="K37" s="315"/>
      <c r="L37" s="315">
        <v>1</v>
      </c>
      <c r="M37" s="315"/>
      <c r="N37" s="315">
        <v>1</v>
      </c>
      <c r="O37" s="315"/>
      <c r="P37" s="315">
        <v>1</v>
      </c>
      <c r="Q37" s="315"/>
      <c r="R37" s="315"/>
      <c r="S37" s="316"/>
      <c r="T37" s="316"/>
      <c r="U37" s="317"/>
      <c r="V37" s="317"/>
      <c r="W37" s="318"/>
      <c r="X37" s="5"/>
    </row>
    <row r="38" spans="1:27" ht="15.75" x14ac:dyDescent="0.25">
      <c r="A38" s="285"/>
      <c r="B38" s="313" t="s">
        <v>131</v>
      </c>
      <c r="C38" s="314"/>
      <c r="D38" s="315">
        <v>0.75192890000000001</v>
      </c>
      <c r="E38" s="315"/>
      <c r="F38" s="315">
        <v>0.7519304</v>
      </c>
      <c r="G38" s="315"/>
      <c r="H38" s="315">
        <v>0.75193520000000003</v>
      </c>
      <c r="I38" s="315"/>
      <c r="J38" s="315">
        <v>0.75192890000000001</v>
      </c>
      <c r="K38" s="315"/>
      <c r="L38" s="315">
        <v>1</v>
      </c>
      <c r="M38" s="315"/>
      <c r="N38" s="315">
        <v>1</v>
      </c>
      <c r="O38" s="315"/>
      <c r="P38" s="315">
        <v>1</v>
      </c>
      <c r="Q38" s="315"/>
      <c r="R38" s="315"/>
      <c r="S38" s="319"/>
      <c r="T38" s="320"/>
      <c r="U38" s="317"/>
      <c r="V38" s="319"/>
      <c r="W38" s="318"/>
      <c r="X38" s="5"/>
    </row>
    <row r="39" spans="1:27" ht="15.75" x14ac:dyDescent="0.25">
      <c r="A39" s="285"/>
      <c r="B39" s="286" t="s">
        <v>11</v>
      </c>
      <c r="C39" s="286"/>
      <c r="D39" s="296" t="s">
        <v>304</v>
      </c>
      <c r="E39" s="286"/>
      <c r="F39" s="296" t="s">
        <v>256</v>
      </c>
      <c r="G39" s="296"/>
      <c r="H39" s="296" t="s">
        <v>257</v>
      </c>
      <c r="I39" s="296"/>
      <c r="J39" s="296" t="s">
        <v>258</v>
      </c>
      <c r="K39" s="296"/>
      <c r="L39" s="296" t="s">
        <v>259</v>
      </c>
      <c r="M39" s="296"/>
      <c r="N39" s="296" t="s">
        <v>259</v>
      </c>
      <c r="O39" s="296"/>
      <c r="P39" s="296" t="s">
        <v>260</v>
      </c>
      <c r="Q39" s="296"/>
      <c r="R39" s="296"/>
      <c r="S39" s="321"/>
      <c r="T39" s="322"/>
      <c r="U39" s="288"/>
      <c r="V39" s="288"/>
      <c r="W39" s="289"/>
      <c r="X39" s="5"/>
    </row>
    <row r="40" spans="1:27" ht="15.75" x14ac:dyDescent="0.25">
      <c r="A40" s="285"/>
      <c r="B40" s="286" t="s">
        <v>12</v>
      </c>
      <c r="C40" s="286"/>
      <c r="D40" s="322">
        <v>3.3449999999999999E-3</v>
      </c>
      <c r="E40" s="286"/>
      <c r="F40" s="322">
        <v>7.8519000000000002E-3</v>
      </c>
      <c r="G40" s="321"/>
      <c r="H40" s="322">
        <v>5.1700000000000001E-3</v>
      </c>
      <c r="I40" s="322"/>
      <c r="J40" s="322">
        <v>4.6284999999999998E-3</v>
      </c>
      <c r="K40" s="321"/>
      <c r="L40" s="322">
        <v>1.0651900000000001E-2</v>
      </c>
      <c r="M40" s="321"/>
      <c r="N40" s="322">
        <v>8.1700000000000002E-3</v>
      </c>
      <c r="O40" s="321"/>
      <c r="P40" s="322">
        <v>1.3769999999999999E-2</v>
      </c>
      <c r="Q40" s="321"/>
      <c r="R40" s="322"/>
      <c r="S40" s="321"/>
      <c r="T40" s="322"/>
      <c r="U40" s="288"/>
      <c r="V40" s="296"/>
      <c r="W40" s="289"/>
      <c r="X40" s="5"/>
      <c r="AA40" s="1" t="s">
        <v>193</v>
      </c>
    </row>
    <row r="41" spans="1:27" ht="15.75" x14ac:dyDescent="0.25">
      <c r="A41" s="285"/>
      <c r="B41" s="286" t="s">
        <v>13</v>
      </c>
      <c r="C41" s="286"/>
      <c r="D41" s="322">
        <v>3.4770000000000001E-3</v>
      </c>
      <c r="E41" s="286"/>
      <c r="F41" s="322">
        <v>7.7738E-3</v>
      </c>
      <c r="G41" s="321"/>
      <c r="H41" s="322">
        <v>4.64E-3</v>
      </c>
      <c r="I41" s="322"/>
      <c r="J41" s="322">
        <v>4.744E-3</v>
      </c>
      <c r="K41" s="321"/>
      <c r="L41" s="322">
        <v>1.05738E-2</v>
      </c>
      <c r="M41" s="321"/>
      <c r="N41" s="322">
        <v>7.6400000000000001E-3</v>
      </c>
      <c r="O41" s="321"/>
      <c r="P41" s="322">
        <v>1.324E-2</v>
      </c>
      <c r="Q41" s="321"/>
      <c r="R41" s="322"/>
      <c r="S41" s="321"/>
      <c r="T41" s="322"/>
      <c r="U41" s="288"/>
      <c r="V41" s="321" t="s">
        <v>193</v>
      </c>
      <c r="W41" s="289"/>
      <c r="X41" s="5"/>
    </row>
    <row r="42" spans="1:27" ht="15.75" x14ac:dyDescent="0.25">
      <c r="A42" s="285"/>
      <c r="B42" s="286" t="s">
        <v>289</v>
      </c>
      <c r="C42" s="286"/>
      <c r="D42" s="296" t="s">
        <v>311</v>
      </c>
      <c r="E42" s="286"/>
      <c r="F42" s="296" t="s">
        <v>256</v>
      </c>
      <c r="G42" s="296"/>
      <c r="H42" s="296" t="s">
        <v>261</v>
      </c>
      <c r="I42" s="296"/>
      <c r="J42" s="296" t="s">
        <v>261</v>
      </c>
      <c r="K42" s="296"/>
      <c r="L42" s="296" t="s">
        <v>259</v>
      </c>
      <c r="M42" s="296"/>
      <c r="N42" s="296" t="s">
        <v>263</v>
      </c>
      <c r="O42" s="296"/>
      <c r="P42" s="296" t="s">
        <v>264</v>
      </c>
      <c r="Q42" s="296"/>
      <c r="R42" s="296"/>
      <c r="S42" s="321"/>
      <c r="T42" s="322"/>
      <c r="U42" s="288"/>
      <c r="V42" s="288"/>
      <c r="W42" s="289"/>
      <c r="X42" s="5"/>
    </row>
    <row r="43" spans="1:27" ht="15.75" x14ac:dyDescent="0.25">
      <c r="A43" s="285"/>
      <c r="B43" s="286" t="s">
        <v>290</v>
      </c>
      <c r="C43" s="323"/>
      <c r="D43" s="322">
        <v>7.2487999999999997E-3</v>
      </c>
      <c r="E43" s="322"/>
      <c r="F43" s="322">
        <f>+F40</f>
        <v>7.8519000000000002E-3</v>
      </c>
      <c r="G43" s="322"/>
      <c r="H43" s="322">
        <v>8.0018999999999993E-3</v>
      </c>
      <c r="I43" s="322"/>
      <c r="J43" s="322">
        <v>8.0318999999999998E-3</v>
      </c>
      <c r="K43" s="322"/>
      <c r="L43" s="322">
        <f>+L40</f>
        <v>1.0651900000000001E-2</v>
      </c>
      <c r="M43" s="322"/>
      <c r="N43" s="322">
        <v>1.1385899999999999E-2</v>
      </c>
      <c r="O43" s="322"/>
      <c r="P43" s="322">
        <v>1.75459E-2</v>
      </c>
      <c r="Q43" s="321"/>
      <c r="R43" s="322"/>
      <c r="S43" s="296"/>
      <c r="T43" s="296"/>
      <c r="U43" s="288"/>
      <c r="V43" s="321">
        <f>SUMPRODUCT(D43:R43,D35:R35)/V35</f>
        <v>8.8326980247998583E-3</v>
      </c>
      <c r="W43" s="289"/>
      <c r="X43" s="5"/>
    </row>
    <row r="44" spans="1:27" ht="15.75" x14ac:dyDescent="0.25">
      <c r="A44" s="285"/>
      <c r="B44" s="286" t="s">
        <v>291</v>
      </c>
      <c r="C44" s="323"/>
      <c r="D44" s="322">
        <v>7.1707000000000003E-3</v>
      </c>
      <c r="E44" s="322"/>
      <c r="F44" s="322">
        <f>+F41</f>
        <v>7.7738E-3</v>
      </c>
      <c r="G44" s="322"/>
      <c r="H44" s="322">
        <v>7.9237999999999999E-3</v>
      </c>
      <c r="I44" s="322"/>
      <c r="J44" s="322">
        <v>7.9538000000000005E-3</v>
      </c>
      <c r="K44" s="322"/>
      <c r="L44" s="322">
        <f>+L41</f>
        <v>1.05738E-2</v>
      </c>
      <c r="M44" s="322"/>
      <c r="N44" s="322">
        <v>1.13078E-2</v>
      </c>
      <c r="O44" s="322"/>
      <c r="P44" s="322">
        <v>1.7467799999999999E-2</v>
      </c>
      <c r="Q44" s="321"/>
      <c r="R44" s="322"/>
      <c r="S44" s="296"/>
      <c r="T44" s="296"/>
      <c r="U44" s="288"/>
      <c r="V44" s="288"/>
      <c r="W44" s="289"/>
      <c r="X44" s="5"/>
    </row>
    <row r="45" spans="1:27" ht="15.75" x14ac:dyDescent="0.25">
      <c r="A45" s="285"/>
      <c r="B45" s="286" t="s">
        <v>14</v>
      </c>
      <c r="C45" s="286"/>
      <c r="D45" s="323">
        <v>40709</v>
      </c>
      <c r="E45" s="323"/>
      <c r="F45" s="323">
        <v>40709</v>
      </c>
      <c r="G45" s="323"/>
      <c r="H45" s="323">
        <v>40709</v>
      </c>
      <c r="I45" s="323"/>
      <c r="J45" s="323">
        <v>40709</v>
      </c>
      <c r="K45" s="323"/>
      <c r="L45" s="323">
        <v>40709</v>
      </c>
      <c r="M45" s="323"/>
      <c r="N45" s="323">
        <v>40709</v>
      </c>
      <c r="O45" s="323"/>
      <c r="P45" s="323">
        <v>40709</v>
      </c>
      <c r="Q45" s="323"/>
      <c r="R45" s="323"/>
      <c r="S45" s="296"/>
      <c r="T45" s="296"/>
      <c r="U45" s="288"/>
      <c r="V45" s="288"/>
      <c r="W45" s="289"/>
      <c r="X45" s="5"/>
    </row>
    <row r="46" spans="1:27" ht="15.75" x14ac:dyDescent="0.25">
      <c r="A46" s="285"/>
      <c r="B46" s="286" t="s">
        <v>15</v>
      </c>
      <c r="C46" s="286"/>
      <c r="D46" s="323">
        <v>41075</v>
      </c>
      <c r="E46" s="323"/>
      <c r="F46" s="323">
        <v>41075</v>
      </c>
      <c r="G46" s="323"/>
      <c r="H46" s="323">
        <v>41075</v>
      </c>
      <c r="I46" s="323"/>
      <c r="J46" s="323">
        <v>41075</v>
      </c>
      <c r="K46" s="296"/>
      <c r="L46" s="323">
        <v>41075</v>
      </c>
      <c r="M46" s="296"/>
      <c r="N46" s="323">
        <v>41075</v>
      </c>
      <c r="O46" s="296"/>
      <c r="P46" s="323">
        <v>41075</v>
      </c>
      <c r="Q46" s="296"/>
      <c r="R46" s="323"/>
      <c r="S46" s="296"/>
      <c r="T46" s="296"/>
      <c r="U46" s="288"/>
      <c r="V46" s="288"/>
      <c r="W46" s="289"/>
      <c r="X46" s="5"/>
    </row>
    <row r="47" spans="1:27" ht="15.75" x14ac:dyDescent="0.25">
      <c r="A47" s="285"/>
      <c r="B47" s="286" t="s">
        <v>119</v>
      </c>
      <c r="C47" s="286"/>
      <c r="D47" s="296" t="s">
        <v>304</v>
      </c>
      <c r="E47" s="286"/>
      <c r="F47" s="296" t="s">
        <v>256</v>
      </c>
      <c r="G47" s="296"/>
      <c r="H47" s="296" t="s">
        <v>257</v>
      </c>
      <c r="I47" s="296"/>
      <c r="J47" s="296" t="s">
        <v>258</v>
      </c>
      <c r="K47" s="296"/>
      <c r="L47" s="296" t="s">
        <v>259</v>
      </c>
      <c r="M47" s="296"/>
      <c r="N47" s="296" t="s">
        <v>259</v>
      </c>
      <c r="O47" s="296"/>
      <c r="P47" s="296" t="s">
        <v>260</v>
      </c>
      <c r="Q47" s="296"/>
      <c r="R47" s="296"/>
      <c r="S47" s="325"/>
      <c r="T47" s="325"/>
      <c r="U47" s="325"/>
      <c r="V47" s="325"/>
      <c r="W47" s="289"/>
      <c r="X47" s="5"/>
    </row>
    <row r="48" spans="1:27" ht="15.75" x14ac:dyDescent="0.25">
      <c r="A48" s="285"/>
      <c r="B48" s="286" t="s">
        <v>292</v>
      </c>
      <c r="C48" s="286"/>
      <c r="D48" s="296" t="s">
        <v>311</v>
      </c>
      <c r="E48" s="286"/>
      <c r="F48" s="296" t="s">
        <v>256</v>
      </c>
      <c r="G48" s="296"/>
      <c r="H48" s="296" t="s">
        <v>261</v>
      </c>
      <c r="I48" s="296"/>
      <c r="J48" s="296" t="s">
        <v>261</v>
      </c>
      <c r="K48" s="296"/>
      <c r="L48" s="296" t="s">
        <v>259</v>
      </c>
      <c r="M48" s="296"/>
      <c r="N48" s="296" t="s">
        <v>263</v>
      </c>
      <c r="O48" s="296"/>
      <c r="P48" s="296" t="s">
        <v>264</v>
      </c>
      <c r="Q48" s="296"/>
      <c r="R48" s="296"/>
      <c r="S48" s="286"/>
      <c r="T48" s="286"/>
      <c r="U48" s="286"/>
      <c r="V48" s="321"/>
      <c r="W48" s="289"/>
      <c r="X48" s="5"/>
    </row>
    <row r="49" spans="1:25" ht="15.75" x14ac:dyDescent="0.25">
      <c r="A49" s="285"/>
      <c r="B49" s="286"/>
      <c r="C49" s="286"/>
      <c r="D49" s="296"/>
      <c r="E49" s="286"/>
      <c r="F49" s="296"/>
      <c r="G49" s="296"/>
      <c r="H49" s="296"/>
      <c r="I49" s="296"/>
      <c r="J49" s="296"/>
      <c r="K49" s="296"/>
      <c r="L49" s="296"/>
      <c r="M49" s="296"/>
      <c r="N49" s="296"/>
      <c r="O49" s="296"/>
      <c r="P49" s="296"/>
      <c r="Q49" s="296"/>
      <c r="R49" s="296"/>
      <c r="S49" s="286"/>
      <c r="T49" s="286"/>
      <c r="U49" s="286"/>
      <c r="V49" s="321" t="s">
        <v>193</v>
      </c>
      <c r="W49" s="289"/>
      <c r="X49" s="5"/>
    </row>
    <row r="50" spans="1:25" ht="15.75" x14ac:dyDescent="0.25">
      <c r="A50" s="285"/>
      <c r="B50" s="286" t="s">
        <v>169</v>
      </c>
      <c r="C50" s="286"/>
      <c r="D50" s="296"/>
      <c r="E50" s="286"/>
      <c r="F50" s="296"/>
      <c r="G50" s="296"/>
      <c r="H50" s="296"/>
      <c r="I50" s="296"/>
      <c r="J50" s="296"/>
      <c r="K50" s="296"/>
      <c r="L50" s="296"/>
      <c r="M50" s="296"/>
      <c r="N50" s="296"/>
      <c r="O50" s="296"/>
      <c r="P50" s="296"/>
      <c r="Q50" s="296"/>
      <c r="R50" s="296"/>
      <c r="S50" s="286"/>
      <c r="T50" s="286"/>
      <c r="U50" s="286"/>
      <c r="V50" s="321">
        <f>SUM(L34:R34)/SUM(D34:J34)</f>
        <v>0.17632136449250416</v>
      </c>
      <c r="W50" s="289"/>
      <c r="X50" s="5"/>
    </row>
    <row r="51" spans="1:25" ht="15.75" x14ac:dyDescent="0.25">
      <c r="A51" s="285"/>
      <c r="B51" s="286" t="s">
        <v>170</v>
      </c>
      <c r="C51" s="286"/>
      <c r="D51" s="286"/>
      <c r="E51" s="286"/>
      <c r="F51" s="326"/>
      <c r="G51" s="286"/>
      <c r="H51" s="286"/>
      <c r="I51" s="286"/>
      <c r="J51" s="286"/>
      <c r="K51" s="286"/>
      <c r="L51" s="286"/>
      <c r="M51" s="286"/>
      <c r="N51" s="286"/>
      <c r="O51" s="286"/>
      <c r="P51" s="286"/>
      <c r="Q51" s="286"/>
      <c r="R51" s="286"/>
      <c r="S51" s="286"/>
      <c r="T51" s="286"/>
      <c r="U51" s="286"/>
      <c r="V51" s="321">
        <f>SUM(L36:R36)/SUM(D36:J36)</f>
        <v>0.23635880891878538</v>
      </c>
      <c r="W51" s="289"/>
      <c r="X51" s="5"/>
    </row>
    <row r="52" spans="1:25" ht="15.75" x14ac:dyDescent="0.25">
      <c r="A52" s="285"/>
      <c r="B52" s="286" t="s">
        <v>171</v>
      </c>
      <c r="C52" s="286"/>
      <c r="D52" s="286"/>
      <c r="E52" s="286"/>
      <c r="F52" s="286"/>
      <c r="G52" s="286"/>
      <c r="H52" s="286"/>
      <c r="I52" s="286"/>
      <c r="J52" s="286"/>
      <c r="K52" s="286"/>
      <c r="L52" s="286"/>
      <c r="M52" s="286"/>
      <c r="N52" s="286"/>
      <c r="O52" s="286"/>
      <c r="P52" s="286"/>
      <c r="Q52" s="286"/>
      <c r="R52" s="286"/>
      <c r="S52" s="286"/>
      <c r="T52" s="296"/>
      <c r="U52" s="296"/>
      <c r="V52" s="299" t="s">
        <v>268</v>
      </c>
      <c r="W52" s="289"/>
      <c r="X52" s="5"/>
    </row>
    <row r="53" spans="1:25" ht="15.75" x14ac:dyDescent="0.25">
      <c r="A53" s="285"/>
      <c r="B53" s="286"/>
      <c r="C53" s="286"/>
      <c r="D53" s="286"/>
      <c r="E53" s="286"/>
      <c r="F53" s="286"/>
      <c r="G53" s="286"/>
      <c r="H53" s="286"/>
      <c r="I53" s="286"/>
      <c r="J53" s="286"/>
      <c r="K53" s="286"/>
      <c r="L53" s="286"/>
      <c r="M53" s="286"/>
      <c r="N53" s="286"/>
      <c r="O53" s="286"/>
      <c r="P53" s="286"/>
      <c r="Q53" s="286"/>
      <c r="R53" s="286"/>
      <c r="S53" s="286"/>
      <c r="T53" s="286"/>
      <c r="U53" s="286"/>
      <c r="V53" s="327"/>
      <c r="W53" s="289"/>
      <c r="X53" s="5"/>
    </row>
    <row r="54" spans="1:25" ht="15.75" x14ac:dyDescent="0.25">
      <c r="A54" s="285"/>
      <c r="B54" s="286" t="s">
        <v>202</v>
      </c>
      <c r="C54" s="286"/>
      <c r="D54" s="286"/>
      <c r="E54" s="286"/>
      <c r="F54" s="286"/>
      <c r="G54" s="286"/>
      <c r="H54" s="286"/>
      <c r="I54" s="286"/>
      <c r="J54" s="286"/>
      <c r="K54" s="286"/>
      <c r="L54" s="286"/>
      <c r="M54" s="286"/>
      <c r="N54" s="286"/>
      <c r="O54" s="286"/>
      <c r="P54" s="286"/>
      <c r="Q54" s="286"/>
      <c r="R54" s="286"/>
      <c r="S54" s="286"/>
      <c r="T54" s="286"/>
      <c r="U54" s="286"/>
      <c r="V54" s="311" t="s">
        <v>203</v>
      </c>
      <c r="W54" s="289"/>
      <c r="X54" s="5"/>
    </row>
    <row r="55" spans="1:25" ht="15.75" x14ac:dyDescent="0.25">
      <c r="A55" s="285"/>
      <c r="B55" s="286" t="s">
        <v>270</v>
      </c>
      <c r="C55" s="286"/>
      <c r="D55" s="286"/>
      <c r="E55" s="286"/>
      <c r="F55" s="286"/>
      <c r="G55" s="286"/>
      <c r="H55" s="286"/>
      <c r="I55" s="286"/>
      <c r="J55" s="286"/>
      <c r="K55" s="286"/>
      <c r="L55" s="286"/>
      <c r="M55" s="286"/>
      <c r="N55" s="286"/>
      <c r="O55" s="286"/>
      <c r="P55" s="286"/>
      <c r="Q55" s="286"/>
      <c r="R55" s="286"/>
      <c r="S55" s="286"/>
      <c r="T55" s="296"/>
      <c r="U55" s="296"/>
      <c r="V55" s="396" t="s">
        <v>111</v>
      </c>
      <c r="W55" s="289"/>
      <c r="X55" s="5"/>
    </row>
    <row r="56" spans="1:25" ht="15.75" x14ac:dyDescent="0.25">
      <c r="A56" s="285"/>
      <c r="B56" s="297" t="s">
        <v>201</v>
      </c>
      <c r="C56" s="297"/>
      <c r="D56" s="297"/>
      <c r="E56" s="297"/>
      <c r="F56" s="297"/>
      <c r="G56" s="297"/>
      <c r="H56" s="297"/>
      <c r="I56" s="297"/>
      <c r="J56" s="297"/>
      <c r="K56" s="297"/>
      <c r="L56" s="297"/>
      <c r="M56" s="297"/>
      <c r="N56" s="297"/>
      <c r="O56" s="297"/>
      <c r="P56" s="297"/>
      <c r="Q56" s="297"/>
      <c r="R56" s="297"/>
      <c r="S56" s="297"/>
      <c r="T56" s="397"/>
      <c r="U56" s="397"/>
      <c r="V56" s="398">
        <v>41715</v>
      </c>
      <c r="W56" s="289"/>
      <c r="X56" s="5"/>
    </row>
    <row r="57" spans="1:25" ht="15.75" x14ac:dyDescent="0.25">
      <c r="A57" s="285"/>
      <c r="B57" s="286" t="s">
        <v>121</v>
      </c>
      <c r="C57" s="286"/>
      <c r="D57" s="286"/>
      <c r="E57" s="286"/>
      <c r="F57" s="286"/>
      <c r="G57" s="286"/>
      <c r="H57" s="332"/>
      <c r="I57" s="332"/>
      <c r="J57" s="332"/>
      <c r="K57" s="332"/>
      <c r="L57" s="332"/>
      <c r="M57" s="332"/>
      <c r="N57" s="332"/>
      <c r="O57" s="332"/>
      <c r="P57" s="332"/>
      <c r="Q57" s="332"/>
      <c r="R57" s="286">
        <f>+V57-T57+1</f>
        <v>91</v>
      </c>
      <c r="S57" s="332"/>
      <c r="T57" s="333">
        <v>41533</v>
      </c>
      <c r="U57" s="334"/>
      <c r="V57" s="333">
        <v>41623</v>
      </c>
      <c r="W57" s="289"/>
      <c r="X57" s="5"/>
    </row>
    <row r="58" spans="1:25" ht="15.75" x14ac:dyDescent="0.25">
      <c r="A58" s="285"/>
      <c r="B58" s="286" t="s">
        <v>122</v>
      </c>
      <c r="C58" s="286"/>
      <c r="D58" s="286"/>
      <c r="E58" s="286"/>
      <c r="F58" s="286"/>
      <c r="G58" s="286"/>
      <c r="H58" s="286"/>
      <c r="I58" s="286"/>
      <c r="J58" s="286"/>
      <c r="K58" s="286"/>
      <c r="L58" s="286"/>
      <c r="M58" s="286"/>
      <c r="N58" s="286"/>
      <c r="O58" s="286"/>
      <c r="P58" s="286"/>
      <c r="Q58" s="286"/>
      <c r="R58" s="286">
        <f>+V58-T58+1</f>
        <v>91</v>
      </c>
      <c r="S58" s="286"/>
      <c r="T58" s="333">
        <v>41624</v>
      </c>
      <c r="U58" s="334"/>
      <c r="V58" s="333">
        <v>41714</v>
      </c>
      <c r="W58" s="289"/>
      <c r="X58" s="5"/>
    </row>
    <row r="59" spans="1:25" ht="15.75" x14ac:dyDescent="0.25">
      <c r="A59" s="285"/>
      <c r="B59" s="286" t="s">
        <v>223</v>
      </c>
      <c r="C59" s="286"/>
      <c r="D59" s="286"/>
      <c r="E59" s="286"/>
      <c r="F59" s="286"/>
      <c r="G59" s="286"/>
      <c r="H59" s="286"/>
      <c r="I59" s="286"/>
      <c r="J59" s="286"/>
      <c r="K59" s="286"/>
      <c r="L59" s="286"/>
      <c r="M59" s="286"/>
      <c r="N59" s="286"/>
      <c r="O59" s="286"/>
      <c r="P59" s="286"/>
      <c r="Q59" s="286"/>
      <c r="R59" s="286"/>
      <c r="S59" s="286"/>
      <c r="T59" s="333"/>
      <c r="U59" s="334"/>
      <c r="V59" s="333" t="s">
        <v>120</v>
      </c>
      <c r="W59" s="289"/>
      <c r="X59" s="5"/>
    </row>
    <row r="60" spans="1:25" ht="15.75" x14ac:dyDescent="0.25">
      <c r="A60" s="285"/>
      <c r="B60" s="286" t="s">
        <v>271</v>
      </c>
      <c r="C60" s="286"/>
      <c r="D60" s="286"/>
      <c r="E60" s="286"/>
      <c r="F60" s="286"/>
      <c r="G60" s="286"/>
      <c r="H60" s="286"/>
      <c r="I60" s="286"/>
      <c r="J60" s="286"/>
      <c r="K60" s="286"/>
      <c r="L60" s="286"/>
      <c r="M60" s="286"/>
      <c r="N60" s="286"/>
      <c r="O60" s="286"/>
      <c r="P60" s="286"/>
      <c r="Q60" s="286"/>
      <c r="R60" s="286"/>
      <c r="S60" s="286"/>
      <c r="T60" s="333"/>
      <c r="U60" s="334"/>
      <c r="V60" s="333" t="s">
        <v>154</v>
      </c>
      <c r="W60" s="289"/>
      <c r="X60" s="5"/>
      <c r="Y60" s="133"/>
    </row>
    <row r="61" spans="1:25" ht="15.75" x14ac:dyDescent="0.25">
      <c r="A61" s="285"/>
      <c r="B61" s="286" t="s">
        <v>16</v>
      </c>
      <c r="C61" s="286"/>
      <c r="D61" s="286"/>
      <c r="E61" s="286"/>
      <c r="F61" s="286"/>
      <c r="G61" s="286"/>
      <c r="H61" s="286"/>
      <c r="I61" s="286"/>
      <c r="J61" s="286"/>
      <c r="K61" s="286"/>
      <c r="L61" s="286"/>
      <c r="M61" s="286"/>
      <c r="N61" s="286"/>
      <c r="O61" s="286"/>
      <c r="P61" s="286"/>
      <c r="Q61" s="286"/>
      <c r="R61" s="286"/>
      <c r="S61" s="286"/>
      <c r="T61" s="333"/>
      <c r="U61" s="334"/>
      <c r="V61" s="333">
        <v>41701</v>
      </c>
      <c r="W61" s="289"/>
      <c r="X61" s="5"/>
    </row>
    <row r="62" spans="1:25" ht="15.75" x14ac:dyDescent="0.25">
      <c r="A62" s="181"/>
      <c r="B62" s="212"/>
      <c r="C62" s="212"/>
      <c r="D62" s="212"/>
      <c r="E62" s="212"/>
      <c r="F62" s="212"/>
      <c r="G62" s="212"/>
      <c r="H62" s="212"/>
      <c r="I62" s="212"/>
      <c r="J62" s="212"/>
      <c r="K62" s="212"/>
      <c r="L62" s="212"/>
      <c r="M62" s="212"/>
      <c r="N62" s="212"/>
      <c r="O62" s="212"/>
      <c r="P62" s="212"/>
      <c r="Q62" s="212"/>
      <c r="R62" s="212"/>
      <c r="S62" s="212"/>
      <c r="T62" s="283"/>
      <c r="U62" s="284"/>
      <c r="V62" s="283"/>
      <c r="W62" s="212"/>
      <c r="X62" s="5"/>
    </row>
    <row r="63" spans="1:25" ht="15.75" x14ac:dyDescent="0.25">
      <c r="A63" s="181"/>
      <c r="B63" s="183"/>
      <c r="C63" s="183"/>
      <c r="D63" s="183"/>
      <c r="E63" s="183"/>
      <c r="F63" s="183"/>
      <c r="G63" s="183"/>
      <c r="H63" s="183"/>
      <c r="I63" s="183"/>
      <c r="J63" s="183"/>
      <c r="K63" s="183"/>
      <c r="L63" s="183"/>
      <c r="M63" s="183"/>
      <c r="N63" s="183"/>
      <c r="O63" s="183"/>
      <c r="P63" s="183"/>
      <c r="Q63" s="183"/>
      <c r="R63" s="183"/>
      <c r="S63" s="183"/>
      <c r="T63" s="195"/>
      <c r="U63" s="196"/>
      <c r="V63" s="195"/>
      <c r="W63" s="183"/>
      <c r="X63" s="5"/>
    </row>
    <row r="64" spans="1:25" ht="19.5" thickBot="1" x14ac:dyDescent="0.35">
      <c r="A64" s="197"/>
      <c r="B64" s="270" t="s">
        <v>323</v>
      </c>
      <c r="C64" s="198"/>
      <c r="D64" s="198"/>
      <c r="E64" s="198"/>
      <c r="F64" s="198"/>
      <c r="G64" s="198"/>
      <c r="H64" s="198"/>
      <c r="I64" s="198"/>
      <c r="J64" s="198"/>
      <c r="K64" s="198"/>
      <c r="L64" s="198"/>
      <c r="M64" s="198"/>
      <c r="N64" s="198"/>
      <c r="O64" s="198"/>
      <c r="P64" s="198"/>
      <c r="Q64" s="198"/>
      <c r="R64" s="198"/>
      <c r="S64" s="198"/>
      <c r="T64" s="198"/>
      <c r="U64" s="198"/>
      <c r="V64" s="199"/>
      <c r="W64" s="200"/>
      <c r="X64" s="5"/>
    </row>
    <row r="65" spans="1:24" ht="15.75" x14ac:dyDescent="0.25">
      <c r="A65" s="224"/>
      <c r="B65" s="230" t="s">
        <v>17</v>
      </c>
      <c r="C65" s="225"/>
      <c r="D65" s="225"/>
      <c r="E65" s="225"/>
      <c r="F65" s="225"/>
      <c r="G65" s="225"/>
      <c r="H65" s="225"/>
      <c r="I65" s="225"/>
      <c r="J65" s="225"/>
      <c r="K65" s="225"/>
      <c r="L65" s="225"/>
      <c r="M65" s="225"/>
      <c r="N65" s="225"/>
      <c r="O65" s="225"/>
      <c r="P65" s="225"/>
      <c r="Q65" s="225"/>
      <c r="R65" s="225"/>
      <c r="S65" s="225"/>
      <c r="T65" s="225"/>
      <c r="U65" s="225"/>
      <c r="V65" s="231"/>
      <c r="W65" s="225"/>
      <c r="X65" s="5"/>
    </row>
    <row r="66" spans="1:24" ht="15.75" x14ac:dyDescent="0.25">
      <c r="A66" s="181"/>
      <c r="B66" s="189"/>
      <c r="C66" s="183"/>
      <c r="D66" s="183"/>
      <c r="E66" s="183"/>
      <c r="F66" s="183"/>
      <c r="G66" s="183"/>
      <c r="H66" s="183"/>
      <c r="I66" s="183"/>
      <c r="J66" s="183"/>
      <c r="K66" s="183"/>
      <c r="L66" s="183"/>
      <c r="M66" s="183"/>
      <c r="N66" s="183"/>
      <c r="O66" s="183"/>
      <c r="P66" s="183"/>
      <c r="Q66" s="183"/>
      <c r="R66" s="183"/>
      <c r="S66" s="183"/>
      <c r="T66" s="183"/>
      <c r="U66" s="183"/>
      <c r="V66" s="202"/>
      <c r="W66" s="183"/>
      <c r="X66" s="5"/>
    </row>
    <row r="67" spans="1:24" ht="47.25" x14ac:dyDescent="0.25">
      <c r="A67" s="181"/>
      <c r="B67" s="203" t="s">
        <v>18</v>
      </c>
      <c r="C67" s="204"/>
      <c r="D67" s="204"/>
      <c r="E67" s="204"/>
      <c r="F67" s="204"/>
      <c r="G67" s="204"/>
      <c r="H67" s="204"/>
      <c r="I67" s="204"/>
      <c r="J67" s="204"/>
      <c r="K67" s="204"/>
      <c r="L67" s="204" t="s">
        <v>94</v>
      </c>
      <c r="M67" s="204"/>
      <c r="N67" s="204" t="s">
        <v>96</v>
      </c>
      <c r="O67" s="204"/>
      <c r="P67" s="204" t="s">
        <v>98</v>
      </c>
      <c r="Q67" s="204"/>
      <c r="R67" s="204" t="s">
        <v>100</v>
      </c>
      <c r="S67" s="204"/>
      <c r="T67" s="204" t="s">
        <v>106</v>
      </c>
      <c r="U67" s="204"/>
      <c r="V67" s="205" t="s">
        <v>112</v>
      </c>
      <c r="W67" s="206"/>
      <c r="X67" s="5"/>
    </row>
    <row r="68" spans="1:24" ht="15.75" x14ac:dyDescent="0.25">
      <c r="A68" s="285"/>
      <c r="B68" s="286" t="s">
        <v>19</v>
      </c>
      <c r="C68" s="337"/>
      <c r="D68" s="337"/>
      <c r="E68" s="337"/>
      <c r="F68" s="337"/>
      <c r="G68" s="337"/>
      <c r="H68" s="337"/>
      <c r="I68" s="337"/>
      <c r="J68" s="337"/>
      <c r="K68" s="337"/>
      <c r="L68" s="337">
        <v>812446</v>
      </c>
      <c r="M68" s="337"/>
      <c r="N68" s="338">
        <v>790007</v>
      </c>
      <c r="O68" s="337"/>
      <c r="P68" s="337">
        <f>5055+10+90</f>
        <v>5155</v>
      </c>
      <c r="Q68" s="337"/>
      <c r="R68" s="337">
        <f>10+90</f>
        <v>100</v>
      </c>
      <c r="S68" s="337"/>
      <c r="T68" s="337">
        <v>0</v>
      </c>
      <c r="U68" s="337"/>
      <c r="V68" s="338">
        <f>+N68-P68+R68-T68</f>
        <v>784952</v>
      </c>
      <c r="W68" s="289"/>
      <c r="X68" s="5"/>
    </row>
    <row r="69" spans="1:24" ht="15.75" x14ac:dyDescent="0.25">
      <c r="A69" s="285"/>
      <c r="B69" s="286" t="s">
        <v>20</v>
      </c>
      <c r="C69" s="337"/>
      <c r="D69" s="337"/>
      <c r="E69" s="337"/>
      <c r="F69" s="337"/>
      <c r="G69" s="337"/>
      <c r="H69" s="337"/>
      <c r="I69" s="337"/>
      <c r="J69" s="337"/>
      <c r="K69" s="337"/>
      <c r="L69" s="337">
        <v>0</v>
      </c>
      <c r="M69" s="337"/>
      <c r="N69" s="338">
        <v>0</v>
      </c>
      <c r="O69" s="337"/>
      <c r="P69" s="337">
        <v>0</v>
      </c>
      <c r="Q69" s="337"/>
      <c r="R69" s="337">
        <v>0</v>
      </c>
      <c r="S69" s="337"/>
      <c r="T69" s="337">
        <v>0</v>
      </c>
      <c r="U69" s="337"/>
      <c r="V69" s="338">
        <f>+L69-P69</f>
        <v>0</v>
      </c>
      <c r="W69" s="289"/>
      <c r="X69" s="5"/>
    </row>
    <row r="70" spans="1:24" ht="15.75" x14ac:dyDescent="0.25">
      <c r="A70" s="285"/>
      <c r="B70" s="286"/>
      <c r="C70" s="337"/>
      <c r="D70" s="337"/>
      <c r="E70" s="337"/>
      <c r="F70" s="337"/>
      <c r="G70" s="337"/>
      <c r="H70" s="337"/>
      <c r="I70" s="337"/>
      <c r="J70" s="337"/>
      <c r="K70" s="337"/>
      <c r="L70" s="337"/>
      <c r="M70" s="337"/>
      <c r="N70" s="338"/>
      <c r="O70" s="337"/>
      <c r="P70" s="337"/>
      <c r="Q70" s="337"/>
      <c r="R70" s="337"/>
      <c r="S70" s="337"/>
      <c r="T70" s="337"/>
      <c r="U70" s="337"/>
      <c r="V70" s="338"/>
      <c r="W70" s="289"/>
      <c r="X70" s="5"/>
    </row>
    <row r="71" spans="1:24" ht="15.75" x14ac:dyDescent="0.25">
      <c r="A71" s="285"/>
      <c r="B71" s="286" t="s">
        <v>21</v>
      </c>
      <c r="C71" s="337"/>
      <c r="D71" s="337"/>
      <c r="E71" s="337"/>
      <c r="F71" s="337"/>
      <c r="G71" s="337"/>
      <c r="H71" s="337"/>
      <c r="I71" s="337"/>
      <c r="J71" s="337"/>
      <c r="K71" s="337"/>
      <c r="L71" s="337">
        <f>SUM(L68:L70)</f>
        <v>812446</v>
      </c>
      <c r="M71" s="337"/>
      <c r="N71" s="337">
        <f>N68+N69</f>
        <v>790007</v>
      </c>
      <c r="O71" s="337"/>
      <c r="P71" s="337">
        <f>SUM(P68:P70)</f>
        <v>5155</v>
      </c>
      <c r="Q71" s="337"/>
      <c r="R71" s="337">
        <f>SUM(R68:R70)</f>
        <v>100</v>
      </c>
      <c r="S71" s="337"/>
      <c r="T71" s="337">
        <f>SUM(T68:T70)</f>
        <v>0</v>
      </c>
      <c r="U71" s="337"/>
      <c r="V71" s="337">
        <f>SUM(V68:V70)</f>
        <v>784952</v>
      </c>
      <c r="W71" s="289"/>
      <c r="X71" s="5"/>
    </row>
    <row r="72" spans="1:24" ht="15.75" x14ac:dyDescent="0.25">
      <c r="A72" s="181"/>
      <c r="B72" s="212"/>
      <c r="C72" s="335"/>
      <c r="D72" s="335"/>
      <c r="E72" s="335"/>
      <c r="F72" s="335"/>
      <c r="G72" s="335"/>
      <c r="H72" s="335"/>
      <c r="I72" s="335"/>
      <c r="J72" s="335"/>
      <c r="K72" s="335"/>
      <c r="L72" s="335"/>
      <c r="M72" s="335"/>
      <c r="N72" s="335"/>
      <c r="O72" s="335"/>
      <c r="P72" s="335"/>
      <c r="Q72" s="335"/>
      <c r="R72" s="335"/>
      <c r="S72" s="335"/>
      <c r="T72" s="335"/>
      <c r="U72" s="335"/>
      <c r="V72" s="336"/>
      <c r="W72" s="212"/>
      <c r="X72" s="5"/>
    </row>
    <row r="73" spans="1:24" ht="15.75" x14ac:dyDescent="0.25">
      <c r="A73" s="181"/>
      <c r="B73" s="185" t="s">
        <v>22</v>
      </c>
      <c r="C73" s="207"/>
      <c r="D73" s="207"/>
      <c r="E73" s="207"/>
      <c r="F73" s="207"/>
      <c r="G73" s="207"/>
      <c r="H73" s="207"/>
      <c r="I73" s="207"/>
      <c r="J73" s="207"/>
      <c r="K73" s="207"/>
      <c r="L73" s="207"/>
      <c r="M73" s="207"/>
      <c r="N73" s="207"/>
      <c r="O73" s="207"/>
      <c r="P73" s="207"/>
      <c r="Q73" s="207"/>
      <c r="R73" s="207"/>
      <c r="S73" s="207"/>
      <c r="T73" s="207"/>
      <c r="U73" s="207"/>
      <c r="V73" s="208"/>
      <c r="W73" s="183"/>
      <c r="X73" s="5"/>
    </row>
    <row r="74" spans="1:24" ht="15.75" x14ac:dyDescent="0.25">
      <c r="A74" s="181"/>
      <c r="B74" s="183"/>
      <c r="C74" s="207"/>
      <c r="D74" s="207"/>
      <c r="E74" s="207"/>
      <c r="F74" s="207"/>
      <c r="G74" s="207"/>
      <c r="H74" s="207"/>
      <c r="I74" s="207"/>
      <c r="J74" s="207"/>
      <c r="K74" s="207"/>
      <c r="L74" s="207"/>
      <c r="M74" s="207"/>
      <c r="N74" s="207"/>
      <c r="O74" s="207"/>
      <c r="P74" s="207"/>
      <c r="Q74" s="207"/>
      <c r="R74" s="207"/>
      <c r="S74" s="207"/>
      <c r="T74" s="207"/>
      <c r="U74" s="207"/>
      <c r="V74" s="208"/>
      <c r="W74" s="183"/>
      <c r="X74" s="5"/>
    </row>
    <row r="75" spans="1:24" ht="15.75" x14ac:dyDescent="0.25">
      <c r="A75" s="285"/>
      <c r="B75" s="286" t="s">
        <v>19</v>
      </c>
      <c r="C75" s="337"/>
      <c r="D75" s="337"/>
      <c r="E75" s="337"/>
      <c r="F75" s="337"/>
      <c r="G75" s="337"/>
      <c r="H75" s="337"/>
      <c r="I75" s="337"/>
      <c r="J75" s="337"/>
      <c r="K75" s="337"/>
      <c r="L75" s="337"/>
      <c r="M75" s="337"/>
      <c r="N75" s="337"/>
      <c r="O75" s="337"/>
      <c r="P75" s="337"/>
      <c r="Q75" s="337"/>
      <c r="R75" s="337"/>
      <c r="S75" s="337"/>
      <c r="T75" s="337"/>
      <c r="U75" s="337"/>
      <c r="V75" s="337"/>
      <c r="W75" s="289"/>
      <c r="X75" s="5"/>
    </row>
    <row r="76" spans="1:24" ht="15.75" x14ac:dyDescent="0.25">
      <c r="A76" s="285"/>
      <c r="B76" s="286" t="s">
        <v>20</v>
      </c>
      <c r="C76" s="337"/>
      <c r="D76" s="337"/>
      <c r="E76" s="337"/>
      <c r="F76" s="337"/>
      <c r="G76" s="337"/>
      <c r="H76" s="337"/>
      <c r="I76" s="337"/>
      <c r="J76" s="337"/>
      <c r="K76" s="337"/>
      <c r="L76" s="337"/>
      <c r="M76" s="337"/>
      <c r="N76" s="337"/>
      <c r="O76" s="337"/>
      <c r="P76" s="337"/>
      <c r="Q76" s="337"/>
      <c r="R76" s="337"/>
      <c r="S76" s="337"/>
      <c r="T76" s="337"/>
      <c r="U76" s="337"/>
      <c r="V76" s="337"/>
      <c r="W76" s="289"/>
      <c r="X76" s="5"/>
    </row>
    <row r="77" spans="1:24" ht="15.75" x14ac:dyDescent="0.25">
      <c r="A77" s="285"/>
      <c r="B77" s="286"/>
      <c r="C77" s="337"/>
      <c r="D77" s="337"/>
      <c r="E77" s="337"/>
      <c r="F77" s="337"/>
      <c r="G77" s="337"/>
      <c r="H77" s="337"/>
      <c r="I77" s="337"/>
      <c r="J77" s="337"/>
      <c r="K77" s="337"/>
      <c r="L77" s="337"/>
      <c r="M77" s="337"/>
      <c r="N77" s="337"/>
      <c r="O77" s="337"/>
      <c r="P77" s="337"/>
      <c r="Q77" s="337"/>
      <c r="R77" s="337"/>
      <c r="S77" s="337"/>
      <c r="T77" s="337"/>
      <c r="U77" s="337"/>
      <c r="V77" s="337"/>
      <c r="W77" s="289"/>
      <c r="X77" s="5"/>
    </row>
    <row r="78" spans="1:24" ht="15.75" x14ac:dyDescent="0.25">
      <c r="A78" s="285"/>
      <c r="B78" s="286" t="s">
        <v>21</v>
      </c>
      <c r="C78" s="337"/>
      <c r="D78" s="337"/>
      <c r="E78" s="337"/>
      <c r="F78" s="337"/>
      <c r="G78" s="337"/>
      <c r="H78" s="337"/>
      <c r="I78" s="337"/>
      <c r="J78" s="337"/>
      <c r="K78" s="337"/>
      <c r="L78" s="337"/>
      <c r="M78" s="337"/>
      <c r="N78" s="337"/>
      <c r="O78" s="337"/>
      <c r="P78" s="337"/>
      <c r="Q78" s="337"/>
      <c r="R78" s="337"/>
      <c r="S78" s="337"/>
      <c r="T78" s="337"/>
      <c r="U78" s="337"/>
      <c r="V78" s="337"/>
      <c r="W78" s="289"/>
      <c r="X78" s="5"/>
    </row>
    <row r="79" spans="1:24" ht="15.75" x14ac:dyDescent="0.25">
      <c r="A79" s="285"/>
      <c r="B79" s="286"/>
      <c r="C79" s="337"/>
      <c r="D79" s="337"/>
      <c r="E79" s="337"/>
      <c r="F79" s="337"/>
      <c r="G79" s="337"/>
      <c r="H79" s="337"/>
      <c r="I79" s="337"/>
      <c r="J79" s="337"/>
      <c r="K79" s="337"/>
      <c r="L79" s="337"/>
      <c r="M79" s="337"/>
      <c r="N79" s="337"/>
      <c r="O79" s="337"/>
      <c r="P79" s="337"/>
      <c r="Q79" s="337"/>
      <c r="R79" s="337"/>
      <c r="S79" s="337"/>
      <c r="T79" s="337"/>
      <c r="U79" s="337"/>
      <c r="V79" s="337"/>
      <c r="W79" s="289"/>
      <c r="X79" s="5"/>
    </row>
    <row r="80" spans="1:24" ht="15.75" x14ac:dyDescent="0.25">
      <c r="A80" s="285"/>
      <c r="B80" s="286" t="s">
        <v>23</v>
      </c>
      <c r="C80" s="337"/>
      <c r="D80" s="337"/>
      <c r="E80" s="337"/>
      <c r="F80" s="337"/>
      <c r="G80" s="337"/>
      <c r="H80" s="337"/>
      <c r="I80" s="337"/>
      <c r="J80" s="337"/>
      <c r="K80" s="337"/>
      <c r="L80" s="337">
        <v>0</v>
      </c>
      <c r="M80" s="337"/>
      <c r="N80" s="337">
        <v>0</v>
      </c>
      <c r="O80" s="337"/>
      <c r="P80" s="337"/>
      <c r="Q80" s="337"/>
      <c r="R80" s="337"/>
      <c r="S80" s="337"/>
      <c r="T80" s="337"/>
      <c r="U80" s="337"/>
      <c r="V80" s="338">
        <v>0</v>
      </c>
      <c r="W80" s="289"/>
      <c r="X80" s="5"/>
    </row>
    <row r="81" spans="1:24" ht="15.75" x14ac:dyDescent="0.25">
      <c r="A81" s="285"/>
      <c r="B81" s="286" t="s">
        <v>117</v>
      </c>
      <c r="C81" s="337"/>
      <c r="D81" s="337"/>
      <c r="E81" s="337"/>
      <c r="F81" s="337"/>
      <c r="G81" s="337"/>
      <c r="H81" s="337"/>
      <c r="I81" s="337"/>
      <c r="J81" s="337"/>
      <c r="K81" s="337"/>
      <c r="L81" s="337">
        <v>188687</v>
      </c>
      <c r="M81" s="337"/>
      <c r="N81" s="337">
        <v>0</v>
      </c>
      <c r="O81" s="337"/>
      <c r="P81" s="337">
        <v>0</v>
      </c>
      <c r="Q81" s="337"/>
      <c r="R81" s="337"/>
      <c r="S81" s="337"/>
      <c r="T81" s="337"/>
      <c r="U81" s="337"/>
      <c r="V81" s="337">
        <f>SUM(N81:R81)</f>
        <v>0</v>
      </c>
      <c r="W81" s="289"/>
      <c r="X81" s="5"/>
    </row>
    <row r="82" spans="1:24" ht="15.75" x14ac:dyDescent="0.25">
      <c r="A82" s="285"/>
      <c r="B82" s="286"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89"/>
      <c r="X82" s="5"/>
    </row>
    <row r="83" spans="1:24" ht="15.75" x14ac:dyDescent="0.25">
      <c r="A83" s="285"/>
      <c r="B83" s="286" t="s">
        <v>25</v>
      </c>
      <c r="C83" s="337"/>
      <c r="D83" s="337"/>
      <c r="E83" s="337"/>
      <c r="F83" s="337"/>
      <c r="G83" s="337"/>
      <c r="H83" s="337"/>
      <c r="I83" s="337"/>
      <c r="J83" s="337"/>
      <c r="K83" s="337"/>
      <c r="L83" s="337">
        <v>0</v>
      </c>
      <c r="M83" s="337"/>
      <c r="N83" s="337">
        <v>0</v>
      </c>
      <c r="O83" s="337"/>
      <c r="P83" s="337"/>
      <c r="Q83" s="337"/>
      <c r="R83" s="337"/>
      <c r="S83" s="337"/>
      <c r="T83" s="337"/>
      <c r="U83" s="337"/>
      <c r="V83" s="337">
        <v>0</v>
      </c>
      <c r="W83" s="289"/>
      <c r="X83" s="5"/>
    </row>
    <row r="84" spans="1:24" ht="15.75" x14ac:dyDescent="0.25">
      <c r="A84" s="285"/>
      <c r="B84" s="286" t="s">
        <v>26</v>
      </c>
      <c r="C84" s="337"/>
      <c r="D84" s="337"/>
      <c r="E84" s="337"/>
      <c r="F84" s="337"/>
      <c r="G84" s="337"/>
      <c r="H84" s="337"/>
      <c r="I84" s="337"/>
      <c r="J84" s="337"/>
      <c r="K84" s="337"/>
      <c r="L84" s="337">
        <f>SUM(L71:L83)</f>
        <v>1001133</v>
      </c>
      <c r="M84" s="337"/>
      <c r="N84" s="337">
        <f>SUM(N71:N83)</f>
        <v>790007</v>
      </c>
      <c r="O84" s="337"/>
      <c r="P84" s="337"/>
      <c r="Q84" s="337"/>
      <c r="R84" s="337"/>
      <c r="S84" s="337"/>
      <c r="T84" s="337"/>
      <c r="U84" s="337"/>
      <c r="V84" s="337">
        <f>SUM(V71:V83)</f>
        <v>784952</v>
      </c>
      <c r="W84" s="289"/>
      <c r="X84" s="5"/>
    </row>
    <row r="85" spans="1:24" ht="15.75" x14ac:dyDescent="0.25">
      <c r="A85" s="181"/>
      <c r="B85" s="212"/>
      <c r="C85" s="335"/>
      <c r="D85" s="335"/>
      <c r="E85" s="335"/>
      <c r="F85" s="335"/>
      <c r="G85" s="335"/>
      <c r="H85" s="335"/>
      <c r="I85" s="335"/>
      <c r="J85" s="335"/>
      <c r="K85" s="335"/>
      <c r="L85" s="335"/>
      <c r="M85" s="335"/>
      <c r="N85" s="335"/>
      <c r="O85" s="335"/>
      <c r="P85" s="335"/>
      <c r="Q85" s="335"/>
      <c r="R85" s="335"/>
      <c r="S85" s="335"/>
      <c r="T85" s="335"/>
      <c r="U85" s="335"/>
      <c r="V85" s="336"/>
      <c r="W85" s="212"/>
      <c r="X85" s="5"/>
    </row>
    <row r="86" spans="1:24" ht="15.75" x14ac:dyDescent="0.25">
      <c r="A86" s="181"/>
      <c r="B86" s="183"/>
      <c r="C86" s="183"/>
      <c r="D86" s="183"/>
      <c r="E86" s="183"/>
      <c r="F86" s="183"/>
      <c r="G86" s="183"/>
      <c r="H86" s="183"/>
      <c r="I86" s="183"/>
      <c r="J86" s="183"/>
      <c r="K86" s="183"/>
      <c r="L86" s="183"/>
      <c r="M86" s="183"/>
      <c r="N86" s="183"/>
      <c r="O86" s="183"/>
      <c r="P86" s="183"/>
      <c r="Q86" s="183"/>
      <c r="R86" s="183"/>
      <c r="S86" s="183"/>
      <c r="T86" s="183"/>
      <c r="U86" s="183"/>
      <c r="V86" s="183"/>
      <c r="W86" s="183"/>
      <c r="X86" s="5"/>
    </row>
    <row r="87" spans="1:24" ht="15.75" x14ac:dyDescent="0.25">
      <c r="A87" s="224"/>
      <c r="B87" s="399" t="s">
        <v>27</v>
      </c>
      <c r="C87" s="399"/>
      <c r="D87" s="399"/>
      <c r="E87" s="399"/>
      <c r="F87" s="399"/>
      <c r="G87" s="399"/>
      <c r="H87" s="400"/>
      <c r="I87" s="400"/>
      <c r="J87" s="400"/>
      <c r="K87" s="400"/>
      <c r="L87" s="401" t="s">
        <v>95</v>
      </c>
      <c r="M87" s="400"/>
      <c r="N87" s="402">
        <f>+T202</f>
        <v>41698</v>
      </c>
      <c r="O87" s="400"/>
      <c r="P87" s="400"/>
      <c r="Q87" s="400"/>
      <c r="R87" s="400"/>
      <c r="S87" s="400"/>
      <c r="T87" s="400" t="s">
        <v>107</v>
      </c>
      <c r="U87" s="400"/>
      <c r="V87" s="400" t="s">
        <v>113</v>
      </c>
      <c r="W87" s="225"/>
      <c r="X87" s="5"/>
    </row>
    <row r="88" spans="1:24" ht="15.75" x14ac:dyDescent="0.25">
      <c r="A88" s="248"/>
      <c r="B88" s="250" t="s">
        <v>28</v>
      </c>
      <c r="C88" s="194"/>
      <c r="D88" s="194"/>
      <c r="E88" s="194"/>
      <c r="F88" s="194"/>
      <c r="G88" s="194"/>
      <c r="H88" s="194"/>
      <c r="I88" s="194"/>
      <c r="J88" s="194"/>
      <c r="K88" s="194"/>
      <c r="L88" s="194"/>
      <c r="M88" s="194"/>
      <c r="N88" s="194"/>
      <c r="O88" s="194"/>
      <c r="P88" s="194"/>
      <c r="Q88" s="194"/>
      <c r="R88" s="194"/>
      <c r="S88" s="194"/>
      <c r="T88" s="249">
        <v>0</v>
      </c>
      <c r="U88" s="250"/>
      <c r="V88" s="253">
        <v>0</v>
      </c>
      <c r="W88" s="194"/>
      <c r="X88" s="5"/>
    </row>
    <row r="89" spans="1:24" ht="15.75" x14ac:dyDescent="0.25">
      <c r="A89" s="295"/>
      <c r="B89" s="286" t="s">
        <v>29</v>
      </c>
      <c r="C89" s="314"/>
      <c r="D89" s="314"/>
      <c r="E89" s="314"/>
      <c r="F89" s="314"/>
      <c r="G89" s="314"/>
      <c r="H89" s="339"/>
      <c r="I89" s="339"/>
      <c r="J89" s="339"/>
      <c r="K89" s="340"/>
      <c r="L89" s="339"/>
      <c r="M89" s="314"/>
      <c r="N89" s="341"/>
      <c r="O89" s="314"/>
      <c r="P89" s="314"/>
      <c r="Q89" s="314"/>
      <c r="R89" s="314"/>
      <c r="S89" s="314"/>
      <c r="T89" s="337">
        <f>5155-58</f>
        <v>5097</v>
      </c>
      <c r="U89" s="286"/>
      <c r="V89" s="338"/>
      <c r="W89" s="318"/>
      <c r="X89" s="5"/>
    </row>
    <row r="90" spans="1:24" ht="15.75" x14ac:dyDescent="0.25">
      <c r="A90" s="295"/>
      <c r="B90" s="286" t="s">
        <v>215</v>
      </c>
      <c r="C90" s="314"/>
      <c r="D90" s="314"/>
      <c r="E90" s="314"/>
      <c r="F90" s="314"/>
      <c r="G90" s="314"/>
      <c r="H90" s="339"/>
      <c r="I90" s="339"/>
      <c r="J90" s="339"/>
      <c r="K90" s="340"/>
      <c r="L90" s="339"/>
      <c r="M90" s="314"/>
      <c r="N90" s="341"/>
      <c r="O90" s="314"/>
      <c r="P90" s="314"/>
      <c r="Q90" s="314"/>
      <c r="R90" s="314"/>
      <c r="S90" s="314"/>
      <c r="T90" s="337"/>
      <c r="U90" s="286"/>
      <c r="V90" s="338">
        <f>2851+3154-372-884</f>
        <v>4749</v>
      </c>
      <c r="W90" s="318"/>
      <c r="X90" s="5"/>
    </row>
    <row r="91" spans="1:24" ht="15.75" x14ac:dyDescent="0.25">
      <c r="A91" s="295"/>
      <c r="B91" s="286" t="s">
        <v>210</v>
      </c>
      <c r="C91" s="314"/>
      <c r="D91" s="314"/>
      <c r="E91" s="314"/>
      <c r="F91" s="314"/>
      <c r="G91" s="314"/>
      <c r="H91" s="339"/>
      <c r="I91" s="339"/>
      <c r="J91" s="339"/>
      <c r="K91" s="340"/>
      <c r="L91" s="339"/>
      <c r="M91" s="314"/>
      <c r="N91" s="341"/>
      <c r="O91" s="314"/>
      <c r="P91" s="314"/>
      <c r="Q91" s="314"/>
      <c r="R91" s="314"/>
      <c r="S91" s="314"/>
      <c r="T91" s="337"/>
      <c r="U91" s="286"/>
      <c r="V91" s="338">
        <f>16+8</f>
        <v>24</v>
      </c>
      <c r="W91" s="318"/>
      <c r="X91" s="5"/>
    </row>
    <row r="92" spans="1:24" ht="15.75" x14ac:dyDescent="0.25">
      <c r="A92" s="295"/>
      <c r="B92" s="286" t="s">
        <v>211</v>
      </c>
      <c r="C92" s="314"/>
      <c r="D92" s="314"/>
      <c r="E92" s="314"/>
      <c r="F92" s="314"/>
      <c r="G92" s="314"/>
      <c r="H92" s="339"/>
      <c r="I92" s="339"/>
      <c r="J92" s="339"/>
      <c r="K92" s="340"/>
      <c r="L92" s="339"/>
      <c r="M92" s="314"/>
      <c r="N92" s="341"/>
      <c r="O92" s="314"/>
      <c r="P92" s="314"/>
      <c r="Q92" s="314"/>
      <c r="R92" s="314"/>
      <c r="S92" s="314"/>
      <c r="T92" s="337"/>
      <c r="U92" s="286"/>
      <c r="V92" s="338">
        <v>25</v>
      </c>
      <c r="W92" s="318"/>
      <c r="X92" s="5"/>
    </row>
    <row r="93" spans="1:24" ht="15.75" x14ac:dyDescent="0.25">
      <c r="A93" s="295"/>
      <c r="B93" s="286" t="s">
        <v>233</v>
      </c>
      <c r="C93" s="314"/>
      <c r="D93" s="314"/>
      <c r="E93" s="314"/>
      <c r="F93" s="314"/>
      <c r="G93" s="314"/>
      <c r="H93" s="339"/>
      <c r="I93" s="339"/>
      <c r="J93" s="339"/>
      <c r="K93" s="340"/>
      <c r="L93" s="339"/>
      <c r="M93" s="314"/>
      <c r="N93" s="341"/>
      <c r="O93" s="314"/>
      <c r="P93" s="314"/>
      <c r="Q93" s="314"/>
      <c r="R93" s="314"/>
      <c r="S93" s="314"/>
      <c r="T93" s="337"/>
      <c r="U93" s="286"/>
      <c r="V93" s="338">
        <v>0</v>
      </c>
      <c r="W93" s="318"/>
      <c r="X93" s="5"/>
    </row>
    <row r="94" spans="1:24" ht="15.75" x14ac:dyDescent="0.25">
      <c r="A94" s="295"/>
      <c r="B94" s="286" t="s">
        <v>235</v>
      </c>
      <c r="C94" s="314"/>
      <c r="D94" s="314"/>
      <c r="E94" s="314"/>
      <c r="F94" s="314"/>
      <c r="G94" s="314"/>
      <c r="H94" s="339"/>
      <c r="I94" s="339"/>
      <c r="J94" s="339"/>
      <c r="K94" s="340"/>
      <c r="L94" s="339"/>
      <c r="M94" s="314"/>
      <c r="N94" s="341"/>
      <c r="O94" s="314"/>
      <c r="P94" s="314"/>
      <c r="Q94" s="314"/>
      <c r="R94" s="314"/>
      <c r="S94" s="314"/>
      <c r="T94" s="337"/>
      <c r="U94" s="286"/>
      <c r="V94" s="338">
        <v>0</v>
      </c>
      <c r="W94" s="318"/>
      <c r="X94" s="5"/>
    </row>
    <row r="95" spans="1:24" ht="15.75" x14ac:dyDescent="0.25">
      <c r="A95" s="295"/>
      <c r="B95" s="286" t="s">
        <v>135</v>
      </c>
      <c r="C95" s="314"/>
      <c r="D95" s="314"/>
      <c r="E95" s="314"/>
      <c r="F95" s="314"/>
      <c r="G95" s="314"/>
      <c r="H95" s="314"/>
      <c r="I95" s="314"/>
      <c r="J95" s="314"/>
      <c r="K95" s="314"/>
      <c r="L95" s="314"/>
      <c r="M95" s="314"/>
      <c r="N95" s="314"/>
      <c r="O95" s="314"/>
      <c r="P95" s="314"/>
      <c r="Q95" s="314"/>
      <c r="R95" s="314"/>
      <c r="S95" s="314"/>
      <c r="T95" s="337"/>
      <c r="U95" s="286"/>
      <c r="V95" s="338">
        <v>0</v>
      </c>
      <c r="W95" s="318"/>
      <c r="X95" s="5"/>
    </row>
    <row r="96" spans="1:24" ht="15.75" x14ac:dyDescent="0.25">
      <c r="A96" s="295"/>
      <c r="B96" s="286" t="s">
        <v>272</v>
      </c>
      <c r="C96" s="314"/>
      <c r="D96" s="314"/>
      <c r="E96" s="314"/>
      <c r="F96" s="314"/>
      <c r="G96" s="314"/>
      <c r="H96" s="314"/>
      <c r="I96" s="314"/>
      <c r="J96" s="314"/>
      <c r="K96" s="314"/>
      <c r="L96" s="314"/>
      <c r="M96" s="314"/>
      <c r="N96" s="314"/>
      <c r="O96" s="314"/>
      <c r="P96" s="314"/>
      <c r="Q96" s="314"/>
      <c r="R96" s="314"/>
      <c r="S96" s="314"/>
      <c r="T96" s="337"/>
      <c r="U96" s="286"/>
      <c r="V96" s="338">
        <v>21</v>
      </c>
      <c r="W96" s="318"/>
      <c r="X96" s="5"/>
    </row>
    <row r="97" spans="1:25" ht="15.75" x14ac:dyDescent="0.25">
      <c r="A97" s="295"/>
      <c r="B97" s="286" t="s">
        <v>30</v>
      </c>
      <c r="C97" s="314"/>
      <c r="D97" s="314"/>
      <c r="E97" s="314"/>
      <c r="F97" s="314"/>
      <c r="G97" s="314"/>
      <c r="H97" s="314"/>
      <c r="I97" s="314"/>
      <c r="J97" s="314"/>
      <c r="K97" s="314"/>
      <c r="L97" s="314"/>
      <c r="M97" s="314"/>
      <c r="N97" s="314"/>
      <c r="O97" s="314"/>
      <c r="P97" s="314"/>
      <c r="Q97" s="314"/>
      <c r="R97" s="314"/>
      <c r="S97" s="314"/>
      <c r="T97" s="337">
        <f>SUM(T88:T96)</f>
        <v>5097</v>
      </c>
      <c r="U97" s="286"/>
      <c r="V97" s="337">
        <f>SUM(V88:V96)</f>
        <v>4819</v>
      </c>
      <c r="W97" s="318"/>
      <c r="X97" s="5"/>
    </row>
    <row r="98" spans="1:25" ht="15.75" x14ac:dyDescent="0.25">
      <c r="A98" s="295"/>
      <c r="B98" s="286" t="s">
        <v>161</v>
      </c>
      <c r="C98" s="314"/>
      <c r="D98" s="314"/>
      <c r="E98" s="314"/>
      <c r="F98" s="314"/>
      <c r="G98" s="314"/>
      <c r="H98" s="314"/>
      <c r="I98" s="314"/>
      <c r="J98" s="314"/>
      <c r="K98" s="314"/>
      <c r="L98" s="314"/>
      <c r="M98" s="314"/>
      <c r="N98" s="314"/>
      <c r="O98" s="314"/>
      <c r="P98" s="314"/>
      <c r="Q98" s="314"/>
      <c r="R98" s="314"/>
      <c r="S98" s="314"/>
      <c r="T98" s="337">
        <f>-V98</f>
        <v>0</v>
      </c>
      <c r="U98" s="286"/>
      <c r="V98" s="337">
        <v>0</v>
      </c>
      <c r="W98" s="318"/>
      <c r="X98" s="5"/>
    </row>
    <row r="99" spans="1:25" ht="15.75" x14ac:dyDescent="0.25">
      <c r="A99" s="295"/>
      <c r="B99" s="286" t="s">
        <v>31</v>
      </c>
      <c r="C99" s="314"/>
      <c r="D99" s="314"/>
      <c r="E99" s="314"/>
      <c r="F99" s="314"/>
      <c r="G99" s="314"/>
      <c r="H99" s="314"/>
      <c r="I99" s="314"/>
      <c r="J99" s="314"/>
      <c r="K99" s="314"/>
      <c r="L99" s="314"/>
      <c r="M99" s="314"/>
      <c r="N99" s="314"/>
      <c r="O99" s="314"/>
      <c r="P99" s="314"/>
      <c r="Q99" s="314"/>
      <c r="R99" s="314"/>
      <c r="S99" s="314"/>
      <c r="T99" s="337">
        <f>-V99</f>
        <v>0</v>
      </c>
      <c r="U99" s="286"/>
      <c r="V99" s="338">
        <v>0</v>
      </c>
      <c r="W99" s="318"/>
      <c r="X99" s="5"/>
    </row>
    <row r="100" spans="1:25" ht="15.75" x14ac:dyDescent="0.25">
      <c r="A100" s="295"/>
      <c r="B100" s="286" t="s">
        <v>274</v>
      </c>
      <c r="C100" s="314"/>
      <c r="D100" s="314"/>
      <c r="E100" s="314"/>
      <c r="F100" s="314"/>
      <c r="G100" s="314"/>
      <c r="H100" s="314"/>
      <c r="I100" s="314"/>
      <c r="J100" s="314"/>
      <c r="K100" s="314"/>
      <c r="L100" s="314"/>
      <c r="M100" s="314"/>
      <c r="N100" s="314"/>
      <c r="O100" s="314"/>
      <c r="P100" s="314"/>
      <c r="Q100" s="314"/>
      <c r="R100" s="314"/>
      <c r="S100" s="314"/>
      <c r="T100" s="337"/>
      <c r="U100" s="286"/>
      <c r="V100" s="338">
        <v>-59</v>
      </c>
      <c r="W100" s="318"/>
      <c r="X100" s="5"/>
    </row>
    <row r="101" spans="1:25" ht="15.75" x14ac:dyDescent="0.25">
      <c r="A101" s="295"/>
      <c r="B101" s="286" t="s">
        <v>32</v>
      </c>
      <c r="C101" s="314"/>
      <c r="D101" s="314"/>
      <c r="E101" s="314"/>
      <c r="F101" s="314"/>
      <c r="G101" s="314"/>
      <c r="H101" s="314"/>
      <c r="I101" s="314"/>
      <c r="J101" s="314"/>
      <c r="K101" s="314"/>
      <c r="L101" s="314"/>
      <c r="M101" s="314"/>
      <c r="N101" s="314"/>
      <c r="O101" s="314"/>
      <c r="P101" s="314"/>
      <c r="Q101" s="314"/>
      <c r="R101" s="314"/>
      <c r="S101" s="314"/>
      <c r="T101" s="337">
        <f>T97+T99+T98</f>
        <v>5097</v>
      </c>
      <c r="U101" s="286"/>
      <c r="V101" s="337">
        <f>V97+V99+V98+V100</f>
        <v>4760</v>
      </c>
      <c r="W101" s="318"/>
      <c r="X101" s="5"/>
    </row>
    <row r="102" spans="1:25" ht="15.75" x14ac:dyDescent="0.25">
      <c r="A102" s="285"/>
      <c r="B102" s="342" t="s">
        <v>33</v>
      </c>
      <c r="C102" s="314"/>
      <c r="D102" s="314"/>
      <c r="E102" s="314"/>
      <c r="F102" s="314"/>
      <c r="G102" s="314"/>
      <c r="H102" s="314"/>
      <c r="I102" s="314"/>
      <c r="J102" s="314"/>
      <c r="K102" s="314"/>
      <c r="L102" s="314"/>
      <c r="M102" s="314"/>
      <c r="N102" s="314"/>
      <c r="O102" s="314"/>
      <c r="P102" s="314"/>
      <c r="Q102" s="314"/>
      <c r="R102" s="314"/>
      <c r="S102" s="314"/>
      <c r="T102" s="337"/>
      <c r="U102" s="286"/>
      <c r="V102" s="338"/>
      <c r="W102" s="318"/>
      <c r="X102" s="5"/>
    </row>
    <row r="103" spans="1:25" ht="15.75" x14ac:dyDescent="0.25">
      <c r="A103" s="295">
        <v>1</v>
      </c>
      <c r="B103" s="286" t="s">
        <v>34</v>
      </c>
      <c r="C103" s="286"/>
      <c r="D103" s="286"/>
      <c r="E103" s="314"/>
      <c r="F103" s="314"/>
      <c r="G103" s="314"/>
      <c r="H103" s="314"/>
      <c r="I103" s="314"/>
      <c r="J103" s="314"/>
      <c r="K103" s="314"/>
      <c r="L103" s="314"/>
      <c r="M103" s="314"/>
      <c r="N103" s="314"/>
      <c r="O103" s="314"/>
      <c r="P103" s="314"/>
      <c r="Q103" s="314"/>
      <c r="R103" s="314"/>
      <c r="S103" s="314"/>
      <c r="T103" s="286"/>
      <c r="U103" s="286"/>
      <c r="V103" s="338">
        <v>0</v>
      </c>
      <c r="W103" s="318"/>
      <c r="X103" s="5"/>
    </row>
    <row r="104" spans="1:25" ht="15.75" x14ac:dyDescent="0.25">
      <c r="A104" s="295">
        <f>+A103+1</f>
        <v>2</v>
      </c>
      <c r="B104" s="286" t="s">
        <v>314</v>
      </c>
      <c r="C104" s="286"/>
      <c r="D104" s="286"/>
      <c r="E104" s="314"/>
      <c r="F104" s="314"/>
      <c r="G104" s="314"/>
      <c r="H104" s="314"/>
      <c r="I104" s="314"/>
      <c r="J104" s="314"/>
      <c r="K104" s="314"/>
      <c r="L104" s="314"/>
      <c r="M104" s="314"/>
      <c r="N104" s="314"/>
      <c r="O104" s="314"/>
      <c r="P104" s="314"/>
      <c r="Q104" s="314"/>
      <c r="R104" s="314"/>
      <c r="S104" s="314"/>
      <c r="T104" s="286"/>
      <c r="U104" s="286"/>
      <c r="V104" s="338">
        <v>-2</v>
      </c>
      <c r="W104" s="318"/>
      <c r="X104" s="5"/>
    </row>
    <row r="105" spans="1:25" ht="15.75" x14ac:dyDescent="0.25">
      <c r="A105" s="295">
        <f>+A104+1</f>
        <v>3</v>
      </c>
      <c r="B105" s="412" t="s">
        <v>316</v>
      </c>
      <c r="C105" s="286"/>
      <c r="D105" s="286"/>
      <c r="E105" s="314"/>
      <c r="F105" s="314"/>
      <c r="G105" s="314"/>
      <c r="H105" s="314"/>
      <c r="I105" s="314"/>
      <c r="J105" s="314"/>
      <c r="K105" s="314"/>
      <c r="L105" s="314"/>
      <c r="M105" s="314"/>
      <c r="N105" s="314"/>
      <c r="O105" s="314"/>
      <c r="P105" s="314"/>
      <c r="Q105" s="314"/>
      <c r="R105" s="314"/>
      <c r="S105" s="314"/>
      <c r="T105" s="286"/>
      <c r="U105" s="286"/>
      <c r="V105" s="338">
        <f>-295-182-10</f>
        <v>-487</v>
      </c>
      <c r="W105" s="318"/>
      <c r="X105" s="5"/>
    </row>
    <row r="106" spans="1:25" ht="15.75" x14ac:dyDescent="0.25">
      <c r="A106" s="295" t="s">
        <v>127</v>
      </c>
      <c r="B106" s="286" t="s">
        <v>116</v>
      </c>
      <c r="C106" s="286"/>
      <c r="D106" s="286"/>
      <c r="E106" s="314"/>
      <c r="F106" s="314"/>
      <c r="G106" s="314"/>
      <c r="H106" s="314"/>
      <c r="I106" s="314"/>
      <c r="J106" s="314"/>
      <c r="K106" s="314"/>
      <c r="L106" s="314"/>
      <c r="M106" s="314"/>
      <c r="N106" s="314"/>
      <c r="O106" s="314"/>
      <c r="P106" s="314"/>
      <c r="Q106" s="314"/>
      <c r="R106" s="314"/>
      <c r="S106" s="314"/>
      <c r="T106" s="286"/>
      <c r="U106" s="286"/>
      <c r="V106" s="338">
        <v>0</v>
      </c>
      <c r="W106" s="318"/>
      <c r="X106" s="5"/>
    </row>
    <row r="107" spans="1:25" ht="15.75" x14ac:dyDescent="0.25">
      <c r="A107" s="295" t="s">
        <v>128</v>
      </c>
      <c r="B107" s="286" t="s">
        <v>220</v>
      </c>
      <c r="C107" s="286"/>
      <c r="D107" s="286"/>
      <c r="E107" s="314"/>
      <c r="F107" s="314"/>
      <c r="G107" s="314"/>
      <c r="H107" s="314"/>
      <c r="I107" s="314"/>
      <c r="J107" s="314"/>
      <c r="K107" s="314"/>
      <c r="L107" s="314"/>
      <c r="M107" s="314"/>
      <c r="N107" s="314"/>
      <c r="O107" s="314"/>
      <c r="P107" s="314"/>
      <c r="Q107" s="314"/>
      <c r="R107" s="314"/>
      <c r="S107" s="314"/>
      <c r="T107" s="286"/>
      <c r="U107" s="286"/>
      <c r="V107" s="338">
        <f>-1201+308</f>
        <v>-893</v>
      </c>
      <c r="W107" s="318"/>
      <c r="X107" s="5"/>
      <c r="Y107" s="109"/>
    </row>
    <row r="108" spans="1:25" ht="15.75" x14ac:dyDescent="0.25">
      <c r="A108" s="295" t="s">
        <v>150</v>
      </c>
      <c r="B108" s="286" t="s">
        <v>184</v>
      </c>
      <c r="C108" s="286"/>
      <c r="D108" s="286"/>
      <c r="E108" s="314"/>
      <c r="F108" s="314"/>
      <c r="G108" s="314"/>
      <c r="H108" s="314"/>
      <c r="I108" s="314"/>
      <c r="J108" s="314"/>
      <c r="K108" s="314"/>
      <c r="L108" s="314"/>
      <c r="M108" s="314"/>
      <c r="N108" s="314"/>
      <c r="O108" s="314"/>
      <c r="P108" s="314"/>
      <c r="Q108" s="314"/>
      <c r="R108" s="314"/>
      <c r="S108" s="314"/>
      <c r="T108" s="286"/>
      <c r="U108" s="286"/>
      <c r="V108" s="338">
        <v>-308</v>
      </c>
      <c r="W108" s="318"/>
      <c r="X108" s="5"/>
      <c r="Y108" s="109"/>
    </row>
    <row r="109" spans="1:25" ht="15.75" x14ac:dyDescent="0.25">
      <c r="A109" s="295" t="s">
        <v>205</v>
      </c>
      <c r="B109" s="286" t="s">
        <v>185</v>
      </c>
      <c r="C109" s="286"/>
      <c r="D109" s="286"/>
      <c r="E109" s="314"/>
      <c r="F109" s="314"/>
      <c r="G109" s="314"/>
      <c r="H109" s="314"/>
      <c r="I109" s="314"/>
      <c r="J109" s="314"/>
      <c r="K109" s="314"/>
      <c r="L109" s="314"/>
      <c r="M109" s="314"/>
      <c r="N109" s="314"/>
      <c r="O109" s="314"/>
      <c r="P109" s="314"/>
      <c r="Q109" s="314"/>
      <c r="R109" s="314"/>
      <c r="S109" s="314"/>
      <c r="T109" s="286"/>
      <c r="U109" s="286"/>
      <c r="V109" s="338">
        <v>-165</v>
      </c>
      <c r="W109" s="318"/>
      <c r="X109" s="5"/>
      <c r="Y109" s="109"/>
    </row>
    <row r="110" spans="1:25" ht="15.75" x14ac:dyDescent="0.25">
      <c r="A110" s="295" t="s">
        <v>206</v>
      </c>
      <c r="B110" s="286" t="s">
        <v>186</v>
      </c>
      <c r="C110" s="286"/>
      <c r="D110" s="286"/>
      <c r="E110" s="314"/>
      <c r="F110" s="314"/>
      <c r="G110" s="314"/>
      <c r="H110" s="314"/>
      <c r="I110" s="314"/>
      <c r="J110" s="314"/>
      <c r="K110" s="314"/>
      <c r="L110" s="314"/>
      <c r="M110" s="314"/>
      <c r="N110" s="314"/>
      <c r="O110" s="314"/>
      <c r="P110" s="314"/>
      <c r="Q110" s="314"/>
      <c r="R110" s="314"/>
      <c r="S110" s="314"/>
      <c r="T110" s="286"/>
      <c r="U110" s="286"/>
      <c r="V110" s="338">
        <v>-45</v>
      </c>
      <c r="W110" s="318"/>
      <c r="X110" s="5"/>
      <c r="Y110" s="109"/>
    </row>
    <row r="111" spans="1:25" ht="15.75" x14ac:dyDescent="0.25">
      <c r="A111" s="295">
        <v>6</v>
      </c>
      <c r="B111" s="286" t="s">
        <v>196</v>
      </c>
      <c r="C111" s="286"/>
      <c r="D111" s="286"/>
      <c r="E111" s="314"/>
      <c r="F111" s="314"/>
      <c r="G111" s="314"/>
      <c r="H111" s="314"/>
      <c r="I111" s="314"/>
      <c r="J111" s="314"/>
      <c r="K111" s="314"/>
      <c r="L111" s="314"/>
      <c r="M111" s="314"/>
      <c r="N111" s="314"/>
      <c r="O111" s="314"/>
      <c r="P111" s="314"/>
      <c r="Q111" s="314"/>
      <c r="R111" s="314"/>
      <c r="S111" s="314"/>
      <c r="T111" s="286"/>
      <c r="U111" s="286"/>
      <c r="V111" s="338">
        <v>-328</v>
      </c>
      <c r="W111" s="318"/>
      <c r="X111" s="5"/>
      <c r="Y111" s="109"/>
    </row>
    <row r="112" spans="1:25" ht="15.75" x14ac:dyDescent="0.25">
      <c r="A112" s="295">
        <v>7</v>
      </c>
      <c r="B112" s="412" t="s">
        <v>315</v>
      </c>
      <c r="C112" s="286"/>
      <c r="D112" s="286"/>
      <c r="E112" s="314"/>
      <c r="F112" s="314"/>
      <c r="G112" s="314"/>
      <c r="H112" s="314"/>
      <c r="I112" s="314"/>
      <c r="J112" s="314"/>
      <c r="K112" s="314"/>
      <c r="L112" s="314"/>
      <c r="M112" s="314"/>
      <c r="N112" s="314"/>
      <c r="O112" s="314"/>
      <c r="P112" s="314"/>
      <c r="Q112" s="314"/>
      <c r="R112" s="314"/>
      <c r="S112" s="314"/>
      <c r="T112" s="286"/>
      <c r="U112" s="286"/>
      <c r="V112" s="338">
        <v>0</v>
      </c>
      <c r="W112" s="318"/>
      <c r="X112" s="5"/>
      <c r="Y112" s="109"/>
    </row>
    <row r="113" spans="1:24" ht="15.75" x14ac:dyDescent="0.25">
      <c r="A113" s="295">
        <v>8</v>
      </c>
      <c r="B113" s="286" t="s">
        <v>35</v>
      </c>
      <c r="C113" s="286"/>
      <c r="D113" s="286"/>
      <c r="E113" s="314"/>
      <c r="F113" s="314"/>
      <c r="G113" s="314"/>
      <c r="H113" s="314"/>
      <c r="I113" s="314"/>
      <c r="J113" s="314"/>
      <c r="K113" s="314"/>
      <c r="L113" s="314"/>
      <c r="M113" s="314"/>
      <c r="N113" s="314"/>
      <c r="O113" s="314"/>
      <c r="P113" s="314"/>
      <c r="Q113" s="314"/>
      <c r="R113" s="314"/>
      <c r="S113" s="314"/>
      <c r="T113" s="286"/>
      <c r="U113" s="286"/>
      <c r="V113" s="338">
        <v>-9</v>
      </c>
      <c r="W113" s="318"/>
      <c r="X113" s="5"/>
    </row>
    <row r="114" spans="1:24" ht="15.75" x14ac:dyDescent="0.25">
      <c r="A114" s="295">
        <f t="shared" ref="A114:A119" si="0">+A113+1</f>
        <v>9</v>
      </c>
      <c r="B114" s="286" t="s">
        <v>45</v>
      </c>
      <c r="C114" s="286"/>
      <c r="D114" s="286"/>
      <c r="E114" s="314"/>
      <c r="F114" s="314"/>
      <c r="G114" s="314"/>
      <c r="H114" s="314"/>
      <c r="I114" s="314"/>
      <c r="J114" s="314"/>
      <c r="K114" s="314"/>
      <c r="L114" s="314"/>
      <c r="M114" s="314"/>
      <c r="N114" s="314"/>
      <c r="O114" s="314"/>
      <c r="P114" s="314"/>
      <c r="Q114" s="314"/>
      <c r="R114" s="314"/>
      <c r="S114" s="314"/>
      <c r="T114" s="337">
        <f>-V114</f>
        <v>58</v>
      </c>
      <c r="U114" s="286"/>
      <c r="V114" s="338">
        <v>-58</v>
      </c>
      <c r="W114" s="318"/>
      <c r="X114" s="5"/>
    </row>
    <row r="115" spans="1:24" ht="15.75" x14ac:dyDescent="0.25">
      <c r="A115" s="295">
        <f t="shared" si="0"/>
        <v>10</v>
      </c>
      <c r="B115" s="286" t="s">
        <v>125</v>
      </c>
      <c r="C115" s="286"/>
      <c r="D115" s="286"/>
      <c r="E115" s="314"/>
      <c r="F115" s="314"/>
      <c r="G115" s="314"/>
      <c r="H115" s="314"/>
      <c r="I115" s="314"/>
      <c r="J115" s="314"/>
      <c r="K115" s="314"/>
      <c r="L115" s="314"/>
      <c r="M115" s="314"/>
      <c r="N115" s="314"/>
      <c r="O115" s="314"/>
      <c r="P115" s="314"/>
      <c r="Q115" s="314"/>
      <c r="R115" s="314"/>
      <c r="S115" s="314"/>
      <c r="T115" s="286"/>
      <c r="U115" s="286"/>
      <c r="V115" s="338">
        <v>0</v>
      </c>
      <c r="W115" s="318"/>
      <c r="X115" s="5"/>
    </row>
    <row r="116" spans="1:24" ht="15.75" x14ac:dyDescent="0.25">
      <c r="A116" s="295">
        <f t="shared" si="0"/>
        <v>11</v>
      </c>
      <c r="B116" s="286" t="s">
        <v>225</v>
      </c>
      <c r="C116" s="286"/>
      <c r="D116" s="286"/>
      <c r="E116" s="314"/>
      <c r="F116" s="314"/>
      <c r="G116" s="314"/>
      <c r="H116" s="314"/>
      <c r="I116" s="314"/>
      <c r="J116" s="314"/>
      <c r="K116" s="314"/>
      <c r="L116" s="314"/>
      <c r="M116" s="314"/>
      <c r="N116" s="314"/>
      <c r="O116" s="314"/>
      <c r="P116" s="314"/>
      <c r="Q116" s="314"/>
      <c r="R116" s="314"/>
      <c r="S116" s="314"/>
      <c r="T116" s="286"/>
      <c r="U116" s="286"/>
      <c r="V116" s="338">
        <v>0</v>
      </c>
      <c r="W116" s="318"/>
      <c r="X116" s="5"/>
    </row>
    <row r="117" spans="1:24" ht="15.75" x14ac:dyDescent="0.25">
      <c r="A117" s="295">
        <f t="shared" si="0"/>
        <v>12</v>
      </c>
      <c r="B117" s="286" t="s">
        <v>36</v>
      </c>
      <c r="C117" s="286"/>
      <c r="D117" s="286"/>
      <c r="E117" s="314"/>
      <c r="F117" s="314"/>
      <c r="G117" s="314"/>
      <c r="H117" s="314"/>
      <c r="I117" s="314"/>
      <c r="J117" s="314"/>
      <c r="K117" s="314"/>
      <c r="L117" s="314"/>
      <c r="M117" s="314"/>
      <c r="N117" s="314"/>
      <c r="O117" s="314"/>
      <c r="P117" s="314"/>
      <c r="Q117" s="314"/>
      <c r="R117" s="314"/>
      <c r="S117" s="314"/>
      <c r="T117" s="286"/>
      <c r="U117" s="286"/>
      <c r="V117" s="338">
        <v>0</v>
      </c>
      <c r="W117" s="318"/>
      <c r="X117" s="5"/>
    </row>
    <row r="118" spans="1:24" ht="15.75" x14ac:dyDescent="0.25">
      <c r="A118" s="295">
        <f t="shared" si="0"/>
        <v>13</v>
      </c>
      <c r="B118" s="286" t="s">
        <v>149</v>
      </c>
      <c r="C118" s="286"/>
      <c r="D118" s="286"/>
      <c r="E118" s="314"/>
      <c r="F118" s="314"/>
      <c r="G118" s="314"/>
      <c r="H118" s="314"/>
      <c r="I118" s="314"/>
      <c r="J118" s="314"/>
      <c r="K118" s="314"/>
      <c r="L118" s="314"/>
      <c r="M118" s="314"/>
      <c r="N118" s="314"/>
      <c r="O118" s="314"/>
      <c r="P118" s="314"/>
      <c r="Q118" s="314"/>
      <c r="R118" s="314"/>
      <c r="S118" s="314"/>
      <c r="T118" s="286"/>
      <c r="U118" s="286"/>
      <c r="V118" s="338">
        <v>-295</v>
      </c>
      <c r="W118" s="318"/>
      <c r="X118" s="5"/>
    </row>
    <row r="119" spans="1:24" ht="15.75" x14ac:dyDescent="0.25">
      <c r="A119" s="295">
        <f t="shared" si="0"/>
        <v>14</v>
      </c>
      <c r="B119" s="286" t="s">
        <v>126</v>
      </c>
      <c r="C119" s="286"/>
      <c r="D119" s="286"/>
      <c r="E119" s="314"/>
      <c r="F119" s="314"/>
      <c r="G119" s="314"/>
      <c r="H119" s="314"/>
      <c r="I119" s="314"/>
      <c r="J119" s="314"/>
      <c r="K119" s="314"/>
      <c r="L119" s="314"/>
      <c r="M119" s="314"/>
      <c r="N119" s="314"/>
      <c r="O119" s="314"/>
      <c r="P119" s="314"/>
      <c r="Q119" s="314"/>
      <c r="R119" s="314"/>
      <c r="S119" s="314"/>
      <c r="T119" s="286"/>
      <c r="U119" s="286"/>
      <c r="V119" s="338">
        <f>-V101-SUM(V103:V118)</f>
        <v>-2170</v>
      </c>
      <c r="W119" s="318"/>
      <c r="X119" s="5"/>
    </row>
    <row r="120" spans="1:24" ht="15.75" x14ac:dyDescent="0.25">
      <c r="A120" s="285"/>
      <c r="B120" s="342" t="s">
        <v>37</v>
      </c>
      <c r="C120" s="314"/>
      <c r="D120" s="314"/>
      <c r="E120" s="314"/>
      <c r="F120" s="314"/>
      <c r="G120" s="314"/>
      <c r="H120" s="314"/>
      <c r="I120" s="314"/>
      <c r="J120" s="314"/>
      <c r="K120" s="314"/>
      <c r="L120" s="314"/>
      <c r="M120" s="314"/>
      <c r="N120" s="314"/>
      <c r="O120" s="314"/>
      <c r="P120" s="314"/>
      <c r="Q120" s="314"/>
      <c r="R120" s="314"/>
      <c r="S120" s="314"/>
      <c r="T120" s="286"/>
      <c r="U120" s="286"/>
      <c r="V120" s="343"/>
      <c r="W120" s="318"/>
      <c r="X120" s="5"/>
    </row>
    <row r="121" spans="1:24" ht="15.75" x14ac:dyDescent="0.25">
      <c r="A121" s="285"/>
      <c r="B121" s="286" t="s">
        <v>173</v>
      </c>
      <c r="C121" s="314"/>
      <c r="D121" s="314"/>
      <c r="E121" s="314"/>
      <c r="F121" s="314"/>
      <c r="G121" s="314"/>
      <c r="H121" s="314"/>
      <c r="I121" s="314"/>
      <c r="J121" s="314"/>
      <c r="K121" s="314"/>
      <c r="L121" s="314"/>
      <c r="M121" s="314"/>
      <c r="N121" s="314"/>
      <c r="O121" s="314"/>
      <c r="P121" s="314"/>
      <c r="Q121" s="314"/>
      <c r="R121" s="314"/>
      <c r="S121" s="314"/>
      <c r="T121" s="337">
        <f>-T186</f>
        <v>0</v>
      </c>
      <c r="U121" s="337"/>
      <c r="V121" s="338"/>
      <c r="W121" s="318"/>
      <c r="X121" s="5"/>
    </row>
    <row r="122" spans="1:24" ht="15.75" x14ac:dyDescent="0.25">
      <c r="A122" s="285"/>
      <c r="B122" s="286" t="s">
        <v>174</v>
      </c>
      <c r="C122" s="314"/>
      <c r="D122" s="314"/>
      <c r="E122" s="314"/>
      <c r="F122" s="314"/>
      <c r="G122" s="314"/>
      <c r="H122" s="314"/>
      <c r="I122" s="314"/>
      <c r="J122" s="314"/>
      <c r="K122" s="314"/>
      <c r="L122" s="314"/>
      <c r="M122" s="314"/>
      <c r="N122" s="314"/>
      <c r="O122" s="314"/>
      <c r="P122" s="314"/>
      <c r="Q122" s="314"/>
      <c r="R122" s="314"/>
      <c r="S122" s="314"/>
      <c r="T122" s="337">
        <v>0</v>
      </c>
      <c r="U122" s="337"/>
      <c r="V122" s="338"/>
      <c r="W122" s="318"/>
      <c r="X122" s="5"/>
    </row>
    <row r="123" spans="1:24" ht="15.75" x14ac:dyDescent="0.25">
      <c r="A123" s="285"/>
      <c r="B123" s="286" t="s">
        <v>38</v>
      </c>
      <c r="C123" s="314"/>
      <c r="D123" s="314"/>
      <c r="E123" s="314"/>
      <c r="F123" s="314"/>
      <c r="G123" s="314"/>
      <c r="H123" s="314"/>
      <c r="I123" s="314"/>
      <c r="J123" s="314"/>
      <c r="K123" s="314"/>
      <c r="L123" s="314"/>
      <c r="M123" s="314"/>
      <c r="N123" s="314"/>
      <c r="O123" s="314"/>
      <c r="P123" s="314"/>
      <c r="Q123" s="314"/>
      <c r="R123" s="314"/>
      <c r="S123" s="314"/>
      <c r="T123" s="337">
        <f>-S186</f>
        <v>-100</v>
      </c>
      <c r="U123" s="337"/>
      <c r="V123" s="338"/>
      <c r="W123" s="318"/>
      <c r="X123" s="5"/>
    </row>
    <row r="124" spans="1:24" ht="15.75" x14ac:dyDescent="0.25">
      <c r="A124" s="285"/>
      <c r="B124" s="286" t="s">
        <v>197</v>
      </c>
      <c r="C124" s="314"/>
      <c r="D124" s="314"/>
      <c r="E124" s="314"/>
      <c r="F124" s="314"/>
      <c r="G124" s="314"/>
      <c r="H124" s="314"/>
      <c r="I124" s="314"/>
      <c r="J124" s="314"/>
      <c r="K124" s="314"/>
      <c r="L124" s="314"/>
      <c r="M124" s="314"/>
      <c r="N124" s="314"/>
      <c r="O124" s="314"/>
      <c r="P124" s="314"/>
      <c r="Q124" s="314"/>
      <c r="R124" s="314"/>
      <c r="S124" s="314"/>
      <c r="T124" s="337">
        <v>-2928</v>
      </c>
      <c r="U124" s="337"/>
      <c r="V124" s="338"/>
      <c r="W124" s="318"/>
      <c r="X124" s="5"/>
    </row>
    <row r="125" spans="1:24" ht="15.75" x14ac:dyDescent="0.25">
      <c r="A125" s="285"/>
      <c r="B125" s="286" t="s">
        <v>195</v>
      </c>
      <c r="C125" s="314"/>
      <c r="D125" s="314"/>
      <c r="E125" s="314"/>
      <c r="F125" s="314"/>
      <c r="G125" s="314"/>
      <c r="H125" s="314"/>
      <c r="I125" s="314"/>
      <c r="J125" s="314"/>
      <c r="K125" s="314"/>
      <c r="L125" s="314"/>
      <c r="M125" s="314"/>
      <c r="N125" s="314"/>
      <c r="O125" s="314"/>
      <c r="P125" s="314"/>
      <c r="Q125" s="314"/>
      <c r="R125" s="314"/>
      <c r="S125" s="314"/>
      <c r="T125" s="337">
        <v>-1244</v>
      </c>
      <c r="U125" s="337"/>
      <c r="V125" s="338"/>
      <c r="W125" s="318"/>
      <c r="X125" s="5"/>
    </row>
    <row r="126" spans="1:24" ht="15.75" x14ac:dyDescent="0.25">
      <c r="A126" s="285"/>
      <c r="B126" s="286" t="s">
        <v>194</v>
      </c>
      <c r="C126" s="314"/>
      <c r="D126" s="314"/>
      <c r="E126" s="314"/>
      <c r="F126" s="314"/>
      <c r="G126" s="314"/>
      <c r="H126" s="314"/>
      <c r="I126" s="314"/>
      <c r="J126" s="314"/>
      <c r="K126" s="314"/>
      <c r="L126" s="314"/>
      <c r="M126" s="314"/>
      <c r="N126" s="314"/>
      <c r="O126" s="314"/>
      <c r="P126" s="314"/>
      <c r="Q126" s="314"/>
      <c r="R126" s="314"/>
      <c r="S126" s="314"/>
      <c r="T126" s="337">
        <v>-444</v>
      </c>
      <c r="U126" s="337"/>
      <c r="V126" s="338"/>
      <c r="W126" s="318"/>
      <c r="X126" s="5"/>
    </row>
    <row r="127" spans="1:24" ht="15.75" x14ac:dyDescent="0.25">
      <c r="A127" s="285"/>
      <c r="B127" s="286" t="s">
        <v>222</v>
      </c>
      <c r="C127" s="314"/>
      <c r="D127" s="314"/>
      <c r="E127" s="314"/>
      <c r="F127" s="314"/>
      <c r="G127" s="314"/>
      <c r="H127" s="314"/>
      <c r="I127" s="314"/>
      <c r="J127" s="314"/>
      <c r="K127" s="314"/>
      <c r="L127" s="314"/>
      <c r="M127" s="314"/>
      <c r="N127" s="314"/>
      <c r="O127" s="314"/>
      <c r="P127" s="314"/>
      <c r="Q127" s="314"/>
      <c r="R127" s="314"/>
      <c r="S127" s="314"/>
      <c r="T127" s="337">
        <v>-439</v>
      </c>
      <c r="U127" s="337"/>
      <c r="V127" s="338"/>
      <c r="W127" s="318"/>
      <c r="X127" s="5"/>
    </row>
    <row r="128" spans="1:24" ht="15.75" x14ac:dyDescent="0.25">
      <c r="A128" s="285"/>
      <c r="B128" s="286" t="s">
        <v>189</v>
      </c>
      <c r="C128" s="314"/>
      <c r="D128" s="314"/>
      <c r="E128" s="314"/>
      <c r="F128" s="314"/>
      <c r="G128" s="314"/>
      <c r="H128" s="314"/>
      <c r="I128" s="314"/>
      <c r="J128" s="314"/>
      <c r="K128" s="314"/>
      <c r="L128" s="314"/>
      <c r="M128" s="314"/>
      <c r="N128" s="314"/>
      <c r="O128" s="314"/>
      <c r="P128" s="314"/>
      <c r="Q128" s="314"/>
      <c r="R128" s="314"/>
      <c r="S128" s="314"/>
      <c r="T128" s="337">
        <v>0</v>
      </c>
      <c r="U128" s="337"/>
      <c r="V128" s="338"/>
      <c r="W128" s="318"/>
      <c r="X128" s="5"/>
    </row>
    <row r="129" spans="1:24" ht="15.75" x14ac:dyDescent="0.25">
      <c r="A129" s="285"/>
      <c r="B129" s="286" t="s">
        <v>188</v>
      </c>
      <c r="C129" s="314"/>
      <c r="D129" s="314"/>
      <c r="E129" s="314"/>
      <c r="F129" s="314"/>
      <c r="G129" s="314"/>
      <c r="H129" s="314"/>
      <c r="I129" s="314"/>
      <c r="J129" s="314"/>
      <c r="K129" s="314"/>
      <c r="L129" s="314"/>
      <c r="M129" s="314"/>
      <c r="N129" s="314"/>
      <c r="O129" s="314"/>
      <c r="P129" s="314"/>
      <c r="Q129" s="314"/>
      <c r="R129" s="314"/>
      <c r="S129" s="314"/>
      <c r="T129" s="337">
        <v>0</v>
      </c>
      <c r="U129" s="337"/>
      <c r="V129" s="338"/>
      <c r="W129" s="318"/>
      <c r="X129" s="5"/>
    </row>
    <row r="130" spans="1:24" ht="15.75" x14ac:dyDescent="0.25">
      <c r="A130" s="285"/>
      <c r="B130" s="286" t="s">
        <v>187</v>
      </c>
      <c r="C130" s="314"/>
      <c r="D130" s="314"/>
      <c r="E130" s="314"/>
      <c r="F130" s="314"/>
      <c r="G130" s="314"/>
      <c r="H130" s="314"/>
      <c r="I130" s="314"/>
      <c r="J130" s="314"/>
      <c r="K130" s="314"/>
      <c r="L130" s="314"/>
      <c r="M130" s="314"/>
      <c r="N130" s="314"/>
      <c r="O130" s="314"/>
      <c r="P130" s="314"/>
      <c r="Q130" s="314"/>
      <c r="R130" s="314"/>
      <c r="S130" s="314"/>
      <c r="T130" s="337">
        <v>0</v>
      </c>
      <c r="U130" s="337"/>
      <c r="V130" s="338"/>
      <c r="W130" s="318"/>
      <c r="X130" s="5"/>
    </row>
    <row r="131" spans="1:24" ht="15.75" x14ac:dyDescent="0.25">
      <c r="A131" s="285"/>
      <c r="B131" s="286" t="s">
        <v>39</v>
      </c>
      <c r="C131" s="314"/>
      <c r="D131" s="314"/>
      <c r="E131" s="314"/>
      <c r="F131" s="314"/>
      <c r="G131" s="314"/>
      <c r="H131" s="314"/>
      <c r="I131" s="314"/>
      <c r="J131" s="314"/>
      <c r="K131" s="314"/>
      <c r="L131" s="314"/>
      <c r="M131" s="314"/>
      <c r="N131" s="314"/>
      <c r="O131" s="314"/>
      <c r="P131" s="314"/>
      <c r="Q131" s="314"/>
      <c r="R131" s="314"/>
      <c r="S131" s="314"/>
      <c r="T131" s="337">
        <f>SUM(T121:T130)</f>
        <v>-5155</v>
      </c>
      <c r="U131" s="337"/>
      <c r="V131" s="337">
        <f>SUM(V102:V129)</f>
        <v>-4760</v>
      </c>
      <c r="W131" s="318"/>
      <c r="X131" s="5"/>
    </row>
    <row r="132" spans="1:24" ht="15.75" x14ac:dyDescent="0.25">
      <c r="A132" s="285"/>
      <c r="B132" s="286" t="s">
        <v>40</v>
      </c>
      <c r="C132" s="314"/>
      <c r="D132" s="314"/>
      <c r="E132" s="314"/>
      <c r="F132" s="314"/>
      <c r="G132" s="314"/>
      <c r="H132" s="314"/>
      <c r="I132" s="314"/>
      <c r="J132" s="314"/>
      <c r="K132" s="314"/>
      <c r="L132" s="314"/>
      <c r="M132" s="314"/>
      <c r="N132" s="314"/>
      <c r="O132" s="314"/>
      <c r="P132" s="314"/>
      <c r="Q132" s="314"/>
      <c r="R132" s="314"/>
      <c r="S132" s="314"/>
      <c r="T132" s="337">
        <f>T101+T131+T114</f>
        <v>0</v>
      </c>
      <c r="U132" s="337"/>
      <c r="V132" s="337">
        <f>V101+V131</f>
        <v>0</v>
      </c>
      <c r="W132" s="318"/>
      <c r="X132" s="5"/>
    </row>
    <row r="133" spans="1:24" ht="15.75" x14ac:dyDescent="0.25">
      <c r="A133" s="181"/>
      <c r="B133" s="212"/>
      <c r="C133" s="212"/>
      <c r="D133" s="212"/>
      <c r="E133" s="212"/>
      <c r="F133" s="212"/>
      <c r="G133" s="212"/>
      <c r="H133" s="212"/>
      <c r="I133" s="212"/>
      <c r="J133" s="212"/>
      <c r="K133" s="212"/>
      <c r="L133" s="212"/>
      <c r="M133" s="212"/>
      <c r="N133" s="212"/>
      <c r="O133" s="212"/>
      <c r="P133" s="212"/>
      <c r="Q133" s="212"/>
      <c r="R133" s="212"/>
      <c r="S133" s="212"/>
      <c r="T133" s="335"/>
      <c r="U133" s="335"/>
      <c r="V133" s="335"/>
      <c r="W133" s="212"/>
      <c r="X133" s="5"/>
    </row>
    <row r="134" spans="1:24" ht="15.75" x14ac:dyDescent="0.25">
      <c r="A134" s="181"/>
      <c r="B134" s="183"/>
      <c r="C134" s="183"/>
      <c r="D134" s="183"/>
      <c r="E134" s="183"/>
      <c r="F134" s="183"/>
      <c r="G134" s="183"/>
      <c r="H134" s="183"/>
      <c r="I134" s="183"/>
      <c r="J134" s="183"/>
      <c r="K134" s="183"/>
      <c r="L134" s="183"/>
      <c r="M134" s="183"/>
      <c r="N134" s="183"/>
      <c r="O134" s="183"/>
      <c r="P134" s="183"/>
      <c r="Q134" s="183"/>
      <c r="R134" s="183"/>
      <c r="S134" s="183"/>
      <c r="T134" s="183"/>
      <c r="U134" s="183"/>
      <c r="V134" s="202"/>
      <c r="W134" s="183"/>
      <c r="X134" s="5"/>
    </row>
    <row r="135" spans="1:24" ht="19.5" thickBot="1" x14ac:dyDescent="0.35">
      <c r="A135" s="197"/>
      <c r="B135" s="270" t="str">
        <f>B64</f>
        <v>PM15 INVESTOR REPORT QUARTER ENDING FEBRUARY 2014</v>
      </c>
      <c r="C135" s="198"/>
      <c r="D135" s="198"/>
      <c r="E135" s="198"/>
      <c r="F135" s="198"/>
      <c r="G135" s="198"/>
      <c r="H135" s="198"/>
      <c r="I135" s="198"/>
      <c r="J135" s="198"/>
      <c r="K135" s="198"/>
      <c r="L135" s="198"/>
      <c r="M135" s="198"/>
      <c r="N135" s="198"/>
      <c r="O135" s="198"/>
      <c r="P135" s="198"/>
      <c r="Q135" s="198"/>
      <c r="R135" s="198"/>
      <c r="S135" s="198"/>
      <c r="T135" s="198"/>
      <c r="U135" s="198"/>
      <c r="V135" s="209"/>
      <c r="W135" s="200"/>
      <c r="X135" s="5"/>
    </row>
    <row r="136" spans="1:24" ht="15.75" x14ac:dyDescent="0.25">
      <c r="A136" s="236"/>
      <c r="B136" s="403" t="s">
        <v>41</v>
      </c>
      <c r="C136" s="238"/>
      <c r="D136" s="238"/>
      <c r="E136" s="238"/>
      <c r="F136" s="238"/>
      <c r="G136" s="238"/>
      <c r="H136" s="238"/>
      <c r="I136" s="238"/>
      <c r="J136" s="238"/>
      <c r="K136" s="238"/>
      <c r="L136" s="238"/>
      <c r="M136" s="238"/>
      <c r="N136" s="238"/>
      <c r="O136" s="238"/>
      <c r="P136" s="238"/>
      <c r="Q136" s="238"/>
      <c r="R136" s="238"/>
      <c r="S136" s="238"/>
      <c r="T136" s="238"/>
      <c r="U136" s="238"/>
      <c r="V136" s="239"/>
      <c r="W136" s="238"/>
      <c r="X136" s="5"/>
    </row>
    <row r="137" spans="1:24" ht="15.75" x14ac:dyDescent="0.25">
      <c r="A137" s="181"/>
      <c r="B137" s="191"/>
      <c r="C137" s="183"/>
      <c r="D137" s="183"/>
      <c r="E137" s="183"/>
      <c r="F137" s="183"/>
      <c r="G137" s="183"/>
      <c r="H137" s="183"/>
      <c r="I137" s="183"/>
      <c r="J137" s="183"/>
      <c r="K137" s="183"/>
      <c r="L137" s="183"/>
      <c r="M137" s="183"/>
      <c r="N137" s="183"/>
      <c r="O137" s="183"/>
      <c r="P137" s="183"/>
      <c r="Q137" s="183"/>
      <c r="R137" s="183"/>
      <c r="S137" s="183"/>
      <c r="T137" s="183"/>
      <c r="U137" s="183"/>
      <c r="V137" s="202"/>
      <c r="W137" s="183"/>
      <c r="X137" s="5"/>
    </row>
    <row r="138" spans="1:24" ht="15.75" x14ac:dyDescent="0.25">
      <c r="A138" s="181"/>
      <c r="B138" s="210" t="s">
        <v>42</v>
      </c>
      <c r="C138" s="183"/>
      <c r="D138" s="183"/>
      <c r="E138" s="183"/>
      <c r="F138" s="183"/>
      <c r="G138" s="183"/>
      <c r="H138" s="183"/>
      <c r="I138" s="183"/>
      <c r="J138" s="183"/>
      <c r="K138" s="183"/>
      <c r="L138" s="183"/>
      <c r="M138" s="183"/>
      <c r="N138" s="183"/>
      <c r="O138" s="183"/>
      <c r="P138" s="183"/>
      <c r="Q138" s="183"/>
      <c r="R138" s="183"/>
      <c r="S138" s="183"/>
      <c r="T138" s="183"/>
      <c r="U138" s="183"/>
      <c r="V138" s="202"/>
      <c r="W138" s="183"/>
      <c r="X138" s="5"/>
    </row>
    <row r="139" spans="1:24" ht="15.75" x14ac:dyDescent="0.25">
      <c r="A139" s="285"/>
      <c r="B139" s="286" t="s">
        <v>43</v>
      </c>
      <c r="C139" s="286"/>
      <c r="D139" s="286"/>
      <c r="E139" s="286"/>
      <c r="F139" s="286"/>
      <c r="G139" s="286"/>
      <c r="H139" s="286"/>
      <c r="I139" s="286"/>
      <c r="J139" s="286"/>
      <c r="K139" s="286"/>
      <c r="L139" s="286"/>
      <c r="M139" s="286"/>
      <c r="N139" s="286"/>
      <c r="O139" s="286"/>
      <c r="P139" s="286"/>
      <c r="Q139" s="286"/>
      <c r="R139" s="286"/>
      <c r="S139" s="286"/>
      <c r="T139" s="286"/>
      <c r="U139" s="286"/>
      <c r="V139" s="338">
        <f>+V34*0.019</f>
        <v>19021.526999999998</v>
      </c>
      <c r="W139" s="289"/>
      <c r="X139" s="5"/>
    </row>
    <row r="140" spans="1:24" ht="15.75" x14ac:dyDescent="0.25">
      <c r="A140" s="285"/>
      <c r="B140" s="286" t="s">
        <v>44</v>
      </c>
      <c r="C140" s="286"/>
      <c r="D140" s="286"/>
      <c r="E140" s="286"/>
      <c r="F140" s="286"/>
      <c r="G140" s="286"/>
      <c r="H140" s="286"/>
      <c r="I140" s="286"/>
      <c r="J140" s="286"/>
      <c r="K140" s="286"/>
      <c r="L140" s="286"/>
      <c r="M140" s="286"/>
      <c r="N140" s="286"/>
      <c r="O140" s="286"/>
      <c r="P140" s="286"/>
      <c r="Q140" s="286"/>
      <c r="R140" s="286"/>
      <c r="S140" s="286"/>
      <c r="T140" s="286"/>
      <c r="U140" s="286"/>
      <c r="V140" s="338">
        <v>19022</v>
      </c>
      <c r="W140" s="289"/>
      <c r="X140" s="5"/>
    </row>
    <row r="141" spans="1:24" ht="15.75" x14ac:dyDescent="0.25">
      <c r="A141" s="285"/>
      <c r="B141" s="286" t="s">
        <v>136</v>
      </c>
      <c r="C141" s="286"/>
      <c r="D141" s="286"/>
      <c r="E141" s="286"/>
      <c r="F141" s="286"/>
      <c r="G141" s="286"/>
      <c r="H141" s="286"/>
      <c r="I141" s="286"/>
      <c r="J141" s="286"/>
      <c r="K141" s="286"/>
      <c r="L141" s="286"/>
      <c r="M141" s="286"/>
      <c r="N141" s="286"/>
      <c r="O141" s="286"/>
      <c r="P141" s="286"/>
      <c r="Q141" s="286"/>
      <c r="R141" s="286"/>
      <c r="S141" s="286"/>
      <c r="T141" s="286"/>
      <c r="U141" s="286"/>
      <c r="V141" s="338"/>
      <c r="W141" s="289"/>
      <c r="X141" s="5"/>
    </row>
    <row r="142" spans="1:24" ht="15.75" x14ac:dyDescent="0.25">
      <c r="A142" s="285"/>
      <c r="B142" s="286" t="s">
        <v>123</v>
      </c>
      <c r="C142" s="286"/>
      <c r="D142" s="286"/>
      <c r="E142" s="286"/>
      <c r="F142" s="286"/>
      <c r="G142" s="286"/>
      <c r="H142" s="286"/>
      <c r="I142" s="286"/>
      <c r="J142" s="286"/>
      <c r="K142" s="286"/>
      <c r="L142" s="286"/>
      <c r="M142" s="286"/>
      <c r="N142" s="286"/>
      <c r="O142" s="286"/>
      <c r="P142" s="286"/>
      <c r="Q142" s="286"/>
      <c r="R142" s="286"/>
      <c r="S142" s="286"/>
      <c r="T142" s="286"/>
      <c r="U142" s="286"/>
      <c r="V142" s="338">
        <v>0</v>
      </c>
      <c r="W142" s="289"/>
      <c r="X142" s="5"/>
    </row>
    <row r="143" spans="1:24" ht="15.75" x14ac:dyDescent="0.25">
      <c r="A143" s="285"/>
      <c r="B143" s="286" t="s">
        <v>124</v>
      </c>
      <c r="C143" s="286"/>
      <c r="D143" s="286"/>
      <c r="E143" s="286"/>
      <c r="F143" s="286"/>
      <c r="G143" s="286"/>
      <c r="H143" s="286"/>
      <c r="I143" s="286"/>
      <c r="J143" s="286"/>
      <c r="K143" s="286"/>
      <c r="L143" s="286"/>
      <c r="M143" s="286"/>
      <c r="N143" s="286"/>
      <c r="O143" s="286"/>
      <c r="P143" s="286"/>
      <c r="Q143" s="286"/>
      <c r="R143" s="286"/>
      <c r="S143" s="286"/>
      <c r="T143" s="286"/>
      <c r="U143" s="286"/>
      <c r="V143" s="338">
        <v>0</v>
      </c>
      <c r="W143" s="289"/>
      <c r="X143" s="5"/>
    </row>
    <row r="144" spans="1:24" ht="15.75" x14ac:dyDescent="0.25">
      <c r="A144" s="285"/>
      <c r="B144" s="286" t="s">
        <v>175</v>
      </c>
      <c r="C144" s="286"/>
      <c r="D144" s="286"/>
      <c r="E144" s="286"/>
      <c r="F144" s="286"/>
      <c r="G144" s="286"/>
      <c r="H144" s="286"/>
      <c r="I144" s="286"/>
      <c r="J144" s="286"/>
      <c r="K144" s="286"/>
      <c r="L144" s="286"/>
      <c r="M144" s="286"/>
      <c r="N144" s="286"/>
      <c r="O144" s="286"/>
      <c r="P144" s="286"/>
      <c r="Q144" s="286"/>
      <c r="R144" s="286"/>
      <c r="S144" s="286"/>
      <c r="T144" s="286"/>
      <c r="U144" s="286"/>
      <c r="V144" s="338">
        <v>0</v>
      </c>
      <c r="W144" s="289"/>
      <c r="X144" s="5"/>
    </row>
    <row r="145" spans="1:25" ht="15.75" x14ac:dyDescent="0.25">
      <c r="A145" s="285"/>
      <c r="B145" s="286" t="s">
        <v>45</v>
      </c>
      <c r="C145" s="286"/>
      <c r="D145" s="286"/>
      <c r="E145" s="286"/>
      <c r="F145" s="286"/>
      <c r="G145" s="286"/>
      <c r="H145" s="286"/>
      <c r="I145" s="286"/>
      <c r="J145" s="286"/>
      <c r="K145" s="286"/>
      <c r="L145" s="286"/>
      <c r="M145" s="286"/>
      <c r="N145" s="286"/>
      <c r="O145" s="286"/>
      <c r="P145" s="286"/>
      <c r="Q145" s="286"/>
      <c r="R145" s="286"/>
      <c r="S145" s="286"/>
      <c r="T145" s="286"/>
      <c r="U145" s="286"/>
      <c r="V145" s="338">
        <v>0</v>
      </c>
      <c r="W145" s="289"/>
      <c r="X145" s="5"/>
    </row>
    <row r="146" spans="1:25" ht="15.75" x14ac:dyDescent="0.25">
      <c r="A146" s="285"/>
      <c r="B146" s="286" t="s">
        <v>129</v>
      </c>
      <c r="C146" s="286"/>
      <c r="D146" s="286"/>
      <c r="E146" s="286"/>
      <c r="F146" s="286"/>
      <c r="G146" s="286"/>
      <c r="H146" s="286"/>
      <c r="I146" s="286"/>
      <c r="J146" s="286"/>
      <c r="K146" s="286"/>
      <c r="L146" s="286"/>
      <c r="M146" s="286"/>
      <c r="N146" s="286"/>
      <c r="O146" s="286"/>
      <c r="P146" s="286"/>
      <c r="Q146" s="286"/>
      <c r="R146" s="286"/>
      <c r="S146" s="286"/>
      <c r="T146" s="286"/>
      <c r="U146" s="286"/>
      <c r="V146" s="338">
        <v>0</v>
      </c>
      <c r="W146" s="289"/>
      <c r="X146" s="5"/>
    </row>
    <row r="147" spans="1:25" ht="15.75" x14ac:dyDescent="0.25">
      <c r="A147" s="285"/>
      <c r="B147" s="286" t="s">
        <v>241</v>
      </c>
      <c r="C147" s="286"/>
      <c r="D147" s="286"/>
      <c r="E147" s="286"/>
      <c r="F147" s="286"/>
      <c r="G147" s="286"/>
      <c r="H147" s="286"/>
      <c r="I147" s="286"/>
      <c r="J147" s="286"/>
      <c r="K147" s="286"/>
      <c r="L147" s="286"/>
      <c r="M147" s="286"/>
      <c r="N147" s="286"/>
      <c r="O147" s="286"/>
      <c r="P147" s="286"/>
      <c r="Q147" s="286"/>
      <c r="R147" s="286"/>
      <c r="S147" s="286"/>
      <c r="T147" s="286"/>
      <c r="U147" s="286"/>
      <c r="V147" s="338">
        <v>0</v>
      </c>
      <c r="W147" s="289"/>
      <c r="X147" s="5"/>
      <c r="Y147" s="109"/>
    </row>
    <row r="148" spans="1:25" ht="15.75" x14ac:dyDescent="0.25">
      <c r="A148" s="285"/>
      <c r="B148" s="286" t="s">
        <v>46</v>
      </c>
      <c r="C148" s="286"/>
      <c r="D148" s="286"/>
      <c r="E148" s="286"/>
      <c r="F148" s="286"/>
      <c r="G148" s="286"/>
      <c r="H148" s="286"/>
      <c r="I148" s="286"/>
      <c r="J148" s="286"/>
      <c r="K148" s="286"/>
      <c r="L148" s="286"/>
      <c r="M148" s="286"/>
      <c r="N148" s="286"/>
      <c r="O148" s="286"/>
      <c r="P148" s="286"/>
      <c r="Q148" s="286"/>
      <c r="R148" s="286"/>
      <c r="S148" s="286"/>
      <c r="T148" s="286"/>
      <c r="U148" s="286"/>
      <c r="V148" s="338">
        <f>SUM(V140:V147)</f>
        <v>19022</v>
      </c>
      <c r="W148" s="289"/>
      <c r="X148" s="5"/>
    </row>
    <row r="149" spans="1:25" ht="15.75" x14ac:dyDescent="0.25">
      <c r="A149" s="285"/>
      <c r="B149" s="314"/>
      <c r="C149" s="314"/>
      <c r="D149" s="314"/>
      <c r="E149" s="314"/>
      <c r="F149" s="314"/>
      <c r="G149" s="314"/>
      <c r="H149" s="314"/>
      <c r="I149" s="314"/>
      <c r="J149" s="314"/>
      <c r="K149" s="314"/>
      <c r="L149" s="314"/>
      <c r="M149" s="314"/>
      <c r="N149" s="314"/>
      <c r="O149" s="314"/>
      <c r="P149" s="314"/>
      <c r="Q149" s="314"/>
      <c r="R149" s="314"/>
      <c r="S149" s="314"/>
      <c r="T149" s="314"/>
      <c r="U149" s="314"/>
      <c r="V149" s="345"/>
      <c r="W149" s="318"/>
      <c r="X149" s="5"/>
    </row>
    <row r="150" spans="1:25" ht="15.75" x14ac:dyDescent="0.25">
      <c r="A150" s="285"/>
      <c r="B150" s="342" t="s">
        <v>269</v>
      </c>
      <c r="C150" s="314"/>
      <c r="D150" s="314"/>
      <c r="E150" s="314"/>
      <c r="F150" s="314"/>
      <c r="G150" s="314"/>
      <c r="H150" s="314"/>
      <c r="I150" s="314"/>
      <c r="J150" s="314"/>
      <c r="K150" s="314"/>
      <c r="L150" s="314"/>
      <c r="M150" s="314"/>
      <c r="N150" s="314"/>
      <c r="O150" s="314"/>
      <c r="P150" s="314"/>
      <c r="Q150" s="314"/>
      <c r="R150" s="314"/>
      <c r="S150" s="314"/>
      <c r="T150" s="314"/>
      <c r="U150" s="314"/>
      <c r="V150" s="345"/>
      <c r="W150" s="318"/>
      <c r="X150" s="5"/>
    </row>
    <row r="151" spans="1:25" ht="15.75" x14ac:dyDescent="0.25">
      <c r="A151" s="285"/>
      <c r="B151" s="286" t="s">
        <v>155</v>
      </c>
      <c r="C151" s="286"/>
      <c r="D151" s="286"/>
      <c r="E151" s="286"/>
      <c r="F151" s="286"/>
      <c r="G151" s="286"/>
      <c r="H151" s="286"/>
      <c r="I151" s="286"/>
      <c r="J151" s="286"/>
      <c r="K151" s="286"/>
      <c r="L151" s="286"/>
      <c r="M151" s="286"/>
      <c r="N151" s="286"/>
      <c r="O151" s="286"/>
      <c r="P151" s="286"/>
      <c r="Q151" s="286"/>
      <c r="R151" s="286"/>
      <c r="S151" s="286"/>
      <c r="T151" s="286"/>
      <c r="U151" s="286"/>
      <c r="V151" s="338">
        <v>0</v>
      </c>
      <c r="W151" s="289"/>
      <c r="X151" s="5"/>
    </row>
    <row r="152" spans="1:25" ht="15.75" x14ac:dyDescent="0.25">
      <c r="A152" s="285"/>
      <c r="B152" s="286" t="s">
        <v>172</v>
      </c>
      <c r="C152" s="286"/>
      <c r="D152" s="286"/>
      <c r="E152" s="286"/>
      <c r="F152" s="286"/>
      <c r="G152" s="286"/>
      <c r="H152" s="286"/>
      <c r="I152" s="286"/>
      <c r="J152" s="286"/>
      <c r="K152" s="286"/>
      <c r="L152" s="286"/>
      <c r="M152" s="286"/>
      <c r="N152" s="286"/>
      <c r="O152" s="286"/>
      <c r="P152" s="286"/>
      <c r="Q152" s="286"/>
      <c r="R152" s="286"/>
      <c r="S152" s="286"/>
      <c r="T152" s="286"/>
      <c r="U152" s="286"/>
      <c r="V152" s="338">
        <v>0</v>
      </c>
      <c r="W152" s="289"/>
      <c r="X152" s="5"/>
    </row>
    <row r="153" spans="1:25" ht="15.75" x14ac:dyDescent="0.25">
      <c r="A153" s="285"/>
      <c r="B153" s="286" t="s">
        <v>226</v>
      </c>
      <c r="C153" s="286"/>
      <c r="D153" s="286"/>
      <c r="E153" s="286"/>
      <c r="F153" s="286"/>
      <c r="G153" s="286"/>
      <c r="H153" s="286"/>
      <c r="I153" s="286"/>
      <c r="J153" s="286"/>
      <c r="K153" s="286"/>
      <c r="L153" s="286"/>
      <c r="M153" s="286"/>
      <c r="N153" s="286"/>
      <c r="O153" s="286"/>
      <c r="P153" s="286"/>
      <c r="Q153" s="286"/>
      <c r="R153" s="286"/>
      <c r="S153" s="286"/>
      <c r="T153" s="286"/>
      <c r="U153" s="286"/>
      <c r="V153" s="338">
        <v>0</v>
      </c>
      <c r="W153" s="289"/>
      <c r="X153" s="5"/>
    </row>
    <row r="154" spans="1:25" ht="15.75" x14ac:dyDescent="0.25">
      <c r="A154" s="285"/>
      <c r="B154" s="314"/>
      <c r="C154" s="314"/>
      <c r="D154" s="314"/>
      <c r="E154" s="314"/>
      <c r="F154" s="314"/>
      <c r="G154" s="314"/>
      <c r="H154" s="314"/>
      <c r="I154" s="314"/>
      <c r="J154" s="314"/>
      <c r="K154" s="314"/>
      <c r="L154" s="314"/>
      <c r="M154" s="314"/>
      <c r="N154" s="314"/>
      <c r="O154" s="314"/>
      <c r="P154" s="314"/>
      <c r="Q154" s="314"/>
      <c r="R154" s="314"/>
      <c r="S154" s="314"/>
      <c r="T154" s="314"/>
      <c r="U154" s="314"/>
      <c r="V154" s="345"/>
      <c r="W154" s="318"/>
      <c r="X154" s="5"/>
    </row>
    <row r="155" spans="1:25" ht="15.75" x14ac:dyDescent="0.25">
      <c r="A155" s="181"/>
      <c r="B155" s="212"/>
      <c r="C155" s="212"/>
      <c r="D155" s="212"/>
      <c r="E155" s="212"/>
      <c r="F155" s="212"/>
      <c r="G155" s="212"/>
      <c r="H155" s="212"/>
      <c r="I155" s="212"/>
      <c r="J155" s="212"/>
      <c r="K155" s="212"/>
      <c r="L155" s="212"/>
      <c r="M155" s="212"/>
      <c r="N155" s="212"/>
      <c r="O155" s="212"/>
      <c r="P155" s="212"/>
      <c r="Q155" s="212"/>
      <c r="R155" s="212"/>
      <c r="S155" s="212"/>
      <c r="T155" s="212"/>
      <c r="U155" s="212"/>
      <c r="V155" s="344"/>
      <c r="W155" s="212"/>
      <c r="X155" s="5"/>
    </row>
    <row r="156" spans="1:25" ht="15.75" x14ac:dyDescent="0.25">
      <c r="A156" s="181"/>
      <c r="B156" s="210" t="s">
        <v>24</v>
      </c>
      <c r="C156" s="183"/>
      <c r="D156" s="183"/>
      <c r="E156" s="183"/>
      <c r="F156" s="183"/>
      <c r="G156" s="183"/>
      <c r="H156" s="183"/>
      <c r="I156" s="183"/>
      <c r="J156" s="183"/>
      <c r="K156" s="183"/>
      <c r="L156" s="183"/>
      <c r="M156" s="183"/>
      <c r="N156" s="183"/>
      <c r="O156" s="183"/>
      <c r="P156" s="183"/>
      <c r="Q156" s="183"/>
      <c r="R156" s="183"/>
      <c r="S156" s="183"/>
      <c r="T156" s="183"/>
      <c r="U156" s="183"/>
      <c r="V156" s="202"/>
      <c r="W156" s="183"/>
      <c r="X156" s="5"/>
    </row>
    <row r="157" spans="1:25" ht="15.75" x14ac:dyDescent="0.25">
      <c r="A157" s="285"/>
      <c r="B157" s="286" t="s">
        <v>47</v>
      </c>
      <c r="C157" s="286"/>
      <c r="D157" s="286"/>
      <c r="E157" s="286"/>
      <c r="F157" s="286"/>
      <c r="G157" s="286"/>
      <c r="H157" s="286"/>
      <c r="I157" s="286"/>
      <c r="J157" s="286"/>
      <c r="K157" s="286"/>
      <c r="L157" s="286"/>
      <c r="M157" s="286"/>
      <c r="N157" s="286"/>
      <c r="O157" s="286"/>
      <c r="P157" s="286"/>
      <c r="Q157" s="286"/>
      <c r="R157" s="286"/>
      <c r="S157" s="286"/>
      <c r="T157" s="286"/>
      <c r="U157" s="286"/>
      <c r="V157" s="343" t="s">
        <v>118</v>
      </c>
      <c r="W157" s="318"/>
      <c r="X157" s="5"/>
    </row>
    <row r="158" spans="1:25" ht="15.75" x14ac:dyDescent="0.25">
      <c r="A158" s="285"/>
      <c r="B158" s="286" t="s">
        <v>48</v>
      </c>
      <c r="C158" s="288"/>
      <c r="D158" s="288"/>
      <c r="E158" s="288"/>
      <c r="F158" s="288"/>
      <c r="G158" s="288"/>
      <c r="H158" s="288"/>
      <c r="I158" s="288"/>
      <c r="J158" s="288"/>
      <c r="K158" s="288"/>
      <c r="L158" s="288"/>
      <c r="M158" s="288"/>
      <c r="N158" s="288"/>
      <c r="O158" s="288"/>
      <c r="P158" s="288"/>
      <c r="Q158" s="288"/>
      <c r="R158" s="288"/>
      <c r="S158" s="288"/>
      <c r="T158" s="288"/>
      <c r="U158" s="288"/>
      <c r="V158" s="343" t="s">
        <v>118</v>
      </c>
      <c r="W158" s="318"/>
      <c r="X158" s="5"/>
    </row>
    <row r="159" spans="1:25" ht="15.75" x14ac:dyDescent="0.25">
      <c r="A159" s="285"/>
      <c r="B159" s="286" t="s">
        <v>49</v>
      </c>
      <c r="C159" s="286"/>
      <c r="D159" s="286"/>
      <c r="E159" s="286"/>
      <c r="F159" s="286"/>
      <c r="G159" s="286"/>
      <c r="H159" s="286"/>
      <c r="I159" s="286"/>
      <c r="J159" s="286"/>
      <c r="K159" s="286"/>
      <c r="L159" s="286"/>
      <c r="M159" s="286"/>
      <c r="N159" s="286"/>
      <c r="O159" s="286"/>
      <c r="P159" s="286"/>
      <c r="Q159" s="286"/>
      <c r="R159" s="286"/>
      <c r="S159" s="286"/>
      <c r="T159" s="286"/>
      <c r="U159" s="286"/>
      <c r="V159" s="343" t="s">
        <v>118</v>
      </c>
      <c r="W159" s="318"/>
      <c r="X159" s="5"/>
    </row>
    <row r="160" spans="1:25" ht="15.75" x14ac:dyDescent="0.25">
      <c r="A160" s="285"/>
      <c r="B160" s="286" t="s">
        <v>50</v>
      </c>
      <c r="C160" s="286"/>
      <c r="D160" s="286"/>
      <c r="E160" s="286"/>
      <c r="F160" s="286"/>
      <c r="G160" s="286"/>
      <c r="H160" s="286"/>
      <c r="I160" s="286"/>
      <c r="J160" s="286"/>
      <c r="K160" s="286"/>
      <c r="L160" s="286"/>
      <c r="M160" s="286"/>
      <c r="N160" s="286"/>
      <c r="O160" s="286"/>
      <c r="P160" s="286"/>
      <c r="Q160" s="286"/>
      <c r="R160" s="286"/>
      <c r="S160" s="286"/>
      <c r="T160" s="286"/>
      <c r="U160" s="286"/>
      <c r="V160" s="343" t="s">
        <v>118</v>
      </c>
      <c r="W160" s="318"/>
      <c r="X160" s="5"/>
    </row>
    <row r="161" spans="1:256" ht="15.75" x14ac:dyDescent="0.25">
      <c r="A161" s="181"/>
      <c r="B161" s="212"/>
      <c r="C161" s="212"/>
      <c r="D161" s="212"/>
      <c r="E161" s="212"/>
      <c r="F161" s="212"/>
      <c r="G161" s="212"/>
      <c r="H161" s="212"/>
      <c r="I161" s="212"/>
      <c r="J161" s="212"/>
      <c r="K161" s="212"/>
      <c r="L161" s="212"/>
      <c r="M161" s="212"/>
      <c r="N161" s="212"/>
      <c r="O161" s="212"/>
      <c r="P161" s="212"/>
      <c r="Q161" s="212"/>
      <c r="R161" s="212"/>
      <c r="S161" s="212"/>
      <c r="T161" s="212"/>
      <c r="U161" s="212"/>
      <c r="V161" s="344"/>
      <c r="W161" s="212"/>
      <c r="X161" s="5"/>
    </row>
    <row r="162" spans="1:256" ht="15.75" x14ac:dyDescent="0.25">
      <c r="A162" s="181"/>
      <c r="B162" s="210" t="s">
        <v>51</v>
      </c>
      <c r="C162" s="183"/>
      <c r="D162" s="183"/>
      <c r="E162" s="183"/>
      <c r="F162" s="183"/>
      <c r="G162" s="183"/>
      <c r="H162" s="183"/>
      <c r="I162" s="183"/>
      <c r="J162" s="183"/>
      <c r="K162" s="183"/>
      <c r="L162" s="183"/>
      <c r="M162" s="183"/>
      <c r="N162" s="183"/>
      <c r="O162" s="183"/>
      <c r="P162" s="183"/>
      <c r="Q162" s="183"/>
      <c r="R162" s="183"/>
      <c r="S162" s="183"/>
      <c r="T162" s="183"/>
      <c r="U162" s="183"/>
      <c r="V162" s="211"/>
      <c r="W162" s="183"/>
      <c r="X162" s="5"/>
    </row>
    <row r="163" spans="1:256" ht="15.75" x14ac:dyDescent="0.25">
      <c r="A163" s="285"/>
      <c r="B163" s="286" t="s">
        <v>52</v>
      </c>
      <c r="C163" s="286"/>
      <c r="D163" s="286"/>
      <c r="E163" s="286"/>
      <c r="F163" s="286"/>
      <c r="G163" s="286"/>
      <c r="H163" s="286"/>
      <c r="I163" s="286"/>
      <c r="J163" s="286"/>
      <c r="K163" s="286"/>
      <c r="L163" s="286"/>
      <c r="M163" s="286"/>
      <c r="N163" s="286"/>
      <c r="O163" s="286"/>
      <c r="P163" s="286"/>
      <c r="Q163" s="286"/>
      <c r="R163" s="286"/>
      <c r="S163" s="286"/>
      <c r="T163" s="286"/>
      <c r="U163" s="286"/>
      <c r="V163" s="338">
        <v>0</v>
      </c>
      <c r="W163" s="289"/>
      <c r="X163" s="5"/>
    </row>
    <row r="164" spans="1:256" ht="15.75" x14ac:dyDescent="0.25">
      <c r="A164" s="285"/>
      <c r="B164" s="286" t="s">
        <v>53</v>
      </c>
      <c r="C164" s="286"/>
      <c r="D164" s="286"/>
      <c r="E164" s="286"/>
      <c r="F164" s="286"/>
      <c r="G164" s="286"/>
      <c r="H164" s="286"/>
      <c r="I164" s="286"/>
      <c r="J164" s="286"/>
      <c r="K164" s="286"/>
      <c r="L164" s="286"/>
      <c r="M164" s="286"/>
      <c r="N164" s="286"/>
      <c r="O164" s="286"/>
      <c r="P164" s="286"/>
      <c r="Q164" s="286"/>
      <c r="R164" s="286"/>
      <c r="S164" s="286"/>
      <c r="T164" s="286"/>
      <c r="U164" s="286"/>
      <c r="V164" s="338">
        <v>58</v>
      </c>
      <c r="W164" s="289"/>
      <c r="X164" s="5"/>
    </row>
    <row r="165" spans="1:256" ht="15.75" x14ac:dyDescent="0.25">
      <c r="A165" s="285"/>
      <c r="B165" s="286" t="s">
        <v>54</v>
      </c>
      <c r="C165" s="286"/>
      <c r="D165" s="286"/>
      <c r="E165" s="286"/>
      <c r="F165" s="286"/>
      <c r="G165" s="286"/>
      <c r="H165" s="286"/>
      <c r="I165" s="286"/>
      <c r="J165" s="286"/>
      <c r="K165" s="286"/>
      <c r="L165" s="286"/>
      <c r="M165" s="286"/>
      <c r="N165" s="286"/>
      <c r="O165" s="286"/>
      <c r="P165" s="286"/>
      <c r="Q165" s="286"/>
      <c r="R165" s="286"/>
      <c r="S165" s="286"/>
      <c r="T165" s="286"/>
      <c r="U165" s="286"/>
      <c r="V165" s="338">
        <f>V164+V163</f>
        <v>58</v>
      </c>
      <c r="W165" s="289"/>
      <c r="X165" s="5"/>
    </row>
    <row r="166" spans="1:256" ht="15.75" x14ac:dyDescent="0.25">
      <c r="A166" s="285"/>
      <c r="B166" s="286" t="s">
        <v>303</v>
      </c>
      <c r="C166" s="286"/>
      <c r="D166" s="286"/>
      <c r="E166" s="286"/>
      <c r="F166" s="286"/>
      <c r="G166" s="286"/>
      <c r="H166" s="286"/>
      <c r="I166" s="286"/>
      <c r="J166" s="286"/>
      <c r="K166" s="286"/>
      <c r="L166" s="286"/>
      <c r="M166" s="286"/>
      <c r="N166" s="286"/>
      <c r="O166" s="286"/>
      <c r="P166" s="286"/>
      <c r="Q166" s="286"/>
      <c r="R166" s="286"/>
      <c r="S166" s="286"/>
      <c r="T166" s="286"/>
      <c r="U166" s="286"/>
      <c r="V166" s="338">
        <f>V114</f>
        <v>-58</v>
      </c>
      <c r="W166" s="289"/>
      <c r="X166" s="5"/>
    </row>
    <row r="167" spans="1:256" ht="15.75" x14ac:dyDescent="0.25">
      <c r="A167" s="285"/>
      <c r="B167" s="286" t="s">
        <v>55</v>
      </c>
      <c r="C167" s="286"/>
      <c r="D167" s="286"/>
      <c r="E167" s="286"/>
      <c r="F167" s="286"/>
      <c r="G167" s="286"/>
      <c r="H167" s="286"/>
      <c r="I167" s="286"/>
      <c r="J167" s="286"/>
      <c r="K167" s="286"/>
      <c r="L167" s="286"/>
      <c r="M167" s="286"/>
      <c r="N167" s="286"/>
      <c r="O167" s="286"/>
      <c r="P167" s="286"/>
      <c r="Q167" s="286"/>
      <c r="R167" s="286"/>
      <c r="S167" s="286"/>
      <c r="T167" s="286"/>
      <c r="U167" s="286"/>
      <c r="V167" s="338">
        <f>V165+V166</f>
        <v>0</v>
      </c>
      <c r="W167" s="289"/>
      <c r="X167" s="5"/>
    </row>
    <row r="168" spans="1:256" ht="15.75" x14ac:dyDescent="0.25">
      <c r="A168" s="285"/>
      <c r="B168" s="286" t="s">
        <v>274</v>
      </c>
      <c r="C168" s="286"/>
      <c r="D168" s="286"/>
      <c r="E168" s="286"/>
      <c r="F168" s="286"/>
      <c r="G168" s="286"/>
      <c r="H168" s="286"/>
      <c r="I168" s="286"/>
      <c r="J168" s="286"/>
      <c r="K168" s="286"/>
      <c r="L168" s="286"/>
      <c r="M168" s="286"/>
      <c r="N168" s="286"/>
      <c r="O168" s="286"/>
      <c r="P168" s="286"/>
      <c r="Q168" s="286"/>
      <c r="R168" s="286"/>
      <c r="S168" s="286"/>
      <c r="T168" s="286"/>
      <c r="U168" s="286"/>
      <c r="V168" s="338">
        <f>-V100</f>
        <v>59</v>
      </c>
      <c r="W168" s="289"/>
      <c r="X168" s="5"/>
    </row>
    <row r="169" spans="1:256" ht="16.5" thickBot="1" x14ac:dyDescent="0.3">
      <c r="A169" s="181"/>
      <c r="B169" s="212"/>
      <c r="C169" s="212"/>
      <c r="D169" s="212"/>
      <c r="E169" s="212"/>
      <c r="F169" s="212"/>
      <c r="G169" s="212"/>
      <c r="H169" s="212"/>
      <c r="I169" s="212"/>
      <c r="J169" s="212"/>
      <c r="K169" s="212"/>
      <c r="L169" s="212"/>
      <c r="M169" s="212"/>
      <c r="N169" s="212"/>
      <c r="O169" s="212"/>
      <c r="P169" s="212"/>
      <c r="Q169" s="212"/>
      <c r="R169" s="212"/>
      <c r="S169" s="212"/>
      <c r="T169" s="212"/>
      <c r="U169" s="212"/>
      <c r="V169" s="344"/>
      <c r="W169" s="212"/>
      <c r="X169" s="5"/>
    </row>
    <row r="170" spans="1:256" ht="15.75" x14ac:dyDescent="0.25">
      <c r="A170" s="179"/>
      <c r="B170" s="180"/>
      <c r="C170" s="180"/>
      <c r="D170" s="180"/>
      <c r="E170" s="180"/>
      <c r="F170" s="180"/>
      <c r="G170" s="180"/>
      <c r="H170" s="180"/>
      <c r="I170" s="180"/>
      <c r="J170" s="180"/>
      <c r="K170" s="180"/>
      <c r="L170" s="180"/>
      <c r="M170" s="180"/>
      <c r="N170" s="180"/>
      <c r="O170" s="180"/>
      <c r="P170" s="180"/>
      <c r="Q170" s="180"/>
      <c r="R170" s="180"/>
      <c r="S170" s="180"/>
      <c r="T170" s="180"/>
      <c r="U170" s="180"/>
      <c r="V170" s="201"/>
      <c r="W170" s="180"/>
      <c r="X170" s="5"/>
    </row>
    <row r="171" spans="1:256" s="158" customFormat="1" ht="15.75" x14ac:dyDescent="0.25">
      <c r="A171" s="181"/>
      <c r="B171" s="210" t="s">
        <v>230</v>
      </c>
      <c r="C171" s="212"/>
      <c r="D171" s="212"/>
      <c r="E171" s="212"/>
      <c r="F171" s="212"/>
      <c r="G171" s="212"/>
      <c r="H171" s="212"/>
      <c r="I171" s="212"/>
      <c r="J171" s="212"/>
      <c r="K171" s="212"/>
      <c r="L171" s="212"/>
      <c r="M171" s="212"/>
      <c r="N171" s="212"/>
      <c r="O171" s="212"/>
      <c r="P171" s="212"/>
      <c r="Q171" s="212"/>
      <c r="R171" s="212"/>
      <c r="S171" s="212"/>
      <c r="T171" s="212"/>
      <c r="U171" s="212"/>
      <c r="V171" s="213"/>
      <c r="W171" s="212"/>
      <c r="X171" s="5"/>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s="160" customFormat="1" ht="15.75" x14ac:dyDescent="0.25">
      <c r="A172" s="285"/>
      <c r="B172" s="286" t="s">
        <v>231</v>
      </c>
      <c r="C172" s="286"/>
      <c r="D172" s="286"/>
      <c r="E172" s="286"/>
      <c r="F172" s="286"/>
      <c r="G172" s="286"/>
      <c r="H172" s="286"/>
      <c r="I172" s="286"/>
      <c r="J172" s="286"/>
      <c r="K172" s="286"/>
      <c r="L172" s="286"/>
      <c r="M172" s="286"/>
      <c r="N172" s="286"/>
      <c r="O172" s="286"/>
      <c r="P172" s="286"/>
      <c r="Q172" s="286"/>
      <c r="R172" s="286"/>
      <c r="S172" s="286"/>
      <c r="T172" s="286"/>
      <c r="U172" s="286"/>
      <c r="V172" s="338">
        <f>+'Aug 08'!V173</f>
        <v>0</v>
      </c>
      <c r="W172" s="289"/>
      <c r="X172" s="5"/>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s="160" customFormat="1" ht="15.75" x14ac:dyDescent="0.25">
      <c r="A173" s="285"/>
      <c r="B173" s="286" t="s">
        <v>234</v>
      </c>
      <c r="C173" s="286"/>
      <c r="D173" s="286"/>
      <c r="E173" s="286"/>
      <c r="F173" s="286"/>
      <c r="G173" s="286"/>
      <c r="H173" s="286"/>
      <c r="I173" s="286"/>
      <c r="J173" s="286"/>
      <c r="K173" s="286"/>
      <c r="L173" s="286"/>
      <c r="M173" s="286"/>
      <c r="N173" s="286"/>
      <c r="O173" s="286"/>
      <c r="P173" s="286"/>
      <c r="Q173" s="286"/>
      <c r="R173" s="286"/>
      <c r="S173" s="286"/>
      <c r="T173" s="286"/>
      <c r="U173" s="286"/>
      <c r="V173" s="338">
        <f>+V94</f>
        <v>0</v>
      </c>
      <c r="W173" s="289"/>
      <c r="X173" s="5"/>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s="160" customFormat="1" ht="15.75" x14ac:dyDescent="0.25">
      <c r="A174" s="285"/>
      <c r="B174" s="286" t="s">
        <v>232</v>
      </c>
      <c r="C174" s="286"/>
      <c r="D174" s="286"/>
      <c r="E174" s="286"/>
      <c r="F174" s="286"/>
      <c r="G174" s="286"/>
      <c r="H174" s="286"/>
      <c r="I174" s="286"/>
      <c r="J174" s="286"/>
      <c r="K174" s="286"/>
      <c r="L174" s="286"/>
      <c r="M174" s="286"/>
      <c r="N174" s="286"/>
      <c r="O174" s="286"/>
      <c r="P174" s="286"/>
      <c r="Q174" s="286"/>
      <c r="R174" s="286"/>
      <c r="S174" s="286"/>
      <c r="T174" s="286"/>
      <c r="U174" s="286"/>
      <c r="V174" s="338">
        <f>+V172-V173</f>
        <v>0</v>
      </c>
      <c r="W174" s="289"/>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6.5" thickBot="1" x14ac:dyDescent="0.3">
      <c r="A175" s="197"/>
      <c r="B175" s="212"/>
      <c r="C175" s="212"/>
      <c r="D175" s="212"/>
      <c r="E175" s="212"/>
      <c r="F175" s="212"/>
      <c r="G175" s="212"/>
      <c r="H175" s="212"/>
      <c r="I175" s="212"/>
      <c r="J175" s="212"/>
      <c r="K175" s="212"/>
      <c r="L175" s="212"/>
      <c r="M175" s="212"/>
      <c r="N175" s="212"/>
      <c r="O175" s="212"/>
      <c r="P175" s="212"/>
      <c r="Q175" s="212"/>
      <c r="R175" s="212"/>
      <c r="S175" s="212"/>
      <c r="T175" s="212"/>
      <c r="U175" s="212"/>
      <c r="V175" s="344"/>
      <c r="W175" s="212"/>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4" customFormat="1" ht="15.75" x14ac:dyDescent="0.25">
      <c r="A176" s="179"/>
      <c r="B176" s="180"/>
      <c r="C176" s="180"/>
      <c r="D176" s="180"/>
      <c r="E176" s="180"/>
      <c r="F176" s="180"/>
      <c r="G176" s="180"/>
      <c r="H176" s="180"/>
      <c r="I176" s="180"/>
      <c r="J176" s="180"/>
      <c r="K176" s="180"/>
      <c r="L176" s="180"/>
      <c r="M176" s="180"/>
      <c r="N176" s="180"/>
      <c r="O176" s="180"/>
      <c r="P176" s="180"/>
      <c r="Q176" s="180"/>
      <c r="R176" s="180"/>
      <c r="S176" s="180"/>
      <c r="T176" s="180"/>
      <c r="U176" s="180"/>
      <c r="V176" s="201"/>
      <c r="W176" s="180"/>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4" ht="15.75" x14ac:dyDescent="0.25">
      <c r="A177" s="181"/>
      <c r="B177" s="210" t="s">
        <v>56</v>
      </c>
      <c r="C177" s="183"/>
      <c r="D177" s="183"/>
      <c r="E177" s="183"/>
      <c r="F177" s="183"/>
      <c r="G177" s="183"/>
      <c r="H177" s="183"/>
      <c r="I177" s="183"/>
      <c r="J177" s="183"/>
      <c r="K177" s="183"/>
      <c r="L177" s="183"/>
      <c r="M177" s="183"/>
      <c r="N177" s="183"/>
      <c r="O177" s="183"/>
      <c r="P177" s="183"/>
      <c r="Q177" s="183"/>
      <c r="R177" s="183"/>
      <c r="S177" s="183"/>
      <c r="T177" s="183"/>
      <c r="U177" s="183"/>
      <c r="V177" s="202"/>
      <c r="W177" s="183"/>
      <c r="X177" s="5"/>
    </row>
    <row r="178" spans="1:24" ht="15.75" x14ac:dyDescent="0.25">
      <c r="A178" s="181"/>
      <c r="B178" s="191"/>
      <c r="C178" s="183"/>
      <c r="D178" s="183"/>
      <c r="E178" s="183"/>
      <c r="F178" s="183"/>
      <c r="G178" s="183"/>
      <c r="H178" s="183"/>
      <c r="I178" s="183"/>
      <c r="J178" s="183"/>
      <c r="K178" s="183"/>
      <c r="L178" s="183"/>
      <c r="M178" s="183"/>
      <c r="N178" s="183"/>
      <c r="O178" s="183"/>
      <c r="P178" s="183"/>
      <c r="Q178" s="183"/>
      <c r="R178" s="183"/>
      <c r="S178" s="183"/>
      <c r="T178" s="183"/>
      <c r="U178" s="183"/>
      <c r="V178" s="202"/>
      <c r="W178" s="183"/>
      <c r="X178" s="5"/>
    </row>
    <row r="179" spans="1:24" ht="15.75" x14ac:dyDescent="0.25">
      <c r="A179" s="285"/>
      <c r="B179" s="286" t="s">
        <v>57</v>
      </c>
      <c r="C179" s="286"/>
      <c r="D179" s="286"/>
      <c r="E179" s="286"/>
      <c r="F179" s="286"/>
      <c r="G179" s="286"/>
      <c r="H179" s="286"/>
      <c r="I179" s="286"/>
      <c r="J179" s="286"/>
      <c r="K179" s="286"/>
      <c r="L179" s="286"/>
      <c r="M179" s="286"/>
      <c r="N179" s="286"/>
      <c r="O179" s="286"/>
      <c r="P179" s="286"/>
      <c r="Q179" s="286"/>
      <c r="R179" s="286"/>
      <c r="S179" s="286"/>
      <c r="T179" s="286"/>
      <c r="U179" s="286"/>
      <c r="V179" s="338">
        <f>V71</f>
        <v>784952</v>
      </c>
      <c r="W179" s="289"/>
      <c r="X179" s="5"/>
    </row>
    <row r="180" spans="1:24" ht="15.75" x14ac:dyDescent="0.25">
      <c r="A180" s="285"/>
      <c r="B180" s="286" t="s">
        <v>58</v>
      </c>
      <c r="C180" s="286"/>
      <c r="D180" s="286"/>
      <c r="E180" s="286"/>
      <c r="F180" s="286"/>
      <c r="G180" s="286"/>
      <c r="H180" s="286"/>
      <c r="I180" s="286"/>
      <c r="J180" s="286"/>
      <c r="K180" s="286"/>
      <c r="L180" s="286"/>
      <c r="M180" s="286"/>
      <c r="N180" s="286"/>
      <c r="O180" s="286"/>
      <c r="P180" s="286"/>
      <c r="Q180" s="286"/>
      <c r="R180" s="286"/>
      <c r="S180" s="286"/>
      <c r="T180" s="286"/>
      <c r="U180" s="286"/>
      <c r="V180" s="338">
        <f>V84</f>
        <v>784952</v>
      </c>
      <c r="W180" s="289"/>
      <c r="X180" s="5"/>
    </row>
    <row r="181" spans="1:24" ht="16.5" thickBot="1" x14ac:dyDescent="0.3">
      <c r="A181" s="181"/>
      <c r="B181" s="212"/>
      <c r="C181" s="212"/>
      <c r="D181" s="212"/>
      <c r="E181" s="212"/>
      <c r="F181" s="212"/>
      <c r="G181" s="212"/>
      <c r="H181" s="212"/>
      <c r="I181" s="212"/>
      <c r="J181" s="212"/>
      <c r="K181" s="212"/>
      <c r="L181" s="212"/>
      <c r="M181" s="212"/>
      <c r="N181" s="212"/>
      <c r="O181" s="212"/>
      <c r="P181" s="212"/>
      <c r="Q181" s="212"/>
      <c r="R181" s="212"/>
      <c r="S181" s="212"/>
      <c r="T181" s="212"/>
      <c r="U181" s="212"/>
      <c r="V181" s="344"/>
      <c r="W181" s="212"/>
      <c r="X181" s="5"/>
    </row>
    <row r="182" spans="1:24" ht="15.75" x14ac:dyDescent="0.25">
      <c r="A182" s="179"/>
      <c r="B182" s="180"/>
      <c r="C182" s="180"/>
      <c r="D182" s="180"/>
      <c r="E182" s="180"/>
      <c r="F182" s="180"/>
      <c r="G182" s="180"/>
      <c r="H182" s="180"/>
      <c r="I182" s="180"/>
      <c r="J182" s="180"/>
      <c r="K182" s="180"/>
      <c r="L182" s="180"/>
      <c r="M182" s="180"/>
      <c r="N182" s="180"/>
      <c r="O182" s="180"/>
      <c r="P182" s="180"/>
      <c r="Q182" s="180"/>
      <c r="R182" s="180"/>
      <c r="S182" s="180"/>
      <c r="T182" s="180"/>
      <c r="U182" s="180"/>
      <c r="V182" s="201"/>
      <c r="W182" s="180"/>
      <c r="X182" s="5"/>
    </row>
    <row r="183" spans="1:24" ht="15.75" x14ac:dyDescent="0.25">
      <c r="A183" s="181"/>
      <c r="B183" s="210" t="s">
        <v>59</v>
      </c>
      <c r="C183" s="206"/>
      <c r="D183" s="206"/>
      <c r="E183" s="206"/>
      <c r="F183" s="206"/>
      <c r="G183" s="206"/>
      <c r="H183" s="214"/>
      <c r="I183" s="214"/>
      <c r="J183" s="214"/>
      <c r="K183" s="214"/>
      <c r="L183" s="214"/>
      <c r="M183" s="214"/>
      <c r="N183" s="214"/>
      <c r="O183" s="214"/>
      <c r="P183" s="214"/>
      <c r="Q183" s="214"/>
      <c r="R183" s="214"/>
      <c r="S183" s="214" t="s">
        <v>101</v>
      </c>
      <c r="T183" s="214" t="s">
        <v>176</v>
      </c>
      <c r="U183" s="185"/>
      <c r="V183" s="215" t="s">
        <v>114</v>
      </c>
      <c r="W183" s="216"/>
      <c r="X183" s="5"/>
    </row>
    <row r="184" spans="1:24" ht="15.75" x14ac:dyDescent="0.25">
      <c r="A184" s="285"/>
      <c r="B184" s="286" t="s">
        <v>60</v>
      </c>
      <c r="C184" s="286"/>
      <c r="D184" s="286"/>
      <c r="E184" s="286"/>
      <c r="F184" s="286"/>
      <c r="G184" s="286"/>
      <c r="H184" s="286"/>
      <c r="I184" s="286"/>
      <c r="J184" s="286"/>
      <c r="K184" s="286"/>
      <c r="L184" s="286"/>
      <c r="M184" s="286"/>
      <c r="N184" s="286"/>
      <c r="O184" s="286"/>
      <c r="P184" s="286"/>
      <c r="Q184" s="286"/>
      <c r="R184" s="286"/>
      <c r="S184" s="338">
        <f>+V34*0.16</f>
        <v>160181.28</v>
      </c>
      <c r="T184" s="325"/>
      <c r="U184" s="286"/>
      <c r="V184" s="338"/>
      <c r="W184" s="289"/>
      <c r="X184" s="5"/>
    </row>
    <row r="185" spans="1:24" ht="15.75" x14ac:dyDescent="0.25">
      <c r="A185" s="285"/>
      <c r="B185" s="286" t="s">
        <v>61</v>
      </c>
      <c r="C185" s="286"/>
      <c r="D185" s="286"/>
      <c r="E185" s="286"/>
      <c r="F185" s="286"/>
      <c r="G185" s="286"/>
      <c r="H185" s="286"/>
      <c r="I185" s="286"/>
      <c r="J185" s="286"/>
      <c r="K185" s="286"/>
      <c r="L185" s="286"/>
      <c r="M185" s="286"/>
      <c r="N185" s="286"/>
      <c r="O185" s="286"/>
      <c r="P185" s="286"/>
      <c r="Q185" s="286"/>
      <c r="R185" s="286"/>
      <c r="S185" s="338">
        <f>+'Nov 13'!S187</f>
        <v>11031</v>
      </c>
      <c r="T185" s="338">
        <f>+'Nov 13'!T187</f>
        <v>6090</v>
      </c>
      <c r="U185" s="286"/>
      <c r="V185" s="338">
        <f>S185+T185</f>
        <v>17121</v>
      </c>
      <c r="W185" s="289"/>
      <c r="X185" s="5"/>
    </row>
    <row r="186" spans="1:24" ht="15.75" x14ac:dyDescent="0.25">
      <c r="A186" s="285"/>
      <c r="B186" s="286" t="s">
        <v>62</v>
      </c>
      <c r="C186" s="286"/>
      <c r="D186" s="286"/>
      <c r="E186" s="286"/>
      <c r="F186" s="286"/>
      <c r="G186" s="286"/>
      <c r="H186" s="286"/>
      <c r="I186" s="286"/>
      <c r="J186" s="286"/>
      <c r="K186" s="286"/>
      <c r="L186" s="286"/>
      <c r="M186" s="286"/>
      <c r="N186" s="286"/>
      <c r="O186" s="286"/>
      <c r="P186" s="286"/>
      <c r="Q186" s="286"/>
      <c r="R186" s="286"/>
      <c r="S186" s="337">
        <f>10+90</f>
        <v>100</v>
      </c>
      <c r="T186" s="337">
        <v>0</v>
      </c>
      <c r="U186" s="286"/>
      <c r="V186" s="338">
        <f>S186+T186</f>
        <v>100</v>
      </c>
      <c r="W186" s="289"/>
      <c r="X186" s="5"/>
    </row>
    <row r="187" spans="1:24" ht="15.75" x14ac:dyDescent="0.25">
      <c r="A187" s="285"/>
      <c r="B187" s="286" t="s">
        <v>63</v>
      </c>
      <c r="C187" s="286"/>
      <c r="D187" s="286"/>
      <c r="E187" s="286"/>
      <c r="F187" s="286"/>
      <c r="G187" s="286"/>
      <c r="H187" s="286"/>
      <c r="I187" s="286"/>
      <c r="J187" s="286"/>
      <c r="K187" s="286"/>
      <c r="L187" s="286"/>
      <c r="M187" s="286"/>
      <c r="N187" s="286"/>
      <c r="O187" s="286"/>
      <c r="P187" s="286"/>
      <c r="Q187" s="286"/>
      <c r="R187" s="286"/>
      <c r="S187" s="338">
        <f>S185+S186</f>
        <v>11131</v>
      </c>
      <c r="T187" s="338">
        <f>T186+T185</f>
        <v>6090</v>
      </c>
      <c r="U187" s="286"/>
      <c r="V187" s="338">
        <f>S187+T187</f>
        <v>17221</v>
      </c>
      <c r="W187" s="289"/>
      <c r="X187" s="5"/>
    </row>
    <row r="188" spans="1:24" ht="15.75" x14ac:dyDescent="0.25">
      <c r="A188" s="285"/>
      <c r="B188" s="286" t="s">
        <v>64</v>
      </c>
      <c r="C188" s="286"/>
      <c r="D188" s="286"/>
      <c r="E188" s="286"/>
      <c r="F188" s="286"/>
      <c r="G188" s="286"/>
      <c r="H188" s="286"/>
      <c r="I188" s="286"/>
      <c r="J188" s="286"/>
      <c r="K188" s="286"/>
      <c r="L188" s="286"/>
      <c r="M188" s="286"/>
      <c r="N188" s="286"/>
      <c r="O188" s="286"/>
      <c r="P188" s="286"/>
      <c r="Q188" s="286"/>
      <c r="R188" s="286"/>
      <c r="S188" s="338">
        <f>S184-S187-T187</f>
        <v>142960.28</v>
      </c>
      <c r="T188" s="325"/>
      <c r="U188" s="286"/>
      <c r="V188" s="338"/>
      <c r="W188" s="289"/>
      <c r="X188" s="5"/>
    </row>
    <row r="189" spans="1:24" ht="16.5" thickBot="1" x14ac:dyDescent="0.3">
      <c r="A189" s="181"/>
      <c r="B189" s="212"/>
      <c r="C189" s="212"/>
      <c r="D189" s="212"/>
      <c r="E189" s="212"/>
      <c r="F189" s="212"/>
      <c r="G189" s="212"/>
      <c r="H189" s="212"/>
      <c r="I189" s="212"/>
      <c r="J189" s="212"/>
      <c r="K189" s="212"/>
      <c r="L189" s="212"/>
      <c r="M189" s="212"/>
      <c r="N189" s="212"/>
      <c r="O189" s="212"/>
      <c r="P189" s="212"/>
      <c r="Q189" s="212"/>
      <c r="R189" s="212"/>
      <c r="S189" s="212"/>
      <c r="T189" s="212"/>
      <c r="U189" s="212"/>
      <c r="V189" s="344"/>
      <c r="W189" s="212"/>
      <c r="X189" s="5"/>
    </row>
    <row r="190" spans="1:24" ht="15.75" x14ac:dyDescent="0.25">
      <c r="A190" s="179"/>
      <c r="B190" s="180"/>
      <c r="C190" s="180"/>
      <c r="D190" s="180"/>
      <c r="E190" s="180"/>
      <c r="F190" s="180"/>
      <c r="G190" s="180"/>
      <c r="H190" s="180"/>
      <c r="I190" s="180"/>
      <c r="J190" s="180"/>
      <c r="K190" s="180"/>
      <c r="L190" s="180"/>
      <c r="M190" s="180"/>
      <c r="N190" s="180"/>
      <c r="O190" s="180"/>
      <c r="P190" s="180"/>
      <c r="Q190" s="180"/>
      <c r="R190" s="180"/>
      <c r="S190" s="180"/>
      <c r="T190" s="180"/>
      <c r="U190" s="180"/>
      <c r="V190" s="201"/>
      <c r="W190" s="180"/>
      <c r="X190" s="5"/>
    </row>
    <row r="191" spans="1:24" ht="15.75" x14ac:dyDescent="0.25">
      <c r="A191" s="181"/>
      <c r="B191" s="210" t="s">
        <v>65</v>
      </c>
      <c r="C191" s="183"/>
      <c r="D191" s="183"/>
      <c r="E191" s="183"/>
      <c r="F191" s="183"/>
      <c r="G191" s="183"/>
      <c r="H191" s="183"/>
      <c r="I191" s="183"/>
      <c r="J191" s="183"/>
      <c r="K191" s="183"/>
      <c r="L191" s="183"/>
      <c r="M191" s="183"/>
      <c r="N191" s="183"/>
      <c r="O191" s="183"/>
      <c r="P191" s="183"/>
      <c r="Q191" s="183"/>
      <c r="R191" s="183"/>
      <c r="S191" s="183"/>
      <c r="T191" s="183"/>
      <c r="U191" s="183"/>
      <c r="V191" s="217"/>
      <c r="W191" s="183"/>
      <c r="X191" s="5"/>
    </row>
    <row r="192" spans="1:24" ht="15.75" x14ac:dyDescent="0.25">
      <c r="A192" s="285"/>
      <c r="B192" s="286" t="s">
        <v>66</v>
      </c>
      <c r="C192" s="286"/>
      <c r="D192" s="286"/>
      <c r="E192" s="286"/>
      <c r="F192" s="286"/>
      <c r="G192" s="286"/>
      <c r="H192" s="286"/>
      <c r="I192" s="286"/>
      <c r="J192" s="286"/>
      <c r="K192" s="286"/>
      <c r="L192" s="286"/>
      <c r="M192" s="286"/>
      <c r="N192" s="286"/>
      <c r="O192" s="286"/>
      <c r="P192" s="286"/>
      <c r="Q192" s="286"/>
      <c r="R192" s="286"/>
      <c r="S192" s="286"/>
      <c r="T192" s="286"/>
      <c r="U192" s="286"/>
      <c r="V192" s="343">
        <f>(V101+V103+V104+V105+V106)/-(V107+V108)</f>
        <v>3.5562031640299749</v>
      </c>
      <c r="W192" s="289" t="s">
        <v>115</v>
      </c>
      <c r="X192" s="5"/>
    </row>
    <row r="193" spans="1:24" ht="15.75" x14ac:dyDescent="0.25">
      <c r="A193" s="285"/>
      <c r="B193" s="286" t="s">
        <v>67</v>
      </c>
      <c r="C193" s="286"/>
      <c r="D193" s="286"/>
      <c r="E193" s="286"/>
      <c r="F193" s="286"/>
      <c r="G193" s="286"/>
      <c r="H193" s="286"/>
      <c r="I193" s="286"/>
      <c r="J193" s="286"/>
      <c r="K193" s="286"/>
      <c r="L193" s="286"/>
      <c r="M193" s="286"/>
      <c r="N193" s="286"/>
      <c r="O193" s="286"/>
      <c r="P193" s="286"/>
      <c r="Q193" s="286"/>
      <c r="R193" s="286"/>
      <c r="S193" s="286"/>
      <c r="T193" s="286"/>
      <c r="U193" s="286"/>
      <c r="V193" s="347">
        <v>1.9</v>
      </c>
      <c r="W193" s="289" t="s">
        <v>115</v>
      </c>
      <c r="X193" s="5"/>
    </row>
    <row r="194" spans="1:24" ht="15.75" x14ac:dyDescent="0.25">
      <c r="A194" s="285"/>
      <c r="B194" s="286" t="s">
        <v>68</v>
      </c>
      <c r="C194" s="286"/>
      <c r="D194" s="286"/>
      <c r="E194" s="286"/>
      <c r="F194" s="286"/>
      <c r="G194" s="286"/>
      <c r="H194" s="286"/>
      <c r="I194" s="286"/>
      <c r="J194" s="286"/>
      <c r="K194" s="286"/>
      <c r="L194" s="286"/>
      <c r="M194" s="286"/>
      <c r="N194" s="286"/>
      <c r="O194" s="286"/>
      <c r="P194" s="286"/>
      <c r="Q194" s="286"/>
      <c r="R194" s="286"/>
      <c r="S194" s="286"/>
      <c r="T194" s="286"/>
      <c r="U194" s="286"/>
      <c r="V194" s="343">
        <f>(V101+V103+V104+V105+V106+V107+V108)/-(V109+V110)</f>
        <v>14.619047619047619</v>
      </c>
      <c r="W194" s="289" t="s">
        <v>115</v>
      </c>
      <c r="X194" s="5"/>
    </row>
    <row r="195" spans="1:24" ht="15.75" x14ac:dyDescent="0.25">
      <c r="A195" s="285"/>
      <c r="B195" s="286" t="s">
        <v>69</v>
      </c>
      <c r="C195" s="286"/>
      <c r="D195" s="286"/>
      <c r="E195" s="286"/>
      <c r="F195" s="286"/>
      <c r="G195" s="286"/>
      <c r="H195" s="286"/>
      <c r="I195" s="286"/>
      <c r="J195" s="286"/>
      <c r="K195" s="286"/>
      <c r="L195" s="286"/>
      <c r="M195" s="286"/>
      <c r="N195" s="286"/>
      <c r="O195" s="286"/>
      <c r="P195" s="286"/>
      <c r="Q195" s="286"/>
      <c r="R195" s="286"/>
      <c r="S195" s="286"/>
      <c r="T195" s="286"/>
      <c r="U195" s="286"/>
      <c r="V195" s="347">
        <v>8.4499999999999993</v>
      </c>
      <c r="W195" s="289" t="s">
        <v>115</v>
      </c>
      <c r="X195" s="5"/>
    </row>
    <row r="196" spans="1:24" ht="15.75" x14ac:dyDescent="0.25">
      <c r="A196" s="285"/>
      <c r="B196" s="286" t="s">
        <v>198</v>
      </c>
      <c r="C196" s="286"/>
      <c r="D196" s="286"/>
      <c r="E196" s="286"/>
      <c r="F196" s="286"/>
      <c r="G196" s="286"/>
      <c r="H196" s="286"/>
      <c r="I196" s="286"/>
      <c r="J196" s="286"/>
      <c r="K196" s="286"/>
      <c r="L196" s="286"/>
      <c r="M196" s="286"/>
      <c r="N196" s="286"/>
      <c r="O196" s="286"/>
      <c r="P196" s="286"/>
      <c r="Q196" s="286"/>
      <c r="R196" s="286"/>
      <c r="S196" s="286"/>
      <c r="T196" s="286"/>
      <c r="U196" s="286"/>
      <c r="V196" s="343">
        <f>(V101+V103+V104+V105+V106+V107+V108+V109+V110)/-(V111)</f>
        <v>8.7195121951219505</v>
      </c>
      <c r="W196" s="289" t="s">
        <v>115</v>
      </c>
      <c r="X196" s="5"/>
    </row>
    <row r="197" spans="1:24" ht="15.75" x14ac:dyDescent="0.25">
      <c r="A197" s="285"/>
      <c r="B197" s="286" t="s">
        <v>199</v>
      </c>
      <c r="C197" s="286"/>
      <c r="D197" s="286"/>
      <c r="E197" s="286"/>
      <c r="F197" s="286"/>
      <c r="G197" s="286"/>
      <c r="H197" s="286"/>
      <c r="I197" s="286"/>
      <c r="J197" s="286"/>
      <c r="K197" s="286"/>
      <c r="L197" s="286"/>
      <c r="M197" s="286"/>
      <c r="N197" s="286"/>
      <c r="O197" s="286"/>
      <c r="P197" s="286"/>
      <c r="Q197" s="286"/>
      <c r="R197" s="286"/>
      <c r="S197" s="286"/>
      <c r="T197" s="286"/>
      <c r="U197" s="286"/>
      <c r="V197" s="347">
        <v>6.38</v>
      </c>
      <c r="W197" s="289" t="s">
        <v>115</v>
      </c>
      <c r="X197" s="5"/>
    </row>
    <row r="198" spans="1:24" ht="15.75" x14ac:dyDescent="0.25">
      <c r="A198" s="285"/>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9"/>
      <c r="X198" s="5"/>
    </row>
    <row r="199" spans="1:24" ht="15.75" x14ac:dyDescent="0.25">
      <c r="A199" s="181"/>
      <c r="B199" s="346"/>
      <c r="C199" s="346"/>
      <c r="D199" s="346"/>
      <c r="E199" s="346"/>
      <c r="F199" s="346"/>
      <c r="G199" s="346"/>
      <c r="H199" s="346"/>
      <c r="I199" s="346"/>
      <c r="J199" s="346"/>
      <c r="K199" s="346"/>
      <c r="L199" s="346"/>
      <c r="M199" s="346"/>
      <c r="N199" s="346"/>
      <c r="O199" s="346"/>
      <c r="P199" s="346"/>
      <c r="Q199" s="346"/>
      <c r="R199" s="346"/>
      <c r="S199" s="346"/>
      <c r="T199" s="346"/>
      <c r="U199" s="346"/>
      <c r="V199" s="346"/>
      <c r="W199" s="346"/>
      <c r="X199" s="5"/>
    </row>
    <row r="200" spans="1:24" ht="15.75" x14ac:dyDescent="0.25">
      <c r="A200" s="181"/>
      <c r="B200" s="255"/>
      <c r="C200" s="255"/>
      <c r="D200" s="255"/>
      <c r="E200" s="255"/>
      <c r="F200" s="255"/>
      <c r="G200" s="255"/>
      <c r="H200" s="255"/>
      <c r="I200" s="255"/>
      <c r="J200" s="255"/>
      <c r="K200" s="255"/>
      <c r="L200" s="255"/>
      <c r="M200" s="255"/>
      <c r="N200" s="255"/>
      <c r="O200" s="255"/>
      <c r="P200" s="255"/>
      <c r="Q200" s="255"/>
      <c r="R200" s="255"/>
      <c r="S200" s="255"/>
      <c r="T200" s="255"/>
      <c r="U200" s="255"/>
      <c r="V200" s="255"/>
      <c r="W200" s="255"/>
      <c r="X200" s="5"/>
    </row>
    <row r="201" spans="1:24" ht="19.5" thickBot="1" x14ac:dyDescent="0.35">
      <c r="A201" s="197"/>
      <c r="B201" s="270" t="str">
        <f>B135</f>
        <v>PM15 INVESTOR REPORT QUARTER ENDING FEBRUARY 2014</v>
      </c>
      <c r="C201" s="271"/>
      <c r="D201" s="271"/>
      <c r="E201" s="271"/>
      <c r="F201" s="271"/>
      <c r="G201" s="271"/>
      <c r="H201" s="271"/>
      <c r="I201" s="271"/>
      <c r="J201" s="271"/>
      <c r="K201" s="271"/>
      <c r="L201" s="271"/>
      <c r="M201" s="271"/>
      <c r="N201" s="271"/>
      <c r="O201" s="271"/>
      <c r="P201" s="271"/>
      <c r="Q201" s="271"/>
      <c r="R201" s="271"/>
      <c r="S201" s="271"/>
      <c r="T201" s="271"/>
      <c r="U201" s="271"/>
      <c r="V201" s="271"/>
      <c r="W201" s="272"/>
      <c r="X201" s="5"/>
    </row>
    <row r="202" spans="1:24" ht="15.75" x14ac:dyDescent="0.25">
      <c r="A202" s="236"/>
      <c r="B202" s="403" t="s">
        <v>70</v>
      </c>
      <c r="C202" s="404"/>
      <c r="D202" s="404"/>
      <c r="E202" s="404"/>
      <c r="F202" s="404"/>
      <c r="G202" s="405"/>
      <c r="H202" s="405"/>
      <c r="I202" s="405"/>
      <c r="J202" s="405"/>
      <c r="K202" s="405"/>
      <c r="L202" s="405"/>
      <c r="M202" s="405"/>
      <c r="N202" s="405"/>
      <c r="O202" s="405"/>
      <c r="P202" s="405"/>
      <c r="Q202" s="405"/>
      <c r="R202" s="405"/>
      <c r="S202" s="405"/>
      <c r="T202" s="405">
        <v>41698</v>
      </c>
      <c r="U202" s="238"/>
      <c r="V202" s="238"/>
      <c r="W202" s="238"/>
      <c r="X202" s="5"/>
    </row>
    <row r="203" spans="1:24" ht="15.75" x14ac:dyDescent="0.25">
      <c r="A203" s="218"/>
      <c r="B203" s="219"/>
      <c r="C203" s="220"/>
      <c r="D203" s="220"/>
      <c r="E203" s="220"/>
      <c r="F203" s="220"/>
      <c r="G203" s="221"/>
      <c r="H203" s="221"/>
      <c r="I203" s="221"/>
      <c r="J203" s="221"/>
      <c r="K203" s="221"/>
      <c r="L203" s="221"/>
      <c r="M203" s="221"/>
      <c r="N203" s="221"/>
      <c r="O203" s="221"/>
      <c r="P203" s="221"/>
      <c r="Q203" s="221"/>
      <c r="R203" s="221"/>
      <c r="S203" s="221"/>
      <c r="T203" s="221"/>
      <c r="U203" s="183"/>
      <c r="V203" s="183"/>
      <c r="W203" s="183"/>
      <c r="X203" s="5"/>
    </row>
    <row r="204" spans="1:24" ht="15.75" x14ac:dyDescent="0.25">
      <c r="A204" s="350"/>
      <c r="B204" s="286" t="s">
        <v>71</v>
      </c>
      <c r="C204" s="406"/>
      <c r="D204" s="406"/>
      <c r="E204" s="406"/>
      <c r="F204" s="406"/>
      <c r="G204" s="397"/>
      <c r="H204" s="397"/>
      <c r="I204" s="397"/>
      <c r="J204" s="397"/>
      <c r="K204" s="397"/>
      <c r="L204" s="397"/>
      <c r="M204" s="397"/>
      <c r="N204" s="397"/>
      <c r="O204" s="397"/>
      <c r="P204" s="397"/>
      <c r="Q204" s="397"/>
      <c r="R204" s="397"/>
      <c r="S204" s="397"/>
      <c r="T204" s="321">
        <v>5.3830000000000003E-2</v>
      </c>
      <c r="U204" s="286"/>
      <c r="V204" s="286"/>
      <c r="W204" s="289"/>
      <c r="X204" s="5"/>
    </row>
    <row r="205" spans="1:24" ht="15.75" x14ac:dyDescent="0.25">
      <c r="A205" s="350"/>
      <c r="B205" s="286" t="s">
        <v>151</v>
      </c>
      <c r="C205" s="406"/>
      <c r="D205" s="406"/>
      <c r="E205" s="406"/>
      <c r="F205" s="406"/>
      <c r="G205" s="397"/>
      <c r="H205" s="397"/>
      <c r="I205" s="397"/>
      <c r="J205" s="397"/>
      <c r="K205" s="397"/>
      <c r="L205" s="397"/>
      <c r="M205" s="397"/>
      <c r="N205" s="397"/>
      <c r="O205" s="397"/>
      <c r="P205" s="397"/>
      <c r="Q205" s="397"/>
      <c r="R205" s="397"/>
      <c r="S205" s="397"/>
      <c r="T205" s="321">
        <v>6.25E-2</v>
      </c>
      <c r="U205" s="286"/>
      <c r="V205" s="286"/>
      <c r="W205" s="289"/>
      <c r="X205" s="5"/>
    </row>
    <row r="206" spans="1:24" ht="15.75" x14ac:dyDescent="0.25">
      <c r="A206" s="350"/>
      <c r="B206" s="286" t="s">
        <v>72</v>
      </c>
      <c r="C206" s="406"/>
      <c r="D206" s="406"/>
      <c r="E206" s="406"/>
      <c r="F206" s="406"/>
      <c r="G206" s="397"/>
      <c r="H206" s="397"/>
      <c r="I206" s="397"/>
      <c r="J206" s="397"/>
      <c r="K206" s="397"/>
      <c r="L206" s="397"/>
      <c r="M206" s="397"/>
      <c r="N206" s="397"/>
      <c r="O206" s="397"/>
      <c r="P206" s="397"/>
      <c r="Q206" s="397"/>
      <c r="R206" s="397"/>
      <c r="S206" s="397"/>
      <c r="T206" s="321">
        <f>T204-T205</f>
        <v>-8.6699999999999972E-3</v>
      </c>
      <c r="U206" s="286"/>
      <c r="V206" s="286"/>
      <c r="W206" s="289"/>
      <c r="X206" s="5"/>
    </row>
    <row r="207" spans="1:24" ht="15.75" x14ac:dyDescent="0.25">
      <c r="A207" s="350"/>
      <c r="B207" s="286" t="s">
        <v>73</v>
      </c>
      <c r="C207" s="406"/>
      <c r="D207" s="406"/>
      <c r="E207" s="406"/>
      <c r="F207" s="406"/>
      <c r="G207" s="397"/>
      <c r="H207" s="397"/>
      <c r="I207" s="397"/>
      <c r="J207" s="397"/>
      <c r="K207" s="397"/>
      <c r="L207" s="397"/>
      <c r="M207" s="397"/>
      <c r="N207" s="397"/>
      <c r="O207" s="397"/>
      <c r="P207" s="397"/>
      <c r="Q207" s="397"/>
      <c r="R207" s="397"/>
      <c r="S207" s="397"/>
      <c r="T207" s="321">
        <v>2.4889999999999999E-2</v>
      </c>
      <c r="U207" s="286"/>
      <c r="V207" s="286"/>
      <c r="W207" s="289"/>
      <c r="X207" s="5"/>
    </row>
    <row r="208" spans="1:24" ht="15.75" x14ac:dyDescent="0.25">
      <c r="A208" s="350"/>
      <c r="B208" s="286" t="s">
        <v>218</v>
      </c>
      <c r="C208" s="406"/>
      <c r="D208" s="406"/>
      <c r="E208" s="406"/>
      <c r="F208" s="406"/>
      <c r="G208" s="397"/>
      <c r="H208" s="397"/>
      <c r="I208" s="397"/>
      <c r="J208" s="397"/>
      <c r="K208" s="397"/>
      <c r="L208" s="397"/>
      <c r="M208" s="397"/>
      <c r="N208" s="397"/>
      <c r="O208" s="397"/>
      <c r="P208" s="397"/>
      <c r="Q208" s="397"/>
      <c r="R208" s="397"/>
      <c r="S208" s="397"/>
      <c r="T208" s="321">
        <f>V43</f>
        <v>8.8326980247998583E-3</v>
      </c>
      <c r="U208" s="286"/>
      <c r="V208" s="286"/>
      <c r="W208" s="289"/>
      <c r="X208" s="5"/>
    </row>
    <row r="209" spans="1:24" ht="15.75" x14ac:dyDescent="0.25">
      <c r="A209" s="350"/>
      <c r="B209" s="286" t="s">
        <v>74</v>
      </c>
      <c r="C209" s="406"/>
      <c r="D209" s="406"/>
      <c r="E209" s="406"/>
      <c r="F209" s="406"/>
      <c r="G209" s="397"/>
      <c r="H209" s="397"/>
      <c r="I209" s="397"/>
      <c r="J209" s="397"/>
      <c r="K209" s="397"/>
      <c r="L209" s="397"/>
      <c r="M209" s="397"/>
      <c r="N209" s="397"/>
      <c r="O209" s="397"/>
      <c r="P209" s="397"/>
      <c r="Q209" s="397"/>
      <c r="R209" s="397"/>
      <c r="S209" s="397"/>
      <c r="T209" s="321">
        <f>T207-T208</f>
        <v>1.6057301975200139E-2</v>
      </c>
      <c r="U209" s="286"/>
      <c r="V209" s="286"/>
      <c r="W209" s="289"/>
      <c r="X209" s="5"/>
    </row>
    <row r="210" spans="1:24" ht="15.75" x14ac:dyDescent="0.25">
      <c r="A210" s="350"/>
      <c r="B210" s="286" t="s">
        <v>227</v>
      </c>
      <c r="C210" s="406"/>
      <c r="D210" s="406"/>
      <c r="E210" s="406"/>
      <c r="F210" s="406"/>
      <c r="G210" s="397"/>
      <c r="H210" s="397"/>
      <c r="I210" s="397"/>
      <c r="J210" s="397"/>
      <c r="K210" s="397"/>
      <c r="L210" s="397"/>
      <c r="M210" s="397"/>
      <c r="N210" s="397"/>
      <c r="O210" s="397"/>
      <c r="P210" s="397"/>
      <c r="Q210" s="397"/>
      <c r="R210" s="397"/>
      <c r="S210" s="397"/>
      <c r="T210" s="321">
        <f>V101/N71</f>
        <v>6.0252630672892769E-3</v>
      </c>
      <c r="U210" s="286"/>
      <c r="V210" s="286"/>
      <c r="W210" s="289"/>
      <c r="X210" s="5"/>
    </row>
    <row r="211" spans="1:24" ht="15.75" x14ac:dyDescent="0.25">
      <c r="A211" s="350"/>
      <c r="B211" s="286" t="s">
        <v>207</v>
      </c>
      <c r="C211" s="406"/>
      <c r="D211" s="406"/>
      <c r="E211" s="406"/>
      <c r="F211" s="406"/>
      <c r="G211" s="397"/>
      <c r="H211" s="397"/>
      <c r="I211" s="397"/>
      <c r="J211" s="397"/>
      <c r="K211" s="397"/>
      <c r="L211" s="397"/>
      <c r="M211" s="397"/>
      <c r="N211" s="397"/>
      <c r="O211" s="397"/>
      <c r="P211" s="397"/>
      <c r="Q211" s="397"/>
      <c r="R211" s="397"/>
      <c r="S211" s="397"/>
      <c r="T211" s="352">
        <v>51105</v>
      </c>
      <c r="U211" s="286"/>
      <c r="V211" s="286"/>
      <c r="W211" s="289"/>
      <c r="X211" s="5"/>
    </row>
    <row r="212" spans="1:24" ht="15.75" x14ac:dyDescent="0.25">
      <c r="A212" s="350"/>
      <c r="B212" s="286" t="s">
        <v>208</v>
      </c>
      <c r="C212" s="406"/>
      <c r="D212" s="406"/>
      <c r="E212" s="406"/>
      <c r="F212" s="406"/>
      <c r="G212" s="397"/>
      <c r="H212" s="397"/>
      <c r="I212" s="397"/>
      <c r="J212" s="397"/>
      <c r="K212" s="397"/>
      <c r="L212" s="397"/>
      <c r="M212" s="397"/>
      <c r="N212" s="397"/>
      <c r="O212" s="397"/>
      <c r="P212" s="397"/>
      <c r="Q212" s="397"/>
      <c r="R212" s="397"/>
      <c r="S212" s="397"/>
      <c r="T212" s="352">
        <v>51105</v>
      </c>
      <c r="U212" s="286"/>
      <c r="V212" s="286"/>
      <c r="W212" s="289"/>
      <c r="X212" s="5"/>
    </row>
    <row r="213" spans="1:24" ht="15.75" x14ac:dyDescent="0.25">
      <c r="A213" s="350"/>
      <c r="B213" s="286" t="s">
        <v>209</v>
      </c>
      <c r="C213" s="406"/>
      <c r="D213" s="406"/>
      <c r="E213" s="406"/>
      <c r="F213" s="406"/>
      <c r="G213" s="397"/>
      <c r="H213" s="397"/>
      <c r="I213" s="397"/>
      <c r="J213" s="397"/>
      <c r="K213" s="397"/>
      <c r="L213" s="397"/>
      <c r="M213" s="397"/>
      <c r="N213" s="397"/>
      <c r="O213" s="397"/>
      <c r="P213" s="397"/>
      <c r="Q213" s="397"/>
      <c r="R213" s="397"/>
      <c r="S213" s="397"/>
      <c r="T213" s="352">
        <v>51105</v>
      </c>
      <c r="U213" s="286"/>
      <c r="V213" s="286"/>
      <c r="W213" s="289"/>
      <c r="X213" s="5"/>
    </row>
    <row r="214" spans="1:24" ht="15.75" x14ac:dyDescent="0.25">
      <c r="A214" s="350"/>
      <c r="B214" s="286" t="s">
        <v>75</v>
      </c>
      <c r="C214" s="406"/>
      <c r="D214" s="406"/>
      <c r="E214" s="406"/>
      <c r="F214" s="406"/>
      <c r="G214" s="397"/>
      <c r="H214" s="397"/>
      <c r="I214" s="397"/>
      <c r="J214" s="397"/>
      <c r="K214" s="397"/>
      <c r="L214" s="397"/>
      <c r="M214" s="397"/>
      <c r="N214" s="397"/>
      <c r="O214" s="397"/>
      <c r="P214" s="397"/>
      <c r="Q214" s="397"/>
      <c r="R214" s="397"/>
      <c r="S214" s="397"/>
      <c r="T214" s="327">
        <v>21.06</v>
      </c>
      <c r="U214" s="286" t="s">
        <v>110</v>
      </c>
      <c r="V214" s="286"/>
      <c r="W214" s="289"/>
      <c r="X214" s="5"/>
    </row>
    <row r="215" spans="1:24" ht="15.75" x14ac:dyDescent="0.25">
      <c r="A215" s="350"/>
      <c r="B215" s="286" t="s">
        <v>76</v>
      </c>
      <c r="C215" s="406"/>
      <c r="D215" s="406"/>
      <c r="E215" s="406"/>
      <c r="F215" s="406"/>
      <c r="G215" s="397"/>
      <c r="H215" s="397"/>
      <c r="I215" s="397"/>
      <c r="J215" s="397"/>
      <c r="K215" s="397"/>
      <c r="L215" s="397"/>
      <c r="M215" s="397"/>
      <c r="N215" s="397"/>
      <c r="O215" s="397"/>
      <c r="P215" s="397"/>
      <c r="Q215" s="397"/>
      <c r="R215" s="397"/>
      <c r="S215" s="397"/>
      <c r="T215" s="327">
        <v>14.68</v>
      </c>
      <c r="U215" s="286" t="s">
        <v>110</v>
      </c>
      <c r="V215" s="286"/>
      <c r="W215" s="289"/>
      <c r="X215" s="5"/>
    </row>
    <row r="216" spans="1:24" ht="15.75" x14ac:dyDescent="0.25">
      <c r="A216" s="350"/>
      <c r="B216" s="286" t="s">
        <v>77</v>
      </c>
      <c r="C216" s="406"/>
      <c r="D216" s="406"/>
      <c r="E216" s="406"/>
      <c r="F216" s="406"/>
      <c r="G216" s="397"/>
      <c r="H216" s="397"/>
      <c r="I216" s="397"/>
      <c r="J216" s="397"/>
      <c r="K216" s="397"/>
      <c r="L216" s="397"/>
      <c r="M216" s="397"/>
      <c r="N216" s="397"/>
      <c r="O216" s="397"/>
      <c r="P216" s="397"/>
      <c r="Q216" s="397"/>
      <c r="R216" s="397"/>
      <c r="S216" s="397"/>
      <c r="T216" s="321">
        <f>+P68/N68</f>
        <v>6.5252586369487862E-3</v>
      </c>
      <c r="U216" s="286"/>
      <c r="V216" s="286"/>
      <c r="W216" s="289"/>
      <c r="X216" s="5"/>
    </row>
    <row r="217" spans="1:24" ht="15.75" x14ac:dyDescent="0.25">
      <c r="A217" s="350"/>
      <c r="B217" s="286" t="s">
        <v>78</v>
      </c>
      <c r="C217" s="406"/>
      <c r="D217" s="406"/>
      <c r="E217" s="406"/>
      <c r="F217" s="406"/>
      <c r="G217" s="397"/>
      <c r="H217" s="397"/>
      <c r="I217" s="397"/>
      <c r="J217" s="397"/>
      <c r="K217" s="397"/>
      <c r="L217" s="397"/>
      <c r="M217" s="397"/>
      <c r="N217" s="397"/>
      <c r="O217" s="397"/>
      <c r="P217" s="397"/>
      <c r="Q217" s="397"/>
      <c r="R217" s="397"/>
      <c r="S217" s="397"/>
      <c r="T217" s="321">
        <v>3.8100000000000002E-2</v>
      </c>
      <c r="U217" s="286"/>
      <c r="V217" s="286"/>
      <c r="W217" s="289"/>
      <c r="X217" s="5"/>
    </row>
    <row r="218" spans="1:24" ht="15.75" x14ac:dyDescent="0.25">
      <c r="A218" s="218"/>
      <c r="B218" s="348"/>
      <c r="C218" s="348"/>
      <c r="D218" s="348"/>
      <c r="E218" s="348"/>
      <c r="F218" s="348"/>
      <c r="G218" s="212"/>
      <c r="H218" s="212"/>
      <c r="I218" s="212"/>
      <c r="J218" s="212"/>
      <c r="K218" s="212"/>
      <c r="L218" s="212"/>
      <c r="M218" s="212"/>
      <c r="N218" s="212"/>
      <c r="O218" s="212"/>
      <c r="P218" s="212"/>
      <c r="Q218" s="212"/>
      <c r="R218" s="212"/>
      <c r="S218" s="212"/>
      <c r="T218" s="344"/>
      <c r="U218" s="212"/>
      <c r="V218" s="349"/>
      <c r="W218" s="212"/>
      <c r="X218" s="5"/>
    </row>
    <row r="219" spans="1:24" ht="15.75" x14ac:dyDescent="0.25">
      <c r="A219" s="242"/>
      <c r="B219" s="399" t="s">
        <v>79</v>
      </c>
      <c r="C219" s="400"/>
      <c r="D219" s="400"/>
      <c r="E219" s="400"/>
      <c r="F219" s="407"/>
      <c r="G219" s="400"/>
      <c r="H219" s="400"/>
      <c r="I219" s="400"/>
      <c r="J219" s="400"/>
      <c r="K219" s="400"/>
      <c r="L219" s="400"/>
      <c r="M219" s="400"/>
      <c r="N219" s="400"/>
      <c r="O219" s="400"/>
      <c r="P219" s="400"/>
      <c r="Q219" s="400"/>
      <c r="R219" s="400"/>
      <c r="S219" s="400" t="s">
        <v>102</v>
      </c>
      <c r="T219" s="407" t="s">
        <v>108</v>
      </c>
      <c r="U219" s="225"/>
      <c r="V219" s="225"/>
      <c r="W219" s="225"/>
      <c r="X219" s="5"/>
    </row>
    <row r="220" spans="1:24" ht="15.75" x14ac:dyDescent="0.25">
      <c r="A220" s="222"/>
      <c r="B220" s="250" t="s">
        <v>80</v>
      </c>
      <c r="C220" s="249"/>
      <c r="D220" s="249"/>
      <c r="E220" s="249"/>
      <c r="F220" s="250"/>
      <c r="G220" s="250"/>
      <c r="H220" s="268"/>
      <c r="I220" s="268"/>
      <c r="J220" s="268"/>
      <c r="K220" s="268"/>
      <c r="L220" s="268"/>
      <c r="M220" s="268"/>
      <c r="N220" s="268"/>
      <c r="O220" s="268"/>
      <c r="P220" s="268"/>
      <c r="Q220" s="268"/>
      <c r="R220" s="268"/>
      <c r="S220" s="268">
        <v>1</v>
      </c>
      <c r="T220" s="269">
        <v>231</v>
      </c>
      <c r="U220" s="250"/>
      <c r="V220" s="266"/>
      <c r="W220" s="223"/>
      <c r="X220" s="5"/>
    </row>
    <row r="221" spans="1:24" ht="15.75" x14ac:dyDescent="0.25">
      <c r="A221" s="358"/>
      <c r="B221" s="286" t="s">
        <v>145</v>
      </c>
      <c r="C221" s="337"/>
      <c r="D221" s="337"/>
      <c r="E221" s="337"/>
      <c r="F221" s="286"/>
      <c r="G221" s="286"/>
      <c r="H221" s="296"/>
      <c r="I221" s="296"/>
      <c r="J221" s="296"/>
      <c r="K221" s="296"/>
      <c r="L221" s="296"/>
      <c r="M221" s="296"/>
      <c r="N221" s="296"/>
      <c r="O221" s="296"/>
      <c r="P221" s="296"/>
      <c r="Q221" s="296"/>
      <c r="R221" s="296"/>
      <c r="S221" s="359">
        <f>+R273</f>
        <v>112</v>
      </c>
      <c r="T221" s="360">
        <f>+T273</f>
        <v>16176</v>
      </c>
      <c r="U221" s="286"/>
      <c r="V221" s="361"/>
      <c r="W221" s="362"/>
      <c r="X221" s="5"/>
    </row>
    <row r="222" spans="1:24" ht="15.75" x14ac:dyDescent="0.25">
      <c r="A222" s="358"/>
      <c r="B222" s="286" t="s">
        <v>81</v>
      </c>
      <c r="C222" s="337"/>
      <c r="D222" s="337"/>
      <c r="E222" s="337"/>
      <c r="F222" s="286"/>
      <c r="G222" s="286"/>
      <c r="H222" s="296"/>
      <c r="I222" s="296"/>
      <c r="J222" s="296"/>
      <c r="K222" s="296"/>
      <c r="L222" s="296"/>
      <c r="M222" s="296"/>
      <c r="N222" s="296"/>
      <c r="O222" s="296"/>
      <c r="P222" s="296"/>
      <c r="Q222" s="296"/>
      <c r="R222" s="296"/>
      <c r="S222" s="359">
        <f>+R285</f>
        <v>0</v>
      </c>
      <c r="T222" s="360">
        <f>+T285</f>
        <v>0</v>
      </c>
      <c r="U222" s="286"/>
      <c r="V222" s="361"/>
      <c r="W222" s="362"/>
      <c r="X222" s="5"/>
    </row>
    <row r="223" spans="1:24" ht="15.75" x14ac:dyDescent="0.25">
      <c r="A223" s="358"/>
      <c r="B223" s="313" t="s">
        <v>82</v>
      </c>
      <c r="C223" s="363"/>
      <c r="D223" s="363"/>
      <c r="E223" s="363"/>
      <c r="F223" s="314"/>
      <c r="G223" s="314"/>
      <c r="H223" s="314"/>
      <c r="I223" s="314"/>
      <c r="J223" s="314"/>
      <c r="K223" s="314"/>
      <c r="L223" s="314"/>
      <c r="M223" s="314"/>
      <c r="N223" s="314"/>
      <c r="O223" s="314"/>
      <c r="P223" s="314"/>
      <c r="Q223" s="314"/>
      <c r="R223" s="314"/>
      <c r="S223" s="286"/>
      <c r="T223" s="360">
        <v>0</v>
      </c>
      <c r="U223" s="314"/>
      <c r="V223" s="364"/>
      <c r="W223" s="362"/>
      <c r="X223" s="5"/>
    </row>
    <row r="224" spans="1:24" ht="15.75" x14ac:dyDescent="0.25">
      <c r="A224" s="358"/>
      <c r="B224" s="313" t="s">
        <v>228</v>
      </c>
      <c r="C224" s="363"/>
      <c r="D224" s="363"/>
      <c r="E224" s="363"/>
      <c r="F224" s="314"/>
      <c r="G224" s="314"/>
      <c r="H224" s="314"/>
      <c r="I224" s="314"/>
      <c r="J224" s="314"/>
      <c r="K224" s="314"/>
      <c r="L224" s="314"/>
      <c r="M224" s="314"/>
      <c r="N224" s="314"/>
      <c r="O224" s="314"/>
      <c r="P224" s="314"/>
      <c r="Q224" s="314"/>
      <c r="R224" s="314"/>
      <c r="S224" s="286"/>
      <c r="T224" s="360">
        <f>+N81</f>
        <v>0</v>
      </c>
      <c r="U224" s="314"/>
      <c r="V224" s="364"/>
      <c r="W224" s="362"/>
      <c r="X224" s="5"/>
    </row>
    <row r="225" spans="1:24" ht="15.75" x14ac:dyDescent="0.25">
      <c r="A225" s="365"/>
      <c r="B225" s="313" t="s">
        <v>83</v>
      </c>
      <c r="C225" s="366"/>
      <c r="D225" s="366"/>
      <c r="E225" s="366"/>
      <c r="F225" s="366"/>
      <c r="G225" s="314"/>
      <c r="H225" s="314"/>
      <c r="I225" s="314"/>
      <c r="J225" s="314"/>
      <c r="K225" s="314"/>
      <c r="L225" s="314"/>
      <c r="M225" s="314"/>
      <c r="N225" s="314"/>
      <c r="O225" s="314"/>
      <c r="P225" s="314"/>
      <c r="Q225" s="314"/>
      <c r="R225" s="314"/>
      <c r="S225" s="286"/>
      <c r="T225" s="360"/>
      <c r="U225" s="314"/>
      <c r="V225" s="364"/>
      <c r="W225" s="367"/>
      <c r="X225" s="5"/>
    </row>
    <row r="226" spans="1:24" ht="15.75" x14ac:dyDescent="0.25">
      <c r="A226" s="365"/>
      <c r="B226" s="286" t="s">
        <v>84</v>
      </c>
      <c r="C226" s="366"/>
      <c r="D226" s="366"/>
      <c r="E226" s="366"/>
      <c r="F226" s="366"/>
      <c r="G226" s="314"/>
      <c r="H226" s="314"/>
      <c r="I226" s="314"/>
      <c r="J226" s="314"/>
      <c r="K226" s="314"/>
      <c r="L226" s="314"/>
      <c r="M226" s="314"/>
      <c r="N226" s="314"/>
      <c r="O226" s="314"/>
      <c r="P226" s="314"/>
      <c r="Q226" s="314"/>
      <c r="R226" s="314"/>
      <c r="S226" s="296"/>
      <c r="T226" s="360">
        <f>V164</f>
        <v>58</v>
      </c>
      <c r="U226" s="314"/>
      <c r="V226" s="364"/>
      <c r="W226" s="367"/>
      <c r="X226" s="5"/>
    </row>
    <row r="227" spans="1:24" ht="15.75" x14ac:dyDescent="0.25">
      <c r="A227" s="358"/>
      <c r="B227" s="286" t="s">
        <v>85</v>
      </c>
      <c r="C227" s="363"/>
      <c r="D227" s="363"/>
      <c r="E227" s="363"/>
      <c r="F227" s="363"/>
      <c r="G227" s="314"/>
      <c r="H227" s="314"/>
      <c r="I227" s="314"/>
      <c r="J227" s="314"/>
      <c r="K227" s="314"/>
      <c r="L227" s="314"/>
      <c r="M227" s="314"/>
      <c r="N227" s="314"/>
      <c r="O227" s="314"/>
      <c r="P227" s="314"/>
      <c r="Q227" s="314"/>
      <c r="R227" s="314"/>
      <c r="S227" s="296"/>
      <c r="T227" s="360">
        <f>'Nov 13'!T227+T226</f>
        <v>6459</v>
      </c>
      <c r="U227" s="314"/>
      <c r="V227" s="364"/>
      <c r="W227" s="367"/>
      <c r="X227" s="5"/>
    </row>
    <row r="228" spans="1:24" ht="15.75" x14ac:dyDescent="0.25">
      <c r="A228" s="365"/>
      <c r="B228" s="313" t="s">
        <v>285</v>
      </c>
      <c r="C228" s="366"/>
      <c r="D228" s="366"/>
      <c r="E228" s="366"/>
      <c r="F228" s="366"/>
      <c r="G228" s="314"/>
      <c r="H228" s="314"/>
      <c r="I228" s="314"/>
      <c r="J228" s="314"/>
      <c r="K228" s="314"/>
      <c r="L228" s="314"/>
      <c r="M228" s="314"/>
      <c r="N228" s="314"/>
      <c r="O228" s="314"/>
      <c r="P228" s="314"/>
      <c r="Q228" s="314"/>
      <c r="R228" s="314"/>
      <c r="S228" s="296"/>
      <c r="T228" s="360"/>
      <c r="U228" s="314"/>
      <c r="V228" s="364"/>
      <c r="W228" s="367"/>
      <c r="X228" s="5"/>
    </row>
    <row r="229" spans="1:24" ht="15.75" x14ac:dyDescent="0.25">
      <c r="A229" s="365"/>
      <c r="B229" s="286" t="s">
        <v>282</v>
      </c>
      <c r="C229" s="366"/>
      <c r="D229" s="366"/>
      <c r="E229" s="366"/>
      <c r="F229" s="366"/>
      <c r="G229" s="314"/>
      <c r="H229" s="314"/>
      <c r="I229" s="314"/>
      <c r="J229" s="314"/>
      <c r="K229" s="314"/>
      <c r="L229" s="314"/>
      <c r="M229" s="314"/>
      <c r="N229" s="314"/>
      <c r="O229" s="314"/>
      <c r="P229" s="314"/>
      <c r="Q229" s="314"/>
      <c r="R229" s="314"/>
      <c r="S229" s="296">
        <v>0</v>
      </c>
      <c r="T229" s="360">
        <v>0</v>
      </c>
      <c r="U229" s="314"/>
      <c r="V229" s="364"/>
      <c r="W229" s="367"/>
      <c r="X229" s="5"/>
    </row>
    <row r="230" spans="1:24" ht="15.75" x14ac:dyDescent="0.25">
      <c r="A230" s="358"/>
      <c r="B230" s="286" t="s">
        <v>86</v>
      </c>
      <c r="C230" s="368"/>
      <c r="D230" s="368"/>
      <c r="E230" s="368"/>
      <c r="F230" s="369"/>
      <c r="G230" s="314"/>
      <c r="H230" s="314"/>
      <c r="I230" s="314"/>
      <c r="J230" s="314"/>
      <c r="K230" s="314"/>
      <c r="L230" s="314"/>
      <c r="M230" s="314"/>
      <c r="N230" s="314"/>
      <c r="O230" s="314"/>
      <c r="P230" s="314"/>
      <c r="Q230" s="314"/>
      <c r="R230" s="314"/>
      <c r="S230" s="286"/>
      <c r="T230" s="370">
        <v>0</v>
      </c>
      <c r="U230" s="314"/>
      <c r="V230" s="364"/>
      <c r="W230" s="367"/>
      <c r="X230" s="5"/>
    </row>
    <row r="231" spans="1:24" ht="15.75" x14ac:dyDescent="0.25">
      <c r="A231" s="358"/>
      <c r="B231" s="286" t="s">
        <v>87</v>
      </c>
      <c r="C231" s="368"/>
      <c r="D231" s="368"/>
      <c r="E231" s="368"/>
      <c r="F231" s="369"/>
      <c r="G231" s="314"/>
      <c r="H231" s="314"/>
      <c r="I231" s="314"/>
      <c r="J231" s="314"/>
      <c r="K231" s="314"/>
      <c r="L231" s="314"/>
      <c r="M231" s="314"/>
      <c r="N231" s="314"/>
      <c r="O231" s="314"/>
      <c r="P231" s="314"/>
      <c r="Q231" s="314"/>
      <c r="R231" s="314"/>
      <c r="S231" s="286"/>
      <c r="T231" s="370">
        <v>0</v>
      </c>
      <c r="U231" s="314"/>
      <c r="V231" s="364"/>
      <c r="W231" s="367"/>
      <c r="X231" s="5"/>
    </row>
    <row r="232" spans="1:24" ht="15.75" x14ac:dyDescent="0.25">
      <c r="A232" s="358"/>
      <c r="B232" s="313" t="s">
        <v>216</v>
      </c>
      <c r="C232" s="368"/>
      <c r="D232" s="368"/>
      <c r="E232" s="368"/>
      <c r="F232" s="369"/>
      <c r="G232" s="314"/>
      <c r="H232" s="314"/>
      <c r="I232" s="314"/>
      <c r="J232" s="314"/>
      <c r="K232" s="314"/>
      <c r="L232" s="314"/>
      <c r="M232" s="314"/>
      <c r="N232" s="314"/>
      <c r="O232" s="314"/>
      <c r="P232" s="314"/>
      <c r="Q232" s="314"/>
      <c r="R232" s="314"/>
      <c r="S232" s="286"/>
      <c r="T232" s="371"/>
      <c r="U232" s="314"/>
      <c r="V232" s="364"/>
      <c r="W232" s="367"/>
      <c r="X232" s="5"/>
    </row>
    <row r="233" spans="1:24" ht="15.75" x14ac:dyDescent="0.25">
      <c r="A233" s="358"/>
      <c r="B233" s="286" t="s">
        <v>282</v>
      </c>
      <c r="C233" s="368"/>
      <c r="D233" s="368"/>
      <c r="E233" s="368"/>
      <c r="F233" s="369"/>
      <c r="G233" s="314"/>
      <c r="H233" s="314"/>
      <c r="I233" s="314"/>
      <c r="J233" s="314"/>
      <c r="K233" s="314"/>
      <c r="L233" s="314"/>
      <c r="M233" s="314"/>
      <c r="N233" s="314"/>
      <c r="O233" s="314"/>
      <c r="P233" s="314"/>
      <c r="Q233" s="314"/>
      <c r="R233" s="314"/>
      <c r="S233" s="296">
        <v>2</v>
      </c>
      <c r="T233" s="360">
        <v>116</v>
      </c>
      <c r="U233" s="314"/>
      <c r="V233" s="364"/>
      <c r="W233" s="367"/>
      <c r="X233" s="5"/>
    </row>
    <row r="234" spans="1:24" ht="15.75" x14ac:dyDescent="0.25">
      <c r="A234" s="358"/>
      <c r="B234" s="286" t="s">
        <v>217</v>
      </c>
      <c r="C234" s="368"/>
      <c r="D234" s="368"/>
      <c r="E234" s="368"/>
      <c r="F234" s="369"/>
      <c r="G234" s="314"/>
      <c r="H234" s="314"/>
      <c r="I234" s="314"/>
      <c r="J234" s="314"/>
      <c r="K234" s="314"/>
      <c r="L234" s="314"/>
      <c r="M234" s="314"/>
      <c r="N234" s="314"/>
      <c r="O234" s="314"/>
      <c r="P234" s="314"/>
      <c r="Q234" s="314"/>
      <c r="R234" s="314"/>
      <c r="S234" s="286"/>
      <c r="T234" s="370">
        <v>0</v>
      </c>
      <c r="U234" s="314"/>
      <c r="V234" s="364"/>
      <c r="W234" s="367"/>
      <c r="X234" s="5"/>
    </row>
    <row r="235" spans="1:24" ht="15.75" x14ac:dyDescent="0.25">
      <c r="A235" s="358"/>
      <c r="B235" s="366"/>
      <c r="C235" s="368"/>
      <c r="D235" s="368"/>
      <c r="E235" s="368"/>
      <c r="F235" s="369"/>
      <c r="G235" s="314"/>
      <c r="H235" s="314"/>
      <c r="I235" s="314"/>
      <c r="J235" s="314"/>
      <c r="K235" s="314"/>
      <c r="L235" s="314"/>
      <c r="M235" s="314"/>
      <c r="N235" s="314"/>
      <c r="O235" s="314"/>
      <c r="P235" s="314"/>
      <c r="Q235" s="314"/>
      <c r="R235" s="314"/>
      <c r="S235" s="286"/>
      <c r="T235" s="371"/>
      <c r="U235" s="314"/>
      <c r="V235" s="364"/>
      <c r="W235" s="367"/>
      <c r="X235" s="5"/>
    </row>
    <row r="236" spans="1:24" ht="15.75" x14ac:dyDescent="0.25">
      <c r="A236" s="358"/>
      <c r="B236" s="366"/>
      <c r="C236" s="368"/>
      <c r="D236" s="368"/>
      <c r="E236" s="368"/>
      <c r="F236" s="369"/>
      <c r="G236" s="314"/>
      <c r="H236" s="314"/>
      <c r="I236" s="314"/>
      <c r="J236" s="314"/>
      <c r="K236" s="314"/>
      <c r="L236" s="314"/>
      <c r="M236" s="314"/>
      <c r="N236" s="314"/>
      <c r="O236" s="314"/>
      <c r="P236" s="314"/>
      <c r="Q236" s="314"/>
      <c r="R236" s="314"/>
      <c r="S236" s="314"/>
      <c r="T236" s="372"/>
      <c r="U236" s="314"/>
      <c r="V236" s="364"/>
      <c r="W236" s="367"/>
      <c r="X236" s="5"/>
    </row>
    <row r="237" spans="1:24" ht="18.75" x14ac:dyDescent="0.3">
      <c r="A237" s="358"/>
      <c r="B237" s="373" t="s">
        <v>168</v>
      </c>
      <c r="C237" s="368"/>
      <c r="D237" s="368"/>
      <c r="E237" s="368"/>
      <c r="F237" s="369"/>
      <c r="G237" s="314"/>
      <c r="H237" s="314"/>
      <c r="I237" s="314"/>
      <c r="J237" s="314"/>
      <c r="K237" s="314"/>
      <c r="L237" s="314"/>
      <c r="M237" s="314"/>
      <c r="N237" s="314"/>
      <c r="O237" s="314"/>
      <c r="P237" s="374" t="s">
        <v>167</v>
      </c>
      <c r="Q237" s="314"/>
      <c r="R237" s="314"/>
      <c r="S237" s="314"/>
      <c r="T237" s="372"/>
      <c r="U237" s="314"/>
      <c r="V237" s="364"/>
      <c r="W237" s="367"/>
      <c r="X237" s="5"/>
    </row>
    <row r="238" spans="1:24" ht="15.75" x14ac:dyDescent="0.25">
      <c r="A238" s="353"/>
      <c r="B238" s="348"/>
      <c r="C238" s="354"/>
      <c r="D238" s="354"/>
      <c r="E238" s="354"/>
      <c r="F238" s="355"/>
      <c r="G238" s="212"/>
      <c r="H238" s="212"/>
      <c r="I238" s="212"/>
      <c r="J238" s="212"/>
      <c r="K238" s="212"/>
      <c r="L238" s="212"/>
      <c r="M238" s="212"/>
      <c r="N238" s="212"/>
      <c r="O238" s="212"/>
      <c r="P238" s="212"/>
      <c r="Q238" s="212"/>
      <c r="R238" s="212"/>
      <c r="S238" s="212"/>
      <c r="T238" s="356"/>
      <c r="U238" s="212"/>
      <c r="V238" s="349"/>
      <c r="W238" s="357"/>
      <c r="X238" s="5"/>
    </row>
    <row r="239" spans="1:24" ht="15.75" x14ac:dyDescent="0.25">
      <c r="A239" s="224"/>
      <c r="B239" s="399" t="s">
        <v>297</v>
      </c>
      <c r="C239" s="400"/>
      <c r="D239" s="400"/>
      <c r="E239" s="400"/>
      <c r="F239" s="407"/>
      <c r="G239" s="400"/>
      <c r="H239" s="400"/>
      <c r="I239" s="400"/>
      <c r="J239" s="400"/>
      <c r="K239" s="400"/>
      <c r="L239" s="400"/>
      <c r="M239" s="400"/>
      <c r="N239" s="400"/>
      <c r="O239" s="400"/>
      <c r="P239" s="400"/>
      <c r="Q239" s="400"/>
      <c r="R239" s="407" t="s">
        <v>102</v>
      </c>
      <c r="S239" s="400" t="s">
        <v>103</v>
      </c>
      <c r="T239" s="407" t="s">
        <v>109</v>
      </c>
      <c r="U239" s="400" t="s">
        <v>103</v>
      </c>
      <c r="V239" s="225"/>
      <c r="W239" s="399"/>
      <c r="X239" s="5"/>
    </row>
    <row r="240" spans="1:24" ht="15.75" x14ac:dyDescent="0.25">
      <c r="A240" s="193"/>
      <c r="B240" s="249" t="s">
        <v>88</v>
      </c>
      <c r="C240" s="265"/>
      <c r="D240" s="265"/>
      <c r="E240" s="265"/>
      <c r="F240" s="250"/>
      <c r="G240" s="265"/>
      <c r="H240" s="265"/>
      <c r="I240" s="265"/>
      <c r="J240" s="265"/>
      <c r="K240" s="265"/>
      <c r="L240" s="265"/>
      <c r="M240" s="265"/>
      <c r="N240" s="265"/>
      <c r="O240" s="265"/>
      <c r="P240" s="265"/>
      <c r="Q240" s="265"/>
      <c r="R240" s="249">
        <f t="shared" ref="R240:R247" si="1">+R252+R264+R276</f>
        <v>5522</v>
      </c>
      <c r="S240" s="252">
        <f t="shared" ref="S240:S247" si="2">R240/$R$249</f>
        <v>0.9935228499460238</v>
      </c>
      <c r="T240" s="253">
        <f t="shared" ref="T240:T247" si="3">+T252+T264+T276</f>
        <v>780402</v>
      </c>
      <c r="U240" s="252">
        <f t="shared" ref="U240:U247" si="4">T240/$T$249</f>
        <v>0.99420346721837771</v>
      </c>
      <c r="V240" s="266"/>
      <c r="W240" s="408"/>
      <c r="X240" s="5"/>
    </row>
    <row r="241" spans="1:25" ht="15.75" x14ac:dyDescent="0.25">
      <c r="A241" s="285"/>
      <c r="B241" s="337" t="s">
        <v>89</v>
      </c>
      <c r="C241" s="378"/>
      <c r="D241" s="378"/>
      <c r="E241" s="378"/>
      <c r="F241" s="286"/>
      <c r="G241" s="379"/>
      <c r="H241" s="378"/>
      <c r="I241" s="378"/>
      <c r="J241" s="378"/>
      <c r="K241" s="378"/>
      <c r="L241" s="378"/>
      <c r="M241" s="378"/>
      <c r="N241" s="378"/>
      <c r="O241" s="378"/>
      <c r="P241" s="378"/>
      <c r="Q241" s="378"/>
      <c r="R241" s="337">
        <f t="shared" si="1"/>
        <v>11</v>
      </c>
      <c r="S241" s="379">
        <f t="shared" si="2"/>
        <v>1.97912918315941E-3</v>
      </c>
      <c r="T241" s="338">
        <f t="shared" si="3"/>
        <v>1103</v>
      </c>
      <c r="U241" s="379">
        <f t="shared" si="4"/>
        <v>1.405181463325146E-3</v>
      </c>
      <c r="V241" s="361"/>
      <c r="W241" s="409"/>
      <c r="X241" s="5"/>
      <c r="Y241" s="109"/>
    </row>
    <row r="242" spans="1:25" ht="15.75" x14ac:dyDescent="0.25">
      <c r="A242" s="285"/>
      <c r="B242" s="337" t="s">
        <v>90</v>
      </c>
      <c r="C242" s="378"/>
      <c r="D242" s="378"/>
      <c r="E242" s="378"/>
      <c r="F242" s="286"/>
      <c r="G242" s="379"/>
      <c r="H242" s="378"/>
      <c r="I242" s="378"/>
      <c r="J242" s="378"/>
      <c r="K242" s="378"/>
      <c r="L242" s="378"/>
      <c r="M242" s="378"/>
      <c r="N242" s="378"/>
      <c r="O242" s="378"/>
      <c r="P242" s="378"/>
      <c r="Q242" s="378"/>
      <c r="R242" s="337">
        <f t="shared" si="1"/>
        <v>3</v>
      </c>
      <c r="S242" s="379">
        <f t="shared" si="2"/>
        <v>5.3976250449802089E-4</v>
      </c>
      <c r="T242" s="338">
        <f t="shared" si="3"/>
        <v>571</v>
      </c>
      <c r="U242" s="379">
        <f t="shared" si="4"/>
        <v>7.2743301501238292E-4</v>
      </c>
      <c r="V242" s="361"/>
      <c r="W242" s="409"/>
      <c r="X242" s="5"/>
    </row>
    <row r="243" spans="1:25" ht="15.75" x14ac:dyDescent="0.25">
      <c r="A243" s="285"/>
      <c r="B243" s="337" t="s">
        <v>156</v>
      </c>
      <c r="C243" s="378"/>
      <c r="D243" s="378"/>
      <c r="E243" s="378"/>
      <c r="F243" s="286"/>
      <c r="G243" s="379"/>
      <c r="H243" s="378"/>
      <c r="I243" s="378"/>
      <c r="J243" s="378"/>
      <c r="K243" s="378"/>
      <c r="L243" s="378"/>
      <c r="M243" s="378"/>
      <c r="N243" s="378"/>
      <c r="O243" s="378"/>
      <c r="P243" s="378"/>
      <c r="Q243" s="378"/>
      <c r="R243" s="337">
        <f t="shared" si="1"/>
        <v>1</v>
      </c>
      <c r="S243" s="379">
        <f t="shared" si="2"/>
        <v>1.7992083483267361E-4</v>
      </c>
      <c r="T243" s="338">
        <f t="shared" si="3"/>
        <v>148</v>
      </c>
      <c r="U243" s="379">
        <f t="shared" si="4"/>
        <v>1.885465608088138E-4</v>
      </c>
      <c r="V243" s="361"/>
      <c r="W243" s="409"/>
      <c r="X243" s="5"/>
      <c r="Y243" s="109"/>
    </row>
    <row r="244" spans="1:25" ht="15.75" x14ac:dyDescent="0.25">
      <c r="A244" s="285"/>
      <c r="B244" s="337" t="s">
        <v>157</v>
      </c>
      <c r="C244" s="378"/>
      <c r="D244" s="378"/>
      <c r="E244" s="378"/>
      <c r="F244" s="286"/>
      <c r="G244" s="379"/>
      <c r="H244" s="378"/>
      <c r="I244" s="378"/>
      <c r="J244" s="378"/>
      <c r="K244" s="378"/>
      <c r="L244" s="378"/>
      <c r="M244" s="378"/>
      <c r="N244" s="378"/>
      <c r="O244" s="378"/>
      <c r="P244" s="378"/>
      <c r="Q244" s="378"/>
      <c r="R244" s="337">
        <f t="shared" si="1"/>
        <v>1</v>
      </c>
      <c r="S244" s="379">
        <f t="shared" si="2"/>
        <v>1.7992083483267361E-4</v>
      </c>
      <c r="T244" s="338">
        <f t="shared" si="3"/>
        <v>169</v>
      </c>
      <c r="U244" s="379">
        <f t="shared" si="4"/>
        <v>2.15299789031686E-4</v>
      </c>
      <c r="V244" s="361"/>
      <c r="W244" s="409"/>
      <c r="X244" s="5"/>
    </row>
    <row r="245" spans="1:25" ht="15.75" x14ac:dyDescent="0.25">
      <c r="A245" s="285"/>
      <c r="B245" s="337" t="s">
        <v>158</v>
      </c>
      <c r="C245" s="378"/>
      <c r="D245" s="378"/>
      <c r="E245" s="378"/>
      <c r="F245" s="286"/>
      <c r="G245" s="379"/>
      <c r="H245" s="378"/>
      <c r="I245" s="378"/>
      <c r="J245" s="378"/>
      <c r="K245" s="378"/>
      <c r="L245" s="378"/>
      <c r="M245" s="378"/>
      <c r="N245" s="378"/>
      <c r="O245" s="378"/>
      <c r="P245" s="378"/>
      <c r="Q245" s="378"/>
      <c r="R245" s="337">
        <f t="shared" si="1"/>
        <v>2</v>
      </c>
      <c r="S245" s="379">
        <f t="shared" si="2"/>
        <v>3.5984166966534722E-4</v>
      </c>
      <c r="T245" s="338">
        <f t="shared" si="3"/>
        <v>278</v>
      </c>
      <c r="U245" s="379">
        <f t="shared" si="4"/>
        <v>3.5416178314087997E-4</v>
      </c>
      <c r="V245" s="361"/>
      <c r="W245" s="409"/>
      <c r="X245" s="5"/>
      <c r="Y245" s="109"/>
    </row>
    <row r="246" spans="1:25" ht="15.75" x14ac:dyDescent="0.25">
      <c r="A246" s="285"/>
      <c r="B246" s="337" t="s">
        <v>159</v>
      </c>
      <c r="C246" s="378"/>
      <c r="D246" s="378"/>
      <c r="E246" s="378"/>
      <c r="F246" s="286"/>
      <c r="G246" s="379"/>
      <c r="H246" s="378"/>
      <c r="I246" s="378"/>
      <c r="J246" s="378"/>
      <c r="K246" s="378"/>
      <c r="L246" s="378"/>
      <c r="M246" s="378"/>
      <c r="N246" s="378"/>
      <c r="O246" s="378"/>
      <c r="P246" s="378"/>
      <c r="Q246" s="378"/>
      <c r="R246" s="337">
        <f t="shared" si="1"/>
        <v>8</v>
      </c>
      <c r="S246" s="379">
        <f t="shared" si="2"/>
        <v>1.4393666786613889E-3</v>
      </c>
      <c r="T246" s="338">
        <f t="shared" si="3"/>
        <v>669</v>
      </c>
      <c r="U246" s="379">
        <f t="shared" si="4"/>
        <v>8.5228141338578663E-4</v>
      </c>
      <c r="V246" s="361"/>
      <c r="W246" s="409"/>
      <c r="X246" s="5"/>
    </row>
    <row r="247" spans="1:25" ht="15.75" x14ac:dyDescent="0.25">
      <c r="A247" s="285"/>
      <c r="B247" s="337" t="s">
        <v>160</v>
      </c>
      <c r="C247" s="378"/>
      <c r="D247" s="378"/>
      <c r="E247" s="378"/>
      <c r="F247" s="286"/>
      <c r="G247" s="379"/>
      <c r="H247" s="378"/>
      <c r="I247" s="378"/>
      <c r="J247" s="378"/>
      <c r="K247" s="378"/>
      <c r="L247" s="378"/>
      <c r="M247" s="378"/>
      <c r="N247" s="378"/>
      <c r="O247" s="378"/>
      <c r="P247" s="378"/>
      <c r="Q247" s="378"/>
      <c r="R247" s="386">
        <f t="shared" si="1"/>
        <v>10</v>
      </c>
      <c r="S247" s="379">
        <f t="shared" si="2"/>
        <v>1.7992083483267362E-3</v>
      </c>
      <c r="T247" s="383">
        <f t="shared" si="3"/>
        <v>1612</v>
      </c>
      <c r="U247" s="387">
        <f t="shared" si="4"/>
        <v>2.0536287569176206E-3</v>
      </c>
      <c r="V247" s="361"/>
      <c r="W247" s="409"/>
      <c r="X247" s="5"/>
      <c r="Y247" s="109"/>
    </row>
    <row r="248" spans="1:25" ht="15.75" x14ac:dyDescent="0.25">
      <c r="A248" s="285"/>
      <c r="B248" s="337"/>
      <c r="C248" s="378"/>
      <c r="D248" s="378"/>
      <c r="E248" s="378"/>
      <c r="F248" s="286"/>
      <c r="G248" s="379"/>
      <c r="H248" s="378"/>
      <c r="I248" s="378"/>
      <c r="J248" s="378"/>
      <c r="K248" s="378"/>
      <c r="L248" s="378"/>
      <c r="M248" s="378"/>
      <c r="N248" s="378"/>
      <c r="O248" s="378"/>
      <c r="P248" s="378"/>
      <c r="Q248" s="378"/>
      <c r="R248" s="337"/>
      <c r="S248" s="379"/>
      <c r="T248" s="338"/>
      <c r="U248" s="379"/>
      <c r="V248" s="361"/>
      <c r="W248" s="409"/>
      <c r="X248" s="5"/>
    </row>
    <row r="249" spans="1:25" ht="15.75" x14ac:dyDescent="0.25">
      <c r="A249" s="285"/>
      <c r="B249" s="286"/>
      <c r="C249" s="286"/>
      <c r="D249" s="286"/>
      <c r="E249" s="286"/>
      <c r="F249" s="286"/>
      <c r="G249" s="286"/>
      <c r="H249" s="381"/>
      <c r="I249" s="381"/>
      <c r="J249" s="381"/>
      <c r="K249" s="381"/>
      <c r="L249" s="381"/>
      <c r="M249" s="381"/>
      <c r="N249" s="381"/>
      <c r="O249" s="381"/>
      <c r="P249" s="381"/>
      <c r="Q249" s="381"/>
      <c r="R249" s="337">
        <f>SUM(R240:R248)</f>
        <v>5558</v>
      </c>
      <c r="S249" s="379">
        <f>SUM(S240:S248)</f>
        <v>1</v>
      </c>
      <c r="T249" s="338">
        <f>SUM(T240:T248)</f>
        <v>784952</v>
      </c>
      <c r="U249" s="379">
        <f>SUM(U240:U248)</f>
        <v>1</v>
      </c>
      <c r="V249" s="286"/>
      <c r="W249" s="289"/>
      <c r="X249" s="5"/>
    </row>
    <row r="250" spans="1:25" ht="15.75" x14ac:dyDescent="0.25">
      <c r="A250" s="181"/>
      <c r="B250" s="212"/>
      <c r="C250" s="212"/>
      <c r="D250" s="212"/>
      <c r="E250" s="212"/>
      <c r="F250" s="212"/>
      <c r="G250" s="212"/>
      <c r="H250" s="375"/>
      <c r="I250" s="375"/>
      <c r="J250" s="375"/>
      <c r="K250" s="375"/>
      <c r="L250" s="375"/>
      <c r="M250" s="375"/>
      <c r="N250" s="375"/>
      <c r="O250" s="375"/>
      <c r="P250" s="375"/>
      <c r="Q250" s="375"/>
      <c r="R250" s="335"/>
      <c r="S250" s="376"/>
      <c r="T250" s="377"/>
      <c r="U250" s="376"/>
      <c r="V250" s="212"/>
      <c r="W250" s="212"/>
      <c r="X250" s="5"/>
    </row>
    <row r="251" spans="1:25" ht="15.75" x14ac:dyDescent="0.25">
      <c r="A251" s="224"/>
      <c r="B251" s="399" t="s">
        <v>162</v>
      </c>
      <c r="C251" s="400"/>
      <c r="D251" s="400"/>
      <c r="E251" s="400"/>
      <c r="F251" s="407"/>
      <c r="G251" s="400"/>
      <c r="H251" s="400"/>
      <c r="I251" s="400"/>
      <c r="J251" s="400"/>
      <c r="K251" s="400"/>
      <c r="L251" s="400"/>
      <c r="M251" s="400"/>
      <c r="N251" s="400"/>
      <c r="O251" s="400"/>
      <c r="P251" s="400"/>
      <c r="Q251" s="400"/>
      <c r="R251" s="407" t="s">
        <v>102</v>
      </c>
      <c r="S251" s="400" t="s">
        <v>103</v>
      </c>
      <c r="T251" s="407" t="s">
        <v>109</v>
      </c>
      <c r="U251" s="400" t="s">
        <v>103</v>
      </c>
      <c r="V251" s="225"/>
      <c r="W251" s="399"/>
      <c r="X251" s="5"/>
    </row>
    <row r="252" spans="1:25" ht="15.75" x14ac:dyDescent="0.25">
      <c r="A252" s="193"/>
      <c r="B252" s="249" t="s">
        <v>88</v>
      </c>
      <c r="C252" s="265"/>
      <c r="D252" s="265"/>
      <c r="E252" s="265"/>
      <c r="F252" s="250"/>
      <c r="G252" s="265"/>
      <c r="H252" s="265"/>
      <c r="I252" s="265"/>
      <c r="J252" s="265"/>
      <c r="K252" s="265"/>
      <c r="L252" s="265"/>
      <c r="M252" s="265"/>
      <c r="N252" s="265"/>
      <c r="O252" s="265"/>
      <c r="P252" s="265"/>
      <c r="Q252" s="265"/>
      <c r="R252" s="249">
        <v>5424</v>
      </c>
      <c r="S252" s="252">
        <f t="shared" ref="S252:S259" si="5">R252/$R$261</f>
        <v>0.99596033786265148</v>
      </c>
      <c r="T252" s="253">
        <v>766274</v>
      </c>
      <c r="U252" s="252">
        <f t="shared" ref="U252:U259" si="6">T252/$T$261</f>
        <v>0.99674547592536711</v>
      </c>
      <c r="V252" s="266"/>
      <c r="W252" s="408"/>
      <c r="X252" s="5"/>
    </row>
    <row r="253" spans="1:25" ht="15.75" x14ac:dyDescent="0.25">
      <c r="A253" s="285"/>
      <c r="B253" s="337" t="s">
        <v>89</v>
      </c>
      <c r="C253" s="378"/>
      <c r="D253" s="378"/>
      <c r="E253" s="378"/>
      <c r="F253" s="286"/>
      <c r="G253" s="379"/>
      <c r="H253" s="378"/>
      <c r="I253" s="378"/>
      <c r="J253" s="378"/>
      <c r="K253" s="378"/>
      <c r="L253" s="378"/>
      <c r="M253" s="378"/>
      <c r="N253" s="378"/>
      <c r="O253" s="378"/>
      <c r="P253" s="378"/>
      <c r="Q253" s="378"/>
      <c r="R253" s="337">
        <v>9</v>
      </c>
      <c r="S253" s="379">
        <f t="shared" si="5"/>
        <v>1.6525890561880279E-3</v>
      </c>
      <c r="T253" s="338">
        <v>1000</v>
      </c>
      <c r="U253" s="379">
        <f t="shared" si="6"/>
        <v>1.300769014641456E-3</v>
      </c>
      <c r="V253" s="361"/>
      <c r="W253" s="409"/>
      <c r="X253" s="5"/>
      <c r="Y253" s="109"/>
    </row>
    <row r="254" spans="1:25" ht="15.75" x14ac:dyDescent="0.25">
      <c r="A254" s="285"/>
      <c r="B254" s="337" t="s">
        <v>90</v>
      </c>
      <c r="C254" s="378"/>
      <c r="D254" s="378"/>
      <c r="E254" s="378"/>
      <c r="F254" s="286"/>
      <c r="G254" s="379"/>
      <c r="H254" s="378"/>
      <c r="I254" s="378"/>
      <c r="J254" s="378"/>
      <c r="K254" s="378"/>
      <c r="L254" s="378"/>
      <c r="M254" s="378"/>
      <c r="N254" s="378"/>
      <c r="O254" s="378"/>
      <c r="P254" s="378"/>
      <c r="Q254" s="378"/>
      <c r="R254" s="337">
        <v>1</v>
      </c>
      <c r="S254" s="379">
        <f t="shared" si="5"/>
        <v>1.836210062431142E-4</v>
      </c>
      <c r="T254" s="338">
        <v>108</v>
      </c>
      <c r="U254" s="379">
        <f t="shared" si="6"/>
        <v>1.4048305358127725E-4</v>
      </c>
      <c r="V254" s="361"/>
      <c r="W254" s="409"/>
      <c r="X254" s="5"/>
    </row>
    <row r="255" spans="1:25" ht="15.75" x14ac:dyDescent="0.25">
      <c r="A255" s="285"/>
      <c r="B255" s="337" t="s">
        <v>156</v>
      </c>
      <c r="C255" s="378"/>
      <c r="D255" s="378"/>
      <c r="E255" s="378"/>
      <c r="F255" s="286"/>
      <c r="G255" s="379"/>
      <c r="H255" s="378"/>
      <c r="I255" s="378"/>
      <c r="J255" s="378"/>
      <c r="K255" s="378"/>
      <c r="L255" s="378"/>
      <c r="M255" s="378"/>
      <c r="N255" s="378"/>
      <c r="O255" s="378"/>
      <c r="P255" s="378"/>
      <c r="Q255" s="378"/>
      <c r="R255" s="337">
        <v>0</v>
      </c>
      <c r="S255" s="379">
        <f t="shared" si="5"/>
        <v>0</v>
      </c>
      <c r="T255" s="338">
        <v>0</v>
      </c>
      <c r="U255" s="379">
        <f t="shared" si="6"/>
        <v>0</v>
      </c>
      <c r="V255" s="361"/>
      <c r="W255" s="409"/>
      <c r="X255" s="5"/>
      <c r="Y255" s="109"/>
    </row>
    <row r="256" spans="1:25" ht="15.75" x14ac:dyDescent="0.25">
      <c r="A256" s="285"/>
      <c r="B256" s="337" t="s">
        <v>157</v>
      </c>
      <c r="C256" s="378"/>
      <c r="D256" s="378"/>
      <c r="E256" s="378"/>
      <c r="F256" s="286"/>
      <c r="G256" s="379"/>
      <c r="H256" s="378"/>
      <c r="I256" s="378"/>
      <c r="J256" s="378"/>
      <c r="K256" s="378"/>
      <c r="L256" s="378"/>
      <c r="M256" s="378"/>
      <c r="N256" s="378"/>
      <c r="O256" s="378"/>
      <c r="P256" s="378"/>
      <c r="Q256" s="378"/>
      <c r="R256" s="337">
        <v>0</v>
      </c>
      <c r="S256" s="379">
        <f t="shared" si="5"/>
        <v>0</v>
      </c>
      <c r="T256" s="338">
        <v>0</v>
      </c>
      <c r="U256" s="379">
        <f t="shared" si="6"/>
        <v>0</v>
      </c>
      <c r="V256" s="361"/>
      <c r="W256" s="409"/>
      <c r="X256" s="5"/>
    </row>
    <row r="257" spans="1:25" ht="15.75" x14ac:dyDescent="0.25">
      <c r="A257" s="285"/>
      <c r="B257" s="337" t="s">
        <v>158</v>
      </c>
      <c r="C257" s="378"/>
      <c r="D257" s="378"/>
      <c r="E257" s="378"/>
      <c r="F257" s="286"/>
      <c r="G257" s="379"/>
      <c r="H257" s="378"/>
      <c r="I257" s="378"/>
      <c r="J257" s="378"/>
      <c r="K257" s="378"/>
      <c r="L257" s="378"/>
      <c r="M257" s="378"/>
      <c r="N257" s="378"/>
      <c r="O257" s="378"/>
      <c r="P257" s="378"/>
      <c r="Q257" s="378"/>
      <c r="R257" s="337">
        <v>2</v>
      </c>
      <c r="S257" s="379">
        <f t="shared" si="5"/>
        <v>3.6724201248622841E-4</v>
      </c>
      <c r="T257" s="338">
        <v>278</v>
      </c>
      <c r="U257" s="379">
        <f t="shared" si="6"/>
        <v>3.6161378607032477E-4</v>
      </c>
      <c r="V257" s="361"/>
      <c r="W257" s="409"/>
      <c r="X257" s="5"/>
      <c r="Y257" s="109"/>
    </row>
    <row r="258" spans="1:25" ht="15.75" x14ac:dyDescent="0.25">
      <c r="A258" s="285"/>
      <c r="B258" s="337" t="s">
        <v>159</v>
      </c>
      <c r="C258" s="378"/>
      <c r="D258" s="378"/>
      <c r="E258" s="378"/>
      <c r="F258" s="286"/>
      <c r="G258" s="379"/>
      <c r="H258" s="378"/>
      <c r="I258" s="378"/>
      <c r="J258" s="378"/>
      <c r="K258" s="378"/>
      <c r="L258" s="378"/>
      <c r="M258" s="378"/>
      <c r="N258" s="378"/>
      <c r="O258" s="378"/>
      <c r="P258" s="378"/>
      <c r="Q258" s="378"/>
      <c r="R258" s="337">
        <v>7</v>
      </c>
      <c r="S258" s="379">
        <f t="shared" si="5"/>
        <v>1.2853470437017994E-3</v>
      </c>
      <c r="T258" s="338">
        <v>594</v>
      </c>
      <c r="U258" s="379">
        <f t="shared" si="6"/>
        <v>7.7265679469702491E-4</v>
      </c>
      <c r="V258" s="361"/>
      <c r="W258" s="409"/>
      <c r="X258" s="5"/>
    </row>
    <row r="259" spans="1:25" ht="15.75" x14ac:dyDescent="0.25">
      <c r="A259" s="285"/>
      <c r="B259" s="337" t="s">
        <v>160</v>
      </c>
      <c r="C259" s="378"/>
      <c r="D259" s="378"/>
      <c r="E259" s="378"/>
      <c r="F259" s="286"/>
      <c r="G259" s="379"/>
      <c r="H259" s="378"/>
      <c r="I259" s="378"/>
      <c r="J259" s="378"/>
      <c r="K259" s="378"/>
      <c r="L259" s="378"/>
      <c r="M259" s="378"/>
      <c r="N259" s="378"/>
      <c r="O259" s="378"/>
      <c r="P259" s="378"/>
      <c r="Q259" s="378"/>
      <c r="R259" s="337">
        <v>3</v>
      </c>
      <c r="S259" s="379">
        <f t="shared" si="5"/>
        <v>5.5086301872934269E-4</v>
      </c>
      <c r="T259" s="338">
        <v>522</v>
      </c>
      <c r="U259" s="379">
        <f t="shared" si="6"/>
        <v>6.7900142564284002E-4</v>
      </c>
      <c r="V259" s="361"/>
      <c r="W259" s="409"/>
      <c r="X259" s="5"/>
      <c r="Y259" s="109"/>
    </row>
    <row r="260" spans="1:25" ht="15.75" x14ac:dyDescent="0.25">
      <c r="A260" s="285"/>
      <c r="B260" s="337"/>
      <c r="C260" s="378"/>
      <c r="D260" s="378"/>
      <c r="E260" s="378"/>
      <c r="F260" s="286"/>
      <c r="G260" s="379"/>
      <c r="H260" s="378"/>
      <c r="I260" s="378"/>
      <c r="J260" s="378"/>
      <c r="K260" s="378"/>
      <c r="L260" s="378"/>
      <c r="M260" s="378"/>
      <c r="N260" s="378"/>
      <c r="O260" s="378"/>
      <c r="P260" s="378"/>
      <c r="Q260" s="378"/>
      <c r="R260" s="337"/>
      <c r="S260" s="379"/>
      <c r="T260" s="338"/>
      <c r="U260" s="379"/>
      <c r="V260" s="361"/>
      <c r="W260" s="409"/>
      <c r="X260" s="5"/>
    </row>
    <row r="261" spans="1:25" ht="15.75" x14ac:dyDescent="0.25">
      <c r="A261" s="285"/>
      <c r="B261" s="286"/>
      <c r="C261" s="286"/>
      <c r="D261" s="286"/>
      <c r="E261" s="286"/>
      <c r="F261" s="286"/>
      <c r="G261" s="286"/>
      <c r="H261" s="381"/>
      <c r="I261" s="381"/>
      <c r="J261" s="381"/>
      <c r="K261" s="381"/>
      <c r="L261" s="381"/>
      <c r="M261" s="381"/>
      <c r="N261" s="381"/>
      <c r="O261" s="381"/>
      <c r="P261" s="381"/>
      <c r="Q261" s="381"/>
      <c r="R261" s="337">
        <f>SUM(R252:R260)</f>
        <v>5446</v>
      </c>
      <c r="S261" s="379">
        <f>SUM(S252:S260)</f>
        <v>1</v>
      </c>
      <c r="T261" s="338">
        <f>SUM(T252:T260)</f>
        <v>768776</v>
      </c>
      <c r="U261" s="379">
        <f>SUM(U252:U260)</f>
        <v>1.0000000000000002</v>
      </c>
      <c r="V261" s="286"/>
      <c r="W261" s="289"/>
      <c r="X261" s="5"/>
    </row>
    <row r="262" spans="1:25" ht="15.75" x14ac:dyDescent="0.25">
      <c r="A262" s="181"/>
      <c r="B262" s="212"/>
      <c r="C262" s="212"/>
      <c r="D262" s="212"/>
      <c r="E262" s="212"/>
      <c r="F262" s="212"/>
      <c r="G262" s="212"/>
      <c r="H262" s="375"/>
      <c r="I262" s="375"/>
      <c r="J262" s="375"/>
      <c r="K262" s="375"/>
      <c r="L262" s="375"/>
      <c r="M262" s="375"/>
      <c r="N262" s="375"/>
      <c r="O262" s="375"/>
      <c r="P262" s="375"/>
      <c r="Q262" s="375"/>
      <c r="R262" s="335"/>
      <c r="S262" s="376"/>
      <c r="T262" s="377"/>
      <c r="U262" s="376"/>
      <c r="V262" s="212"/>
      <c r="W262" s="212"/>
      <c r="X262" s="5"/>
    </row>
    <row r="263" spans="1:25" ht="15.75" x14ac:dyDescent="0.25">
      <c r="A263" s="244"/>
      <c r="B263" s="399" t="s">
        <v>236</v>
      </c>
      <c r="C263" s="400"/>
      <c r="D263" s="400"/>
      <c r="E263" s="400"/>
      <c r="F263" s="407"/>
      <c r="G263" s="400"/>
      <c r="H263" s="400"/>
      <c r="I263" s="400"/>
      <c r="J263" s="400"/>
      <c r="K263" s="400"/>
      <c r="L263" s="400"/>
      <c r="M263" s="400"/>
      <c r="N263" s="400"/>
      <c r="O263" s="400"/>
      <c r="P263" s="400"/>
      <c r="Q263" s="400"/>
      <c r="R263" s="407" t="s">
        <v>102</v>
      </c>
      <c r="S263" s="400" t="s">
        <v>103</v>
      </c>
      <c r="T263" s="407" t="s">
        <v>109</v>
      </c>
      <c r="U263" s="400" t="s">
        <v>103</v>
      </c>
      <c r="V263" s="245"/>
      <c r="W263" s="246"/>
      <c r="X263" s="5"/>
    </row>
    <row r="264" spans="1:25" ht="15.75" x14ac:dyDescent="0.25">
      <c r="A264" s="193"/>
      <c r="B264" s="249" t="s">
        <v>88</v>
      </c>
      <c r="C264" s="265"/>
      <c r="D264" s="265"/>
      <c r="E264" s="265"/>
      <c r="F264" s="250"/>
      <c r="G264" s="265"/>
      <c r="H264" s="265"/>
      <c r="I264" s="265"/>
      <c r="J264" s="265"/>
      <c r="K264" s="265"/>
      <c r="L264" s="265"/>
      <c r="M264" s="265"/>
      <c r="N264" s="265"/>
      <c r="O264" s="265"/>
      <c r="P264" s="265"/>
      <c r="Q264" s="265"/>
      <c r="R264" s="249">
        <v>98</v>
      </c>
      <c r="S264" s="252">
        <f t="shared" ref="S264:S270" si="7">R264/$R$273</f>
        <v>0.875</v>
      </c>
      <c r="T264" s="253">
        <v>14128</v>
      </c>
      <c r="U264" s="252">
        <f t="shared" ref="U264:U271" si="8">T264/$T$273</f>
        <v>0.87339268051434227</v>
      </c>
      <c r="V264" s="250"/>
      <c r="W264" s="250"/>
      <c r="X264" s="5"/>
    </row>
    <row r="265" spans="1:25" ht="15.75" x14ac:dyDescent="0.25">
      <c r="A265" s="285"/>
      <c r="B265" s="337" t="s">
        <v>89</v>
      </c>
      <c r="C265" s="378"/>
      <c r="D265" s="378"/>
      <c r="E265" s="378"/>
      <c r="F265" s="286"/>
      <c r="G265" s="379"/>
      <c r="H265" s="378"/>
      <c r="I265" s="378"/>
      <c r="J265" s="378"/>
      <c r="K265" s="378"/>
      <c r="L265" s="378"/>
      <c r="M265" s="378"/>
      <c r="N265" s="378"/>
      <c r="O265" s="378"/>
      <c r="P265" s="378"/>
      <c r="Q265" s="378"/>
      <c r="R265" s="337">
        <v>2</v>
      </c>
      <c r="S265" s="379">
        <f t="shared" si="7"/>
        <v>1.7857142857142856E-2</v>
      </c>
      <c r="T265" s="338">
        <v>103</v>
      </c>
      <c r="U265" s="379">
        <f t="shared" si="8"/>
        <v>6.3674579624134519E-3</v>
      </c>
      <c r="V265" s="286"/>
      <c r="W265" s="289"/>
      <c r="X265" s="5"/>
    </row>
    <row r="266" spans="1:25" ht="15.75" x14ac:dyDescent="0.25">
      <c r="A266" s="285"/>
      <c r="B266" s="337" t="s">
        <v>90</v>
      </c>
      <c r="C266" s="378"/>
      <c r="D266" s="378"/>
      <c r="E266" s="378"/>
      <c r="F266" s="286"/>
      <c r="G266" s="379"/>
      <c r="H266" s="378"/>
      <c r="I266" s="378"/>
      <c r="J266" s="378"/>
      <c r="K266" s="378"/>
      <c r="L266" s="378"/>
      <c r="M266" s="378"/>
      <c r="N266" s="378"/>
      <c r="O266" s="378"/>
      <c r="P266" s="378"/>
      <c r="Q266" s="378"/>
      <c r="R266" s="337">
        <v>2</v>
      </c>
      <c r="S266" s="379">
        <f t="shared" si="7"/>
        <v>1.7857142857142856E-2</v>
      </c>
      <c r="T266" s="338">
        <v>463</v>
      </c>
      <c r="U266" s="379">
        <f t="shared" si="8"/>
        <v>2.8622650840751732E-2</v>
      </c>
      <c r="V266" s="286"/>
      <c r="W266" s="289"/>
      <c r="X266" s="5"/>
    </row>
    <row r="267" spans="1:25" ht="15.75" x14ac:dyDescent="0.25">
      <c r="A267" s="285"/>
      <c r="B267" s="337" t="s">
        <v>156</v>
      </c>
      <c r="C267" s="378"/>
      <c r="D267" s="378"/>
      <c r="E267" s="378"/>
      <c r="F267" s="286"/>
      <c r="G267" s="379"/>
      <c r="H267" s="378"/>
      <c r="I267" s="378"/>
      <c r="J267" s="378"/>
      <c r="K267" s="378"/>
      <c r="L267" s="378"/>
      <c r="M267" s="378"/>
      <c r="N267" s="378"/>
      <c r="O267" s="378"/>
      <c r="P267" s="378"/>
      <c r="Q267" s="378"/>
      <c r="R267" s="337">
        <v>1</v>
      </c>
      <c r="S267" s="379">
        <f t="shared" si="7"/>
        <v>8.9285714285714281E-3</v>
      </c>
      <c r="T267" s="338">
        <v>148</v>
      </c>
      <c r="U267" s="379">
        <f t="shared" si="8"/>
        <v>9.1493570722057365E-3</v>
      </c>
      <c r="V267" s="286"/>
      <c r="W267" s="289"/>
      <c r="X267" s="5"/>
    </row>
    <row r="268" spans="1:25" ht="15.75" x14ac:dyDescent="0.25">
      <c r="A268" s="285"/>
      <c r="B268" s="337" t="s">
        <v>157</v>
      </c>
      <c r="C268" s="378"/>
      <c r="D268" s="378"/>
      <c r="E268" s="378"/>
      <c r="F268" s="286"/>
      <c r="G268" s="379"/>
      <c r="H268" s="378"/>
      <c r="I268" s="378"/>
      <c r="J268" s="378"/>
      <c r="K268" s="378"/>
      <c r="L268" s="378"/>
      <c r="M268" s="378"/>
      <c r="N268" s="378"/>
      <c r="O268" s="378"/>
      <c r="P268" s="378"/>
      <c r="Q268" s="378"/>
      <c r="R268" s="337">
        <v>1</v>
      </c>
      <c r="S268" s="379">
        <f t="shared" si="7"/>
        <v>8.9285714285714281E-3</v>
      </c>
      <c r="T268" s="338">
        <v>169</v>
      </c>
      <c r="U268" s="379">
        <f t="shared" si="8"/>
        <v>1.0447576656775469E-2</v>
      </c>
      <c r="V268" s="286"/>
      <c r="W268" s="289"/>
      <c r="X268" s="5"/>
    </row>
    <row r="269" spans="1:25" ht="15.75" x14ac:dyDescent="0.25">
      <c r="A269" s="285"/>
      <c r="B269" s="337" t="s">
        <v>158</v>
      </c>
      <c r="C269" s="378"/>
      <c r="D269" s="378"/>
      <c r="E269" s="378"/>
      <c r="F269" s="286"/>
      <c r="G269" s="379"/>
      <c r="H269" s="378"/>
      <c r="I269" s="378"/>
      <c r="J269" s="378"/>
      <c r="K269" s="378"/>
      <c r="L269" s="378"/>
      <c r="M269" s="378"/>
      <c r="N269" s="378"/>
      <c r="O269" s="378"/>
      <c r="P269" s="378"/>
      <c r="Q269" s="378"/>
      <c r="R269" s="337">
        <v>0</v>
      </c>
      <c r="S269" s="379">
        <f t="shared" si="7"/>
        <v>0</v>
      </c>
      <c r="T269" s="338">
        <v>0</v>
      </c>
      <c r="U269" s="379">
        <f t="shared" si="8"/>
        <v>0</v>
      </c>
      <c r="V269" s="286"/>
      <c r="W269" s="289"/>
      <c r="X269" s="5"/>
    </row>
    <row r="270" spans="1:25" ht="15.75" x14ac:dyDescent="0.25">
      <c r="A270" s="285"/>
      <c r="B270" s="337" t="s">
        <v>159</v>
      </c>
      <c r="C270" s="378"/>
      <c r="D270" s="378"/>
      <c r="E270" s="378"/>
      <c r="F270" s="286"/>
      <c r="G270" s="379"/>
      <c r="H270" s="378"/>
      <c r="I270" s="378"/>
      <c r="J270" s="378"/>
      <c r="K270" s="378"/>
      <c r="L270" s="378"/>
      <c r="M270" s="378"/>
      <c r="N270" s="378"/>
      <c r="O270" s="378"/>
      <c r="P270" s="378"/>
      <c r="Q270" s="378"/>
      <c r="R270" s="337">
        <v>1</v>
      </c>
      <c r="S270" s="379">
        <f t="shared" si="7"/>
        <v>8.9285714285714281E-3</v>
      </c>
      <c r="T270" s="338">
        <v>75</v>
      </c>
      <c r="U270" s="379">
        <f t="shared" si="8"/>
        <v>4.6364985163204744E-3</v>
      </c>
      <c r="V270" s="286"/>
      <c r="W270" s="289"/>
      <c r="X270" s="5"/>
    </row>
    <row r="271" spans="1:25" ht="15.75" x14ac:dyDescent="0.25">
      <c r="A271" s="285"/>
      <c r="B271" s="337" t="s">
        <v>160</v>
      </c>
      <c r="C271" s="378"/>
      <c r="D271" s="378"/>
      <c r="E271" s="378"/>
      <c r="F271" s="286"/>
      <c r="G271" s="379"/>
      <c r="H271" s="378"/>
      <c r="I271" s="378"/>
      <c r="J271" s="378"/>
      <c r="K271" s="378"/>
      <c r="L271" s="378"/>
      <c r="M271" s="378"/>
      <c r="N271" s="378"/>
      <c r="O271" s="378"/>
      <c r="P271" s="378"/>
      <c r="Q271" s="378"/>
      <c r="R271" s="337">
        <v>7</v>
      </c>
      <c r="S271" s="379">
        <f>R271/$R$273</f>
        <v>6.25E-2</v>
      </c>
      <c r="T271" s="338">
        <v>1090</v>
      </c>
      <c r="U271" s="379">
        <f t="shared" si="8"/>
        <v>6.73837784371909E-2</v>
      </c>
      <c r="V271" s="286"/>
      <c r="W271" s="289"/>
      <c r="X271" s="5"/>
    </row>
    <row r="272" spans="1:25" ht="15.75" x14ac:dyDescent="0.25">
      <c r="A272" s="285"/>
      <c r="B272" s="337"/>
      <c r="C272" s="378"/>
      <c r="D272" s="378"/>
      <c r="E272" s="378"/>
      <c r="F272" s="286"/>
      <c r="G272" s="379"/>
      <c r="H272" s="378"/>
      <c r="I272" s="378"/>
      <c r="J272" s="378"/>
      <c r="K272" s="378"/>
      <c r="L272" s="378"/>
      <c r="M272" s="378"/>
      <c r="N272" s="378"/>
      <c r="O272" s="378"/>
      <c r="P272" s="378"/>
      <c r="Q272" s="378"/>
      <c r="R272" s="337"/>
      <c r="S272" s="379"/>
      <c r="T272" s="338"/>
      <c r="U272" s="379"/>
      <c r="V272" s="286"/>
      <c r="W272" s="289"/>
      <c r="X272" s="5"/>
    </row>
    <row r="273" spans="1:24" ht="15.75" x14ac:dyDescent="0.25">
      <c r="A273" s="285"/>
      <c r="B273" s="286"/>
      <c r="C273" s="286"/>
      <c r="D273" s="286"/>
      <c r="E273" s="286"/>
      <c r="F273" s="286"/>
      <c r="G273" s="286"/>
      <c r="H273" s="381"/>
      <c r="I273" s="381"/>
      <c r="J273" s="381"/>
      <c r="K273" s="381"/>
      <c r="L273" s="381"/>
      <c r="M273" s="381"/>
      <c r="N273" s="381"/>
      <c r="O273" s="381"/>
      <c r="P273" s="381"/>
      <c r="Q273" s="381"/>
      <c r="R273" s="337">
        <f>SUM(R264:R272)</f>
        <v>112</v>
      </c>
      <c r="S273" s="379">
        <f>SUM(S264:S272)</f>
        <v>1</v>
      </c>
      <c r="T273" s="338">
        <f>SUM(T264:T272)</f>
        <v>16176</v>
      </c>
      <c r="U273" s="379">
        <f>SUM(U264:U272)</f>
        <v>1</v>
      </c>
      <c r="V273" s="286"/>
      <c r="W273" s="289"/>
      <c r="X273" s="5"/>
    </row>
    <row r="274" spans="1:24" ht="15.75" x14ac:dyDescent="0.25">
      <c r="A274" s="181"/>
      <c r="B274" s="212"/>
      <c r="C274" s="212"/>
      <c r="D274" s="212"/>
      <c r="E274" s="212"/>
      <c r="F274" s="212"/>
      <c r="G274" s="212"/>
      <c r="H274" s="375"/>
      <c r="I274" s="375"/>
      <c r="J274" s="375"/>
      <c r="K274" s="375"/>
      <c r="L274" s="375"/>
      <c r="M274" s="375"/>
      <c r="N274" s="375"/>
      <c r="O274" s="375"/>
      <c r="P274" s="375"/>
      <c r="Q274" s="375"/>
      <c r="R274" s="335"/>
      <c r="S274" s="376"/>
      <c r="T274" s="377"/>
      <c r="U274" s="376"/>
      <c r="V274" s="212"/>
      <c r="W274" s="212"/>
      <c r="X274" s="5"/>
    </row>
    <row r="275" spans="1:24" ht="15.75" x14ac:dyDescent="0.25">
      <c r="A275" s="244"/>
      <c r="B275" s="399" t="s">
        <v>163</v>
      </c>
      <c r="C275" s="245"/>
      <c r="D275" s="245"/>
      <c r="E275" s="245"/>
      <c r="F275" s="245"/>
      <c r="G275" s="245"/>
      <c r="H275" s="247"/>
      <c r="I275" s="247"/>
      <c r="J275" s="247"/>
      <c r="K275" s="247"/>
      <c r="L275" s="247"/>
      <c r="M275" s="247"/>
      <c r="N275" s="247"/>
      <c r="O275" s="247"/>
      <c r="P275" s="247"/>
      <c r="Q275" s="247"/>
      <c r="R275" s="407" t="s">
        <v>102</v>
      </c>
      <c r="S275" s="400" t="s">
        <v>103</v>
      </c>
      <c r="T275" s="407" t="s">
        <v>109</v>
      </c>
      <c r="U275" s="400" t="s">
        <v>103</v>
      </c>
      <c r="V275" s="245"/>
      <c r="W275" s="246"/>
      <c r="X275" s="5"/>
    </row>
    <row r="276" spans="1:24" ht="15.75" x14ac:dyDescent="0.25">
      <c r="A276" s="248"/>
      <c r="B276" s="249" t="s">
        <v>88</v>
      </c>
      <c r="C276" s="250"/>
      <c r="D276" s="250"/>
      <c r="E276" s="250"/>
      <c r="F276" s="250"/>
      <c r="G276" s="250"/>
      <c r="H276" s="251"/>
      <c r="I276" s="251"/>
      <c r="J276" s="251"/>
      <c r="K276" s="251"/>
      <c r="L276" s="251"/>
      <c r="M276" s="251"/>
      <c r="N276" s="251"/>
      <c r="O276" s="251"/>
      <c r="P276" s="251"/>
      <c r="Q276" s="251"/>
      <c r="R276" s="249">
        <v>0</v>
      </c>
      <c r="S276" s="252">
        <v>0</v>
      </c>
      <c r="T276" s="253">
        <v>0</v>
      </c>
      <c r="U276" s="252">
        <v>0</v>
      </c>
      <c r="V276" s="250"/>
      <c r="W276" s="250"/>
      <c r="X276" s="5"/>
    </row>
    <row r="277" spans="1:24" ht="15.75" x14ac:dyDescent="0.25">
      <c r="A277" s="295"/>
      <c r="B277" s="337" t="s">
        <v>89</v>
      </c>
      <c r="C277" s="286"/>
      <c r="D277" s="286"/>
      <c r="E277" s="286"/>
      <c r="F277" s="286"/>
      <c r="G277" s="286"/>
      <c r="H277" s="381"/>
      <c r="I277" s="381"/>
      <c r="J277" s="381"/>
      <c r="K277" s="381"/>
      <c r="L277" s="381"/>
      <c r="M277" s="381"/>
      <c r="N277" s="381"/>
      <c r="O277" s="381"/>
      <c r="P277" s="381"/>
      <c r="Q277" s="381"/>
      <c r="R277" s="337">
        <v>0</v>
      </c>
      <c r="S277" s="379">
        <v>0</v>
      </c>
      <c r="T277" s="338">
        <v>0</v>
      </c>
      <c r="U277" s="379">
        <v>0</v>
      </c>
      <c r="V277" s="286"/>
      <c r="W277" s="289"/>
      <c r="X277" s="5"/>
    </row>
    <row r="278" spans="1:24" ht="15.75" x14ac:dyDescent="0.25">
      <c r="A278" s="295"/>
      <c r="B278" s="337" t="s">
        <v>90</v>
      </c>
      <c r="C278" s="286"/>
      <c r="D278" s="286"/>
      <c r="E278" s="286"/>
      <c r="F278" s="286"/>
      <c r="G278" s="286"/>
      <c r="H278" s="381"/>
      <c r="I278" s="381"/>
      <c r="J278" s="381"/>
      <c r="K278" s="381"/>
      <c r="L278" s="381"/>
      <c r="M278" s="381"/>
      <c r="N278" s="381"/>
      <c r="O278" s="381"/>
      <c r="P278" s="381"/>
      <c r="Q278" s="381"/>
      <c r="R278" s="337">
        <v>0</v>
      </c>
      <c r="S278" s="379">
        <v>0</v>
      </c>
      <c r="T278" s="338">
        <v>0</v>
      </c>
      <c r="U278" s="379">
        <v>0</v>
      </c>
      <c r="V278" s="286"/>
      <c r="W278" s="289"/>
      <c r="X278" s="5"/>
    </row>
    <row r="279" spans="1:24" ht="15.75" x14ac:dyDescent="0.25">
      <c r="A279" s="295"/>
      <c r="B279" s="337" t="s">
        <v>156</v>
      </c>
      <c r="C279" s="286"/>
      <c r="D279" s="286"/>
      <c r="E279" s="286"/>
      <c r="F279" s="286"/>
      <c r="G279" s="286"/>
      <c r="H279" s="381"/>
      <c r="I279" s="381"/>
      <c r="J279" s="381"/>
      <c r="K279" s="381"/>
      <c r="L279" s="381"/>
      <c r="M279" s="381"/>
      <c r="N279" s="381"/>
      <c r="O279" s="381"/>
      <c r="P279" s="381"/>
      <c r="Q279" s="381"/>
      <c r="R279" s="337">
        <v>0</v>
      </c>
      <c r="S279" s="379">
        <v>0</v>
      </c>
      <c r="T279" s="338">
        <v>0</v>
      </c>
      <c r="U279" s="379">
        <v>0</v>
      </c>
      <c r="V279" s="286"/>
      <c r="W279" s="289"/>
      <c r="X279" s="5"/>
    </row>
    <row r="280" spans="1:24" ht="15.75" x14ac:dyDescent="0.25">
      <c r="A280" s="295"/>
      <c r="B280" s="337" t="s">
        <v>157</v>
      </c>
      <c r="C280" s="286"/>
      <c r="D280" s="286"/>
      <c r="E280" s="286"/>
      <c r="F280" s="286"/>
      <c r="G280" s="286"/>
      <c r="H280" s="381"/>
      <c r="I280" s="381"/>
      <c r="J280" s="381"/>
      <c r="K280" s="381"/>
      <c r="L280" s="381"/>
      <c r="M280" s="381"/>
      <c r="N280" s="381"/>
      <c r="O280" s="381"/>
      <c r="P280" s="381"/>
      <c r="Q280" s="381"/>
      <c r="R280" s="337">
        <v>0</v>
      </c>
      <c r="S280" s="379">
        <v>0</v>
      </c>
      <c r="T280" s="338">
        <v>0</v>
      </c>
      <c r="U280" s="379">
        <v>0</v>
      </c>
      <c r="V280" s="286"/>
      <c r="W280" s="289"/>
      <c r="X280" s="5"/>
    </row>
    <row r="281" spans="1:24" ht="15.75" x14ac:dyDescent="0.25">
      <c r="A281" s="295"/>
      <c r="B281" s="337" t="s">
        <v>158</v>
      </c>
      <c r="C281" s="286"/>
      <c r="D281" s="286"/>
      <c r="E281" s="286"/>
      <c r="F281" s="286"/>
      <c r="G281" s="286"/>
      <c r="H281" s="381"/>
      <c r="I281" s="381"/>
      <c r="J281" s="381"/>
      <c r="K281" s="381"/>
      <c r="L281" s="381"/>
      <c r="M281" s="381"/>
      <c r="N281" s="381"/>
      <c r="O281" s="381"/>
      <c r="P281" s="381"/>
      <c r="Q281" s="381"/>
      <c r="R281" s="337">
        <v>0</v>
      </c>
      <c r="S281" s="379">
        <v>0</v>
      </c>
      <c r="T281" s="338">
        <v>0</v>
      </c>
      <c r="U281" s="379">
        <v>0</v>
      </c>
      <c r="V281" s="286"/>
      <c r="W281" s="289"/>
      <c r="X281" s="5"/>
    </row>
    <row r="282" spans="1:24" ht="15.75" x14ac:dyDescent="0.25">
      <c r="A282" s="295"/>
      <c r="B282" s="337" t="s">
        <v>159</v>
      </c>
      <c r="C282" s="286"/>
      <c r="D282" s="286"/>
      <c r="E282" s="286"/>
      <c r="F282" s="286"/>
      <c r="G282" s="286"/>
      <c r="H282" s="381"/>
      <c r="I282" s="381"/>
      <c r="J282" s="381"/>
      <c r="K282" s="381"/>
      <c r="L282" s="381"/>
      <c r="M282" s="381"/>
      <c r="N282" s="381"/>
      <c r="O282" s="381"/>
      <c r="P282" s="381"/>
      <c r="Q282" s="381"/>
      <c r="R282" s="337">
        <v>0</v>
      </c>
      <c r="S282" s="379">
        <v>0</v>
      </c>
      <c r="T282" s="338">
        <v>0</v>
      </c>
      <c r="U282" s="379">
        <v>0</v>
      </c>
      <c r="V282" s="286"/>
      <c r="W282" s="289"/>
      <c r="X282" s="5"/>
    </row>
    <row r="283" spans="1:24" ht="15.75" x14ac:dyDescent="0.25">
      <c r="A283" s="295"/>
      <c r="B283" s="337" t="s">
        <v>160</v>
      </c>
      <c r="C283" s="286"/>
      <c r="D283" s="286"/>
      <c r="E283" s="286"/>
      <c r="F283" s="286"/>
      <c r="G283" s="286"/>
      <c r="H283" s="381"/>
      <c r="I283" s="381"/>
      <c r="J283" s="381"/>
      <c r="K283" s="381"/>
      <c r="L283" s="381"/>
      <c r="M283" s="381"/>
      <c r="N283" s="381"/>
      <c r="O283" s="381"/>
      <c r="P283" s="381"/>
      <c r="Q283" s="381"/>
      <c r="R283" s="337">
        <v>0</v>
      </c>
      <c r="S283" s="379">
        <v>0</v>
      </c>
      <c r="T283" s="338">
        <v>0</v>
      </c>
      <c r="U283" s="379">
        <v>0</v>
      </c>
      <c r="V283" s="286"/>
      <c r="W283" s="289"/>
      <c r="X283" s="5"/>
    </row>
    <row r="284" spans="1:24" ht="15.75" x14ac:dyDescent="0.25">
      <c r="A284" s="295"/>
      <c r="B284" s="337"/>
      <c r="C284" s="286"/>
      <c r="D284" s="286"/>
      <c r="E284" s="286"/>
      <c r="F284" s="286"/>
      <c r="G284" s="286"/>
      <c r="H284" s="381"/>
      <c r="I284" s="381"/>
      <c r="J284" s="381"/>
      <c r="K284" s="381"/>
      <c r="L284" s="381"/>
      <c r="M284" s="381"/>
      <c r="N284" s="381"/>
      <c r="O284" s="381"/>
      <c r="P284" s="381"/>
      <c r="Q284" s="381"/>
      <c r="R284" s="337"/>
      <c r="S284" s="379"/>
      <c r="T284" s="338"/>
      <c r="U284" s="379"/>
      <c r="V284" s="286"/>
      <c r="W284" s="289"/>
      <c r="X284" s="5"/>
    </row>
    <row r="285" spans="1:24" ht="15.75" x14ac:dyDescent="0.25">
      <c r="A285" s="295"/>
      <c r="B285" s="286" t="s">
        <v>114</v>
      </c>
      <c r="C285" s="286"/>
      <c r="D285" s="286"/>
      <c r="E285" s="286"/>
      <c r="F285" s="286"/>
      <c r="G285" s="286"/>
      <c r="H285" s="381"/>
      <c r="I285" s="381"/>
      <c r="J285" s="381"/>
      <c r="K285" s="381"/>
      <c r="L285" s="381"/>
      <c r="M285" s="381"/>
      <c r="N285" s="381"/>
      <c r="O285" s="381"/>
      <c r="P285" s="381"/>
      <c r="Q285" s="381"/>
      <c r="R285" s="337">
        <f>SUM(R276:R283)</f>
        <v>0</v>
      </c>
      <c r="S285" s="379">
        <f>SUM(S276:S283)</f>
        <v>0</v>
      </c>
      <c r="T285" s="338">
        <f>SUM(T276:T283)</f>
        <v>0</v>
      </c>
      <c r="U285" s="379">
        <f>SUM(U276:U283)</f>
        <v>0</v>
      </c>
      <c r="V285" s="286"/>
      <c r="W285" s="289"/>
      <c r="X285" s="5"/>
    </row>
    <row r="286" spans="1:24" ht="15.75" x14ac:dyDescent="0.25">
      <c r="A286" s="295"/>
      <c r="B286" s="286"/>
      <c r="C286" s="286"/>
      <c r="D286" s="286"/>
      <c r="E286" s="286"/>
      <c r="F286" s="286"/>
      <c r="G286" s="286"/>
      <c r="H286" s="381"/>
      <c r="I286" s="381"/>
      <c r="J286" s="381"/>
      <c r="K286" s="381"/>
      <c r="L286" s="381"/>
      <c r="M286" s="381"/>
      <c r="N286" s="381"/>
      <c r="O286" s="381"/>
      <c r="P286" s="381"/>
      <c r="Q286" s="381"/>
      <c r="R286" s="337"/>
      <c r="S286" s="379"/>
      <c r="T286" s="338"/>
      <c r="U286" s="379"/>
      <c r="V286" s="286"/>
      <c r="W286" s="289"/>
      <c r="X286" s="5"/>
    </row>
    <row r="287" spans="1:24" ht="15.75" x14ac:dyDescent="0.25">
      <c r="A287" s="295"/>
      <c r="B287" s="297" t="s">
        <v>164</v>
      </c>
      <c r="C287" s="286"/>
      <c r="D287" s="286"/>
      <c r="E287" s="286"/>
      <c r="F287" s="286"/>
      <c r="G287" s="286"/>
      <c r="H287" s="381"/>
      <c r="I287" s="381"/>
      <c r="J287" s="381"/>
      <c r="K287" s="381"/>
      <c r="L287" s="381"/>
      <c r="M287" s="381"/>
      <c r="N287" s="381"/>
      <c r="O287" s="381"/>
      <c r="P287" s="381"/>
      <c r="Q287" s="381"/>
      <c r="R287" s="384">
        <f>R285+R273+R261</f>
        <v>5558</v>
      </c>
      <c r="S287" s="379"/>
      <c r="T287" s="410">
        <f>+T285+T273+T261</f>
        <v>784952</v>
      </c>
      <c r="U287" s="379"/>
      <c r="V287" s="286"/>
      <c r="W287" s="289"/>
      <c r="X287" s="5"/>
    </row>
    <row r="288" spans="1:24" ht="15.75" x14ac:dyDescent="0.25">
      <c r="A288" s="254"/>
      <c r="B288" s="346"/>
      <c r="C288" s="346"/>
      <c r="D288" s="346"/>
      <c r="E288" s="346"/>
      <c r="F288" s="346"/>
      <c r="G288" s="346"/>
      <c r="H288" s="382"/>
      <c r="I288" s="382"/>
      <c r="J288" s="382"/>
      <c r="K288" s="382"/>
      <c r="L288" s="382"/>
      <c r="M288" s="382"/>
      <c r="N288" s="382"/>
      <c r="O288" s="382"/>
      <c r="P288" s="382"/>
      <c r="Q288" s="382"/>
      <c r="R288" s="382"/>
      <c r="S288" s="382"/>
      <c r="T288" s="383"/>
      <c r="U288" s="382"/>
      <c r="V288" s="346"/>
      <c r="W288" s="346"/>
      <c r="X288" s="5"/>
    </row>
    <row r="289" spans="1:24" ht="15.75" x14ac:dyDescent="0.25">
      <c r="A289" s="254"/>
      <c r="B289" s="255"/>
      <c r="C289" s="255"/>
      <c r="D289" s="255"/>
      <c r="E289" s="255"/>
      <c r="F289" s="255"/>
      <c r="G289" s="255"/>
      <c r="H289" s="256"/>
      <c r="I289" s="256"/>
      <c r="J289" s="256"/>
      <c r="K289" s="256"/>
      <c r="L289" s="256"/>
      <c r="M289" s="256"/>
      <c r="N289" s="256"/>
      <c r="O289" s="256"/>
      <c r="P289" s="256"/>
      <c r="Q289" s="256"/>
      <c r="R289" s="256"/>
      <c r="S289" s="256"/>
      <c r="T289" s="257"/>
      <c r="U289" s="256"/>
      <c r="V289" s="255"/>
      <c r="W289" s="255"/>
      <c r="X289" s="5"/>
    </row>
    <row r="290" spans="1:24" ht="15.75" x14ac:dyDescent="0.25">
      <c r="A290" s="258"/>
      <c r="B290" s="388" t="s">
        <v>91</v>
      </c>
      <c r="C290" s="255"/>
      <c r="D290" s="255"/>
      <c r="E290" s="255"/>
      <c r="F290" s="391" t="s">
        <v>97</v>
      </c>
      <c r="G290" s="255"/>
      <c r="H290" s="388" t="s">
        <v>99</v>
      </c>
      <c r="I290" s="388"/>
      <c r="J290" s="388"/>
      <c r="K290" s="261"/>
      <c r="L290" s="261"/>
      <c r="M290" s="261"/>
      <c r="N290" s="261"/>
      <c r="O290" s="261"/>
      <c r="P290" s="261"/>
      <c r="Q290" s="261"/>
      <c r="R290" s="261"/>
      <c r="S290" s="261"/>
      <c r="T290" s="261"/>
      <c r="U290" s="261"/>
      <c r="V290" s="261"/>
      <c r="W290" s="261"/>
      <c r="X290" s="5"/>
    </row>
    <row r="291" spans="1:24" ht="15.75" x14ac:dyDescent="0.25">
      <c r="A291" s="258"/>
      <c r="B291" s="261"/>
      <c r="C291" s="255"/>
      <c r="D291" s="255"/>
      <c r="E291" s="255"/>
      <c r="F291" s="255"/>
      <c r="G291" s="255"/>
      <c r="H291" s="255"/>
      <c r="I291" s="255"/>
      <c r="J291" s="255"/>
      <c r="K291" s="261"/>
      <c r="L291" s="261"/>
      <c r="M291" s="261"/>
      <c r="N291" s="261"/>
      <c r="O291" s="261"/>
      <c r="P291" s="261"/>
      <c r="Q291" s="261"/>
      <c r="R291" s="261"/>
      <c r="S291" s="261"/>
      <c r="T291" s="261"/>
      <c r="U291" s="261"/>
      <c r="V291" s="261"/>
      <c r="W291" s="261"/>
      <c r="X291" s="5"/>
    </row>
    <row r="292" spans="1:24" ht="15.75" x14ac:dyDescent="0.25">
      <c r="A292" s="258"/>
      <c r="B292" s="388" t="s">
        <v>318</v>
      </c>
      <c r="C292" s="388"/>
      <c r="D292" s="388"/>
      <c r="E292" s="388"/>
      <c r="F292" s="411" t="s">
        <v>148</v>
      </c>
      <c r="G292" s="388"/>
      <c r="H292" s="388" t="s">
        <v>152</v>
      </c>
      <c r="I292" s="388"/>
      <c r="J292" s="388"/>
      <c r="K292" s="261"/>
      <c r="L292" s="261"/>
      <c r="M292" s="261"/>
      <c r="N292" s="261"/>
      <c r="O292" s="261"/>
      <c r="P292" s="261"/>
      <c r="Q292" s="261"/>
      <c r="R292" s="261"/>
      <c r="S292" s="261"/>
      <c r="T292" s="261"/>
      <c r="U292" s="261"/>
      <c r="V292" s="261"/>
      <c r="W292" s="261"/>
      <c r="X292" s="5"/>
    </row>
    <row r="293" spans="1:24" ht="15.75" x14ac:dyDescent="0.25">
      <c r="A293" s="258"/>
      <c r="B293" s="388" t="s">
        <v>319</v>
      </c>
      <c r="C293" s="388"/>
      <c r="D293" s="388"/>
      <c r="E293" s="388"/>
      <c r="F293" s="411" t="s">
        <v>266</v>
      </c>
      <c r="G293" s="388"/>
      <c r="H293" s="388" t="s">
        <v>267</v>
      </c>
      <c r="I293" s="388"/>
      <c r="J293" s="388"/>
      <c r="K293" s="261"/>
      <c r="L293" s="261"/>
      <c r="M293" s="261"/>
      <c r="N293" s="261"/>
      <c r="O293" s="261"/>
      <c r="P293" s="261"/>
      <c r="Q293" s="261"/>
      <c r="R293" s="261"/>
      <c r="S293" s="261"/>
      <c r="T293" s="261"/>
      <c r="U293" s="261"/>
      <c r="V293" s="261"/>
      <c r="W293" s="261"/>
      <c r="X293" s="5"/>
    </row>
    <row r="294" spans="1:24" ht="15.75" x14ac:dyDescent="0.25">
      <c r="A294" s="258"/>
      <c r="B294" s="388" t="s">
        <v>320</v>
      </c>
      <c r="C294" s="388"/>
      <c r="D294" s="388"/>
      <c r="E294" s="388"/>
      <c r="F294" s="411" t="s">
        <v>147</v>
      </c>
      <c r="G294" s="388"/>
      <c r="H294" s="388" t="s">
        <v>153</v>
      </c>
      <c r="I294" s="388"/>
      <c r="J294" s="388"/>
      <c r="K294" s="261"/>
      <c r="L294" s="261"/>
      <c r="M294" s="261"/>
      <c r="N294" s="261"/>
      <c r="O294" s="261"/>
      <c r="P294" s="261"/>
      <c r="Q294" s="261"/>
      <c r="R294" s="261"/>
      <c r="S294" s="261"/>
      <c r="T294" s="261"/>
      <c r="U294" s="261"/>
      <c r="V294" s="261"/>
      <c r="W294" s="261"/>
      <c r="X294" s="5"/>
    </row>
    <row r="295" spans="1:24" ht="15.75" x14ac:dyDescent="0.25">
      <c r="A295" s="258"/>
      <c r="B295" s="388"/>
      <c r="C295" s="388"/>
      <c r="D295" s="388"/>
      <c r="E295" s="388"/>
      <c r="F295" s="388"/>
      <c r="G295" s="263"/>
      <c r="H295" s="261"/>
      <c r="I295" s="261"/>
      <c r="J295" s="261"/>
      <c r="K295" s="261"/>
      <c r="L295" s="261"/>
      <c r="M295" s="261"/>
      <c r="N295" s="261"/>
      <c r="O295" s="261"/>
      <c r="P295" s="261"/>
      <c r="Q295" s="261"/>
      <c r="R295" s="261"/>
      <c r="S295" s="261"/>
      <c r="T295" s="261"/>
      <c r="U295" s="261"/>
      <c r="V295" s="261"/>
      <c r="W295" s="261"/>
      <c r="X295" s="5"/>
    </row>
    <row r="296" spans="1:24" ht="15.75" x14ac:dyDescent="0.25">
      <c r="A296" s="258"/>
      <c r="B296" s="388"/>
      <c r="C296" s="388"/>
      <c r="D296" s="388"/>
      <c r="E296" s="388"/>
      <c r="F296" s="388"/>
      <c r="G296" s="263"/>
      <c r="H296" s="261"/>
      <c r="I296" s="261"/>
      <c r="J296" s="261"/>
      <c r="K296" s="261"/>
      <c r="L296" s="261"/>
      <c r="M296" s="261"/>
      <c r="N296" s="261"/>
      <c r="O296" s="261"/>
      <c r="P296" s="261"/>
      <c r="Q296" s="261"/>
      <c r="R296" s="261"/>
      <c r="S296" s="261"/>
      <c r="T296" s="261"/>
      <c r="U296" s="261"/>
      <c r="V296" s="261"/>
      <c r="W296" s="261"/>
      <c r="X296" s="5"/>
    </row>
    <row r="297" spans="1:24" ht="19.5" thickBot="1" x14ac:dyDescent="0.35">
      <c r="A297" s="258"/>
      <c r="B297" s="264" t="str">
        <f>B201</f>
        <v>PM15 INVESTOR REPORT QUARTER ENDING FEBRUARY 2014</v>
      </c>
      <c r="C297" s="388"/>
      <c r="D297" s="388"/>
      <c r="E297" s="388"/>
      <c r="F297" s="388"/>
      <c r="G297" s="263"/>
      <c r="H297" s="261"/>
      <c r="I297" s="261"/>
      <c r="J297" s="261"/>
      <c r="K297" s="261"/>
      <c r="L297" s="261"/>
      <c r="M297" s="261"/>
      <c r="N297" s="261"/>
      <c r="O297" s="261"/>
      <c r="P297" s="261"/>
      <c r="Q297" s="261"/>
      <c r="R297" s="261"/>
      <c r="S297" s="261"/>
      <c r="T297" s="261"/>
      <c r="U297" s="261"/>
      <c r="V297" s="261"/>
      <c r="W297" s="261"/>
      <c r="X297" s="5"/>
    </row>
    <row r="298" spans="1:24" x14ac:dyDescent="0.2">
      <c r="A298" s="100"/>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00"/>
    </row>
  </sheetData>
  <hyperlinks>
    <hyperlink ref="P237" r:id="rId1" xr:uid="{00000000-0004-0000-1900-000000000000}"/>
    <hyperlink ref="I9" r:id="rId2" xr:uid="{00000000-0004-0000-19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5" max="14" man="1"/>
    <brk id="201" max="14" man="1"/>
  </rowBreak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sheetPr>
  <dimension ref="A1:IV298"/>
  <sheetViews>
    <sheetView showGridLines="0" showOutlineSymbols="0" zoomScale="70" zoomScaleNormal="70" workbookViewId="0"/>
  </sheetViews>
  <sheetFormatPr defaultColWidth="9.6640625" defaultRowHeight="15" x14ac:dyDescent="0.2"/>
  <cols>
    <col min="1" max="1" width="4" style="1" customWidth="1"/>
    <col min="2" max="2" width="71.21875" style="1" customWidth="1"/>
    <col min="3" max="3" width="2.21875" style="1" customWidth="1"/>
    <col min="4" max="4" width="19.33203125" style="1" customWidth="1"/>
    <col min="5" max="5" width="2.21875" style="1" customWidth="1"/>
    <col min="6" max="6" width="25.109375" style="1" customWidth="1"/>
    <col min="7" max="7" width="2.21875" style="1" customWidth="1"/>
    <col min="8" max="8" width="16.21875" style="1" customWidth="1"/>
    <col min="9" max="9" width="2.88671875" style="1" customWidth="1"/>
    <col min="10" max="10" width="16.21875" style="1" customWidth="1"/>
    <col min="11" max="11" width="2.21875" style="1" customWidth="1"/>
    <col min="12" max="12" width="17.88671875" style="1" customWidth="1"/>
    <col min="13" max="13" width="2.33203125" style="1" customWidth="1"/>
    <col min="14" max="14" width="14.88671875" style="1" customWidth="1"/>
    <col min="15" max="15" width="2.33203125" style="1" customWidth="1"/>
    <col min="16" max="16" width="15.5546875" style="1" customWidth="1"/>
    <col min="17" max="17" width="2.21875" style="1" customWidth="1"/>
    <col min="18" max="18" width="15.5546875" style="1" customWidth="1"/>
    <col min="19" max="20" width="12.6640625" style="1" customWidth="1"/>
    <col min="21" max="21" width="7.77734375" style="1" customWidth="1"/>
    <col min="22" max="22" width="14.6640625" style="1" customWidth="1"/>
    <col min="23" max="23" width="11.77734375" style="1" customWidth="1"/>
    <col min="24" max="16384" width="9.6640625" style="1"/>
  </cols>
  <sheetData>
    <row r="1" spans="1:24" ht="20.25" x14ac:dyDescent="0.3">
      <c r="A1" s="179"/>
      <c r="B1" s="274" t="s">
        <v>237</v>
      </c>
      <c r="C1" s="180"/>
      <c r="D1" s="180"/>
      <c r="E1" s="180"/>
      <c r="F1" s="180"/>
      <c r="G1" s="180"/>
      <c r="H1" s="180"/>
      <c r="I1" s="180"/>
      <c r="J1" s="180"/>
      <c r="K1" s="180"/>
      <c r="L1" s="180"/>
      <c r="M1" s="180"/>
      <c r="N1" s="180"/>
      <c r="O1" s="180"/>
      <c r="P1" s="180"/>
      <c r="Q1" s="180"/>
      <c r="R1" s="180"/>
      <c r="S1" s="180"/>
      <c r="T1" s="180"/>
      <c r="U1" s="180"/>
      <c r="V1" s="180"/>
      <c r="W1" s="180"/>
      <c r="X1" s="5"/>
    </row>
    <row r="2" spans="1:24" ht="15.75" x14ac:dyDescent="0.25">
      <c r="A2" s="181"/>
      <c r="B2" s="182"/>
      <c r="C2" s="183"/>
      <c r="D2" s="183"/>
      <c r="E2" s="183"/>
      <c r="F2" s="183"/>
      <c r="G2" s="183"/>
      <c r="H2" s="183"/>
      <c r="I2" s="183"/>
      <c r="J2" s="183"/>
      <c r="K2" s="183"/>
      <c r="L2" s="183"/>
      <c r="M2" s="183"/>
      <c r="N2" s="183"/>
      <c r="O2" s="183"/>
      <c r="P2" s="183"/>
      <c r="Q2" s="183"/>
      <c r="R2" s="183"/>
      <c r="S2" s="183"/>
      <c r="T2" s="183"/>
      <c r="U2" s="183"/>
      <c r="V2" s="183"/>
      <c r="W2" s="183"/>
      <c r="X2" s="5"/>
    </row>
    <row r="3" spans="1:24" ht="15.75" x14ac:dyDescent="0.25">
      <c r="A3" s="184"/>
      <c r="B3" s="185" t="s">
        <v>238</v>
      </c>
      <c r="C3" s="183"/>
      <c r="D3" s="183"/>
      <c r="E3" s="183"/>
      <c r="F3" s="183"/>
      <c r="G3" s="183"/>
      <c r="H3" s="183"/>
      <c r="I3" s="183"/>
      <c r="J3" s="183"/>
      <c r="K3" s="183"/>
      <c r="L3" s="183"/>
      <c r="M3" s="183"/>
      <c r="N3" s="183"/>
      <c r="O3" s="183"/>
      <c r="P3" s="183"/>
      <c r="Q3" s="183"/>
      <c r="R3" s="183"/>
      <c r="S3" s="183"/>
      <c r="T3" s="183"/>
      <c r="U3" s="183"/>
      <c r="V3" s="183"/>
      <c r="W3" s="183"/>
      <c r="X3" s="5"/>
    </row>
    <row r="4" spans="1:24" ht="15.75" x14ac:dyDescent="0.25">
      <c r="A4" s="181"/>
      <c r="B4" s="182"/>
      <c r="C4" s="183"/>
      <c r="D4" s="183"/>
      <c r="E4" s="183"/>
      <c r="F4" s="183"/>
      <c r="G4" s="183"/>
      <c r="H4" s="183"/>
      <c r="I4" s="183"/>
      <c r="J4" s="183"/>
      <c r="K4" s="183"/>
      <c r="L4" s="183"/>
      <c r="M4" s="183"/>
      <c r="N4" s="183"/>
      <c r="O4" s="183"/>
      <c r="P4" s="183"/>
      <c r="Q4" s="183"/>
      <c r="R4" s="183"/>
      <c r="S4" s="183"/>
      <c r="T4" s="183"/>
      <c r="U4" s="183"/>
      <c r="V4" s="183"/>
      <c r="W4" s="183"/>
      <c r="X4" s="5"/>
    </row>
    <row r="5" spans="1:24" ht="15.75" x14ac:dyDescent="0.25">
      <c r="A5" s="181"/>
      <c r="B5" s="275" t="s">
        <v>137</v>
      </c>
      <c r="C5" s="183"/>
      <c r="D5" s="183"/>
      <c r="E5" s="183"/>
      <c r="F5" s="183"/>
      <c r="G5" s="183"/>
      <c r="H5" s="183"/>
      <c r="I5" s="183"/>
      <c r="J5" s="183"/>
      <c r="K5" s="183"/>
      <c r="L5" s="183"/>
      <c r="M5" s="183"/>
      <c r="N5" s="183"/>
      <c r="O5" s="183"/>
      <c r="P5" s="183"/>
      <c r="Q5" s="183"/>
      <c r="R5" s="183"/>
      <c r="S5" s="183"/>
      <c r="T5" s="183"/>
      <c r="U5" s="183"/>
      <c r="V5" s="183"/>
      <c r="W5" s="183"/>
      <c r="X5" s="5"/>
    </row>
    <row r="6" spans="1:24" ht="15.75" x14ac:dyDescent="0.25">
      <c r="A6" s="181"/>
      <c r="B6" s="275" t="s">
        <v>139</v>
      </c>
      <c r="C6" s="183"/>
      <c r="D6" s="183"/>
      <c r="E6" s="183"/>
      <c r="F6" s="183"/>
      <c r="G6" s="183"/>
      <c r="H6" s="183"/>
      <c r="I6" s="183"/>
      <c r="J6" s="183"/>
      <c r="K6" s="183"/>
      <c r="L6" s="183"/>
      <c r="M6" s="183"/>
      <c r="N6" s="183"/>
      <c r="O6" s="183"/>
      <c r="P6" s="183"/>
      <c r="Q6" s="183"/>
      <c r="R6" s="183"/>
      <c r="S6" s="183"/>
      <c r="T6" s="183"/>
      <c r="U6" s="183"/>
      <c r="V6" s="183"/>
      <c r="W6" s="183"/>
      <c r="X6" s="5"/>
    </row>
    <row r="7" spans="1:24" ht="15.75" x14ac:dyDescent="0.25">
      <c r="A7" s="181"/>
      <c r="B7" s="275" t="s">
        <v>138</v>
      </c>
      <c r="C7" s="183"/>
      <c r="D7" s="183"/>
      <c r="E7" s="183"/>
      <c r="F7" s="183"/>
      <c r="G7" s="183"/>
      <c r="H7" s="183"/>
      <c r="I7" s="183"/>
      <c r="J7" s="183"/>
      <c r="K7" s="183"/>
      <c r="L7" s="183"/>
      <c r="M7" s="183"/>
      <c r="N7" s="183"/>
      <c r="O7" s="183"/>
      <c r="P7" s="183"/>
      <c r="Q7" s="183"/>
      <c r="R7" s="183"/>
      <c r="S7" s="183"/>
      <c r="T7" s="183"/>
      <c r="U7" s="183"/>
      <c r="V7" s="183"/>
      <c r="W7" s="183"/>
      <c r="X7" s="5"/>
    </row>
    <row r="8" spans="1:24" ht="15.75" x14ac:dyDescent="0.25">
      <c r="A8" s="181"/>
      <c r="B8" s="186"/>
      <c r="C8" s="183"/>
      <c r="D8" s="183"/>
      <c r="E8" s="183"/>
      <c r="F8" s="183"/>
      <c r="G8" s="183"/>
      <c r="H8" s="183"/>
      <c r="I8" s="183"/>
      <c r="J8" s="183"/>
      <c r="K8" s="183"/>
      <c r="L8" s="183"/>
      <c r="M8" s="183"/>
      <c r="N8" s="183"/>
      <c r="O8" s="183"/>
      <c r="P8" s="183"/>
      <c r="Q8" s="183"/>
      <c r="R8" s="183"/>
      <c r="S8" s="183"/>
      <c r="T8" s="183"/>
      <c r="U8" s="183"/>
      <c r="V8" s="183"/>
      <c r="W8" s="183"/>
      <c r="X8" s="5"/>
    </row>
    <row r="9" spans="1:24" ht="18.75" x14ac:dyDescent="0.3">
      <c r="A9" s="181"/>
      <c r="B9" s="187" t="s">
        <v>166</v>
      </c>
      <c r="C9" s="183"/>
      <c r="D9" s="183"/>
      <c r="E9" s="183"/>
      <c r="F9" s="183"/>
      <c r="G9" s="183"/>
      <c r="H9" s="183"/>
      <c r="I9" s="188" t="s">
        <v>167</v>
      </c>
      <c r="J9" s="183"/>
      <c r="K9" s="183"/>
      <c r="L9" s="188"/>
      <c r="M9" s="183"/>
      <c r="N9" s="188"/>
      <c r="O9" s="183"/>
      <c r="P9" s="183"/>
      <c r="Q9" s="183"/>
      <c r="R9" s="183"/>
      <c r="S9" s="183"/>
      <c r="T9" s="183"/>
      <c r="U9" s="183"/>
      <c r="V9" s="183"/>
      <c r="W9" s="183"/>
      <c r="X9" s="5"/>
    </row>
    <row r="10" spans="1:24" ht="15.75" x14ac:dyDescent="0.25">
      <c r="A10" s="181"/>
      <c r="B10" s="186"/>
      <c r="C10" s="189"/>
      <c r="D10" s="189"/>
      <c r="E10" s="189"/>
      <c r="F10" s="183"/>
      <c r="G10" s="183"/>
      <c r="H10" s="183"/>
      <c r="I10" s="183"/>
      <c r="J10" s="183"/>
      <c r="K10" s="183"/>
      <c r="L10" s="183"/>
      <c r="M10" s="183"/>
      <c r="N10" s="183"/>
      <c r="O10" s="183"/>
      <c r="P10" s="183"/>
      <c r="Q10" s="183"/>
      <c r="R10" s="183"/>
      <c r="S10" s="183"/>
      <c r="T10" s="183"/>
      <c r="U10" s="183"/>
      <c r="V10" s="183"/>
      <c r="W10" s="183"/>
      <c r="X10" s="5"/>
    </row>
    <row r="11" spans="1:24" ht="15.75" x14ac:dyDescent="0.25">
      <c r="A11" s="181"/>
      <c r="B11" s="388" t="s">
        <v>0</v>
      </c>
      <c r="C11" s="183"/>
      <c r="D11" s="183"/>
      <c r="E11" s="183"/>
      <c r="F11" s="183"/>
      <c r="G11" s="183"/>
      <c r="H11" s="183"/>
      <c r="I11" s="183"/>
      <c r="J11" s="183"/>
      <c r="K11" s="183"/>
      <c r="L11" s="183"/>
      <c r="M11" s="183"/>
      <c r="N11" s="183"/>
      <c r="O11" s="183"/>
      <c r="P11" s="183"/>
      <c r="Q11" s="183"/>
      <c r="R11" s="183"/>
      <c r="S11" s="183"/>
      <c r="T11" s="183"/>
      <c r="U11" s="183"/>
      <c r="V11" s="183"/>
      <c r="W11" s="183"/>
      <c r="X11" s="5"/>
    </row>
    <row r="12" spans="1:24" ht="16.5" thickBot="1" x14ac:dyDescent="0.3">
      <c r="A12" s="181"/>
      <c r="B12" s="189"/>
      <c r="C12" s="183"/>
      <c r="D12" s="183"/>
      <c r="E12" s="183"/>
      <c r="F12" s="183"/>
      <c r="G12" s="183"/>
      <c r="H12" s="183"/>
      <c r="I12" s="183"/>
      <c r="J12" s="183"/>
      <c r="K12" s="183"/>
      <c r="L12" s="183"/>
      <c r="M12" s="183"/>
      <c r="N12" s="183"/>
      <c r="O12" s="183"/>
      <c r="P12" s="183"/>
      <c r="Q12" s="183"/>
      <c r="R12" s="183"/>
      <c r="S12" s="183"/>
      <c r="T12" s="183"/>
      <c r="U12" s="183"/>
      <c r="V12" s="183"/>
      <c r="W12" s="183"/>
      <c r="X12" s="5"/>
    </row>
    <row r="13" spans="1:24" ht="15.75" x14ac:dyDescent="0.25">
      <c r="A13" s="179"/>
      <c r="B13" s="180"/>
      <c r="C13" s="180"/>
      <c r="D13" s="180"/>
      <c r="E13" s="180"/>
      <c r="F13" s="180"/>
      <c r="G13" s="180"/>
      <c r="H13" s="180"/>
      <c r="I13" s="180"/>
      <c r="J13" s="180"/>
      <c r="K13" s="180"/>
      <c r="L13" s="180"/>
      <c r="M13" s="180"/>
      <c r="N13" s="180"/>
      <c r="O13" s="180"/>
      <c r="P13" s="180"/>
      <c r="Q13" s="180"/>
      <c r="R13" s="180"/>
      <c r="S13" s="180"/>
      <c r="T13" s="180"/>
      <c r="U13" s="180"/>
      <c r="V13" s="180"/>
      <c r="W13" s="180"/>
      <c r="X13" s="5"/>
    </row>
    <row r="14" spans="1:24" ht="15.75" x14ac:dyDescent="0.25">
      <c r="A14" s="181"/>
      <c r="B14" s="388" t="s">
        <v>1</v>
      </c>
      <c r="C14" s="255"/>
      <c r="D14" s="255"/>
      <c r="E14" s="255"/>
      <c r="F14" s="255"/>
      <c r="G14" s="255"/>
      <c r="H14" s="255"/>
      <c r="I14" s="255"/>
      <c r="J14" s="255"/>
      <c r="K14" s="255"/>
      <c r="L14" s="255"/>
      <c r="M14" s="255"/>
      <c r="N14" s="255"/>
      <c r="O14" s="255"/>
      <c r="P14" s="255"/>
      <c r="Q14" s="255"/>
      <c r="R14" s="255"/>
      <c r="S14" s="255"/>
      <c r="T14" s="255"/>
      <c r="U14" s="255"/>
      <c r="V14" s="276" t="s">
        <v>239</v>
      </c>
      <c r="W14" s="255"/>
      <c r="X14" s="5"/>
    </row>
    <row r="15" spans="1:24" ht="15.75" x14ac:dyDescent="0.25">
      <c r="A15" s="181"/>
      <c r="B15" s="388" t="s">
        <v>2</v>
      </c>
      <c r="C15" s="255"/>
      <c r="D15" s="255"/>
      <c r="E15" s="255"/>
      <c r="F15" s="255"/>
      <c r="G15" s="255"/>
      <c r="H15" s="389"/>
      <c r="I15" s="389"/>
      <c r="J15" s="389"/>
      <c r="K15" s="389"/>
      <c r="L15" s="389"/>
      <c r="M15" s="389"/>
      <c r="N15" s="389"/>
      <c r="O15" s="389"/>
      <c r="P15" s="389"/>
      <c r="Q15" s="389"/>
      <c r="R15" s="389" t="s">
        <v>104</v>
      </c>
      <c r="S15" s="390">
        <v>0.47189999999999999</v>
      </c>
      <c r="T15" s="391" t="s">
        <v>140</v>
      </c>
      <c r="U15" s="390">
        <v>0.52810000000000001</v>
      </c>
      <c r="V15" s="276"/>
      <c r="W15" s="255"/>
      <c r="X15" s="5"/>
    </row>
    <row r="16" spans="1:24" ht="15.75" x14ac:dyDescent="0.25">
      <c r="A16" s="181"/>
      <c r="B16" s="388" t="s">
        <v>3</v>
      </c>
      <c r="C16" s="255"/>
      <c r="D16" s="255"/>
      <c r="E16" s="255"/>
      <c r="F16" s="255"/>
      <c r="G16" s="255"/>
      <c r="H16" s="389"/>
      <c r="I16" s="389"/>
      <c r="J16" s="389"/>
      <c r="K16" s="389"/>
      <c r="L16" s="389"/>
      <c r="M16" s="389"/>
      <c r="N16" s="389"/>
      <c r="O16" s="389"/>
      <c r="P16" s="389"/>
      <c r="Q16" s="389"/>
      <c r="R16" s="389" t="s">
        <v>104</v>
      </c>
      <c r="S16" s="390">
        <v>0.54690000000000005</v>
      </c>
      <c r="T16" s="391" t="s">
        <v>140</v>
      </c>
      <c r="U16" s="390">
        <v>0.4531</v>
      </c>
      <c r="V16" s="276"/>
      <c r="W16" s="255"/>
      <c r="X16" s="5"/>
    </row>
    <row r="17" spans="1:24" ht="15.75" x14ac:dyDescent="0.25">
      <c r="A17" s="181"/>
      <c r="B17" s="388" t="s">
        <v>4</v>
      </c>
      <c r="C17" s="255"/>
      <c r="D17" s="255"/>
      <c r="E17" s="255"/>
      <c r="F17" s="255"/>
      <c r="G17" s="255"/>
      <c r="H17" s="255"/>
      <c r="I17" s="255"/>
      <c r="J17" s="255"/>
      <c r="K17" s="255"/>
      <c r="L17" s="255"/>
      <c r="M17" s="255"/>
      <c r="N17" s="255"/>
      <c r="O17" s="255"/>
      <c r="P17" s="255"/>
      <c r="Q17" s="255"/>
      <c r="R17" s="255"/>
      <c r="S17" s="255"/>
      <c r="T17" s="255"/>
      <c r="U17" s="255"/>
      <c r="V17" s="392">
        <v>39282</v>
      </c>
      <c r="W17" s="255"/>
      <c r="X17" s="5"/>
    </row>
    <row r="18" spans="1:24" ht="15.75" x14ac:dyDescent="0.25">
      <c r="A18" s="181"/>
      <c r="B18" s="388" t="s">
        <v>5</v>
      </c>
      <c r="C18" s="255"/>
      <c r="D18" s="255"/>
      <c r="E18" s="255"/>
      <c r="F18" s="255"/>
      <c r="G18" s="255"/>
      <c r="H18" s="255"/>
      <c r="I18" s="255"/>
      <c r="J18" s="255"/>
      <c r="K18" s="255"/>
      <c r="L18" s="255"/>
      <c r="M18" s="255"/>
      <c r="N18" s="255"/>
      <c r="O18" s="255"/>
      <c r="P18" s="255"/>
      <c r="Q18" s="255"/>
      <c r="R18" s="255"/>
      <c r="S18" s="255"/>
      <c r="T18" s="255"/>
      <c r="U18" s="255"/>
      <c r="V18" s="392">
        <v>41813</v>
      </c>
      <c r="W18" s="255"/>
      <c r="X18" s="5"/>
    </row>
    <row r="19" spans="1:24" ht="15.75" x14ac:dyDescent="0.25">
      <c r="A19" s="181"/>
      <c r="B19" s="183"/>
      <c r="C19" s="183"/>
      <c r="D19" s="183"/>
      <c r="E19" s="183"/>
      <c r="F19" s="183"/>
      <c r="G19" s="183"/>
      <c r="H19" s="183"/>
      <c r="I19" s="183"/>
      <c r="J19" s="183"/>
      <c r="K19" s="183"/>
      <c r="L19" s="183"/>
      <c r="M19" s="183"/>
      <c r="N19" s="183"/>
      <c r="O19" s="183"/>
      <c r="P19" s="183"/>
      <c r="Q19" s="183"/>
      <c r="R19" s="183"/>
      <c r="S19" s="183"/>
      <c r="T19" s="183"/>
      <c r="U19" s="183"/>
      <c r="V19" s="190"/>
      <c r="W19" s="183"/>
      <c r="X19" s="5"/>
    </row>
    <row r="20" spans="1:24" ht="15.75" x14ac:dyDescent="0.25">
      <c r="A20" s="181"/>
      <c r="B20" s="280" t="s">
        <v>6</v>
      </c>
      <c r="C20" s="255"/>
      <c r="D20" s="255"/>
      <c r="E20" s="255"/>
      <c r="F20" s="255"/>
      <c r="G20" s="255"/>
      <c r="H20" s="255"/>
      <c r="I20" s="255"/>
      <c r="J20" s="255"/>
      <c r="K20" s="255"/>
      <c r="L20" s="255"/>
      <c r="M20" s="255"/>
      <c r="N20" s="255"/>
      <c r="O20" s="255"/>
      <c r="P20" s="255"/>
      <c r="Q20" s="255"/>
      <c r="R20" s="255"/>
      <c r="S20" s="255"/>
      <c r="T20" s="281" t="s">
        <v>105</v>
      </c>
      <c r="U20" s="255"/>
      <c r="V20" s="261"/>
      <c r="W20" s="183"/>
      <c r="X20" s="5"/>
    </row>
    <row r="21" spans="1:24" ht="15.75" x14ac:dyDescent="0.25">
      <c r="A21" s="181"/>
      <c r="B21" s="183"/>
      <c r="C21" s="183"/>
      <c r="D21" s="183"/>
      <c r="E21" s="183"/>
      <c r="F21" s="183"/>
      <c r="G21" s="183"/>
      <c r="H21" s="183"/>
      <c r="I21" s="183"/>
      <c r="J21" s="183"/>
      <c r="K21" s="183"/>
      <c r="L21" s="183"/>
      <c r="M21" s="183"/>
      <c r="N21" s="183"/>
      <c r="O21" s="183"/>
      <c r="P21" s="183"/>
      <c r="Q21" s="183"/>
      <c r="R21" s="183"/>
      <c r="S21" s="183"/>
      <c r="T21" s="183"/>
      <c r="U21" s="183"/>
      <c r="V21" s="192"/>
      <c r="W21" s="183"/>
      <c r="X21" s="5"/>
    </row>
    <row r="22" spans="1:24" ht="15.75" x14ac:dyDescent="0.25">
      <c r="A22" s="224"/>
      <c r="B22" s="225"/>
      <c r="C22" s="226"/>
      <c r="D22" s="226" t="s">
        <v>177</v>
      </c>
      <c r="E22" s="226"/>
      <c r="F22" s="226" t="s">
        <v>178</v>
      </c>
      <c r="G22" s="226"/>
      <c r="H22" s="226" t="s">
        <v>179</v>
      </c>
      <c r="I22" s="226"/>
      <c r="J22" s="226" t="s">
        <v>219</v>
      </c>
      <c r="K22" s="226"/>
      <c r="L22" s="226" t="s">
        <v>180</v>
      </c>
      <c r="M22" s="226"/>
      <c r="N22" s="226" t="s">
        <v>181</v>
      </c>
      <c r="O22" s="226"/>
      <c r="P22" s="226" t="s">
        <v>182</v>
      </c>
      <c r="Q22" s="226"/>
      <c r="R22" s="226"/>
      <c r="S22" s="228"/>
      <c r="T22" s="228"/>
      <c r="U22" s="229"/>
      <c r="V22" s="229"/>
      <c r="W22" s="225"/>
      <c r="X22" s="5"/>
    </row>
    <row r="23" spans="1:24" ht="15.75" x14ac:dyDescent="0.25">
      <c r="A23" s="193"/>
      <c r="B23" s="250" t="s">
        <v>7</v>
      </c>
      <c r="C23" s="282"/>
      <c r="D23" s="282" t="s">
        <v>212</v>
      </c>
      <c r="E23" s="282"/>
      <c r="F23" s="282" t="s">
        <v>141</v>
      </c>
      <c r="G23" s="282"/>
      <c r="H23" s="282" t="s">
        <v>141</v>
      </c>
      <c r="I23" s="282"/>
      <c r="J23" s="282" t="s">
        <v>141</v>
      </c>
      <c r="K23" s="282"/>
      <c r="L23" s="282" t="s">
        <v>183</v>
      </c>
      <c r="M23" s="282"/>
      <c r="N23" s="282" t="s">
        <v>183</v>
      </c>
      <c r="O23" s="282"/>
      <c r="P23" s="282" t="s">
        <v>142</v>
      </c>
      <c r="Q23" s="282"/>
      <c r="R23" s="282"/>
      <c r="S23" s="282"/>
      <c r="T23" s="282"/>
      <c r="U23" s="273"/>
      <c r="V23" s="273"/>
      <c r="W23" s="250"/>
      <c r="X23" s="5"/>
    </row>
    <row r="24" spans="1:24" ht="15.75" x14ac:dyDescent="0.25">
      <c r="A24" s="285"/>
      <c r="B24" s="286" t="s">
        <v>8</v>
      </c>
      <c r="C24" s="287"/>
      <c r="D24" s="287" t="s">
        <v>213</v>
      </c>
      <c r="E24" s="287"/>
      <c r="F24" s="287" t="s">
        <v>143</v>
      </c>
      <c r="G24" s="287"/>
      <c r="H24" s="287" t="s">
        <v>143</v>
      </c>
      <c r="I24" s="287"/>
      <c r="J24" s="287" t="s">
        <v>143</v>
      </c>
      <c r="K24" s="287"/>
      <c r="L24" s="287" t="s">
        <v>165</v>
      </c>
      <c r="M24" s="287"/>
      <c r="N24" s="287" t="s">
        <v>165</v>
      </c>
      <c r="O24" s="287"/>
      <c r="P24" s="287" t="s">
        <v>144</v>
      </c>
      <c r="Q24" s="287"/>
      <c r="R24" s="287"/>
      <c r="S24" s="287"/>
      <c r="T24" s="287"/>
      <c r="U24" s="288"/>
      <c r="V24" s="288"/>
      <c r="W24" s="289"/>
      <c r="X24" s="5"/>
    </row>
    <row r="25" spans="1:24" ht="15.75" x14ac:dyDescent="0.25">
      <c r="A25" s="290"/>
      <c r="B25" s="286" t="s">
        <v>190</v>
      </c>
      <c r="C25" s="292"/>
      <c r="D25" s="287" t="s">
        <v>214</v>
      </c>
      <c r="E25" s="287"/>
      <c r="F25" s="287" t="s">
        <v>143</v>
      </c>
      <c r="G25" s="287"/>
      <c r="H25" s="287" t="s">
        <v>143</v>
      </c>
      <c r="I25" s="287"/>
      <c r="J25" s="287" t="s">
        <v>143</v>
      </c>
      <c r="K25" s="287"/>
      <c r="L25" s="287" t="s">
        <v>165</v>
      </c>
      <c r="M25" s="287"/>
      <c r="N25" s="287" t="s">
        <v>165</v>
      </c>
      <c r="O25" s="287"/>
      <c r="P25" s="287" t="s">
        <v>144</v>
      </c>
      <c r="Q25" s="287"/>
      <c r="R25" s="287"/>
      <c r="S25" s="292"/>
      <c r="T25" s="287"/>
      <c r="U25" s="288"/>
      <c r="V25" s="288"/>
      <c r="W25" s="289"/>
      <c r="X25" s="5"/>
    </row>
    <row r="26" spans="1:24" ht="15.75" x14ac:dyDescent="0.25">
      <c r="A26" s="393"/>
      <c r="B26" s="297" t="s">
        <v>9</v>
      </c>
      <c r="C26" s="292"/>
      <c r="D26" s="292" t="s">
        <v>141</v>
      </c>
      <c r="E26" s="292"/>
      <c r="F26" s="292" t="s">
        <v>141</v>
      </c>
      <c r="G26" s="292"/>
      <c r="H26" s="292" t="s">
        <v>141</v>
      </c>
      <c r="I26" s="292"/>
      <c r="J26" s="292" t="s">
        <v>141</v>
      </c>
      <c r="K26" s="292"/>
      <c r="L26" s="292" t="s">
        <v>183</v>
      </c>
      <c r="M26" s="292"/>
      <c r="N26" s="292" t="s">
        <v>183</v>
      </c>
      <c r="O26" s="292"/>
      <c r="P26" s="292" t="s">
        <v>142</v>
      </c>
      <c r="Q26" s="292"/>
      <c r="R26" s="292"/>
      <c r="S26" s="292"/>
      <c r="T26" s="287"/>
      <c r="U26" s="288"/>
      <c r="V26" s="288"/>
      <c r="W26" s="289"/>
      <c r="X26" s="5"/>
    </row>
    <row r="27" spans="1:24" ht="15.75" x14ac:dyDescent="0.25">
      <c r="A27" s="295"/>
      <c r="B27" s="297" t="s">
        <v>191</v>
      </c>
      <c r="C27" s="287"/>
      <c r="D27" s="292" t="s">
        <v>143</v>
      </c>
      <c r="E27" s="292"/>
      <c r="F27" s="292" t="s">
        <v>143</v>
      </c>
      <c r="G27" s="292"/>
      <c r="H27" s="292" t="s">
        <v>143</v>
      </c>
      <c r="I27" s="292"/>
      <c r="J27" s="292" t="s">
        <v>143</v>
      </c>
      <c r="K27" s="292"/>
      <c r="L27" s="292" t="s">
        <v>307</v>
      </c>
      <c r="M27" s="292"/>
      <c r="N27" s="292" t="s">
        <v>307</v>
      </c>
      <c r="O27" s="292"/>
      <c r="P27" s="292" t="s">
        <v>308</v>
      </c>
      <c r="Q27" s="292"/>
      <c r="R27" s="292"/>
      <c r="S27" s="287"/>
      <c r="T27" s="296"/>
      <c r="U27" s="288"/>
      <c r="V27" s="288"/>
      <c r="W27" s="289"/>
      <c r="X27" s="5"/>
    </row>
    <row r="28" spans="1:24" ht="15.75" x14ac:dyDescent="0.25">
      <c r="A28" s="295"/>
      <c r="B28" s="297" t="s">
        <v>192</v>
      </c>
      <c r="C28" s="287"/>
      <c r="D28" s="292" t="s">
        <v>143</v>
      </c>
      <c r="E28" s="292"/>
      <c r="F28" s="292" t="s">
        <v>143</v>
      </c>
      <c r="G28" s="292"/>
      <c r="H28" s="292" t="s">
        <v>143</v>
      </c>
      <c r="I28" s="292"/>
      <c r="J28" s="292" t="s">
        <v>143</v>
      </c>
      <c r="K28" s="292"/>
      <c r="L28" s="292" t="s">
        <v>165</v>
      </c>
      <c r="M28" s="292"/>
      <c r="N28" s="292" t="s">
        <v>165</v>
      </c>
      <c r="O28" s="292"/>
      <c r="P28" s="292" t="s">
        <v>309</v>
      </c>
      <c r="Q28" s="292"/>
      <c r="R28" s="292"/>
      <c r="S28" s="287"/>
      <c r="T28" s="296"/>
      <c r="U28" s="288"/>
      <c r="V28" s="288"/>
      <c r="W28" s="289"/>
      <c r="X28" s="5"/>
    </row>
    <row r="29" spans="1:24" ht="15.75" x14ac:dyDescent="0.25">
      <c r="A29" s="295"/>
      <c r="B29" s="286" t="s">
        <v>10</v>
      </c>
      <c r="C29" s="298"/>
      <c r="D29" s="287" t="s">
        <v>242</v>
      </c>
      <c r="E29" s="287"/>
      <c r="F29" s="296" t="s">
        <v>244</v>
      </c>
      <c r="G29" s="287"/>
      <c r="H29" s="287" t="s">
        <v>245</v>
      </c>
      <c r="I29" s="287"/>
      <c r="J29" s="287" t="s">
        <v>247</v>
      </c>
      <c r="K29" s="287"/>
      <c r="L29" s="287" t="s">
        <v>248</v>
      </c>
      <c r="M29" s="287"/>
      <c r="N29" s="287" t="s">
        <v>249</v>
      </c>
      <c r="O29" s="287"/>
      <c r="P29" s="287" t="s">
        <v>250</v>
      </c>
      <c r="Q29" s="287"/>
      <c r="R29" s="287"/>
      <c r="S29" s="299"/>
      <c r="T29" s="299"/>
      <c r="U29" s="300"/>
      <c r="V29" s="299"/>
      <c r="W29" s="301"/>
      <c r="X29" s="5"/>
    </row>
    <row r="30" spans="1:24" ht="15.75" x14ac:dyDescent="0.25">
      <c r="A30" s="295"/>
      <c r="B30" s="286" t="s">
        <v>10</v>
      </c>
      <c r="C30" s="298"/>
      <c r="D30" s="287" t="s">
        <v>243</v>
      </c>
      <c r="E30" s="287"/>
      <c r="F30" s="296" t="s">
        <v>118</v>
      </c>
      <c r="G30" s="287"/>
      <c r="H30" s="287" t="s">
        <v>118</v>
      </c>
      <c r="I30" s="287"/>
      <c r="J30" s="287" t="s">
        <v>246</v>
      </c>
      <c r="K30" s="287"/>
      <c r="L30" s="287" t="s">
        <v>118</v>
      </c>
      <c r="M30" s="287"/>
      <c r="N30" s="287" t="s">
        <v>118</v>
      </c>
      <c r="O30" s="287"/>
      <c r="P30" s="287" t="s">
        <v>118</v>
      </c>
      <c r="Q30" s="287"/>
      <c r="R30" s="287"/>
      <c r="S30" s="299"/>
      <c r="T30" s="299"/>
      <c r="U30" s="300"/>
      <c r="V30" s="299"/>
      <c r="W30" s="301"/>
      <c r="X30" s="5"/>
    </row>
    <row r="31" spans="1:24" ht="15.75" x14ac:dyDescent="0.25">
      <c r="A31" s="393"/>
      <c r="B31" s="286" t="s">
        <v>133</v>
      </c>
      <c r="C31" s="310"/>
      <c r="D31" s="303">
        <v>1000000</v>
      </c>
      <c r="E31" s="298"/>
      <c r="F31" s="299">
        <v>209500</v>
      </c>
      <c r="G31" s="299"/>
      <c r="H31" s="304">
        <v>110000</v>
      </c>
      <c r="I31" s="304"/>
      <c r="J31" s="303">
        <v>150000</v>
      </c>
      <c r="K31" s="299"/>
      <c r="L31" s="299">
        <v>17000</v>
      </c>
      <c r="M31" s="299"/>
      <c r="N31" s="304">
        <v>85500</v>
      </c>
      <c r="O31" s="299"/>
      <c r="P31" s="304">
        <v>110500</v>
      </c>
      <c r="Q31" s="299"/>
      <c r="R31" s="304"/>
      <c r="S31" s="312"/>
      <c r="T31" s="312"/>
      <c r="U31" s="306"/>
      <c r="V31" s="312"/>
      <c r="W31" s="301"/>
      <c r="X31" s="5"/>
    </row>
    <row r="32" spans="1:24" ht="15.75" x14ac:dyDescent="0.25">
      <c r="A32" s="295"/>
      <c r="B32" s="286" t="s">
        <v>132</v>
      </c>
      <c r="C32" s="298"/>
      <c r="D32" s="303">
        <f>D31*D38</f>
        <v>745989.29999999993</v>
      </c>
      <c r="E32" s="298"/>
      <c r="F32" s="299">
        <f>F31*F38</f>
        <v>156285.07259999998</v>
      </c>
      <c r="G32" s="299"/>
      <c r="H32" s="304">
        <f>H31*H38</f>
        <v>82059.538</v>
      </c>
      <c r="I32" s="304"/>
      <c r="J32" s="303">
        <f>J31*J38</f>
        <v>111898.39499999999</v>
      </c>
      <c r="K32" s="299"/>
      <c r="L32" s="299">
        <f>L31*L38</f>
        <v>17000</v>
      </c>
      <c r="M32" s="299"/>
      <c r="N32" s="304">
        <f>N31*N38</f>
        <v>85500</v>
      </c>
      <c r="O32" s="299"/>
      <c r="P32" s="304">
        <f>P31*P38</f>
        <v>110500</v>
      </c>
      <c r="Q32" s="299"/>
      <c r="R32" s="304"/>
      <c r="S32" s="299"/>
      <c r="T32" s="299"/>
      <c r="U32" s="300"/>
      <c r="V32" s="299"/>
      <c r="W32" s="301"/>
      <c r="X32" s="5"/>
    </row>
    <row r="33" spans="1:27" ht="15.75" x14ac:dyDescent="0.25">
      <c r="A33" s="295"/>
      <c r="B33" s="297" t="s">
        <v>134</v>
      </c>
      <c r="C33" s="298"/>
      <c r="D33" s="394">
        <f>D37*D31</f>
        <v>737586.70000000007</v>
      </c>
      <c r="E33" s="310"/>
      <c r="F33" s="312">
        <f>F37*F31</f>
        <v>154524.7279</v>
      </c>
      <c r="G33" s="312"/>
      <c r="H33" s="395">
        <f>H31*H37</f>
        <v>81135.27399999999</v>
      </c>
      <c r="I33" s="395"/>
      <c r="J33" s="394">
        <f>J37*J31</f>
        <v>110638.005</v>
      </c>
      <c r="K33" s="312"/>
      <c r="L33" s="312">
        <f>L31*L37</f>
        <v>17000</v>
      </c>
      <c r="M33" s="312"/>
      <c r="N33" s="395">
        <f>N31*N37</f>
        <v>85500</v>
      </c>
      <c r="O33" s="312"/>
      <c r="P33" s="395">
        <f>P31*P37</f>
        <v>110500</v>
      </c>
      <c r="Q33" s="312"/>
      <c r="R33" s="395"/>
      <c r="S33" s="299"/>
      <c r="T33" s="299"/>
      <c r="U33" s="300"/>
      <c r="V33" s="299"/>
      <c r="W33" s="301"/>
      <c r="X33" s="5"/>
    </row>
    <row r="34" spans="1:27" ht="15.75" x14ac:dyDescent="0.25">
      <c r="A34" s="393"/>
      <c r="B34" s="286" t="s">
        <v>286</v>
      </c>
      <c r="C34" s="310"/>
      <c r="D34" s="299">
        <v>492951</v>
      </c>
      <c r="E34" s="298"/>
      <c r="F34" s="299">
        <v>209500</v>
      </c>
      <c r="G34" s="299"/>
      <c r="H34" s="299">
        <v>74677</v>
      </c>
      <c r="I34" s="299"/>
      <c r="J34" s="299">
        <v>73943</v>
      </c>
      <c r="K34" s="299"/>
      <c r="L34" s="299">
        <v>17000</v>
      </c>
      <c r="M34" s="299"/>
      <c r="N34" s="299">
        <v>58045</v>
      </c>
      <c r="O34" s="299"/>
      <c r="P34" s="299">
        <v>75017</v>
      </c>
      <c r="Q34" s="299"/>
      <c r="R34" s="299"/>
      <c r="S34" s="312"/>
      <c r="T34" s="312"/>
      <c r="U34" s="306"/>
      <c r="V34" s="299">
        <f>SUM(C34:R34)</f>
        <v>1001133</v>
      </c>
      <c r="W34" s="301"/>
      <c r="X34" s="5"/>
    </row>
    <row r="35" spans="1:27" ht="15.75" x14ac:dyDescent="0.25">
      <c r="A35" s="393"/>
      <c r="B35" s="286" t="s">
        <v>287</v>
      </c>
      <c r="C35" s="310"/>
      <c r="D35" s="299">
        <f>D34*D38</f>
        <v>367736.1714243</v>
      </c>
      <c r="E35" s="298"/>
      <c r="F35" s="299">
        <f>F34*F38</f>
        <v>156285.07259999998</v>
      </c>
      <c r="G35" s="299"/>
      <c r="H35" s="299">
        <f>H34*H38</f>
        <v>55708.728356599997</v>
      </c>
      <c r="I35" s="299"/>
      <c r="J35" s="299">
        <f>J34*J38</f>
        <v>55160.686809899998</v>
      </c>
      <c r="K35" s="299"/>
      <c r="L35" s="299">
        <f>L34*L38</f>
        <v>17000</v>
      </c>
      <c r="M35" s="299"/>
      <c r="N35" s="299">
        <f>N34*N38</f>
        <v>58045</v>
      </c>
      <c r="O35" s="299"/>
      <c r="P35" s="299">
        <f>P34*P38</f>
        <v>75017</v>
      </c>
      <c r="Q35" s="299"/>
      <c r="R35" s="299"/>
      <c r="S35" s="299"/>
      <c r="T35" s="299"/>
      <c r="U35" s="300"/>
      <c r="V35" s="299">
        <f>SUM(C35:R35)-1</f>
        <v>784951.65919080004</v>
      </c>
      <c r="W35" s="301"/>
      <c r="X35" s="5"/>
    </row>
    <row r="36" spans="1:27" ht="15.75" x14ac:dyDescent="0.25">
      <c r="A36" s="393"/>
      <c r="B36" s="297" t="s">
        <v>288</v>
      </c>
      <c r="C36" s="310"/>
      <c r="D36" s="312">
        <f>D34*D37</f>
        <v>363594.10135170002</v>
      </c>
      <c r="E36" s="310"/>
      <c r="F36" s="312">
        <f>F34*F37</f>
        <v>154524.7279</v>
      </c>
      <c r="G36" s="312"/>
      <c r="H36" s="312">
        <f>H34*H37</f>
        <v>55081.262331799997</v>
      </c>
      <c r="I36" s="312"/>
      <c r="J36" s="312">
        <f>J34*J37</f>
        <v>54539.373358100005</v>
      </c>
      <c r="K36" s="312"/>
      <c r="L36" s="312">
        <f>L34*L37</f>
        <v>17000</v>
      </c>
      <c r="M36" s="312"/>
      <c r="N36" s="312">
        <f>N34*N37</f>
        <v>58045</v>
      </c>
      <c r="O36" s="312"/>
      <c r="P36" s="312">
        <f>P34*P37</f>
        <v>75017</v>
      </c>
      <c r="Q36" s="312"/>
      <c r="R36" s="312"/>
      <c r="S36" s="311"/>
      <c r="T36" s="311"/>
      <c r="U36" s="300"/>
      <c r="V36" s="312">
        <f>SUM(C36:R36)</f>
        <v>777801.46494159999</v>
      </c>
      <c r="W36" s="301"/>
      <c r="X36" s="5"/>
    </row>
    <row r="37" spans="1:27" ht="15.75" x14ac:dyDescent="0.25">
      <c r="A37" s="285"/>
      <c r="B37" s="313" t="s">
        <v>130</v>
      </c>
      <c r="C37" s="314"/>
      <c r="D37" s="315">
        <v>0.73758670000000004</v>
      </c>
      <c r="E37" s="315"/>
      <c r="F37" s="315">
        <v>0.73758820000000003</v>
      </c>
      <c r="G37" s="315"/>
      <c r="H37" s="315">
        <v>0.73759339999999995</v>
      </c>
      <c r="I37" s="315"/>
      <c r="J37" s="315">
        <v>0.73758670000000004</v>
      </c>
      <c r="K37" s="315"/>
      <c r="L37" s="315">
        <v>1</v>
      </c>
      <c r="M37" s="315"/>
      <c r="N37" s="315">
        <v>1</v>
      </c>
      <c r="O37" s="315"/>
      <c r="P37" s="315">
        <v>1</v>
      </c>
      <c r="Q37" s="315"/>
      <c r="R37" s="315"/>
      <c r="S37" s="316"/>
      <c r="T37" s="316"/>
      <c r="U37" s="317"/>
      <c r="V37" s="317"/>
      <c r="W37" s="318"/>
      <c r="X37" s="5"/>
    </row>
    <row r="38" spans="1:27" ht="15.75" x14ac:dyDescent="0.25">
      <c r="A38" s="285"/>
      <c r="B38" s="313" t="s">
        <v>131</v>
      </c>
      <c r="C38" s="314"/>
      <c r="D38" s="315">
        <v>0.74598929999999997</v>
      </c>
      <c r="E38" s="315"/>
      <c r="F38" s="315">
        <v>0.74599079999999995</v>
      </c>
      <c r="G38" s="315"/>
      <c r="H38" s="315">
        <v>0.74599579999999999</v>
      </c>
      <c r="I38" s="315"/>
      <c r="J38" s="315">
        <v>0.74598929999999997</v>
      </c>
      <c r="K38" s="315"/>
      <c r="L38" s="315">
        <v>1</v>
      </c>
      <c r="M38" s="315"/>
      <c r="N38" s="315">
        <v>1</v>
      </c>
      <c r="O38" s="315"/>
      <c r="P38" s="315">
        <v>1</v>
      </c>
      <c r="Q38" s="315"/>
      <c r="R38" s="315"/>
      <c r="S38" s="319"/>
      <c r="T38" s="320"/>
      <c r="U38" s="317"/>
      <c r="V38" s="319"/>
      <c r="W38" s="318"/>
      <c r="X38" s="5"/>
    </row>
    <row r="39" spans="1:27" ht="15.75" x14ac:dyDescent="0.25">
      <c r="A39" s="285"/>
      <c r="B39" s="286" t="s">
        <v>11</v>
      </c>
      <c r="C39" s="286"/>
      <c r="D39" s="296" t="s">
        <v>304</v>
      </c>
      <c r="E39" s="286"/>
      <c r="F39" s="296" t="s">
        <v>256</v>
      </c>
      <c r="G39" s="296"/>
      <c r="H39" s="296" t="s">
        <v>257</v>
      </c>
      <c r="I39" s="296"/>
      <c r="J39" s="296" t="s">
        <v>258</v>
      </c>
      <c r="K39" s="296"/>
      <c r="L39" s="296" t="s">
        <v>259</v>
      </c>
      <c r="M39" s="296"/>
      <c r="N39" s="296" t="s">
        <v>259</v>
      </c>
      <c r="O39" s="296"/>
      <c r="P39" s="296" t="s">
        <v>260</v>
      </c>
      <c r="Q39" s="296"/>
      <c r="R39" s="296"/>
      <c r="S39" s="321"/>
      <c r="T39" s="322"/>
      <c r="U39" s="288"/>
      <c r="V39" s="288"/>
      <c r="W39" s="289"/>
      <c r="X39" s="5"/>
    </row>
    <row r="40" spans="1:27" ht="15.75" x14ac:dyDescent="0.25">
      <c r="A40" s="285"/>
      <c r="B40" s="286" t="s">
        <v>12</v>
      </c>
      <c r="C40" s="286"/>
      <c r="D40" s="322">
        <v>3.3110000000000001E-3</v>
      </c>
      <c r="E40" s="286"/>
      <c r="F40" s="322">
        <v>7.8063000000000004E-3</v>
      </c>
      <c r="G40" s="321"/>
      <c r="H40" s="322">
        <v>5.4400000000000004E-3</v>
      </c>
      <c r="I40" s="322"/>
      <c r="J40" s="322">
        <v>4.5335000000000002E-3</v>
      </c>
      <c r="K40" s="321"/>
      <c r="L40" s="322">
        <v>1.0606300000000001E-2</v>
      </c>
      <c r="M40" s="321"/>
      <c r="N40" s="322">
        <v>8.4399999999999996E-3</v>
      </c>
      <c r="O40" s="321"/>
      <c r="P40" s="322">
        <v>1.404E-2</v>
      </c>
      <c r="Q40" s="321"/>
      <c r="R40" s="322"/>
      <c r="S40" s="321"/>
      <c r="T40" s="322"/>
      <c r="U40" s="288"/>
      <c r="V40" s="296"/>
      <c r="W40" s="289"/>
      <c r="X40" s="5"/>
      <c r="AA40" s="1" t="s">
        <v>193</v>
      </c>
    </row>
    <row r="41" spans="1:27" ht="15.75" x14ac:dyDescent="0.25">
      <c r="A41" s="285"/>
      <c r="B41" s="286" t="s">
        <v>13</v>
      </c>
      <c r="C41" s="286"/>
      <c r="D41" s="322">
        <v>3.3449999999999999E-3</v>
      </c>
      <c r="E41" s="286"/>
      <c r="F41" s="322">
        <v>7.8519000000000002E-3</v>
      </c>
      <c r="G41" s="321"/>
      <c r="H41" s="322">
        <v>5.1700000000000001E-3</v>
      </c>
      <c r="I41" s="322"/>
      <c r="J41" s="322">
        <v>4.6284999999999998E-3</v>
      </c>
      <c r="K41" s="321"/>
      <c r="L41" s="322">
        <v>1.0651900000000001E-2</v>
      </c>
      <c r="M41" s="321"/>
      <c r="N41" s="322">
        <v>8.1700000000000002E-3</v>
      </c>
      <c r="O41" s="321"/>
      <c r="P41" s="322">
        <v>1.3769999999999999E-2</v>
      </c>
      <c r="Q41" s="321"/>
      <c r="R41" s="322"/>
      <c r="S41" s="321"/>
      <c r="T41" s="322"/>
      <c r="U41" s="288"/>
      <c r="V41" s="321" t="s">
        <v>193</v>
      </c>
      <c r="W41" s="289"/>
      <c r="X41" s="5"/>
    </row>
    <row r="42" spans="1:27" ht="15.75" x14ac:dyDescent="0.25">
      <c r="A42" s="285"/>
      <c r="B42" s="286" t="s">
        <v>289</v>
      </c>
      <c r="C42" s="286"/>
      <c r="D42" s="296" t="s">
        <v>311</v>
      </c>
      <c r="E42" s="286"/>
      <c r="F42" s="296" t="s">
        <v>256</v>
      </c>
      <c r="G42" s="296"/>
      <c r="H42" s="296" t="s">
        <v>261</v>
      </c>
      <c r="I42" s="296"/>
      <c r="J42" s="296" t="s">
        <v>261</v>
      </c>
      <c r="K42" s="296"/>
      <c r="L42" s="296" t="s">
        <v>259</v>
      </c>
      <c r="M42" s="296"/>
      <c r="N42" s="296" t="s">
        <v>263</v>
      </c>
      <c r="O42" s="296"/>
      <c r="P42" s="296" t="s">
        <v>264</v>
      </c>
      <c r="Q42" s="296"/>
      <c r="R42" s="296"/>
      <c r="S42" s="321"/>
      <c r="T42" s="322"/>
      <c r="U42" s="288"/>
      <c r="V42" s="288"/>
      <c r="W42" s="289"/>
      <c r="X42" s="5"/>
    </row>
    <row r="43" spans="1:27" ht="15.75" x14ac:dyDescent="0.25">
      <c r="A43" s="285"/>
      <c r="B43" s="286" t="s">
        <v>290</v>
      </c>
      <c r="C43" s="323"/>
      <c r="D43" s="322">
        <v>7.2031999999999999E-3</v>
      </c>
      <c r="E43" s="322"/>
      <c r="F43" s="322">
        <f>+F40</f>
        <v>7.8063000000000004E-3</v>
      </c>
      <c r="G43" s="322"/>
      <c r="H43" s="322">
        <v>7.9562999999999995E-3</v>
      </c>
      <c r="I43" s="322"/>
      <c r="J43" s="322">
        <v>7.9863E-3</v>
      </c>
      <c r="K43" s="322"/>
      <c r="L43" s="322">
        <f>+L40</f>
        <v>1.0606300000000001E-2</v>
      </c>
      <c r="M43" s="322"/>
      <c r="N43" s="322">
        <v>1.1340299999999999E-2</v>
      </c>
      <c r="O43" s="322"/>
      <c r="P43" s="322">
        <v>1.75003E-2</v>
      </c>
      <c r="Q43" s="321"/>
      <c r="R43" s="322"/>
      <c r="S43" s="296"/>
      <c r="T43" s="296"/>
      <c r="U43" s="288"/>
      <c r="V43" s="321">
        <f>SUMPRODUCT(D43:R43,D35:R35)/V35</f>
        <v>8.7954783437896276E-3</v>
      </c>
      <c r="W43" s="289"/>
      <c r="X43" s="5"/>
    </row>
    <row r="44" spans="1:27" ht="15.75" x14ac:dyDescent="0.25">
      <c r="A44" s="285"/>
      <c r="B44" s="286" t="s">
        <v>291</v>
      </c>
      <c r="C44" s="323"/>
      <c r="D44" s="322">
        <v>7.2487999999999997E-3</v>
      </c>
      <c r="E44" s="322"/>
      <c r="F44" s="322">
        <f>+F41</f>
        <v>7.8519000000000002E-3</v>
      </c>
      <c r="G44" s="322"/>
      <c r="H44" s="322">
        <v>8.0018999999999993E-3</v>
      </c>
      <c r="I44" s="322"/>
      <c r="J44" s="322">
        <v>8.0318999999999998E-3</v>
      </c>
      <c r="K44" s="322"/>
      <c r="L44" s="322">
        <f>+L41</f>
        <v>1.0651900000000001E-2</v>
      </c>
      <c r="M44" s="322"/>
      <c r="N44" s="322">
        <v>1.1385899999999999E-2</v>
      </c>
      <c r="O44" s="322"/>
      <c r="P44" s="322">
        <v>1.75459E-2</v>
      </c>
      <c r="Q44" s="321"/>
      <c r="R44" s="322"/>
      <c r="S44" s="296"/>
      <c r="T44" s="296"/>
      <c r="U44" s="288"/>
      <c r="V44" s="288"/>
      <c r="W44" s="289"/>
      <c r="X44" s="5"/>
    </row>
    <row r="45" spans="1:27" ht="15.75" x14ac:dyDescent="0.25">
      <c r="A45" s="285"/>
      <c r="B45" s="286" t="s">
        <v>14</v>
      </c>
      <c r="C45" s="286"/>
      <c r="D45" s="323">
        <v>40709</v>
      </c>
      <c r="E45" s="323"/>
      <c r="F45" s="323">
        <v>40709</v>
      </c>
      <c r="G45" s="323"/>
      <c r="H45" s="323">
        <v>40709</v>
      </c>
      <c r="I45" s="323"/>
      <c r="J45" s="323">
        <v>40709</v>
      </c>
      <c r="K45" s="323"/>
      <c r="L45" s="323">
        <v>40709</v>
      </c>
      <c r="M45" s="323"/>
      <c r="N45" s="323">
        <v>40709</v>
      </c>
      <c r="O45" s="323"/>
      <c r="P45" s="323">
        <v>40709</v>
      </c>
      <c r="Q45" s="323"/>
      <c r="R45" s="323"/>
      <c r="S45" s="296"/>
      <c r="T45" s="296"/>
      <c r="U45" s="288"/>
      <c r="V45" s="288"/>
      <c r="W45" s="289"/>
      <c r="X45" s="5"/>
    </row>
    <row r="46" spans="1:27" ht="15.75" x14ac:dyDescent="0.25">
      <c r="A46" s="285"/>
      <c r="B46" s="286" t="s">
        <v>15</v>
      </c>
      <c r="C46" s="286"/>
      <c r="D46" s="323">
        <v>41075</v>
      </c>
      <c r="E46" s="323"/>
      <c r="F46" s="323">
        <v>41075</v>
      </c>
      <c r="G46" s="323"/>
      <c r="H46" s="323">
        <v>41075</v>
      </c>
      <c r="I46" s="323"/>
      <c r="J46" s="323">
        <v>41075</v>
      </c>
      <c r="K46" s="296"/>
      <c r="L46" s="323">
        <v>41075</v>
      </c>
      <c r="M46" s="296"/>
      <c r="N46" s="323">
        <v>41075</v>
      </c>
      <c r="O46" s="296"/>
      <c r="P46" s="323">
        <v>41075</v>
      </c>
      <c r="Q46" s="296"/>
      <c r="R46" s="323"/>
      <c r="S46" s="296"/>
      <c r="T46" s="296"/>
      <c r="U46" s="288"/>
      <c r="V46" s="288"/>
      <c r="W46" s="289"/>
      <c r="X46" s="5"/>
    </row>
    <row r="47" spans="1:27" ht="15.75" x14ac:dyDescent="0.25">
      <c r="A47" s="285"/>
      <c r="B47" s="286" t="s">
        <v>119</v>
      </c>
      <c r="C47" s="286"/>
      <c r="D47" s="296" t="s">
        <v>304</v>
      </c>
      <c r="E47" s="286"/>
      <c r="F47" s="296" t="s">
        <v>256</v>
      </c>
      <c r="G47" s="296"/>
      <c r="H47" s="296" t="s">
        <v>257</v>
      </c>
      <c r="I47" s="296"/>
      <c r="J47" s="296" t="s">
        <v>258</v>
      </c>
      <c r="K47" s="296"/>
      <c r="L47" s="296" t="s">
        <v>259</v>
      </c>
      <c r="M47" s="296"/>
      <c r="N47" s="296" t="s">
        <v>259</v>
      </c>
      <c r="O47" s="296"/>
      <c r="P47" s="296" t="s">
        <v>260</v>
      </c>
      <c r="Q47" s="296"/>
      <c r="R47" s="296"/>
      <c r="S47" s="325"/>
      <c r="T47" s="325"/>
      <c r="U47" s="325"/>
      <c r="V47" s="325"/>
      <c r="W47" s="289"/>
      <c r="X47" s="5"/>
    </row>
    <row r="48" spans="1:27" ht="15.75" x14ac:dyDescent="0.25">
      <c r="A48" s="285"/>
      <c r="B48" s="286" t="s">
        <v>292</v>
      </c>
      <c r="C48" s="286"/>
      <c r="D48" s="296" t="s">
        <v>311</v>
      </c>
      <c r="E48" s="286"/>
      <c r="F48" s="296" t="s">
        <v>256</v>
      </c>
      <c r="G48" s="296"/>
      <c r="H48" s="296" t="s">
        <v>261</v>
      </c>
      <c r="I48" s="296"/>
      <c r="J48" s="296" t="s">
        <v>261</v>
      </c>
      <c r="K48" s="296"/>
      <c r="L48" s="296" t="s">
        <v>259</v>
      </c>
      <c r="M48" s="296"/>
      <c r="N48" s="296" t="s">
        <v>263</v>
      </c>
      <c r="O48" s="296"/>
      <c r="P48" s="296" t="s">
        <v>264</v>
      </c>
      <c r="Q48" s="296"/>
      <c r="R48" s="296"/>
      <c r="S48" s="286"/>
      <c r="T48" s="286"/>
      <c r="U48" s="286"/>
      <c r="V48" s="321"/>
      <c r="W48" s="289"/>
      <c r="X48" s="5"/>
    </row>
    <row r="49" spans="1:25" ht="15.75" x14ac:dyDescent="0.25">
      <c r="A49" s="285"/>
      <c r="B49" s="286"/>
      <c r="C49" s="286"/>
      <c r="D49" s="296"/>
      <c r="E49" s="286"/>
      <c r="F49" s="296"/>
      <c r="G49" s="296"/>
      <c r="H49" s="296"/>
      <c r="I49" s="296"/>
      <c r="J49" s="296"/>
      <c r="K49" s="296"/>
      <c r="L49" s="296"/>
      <c r="M49" s="296"/>
      <c r="N49" s="296"/>
      <c r="O49" s="296"/>
      <c r="P49" s="296"/>
      <c r="Q49" s="296"/>
      <c r="R49" s="296"/>
      <c r="S49" s="286"/>
      <c r="T49" s="286"/>
      <c r="U49" s="286"/>
      <c r="V49" s="321" t="s">
        <v>193</v>
      </c>
      <c r="W49" s="289"/>
      <c r="X49" s="5"/>
    </row>
    <row r="50" spans="1:25" ht="15.75" x14ac:dyDescent="0.25">
      <c r="A50" s="285"/>
      <c r="B50" s="286" t="s">
        <v>169</v>
      </c>
      <c r="C50" s="286"/>
      <c r="D50" s="296"/>
      <c r="E50" s="286"/>
      <c r="F50" s="296"/>
      <c r="G50" s="296"/>
      <c r="H50" s="296"/>
      <c r="I50" s="296"/>
      <c r="J50" s="296"/>
      <c r="K50" s="296"/>
      <c r="L50" s="296"/>
      <c r="M50" s="296"/>
      <c r="N50" s="296"/>
      <c r="O50" s="296"/>
      <c r="P50" s="296"/>
      <c r="Q50" s="296"/>
      <c r="R50" s="296"/>
      <c r="S50" s="286"/>
      <c r="T50" s="286"/>
      <c r="U50" s="286"/>
      <c r="V50" s="321">
        <f>SUM(L34:R34)/SUM(D34:J34)</f>
        <v>0.17632136449250416</v>
      </c>
      <c r="W50" s="289"/>
      <c r="X50" s="5"/>
    </row>
    <row r="51" spans="1:25" ht="15.75" x14ac:dyDescent="0.25">
      <c r="A51" s="285"/>
      <c r="B51" s="286" t="s">
        <v>170</v>
      </c>
      <c r="C51" s="286"/>
      <c r="D51" s="286"/>
      <c r="E51" s="286"/>
      <c r="F51" s="326"/>
      <c r="G51" s="286"/>
      <c r="H51" s="286"/>
      <c r="I51" s="286"/>
      <c r="J51" s="286"/>
      <c r="K51" s="286"/>
      <c r="L51" s="286"/>
      <c r="M51" s="286"/>
      <c r="N51" s="286"/>
      <c r="O51" s="286"/>
      <c r="P51" s="286"/>
      <c r="Q51" s="286"/>
      <c r="R51" s="286"/>
      <c r="S51" s="286"/>
      <c r="T51" s="286"/>
      <c r="U51" s="286"/>
      <c r="V51" s="321">
        <f>SUM(L36:R36)/SUM(D36:J36)</f>
        <v>0.23905140329827854</v>
      </c>
      <c r="W51" s="289"/>
      <c r="X51" s="5"/>
    </row>
    <row r="52" spans="1:25" ht="15.75" x14ac:dyDescent="0.25">
      <c r="A52" s="285"/>
      <c r="B52" s="286" t="s">
        <v>171</v>
      </c>
      <c r="C52" s="286"/>
      <c r="D52" s="286"/>
      <c r="E52" s="286"/>
      <c r="F52" s="286"/>
      <c r="G52" s="286"/>
      <c r="H52" s="286"/>
      <c r="I52" s="286"/>
      <c r="J52" s="286"/>
      <c r="K52" s="286"/>
      <c r="L52" s="286"/>
      <c r="M52" s="286"/>
      <c r="N52" s="286"/>
      <c r="O52" s="286"/>
      <c r="P52" s="286"/>
      <c r="Q52" s="286"/>
      <c r="R52" s="286"/>
      <c r="S52" s="286"/>
      <c r="T52" s="296"/>
      <c r="U52" s="296"/>
      <c r="V52" s="299" t="s">
        <v>268</v>
      </c>
      <c r="W52" s="289"/>
      <c r="X52" s="5"/>
    </row>
    <row r="53" spans="1:25" ht="15.75" x14ac:dyDescent="0.25">
      <c r="A53" s="285"/>
      <c r="B53" s="286"/>
      <c r="C53" s="286"/>
      <c r="D53" s="286"/>
      <c r="E53" s="286"/>
      <c r="F53" s="286"/>
      <c r="G53" s="286"/>
      <c r="H53" s="286"/>
      <c r="I53" s="286"/>
      <c r="J53" s="286"/>
      <c r="K53" s="286"/>
      <c r="L53" s="286"/>
      <c r="M53" s="286"/>
      <c r="N53" s="286"/>
      <c r="O53" s="286"/>
      <c r="P53" s="286"/>
      <c r="Q53" s="286"/>
      <c r="R53" s="286"/>
      <c r="S53" s="286"/>
      <c r="T53" s="286"/>
      <c r="U53" s="286"/>
      <c r="V53" s="327"/>
      <c r="W53" s="289"/>
      <c r="X53" s="5"/>
    </row>
    <row r="54" spans="1:25" ht="15.75" x14ac:dyDescent="0.25">
      <c r="A54" s="285"/>
      <c r="B54" s="286" t="s">
        <v>202</v>
      </c>
      <c r="C54" s="286"/>
      <c r="D54" s="286"/>
      <c r="E54" s="286"/>
      <c r="F54" s="286"/>
      <c r="G54" s="286"/>
      <c r="H54" s="286"/>
      <c r="I54" s="286"/>
      <c r="J54" s="286"/>
      <c r="K54" s="286"/>
      <c r="L54" s="286"/>
      <c r="M54" s="286"/>
      <c r="N54" s="286"/>
      <c r="O54" s="286"/>
      <c r="P54" s="286"/>
      <c r="Q54" s="286"/>
      <c r="R54" s="286"/>
      <c r="S54" s="286"/>
      <c r="T54" s="286"/>
      <c r="U54" s="286"/>
      <c r="V54" s="311" t="s">
        <v>203</v>
      </c>
      <c r="W54" s="289"/>
      <c r="X54" s="5"/>
    </row>
    <row r="55" spans="1:25" ht="15.75" x14ac:dyDescent="0.25">
      <c r="A55" s="285"/>
      <c r="B55" s="286" t="s">
        <v>270</v>
      </c>
      <c r="C55" s="286"/>
      <c r="D55" s="286"/>
      <c r="E55" s="286"/>
      <c r="F55" s="286"/>
      <c r="G55" s="286"/>
      <c r="H55" s="286"/>
      <c r="I55" s="286"/>
      <c r="J55" s="286"/>
      <c r="K55" s="286"/>
      <c r="L55" s="286"/>
      <c r="M55" s="286"/>
      <c r="N55" s="286"/>
      <c r="O55" s="286"/>
      <c r="P55" s="286"/>
      <c r="Q55" s="286"/>
      <c r="R55" s="286"/>
      <c r="S55" s="286"/>
      <c r="T55" s="296"/>
      <c r="U55" s="296"/>
      <c r="V55" s="396" t="s">
        <v>111</v>
      </c>
      <c r="W55" s="289"/>
      <c r="X55" s="5"/>
    </row>
    <row r="56" spans="1:25" ht="15.75" x14ac:dyDescent="0.25">
      <c r="A56" s="285"/>
      <c r="B56" s="297" t="s">
        <v>201</v>
      </c>
      <c r="C56" s="297"/>
      <c r="D56" s="297"/>
      <c r="E56" s="297"/>
      <c r="F56" s="297"/>
      <c r="G56" s="297"/>
      <c r="H56" s="297"/>
      <c r="I56" s="297"/>
      <c r="J56" s="297"/>
      <c r="K56" s="297"/>
      <c r="L56" s="297"/>
      <c r="M56" s="297"/>
      <c r="N56" s="297"/>
      <c r="O56" s="297"/>
      <c r="P56" s="297"/>
      <c r="Q56" s="297"/>
      <c r="R56" s="297"/>
      <c r="S56" s="297"/>
      <c r="T56" s="397"/>
      <c r="U56" s="397"/>
      <c r="V56" s="398">
        <v>41806</v>
      </c>
      <c r="W56" s="289"/>
      <c r="X56" s="5"/>
    </row>
    <row r="57" spans="1:25" ht="15.75" x14ac:dyDescent="0.25">
      <c r="A57" s="285"/>
      <c r="B57" s="286" t="s">
        <v>121</v>
      </c>
      <c r="C57" s="286"/>
      <c r="D57" s="286"/>
      <c r="E57" s="286"/>
      <c r="F57" s="286"/>
      <c r="G57" s="286"/>
      <c r="H57" s="332"/>
      <c r="I57" s="332"/>
      <c r="J57" s="332"/>
      <c r="K57" s="332"/>
      <c r="L57" s="332"/>
      <c r="M57" s="332"/>
      <c r="N57" s="332"/>
      <c r="O57" s="332"/>
      <c r="P57" s="332"/>
      <c r="Q57" s="332"/>
      <c r="R57" s="286">
        <f>+V57-T57+1</f>
        <v>91</v>
      </c>
      <c r="S57" s="332"/>
      <c r="T57" s="333">
        <v>41624</v>
      </c>
      <c r="U57" s="334"/>
      <c r="V57" s="333">
        <v>41714</v>
      </c>
      <c r="W57" s="289"/>
      <c r="X57" s="5"/>
    </row>
    <row r="58" spans="1:25" ht="15.75" x14ac:dyDescent="0.25">
      <c r="A58" s="285"/>
      <c r="B58" s="286" t="s">
        <v>122</v>
      </c>
      <c r="C58" s="286"/>
      <c r="D58" s="286"/>
      <c r="E58" s="286"/>
      <c r="F58" s="286"/>
      <c r="G58" s="286"/>
      <c r="H58" s="286"/>
      <c r="I58" s="286"/>
      <c r="J58" s="286"/>
      <c r="K58" s="286"/>
      <c r="L58" s="286"/>
      <c r="M58" s="286"/>
      <c r="N58" s="286"/>
      <c r="O58" s="286"/>
      <c r="P58" s="286"/>
      <c r="Q58" s="286"/>
      <c r="R58" s="286">
        <f>+V58-T58+1</f>
        <v>91</v>
      </c>
      <c r="S58" s="286"/>
      <c r="T58" s="333">
        <v>41715</v>
      </c>
      <c r="U58" s="334"/>
      <c r="V58" s="333">
        <v>41805</v>
      </c>
      <c r="W58" s="289"/>
      <c r="X58" s="5"/>
    </row>
    <row r="59" spans="1:25" ht="15.75" x14ac:dyDescent="0.25">
      <c r="A59" s="285"/>
      <c r="B59" s="286" t="s">
        <v>223</v>
      </c>
      <c r="C59" s="286"/>
      <c r="D59" s="286"/>
      <c r="E59" s="286"/>
      <c r="F59" s="286"/>
      <c r="G59" s="286"/>
      <c r="H59" s="286"/>
      <c r="I59" s="286"/>
      <c r="J59" s="286"/>
      <c r="K59" s="286"/>
      <c r="L59" s="286"/>
      <c r="M59" s="286"/>
      <c r="N59" s="286"/>
      <c r="O59" s="286"/>
      <c r="P59" s="286"/>
      <c r="Q59" s="286"/>
      <c r="R59" s="286"/>
      <c r="S59" s="286"/>
      <c r="T59" s="333"/>
      <c r="U59" s="334"/>
      <c r="V59" s="333" t="s">
        <v>120</v>
      </c>
      <c r="W59" s="289"/>
      <c r="X59" s="5"/>
    </row>
    <row r="60" spans="1:25" ht="15.75" x14ac:dyDescent="0.25">
      <c r="A60" s="285"/>
      <c r="B60" s="286" t="s">
        <v>271</v>
      </c>
      <c r="C60" s="286"/>
      <c r="D60" s="286"/>
      <c r="E60" s="286"/>
      <c r="F60" s="286"/>
      <c r="G60" s="286"/>
      <c r="H60" s="286"/>
      <c r="I60" s="286"/>
      <c r="J60" s="286"/>
      <c r="K60" s="286"/>
      <c r="L60" s="286"/>
      <c r="M60" s="286"/>
      <c r="N60" s="286"/>
      <c r="O60" s="286"/>
      <c r="P60" s="286"/>
      <c r="Q60" s="286"/>
      <c r="R60" s="286"/>
      <c r="S60" s="286"/>
      <c r="T60" s="333"/>
      <c r="U60" s="334"/>
      <c r="V60" s="333" t="s">
        <v>154</v>
      </c>
      <c r="W60" s="289"/>
      <c r="X60" s="5"/>
      <c r="Y60" s="133"/>
    </row>
    <row r="61" spans="1:25" ht="15.75" x14ac:dyDescent="0.25">
      <c r="A61" s="285"/>
      <c r="B61" s="286" t="s">
        <v>16</v>
      </c>
      <c r="C61" s="286"/>
      <c r="D61" s="286"/>
      <c r="E61" s="286"/>
      <c r="F61" s="286"/>
      <c r="G61" s="286"/>
      <c r="H61" s="286"/>
      <c r="I61" s="286"/>
      <c r="J61" s="286"/>
      <c r="K61" s="286"/>
      <c r="L61" s="286"/>
      <c r="M61" s="286"/>
      <c r="N61" s="286"/>
      <c r="O61" s="286"/>
      <c r="P61" s="286"/>
      <c r="Q61" s="286"/>
      <c r="R61" s="286"/>
      <c r="S61" s="286"/>
      <c r="T61" s="333"/>
      <c r="U61" s="334"/>
      <c r="V61" s="333">
        <v>41792</v>
      </c>
      <c r="W61" s="289"/>
      <c r="X61" s="5"/>
    </row>
    <row r="62" spans="1:25" ht="15.75" x14ac:dyDescent="0.25">
      <c r="A62" s="181"/>
      <c r="B62" s="212"/>
      <c r="C62" s="212"/>
      <c r="D62" s="212"/>
      <c r="E62" s="212"/>
      <c r="F62" s="212"/>
      <c r="G62" s="212"/>
      <c r="H62" s="212"/>
      <c r="I62" s="212"/>
      <c r="J62" s="212"/>
      <c r="K62" s="212"/>
      <c r="L62" s="212"/>
      <c r="M62" s="212"/>
      <c r="N62" s="212"/>
      <c r="O62" s="212"/>
      <c r="P62" s="212"/>
      <c r="Q62" s="212"/>
      <c r="R62" s="212"/>
      <c r="S62" s="212"/>
      <c r="T62" s="283"/>
      <c r="U62" s="284"/>
      <c r="V62" s="283"/>
      <c r="W62" s="212"/>
      <c r="X62" s="5"/>
    </row>
    <row r="63" spans="1:25" ht="15.75" x14ac:dyDescent="0.25">
      <c r="A63" s="181"/>
      <c r="B63" s="183"/>
      <c r="C63" s="183"/>
      <c r="D63" s="183"/>
      <c r="E63" s="183"/>
      <c r="F63" s="183"/>
      <c r="G63" s="183"/>
      <c r="H63" s="183"/>
      <c r="I63" s="183"/>
      <c r="J63" s="183"/>
      <c r="K63" s="183"/>
      <c r="L63" s="183"/>
      <c r="M63" s="183"/>
      <c r="N63" s="183"/>
      <c r="O63" s="183"/>
      <c r="P63" s="183"/>
      <c r="Q63" s="183"/>
      <c r="R63" s="183"/>
      <c r="S63" s="183"/>
      <c r="T63" s="195"/>
      <c r="U63" s="196"/>
      <c r="V63" s="195"/>
      <c r="W63" s="183"/>
      <c r="X63" s="5"/>
    </row>
    <row r="64" spans="1:25" ht="19.5" thickBot="1" x14ac:dyDescent="0.35">
      <c r="A64" s="197"/>
      <c r="B64" s="270" t="s">
        <v>324</v>
      </c>
      <c r="C64" s="198"/>
      <c r="D64" s="198"/>
      <c r="E64" s="198"/>
      <c r="F64" s="198"/>
      <c r="G64" s="198"/>
      <c r="H64" s="198"/>
      <c r="I64" s="198"/>
      <c r="J64" s="198"/>
      <c r="K64" s="198"/>
      <c r="L64" s="198"/>
      <c r="M64" s="198"/>
      <c r="N64" s="198"/>
      <c r="O64" s="198"/>
      <c r="P64" s="198"/>
      <c r="Q64" s="198"/>
      <c r="R64" s="198"/>
      <c r="S64" s="198"/>
      <c r="T64" s="198"/>
      <c r="U64" s="198"/>
      <c r="V64" s="199"/>
      <c r="W64" s="200"/>
      <c r="X64" s="5"/>
    </row>
    <row r="65" spans="1:24" ht="15.75" x14ac:dyDescent="0.25">
      <c r="A65" s="224"/>
      <c r="B65" s="230" t="s">
        <v>17</v>
      </c>
      <c r="C65" s="225"/>
      <c r="D65" s="225"/>
      <c r="E65" s="225"/>
      <c r="F65" s="225"/>
      <c r="G65" s="225"/>
      <c r="H65" s="225"/>
      <c r="I65" s="225"/>
      <c r="J65" s="225"/>
      <c r="K65" s="225"/>
      <c r="L65" s="225"/>
      <c r="M65" s="225"/>
      <c r="N65" s="225"/>
      <c r="O65" s="225"/>
      <c r="P65" s="225"/>
      <c r="Q65" s="225"/>
      <c r="R65" s="225"/>
      <c r="S65" s="225"/>
      <c r="T65" s="225"/>
      <c r="U65" s="225"/>
      <c r="V65" s="231"/>
      <c r="W65" s="225"/>
      <c r="X65" s="5"/>
    </row>
    <row r="66" spans="1:24" ht="15.75" x14ac:dyDescent="0.25">
      <c r="A66" s="181"/>
      <c r="B66" s="189"/>
      <c r="C66" s="183"/>
      <c r="D66" s="183"/>
      <c r="E66" s="183"/>
      <c r="F66" s="183"/>
      <c r="G66" s="183"/>
      <c r="H66" s="183"/>
      <c r="I66" s="183"/>
      <c r="J66" s="183"/>
      <c r="K66" s="183"/>
      <c r="L66" s="183"/>
      <c r="M66" s="183"/>
      <c r="N66" s="183"/>
      <c r="O66" s="183"/>
      <c r="P66" s="183"/>
      <c r="Q66" s="183"/>
      <c r="R66" s="183"/>
      <c r="S66" s="183"/>
      <c r="T66" s="183"/>
      <c r="U66" s="183"/>
      <c r="V66" s="202"/>
      <c r="W66" s="183"/>
      <c r="X66" s="5"/>
    </row>
    <row r="67" spans="1:24" ht="47.25" x14ac:dyDescent="0.25">
      <c r="A67" s="181"/>
      <c r="B67" s="203" t="s">
        <v>18</v>
      </c>
      <c r="C67" s="204"/>
      <c r="D67" s="204"/>
      <c r="E67" s="204"/>
      <c r="F67" s="204"/>
      <c r="G67" s="204"/>
      <c r="H67" s="204"/>
      <c r="I67" s="204"/>
      <c r="J67" s="204"/>
      <c r="K67" s="204"/>
      <c r="L67" s="204" t="s">
        <v>94</v>
      </c>
      <c r="M67" s="204"/>
      <c r="N67" s="204" t="s">
        <v>96</v>
      </c>
      <c r="O67" s="204"/>
      <c r="P67" s="204" t="s">
        <v>98</v>
      </c>
      <c r="Q67" s="204"/>
      <c r="R67" s="204" t="s">
        <v>100</v>
      </c>
      <c r="S67" s="204"/>
      <c r="T67" s="204" t="s">
        <v>106</v>
      </c>
      <c r="U67" s="204"/>
      <c r="V67" s="205" t="s">
        <v>112</v>
      </c>
      <c r="W67" s="206"/>
      <c r="X67" s="5"/>
    </row>
    <row r="68" spans="1:24" ht="15.75" x14ac:dyDescent="0.25">
      <c r="A68" s="285"/>
      <c r="B68" s="286" t="s">
        <v>19</v>
      </c>
      <c r="C68" s="337"/>
      <c r="D68" s="337"/>
      <c r="E68" s="337"/>
      <c r="F68" s="337"/>
      <c r="G68" s="337"/>
      <c r="H68" s="337"/>
      <c r="I68" s="337"/>
      <c r="J68" s="337"/>
      <c r="K68" s="337"/>
      <c r="L68" s="337">
        <v>812446</v>
      </c>
      <c r="M68" s="337"/>
      <c r="N68" s="338">
        <v>784952</v>
      </c>
      <c r="O68" s="337"/>
      <c r="P68" s="337">
        <f>7151+146+59</f>
        <v>7356</v>
      </c>
      <c r="Q68" s="337"/>
      <c r="R68" s="337">
        <f>146+59</f>
        <v>205</v>
      </c>
      <c r="S68" s="337"/>
      <c r="T68" s="337">
        <v>0</v>
      </c>
      <c r="U68" s="337"/>
      <c r="V68" s="338">
        <f>+N68-P68+R68-T68</f>
        <v>777801</v>
      </c>
      <c r="W68" s="289"/>
      <c r="X68" s="5"/>
    </row>
    <row r="69" spans="1:24" ht="15.75" x14ac:dyDescent="0.25">
      <c r="A69" s="285"/>
      <c r="B69" s="286" t="s">
        <v>20</v>
      </c>
      <c r="C69" s="337"/>
      <c r="D69" s="337"/>
      <c r="E69" s="337"/>
      <c r="F69" s="337"/>
      <c r="G69" s="337"/>
      <c r="H69" s="337"/>
      <c r="I69" s="337"/>
      <c r="J69" s="337"/>
      <c r="K69" s="337"/>
      <c r="L69" s="337">
        <v>0</v>
      </c>
      <c r="M69" s="337"/>
      <c r="N69" s="338">
        <v>0</v>
      </c>
      <c r="O69" s="337"/>
      <c r="P69" s="337">
        <v>0</v>
      </c>
      <c r="Q69" s="337"/>
      <c r="R69" s="337">
        <v>0</v>
      </c>
      <c r="S69" s="337"/>
      <c r="T69" s="337">
        <v>0</v>
      </c>
      <c r="U69" s="337"/>
      <c r="V69" s="338">
        <f>+L69-P69</f>
        <v>0</v>
      </c>
      <c r="W69" s="289"/>
      <c r="X69" s="5"/>
    </row>
    <row r="70" spans="1:24" ht="15.75" x14ac:dyDescent="0.25">
      <c r="A70" s="285"/>
      <c r="B70" s="286"/>
      <c r="C70" s="337"/>
      <c r="D70" s="337"/>
      <c r="E70" s="337"/>
      <c r="F70" s="337"/>
      <c r="G70" s="337"/>
      <c r="H70" s="337"/>
      <c r="I70" s="337"/>
      <c r="J70" s="337"/>
      <c r="K70" s="337"/>
      <c r="L70" s="337"/>
      <c r="M70" s="337"/>
      <c r="N70" s="338"/>
      <c r="O70" s="337"/>
      <c r="P70" s="337"/>
      <c r="Q70" s="337"/>
      <c r="R70" s="337"/>
      <c r="S70" s="337"/>
      <c r="T70" s="337"/>
      <c r="U70" s="337"/>
      <c r="V70" s="338"/>
      <c r="W70" s="289"/>
      <c r="X70" s="5"/>
    </row>
    <row r="71" spans="1:24" ht="15.75" x14ac:dyDescent="0.25">
      <c r="A71" s="285"/>
      <c r="B71" s="286" t="s">
        <v>21</v>
      </c>
      <c r="C71" s="337"/>
      <c r="D71" s="337"/>
      <c r="E71" s="337"/>
      <c r="F71" s="337"/>
      <c r="G71" s="337"/>
      <c r="H71" s="337"/>
      <c r="I71" s="337"/>
      <c r="J71" s="337"/>
      <c r="K71" s="337"/>
      <c r="L71" s="337">
        <f>SUM(L68:L70)</f>
        <v>812446</v>
      </c>
      <c r="M71" s="337"/>
      <c r="N71" s="337">
        <f>N68+N69</f>
        <v>784952</v>
      </c>
      <c r="O71" s="337"/>
      <c r="P71" s="337">
        <f>SUM(P68:P70)</f>
        <v>7356</v>
      </c>
      <c r="Q71" s="337"/>
      <c r="R71" s="337">
        <f>SUM(R68:R70)</f>
        <v>205</v>
      </c>
      <c r="S71" s="337"/>
      <c r="T71" s="337">
        <f>SUM(T68:T70)</f>
        <v>0</v>
      </c>
      <c r="U71" s="337"/>
      <c r="V71" s="337">
        <f>SUM(V68:V70)</f>
        <v>777801</v>
      </c>
      <c r="W71" s="289"/>
      <c r="X71" s="5"/>
    </row>
    <row r="72" spans="1:24" ht="15.75" x14ac:dyDescent="0.25">
      <c r="A72" s="181"/>
      <c r="B72" s="212"/>
      <c r="C72" s="335"/>
      <c r="D72" s="335"/>
      <c r="E72" s="335"/>
      <c r="F72" s="335"/>
      <c r="G72" s="335"/>
      <c r="H72" s="335"/>
      <c r="I72" s="335"/>
      <c r="J72" s="335"/>
      <c r="K72" s="335"/>
      <c r="L72" s="335"/>
      <c r="M72" s="335"/>
      <c r="N72" s="335"/>
      <c r="O72" s="335"/>
      <c r="P72" s="335"/>
      <c r="Q72" s="335"/>
      <c r="R72" s="335"/>
      <c r="S72" s="335"/>
      <c r="T72" s="335"/>
      <c r="U72" s="335"/>
      <c r="V72" s="336"/>
      <c r="W72" s="212"/>
      <c r="X72" s="5"/>
    </row>
    <row r="73" spans="1:24" ht="15.75" x14ac:dyDescent="0.25">
      <c r="A73" s="181"/>
      <c r="B73" s="185" t="s">
        <v>22</v>
      </c>
      <c r="C73" s="207"/>
      <c r="D73" s="207"/>
      <c r="E73" s="207"/>
      <c r="F73" s="207"/>
      <c r="G73" s="207"/>
      <c r="H73" s="207"/>
      <c r="I73" s="207"/>
      <c r="J73" s="207"/>
      <c r="K73" s="207"/>
      <c r="L73" s="207"/>
      <c r="M73" s="207"/>
      <c r="N73" s="207"/>
      <c r="O73" s="207"/>
      <c r="P73" s="207"/>
      <c r="Q73" s="207"/>
      <c r="R73" s="207"/>
      <c r="S73" s="207"/>
      <c r="T73" s="207"/>
      <c r="U73" s="207"/>
      <c r="V73" s="208"/>
      <c r="W73" s="183"/>
      <c r="X73" s="5"/>
    </row>
    <row r="74" spans="1:24" ht="15.75" x14ac:dyDescent="0.25">
      <c r="A74" s="181"/>
      <c r="B74" s="183"/>
      <c r="C74" s="207"/>
      <c r="D74" s="207"/>
      <c r="E74" s="207"/>
      <c r="F74" s="207"/>
      <c r="G74" s="207"/>
      <c r="H74" s="207"/>
      <c r="I74" s="207"/>
      <c r="J74" s="207"/>
      <c r="K74" s="207"/>
      <c r="L74" s="207"/>
      <c r="M74" s="207"/>
      <c r="N74" s="207"/>
      <c r="O74" s="207"/>
      <c r="P74" s="207"/>
      <c r="Q74" s="207"/>
      <c r="R74" s="207"/>
      <c r="S74" s="207"/>
      <c r="T74" s="207"/>
      <c r="U74" s="207"/>
      <c r="V74" s="208"/>
      <c r="W74" s="183"/>
      <c r="X74" s="5"/>
    </row>
    <row r="75" spans="1:24" ht="15.75" x14ac:dyDescent="0.25">
      <c r="A75" s="285"/>
      <c r="B75" s="286" t="s">
        <v>19</v>
      </c>
      <c r="C75" s="337"/>
      <c r="D75" s="337"/>
      <c r="E75" s="337"/>
      <c r="F75" s="337"/>
      <c r="G75" s="337"/>
      <c r="H75" s="337"/>
      <c r="I75" s="337"/>
      <c r="J75" s="337"/>
      <c r="K75" s="337"/>
      <c r="L75" s="337"/>
      <c r="M75" s="337"/>
      <c r="N75" s="337"/>
      <c r="O75" s="337"/>
      <c r="P75" s="337"/>
      <c r="Q75" s="337"/>
      <c r="R75" s="337"/>
      <c r="S75" s="337"/>
      <c r="T75" s="337"/>
      <c r="U75" s="337"/>
      <c r="V75" s="337"/>
      <c r="W75" s="289"/>
      <c r="X75" s="5"/>
    </row>
    <row r="76" spans="1:24" ht="15.75" x14ac:dyDescent="0.25">
      <c r="A76" s="285"/>
      <c r="B76" s="286" t="s">
        <v>20</v>
      </c>
      <c r="C76" s="337"/>
      <c r="D76" s="337"/>
      <c r="E76" s="337"/>
      <c r="F76" s="337"/>
      <c r="G76" s="337"/>
      <c r="H76" s="337"/>
      <c r="I76" s="337"/>
      <c r="J76" s="337"/>
      <c r="K76" s="337"/>
      <c r="L76" s="337"/>
      <c r="M76" s="337"/>
      <c r="N76" s="337"/>
      <c r="O76" s="337"/>
      <c r="P76" s="337"/>
      <c r="Q76" s="337"/>
      <c r="R76" s="337"/>
      <c r="S76" s="337"/>
      <c r="T76" s="337"/>
      <c r="U76" s="337"/>
      <c r="V76" s="337"/>
      <c r="W76" s="289"/>
      <c r="X76" s="5"/>
    </row>
    <row r="77" spans="1:24" ht="15.75" x14ac:dyDescent="0.25">
      <c r="A77" s="285"/>
      <c r="B77" s="286"/>
      <c r="C77" s="337"/>
      <c r="D77" s="337"/>
      <c r="E77" s="337"/>
      <c r="F77" s="337"/>
      <c r="G77" s="337"/>
      <c r="H77" s="337"/>
      <c r="I77" s="337"/>
      <c r="J77" s="337"/>
      <c r="K77" s="337"/>
      <c r="L77" s="337"/>
      <c r="M77" s="337"/>
      <c r="N77" s="337"/>
      <c r="O77" s="337"/>
      <c r="P77" s="337"/>
      <c r="Q77" s="337"/>
      <c r="R77" s="337"/>
      <c r="S77" s="337"/>
      <c r="T77" s="337"/>
      <c r="U77" s="337"/>
      <c r="V77" s="337"/>
      <c r="W77" s="289"/>
      <c r="X77" s="5"/>
    </row>
    <row r="78" spans="1:24" ht="15.75" x14ac:dyDescent="0.25">
      <c r="A78" s="285"/>
      <c r="B78" s="286" t="s">
        <v>21</v>
      </c>
      <c r="C78" s="337"/>
      <c r="D78" s="337"/>
      <c r="E78" s="337"/>
      <c r="F78" s="337"/>
      <c r="G78" s="337"/>
      <c r="H78" s="337"/>
      <c r="I78" s="337"/>
      <c r="J78" s="337"/>
      <c r="K78" s="337"/>
      <c r="L78" s="337"/>
      <c r="M78" s="337"/>
      <c r="N78" s="337"/>
      <c r="O78" s="337"/>
      <c r="P78" s="337"/>
      <c r="Q78" s="337"/>
      <c r="R78" s="337"/>
      <c r="S78" s="337"/>
      <c r="T78" s="337"/>
      <c r="U78" s="337"/>
      <c r="V78" s="337"/>
      <c r="W78" s="289"/>
      <c r="X78" s="5"/>
    </row>
    <row r="79" spans="1:24" ht="15.75" x14ac:dyDescent="0.25">
      <c r="A79" s="285"/>
      <c r="B79" s="286"/>
      <c r="C79" s="337"/>
      <c r="D79" s="337"/>
      <c r="E79" s="337"/>
      <c r="F79" s="337"/>
      <c r="G79" s="337"/>
      <c r="H79" s="337"/>
      <c r="I79" s="337"/>
      <c r="J79" s="337"/>
      <c r="K79" s="337"/>
      <c r="L79" s="337"/>
      <c r="M79" s="337"/>
      <c r="N79" s="337"/>
      <c r="O79" s="337"/>
      <c r="P79" s="337"/>
      <c r="Q79" s="337"/>
      <c r="R79" s="337"/>
      <c r="S79" s="337"/>
      <c r="T79" s="337"/>
      <c r="U79" s="337"/>
      <c r="V79" s="337"/>
      <c r="W79" s="289"/>
      <c r="X79" s="5"/>
    </row>
    <row r="80" spans="1:24" ht="15.75" x14ac:dyDescent="0.25">
      <c r="A80" s="285"/>
      <c r="B80" s="286" t="s">
        <v>23</v>
      </c>
      <c r="C80" s="337"/>
      <c r="D80" s="337"/>
      <c r="E80" s="337"/>
      <c r="F80" s="337"/>
      <c r="G80" s="337"/>
      <c r="H80" s="337"/>
      <c r="I80" s="337"/>
      <c r="J80" s="337"/>
      <c r="K80" s="337"/>
      <c r="L80" s="337">
        <v>0</v>
      </c>
      <c r="M80" s="337"/>
      <c r="N80" s="337">
        <v>0</v>
      </c>
      <c r="O80" s="337"/>
      <c r="P80" s="337"/>
      <c r="Q80" s="337"/>
      <c r="R80" s="337"/>
      <c r="S80" s="337"/>
      <c r="T80" s="337"/>
      <c r="U80" s="337"/>
      <c r="V80" s="338">
        <v>0</v>
      </c>
      <c r="W80" s="289"/>
      <c r="X80" s="5"/>
    </row>
    <row r="81" spans="1:24" ht="15.75" x14ac:dyDescent="0.25">
      <c r="A81" s="285"/>
      <c r="B81" s="286" t="s">
        <v>117</v>
      </c>
      <c r="C81" s="337"/>
      <c r="D81" s="337"/>
      <c r="E81" s="337"/>
      <c r="F81" s="337"/>
      <c r="G81" s="337"/>
      <c r="H81" s="337"/>
      <c r="I81" s="337"/>
      <c r="J81" s="337"/>
      <c r="K81" s="337"/>
      <c r="L81" s="337">
        <v>188687</v>
      </c>
      <c r="M81" s="337"/>
      <c r="N81" s="337">
        <v>0</v>
      </c>
      <c r="O81" s="337"/>
      <c r="P81" s="337">
        <v>0</v>
      </c>
      <c r="Q81" s="337"/>
      <c r="R81" s="337"/>
      <c r="S81" s="337"/>
      <c r="T81" s="337"/>
      <c r="U81" s="337"/>
      <c r="V81" s="337">
        <f>SUM(N81:R81)</f>
        <v>0</v>
      </c>
      <c r="W81" s="289"/>
      <c r="X81" s="5"/>
    </row>
    <row r="82" spans="1:24" ht="15.75" x14ac:dyDescent="0.25">
      <c r="A82" s="285"/>
      <c r="B82" s="286"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89"/>
      <c r="X82" s="5"/>
    </row>
    <row r="83" spans="1:24" ht="15.75" x14ac:dyDescent="0.25">
      <c r="A83" s="285"/>
      <c r="B83" s="286" t="s">
        <v>25</v>
      </c>
      <c r="C83" s="337"/>
      <c r="D83" s="337"/>
      <c r="E83" s="337"/>
      <c r="F83" s="337"/>
      <c r="G83" s="337"/>
      <c r="H83" s="337"/>
      <c r="I83" s="337"/>
      <c r="J83" s="337"/>
      <c r="K83" s="337"/>
      <c r="L83" s="337">
        <v>0</v>
      </c>
      <c r="M83" s="337"/>
      <c r="N83" s="337">
        <v>0</v>
      </c>
      <c r="O83" s="337"/>
      <c r="P83" s="337"/>
      <c r="Q83" s="337"/>
      <c r="R83" s="337"/>
      <c r="S83" s="337"/>
      <c r="T83" s="337"/>
      <c r="U83" s="337"/>
      <c r="V83" s="337">
        <v>0</v>
      </c>
      <c r="W83" s="289"/>
      <c r="X83" s="5"/>
    </row>
    <row r="84" spans="1:24" ht="15.75" x14ac:dyDescent="0.25">
      <c r="A84" s="285"/>
      <c r="B84" s="286" t="s">
        <v>26</v>
      </c>
      <c r="C84" s="337"/>
      <c r="D84" s="337"/>
      <c r="E84" s="337"/>
      <c r="F84" s="337"/>
      <c r="G84" s="337"/>
      <c r="H84" s="337"/>
      <c r="I84" s="337"/>
      <c r="J84" s="337"/>
      <c r="K84" s="337"/>
      <c r="L84" s="337">
        <f>SUM(L71:L83)</f>
        <v>1001133</v>
      </c>
      <c r="M84" s="337"/>
      <c r="N84" s="337">
        <f>SUM(N71:N83)</f>
        <v>784952</v>
      </c>
      <c r="O84" s="337"/>
      <c r="P84" s="337"/>
      <c r="Q84" s="337"/>
      <c r="R84" s="337"/>
      <c r="S84" s="337"/>
      <c r="T84" s="337"/>
      <c r="U84" s="337"/>
      <c r="V84" s="337">
        <f>SUM(V71:V83)</f>
        <v>777801</v>
      </c>
      <c r="W84" s="289"/>
      <c r="X84" s="5"/>
    </row>
    <row r="85" spans="1:24" ht="15.75" x14ac:dyDescent="0.25">
      <c r="A85" s="181"/>
      <c r="B85" s="212"/>
      <c r="C85" s="335"/>
      <c r="D85" s="335"/>
      <c r="E85" s="335"/>
      <c r="F85" s="335"/>
      <c r="G85" s="335"/>
      <c r="H85" s="335"/>
      <c r="I85" s="335"/>
      <c r="J85" s="335"/>
      <c r="K85" s="335"/>
      <c r="L85" s="335"/>
      <c r="M85" s="335"/>
      <c r="N85" s="335"/>
      <c r="O85" s="335"/>
      <c r="P85" s="335"/>
      <c r="Q85" s="335"/>
      <c r="R85" s="335"/>
      <c r="S85" s="335"/>
      <c r="T85" s="335"/>
      <c r="U85" s="335"/>
      <c r="V85" s="336"/>
      <c r="W85" s="212"/>
      <c r="X85" s="5"/>
    </row>
    <row r="86" spans="1:24" ht="15.75" x14ac:dyDescent="0.25">
      <c r="A86" s="181"/>
      <c r="B86" s="183"/>
      <c r="C86" s="183"/>
      <c r="D86" s="183"/>
      <c r="E86" s="183"/>
      <c r="F86" s="183"/>
      <c r="G86" s="183"/>
      <c r="H86" s="183"/>
      <c r="I86" s="183"/>
      <c r="J86" s="183"/>
      <c r="K86" s="183"/>
      <c r="L86" s="183"/>
      <c r="M86" s="183"/>
      <c r="N86" s="183"/>
      <c r="O86" s="183"/>
      <c r="P86" s="183"/>
      <c r="Q86" s="183"/>
      <c r="R86" s="183"/>
      <c r="S86" s="183"/>
      <c r="T86" s="183"/>
      <c r="U86" s="183"/>
      <c r="V86" s="183"/>
      <c r="W86" s="183"/>
      <c r="X86" s="5"/>
    </row>
    <row r="87" spans="1:24" ht="15.75" x14ac:dyDescent="0.25">
      <c r="A87" s="224"/>
      <c r="B87" s="399" t="s">
        <v>27</v>
      </c>
      <c r="C87" s="399"/>
      <c r="D87" s="399"/>
      <c r="E87" s="399"/>
      <c r="F87" s="399"/>
      <c r="G87" s="399"/>
      <c r="H87" s="400"/>
      <c r="I87" s="400"/>
      <c r="J87" s="400"/>
      <c r="K87" s="400"/>
      <c r="L87" s="401" t="s">
        <v>95</v>
      </c>
      <c r="M87" s="400"/>
      <c r="N87" s="402">
        <f>+T202</f>
        <v>41789</v>
      </c>
      <c r="O87" s="400"/>
      <c r="P87" s="400"/>
      <c r="Q87" s="400"/>
      <c r="R87" s="400"/>
      <c r="S87" s="400"/>
      <c r="T87" s="400" t="s">
        <v>107</v>
      </c>
      <c r="U87" s="400"/>
      <c r="V87" s="400" t="s">
        <v>113</v>
      </c>
      <c r="W87" s="225"/>
      <c r="X87" s="5"/>
    </row>
    <row r="88" spans="1:24" ht="15.75" x14ac:dyDescent="0.25">
      <c r="A88" s="248"/>
      <c r="B88" s="250" t="s">
        <v>28</v>
      </c>
      <c r="C88" s="194"/>
      <c r="D88" s="194"/>
      <c r="E88" s="194"/>
      <c r="F88" s="194"/>
      <c r="G88" s="194"/>
      <c r="H88" s="194"/>
      <c r="I88" s="194"/>
      <c r="J88" s="194"/>
      <c r="K88" s="194"/>
      <c r="L88" s="194"/>
      <c r="M88" s="194"/>
      <c r="N88" s="194"/>
      <c r="O88" s="194"/>
      <c r="P88" s="194"/>
      <c r="Q88" s="194"/>
      <c r="R88" s="194"/>
      <c r="S88" s="194"/>
      <c r="T88" s="249">
        <v>0</v>
      </c>
      <c r="U88" s="250"/>
      <c r="V88" s="253">
        <v>0</v>
      </c>
      <c r="W88" s="194"/>
      <c r="X88" s="5"/>
    </row>
    <row r="89" spans="1:24" ht="15.75" x14ac:dyDescent="0.25">
      <c r="A89" s="295"/>
      <c r="B89" s="286" t="s">
        <v>29</v>
      </c>
      <c r="C89" s="314"/>
      <c r="D89" s="314"/>
      <c r="E89" s="314"/>
      <c r="F89" s="314"/>
      <c r="G89" s="314"/>
      <c r="H89" s="339"/>
      <c r="I89" s="339"/>
      <c r="J89" s="339"/>
      <c r="K89" s="340"/>
      <c r="L89" s="339"/>
      <c r="M89" s="314"/>
      <c r="N89" s="341"/>
      <c r="O89" s="314"/>
      <c r="P89" s="314"/>
      <c r="Q89" s="314"/>
      <c r="R89" s="314"/>
      <c r="S89" s="314"/>
      <c r="T89" s="337">
        <f>7356-183</f>
        <v>7173</v>
      </c>
      <c r="U89" s="286"/>
      <c r="V89" s="338"/>
      <c r="W89" s="318"/>
      <c r="X89" s="5"/>
    </row>
    <row r="90" spans="1:24" ht="15.75" x14ac:dyDescent="0.25">
      <c r="A90" s="295"/>
      <c r="B90" s="286" t="s">
        <v>215</v>
      </c>
      <c r="C90" s="314"/>
      <c r="D90" s="314"/>
      <c r="E90" s="314"/>
      <c r="F90" s="314"/>
      <c r="G90" s="314"/>
      <c r="H90" s="339"/>
      <c r="I90" s="339"/>
      <c r="J90" s="339"/>
      <c r="K90" s="340"/>
      <c r="L90" s="339"/>
      <c r="M90" s="314"/>
      <c r="N90" s="341"/>
      <c r="O90" s="314"/>
      <c r="P90" s="314"/>
      <c r="Q90" s="314"/>
      <c r="R90" s="314"/>
      <c r="S90" s="314"/>
      <c r="T90" s="337"/>
      <c r="U90" s="286"/>
      <c r="V90" s="338">
        <f>3020+2640-325-411</f>
        <v>4924</v>
      </c>
      <c r="W90" s="318"/>
      <c r="X90" s="5"/>
    </row>
    <row r="91" spans="1:24" ht="15.75" x14ac:dyDescent="0.25">
      <c r="A91" s="295"/>
      <c r="B91" s="286" t="s">
        <v>210</v>
      </c>
      <c r="C91" s="314"/>
      <c r="D91" s="314"/>
      <c r="E91" s="314"/>
      <c r="F91" s="314"/>
      <c r="G91" s="314"/>
      <c r="H91" s="339"/>
      <c r="I91" s="339"/>
      <c r="J91" s="339"/>
      <c r="K91" s="340"/>
      <c r="L91" s="339"/>
      <c r="M91" s="314"/>
      <c r="N91" s="341"/>
      <c r="O91" s="314"/>
      <c r="P91" s="314"/>
      <c r="Q91" s="314"/>
      <c r="R91" s="314"/>
      <c r="S91" s="314"/>
      <c r="T91" s="337"/>
      <c r="U91" s="286"/>
      <c r="V91" s="338">
        <f>50+43</f>
        <v>93</v>
      </c>
      <c r="W91" s="318"/>
      <c r="X91" s="5"/>
    </row>
    <row r="92" spans="1:24" ht="15.75" x14ac:dyDescent="0.25">
      <c r="A92" s="295"/>
      <c r="B92" s="286" t="s">
        <v>211</v>
      </c>
      <c r="C92" s="314"/>
      <c r="D92" s="314"/>
      <c r="E92" s="314"/>
      <c r="F92" s="314"/>
      <c r="G92" s="314"/>
      <c r="H92" s="339"/>
      <c r="I92" s="339"/>
      <c r="J92" s="339"/>
      <c r="K92" s="340"/>
      <c r="L92" s="339"/>
      <c r="M92" s="314"/>
      <c r="N92" s="341"/>
      <c r="O92" s="314"/>
      <c r="P92" s="314"/>
      <c r="Q92" s="314"/>
      <c r="R92" s="314"/>
      <c r="S92" s="314"/>
      <c r="T92" s="337"/>
      <c r="U92" s="286"/>
      <c r="V92" s="338">
        <v>26</v>
      </c>
      <c r="W92" s="318"/>
      <c r="X92" s="5"/>
    </row>
    <row r="93" spans="1:24" ht="15.75" x14ac:dyDescent="0.25">
      <c r="A93" s="295"/>
      <c r="B93" s="286" t="s">
        <v>233</v>
      </c>
      <c r="C93" s="314"/>
      <c r="D93" s="314"/>
      <c r="E93" s="314"/>
      <c r="F93" s="314"/>
      <c r="G93" s="314"/>
      <c r="H93" s="339"/>
      <c r="I93" s="339"/>
      <c r="J93" s="339"/>
      <c r="K93" s="340"/>
      <c r="L93" s="339"/>
      <c r="M93" s="314"/>
      <c r="N93" s="341"/>
      <c r="O93" s="314"/>
      <c r="P93" s="314"/>
      <c r="Q93" s="314"/>
      <c r="R93" s="314"/>
      <c r="S93" s="314"/>
      <c r="T93" s="337"/>
      <c r="U93" s="286"/>
      <c r="V93" s="338">
        <v>0</v>
      </c>
      <c r="W93" s="318"/>
      <c r="X93" s="5"/>
    </row>
    <row r="94" spans="1:24" ht="15.75" x14ac:dyDescent="0.25">
      <c r="A94" s="295"/>
      <c r="B94" s="286" t="s">
        <v>235</v>
      </c>
      <c r="C94" s="314"/>
      <c r="D94" s="314"/>
      <c r="E94" s="314"/>
      <c r="F94" s="314"/>
      <c r="G94" s="314"/>
      <c r="H94" s="339"/>
      <c r="I94" s="339"/>
      <c r="J94" s="339"/>
      <c r="K94" s="340"/>
      <c r="L94" s="339"/>
      <c r="M94" s="314"/>
      <c r="N94" s="341"/>
      <c r="O94" s="314"/>
      <c r="P94" s="314"/>
      <c r="Q94" s="314"/>
      <c r="R94" s="314"/>
      <c r="S94" s="314"/>
      <c r="T94" s="337"/>
      <c r="U94" s="286"/>
      <c r="V94" s="338">
        <v>0</v>
      </c>
      <c r="W94" s="318"/>
      <c r="X94" s="5"/>
    </row>
    <row r="95" spans="1:24" ht="15.75" x14ac:dyDescent="0.25">
      <c r="A95" s="295"/>
      <c r="B95" s="286" t="s">
        <v>135</v>
      </c>
      <c r="C95" s="314"/>
      <c r="D95" s="314"/>
      <c r="E95" s="314"/>
      <c r="F95" s="314"/>
      <c r="G95" s="314"/>
      <c r="H95" s="314"/>
      <c r="I95" s="314"/>
      <c r="J95" s="314"/>
      <c r="K95" s="314"/>
      <c r="L95" s="314"/>
      <c r="M95" s="314"/>
      <c r="N95" s="314"/>
      <c r="O95" s="314"/>
      <c r="P95" s="314"/>
      <c r="Q95" s="314"/>
      <c r="R95" s="314"/>
      <c r="S95" s="314"/>
      <c r="T95" s="337"/>
      <c r="U95" s="286"/>
      <c r="V95" s="338">
        <v>0</v>
      </c>
      <c r="W95" s="318"/>
      <c r="X95" s="5"/>
    </row>
    <row r="96" spans="1:24" ht="15.75" x14ac:dyDescent="0.25">
      <c r="A96" s="295"/>
      <c r="B96" s="286" t="s">
        <v>272</v>
      </c>
      <c r="C96" s="314"/>
      <c r="D96" s="314"/>
      <c r="E96" s="314"/>
      <c r="F96" s="314"/>
      <c r="G96" s="314"/>
      <c r="H96" s="314"/>
      <c r="I96" s="314"/>
      <c r="J96" s="314"/>
      <c r="K96" s="314"/>
      <c r="L96" s="314"/>
      <c r="M96" s="314"/>
      <c r="N96" s="314"/>
      <c r="O96" s="314"/>
      <c r="P96" s="314"/>
      <c r="Q96" s="314"/>
      <c r="R96" s="314"/>
      <c r="S96" s="314"/>
      <c r="T96" s="337"/>
      <c r="U96" s="286"/>
      <c r="V96" s="338">
        <v>0</v>
      </c>
      <c r="W96" s="318"/>
      <c r="X96" s="5"/>
    </row>
    <row r="97" spans="1:25" ht="15.75" x14ac:dyDescent="0.25">
      <c r="A97" s="295"/>
      <c r="B97" s="286" t="s">
        <v>30</v>
      </c>
      <c r="C97" s="314"/>
      <c r="D97" s="314"/>
      <c r="E97" s="314"/>
      <c r="F97" s="314"/>
      <c r="G97" s="314"/>
      <c r="H97" s="314"/>
      <c r="I97" s="314"/>
      <c r="J97" s="314"/>
      <c r="K97" s="314"/>
      <c r="L97" s="314"/>
      <c r="M97" s="314"/>
      <c r="N97" s="314"/>
      <c r="O97" s="314"/>
      <c r="P97" s="314"/>
      <c r="Q97" s="314"/>
      <c r="R97" s="314"/>
      <c r="S97" s="314"/>
      <c r="T97" s="337">
        <f>SUM(T88:T96)</f>
        <v>7173</v>
      </c>
      <c r="U97" s="286"/>
      <c r="V97" s="337">
        <f>SUM(V88:V96)</f>
        <v>5043</v>
      </c>
      <c r="W97" s="318"/>
      <c r="X97" s="5"/>
    </row>
    <row r="98" spans="1:25" ht="15.75" x14ac:dyDescent="0.25">
      <c r="A98" s="295"/>
      <c r="B98" s="286" t="s">
        <v>161</v>
      </c>
      <c r="C98" s="314"/>
      <c r="D98" s="314"/>
      <c r="E98" s="314"/>
      <c r="F98" s="314"/>
      <c r="G98" s="314"/>
      <c r="H98" s="314"/>
      <c r="I98" s="314"/>
      <c r="J98" s="314"/>
      <c r="K98" s="314"/>
      <c r="L98" s="314"/>
      <c r="M98" s="314"/>
      <c r="N98" s="314"/>
      <c r="O98" s="314"/>
      <c r="P98" s="314"/>
      <c r="Q98" s="314"/>
      <c r="R98" s="314"/>
      <c r="S98" s="314"/>
      <c r="T98" s="337">
        <f>-V98</f>
        <v>0</v>
      </c>
      <c r="U98" s="286"/>
      <c r="V98" s="337">
        <v>0</v>
      </c>
      <c r="W98" s="318"/>
      <c r="X98" s="5"/>
    </row>
    <row r="99" spans="1:25" ht="15.75" x14ac:dyDescent="0.25">
      <c r="A99" s="295"/>
      <c r="B99" s="286" t="s">
        <v>31</v>
      </c>
      <c r="C99" s="314"/>
      <c r="D99" s="314"/>
      <c r="E99" s="314"/>
      <c r="F99" s="314"/>
      <c r="G99" s="314"/>
      <c r="H99" s="314"/>
      <c r="I99" s="314"/>
      <c r="J99" s="314"/>
      <c r="K99" s="314"/>
      <c r="L99" s="314"/>
      <c r="M99" s="314"/>
      <c r="N99" s="314"/>
      <c r="O99" s="314"/>
      <c r="P99" s="314"/>
      <c r="Q99" s="314"/>
      <c r="R99" s="314"/>
      <c r="S99" s="314"/>
      <c r="T99" s="337">
        <f>-V99</f>
        <v>0</v>
      </c>
      <c r="U99" s="286"/>
      <c r="V99" s="338">
        <v>0</v>
      </c>
      <c r="W99" s="318"/>
      <c r="X99" s="5"/>
    </row>
    <row r="100" spans="1:25" ht="15.75" x14ac:dyDescent="0.25">
      <c r="A100" s="295"/>
      <c r="B100" s="286" t="s">
        <v>274</v>
      </c>
      <c r="C100" s="314"/>
      <c r="D100" s="314"/>
      <c r="E100" s="314"/>
      <c r="F100" s="314"/>
      <c r="G100" s="314"/>
      <c r="H100" s="314"/>
      <c r="I100" s="314"/>
      <c r="J100" s="314"/>
      <c r="K100" s="314"/>
      <c r="L100" s="314"/>
      <c r="M100" s="314"/>
      <c r="N100" s="314"/>
      <c r="O100" s="314"/>
      <c r="P100" s="314"/>
      <c r="Q100" s="314"/>
      <c r="R100" s="314"/>
      <c r="S100" s="314"/>
      <c r="T100" s="337"/>
      <c r="U100" s="286"/>
      <c r="V100" s="338">
        <v>-380</v>
      </c>
      <c r="W100" s="318"/>
      <c r="X100" s="5"/>
    </row>
    <row r="101" spans="1:25" ht="15.75" x14ac:dyDescent="0.25">
      <c r="A101" s="295"/>
      <c r="B101" s="286" t="s">
        <v>32</v>
      </c>
      <c r="C101" s="314"/>
      <c r="D101" s="314"/>
      <c r="E101" s="314"/>
      <c r="F101" s="314"/>
      <c r="G101" s="314"/>
      <c r="H101" s="314"/>
      <c r="I101" s="314"/>
      <c r="J101" s="314"/>
      <c r="K101" s="314"/>
      <c r="L101" s="314"/>
      <c r="M101" s="314"/>
      <c r="N101" s="314"/>
      <c r="O101" s="314"/>
      <c r="P101" s="314"/>
      <c r="Q101" s="314"/>
      <c r="R101" s="314"/>
      <c r="S101" s="314"/>
      <c r="T101" s="337">
        <f>T97+T99+T98</f>
        <v>7173</v>
      </c>
      <c r="U101" s="286"/>
      <c r="V101" s="337">
        <f>V97+V99+V98+V100</f>
        <v>4663</v>
      </c>
      <c r="W101" s="318"/>
      <c r="X101" s="5"/>
    </row>
    <row r="102" spans="1:25" ht="15.75" x14ac:dyDescent="0.25">
      <c r="A102" s="285"/>
      <c r="B102" s="342" t="s">
        <v>33</v>
      </c>
      <c r="C102" s="314"/>
      <c r="D102" s="314"/>
      <c r="E102" s="314"/>
      <c r="F102" s="314"/>
      <c r="G102" s="314"/>
      <c r="H102" s="314"/>
      <c r="I102" s="314"/>
      <c r="J102" s="314"/>
      <c r="K102" s="314"/>
      <c r="L102" s="314"/>
      <c r="M102" s="314"/>
      <c r="N102" s="314"/>
      <c r="O102" s="314"/>
      <c r="P102" s="314"/>
      <c r="Q102" s="314"/>
      <c r="R102" s="314"/>
      <c r="S102" s="314"/>
      <c r="T102" s="337"/>
      <c r="U102" s="286"/>
      <c r="V102" s="338"/>
      <c r="W102" s="318"/>
      <c r="X102" s="5"/>
    </row>
    <row r="103" spans="1:25" ht="15.75" x14ac:dyDescent="0.25">
      <c r="A103" s="295">
        <v>1</v>
      </c>
      <c r="B103" s="286" t="s">
        <v>34</v>
      </c>
      <c r="C103" s="286"/>
      <c r="D103" s="286"/>
      <c r="E103" s="314"/>
      <c r="F103" s="314"/>
      <c r="G103" s="314"/>
      <c r="H103" s="314"/>
      <c r="I103" s="314"/>
      <c r="J103" s="314"/>
      <c r="K103" s="314"/>
      <c r="L103" s="314"/>
      <c r="M103" s="314"/>
      <c r="N103" s="314"/>
      <c r="O103" s="314"/>
      <c r="P103" s="314"/>
      <c r="Q103" s="314"/>
      <c r="R103" s="314"/>
      <c r="S103" s="314"/>
      <c r="T103" s="286"/>
      <c r="U103" s="286"/>
      <c r="V103" s="338">
        <v>0</v>
      </c>
      <c r="W103" s="318"/>
      <c r="X103" s="5"/>
    </row>
    <row r="104" spans="1:25" ht="15.75" x14ac:dyDescent="0.25">
      <c r="A104" s="295">
        <f>+A103+1</f>
        <v>2</v>
      </c>
      <c r="B104" s="286" t="s">
        <v>314</v>
      </c>
      <c r="C104" s="286"/>
      <c r="D104" s="286"/>
      <c r="E104" s="314"/>
      <c r="F104" s="314"/>
      <c r="G104" s="314"/>
      <c r="H104" s="314"/>
      <c r="I104" s="314"/>
      <c r="J104" s="314"/>
      <c r="K104" s="314"/>
      <c r="L104" s="314"/>
      <c r="M104" s="314"/>
      <c r="N104" s="314"/>
      <c r="O104" s="314"/>
      <c r="P104" s="314"/>
      <c r="Q104" s="314"/>
      <c r="R104" s="314"/>
      <c r="S104" s="314"/>
      <c r="T104" s="286"/>
      <c r="U104" s="286"/>
      <c r="V104" s="338">
        <v>-2</v>
      </c>
      <c r="W104" s="318"/>
      <c r="X104" s="5"/>
    </row>
    <row r="105" spans="1:25" ht="15.75" x14ac:dyDescent="0.25">
      <c r="A105" s="295">
        <f>+A104+1</f>
        <v>3</v>
      </c>
      <c r="B105" s="412" t="s">
        <v>316</v>
      </c>
      <c r="C105" s="286"/>
      <c r="D105" s="286"/>
      <c r="E105" s="314"/>
      <c r="F105" s="314"/>
      <c r="G105" s="314"/>
      <c r="H105" s="314"/>
      <c r="I105" s="314"/>
      <c r="J105" s="314"/>
      <c r="K105" s="314"/>
      <c r="L105" s="314"/>
      <c r="M105" s="314"/>
      <c r="N105" s="314"/>
      <c r="O105" s="314"/>
      <c r="P105" s="314"/>
      <c r="Q105" s="314"/>
      <c r="R105" s="314"/>
      <c r="S105" s="314"/>
      <c r="T105" s="286"/>
      <c r="U105" s="286"/>
      <c r="V105" s="338">
        <f>-300-156-10</f>
        <v>-466</v>
      </c>
      <c r="W105" s="318"/>
      <c r="X105" s="5"/>
    </row>
    <row r="106" spans="1:25" ht="15.75" x14ac:dyDescent="0.25">
      <c r="A106" s="295" t="s">
        <v>127</v>
      </c>
      <c r="B106" s="286" t="s">
        <v>116</v>
      </c>
      <c r="C106" s="286"/>
      <c r="D106" s="286"/>
      <c r="E106" s="314"/>
      <c r="F106" s="314"/>
      <c r="G106" s="314"/>
      <c r="H106" s="314"/>
      <c r="I106" s="314"/>
      <c r="J106" s="314"/>
      <c r="K106" s="314"/>
      <c r="L106" s="314"/>
      <c r="M106" s="314"/>
      <c r="N106" s="314"/>
      <c r="O106" s="314"/>
      <c r="P106" s="314"/>
      <c r="Q106" s="314"/>
      <c r="R106" s="314"/>
      <c r="S106" s="314"/>
      <c r="T106" s="286"/>
      <c r="U106" s="286"/>
      <c r="V106" s="338">
        <v>0</v>
      </c>
      <c r="W106" s="318"/>
      <c r="X106" s="5"/>
    </row>
    <row r="107" spans="1:25" ht="15.75" x14ac:dyDescent="0.25">
      <c r="A107" s="295" t="s">
        <v>128</v>
      </c>
      <c r="B107" s="286" t="s">
        <v>220</v>
      </c>
      <c r="C107" s="286"/>
      <c r="D107" s="286"/>
      <c r="E107" s="314"/>
      <c r="F107" s="314"/>
      <c r="G107" s="314"/>
      <c r="H107" s="314"/>
      <c r="I107" s="314"/>
      <c r="J107" s="314"/>
      <c r="K107" s="314"/>
      <c r="L107" s="314"/>
      <c r="M107" s="314"/>
      <c r="N107" s="314"/>
      <c r="O107" s="314"/>
      <c r="P107" s="314"/>
      <c r="Q107" s="314"/>
      <c r="R107" s="314"/>
      <c r="S107" s="314"/>
      <c r="T107" s="286"/>
      <c r="U107" s="286"/>
      <c r="V107" s="338">
        <f>-1185+304</f>
        <v>-881</v>
      </c>
      <c r="W107" s="318"/>
      <c r="X107" s="5"/>
      <c r="Y107" s="109"/>
    </row>
    <row r="108" spans="1:25" ht="15.75" x14ac:dyDescent="0.25">
      <c r="A108" s="295" t="s">
        <v>150</v>
      </c>
      <c r="B108" s="286" t="s">
        <v>184</v>
      </c>
      <c r="C108" s="286"/>
      <c r="D108" s="286"/>
      <c r="E108" s="314"/>
      <c r="F108" s="314"/>
      <c r="G108" s="314"/>
      <c r="H108" s="314"/>
      <c r="I108" s="314"/>
      <c r="J108" s="314"/>
      <c r="K108" s="314"/>
      <c r="L108" s="314"/>
      <c r="M108" s="314"/>
      <c r="N108" s="314"/>
      <c r="O108" s="314"/>
      <c r="P108" s="314"/>
      <c r="Q108" s="314"/>
      <c r="R108" s="314"/>
      <c r="S108" s="314"/>
      <c r="T108" s="286"/>
      <c r="U108" s="286"/>
      <c r="V108" s="338">
        <v>-304</v>
      </c>
      <c r="W108" s="318"/>
      <c r="X108" s="5"/>
      <c r="Y108" s="109"/>
    </row>
    <row r="109" spans="1:25" ht="15.75" x14ac:dyDescent="0.25">
      <c r="A109" s="295" t="s">
        <v>205</v>
      </c>
      <c r="B109" s="286" t="s">
        <v>185</v>
      </c>
      <c r="C109" s="286"/>
      <c r="D109" s="286"/>
      <c r="E109" s="314"/>
      <c r="F109" s="314"/>
      <c r="G109" s="314"/>
      <c r="H109" s="314"/>
      <c r="I109" s="314"/>
      <c r="J109" s="314"/>
      <c r="K109" s="314"/>
      <c r="L109" s="314"/>
      <c r="M109" s="314"/>
      <c r="N109" s="314"/>
      <c r="O109" s="314"/>
      <c r="P109" s="314"/>
      <c r="Q109" s="314"/>
      <c r="R109" s="314"/>
      <c r="S109" s="314"/>
      <c r="T109" s="286"/>
      <c r="U109" s="286"/>
      <c r="V109" s="338">
        <v>-164</v>
      </c>
      <c r="W109" s="318"/>
      <c r="X109" s="5"/>
      <c r="Y109" s="109"/>
    </row>
    <row r="110" spans="1:25" ht="15.75" x14ac:dyDescent="0.25">
      <c r="A110" s="295" t="s">
        <v>206</v>
      </c>
      <c r="B110" s="286" t="s">
        <v>186</v>
      </c>
      <c r="C110" s="286"/>
      <c r="D110" s="286"/>
      <c r="E110" s="314"/>
      <c r="F110" s="314"/>
      <c r="G110" s="314"/>
      <c r="H110" s="314"/>
      <c r="I110" s="314"/>
      <c r="J110" s="314"/>
      <c r="K110" s="314"/>
      <c r="L110" s="314"/>
      <c r="M110" s="314"/>
      <c r="N110" s="314"/>
      <c r="O110" s="314"/>
      <c r="P110" s="314"/>
      <c r="Q110" s="314"/>
      <c r="R110" s="314"/>
      <c r="S110" s="314"/>
      <c r="T110" s="286"/>
      <c r="U110" s="286"/>
      <c r="V110" s="338">
        <v>-45</v>
      </c>
      <c r="W110" s="318"/>
      <c r="X110" s="5"/>
      <c r="Y110" s="109"/>
    </row>
    <row r="111" spans="1:25" ht="15.75" x14ac:dyDescent="0.25">
      <c r="A111" s="295">
        <v>6</v>
      </c>
      <c r="B111" s="286" t="s">
        <v>196</v>
      </c>
      <c r="C111" s="286"/>
      <c r="D111" s="286"/>
      <c r="E111" s="314"/>
      <c r="F111" s="314"/>
      <c r="G111" s="314"/>
      <c r="H111" s="314"/>
      <c r="I111" s="314"/>
      <c r="J111" s="314"/>
      <c r="K111" s="314"/>
      <c r="L111" s="314"/>
      <c r="M111" s="314"/>
      <c r="N111" s="314"/>
      <c r="O111" s="314"/>
      <c r="P111" s="314"/>
      <c r="Q111" s="314"/>
      <c r="R111" s="314"/>
      <c r="S111" s="314"/>
      <c r="T111" s="286"/>
      <c r="U111" s="286"/>
      <c r="V111" s="338">
        <v>-327</v>
      </c>
      <c r="W111" s="318"/>
      <c r="X111" s="5"/>
      <c r="Y111" s="109"/>
    </row>
    <row r="112" spans="1:25" ht="15.75" x14ac:dyDescent="0.25">
      <c r="A112" s="295">
        <v>7</v>
      </c>
      <c r="B112" s="412" t="s">
        <v>315</v>
      </c>
      <c r="C112" s="286"/>
      <c r="D112" s="286"/>
      <c r="E112" s="314"/>
      <c r="F112" s="314"/>
      <c r="G112" s="314"/>
      <c r="H112" s="314"/>
      <c r="I112" s="314"/>
      <c r="J112" s="314"/>
      <c r="K112" s="314"/>
      <c r="L112" s="314"/>
      <c r="M112" s="314"/>
      <c r="N112" s="314"/>
      <c r="O112" s="314"/>
      <c r="P112" s="314"/>
      <c r="Q112" s="314"/>
      <c r="R112" s="314"/>
      <c r="S112" s="314"/>
      <c r="T112" s="286"/>
      <c r="U112" s="286"/>
      <c r="V112" s="338">
        <v>0</v>
      </c>
      <c r="W112" s="318"/>
      <c r="X112" s="5"/>
      <c r="Y112" s="109"/>
    </row>
    <row r="113" spans="1:24" ht="15.75" x14ac:dyDescent="0.25">
      <c r="A113" s="295">
        <v>8</v>
      </c>
      <c r="B113" s="286" t="s">
        <v>35</v>
      </c>
      <c r="C113" s="286"/>
      <c r="D113" s="286"/>
      <c r="E113" s="314"/>
      <c r="F113" s="314"/>
      <c r="G113" s="314"/>
      <c r="H113" s="314"/>
      <c r="I113" s="314"/>
      <c r="J113" s="314"/>
      <c r="K113" s="314"/>
      <c r="L113" s="314"/>
      <c r="M113" s="314"/>
      <c r="N113" s="314"/>
      <c r="O113" s="314"/>
      <c r="P113" s="314"/>
      <c r="Q113" s="314"/>
      <c r="R113" s="314"/>
      <c r="S113" s="314"/>
      <c r="T113" s="286"/>
      <c r="U113" s="286"/>
      <c r="V113" s="338">
        <v>-9</v>
      </c>
      <c r="W113" s="318"/>
      <c r="X113" s="5"/>
    </row>
    <row r="114" spans="1:24" ht="15.75" x14ac:dyDescent="0.25">
      <c r="A114" s="295">
        <f t="shared" ref="A114:A119" si="0">+A113+1</f>
        <v>9</v>
      </c>
      <c r="B114" s="286" t="s">
        <v>45</v>
      </c>
      <c r="C114" s="286"/>
      <c r="D114" s="286"/>
      <c r="E114" s="314"/>
      <c r="F114" s="314"/>
      <c r="G114" s="314"/>
      <c r="H114" s="314"/>
      <c r="I114" s="314"/>
      <c r="J114" s="314"/>
      <c r="K114" s="314"/>
      <c r="L114" s="314"/>
      <c r="M114" s="314"/>
      <c r="N114" s="314"/>
      <c r="O114" s="314"/>
      <c r="P114" s="314"/>
      <c r="Q114" s="314"/>
      <c r="R114" s="314"/>
      <c r="S114" s="314"/>
      <c r="T114" s="337">
        <f>-V114</f>
        <v>183</v>
      </c>
      <c r="U114" s="286"/>
      <c r="V114" s="338">
        <v>-183</v>
      </c>
      <c r="W114" s="318"/>
      <c r="X114" s="5"/>
    </row>
    <row r="115" spans="1:24" ht="15.75" x14ac:dyDescent="0.25">
      <c r="A115" s="295">
        <f t="shared" si="0"/>
        <v>10</v>
      </c>
      <c r="B115" s="286" t="s">
        <v>125</v>
      </c>
      <c r="C115" s="286"/>
      <c r="D115" s="286"/>
      <c r="E115" s="314"/>
      <c r="F115" s="314"/>
      <c r="G115" s="314"/>
      <c r="H115" s="314"/>
      <c r="I115" s="314"/>
      <c r="J115" s="314"/>
      <c r="K115" s="314"/>
      <c r="L115" s="314"/>
      <c r="M115" s="314"/>
      <c r="N115" s="314"/>
      <c r="O115" s="314"/>
      <c r="P115" s="314"/>
      <c r="Q115" s="314"/>
      <c r="R115" s="314"/>
      <c r="S115" s="314"/>
      <c r="T115" s="286"/>
      <c r="U115" s="286"/>
      <c r="V115" s="338">
        <v>0</v>
      </c>
      <c r="W115" s="318"/>
      <c r="X115" s="5"/>
    </row>
    <row r="116" spans="1:24" ht="15.75" x14ac:dyDescent="0.25">
      <c r="A116" s="295">
        <f t="shared" si="0"/>
        <v>11</v>
      </c>
      <c r="B116" s="286" t="s">
        <v>225</v>
      </c>
      <c r="C116" s="286"/>
      <c r="D116" s="286"/>
      <c r="E116" s="314"/>
      <c r="F116" s="314"/>
      <c r="G116" s="314"/>
      <c r="H116" s="314"/>
      <c r="I116" s="314"/>
      <c r="J116" s="314"/>
      <c r="K116" s="314"/>
      <c r="L116" s="314"/>
      <c r="M116" s="314"/>
      <c r="N116" s="314"/>
      <c r="O116" s="314"/>
      <c r="P116" s="314"/>
      <c r="Q116" s="314"/>
      <c r="R116" s="314"/>
      <c r="S116" s="314"/>
      <c r="T116" s="286"/>
      <c r="U116" s="286"/>
      <c r="V116" s="338">
        <v>0</v>
      </c>
      <c r="W116" s="318"/>
      <c r="X116" s="5"/>
    </row>
    <row r="117" spans="1:24" ht="15.75" x14ac:dyDescent="0.25">
      <c r="A117" s="295">
        <f t="shared" si="0"/>
        <v>12</v>
      </c>
      <c r="B117" s="286" t="s">
        <v>36</v>
      </c>
      <c r="C117" s="286"/>
      <c r="D117" s="286"/>
      <c r="E117" s="314"/>
      <c r="F117" s="314"/>
      <c r="G117" s="314"/>
      <c r="H117" s="314"/>
      <c r="I117" s="314"/>
      <c r="J117" s="314"/>
      <c r="K117" s="314"/>
      <c r="L117" s="314"/>
      <c r="M117" s="314"/>
      <c r="N117" s="314"/>
      <c r="O117" s="314"/>
      <c r="P117" s="314"/>
      <c r="Q117" s="314"/>
      <c r="R117" s="314"/>
      <c r="S117" s="314"/>
      <c r="T117" s="286"/>
      <c r="U117" s="286"/>
      <c r="V117" s="338">
        <v>0</v>
      </c>
      <c r="W117" s="318"/>
      <c r="X117" s="5"/>
    </row>
    <row r="118" spans="1:24" ht="15.75" x14ac:dyDescent="0.25">
      <c r="A118" s="295">
        <f t="shared" si="0"/>
        <v>13</v>
      </c>
      <c r="B118" s="286" t="s">
        <v>149</v>
      </c>
      <c r="C118" s="286"/>
      <c r="D118" s="286"/>
      <c r="E118" s="314"/>
      <c r="F118" s="314"/>
      <c r="G118" s="314"/>
      <c r="H118" s="314"/>
      <c r="I118" s="314"/>
      <c r="J118" s="314"/>
      <c r="K118" s="314"/>
      <c r="L118" s="314"/>
      <c r="M118" s="314"/>
      <c r="N118" s="314"/>
      <c r="O118" s="314"/>
      <c r="P118" s="314"/>
      <c r="Q118" s="314"/>
      <c r="R118" s="314"/>
      <c r="S118" s="314"/>
      <c r="T118" s="286"/>
      <c r="U118" s="286"/>
      <c r="V118" s="338">
        <v>-300</v>
      </c>
      <c r="W118" s="318"/>
      <c r="X118" s="5"/>
    </row>
    <row r="119" spans="1:24" ht="15.75" x14ac:dyDescent="0.25">
      <c r="A119" s="295">
        <f t="shared" si="0"/>
        <v>14</v>
      </c>
      <c r="B119" s="286" t="s">
        <v>126</v>
      </c>
      <c r="C119" s="286"/>
      <c r="D119" s="286"/>
      <c r="E119" s="314"/>
      <c r="F119" s="314"/>
      <c r="G119" s="314"/>
      <c r="H119" s="314"/>
      <c r="I119" s="314"/>
      <c r="J119" s="314"/>
      <c r="K119" s="314"/>
      <c r="L119" s="314"/>
      <c r="M119" s="314"/>
      <c r="N119" s="314"/>
      <c r="O119" s="314"/>
      <c r="P119" s="314"/>
      <c r="Q119" s="314"/>
      <c r="R119" s="314"/>
      <c r="S119" s="314"/>
      <c r="T119" s="286"/>
      <c r="U119" s="286"/>
      <c r="V119" s="338">
        <f>-V101-SUM(V103:V118)</f>
        <v>-1982</v>
      </c>
      <c r="W119" s="318"/>
      <c r="X119" s="5"/>
    </row>
    <row r="120" spans="1:24" ht="15.75" x14ac:dyDescent="0.25">
      <c r="A120" s="285"/>
      <c r="B120" s="342" t="s">
        <v>37</v>
      </c>
      <c r="C120" s="314"/>
      <c r="D120" s="314"/>
      <c r="E120" s="314"/>
      <c r="F120" s="314"/>
      <c r="G120" s="314"/>
      <c r="H120" s="314"/>
      <c r="I120" s="314"/>
      <c r="J120" s="314"/>
      <c r="K120" s="314"/>
      <c r="L120" s="314"/>
      <c r="M120" s="314"/>
      <c r="N120" s="314"/>
      <c r="O120" s="314"/>
      <c r="P120" s="314"/>
      <c r="Q120" s="314"/>
      <c r="R120" s="314"/>
      <c r="S120" s="314"/>
      <c r="T120" s="286"/>
      <c r="U120" s="286"/>
      <c r="V120" s="343"/>
      <c r="W120" s="318"/>
      <c r="X120" s="5"/>
    </row>
    <row r="121" spans="1:24" ht="15.75" x14ac:dyDescent="0.25">
      <c r="A121" s="285"/>
      <c r="B121" s="286" t="s">
        <v>173</v>
      </c>
      <c r="C121" s="314"/>
      <c r="D121" s="314"/>
      <c r="E121" s="314"/>
      <c r="F121" s="314"/>
      <c r="G121" s="314"/>
      <c r="H121" s="314"/>
      <c r="I121" s="314"/>
      <c r="J121" s="314"/>
      <c r="K121" s="314"/>
      <c r="L121" s="314"/>
      <c r="M121" s="314"/>
      <c r="N121" s="314"/>
      <c r="O121" s="314"/>
      <c r="P121" s="314"/>
      <c r="Q121" s="314"/>
      <c r="R121" s="314"/>
      <c r="S121" s="314"/>
      <c r="T121" s="337">
        <f>-T186</f>
        <v>0</v>
      </c>
      <c r="U121" s="337"/>
      <c r="V121" s="338"/>
      <c r="W121" s="318"/>
      <c r="X121" s="5"/>
    </row>
    <row r="122" spans="1:24" ht="15.75" x14ac:dyDescent="0.25">
      <c r="A122" s="285"/>
      <c r="B122" s="286" t="s">
        <v>174</v>
      </c>
      <c r="C122" s="314"/>
      <c r="D122" s="314"/>
      <c r="E122" s="314"/>
      <c r="F122" s="314"/>
      <c r="G122" s="314"/>
      <c r="H122" s="314"/>
      <c r="I122" s="314"/>
      <c r="J122" s="314"/>
      <c r="K122" s="314"/>
      <c r="L122" s="314"/>
      <c r="M122" s="314"/>
      <c r="N122" s="314"/>
      <c r="O122" s="314"/>
      <c r="P122" s="314"/>
      <c r="Q122" s="314"/>
      <c r="R122" s="314"/>
      <c r="S122" s="314"/>
      <c r="T122" s="337">
        <v>0</v>
      </c>
      <c r="U122" s="337"/>
      <c r="V122" s="338"/>
      <c r="W122" s="318"/>
      <c r="X122" s="5"/>
    </row>
    <row r="123" spans="1:24" ht="15.75" x14ac:dyDescent="0.25">
      <c r="A123" s="285"/>
      <c r="B123" s="286" t="s">
        <v>38</v>
      </c>
      <c r="C123" s="314"/>
      <c r="D123" s="314"/>
      <c r="E123" s="314"/>
      <c r="F123" s="314"/>
      <c r="G123" s="314"/>
      <c r="H123" s="314"/>
      <c r="I123" s="314"/>
      <c r="J123" s="314"/>
      <c r="K123" s="314"/>
      <c r="L123" s="314"/>
      <c r="M123" s="314"/>
      <c r="N123" s="314"/>
      <c r="O123" s="314"/>
      <c r="P123" s="314"/>
      <c r="Q123" s="314"/>
      <c r="R123" s="314"/>
      <c r="S123" s="314"/>
      <c r="T123" s="337">
        <f>-S186</f>
        <v>-205</v>
      </c>
      <c r="U123" s="337"/>
      <c r="V123" s="338"/>
      <c r="W123" s="318"/>
      <c r="X123" s="5"/>
    </row>
    <row r="124" spans="1:24" ht="15.75" x14ac:dyDescent="0.25">
      <c r="A124" s="285"/>
      <c r="B124" s="286" t="s">
        <v>197</v>
      </c>
      <c r="C124" s="314"/>
      <c r="D124" s="314"/>
      <c r="E124" s="314"/>
      <c r="F124" s="314"/>
      <c r="G124" s="314"/>
      <c r="H124" s="314"/>
      <c r="I124" s="314"/>
      <c r="J124" s="314"/>
      <c r="K124" s="314"/>
      <c r="L124" s="314"/>
      <c r="M124" s="314"/>
      <c r="N124" s="314"/>
      <c r="O124" s="314"/>
      <c r="P124" s="314"/>
      <c r="Q124" s="314"/>
      <c r="R124" s="314"/>
      <c r="S124" s="314"/>
      <c r="T124" s="337">
        <v>-4142</v>
      </c>
      <c r="U124" s="337"/>
      <c r="V124" s="338"/>
      <c r="W124" s="318"/>
      <c r="X124" s="5"/>
    </row>
    <row r="125" spans="1:24" ht="15.75" x14ac:dyDescent="0.25">
      <c r="A125" s="285"/>
      <c r="B125" s="286" t="s">
        <v>195</v>
      </c>
      <c r="C125" s="314"/>
      <c r="D125" s="314"/>
      <c r="E125" s="314"/>
      <c r="F125" s="314"/>
      <c r="G125" s="314"/>
      <c r="H125" s="314"/>
      <c r="I125" s="314"/>
      <c r="J125" s="314"/>
      <c r="K125" s="314"/>
      <c r="L125" s="314"/>
      <c r="M125" s="314"/>
      <c r="N125" s="314"/>
      <c r="O125" s="314"/>
      <c r="P125" s="314"/>
      <c r="Q125" s="314"/>
      <c r="R125" s="314"/>
      <c r="S125" s="314"/>
      <c r="T125" s="337">
        <v>-1760</v>
      </c>
      <c r="U125" s="337"/>
      <c r="V125" s="338"/>
      <c r="W125" s="318"/>
      <c r="X125" s="5"/>
    </row>
    <row r="126" spans="1:24" ht="15.75" x14ac:dyDescent="0.25">
      <c r="A126" s="285"/>
      <c r="B126" s="286" t="s">
        <v>194</v>
      </c>
      <c r="C126" s="314"/>
      <c r="D126" s="314"/>
      <c r="E126" s="314"/>
      <c r="F126" s="314"/>
      <c r="G126" s="314"/>
      <c r="H126" s="314"/>
      <c r="I126" s="314"/>
      <c r="J126" s="314"/>
      <c r="K126" s="314"/>
      <c r="L126" s="314"/>
      <c r="M126" s="314"/>
      <c r="N126" s="314"/>
      <c r="O126" s="314"/>
      <c r="P126" s="314"/>
      <c r="Q126" s="314"/>
      <c r="R126" s="314"/>
      <c r="S126" s="314"/>
      <c r="T126" s="337">
        <v>-628</v>
      </c>
      <c r="U126" s="337"/>
      <c r="V126" s="338"/>
      <c r="W126" s="318"/>
      <c r="X126" s="5"/>
    </row>
    <row r="127" spans="1:24" ht="15.75" x14ac:dyDescent="0.25">
      <c r="A127" s="285"/>
      <c r="B127" s="286" t="s">
        <v>222</v>
      </c>
      <c r="C127" s="314"/>
      <c r="D127" s="314"/>
      <c r="E127" s="314"/>
      <c r="F127" s="314"/>
      <c r="G127" s="314"/>
      <c r="H127" s="314"/>
      <c r="I127" s="314"/>
      <c r="J127" s="314"/>
      <c r="K127" s="314"/>
      <c r="L127" s="314"/>
      <c r="M127" s="314"/>
      <c r="N127" s="314"/>
      <c r="O127" s="314"/>
      <c r="P127" s="314"/>
      <c r="Q127" s="314"/>
      <c r="R127" s="314"/>
      <c r="S127" s="314"/>
      <c r="T127" s="337">
        <v>-621</v>
      </c>
      <c r="U127" s="337"/>
      <c r="V127" s="338"/>
      <c r="W127" s="318"/>
      <c r="X127" s="5"/>
    </row>
    <row r="128" spans="1:24" ht="15.75" x14ac:dyDescent="0.25">
      <c r="A128" s="285"/>
      <c r="B128" s="286" t="s">
        <v>189</v>
      </c>
      <c r="C128" s="314"/>
      <c r="D128" s="314"/>
      <c r="E128" s="314"/>
      <c r="F128" s="314"/>
      <c r="G128" s="314"/>
      <c r="H128" s="314"/>
      <c r="I128" s="314"/>
      <c r="J128" s="314"/>
      <c r="K128" s="314"/>
      <c r="L128" s="314"/>
      <c r="M128" s="314"/>
      <c r="N128" s="314"/>
      <c r="O128" s="314"/>
      <c r="P128" s="314"/>
      <c r="Q128" s="314"/>
      <c r="R128" s="314"/>
      <c r="S128" s="314"/>
      <c r="T128" s="337">
        <v>0</v>
      </c>
      <c r="U128" s="337"/>
      <c r="V128" s="338"/>
      <c r="W128" s="318"/>
      <c r="X128" s="5"/>
    </row>
    <row r="129" spans="1:24" ht="15.75" x14ac:dyDescent="0.25">
      <c r="A129" s="285"/>
      <c r="B129" s="286" t="s">
        <v>188</v>
      </c>
      <c r="C129" s="314"/>
      <c r="D129" s="314"/>
      <c r="E129" s="314"/>
      <c r="F129" s="314"/>
      <c r="G129" s="314"/>
      <c r="H129" s="314"/>
      <c r="I129" s="314"/>
      <c r="J129" s="314"/>
      <c r="K129" s="314"/>
      <c r="L129" s="314"/>
      <c r="M129" s="314"/>
      <c r="N129" s="314"/>
      <c r="O129" s="314"/>
      <c r="P129" s="314"/>
      <c r="Q129" s="314"/>
      <c r="R129" s="314"/>
      <c r="S129" s="314"/>
      <c r="T129" s="337">
        <v>0</v>
      </c>
      <c r="U129" s="337"/>
      <c r="V129" s="338"/>
      <c r="W129" s="318"/>
      <c r="X129" s="5"/>
    </row>
    <row r="130" spans="1:24" ht="15.75" x14ac:dyDescent="0.25">
      <c r="A130" s="285"/>
      <c r="B130" s="286" t="s">
        <v>187</v>
      </c>
      <c r="C130" s="314"/>
      <c r="D130" s="314"/>
      <c r="E130" s="314"/>
      <c r="F130" s="314"/>
      <c r="G130" s="314"/>
      <c r="H130" s="314"/>
      <c r="I130" s="314"/>
      <c r="J130" s="314"/>
      <c r="K130" s="314"/>
      <c r="L130" s="314"/>
      <c r="M130" s="314"/>
      <c r="N130" s="314"/>
      <c r="O130" s="314"/>
      <c r="P130" s="314"/>
      <c r="Q130" s="314"/>
      <c r="R130" s="314"/>
      <c r="S130" s="314"/>
      <c r="T130" s="337">
        <v>0</v>
      </c>
      <c r="U130" s="337"/>
      <c r="V130" s="338"/>
      <c r="W130" s="318"/>
      <c r="X130" s="5"/>
    </row>
    <row r="131" spans="1:24" ht="15.75" x14ac:dyDescent="0.25">
      <c r="A131" s="285"/>
      <c r="B131" s="286" t="s">
        <v>39</v>
      </c>
      <c r="C131" s="314"/>
      <c r="D131" s="314"/>
      <c r="E131" s="314"/>
      <c r="F131" s="314"/>
      <c r="G131" s="314"/>
      <c r="H131" s="314"/>
      <c r="I131" s="314"/>
      <c r="J131" s="314"/>
      <c r="K131" s="314"/>
      <c r="L131" s="314"/>
      <c r="M131" s="314"/>
      <c r="N131" s="314"/>
      <c r="O131" s="314"/>
      <c r="P131" s="314"/>
      <c r="Q131" s="314"/>
      <c r="R131" s="314"/>
      <c r="S131" s="314"/>
      <c r="T131" s="337">
        <f>SUM(T121:T130)</f>
        <v>-7356</v>
      </c>
      <c r="U131" s="337"/>
      <c r="V131" s="337">
        <f>SUM(V102:V129)</f>
        <v>-4663</v>
      </c>
      <c r="W131" s="318"/>
      <c r="X131" s="5"/>
    </row>
    <row r="132" spans="1:24" ht="15.75" x14ac:dyDescent="0.25">
      <c r="A132" s="285"/>
      <c r="B132" s="286" t="s">
        <v>40</v>
      </c>
      <c r="C132" s="314"/>
      <c r="D132" s="314"/>
      <c r="E132" s="314"/>
      <c r="F132" s="314"/>
      <c r="G132" s="314"/>
      <c r="H132" s="314"/>
      <c r="I132" s="314"/>
      <c r="J132" s="314"/>
      <c r="K132" s="314"/>
      <c r="L132" s="314"/>
      <c r="M132" s="314"/>
      <c r="N132" s="314"/>
      <c r="O132" s="314"/>
      <c r="P132" s="314"/>
      <c r="Q132" s="314"/>
      <c r="R132" s="314"/>
      <c r="S132" s="314"/>
      <c r="T132" s="337">
        <f>T101+T131+T114</f>
        <v>0</v>
      </c>
      <c r="U132" s="337"/>
      <c r="V132" s="337">
        <f>V101+V131</f>
        <v>0</v>
      </c>
      <c r="W132" s="318"/>
      <c r="X132" s="5"/>
    </row>
    <row r="133" spans="1:24" ht="15.75" x14ac:dyDescent="0.25">
      <c r="A133" s="181"/>
      <c r="B133" s="212"/>
      <c r="C133" s="212"/>
      <c r="D133" s="212"/>
      <c r="E133" s="212"/>
      <c r="F133" s="212"/>
      <c r="G133" s="212"/>
      <c r="H133" s="212"/>
      <c r="I133" s="212"/>
      <c r="J133" s="212"/>
      <c r="K133" s="212"/>
      <c r="L133" s="212"/>
      <c r="M133" s="212"/>
      <c r="N133" s="212"/>
      <c r="O133" s="212"/>
      <c r="P133" s="212"/>
      <c r="Q133" s="212"/>
      <c r="R133" s="212"/>
      <c r="S133" s="212"/>
      <c r="T133" s="335"/>
      <c r="U133" s="335"/>
      <c r="V133" s="335"/>
      <c r="W133" s="212"/>
      <c r="X133" s="5"/>
    </row>
    <row r="134" spans="1:24" ht="15.75" x14ac:dyDescent="0.25">
      <c r="A134" s="181"/>
      <c r="B134" s="183"/>
      <c r="C134" s="183"/>
      <c r="D134" s="183"/>
      <c r="E134" s="183"/>
      <c r="F134" s="183"/>
      <c r="G134" s="183"/>
      <c r="H134" s="183"/>
      <c r="I134" s="183"/>
      <c r="J134" s="183"/>
      <c r="K134" s="183"/>
      <c r="L134" s="183"/>
      <c r="M134" s="183"/>
      <c r="N134" s="183"/>
      <c r="O134" s="183"/>
      <c r="P134" s="183"/>
      <c r="Q134" s="183"/>
      <c r="R134" s="183"/>
      <c r="S134" s="183"/>
      <c r="T134" s="183"/>
      <c r="U134" s="183"/>
      <c r="V134" s="202"/>
      <c r="W134" s="183"/>
      <c r="X134" s="5"/>
    </row>
    <row r="135" spans="1:24" ht="19.5" thickBot="1" x14ac:dyDescent="0.35">
      <c r="A135" s="197"/>
      <c r="B135" s="270" t="str">
        <f>B64</f>
        <v>PM15 INVESTOR REPORT QUARTER ENDING MAY 2014</v>
      </c>
      <c r="C135" s="198"/>
      <c r="D135" s="198"/>
      <c r="E135" s="198"/>
      <c r="F135" s="198"/>
      <c r="G135" s="198"/>
      <c r="H135" s="198"/>
      <c r="I135" s="198"/>
      <c r="J135" s="198"/>
      <c r="K135" s="198"/>
      <c r="L135" s="198"/>
      <c r="M135" s="198"/>
      <c r="N135" s="198"/>
      <c r="O135" s="198"/>
      <c r="P135" s="198"/>
      <c r="Q135" s="198"/>
      <c r="R135" s="198"/>
      <c r="S135" s="198"/>
      <c r="T135" s="198"/>
      <c r="U135" s="198"/>
      <c r="V135" s="209"/>
      <c r="W135" s="200"/>
      <c r="X135" s="5"/>
    </row>
    <row r="136" spans="1:24" ht="15.75" x14ac:dyDescent="0.25">
      <c r="A136" s="236"/>
      <c r="B136" s="403" t="s">
        <v>41</v>
      </c>
      <c r="C136" s="238"/>
      <c r="D136" s="238"/>
      <c r="E136" s="238"/>
      <c r="F136" s="238"/>
      <c r="G136" s="238"/>
      <c r="H136" s="238"/>
      <c r="I136" s="238"/>
      <c r="J136" s="238"/>
      <c r="K136" s="238"/>
      <c r="L136" s="238"/>
      <c r="M136" s="238"/>
      <c r="N136" s="238"/>
      <c r="O136" s="238"/>
      <c r="P136" s="238"/>
      <c r="Q136" s="238"/>
      <c r="R136" s="238"/>
      <c r="S136" s="238"/>
      <c r="T136" s="238"/>
      <c r="U136" s="238"/>
      <c r="V136" s="239"/>
      <c r="W136" s="238"/>
      <c r="X136" s="5"/>
    </row>
    <row r="137" spans="1:24" ht="15.75" x14ac:dyDescent="0.25">
      <c r="A137" s="181"/>
      <c r="B137" s="191"/>
      <c r="C137" s="183"/>
      <c r="D137" s="183"/>
      <c r="E137" s="183"/>
      <c r="F137" s="183"/>
      <c r="G137" s="183"/>
      <c r="H137" s="183"/>
      <c r="I137" s="183"/>
      <c r="J137" s="183"/>
      <c r="K137" s="183"/>
      <c r="L137" s="183"/>
      <c r="M137" s="183"/>
      <c r="N137" s="183"/>
      <c r="O137" s="183"/>
      <c r="P137" s="183"/>
      <c r="Q137" s="183"/>
      <c r="R137" s="183"/>
      <c r="S137" s="183"/>
      <c r="T137" s="183"/>
      <c r="U137" s="183"/>
      <c r="V137" s="202"/>
      <c r="W137" s="183"/>
      <c r="X137" s="5"/>
    </row>
    <row r="138" spans="1:24" ht="15.75" x14ac:dyDescent="0.25">
      <c r="A138" s="181"/>
      <c r="B138" s="210" t="s">
        <v>42</v>
      </c>
      <c r="C138" s="183"/>
      <c r="D138" s="183"/>
      <c r="E138" s="183"/>
      <c r="F138" s="183"/>
      <c r="G138" s="183"/>
      <c r="H138" s="183"/>
      <c r="I138" s="183"/>
      <c r="J138" s="183"/>
      <c r="K138" s="183"/>
      <c r="L138" s="183"/>
      <c r="M138" s="183"/>
      <c r="N138" s="183"/>
      <c r="O138" s="183"/>
      <c r="P138" s="183"/>
      <c r="Q138" s="183"/>
      <c r="R138" s="183"/>
      <c r="S138" s="183"/>
      <c r="T138" s="183"/>
      <c r="U138" s="183"/>
      <c r="V138" s="202"/>
      <c r="W138" s="183"/>
      <c r="X138" s="5"/>
    </row>
    <row r="139" spans="1:24" ht="15.75" x14ac:dyDescent="0.25">
      <c r="A139" s="285"/>
      <c r="B139" s="286" t="s">
        <v>43</v>
      </c>
      <c r="C139" s="286"/>
      <c r="D139" s="286"/>
      <c r="E139" s="286"/>
      <c r="F139" s="286"/>
      <c r="G139" s="286"/>
      <c r="H139" s="286"/>
      <c r="I139" s="286"/>
      <c r="J139" s="286"/>
      <c r="K139" s="286"/>
      <c r="L139" s="286"/>
      <c r="M139" s="286"/>
      <c r="N139" s="286"/>
      <c r="O139" s="286"/>
      <c r="P139" s="286"/>
      <c r="Q139" s="286"/>
      <c r="R139" s="286"/>
      <c r="S139" s="286"/>
      <c r="T139" s="286"/>
      <c r="U139" s="286"/>
      <c r="V139" s="338">
        <f>+V34*0.019</f>
        <v>19021.526999999998</v>
      </c>
      <c r="W139" s="289"/>
      <c r="X139" s="5"/>
    </row>
    <row r="140" spans="1:24" ht="15.75" x14ac:dyDescent="0.25">
      <c r="A140" s="285"/>
      <c r="B140" s="286" t="s">
        <v>44</v>
      </c>
      <c r="C140" s="286"/>
      <c r="D140" s="286"/>
      <c r="E140" s="286"/>
      <c r="F140" s="286"/>
      <c r="G140" s="286"/>
      <c r="H140" s="286"/>
      <c r="I140" s="286"/>
      <c r="J140" s="286"/>
      <c r="K140" s="286"/>
      <c r="L140" s="286"/>
      <c r="M140" s="286"/>
      <c r="N140" s="286"/>
      <c r="O140" s="286"/>
      <c r="P140" s="286"/>
      <c r="Q140" s="286"/>
      <c r="R140" s="286"/>
      <c r="S140" s="286"/>
      <c r="T140" s="286"/>
      <c r="U140" s="286"/>
      <c r="V140" s="338">
        <v>19022</v>
      </c>
      <c r="W140" s="289"/>
      <c r="X140" s="5"/>
    </row>
    <row r="141" spans="1:24" ht="15.75" x14ac:dyDescent="0.25">
      <c r="A141" s="285"/>
      <c r="B141" s="286" t="s">
        <v>136</v>
      </c>
      <c r="C141" s="286"/>
      <c r="D141" s="286"/>
      <c r="E141" s="286"/>
      <c r="F141" s="286"/>
      <c r="G141" s="286"/>
      <c r="H141" s="286"/>
      <c r="I141" s="286"/>
      <c r="J141" s="286"/>
      <c r="K141" s="286"/>
      <c r="L141" s="286"/>
      <c r="M141" s="286"/>
      <c r="N141" s="286"/>
      <c r="O141" s="286"/>
      <c r="P141" s="286"/>
      <c r="Q141" s="286"/>
      <c r="R141" s="286"/>
      <c r="S141" s="286"/>
      <c r="T141" s="286"/>
      <c r="U141" s="286"/>
      <c r="V141" s="338"/>
      <c r="W141" s="289"/>
      <c r="X141" s="5"/>
    </row>
    <row r="142" spans="1:24" ht="15.75" x14ac:dyDescent="0.25">
      <c r="A142" s="285"/>
      <c r="B142" s="286" t="s">
        <v>123</v>
      </c>
      <c r="C142" s="286"/>
      <c r="D142" s="286"/>
      <c r="E142" s="286"/>
      <c r="F142" s="286"/>
      <c r="G142" s="286"/>
      <c r="H142" s="286"/>
      <c r="I142" s="286"/>
      <c r="J142" s="286"/>
      <c r="K142" s="286"/>
      <c r="L142" s="286"/>
      <c r="M142" s="286"/>
      <c r="N142" s="286"/>
      <c r="O142" s="286"/>
      <c r="P142" s="286"/>
      <c r="Q142" s="286"/>
      <c r="R142" s="286"/>
      <c r="S142" s="286"/>
      <c r="T142" s="286"/>
      <c r="U142" s="286"/>
      <c r="V142" s="338">
        <v>0</v>
      </c>
      <c r="W142" s="289"/>
      <c r="X142" s="5"/>
    </row>
    <row r="143" spans="1:24" ht="15.75" x14ac:dyDescent="0.25">
      <c r="A143" s="285"/>
      <c r="B143" s="286" t="s">
        <v>124</v>
      </c>
      <c r="C143" s="286"/>
      <c r="D143" s="286"/>
      <c r="E143" s="286"/>
      <c r="F143" s="286"/>
      <c r="G143" s="286"/>
      <c r="H143" s="286"/>
      <c r="I143" s="286"/>
      <c r="J143" s="286"/>
      <c r="K143" s="286"/>
      <c r="L143" s="286"/>
      <c r="M143" s="286"/>
      <c r="N143" s="286"/>
      <c r="O143" s="286"/>
      <c r="P143" s="286"/>
      <c r="Q143" s="286"/>
      <c r="R143" s="286"/>
      <c r="S143" s="286"/>
      <c r="T143" s="286"/>
      <c r="U143" s="286"/>
      <c r="V143" s="338">
        <v>0</v>
      </c>
      <c r="W143" s="289"/>
      <c r="X143" s="5"/>
    </row>
    <row r="144" spans="1:24" ht="15.75" x14ac:dyDescent="0.25">
      <c r="A144" s="285"/>
      <c r="B144" s="286" t="s">
        <v>175</v>
      </c>
      <c r="C144" s="286"/>
      <c r="D144" s="286"/>
      <c r="E144" s="286"/>
      <c r="F144" s="286"/>
      <c r="G144" s="286"/>
      <c r="H144" s="286"/>
      <c r="I144" s="286"/>
      <c r="J144" s="286"/>
      <c r="K144" s="286"/>
      <c r="L144" s="286"/>
      <c r="M144" s="286"/>
      <c r="N144" s="286"/>
      <c r="O144" s="286"/>
      <c r="P144" s="286"/>
      <c r="Q144" s="286"/>
      <c r="R144" s="286"/>
      <c r="S144" s="286"/>
      <c r="T144" s="286"/>
      <c r="U144" s="286"/>
      <c r="V144" s="338">
        <v>0</v>
      </c>
      <c r="W144" s="289"/>
      <c r="X144" s="5"/>
    </row>
    <row r="145" spans="1:25" ht="15.75" x14ac:dyDescent="0.25">
      <c r="A145" s="285"/>
      <c r="B145" s="286" t="s">
        <v>45</v>
      </c>
      <c r="C145" s="286"/>
      <c r="D145" s="286"/>
      <c r="E145" s="286"/>
      <c r="F145" s="286"/>
      <c r="G145" s="286"/>
      <c r="H145" s="286"/>
      <c r="I145" s="286"/>
      <c r="J145" s="286"/>
      <c r="K145" s="286"/>
      <c r="L145" s="286"/>
      <c r="M145" s="286"/>
      <c r="N145" s="286"/>
      <c r="O145" s="286"/>
      <c r="P145" s="286"/>
      <c r="Q145" s="286"/>
      <c r="R145" s="286"/>
      <c r="S145" s="286"/>
      <c r="T145" s="286"/>
      <c r="U145" s="286"/>
      <c r="V145" s="338">
        <v>0</v>
      </c>
      <c r="W145" s="289"/>
      <c r="X145" s="5"/>
    </row>
    <row r="146" spans="1:25" ht="15.75" x14ac:dyDescent="0.25">
      <c r="A146" s="285"/>
      <c r="B146" s="286" t="s">
        <v>129</v>
      </c>
      <c r="C146" s="286"/>
      <c r="D146" s="286"/>
      <c r="E146" s="286"/>
      <c r="F146" s="286"/>
      <c r="G146" s="286"/>
      <c r="H146" s="286"/>
      <c r="I146" s="286"/>
      <c r="J146" s="286"/>
      <c r="K146" s="286"/>
      <c r="L146" s="286"/>
      <c r="M146" s="286"/>
      <c r="N146" s="286"/>
      <c r="O146" s="286"/>
      <c r="P146" s="286"/>
      <c r="Q146" s="286"/>
      <c r="R146" s="286"/>
      <c r="S146" s="286"/>
      <c r="T146" s="286"/>
      <c r="U146" s="286"/>
      <c r="V146" s="338">
        <v>0</v>
      </c>
      <c r="W146" s="289"/>
      <c r="X146" s="5"/>
    </row>
    <row r="147" spans="1:25" ht="15.75" x14ac:dyDescent="0.25">
      <c r="A147" s="285"/>
      <c r="B147" s="286" t="s">
        <v>241</v>
      </c>
      <c r="C147" s="286"/>
      <c r="D147" s="286"/>
      <c r="E147" s="286"/>
      <c r="F147" s="286"/>
      <c r="G147" s="286"/>
      <c r="H147" s="286"/>
      <c r="I147" s="286"/>
      <c r="J147" s="286"/>
      <c r="K147" s="286"/>
      <c r="L147" s="286"/>
      <c r="M147" s="286"/>
      <c r="N147" s="286"/>
      <c r="O147" s="286"/>
      <c r="P147" s="286"/>
      <c r="Q147" s="286"/>
      <c r="R147" s="286"/>
      <c r="S147" s="286"/>
      <c r="T147" s="286"/>
      <c r="U147" s="286"/>
      <c r="V147" s="338">
        <v>0</v>
      </c>
      <c r="W147" s="289"/>
      <c r="X147" s="5"/>
      <c r="Y147" s="109"/>
    </row>
    <row r="148" spans="1:25" ht="15.75" x14ac:dyDescent="0.25">
      <c r="A148" s="285"/>
      <c r="B148" s="286" t="s">
        <v>46</v>
      </c>
      <c r="C148" s="286"/>
      <c r="D148" s="286"/>
      <c r="E148" s="286"/>
      <c r="F148" s="286"/>
      <c r="G148" s="286"/>
      <c r="H148" s="286"/>
      <c r="I148" s="286"/>
      <c r="J148" s="286"/>
      <c r="K148" s="286"/>
      <c r="L148" s="286"/>
      <c r="M148" s="286"/>
      <c r="N148" s="286"/>
      <c r="O148" s="286"/>
      <c r="P148" s="286"/>
      <c r="Q148" s="286"/>
      <c r="R148" s="286"/>
      <c r="S148" s="286"/>
      <c r="T148" s="286"/>
      <c r="U148" s="286"/>
      <c r="V148" s="338">
        <f>SUM(V140:V147)</f>
        <v>19022</v>
      </c>
      <c r="W148" s="289"/>
      <c r="X148" s="5"/>
    </row>
    <row r="149" spans="1:25" ht="15.75" x14ac:dyDescent="0.25">
      <c r="A149" s="285"/>
      <c r="B149" s="314"/>
      <c r="C149" s="314"/>
      <c r="D149" s="314"/>
      <c r="E149" s="314"/>
      <c r="F149" s="314"/>
      <c r="G149" s="314"/>
      <c r="H149" s="314"/>
      <c r="I149" s="314"/>
      <c r="J149" s="314"/>
      <c r="K149" s="314"/>
      <c r="L149" s="314"/>
      <c r="M149" s="314"/>
      <c r="N149" s="314"/>
      <c r="O149" s="314"/>
      <c r="P149" s="314"/>
      <c r="Q149" s="314"/>
      <c r="R149" s="314"/>
      <c r="S149" s="314"/>
      <c r="T149" s="314"/>
      <c r="U149" s="314"/>
      <c r="V149" s="345"/>
      <c r="W149" s="318"/>
      <c r="X149" s="5"/>
    </row>
    <row r="150" spans="1:25" ht="15.75" x14ac:dyDescent="0.25">
      <c r="A150" s="285"/>
      <c r="B150" s="342" t="s">
        <v>269</v>
      </c>
      <c r="C150" s="314"/>
      <c r="D150" s="314"/>
      <c r="E150" s="314"/>
      <c r="F150" s="314"/>
      <c r="G150" s="314"/>
      <c r="H150" s="314"/>
      <c r="I150" s="314"/>
      <c r="J150" s="314"/>
      <c r="K150" s="314"/>
      <c r="L150" s="314"/>
      <c r="M150" s="314"/>
      <c r="N150" s="314"/>
      <c r="O150" s="314"/>
      <c r="P150" s="314"/>
      <c r="Q150" s="314"/>
      <c r="R150" s="314"/>
      <c r="S150" s="314"/>
      <c r="T150" s="314"/>
      <c r="U150" s="314"/>
      <c r="V150" s="345"/>
      <c r="W150" s="318"/>
      <c r="X150" s="5"/>
    </row>
    <row r="151" spans="1:25" ht="15.75" x14ac:dyDescent="0.25">
      <c r="A151" s="285"/>
      <c r="B151" s="286" t="s">
        <v>155</v>
      </c>
      <c r="C151" s="286"/>
      <c r="D151" s="286"/>
      <c r="E151" s="286"/>
      <c r="F151" s="286"/>
      <c r="G151" s="286"/>
      <c r="H151" s="286"/>
      <c r="I151" s="286"/>
      <c r="J151" s="286"/>
      <c r="K151" s="286"/>
      <c r="L151" s="286"/>
      <c r="M151" s="286"/>
      <c r="N151" s="286"/>
      <c r="O151" s="286"/>
      <c r="P151" s="286"/>
      <c r="Q151" s="286"/>
      <c r="R151" s="286"/>
      <c r="S151" s="286"/>
      <c r="T151" s="286"/>
      <c r="U151" s="286"/>
      <c r="V151" s="338">
        <v>0</v>
      </c>
      <c r="W151" s="289"/>
      <c r="X151" s="5"/>
    </row>
    <row r="152" spans="1:25" ht="15.75" x14ac:dyDescent="0.25">
      <c r="A152" s="285"/>
      <c r="B152" s="286" t="s">
        <v>172</v>
      </c>
      <c r="C152" s="286"/>
      <c r="D152" s="286"/>
      <c r="E152" s="286"/>
      <c r="F152" s="286"/>
      <c r="G152" s="286"/>
      <c r="H152" s="286"/>
      <c r="I152" s="286"/>
      <c r="J152" s="286"/>
      <c r="K152" s="286"/>
      <c r="L152" s="286"/>
      <c r="M152" s="286"/>
      <c r="N152" s="286"/>
      <c r="O152" s="286"/>
      <c r="P152" s="286"/>
      <c r="Q152" s="286"/>
      <c r="R152" s="286"/>
      <c r="S152" s="286"/>
      <c r="T152" s="286"/>
      <c r="U152" s="286"/>
      <c r="V152" s="338">
        <v>0</v>
      </c>
      <c r="W152" s="289"/>
      <c r="X152" s="5"/>
    </row>
    <row r="153" spans="1:25" ht="15.75" x14ac:dyDescent="0.25">
      <c r="A153" s="285"/>
      <c r="B153" s="286" t="s">
        <v>226</v>
      </c>
      <c r="C153" s="286"/>
      <c r="D153" s="286"/>
      <c r="E153" s="286"/>
      <c r="F153" s="286"/>
      <c r="G153" s="286"/>
      <c r="H153" s="286"/>
      <c r="I153" s="286"/>
      <c r="J153" s="286"/>
      <c r="K153" s="286"/>
      <c r="L153" s="286"/>
      <c r="M153" s="286"/>
      <c r="N153" s="286"/>
      <c r="O153" s="286"/>
      <c r="P153" s="286"/>
      <c r="Q153" s="286"/>
      <c r="R153" s="286"/>
      <c r="S153" s="286"/>
      <c r="T153" s="286"/>
      <c r="U153" s="286"/>
      <c r="V153" s="338">
        <v>0</v>
      </c>
      <c r="W153" s="289"/>
      <c r="X153" s="5"/>
    </row>
    <row r="154" spans="1:25" ht="15.75" x14ac:dyDescent="0.25">
      <c r="A154" s="285"/>
      <c r="B154" s="314"/>
      <c r="C154" s="314"/>
      <c r="D154" s="314"/>
      <c r="E154" s="314"/>
      <c r="F154" s="314"/>
      <c r="G154" s="314"/>
      <c r="H154" s="314"/>
      <c r="I154" s="314"/>
      <c r="J154" s="314"/>
      <c r="K154" s="314"/>
      <c r="L154" s="314"/>
      <c r="M154" s="314"/>
      <c r="N154" s="314"/>
      <c r="O154" s="314"/>
      <c r="P154" s="314"/>
      <c r="Q154" s="314"/>
      <c r="R154" s="314"/>
      <c r="S154" s="314"/>
      <c r="T154" s="314"/>
      <c r="U154" s="314"/>
      <c r="V154" s="345"/>
      <c r="W154" s="318"/>
      <c r="X154" s="5"/>
    </row>
    <row r="155" spans="1:25" ht="15.75" x14ac:dyDescent="0.25">
      <c r="A155" s="181"/>
      <c r="B155" s="212"/>
      <c r="C155" s="212"/>
      <c r="D155" s="212"/>
      <c r="E155" s="212"/>
      <c r="F155" s="212"/>
      <c r="G155" s="212"/>
      <c r="H155" s="212"/>
      <c r="I155" s="212"/>
      <c r="J155" s="212"/>
      <c r="K155" s="212"/>
      <c r="L155" s="212"/>
      <c r="M155" s="212"/>
      <c r="N155" s="212"/>
      <c r="O155" s="212"/>
      <c r="P155" s="212"/>
      <c r="Q155" s="212"/>
      <c r="R155" s="212"/>
      <c r="S155" s="212"/>
      <c r="T155" s="212"/>
      <c r="U155" s="212"/>
      <c r="V155" s="344"/>
      <c r="W155" s="212"/>
      <c r="X155" s="5"/>
    </row>
    <row r="156" spans="1:25" ht="15.75" x14ac:dyDescent="0.25">
      <c r="A156" s="181"/>
      <c r="B156" s="210" t="s">
        <v>24</v>
      </c>
      <c r="C156" s="183"/>
      <c r="D156" s="183"/>
      <c r="E156" s="183"/>
      <c r="F156" s="183"/>
      <c r="G156" s="183"/>
      <c r="H156" s="183"/>
      <c r="I156" s="183"/>
      <c r="J156" s="183"/>
      <c r="K156" s="183"/>
      <c r="L156" s="183"/>
      <c r="M156" s="183"/>
      <c r="N156" s="183"/>
      <c r="O156" s="183"/>
      <c r="P156" s="183"/>
      <c r="Q156" s="183"/>
      <c r="R156" s="183"/>
      <c r="S156" s="183"/>
      <c r="T156" s="183"/>
      <c r="U156" s="183"/>
      <c r="V156" s="202"/>
      <c r="W156" s="183"/>
      <c r="X156" s="5"/>
    </row>
    <row r="157" spans="1:25" ht="15.75" x14ac:dyDescent="0.25">
      <c r="A157" s="285"/>
      <c r="B157" s="286" t="s">
        <v>47</v>
      </c>
      <c r="C157" s="286"/>
      <c r="D157" s="286"/>
      <c r="E157" s="286"/>
      <c r="F157" s="286"/>
      <c r="G157" s="286"/>
      <c r="H157" s="286"/>
      <c r="I157" s="286"/>
      <c r="J157" s="286"/>
      <c r="K157" s="286"/>
      <c r="L157" s="286"/>
      <c r="M157" s="286"/>
      <c r="N157" s="286"/>
      <c r="O157" s="286"/>
      <c r="P157" s="286"/>
      <c r="Q157" s="286"/>
      <c r="R157" s="286"/>
      <c r="S157" s="286"/>
      <c r="T157" s="286"/>
      <c r="U157" s="286"/>
      <c r="V157" s="343" t="s">
        <v>118</v>
      </c>
      <c r="W157" s="318"/>
      <c r="X157" s="5"/>
    </row>
    <row r="158" spans="1:25" ht="15.75" x14ac:dyDescent="0.25">
      <c r="A158" s="285"/>
      <c r="B158" s="286" t="s">
        <v>48</v>
      </c>
      <c r="C158" s="288"/>
      <c r="D158" s="288"/>
      <c r="E158" s="288"/>
      <c r="F158" s="288"/>
      <c r="G158" s="288"/>
      <c r="H158" s="288"/>
      <c r="I158" s="288"/>
      <c r="J158" s="288"/>
      <c r="K158" s="288"/>
      <c r="L158" s="288"/>
      <c r="M158" s="288"/>
      <c r="N158" s="288"/>
      <c r="O158" s="288"/>
      <c r="P158" s="288"/>
      <c r="Q158" s="288"/>
      <c r="R158" s="288"/>
      <c r="S158" s="288"/>
      <c r="T158" s="288"/>
      <c r="U158" s="288"/>
      <c r="V158" s="343" t="s">
        <v>118</v>
      </c>
      <c r="W158" s="318"/>
      <c r="X158" s="5"/>
    </row>
    <row r="159" spans="1:25" ht="15.75" x14ac:dyDescent="0.25">
      <c r="A159" s="285"/>
      <c r="B159" s="286" t="s">
        <v>49</v>
      </c>
      <c r="C159" s="286"/>
      <c r="D159" s="286"/>
      <c r="E159" s="286"/>
      <c r="F159" s="286"/>
      <c r="G159" s="286"/>
      <c r="H159" s="286"/>
      <c r="I159" s="286"/>
      <c r="J159" s="286"/>
      <c r="K159" s="286"/>
      <c r="L159" s="286"/>
      <c r="M159" s="286"/>
      <c r="N159" s="286"/>
      <c r="O159" s="286"/>
      <c r="P159" s="286"/>
      <c r="Q159" s="286"/>
      <c r="R159" s="286"/>
      <c r="S159" s="286"/>
      <c r="T159" s="286"/>
      <c r="U159" s="286"/>
      <c r="V159" s="343" t="s">
        <v>118</v>
      </c>
      <c r="W159" s="318"/>
      <c r="X159" s="5"/>
    </row>
    <row r="160" spans="1:25" ht="15.75" x14ac:dyDescent="0.25">
      <c r="A160" s="285"/>
      <c r="B160" s="286" t="s">
        <v>50</v>
      </c>
      <c r="C160" s="286"/>
      <c r="D160" s="286"/>
      <c r="E160" s="286"/>
      <c r="F160" s="286"/>
      <c r="G160" s="286"/>
      <c r="H160" s="286"/>
      <c r="I160" s="286"/>
      <c r="J160" s="286"/>
      <c r="K160" s="286"/>
      <c r="L160" s="286"/>
      <c r="M160" s="286"/>
      <c r="N160" s="286"/>
      <c r="O160" s="286"/>
      <c r="P160" s="286"/>
      <c r="Q160" s="286"/>
      <c r="R160" s="286"/>
      <c r="S160" s="286"/>
      <c r="T160" s="286"/>
      <c r="U160" s="286"/>
      <c r="V160" s="343" t="s">
        <v>118</v>
      </c>
      <c r="W160" s="318"/>
      <c r="X160" s="5"/>
    </row>
    <row r="161" spans="1:256" ht="15.75" x14ac:dyDescent="0.25">
      <c r="A161" s="181"/>
      <c r="B161" s="212"/>
      <c r="C161" s="212"/>
      <c r="D161" s="212"/>
      <c r="E161" s="212"/>
      <c r="F161" s="212"/>
      <c r="G161" s="212"/>
      <c r="H161" s="212"/>
      <c r="I161" s="212"/>
      <c r="J161" s="212"/>
      <c r="K161" s="212"/>
      <c r="L161" s="212"/>
      <c r="M161" s="212"/>
      <c r="N161" s="212"/>
      <c r="O161" s="212"/>
      <c r="P161" s="212"/>
      <c r="Q161" s="212"/>
      <c r="R161" s="212"/>
      <c r="S161" s="212"/>
      <c r="T161" s="212"/>
      <c r="U161" s="212"/>
      <c r="V161" s="344"/>
      <c r="W161" s="212"/>
      <c r="X161" s="5"/>
    </row>
    <row r="162" spans="1:256" ht="15.75" x14ac:dyDescent="0.25">
      <c r="A162" s="181"/>
      <c r="B162" s="210" t="s">
        <v>51</v>
      </c>
      <c r="C162" s="183"/>
      <c r="D162" s="183"/>
      <c r="E162" s="183"/>
      <c r="F162" s="183"/>
      <c r="G162" s="183"/>
      <c r="H162" s="183"/>
      <c r="I162" s="183"/>
      <c r="J162" s="183"/>
      <c r="K162" s="183"/>
      <c r="L162" s="183"/>
      <c r="M162" s="183"/>
      <c r="N162" s="183"/>
      <c r="O162" s="183"/>
      <c r="P162" s="183"/>
      <c r="Q162" s="183"/>
      <c r="R162" s="183"/>
      <c r="S162" s="183"/>
      <c r="T162" s="183"/>
      <c r="U162" s="183"/>
      <c r="V162" s="211"/>
      <c r="W162" s="183"/>
      <c r="X162" s="5"/>
    </row>
    <row r="163" spans="1:256" ht="15.75" x14ac:dyDescent="0.25">
      <c r="A163" s="285"/>
      <c r="B163" s="286" t="s">
        <v>52</v>
      </c>
      <c r="C163" s="286"/>
      <c r="D163" s="286"/>
      <c r="E163" s="286"/>
      <c r="F163" s="286"/>
      <c r="G163" s="286"/>
      <c r="H163" s="286"/>
      <c r="I163" s="286"/>
      <c r="J163" s="286"/>
      <c r="K163" s="286"/>
      <c r="L163" s="286"/>
      <c r="M163" s="286"/>
      <c r="N163" s="286"/>
      <c r="O163" s="286"/>
      <c r="P163" s="286"/>
      <c r="Q163" s="286"/>
      <c r="R163" s="286"/>
      <c r="S163" s="286"/>
      <c r="T163" s="286"/>
      <c r="U163" s="286"/>
      <c r="V163" s="338">
        <v>0</v>
      </c>
      <c r="W163" s="289"/>
      <c r="X163" s="5"/>
    </row>
    <row r="164" spans="1:256" ht="15.75" x14ac:dyDescent="0.25">
      <c r="A164" s="285"/>
      <c r="B164" s="286" t="s">
        <v>53</v>
      </c>
      <c r="C164" s="286"/>
      <c r="D164" s="286"/>
      <c r="E164" s="286"/>
      <c r="F164" s="286"/>
      <c r="G164" s="286"/>
      <c r="H164" s="286"/>
      <c r="I164" s="286"/>
      <c r="J164" s="286"/>
      <c r="K164" s="286"/>
      <c r="L164" s="286"/>
      <c r="M164" s="286"/>
      <c r="N164" s="286"/>
      <c r="O164" s="286"/>
      <c r="P164" s="286"/>
      <c r="Q164" s="286"/>
      <c r="R164" s="286"/>
      <c r="S164" s="286"/>
      <c r="T164" s="286"/>
      <c r="U164" s="286"/>
      <c r="V164" s="338">
        <v>183</v>
      </c>
      <c r="W164" s="289"/>
      <c r="X164" s="5"/>
    </row>
    <row r="165" spans="1:256" ht="15.75" x14ac:dyDescent="0.25">
      <c r="A165" s="285"/>
      <c r="B165" s="286" t="s">
        <v>54</v>
      </c>
      <c r="C165" s="286"/>
      <c r="D165" s="286"/>
      <c r="E165" s="286"/>
      <c r="F165" s="286"/>
      <c r="G165" s="286"/>
      <c r="H165" s="286"/>
      <c r="I165" s="286"/>
      <c r="J165" s="286"/>
      <c r="K165" s="286"/>
      <c r="L165" s="286"/>
      <c r="M165" s="286"/>
      <c r="N165" s="286"/>
      <c r="O165" s="286"/>
      <c r="P165" s="286"/>
      <c r="Q165" s="286"/>
      <c r="R165" s="286"/>
      <c r="S165" s="286"/>
      <c r="T165" s="286"/>
      <c r="U165" s="286"/>
      <c r="V165" s="338">
        <f>V164+V163</f>
        <v>183</v>
      </c>
      <c r="W165" s="289"/>
      <c r="X165" s="5"/>
    </row>
    <row r="166" spans="1:256" ht="15.75" x14ac:dyDescent="0.25">
      <c r="A166" s="285"/>
      <c r="B166" s="286" t="s">
        <v>303</v>
      </c>
      <c r="C166" s="286"/>
      <c r="D166" s="286"/>
      <c r="E166" s="286"/>
      <c r="F166" s="286"/>
      <c r="G166" s="286"/>
      <c r="H166" s="286"/>
      <c r="I166" s="286"/>
      <c r="J166" s="286"/>
      <c r="K166" s="286"/>
      <c r="L166" s="286"/>
      <c r="M166" s="286"/>
      <c r="N166" s="286"/>
      <c r="O166" s="286"/>
      <c r="P166" s="286"/>
      <c r="Q166" s="286"/>
      <c r="R166" s="286"/>
      <c r="S166" s="286"/>
      <c r="T166" s="286"/>
      <c r="U166" s="286"/>
      <c r="V166" s="338">
        <f>V114</f>
        <v>-183</v>
      </c>
      <c r="W166" s="289"/>
      <c r="X166" s="5"/>
    </row>
    <row r="167" spans="1:256" ht="15.75" x14ac:dyDescent="0.25">
      <c r="A167" s="285"/>
      <c r="B167" s="286" t="s">
        <v>55</v>
      </c>
      <c r="C167" s="286"/>
      <c r="D167" s="286"/>
      <c r="E167" s="286"/>
      <c r="F167" s="286"/>
      <c r="G167" s="286"/>
      <c r="H167" s="286"/>
      <c r="I167" s="286"/>
      <c r="J167" s="286"/>
      <c r="K167" s="286"/>
      <c r="L167" s="286"/>
      <c r="M167" s="286"/>
      <c r="N167" s="286"/>
      <c r="O167" s="286"/>
      <c r="P167" s="286"/>
      <c r="Q167" s="286"/>
      <c r="R167" s="286"/>
      <c r="S167" s="286"/>
      <c r="T167" s="286"/>
      <c r="U167" s="286"/>
      <c r="V167" s="338">
        <f>V165+V166</f>
        <v>0</v>
      </c>
      <c r="W167" s="289"/>
      <c r="X167" s="5"/>
    </row>
    <row r="168" spans="1:256" ht="15.75" x14ac:dyDescent="0.25">
      <c r="A168" s="285"/>
      <c r="B168" s="286" t="s">
        <v>274</v>
      </c>
      <c r="C168" s="286"/>
      <c r="D168" s="286"/>
      <c r="E168" s="286"/>
      <c r="F168" s="286"/>
      <c r="G168" s="286"/>
      <c r="H168" s="286"/>
      <c r="I168" s="286"/>
      <c r="J168" s="286"/>
      <c r="K168" s="286"/>
      <c r="L168" s="286"/>
      <c r="M168" s="286"/>
      <c r="N168" s="286"/>
      <c r="O168" s="286"/>
      <c r="P168" s="286"/>
      <c r="Q168" s="286"/>
      <c r="R168" s="286"/>
      <c r="S168" s="286"/>
      <c r="T168" s="286"/>
      <c r="U168" s="286"/>
      <c r="V168" s="338">
        <f>-V100</f>
        <v>380</v>
      </c>
      <c r="W168" s="289"/>
      <c r="X168" s="5"/>
    </row>
    <row r="169" spans="1:256" ht="16.5" thickBot="1" x14ac:dyDescent="0.3">
      <c r="A169" s="181"/>
      <c r="B169" s="212"/>
      <c r="C169" s="212"/>
      <c r="D169" s="212"/>
      <c r="E169" s="212"/>
      <c r="F169" s="212"/>
      <c r="G169" s="212"/>
      <c r="H169" s="212"/>
      <c r="I169" s="212"/>
      <c r="J169" s="212"/>
      <c r="K169" s="212"/>
      <c r="L169" s="212"/>
      <c r="M169" s="212"/>
      <c r="N169" s="212"/>
      <c r="O169" s="212"/>
      <c r="P169" s="212"/>
      <c r="Q169" s="212"/>
      <c r="R169" s="212"/>
      <c r="S169" s="212"/>
      <c r="T169" s="212"/>
      <c r="U169" s="212"/>
      <c r="V169" s="344"/>
      <c r="W169" s="212"/>
      <c r="X169" s="5"/>
    </row>
    <row r="170" spans="1:256" ht="15.75" x14ac:dyDescent="0.25">
      <c r="A170" s="179"/>
      <c r="B170" s="180"/>
      <c r="C170" s="180"/>
      <c r="D170" s="180"/>
      <c r="E170" s="180"/>
      <c r="F170" s="180"/>
      <c r="G170" s="180"/>
      <c r="H170" s="180"/>
      <c r="I170" s="180"/>
      <c r="J170" s="180"/>
      <c r="K170" s="180"/>
      <c r="L170" s="180"/>
      <c r="M170" s="180"/>
      <c r="N170" s="180"/>
      <c r="O170" s="180"/>
      <c r="P170" s="180"/>
      <c r="Q170" s="180"/>
      <c r="R170" s="180"/>
      <c r="S170" s="180"/>
      <c r="T170" s="180"/>
      <c r="U170" s="180"/>
      <c r="V170" s="201"/>
      <c r="W170" s="180"/>
      <c r="X170" s="5"/>
    </row>
    <row r="171" spans="1:256" s="158" customFormat="1" ht="15.75" x14ac:dyDescent="0.25">
      <c r="A171" s="181"/>
      <c r="B171" s="210" t="s">
        <v>230</v>
      </c>
      <c r="C171" s="212"/>
      <c r="D171" s="212"/>
      <c r="E171" s="212"/>
      <c r="F171" s="212"/>
      <c r="G171" s="212"/>
      <c r="H171" s="212"/>
      <c r="I171" s="212"/>
      <c r="J171" s="212"/>
      <c r="K171" s="212"/>
      <c r="L171" s="212"/>
      <c r="M171" s="212"/>
      <c r="N171" s="212"/>
      <c r="O171" s="212"/>
      <c r="P171" s="212"/>
      <c r="Q171" s="212"/>
      <c r="R171" s="212"/>
      <c r="S171" s="212"/>
      <c r="T171" s="212"/>
      <c r="U171" s="212"/>
      <c r="V171" s="213"/>
      <c r="W171" s="212"/>
      <c r="X171" s="5"/>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s="160" customFormat="1" ht="15.75" x14ac:dyDescent="0.25">
      <c r="A172" s="285"/>
      <c r="B172" s="286" t="s">
        <v>231</v>
      </c>
      <c r="C172" s="286"/>
      <c r="D172" s="286"/>
      <c r="E172" s="286"/>
      <c r="F172" s="286"/>
      <c r="G172" s="286"/>
      <c r="H172" s="286"/>
      <c r="I172" s="286"/>
      <c r="J172" s="286"/>
      <c r="K172" s="286"/>
      <c r="L172" s="286"/>
      <c r="M172" s="286"/>
      <c r="N172" s="286"/>
      <c r="O172" s="286"/>
      <c r="P172" s="286"/>
      <c r="Q172" s="286"/>
      <c r="R172" s="286"/>
      <c r="S172" s="286"/>
      <c r="T172" s="286"/>
      <c r="U172" s="286"/>
      <c r="V172" s="338">
        <f>+'Aug 08'!V173</f>
        <v>0</v>
      </c>
      <c r="W172" s="289"/>
      <c r="X172" s="5"/>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s="160" customFormat="1" ht="15.75" x14ac:dyDescent="0.25">
      <c r="A173" s="285"/>
      <c r="B173" s="286" t="s">
        <v>234</v>
      </c>
      <c r="C173" s="286"/>
      <c r="D173" s="286"/>
      <c r="E173" s="286"/>
      <c r="F173" s="286"/>
      <c r="G173" s="286"/>
      <c r="H173" s="286"/>
      <c r="I173" s="286"/>
      <c r="J173" s="286"/>
      <c r="K173" s="286"/>
      <c r="L173" s="286"/>
      <c r="M173" s="286"/>
      <c r="N173" s="286"/>
      <c r="O173" s="286"/>
      <c r="P173" s="286"/>
      <c r="Q173" s="286"/>
      <c r="R173" s="286"/>
      <c r="S173" s="286"/>
      <c r="T173" s="286"/>
      <c r="U173" s="286"/>
      <c r="V173" s="338">
        <f>+V94</f>
        <v>0</v>
      </c>
      <c r="W173" s="289"/>
      <c r="X173" s="5"/>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s="160" customFormat="1" ht="15.75" x14ac:dyDescent="0.25">
      <c r="A174" s="285"/>
      <c r="B174" s="286" t="s">
        <v>232</v>
      </c>
      <c r="C174" s="286"/>
      <c r="D174" s="286"/>
      <c r="E174" s="286"/>
      <c r="F174" s="286"/>
      <c r="G174" s="286"/>
      <c r="H174" s="286"/>
      <c r="I174" s="286"/>
      <c r="J174" s="286"/>
      <c r="K174" s="286"/>
      <c r="L174" s="286"/>
      <c r="M174" s="286"/>
      <c r="N174" s="286"/>
      <c r="O174" s="286"/>
      <c r="P174" s="286"/>
      <c r="Q174" s="286"/>
      <c r="R174" s="286"/>
      <c r="S174" s="286"/>
      <c r="T174" s="286"/>
      <c r="U174" s="286"/>
      <c r="V174" s="338">
        <f>+V172-V173</f>
        <v>0</v>
      </c>
      <c r="W174" s="289"/>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6.5" thickBot="1" x14ac:dyDescent="0.3">
      <c r="A175" s="197"/>
      <c r="B175" s="212"/>
      <c r="C175" s="212"/>
      <c r="D175" s="212"/>
      <c r="E175" s="212"/>
      <c r="F175" s="212"/>
      <c r="G175" s="212"/>
      <c r="H175" s="212"/>
      <c r="I175" s="212"/>
      <c r="J175" s="212"/>
      <c r="K175" s="212"/>
      <c r="L175" s="212"/>
      <c r="M175" s="212"/>
      <c r="N175" s="212"/>
      <c r="O175" s="212"/>
      <c r="P175" s="212"/>
      <c r="Q175" s="212"/>
      <c r="R175" s="212"/>
      <c r="S175" s="212"/>
      <c r="T175" s="212"/>
      <c r="U175" s="212"/>
      <c r="V175" s="344"/>
      <c r="W175" s="212"/>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4" customFormat="1" ht="15.75" x14ac:dyDescent="0.25">
      <c r="A176" s="179"/>
      <c r="B176" s="180"/>
      <c r="C176" s="180"/>
      <c r="D176" s="180"/>
      <c r="E176" s="180"/>
      <c r="F176" s="180"/>
      <c r="G176" s="180"/>
      <c r="H176" s="180"/>
      <c r="I176" s="180"/>
      <c r="J176" s="180"/>
      <c r="K176" s="180"/>
      <c r="L176" s="180"/>
      <c r="M176" s="180"/>
      <c r="N176" s="180"/>
      <c r="O176" s="180"/>
      <c r="P176" s="180"/>
      <c r="Q176" s="180"/>
      <c r="R176" s="180"/>
      <c r="S176" s="180"/>
      <c r="T176" s="180"/>
      <c r="U176" s="180"/>
      <c r="V176" s="201"/>
      <c r="W176" s="180"/>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4" ht="15.75" x14ac:dyDescent="0.25">
      <c r="A177" s="181"/>
      <c r="B177" s="210" t="s">
        <v>56</v>
      </c>
      <c r="C177" s="183"/>
      <c r="D177" s="183"/>
      <c r="E177" s="183"/>
      <c r="F177" s="183"/>
      <c r="G177" s="183"/>
      <c r="H177" s="183"/>
      <c r="I177" s="183"/>
      <c r="J177" s="183"/>
      <c r="K177" s="183"/>
      <c r="L177" s="183"/>
      <c r="M177" s="183"/>
      <c r="N177" s="183"/>
      <c r="O177" s="183"/>
      <c r="P177" s="183"/>
      <c r="Q177" s="183"/>
      <c r="R177" s="183"/>
      <c r="S177" s="183"/>
      <c r="T177" s="183"/>
      <c r="U177" s="183"/>
      <c r="V177" s="202"/>
      <c r="W177" s="183"/>
      <c r="X177" s="5"/>
    </row>
    <row r="178" spans="1:24" ht="15.75" x14ac:dyDescent="0.25">
      <c r="A178" s="181"/>
      <c r="B178" s="191"/>
      <c r="C178" s="183"/>
      <c r="D178" s="183"/>
      <c r="E178" s="183"/>
      <c r="F178" s="183"/>
      <c r="G178" s="183"/>
      <c r="H178" s="183"/>
      <c r="I178" s="183"/>
      <c r="J178" s="183"/>
      <c r="K178" s="183"/>
      <c r="L178" s="183"/>
      <c r="M178" s="183"/>
      <c r="N178" s="183"/>
      <c r="O178" s="183"/>
      <c r="P178" s="183"/>
      <c r="Q178" s="183"/>
      <c r="R178" s="183"/>
      <c r="S178" s="183"/>
      <c r="T178" s="183"/>
      <c r="U178" s="183"/>
      <c r="V178" s="202"/>
      <c r="W178" s="183"/>
      <c r="X178" s="5"/>
    </row>
    <row r="179" spans="1:24" ht="15.75" x14ac:dyDescent="0.25">
      <c r="A179" s="285"/>
      <c r="B179" s="286" t="s">
        <v>57</v>
      </c>
      <c r="C179" s="286"/>
      <c r="D179" s="286"/>
      <c r="E179" s="286"/>
      <c r="F179" s="286"/>
      <c r="G179" s="286"/>
      <c r="H179" s="286"/>
      <c r="I179" s="286"/>
      <c r="J179" s="286"/>
      <c r="K179" s="286"/>
      <c r="L179" s="286"/>
      <c r="M179" s="286"/>
      <c r="N179" s="286"/>
      <c r="O179" s="286"/>
      <c r="P179" s="286"/>
      <c r="Q179" s="286"/>
      <c r="R179" s="286"/>
      <c r="S179" s="286"/>
      <c r="T179" s="286"/>
      <c r="U179" s="286"/>
      <c r="V179" s="338">
        <f>V71</f>
        <v>777801</v>
      </c>
      <c r="W179" s="289"/>
      <c r="X179" s="5"/>
    </row>
    <row r="180" spans="1:24" ht="15.75" x14ac:dyDescent="0.25">
      <c r="A180" s="285"/>
      <c r="B180" s="286" t="s">
        <v>58</v>
      </c>
      <c r="C180" s="286"/>
      <c r="D180" s="286"/>
      <c r="E180" s="286"/>
      <c r="F180" s="286"/>
      <c r="G180" s="286"/>
      <c r="H180" s="286"/>
      <c r="I180" s="286"/>
      <c r="J180" s="286"/>
      <c r="K180" s="286"/>
      <c r="L180" s="286"/>
      <c r="M180" s="286"/>
      <c r="N180" s="286"/>
      <c r="O180" s="286"/>
      <c r="P180" s="286"/>
      <c r="Q180" s="286"/>
      <c r="R180" s="286"/>
      <c r="S180" s="286"/>
      <c r="T180" s="286"/>
      <c r="U180" s="286"/>
      <c r="V180" s="338">
        <f>V84</f>
        <v>777801</v>
      </c>
      <c r="W180" s="289"/>
      <c r="X180" s="5"/>
    </row>
    <row r="181" spans="1:24" ht="16.5" thickBot="1" x14ac:dyDescent="0.3">
      <c r="A181" s="181"/>
      <c r="B181" s="212"/>
      <c r="C181" s="212"/>
      <c r="D181" s="212"/>
      <c r="E181" s="212"/>
      <c r="F181" s="212"/>
      <c r="G181" s="212"/>
      <c r="H181" s="212"/>
      <c r="I181" s="212"/>
      <c r="J181" s="212"/>
      <c r="K181" s="212"/>
      <c r="L181" s="212"/>
      <c r="M181" s="212"/>
      <c r="N181" s="212"/>
      <c r="O181" s="212"/>
      <c r="P181" s="212"/>
      <c r="Q181" s="212"/>
      <c r="R181" s="212"/>
      <c r="S181" s="212"/>
      <c r="T181" s="212"/>
      <c r="U181" s="212"/>
      <c r="V181" s="344"/>
      <c r="W181" s="212"/>
      <c r="X181" s="5"/>
    </row>
    <row r="182" spans="1:24" ht="15.75" x14ac:dyDescent="0.25">
      <c r="A182" s="179"/>
      <c r="B182" s="180"/>
      <c r="C182" s="180"/>
      <c r="D182" s="180"/>
      <c r="E182" s="180"/>
      <c r="F182" s="180"/>
      <c r="G182" s="180"/>
      <c r="H182" s="180"/>
      <c r="I182" s="180"/>
      <c r="J182" s="180"/>
      <c r="K182" s="180"/>
      <c r="L182" s="180"/>
      <c r="M182" s="180"/>
      <c r="N182" s="180"/>
      <c r="O182" s="180"/>
      <c r="P182" s="180"/>
      <c r="Q182" s="180"/>
      <c r="R182" s="180"/>
      <c r="S182" s="180"/>
      <c r="T182" s="180"/>
      <c r="U182" s="180"/>
      <c r="V182" s="201"/>
      <c r="W182" s="180"/>
      <c r="X182" s="5"/>
    </row>
    <row r="183" spans="1:24" ht="15.75" x14ac:dyDescent="0.25">
      <c r="A183" s="181"/>
      <c r="B183" s="210" t="s">
        <v>59</v>
      </c>
      <c r="C183" s="206"/>
      <c r="D183" s="206"/>
      <c r="E183" s="206"/>
      <c r="F183" s="206"/>
      <c r="G183" s="206"/>
      <c r="H183" s="214"/>
      <c r="I183" s="214"/>
      <c r="J183" s="214"/>
      <c r="K183" s="214"/>
      <c r="L183" s="214"/>
      <c r="M183" s="214"/>
      <c r="N183" s="214"/>
      <c r="O183" s="214"/>
      <c r="P183" s="214"/>
      <c r="Q183" s="214"/>
      <c r="R183" s="214"/>
      <c r="S183" s="214" t="s">
        <v>101</v>
      </c>
      <c r="T183" s="214" t="s">
        <v>176</v>
      </c>
      <c r="U183" s="185"/>
      <c r="V183" s="215" t="s">
        <v>114</v>
      </c>
      <c r="W183" s="216"/>
      <c r="X183" s="5"/>
    </row>
    <row r="184" spans="1:24" ht="15.75" x14ac:dyDescent="0.25">
      <c r="A184" s="285"/>
      <c r="B184" s="286" t="s">
        <v>60</v>
      </c>
      <c r="C184" s="286"/>
      <c r="D184" s="286"/>
      <c r="E184" s="286"/>
      <c r="F184" s="286"/>
      <c r="G184" s="286"/>
      <c r="H184" s="286"/>
      <c r="I184" s="286"/>
      <c r="J184" s="286"/>
      <c r="K184" s="286"/>
      <c r="L184" s="286"/>
      <c r="M184" s="286"/>
      <c r="N184" s="286"/>
      <c r="O184" s="286"/>
      <c r="P184" s="286"/>
      <c r="Q184" s="286"/>
      <c r="R184" s="286"/>
      <c r="S184" s="338">
        <f>+V34*0.16</f>
        <v>160181.28</v>
      </c>
      <c r="T184" s="325"/>
      <c r="U184" s="286"/>
      <c r="V184" s="338"/>
      <c r="W184" s="289"/>
      <c r="X184" s="5"/>
    </row>
    <row r="185" spans="1:24" ht="15.75" x14ac:dyDescent="0.25">
      <c r="A185" s="285"/>
      <c r="B185" s="286" t="s">
        <v>61</v>
      </c>
      <c r="C185" s="286"/>
      <c r="D185" s="286"/>
      <c r="E185" s="286"/>
      <c r="F185" s="286"/>
      <c r="G185" s="286"/>
      <c r="H185" s="286"/>
      <c r="I185" s="286"/>
      <c r="J185" s="286"/>
      <c r="K185" s="286"/>
      <c r="L185" s="286"/>
      <c r="M185" s="286"/>
      <c r="N185" s="286"/>
      <c r="O185" s="286"/>
      <c r="P185" s="286"/>
      <c r="Q185" s="286"/>
      <c r="R185" s="286"/>
      <c r="S185" s="338">
        <f>+'Feb 14'!S187</f>
        <v>11131</v>
      </c>
      <c r="T185" s="338">
        <f>+'Feb 14'!T187</f>
        <v>6090</v>
      </c>
      <c r="U185" s="286"/>
      <c r="V185" s="338">
        <f>S185+T185</f>
        <v>17221</v>
      </c>
      <c r="W185" s="289"/>
      <c r="X185" s="5"/>
    </row>
    <row r="186" spans="1:24" ht="15.75" x14ac:dyDescent="0.25">
      <c r="A186" s="285"/>
      <c r="B186" s="286" t="s">
        <v>62</v>
      </c>
      <c r="C186" s="286"/>
      <c r="D186" s="286"/>
      <c r="E186" s="286"/>
      <c r="F186" s="286"/>
      <c r="G186" s="286"/>
      <c r="H186" s="286"/>
      <c r="I186" s="286"/>
      <c r="J186" s="286"/>
      <c r="K186" s="286"/>
      <c r="L186" s="286"/>
      <c r="M186" s="286"/>
      <c r="N186" s="286"/>
      <c r="O186" s="286"/>
      <c r="P186" s="286"/>
      <c r="Q186" s="286"/>
      <c r="R186" s="286"/>
      <c r="S186" s="337">
        <f>146+59</f>
        <v>205</v>
      </c>
      <c r="T186" s="337">
        <v>0</v>
      </c>
      <c r="U186" s="286"/>
      <c r="V186" s="338">
        <f>S186+T186</f>
        <v>205</v>
      </c>
      <c r="W186" s="289"/>
      <c r="X186" s="5"/>
    </row>
    <row r="187" spans="1:24" ht="15.75" x14ac:dyDescent="0.25">
      <c r="A187" s="285"/>
      <c r="B187" s="286" t="s">
        <v>63</v>
      </c>
      <c r="C187" s="286"/>
      <c r="D187" s="286"/>
      <c r="E187" s="286"/>
      <c r="F187" s="286"/>
      <c r="G187" s="286"/>
      <c r="H187" s="286"/>
      <c r="I187" s="286"/>
      <c r="J187" s="286"/>
      <c r="K187" s="286"/>
      <c r="L187" s="286"/>
      <c r="M187" s="286"/>
      <c r="N187" s="286"/>
      <c r="O187" s="286"/>
      <c r="P187" s="286"/>
      <c r="Q187" s="286"/>
      <c r="R187" s="286"/>
      <c r="S187" s="338">
        <f>S185+S186</f>
        <v>11336</v>
      </c>
      <c r="T187" s="338">
        <f>T186+T185</f>
        <v>6090</v>
      </c>
      <c r="U187" s="286"/>
      <c r="V187" s="338">
        <f>S187+T187</f>
        <v>17426</v>
      </c>
      <c r="W187" s="289"/>
      <c r="X187" s="5"/>
    </row>
    <row r="188" spans="1:24" ht="15.75" x14ac:dyDescent="0.25">
      <c r="A188" s="285"/>
      <c r="B188" s="286" t="s">
        <v>64</v>
      </c>
      <c r="C188" s="286"/>
      <c r="D188" s="286"/>
      <c r="E188" s="286"/>
      <c r="F188" s="286"/>
      <c r="G188" s="286"/>
      <c r="H188" s="286"/>
      <c r="I188" s="286"/>
      <c r="J188" s="286"/>
      <c r="K188" s="286"/>
      <c r="L188" s="286"/>
      <c r="M188" s="286"/>
      <c r="N188" s="286"/>
      <c r="O188" s="286"/>
      <c r="P188" s="286"/>
      <c r="Q188" s="286"/>
      <c r="R188" s="286"/>
      <c r="S188" s="338">
        <f>S184-S187-T187</f>
        <v>142755.28</v>
      </c>
      <c r="T188" s="325"/>
      <c r="U188" s="286"/>
      <c r="V188" s="338"/>
      <c r="W188" s="289"/>
      <c r="X188" s="5"/>
    </row>
    <row r="189" spans="1:24" ht="16.5" thickBot="1" x14ac:dyDescent="0.3">
      <c r="A189" s="181"/>
      <c r="B189" s="212"/>
      <c r="C189" s="212"/>
      <c r="D189" s="212"/>
      <c r="E189" s="212"/>
      <c r="F189" s="212"/>
      <c r="G189" s="212"/>
      <c r="H189" s="212"/>
      <c r="I189" s="212"/>
      <c r="J189" s="212"/>
      <c r="K189" s="212"/>
      <c r="L189" s="212"/>
      <c r="M189" s="212"/>
      <c r="N189" s="212"/>
      <c r="O189" s="212"/>
      <c r="P189" s="212"/>
      <c r="Q189" s="212"/>
      <c r="R189" s="212"/>
      <c r="S189" s="212"/>
      <c r="T189" s="212"/>
      <c r="U189" s="212"/>
      <c r="V189" s="344"/>
      <c r="W189" s="212"/>
      <c r="X189" s="5"/>
    </row>
    <row r="190" spans="1:24" ht="15.75" x14ac:dyDescent="0.25">
      <c r="A190" s="179"/>
      <c r="B190" s="180"/>
      <c r="C190" s="180"/>
      <c r="D190" s="180"/>
      <c r="E190" s="180"/>
      <c r="F190" s="180"/>
      <c r="G190" s="180"/>
      <c r="H190" s="180"/>
      <c r="I190" s="180"/>
      <c r="J190" s="180"/>
      <c r="K190" s="180"/>
      <c r="L190" s="180"/>
      <c r="M190" s="180"/>
      <c r="N190" s="180"/>
      <c r="O190" s="180"/>
      <c r="P190" s="180"/>
      <c r="Q190" s="180"/>
      <c r="R190" s="180"/>
      <c r="S190" s="180"/>
      <c r="T190" s="180"/>
      <c r="U190" s="180"/>
      <c r="V190" s="201"/>
      <c r="W190" s="180"/>
      <c r="X190" s="5"/>
    </row>
    <row r="191" spans="1:24" ht="15.75" x14ac:dyDescent="0.25">
      <c r="A191" s="181"/>
      <c r="B191" s="210" t="s">
        <v>65</v>
      </c>
      <c r="C191" s="183"/>
      <c r="D191" s="183"/>
      <c r="E191" s="183"/>
      <c r="F191" s="183"/>
      <c r="G191" s="183"/>
      <c r="H191" s="183"/>
      <c r="I191" s="183"/>
      <c r="J191" s="183"/>
      <c r="K191" s="183"/>
      <c r="L191" s="183"/>
      <c r="M191" s="183"/>
      <c r="N191" s="183"/>
      <c r="O191" s="183"/>
      <c r="P191" s="183"/>
      <c r="Q191" s="183"/>
      <c r="R191" s="183"/>
      <c r="S191" s="183"/>
      <c r="T191" s="183"/>
      <c r="U191" s="183"/>
      <c r="V191" s="217"/>
      <c r="W191" s="183"/>
      <c r="X191" s="5"/>
    </row>
    <row r="192" spans="1:24" ht="15.75" x14ac:dyDescent="0.25">
      <c r="A192" s="285"/>
      <c r="B192" s="286" t="s">
        <v>66</v>
      </c>
      <c r="C192" s="286"/>
      <c r="D192" s="286"/>
      <c r="E192" s="286"/>
      <c r="F192" s="286"/>
      <c r="G192" s="286"/>
      <c r="H192" s="286"/>
      <c r="I192" s="286"/>
      <c r="J192" s="286"/>
      <c r="K192" s="286"/>
      <c r="L192" s="286"/>
      <c r="M192" s="286"/>
      <c r="N192" s="286"/>
      <c r="O192" s="286"/>
      <c r="P192" s="286"/>
      <c r="Q192" s="286"/>
      <c r="R192" s="286"/>
      <c r="S192" s="286"/>
      <c r="T192" s="286"/>
      <c r="U192" s="286"/>
      <c r="V192" s="343">
        <f>(V101+V103+V104+V105+V106)/-(V107+V108)</f>
        <v>3.5400843881856541</v>
      </c>
      <c r="W192" s="289" t="s">
        <v>115</v>
      </c>
      <c r="X192" s="5"/>
    </row>
    <row r="193" spans="1:24" ht="15.75" x14ac:dyDescent="0.25">
      <c r="A193" s="285"/>
      <c r="B193" s="286" t="s">
        <v>67</v>
      </c>
      <c r="C193" s="286"/>
      <c r="D193" s="286"/>
      <c r="E193" s="286"/>
      <c r="F193" s="286"/>
      <c r="G193" s="286"/>
      <c r="H193" s="286"/>
      <c r="I193" s="286"/>
      <c r="J193" s="286"/>
      <c r="K193" s="286"/>
      <c r="L193" s="286"/>
      <c r="M193" s="286"/>
      <c r="N193" s="286"/>
      <c r="O193" s="286"/>
      <c r="P193" s="286"/>
      <c r="Q193" s="286"/>
      <c r="R193" s="286"/>
      <c r="S193" s="286"/>
      <c r="T193" s="286"/>
      <c r="U193" s="286"/>
      <c r="V193" s="347">
        <v>1.92</v>
      </c>
      <c r="W193" s="289" t="s">
        <v>115</v>
      </c>
      <c r="X193" s="5"/>
    </row>
    <row r="194" spans="1:24" ht="15.75" x14ac:dyDescent="0.25">
      <c r="A194" s="285"/>
      <c r="B194" s="286" t="s">
        <v>68</v>
      </c>
      <c r="C194" s="286"/>
      <c r="D194" s="286"/>
      <c r="E194" s="286"/>
      <c r="F194" s="286"/>
      <c r="G194" s="286"/>
      <c r="H194" s="286"/>
      <c r="I194" s="286"/>
      <c r="J194" s="286"/>
      <c r="K194" s="286"/>
      <c r="L194" s="286"/>
      <c r="M194" s="286"/>
      <c r="N194" s="286"/>
      <c r="O194" s="286"/>
      <c r="P194" s="286"/>
      <c r="Q194" s="286"/>
      <c r="R194" s="286"/>
      <c r="S194" s="286"/>
      <c r="T194" s="286"/>
      <c r="U194" s="286"/>
      <c r="V194" s="343">
        <f>(V101+V103+V104+V105+V106+V107+V108)/-(V109+V110)</f>
        <v>14.401913875598087</v>
      </c>
      <c r="W194" s="289" t="s">
        <v>115</v>
      </c>
      <c r="X194" s="5"/>
    </row>
    <row r="195" spans="1:24" ht="15.75" x14ac:dyDescent="0.25">
      <c r="A195" s="285"/>
      <c r="B195" s="286" t="s">
        <v>69</v>
      </c>
      <c r="C195" s="286"/>
      <c r="D195" s="286"/>
      <c r="E195" s="286"/>
      <c r="F195" s="286"/>
      <c r="G195" s="286"/>
      <c r="H195" s="286"/>
      <c r="I195" s="286"/>
      <c r="J195" s="286"/>
      <c r="K195" s="286"/>
      <c r="L195" s="286"/>
      <c r="M195" s="286"/>
      <c r="N195" s="286"/>
      <c r="O195" s="286"/>
      <c r="P195" s="286"/>
      <c r="Q195" s="286"/>
      <c r="R195" s="286"/>
      <c r="S195" s="286"/>
      <c r="T195" s="286"/>
      <c r="U195" s="286"/>
      <c r="V195" s="347">
        <v>8.5500000000000007</v>
      </c>
      <c r="W195" s="289" t="s">
        <v>115</v>
      </c>
      <c r="X195" s="5"/>
    </row>
    <row r="196" spans="1:24" ht="15.75" x14ac:dyDescent="0.25">
      <c r="A196" s="285"/>
      <c r="B196" s="286" t="s">
        <v>198</v>
      </c>
      <c r="C196" s="286"/>
      <c r="D196" s="286"/>
      <c r="E196" s="286"/>
      <c r="F196" s="286"/>
      <c r="G196" s="286"/>
      <c r="H196" s="286"/>
      <c r="I196" s="286"/>
      <c r="J196" s="286"/>
      <c r="K196" s="286"/>
      <c r="L196" s="286"/>
      <c r="M196" s="286"/>
      <c r="N196" s="286"/>
      <c r="O196" s="286"/>
      <c r="P196" s="286"/>
      <c r="Q196" s="286"/>
      <c r="R196" s="286"/>
      <c r="S196" s="286"/>
      <c r="T196" s="286"/>
      <c r="U196" s="286"/>
      <c r="V196" s="343">
        <f>(V101+V103+V104+V105+V106+V107+V108+V109+V110)/-(V111)</f>
        <v>8.5657492354740068</v>
      </c>
      <c r="W196" s="289" t="s">
        <v>115</v>
      </c>
      <c r="X196" s="5"/>
    </row>
    <row r="197" spans="1:24" ht="15.75" x14ac:dyDescent="0.25">
      <c r="A197" s="285"/>
      <c r="B197" s="286" t="s">
        <v>199</v>
      </c>
      <c r="C197" s="286"/>
      <c r="D197" s="286"/>
      <c r="E197" s="286"/>
      <c r="F197" s="286"/>
      <c r="G197" s="286"/>
      <c r="H197" s="286"/>
      <c r="I197" s="286"/>
      <c r="J197" s="286"/>
      <c r="K197" s="286"/>
      <c r="L197" s="286"/>
      <c r="M197" s="286"/>
      <c r="N197" s="286"/>
      <c r="O197" s="286"/>
      <c r="P197" s="286"/>
      <c r="Q197" s="286"/>
      <c r="R197" s="286"/>
      <c r="S197" s="286"/>
      <c r="T197" s="286"/>
      <c r="U197" s="286"/>
      <c r="V197" s="347">
        <v>6.43</v>
      </c>
      <c r="W197" s="289" t="s">
        <v>115</v>
      </c>
      <c r="X197" s="5"/>
    </row>
    <row r="198" spans="1:24" ht="15.75" x14ac:dyDescent="0.25">
      <c r="A198" s="285"/>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9"/>
      <c r="X198" s="5"/>
    </row>
    <row r="199" spans="1:24" ht="15.75" x14ac:dyDescent="0.25">
      <c r="A199" s="181"/>
      <c r="B199" s="346"/>
      <c r="C199" s="346"/>
      <c r="D199" s="346"/>
      <c r="E199" s="346"/>
      <c r="F199" s="346"/>
      <c r="G199" s="346"/>
      <c r="H199" s="346"/>
      <c r="I199" s="346"/>
      <c r="J199" s="346"/>
      <c r="K199" s="346"/>
      <c r="L199" s="346"/>
      <c r="M199" s="346"/>
      <c r="N199" s="346"/>
      <c r="O199" s="346"/>
      <c r="P199" s="346"/>
      <c r="Q199" s="346"/>
      <c r="R199" s="346"/>
      <c r="S199" s="346"/>
      <c r="T199" s="346"/>
      <c r="U199" s="346"/>
      <c r="V199" s="346"/>
      <c r="W199" s="346"/>
      <c r="X199" s="5"/>
    </row>
    <row r="200" spans="1:24" ht="15.75" x14ac:dyDescent="0.25">
      <c r="A200" s="181"/>
      <c r="B200" s="255"/>
      <c r="C200" s="255"/>
      <c r="D200" s="255"/>
      <c r="E200" s="255"/>
      <c r="F200" s="255"/>
      <c r="G200" s="255"/>
      <c r="H200" s="255"/>
      <c r="I200" s="255"/>
      <c r="J200" s="255"/>
      <c r="K200" s="255"/>
      <c r="L200" s="255"/>
      <c r="M200" s="255"/>
      <c r="N200" s="255"/>
      <c r="O200" s="255"/>
      <c r="P200" s="255"/>
      <c r="Q200" s="255"/>
      <c r="R200" s="255"/>
      <c r="S200" s="255"/>
      <c r="T200" s="255"/>
      <c r="U200" s="255"/>
      <c r="V200" s="255"/>
      <c r="W200" s="255"/>
      <c r="X200" s="5"/>
    </row>
    <row r="201" spans="1:24" ht="19.5" thickBot="1" x14ac:dyDescent="0.35">
      <c r="A201" s="197"/>
      <c r="B201" s="270" t="str">
        <f>B135</f>
        <v>PM15 INVESTOR REPORT QUARTER ENDING MAY 2014</v>
      </c>
      <c r="C201" s="271"/>
      <c r="D201" s="271"/>
      <c r="E201" s="271"/>
      <c r="F201" s="271"/>
      <c r="G201" s="271"/>
      <c r="H201" s="271"/>
      <c r="I201" s="271"/>
      <c r="J201" s="271"/>
      <c r="K201" s="271"/>
      <c r="L201" s="271"/>
      <c r="M201" s="271"/>
      <c r="N201" s="271"/>
      <c r="O201" s="271"/>
      <c r="P201" s="271"/>
      <c r="Q201" s="271"/>
      <c r="R201" s="271"/>
      <c r="S201" s="271"/>
      <c r="T201" s="271"/>
      <c r="U201" s="271"/>
      <c r="V201" s="271"/>
      <c r="W201" s="272"/>
      <c r="X201" s="5"/>
    </row>
    <row r="202" spans="1:24" ht="15.75" x14ac:dyDescent="0.25">
      <c r="A202" s="236"/>
      <c r="B202" s="403" t="s">
        <v>70</v>
      </c>
      <c r="C202" s="404"/>
      <c r="D202" s="404"/>
      <c r="E202" s="404"/>
      <c r="F202" s="404"/>
      <c r="G202" s="405"/>
      <c r="H202" s="405"/>
      <c r="I202" s="405"/>
      <c r="J202" s="405"/>
      <c r="K202" s="405"/>
      <c r="L202" s="405"/>
      <c r="M202" s="405"/>
      <c r="N202" s="405"/>
      <c r="O202" s="405"/>
      <c r="P202" s="405"/>
      <c r="Q202" s="405"/>
      <c r="R202" s="405"/>
      <c r="S202" s="405"/>
      <c r="T202" s="405">
        <v>41789</v>
      </c>
      <c r="U202" s="238"/>
      <c r="V202" s="238"/>
      <c r="W202" s="238"/>
      <c r="X202" s="5"/>
    </row>
    <row r="203" spans="1:24" ht="15.75" x14ac:dyDescent="0.25">
      <c r="A203" s="218"/>
      <c r="B203" s="219"/>
      <c r="C203" s="220"/>
      <c r="D203" s="220"/>
      <c r="E203" s="220"/>
      <c r="F203" s="220"/>
      <c r="G203" s="221"/>
      <c r="H203" s="221"/>
      <c r="I203" s="221"/>
      <c r="J203" s="221"/>
      <c r="K203" s="221"/>
      <c r="L203" s="221"/>
      <c r="M203" s="221"/>
      <c r="N203" s="221"/>
      <c r="O203" s="221"/>
      <c r="P203" s="221"/>
      <c r="Q203" s="221"/>
      <c r="R203" s="221"/>
      <c r="S203" s="221"/>
      <c r="T203" s="221"/>
      <c r="U203" s="183"/>
      <c r="V203" s="183"/>
      <c r="W203" s="183"/>
      <c r="X203" s="5"/>
    </row>
    <row r="204" spans="1:24" ht="15.75" x14ac:dyDescent="0.25">
      <c r="A204" s="350"/>
      <c r="B204" s="286" t="s">
        <v>71</v>
      </c>
      <c r="C204" s="406"/>
      <c r="D204" s="406"/>
      <c r="E204" s="406"/>
      <c r="F204" s="406"/>
      <c r="G204" s="397"/>
      <c r="H204" s="397"/>
      <c r="I204" s="397"/>
      <c r="J204" s="397"/>
      <c r="K204" s="397"/>
      <c r="L204" s="397"/>
      <c r="M204" s="397"/>
      <c r="N204" s="397"/>
      <c r="O204" s="397"/>
      <c r="P204" s="397"/>
      <c r="Q204" s="397"/>
      <c r="R204" s="397"/>
      <c r="S204" s="397"/>
      <c r="T204" s="321">
        <v>5.3830000000000003E-2</v>
      </c>
      <c r="U204" s="286"/>
      <c r="V204" s="286"/>
      <c r="W204" s="289"/>
      <c r="X204" s="5"/>
    </row>
    <row r="205" spans="1:24" ht="15.75" x14ac:dyDescent="0.25">
      <c r="A205" s="350"/>
      <c r="B205" s="286" t="s">
        <v>151</v>
      </c>
      <c r="C205" s="406"/>
      <c r="D205" s="406"/>
      <c r="E205" s="406"/>
      <c r="F205" s="406"/>
      <c r="G205" s="397"/>
      <c r="H205" s="397"/>
      <c r="I205" s="397"/>
      <c r="J205" s="397"/>
      <c r="K205" s="397"/>
      <c r="L205" s="397"/>
      <c r="M205" s="397"/>
      <c r="N205" s="397"/>
      <c r="O205" s="397"/>
      <c r="P205" s="397"/>
      <c r="Q205" s="397"/>
      <c r="R205" s="397"/>
      <c r="S205" s="397"/>
      <c r="T205" s="321">
        <v>6.25E-2</v>
      </c>
      <c r="U205" s="286"/>
      <c r="V205" s="286"/>
      <c r="W205" s="289"/>
      <c r="X205" s="5"/>
    </row>
    <row r="206" spans="1:24" ht="15.75" x14ac:dyDescent="0.25">
      <c r="A206" s="350"/>
      <c r="B206" s="286" t="s">
        <v>72</v>
      </c>
      <c r="C206" s="406"/>
      <c r="D206" s="406"/>
      <c r="E206" s="406"/>
      <c r="F206" s="406"/>
      <c r="G206" s="397"/>
      <c r="H206" s="397"/>
      <c r="I206" s="397"/>
      <c r="J206" s="397"/>
      <c r="K206" s="397"/>
      <c r="L206" s="397"/>
      <c r="M206" s="397"/>
      <c r="N206" s="397"/>
      <c r="O206" s="397"/>
      <c r="P206" s="397"/>
      <c r="Q206" s="397"/>
      <c r="R206" s="397"/>
      <c r="S206" s="397"/>
      <c r="T206" s="321">
        <f>T204-T205</f>
        <v>-8.6699999999999972E-3</v>
      </c>
      <c r="U206" s="286"/>
      <c r="V206" s="286"/>
      <c r="W206" s="289"/>
      <c r="X206" s="5"/>
    </row>
    <row r="207" spans="1:24" ht="15.75" x14ac:dyDescent="0.25">
      <c r="A207" s="350"/>
      <c r="B207" s="286" t="s">
        <v>73</v>
      </c>
      <c r="C207" s="406"/>
      <c r="D207" s="406"/>
      <c r="E207" s="406"/>
      <c r="F207" s="406"/>
      <c r="G207" s="397"/>
      <c r="H207" s="397"/>
      <c r="I207" s="397"/>
      <c r="J207" s="397"/>
      <c r="K207" s="397"/>
      <c r="L207" s="397"/>
      <c r="M207" s="397"/>
      <c r="N207" s="397"/>
      <c r="O207" s="397"/>
      <c r="P207" s="397"/>
      <c r="Q207" s="397"/>
      <c r="R207" s="397"/>
      <c r="S207" s="397"/>
      <c r="T207" s="321">
        <v>2.4889999999999999E-2</v>
      </c>
      <c r="U207" s="286"/>
      <c r="V207" s="286"/>
      <c r="W207" s="289"/>
      <c r="X207" s="5"/>
    </row>
    <row r="208" spans="1:24" ht="15.75" x14ac:dyDescent="0.25">
      <c r="A208" s="350"/>
      <c r="B208" s="286" t="s">
        <v>218</v>
      </c>
      <c r="C208" s="406"/>
      <c r="D208" s="406"/>
      <c r="E208" s="406"/>
      <c r="F208" s="406"/>
      <c r="G208" s="397"/>
      <c r="H208" s="397"/>
      <c r="I208" s="397"/>
      <c r="J208" s="397"/>
      <c r="K208" s="397"/>
      <c r="L208" s="397"/>
      <c r="M208" s="397"/>
      <c r="N208" s="397"/>
      <c r="O208" s="397"/>
      <c r="P208" s="397"/>
      <c r="Q208" s="397"/>
      <c r="R208" s="397"/>
      <c r="S208" s="397"/>
      <c r="T208" s="321">
        <f>V43</f>
        <v>8.7954783437896276E-3</v>
      </c>
      <c r="U208" s="286"/>
      <c r="V208" s="286"/>
      <c r="W208" s="289"/>
      <c r="X208" s="5"/>
    </row>
    <row r="209" spans="1:24" ht="15.75" x14ac:dyDescent="0.25">
      <c r="A209" s="350"/>
      <c r="B209" s="286" t="s">
        <v>74</v>
      </c>
      <c r="C209" s="406"/>
      <c r="D209" s="406"/>
      <c r="E209" s="406"/>
      <c r="F209" s="406"/>
      <c r="G209" s="397"/>
      <c r="H209" s="397"/>
      <c r="I209" s="397"/>
      <c r="J209" s="397"/>
      <c r="K209" s="397"/>
      <c r="L209" s="397"/>
      <c r="M209" s="397"/>
      <c r="N209" s="397"/>
      <c r="O209" s="397"/>
      <c r="P209" s="397"/>
      <c r="Q209" s="397"/>
      <c r="R209" s="397"/>
      <c r="S209" s="397"/>
      <c r="T209" s="321">
        <f>T207-T208</f>
        <v>1.6094521656210371E-2</v>
      </c>
      <c r="U209" s="286"/>
      <c r="V209" s="286"/>
      <c r="W209" s="289"/>
      <c r="X209" s="5"/>
    </row>
    <row r="210" spans="1:24" ht="15.75" x14ac:dyDescent="0.25">
      <c r="A210" s="350"/>
      <c r="B210" s="286" t="s">
        <v>227</v>
      </c>
      <c r="C210" s="406"/>
      <c r="D210" s="406"/>
      <c r="E210" s="406"/>
      <c r="F210" s="406"/>
      <c r="G210" s="397"/>
      <c r="H210" s="397"/>
      <c r="I210" s="397"/>
      <c r="J210" s="397"/>
      <c r="K210" s="397"/>
      <c r="L210" s="397"/>
      <c r="M210" s="397"/>
      <c r="N210" s="397"/>
      <c r="O210" s="397"/>
      <c r="P210" s="397"/>
      <c r="Q210" s="397"/>
      <c r="R210" s="397"/>
      <c r="S210" s="397"/>
      <c r="T210" s="321">
        <f>V101/N71</f>
        <v>5.9404906287263423E-3</v>
      </c>
      <c r="U210" s="286"/>
      <c r="V210" s="286"/>
      <c r="W210" s="289"/>
      <c r="X210" s="5"/>
    </row>
    <row r="211" spans="1:24" ht="15.75" x14ac:dyDescent="0.25">
      <c r="A211" s="350"/>
      <c r="B211" s="286" t="s">
        <v>207</v>
      </c>
      <c r="C211" s="406"/>
      <c r="D211" s="406"/>
      <c r="E211" s="406"/>
      <c r="F211" s="406"/>
      <c r="G211" s="397"/>
      <c r="H211" s="397"/>
      <c r="I211" s="397"/>
      <c r="J211" s="397"/>
      <c r="K211" s="397"/>
      <c r="L211" s="397"/>
      <c r="M211" s="397"/>
      <c r="N211" s="397"/>
      <c r="O211" s="397"/>
      <c r="P211" s="397"/>
      <c r="Q211" s="397"/>
      <c r="R211" s="397"/>
      <c r="S211" s="397"/>
      <c r="T211" s="352">
        <v>51105</v>
      </c>
      <c r="U211" s="286"/>
      <c r="V211" s="286"/>
      <c r="W211" s="289"/>
      <c r="X211" s="5"/>
    </row>
    <row r="212" spans="1:24" ht="15.75" x14ac:dyDescent="0.25">
      <c r="A212" s="350"/>
      <c r="B212" s="286" t="s">
        <v>208</v>
      </c>
      <c r="C212" s="406"/>
      <c r="D212" s="406"/>
      <c r="E212" s="406"/>
      <c r="F212" s="406"/>
      <c r="G212" s="397"/>
      <c r="H212" s="397"/>
      <c r="I212" s="397"/>
      <c r="J212" s="397"/>
      <c r="K212" s="397"/>
      <c r="L212" s="397"/>
      <c r="M212" s="397"/>
      <c r="N212" s="397"/>
      <c r="O212" s="397"/>
      <c r="P212" s="397"/>
      <c r="Q212" s="397"/>
      <c r="R212" s="397"/>
      <c r="S212" s="397"/>
      <c r="T212" s="352">
        <v>51105</v>
      </c>
      <c r="U212" s="286"/>
      <c r="V212" s="286"/>
      <c r="W212" s="289"/>
      <c r="X212" s="5"/>
    </row>
    <row r="213" spans="1:24" ht="15.75" x14ac:dyDescent="0.25">
      <c r="A213" s="350"/>
      <c r="B213" s="286" t="s">
        <v>209</v>
      </c>
      <c r="C213" s="406"/>
      <c r="D213" s="406"/>
      <c r="E213" s="406"/>
      <c r="F213" s="406"/>
      <c r="G213" s="397"/>
      <c r="H213" s="397"/>
      <c r="I213" s="397"/>
      <c r="J213" s="397"/>
      <c r="K213" s="397"/>
      <c r="L213" s="397"/>
      <c r="M213" s="397"/>
      <c r="N213" s="397"/>
      <c r="O213" s="397"/>
      <c r="P213" s="397"/>
      <c r="Q213" s="397"/>
      <c r="R213" s="397"/>
      <c r="S213" s="397"/>
      <c r="T213" s="352">
        <v>51105</v>
      </c>
      <c r="U213" s="286"/>
      <c r="V213" s="286"/>
      <c r="W213" s="289"/>
      <c r="X213" s="5"/>
    </row>
    <row r="214" spans="1:24" ht="15.75" x14ac:dyDescent="0.25">
      <c r="A214" s="350"/>
      <c r="B214" s="286" t="s">
        <v>75</v>
      </c>
      <c r="C214" s="406"/>
      <c r="D214" s="406"/>
      <c r="E214" s="406"/>
      <c r="F214" s="406"/>
      <c r="G214" s="397"/>
      <c r="H214" s="397"/>
      <c r="I214" s="397"/>
      <c r="J214" s="397"/>
      <c r="K214" s="397"/>
      <c r="L214" s="397"/>
      <c r="M214" s="397"/>
      <c r="N214" s="397"/>
      <c r="O214" s="397"/>
      <c r="P214" s="397"/>
      <c r="Q214" s="397"/>
      <c r="R214" s="397"/>
      <c r="S214" s="397"/>
      <c r="T214" s="327">
        <v>21.06</v>
      </c>
      <c r="U214" s="286" t="s">
        <v>110</v>
      </c>
      <c r="V214" s="286"/>
      <c r="W214" s="289"/>
      <c r="X214" s="5"/>
    </row>
    <row r="215" spans="1:24" ht="15.75" x14ac:dyDescent="0.25">
      <c r="A215" s="350"/>
      <c r="B215" s="286" t="s">
        <v>76</v>
      </c>
      <c r="C215" s="406"/>
      <c r="D215" s="406"/>
      <c r="E215" s="406"/>
      <c r="F215" s="406"/>
      <c r="G215" s="397"/>
      <c r="H215" s="397"/>
      <c r="I215" s="397"/>
      <c r="J215" s="397"/>
      <c r="K215" s="397"/>
      <c r="L215" s="397"/>
      <c r="M215" s="397"/>
      <c r="N215" s="397"/>
      <c r="O215" s="397"/>
      <c r="P215" s="397"/>
      <c r="Q215" s="397"/>
      <c r="R215" s="397"/>
      <c r="S215" s="397"/>
      <c r="T215" s="327">
        <v>14.44</v>
      </c>
      <c r="U215" s="286" t="s">
        <v>110</v>
      </c>
      <c r="V215" s="286"/>
      <c r="W215" s="289"/>
      <c r="X215" s="5"/>
    </row>
    <row r="216" spans="1:24" ht="15.75" x14ac:dyDescent="0.25">
      <c r="A216" s="350"/>
      <c r="B216" s="286" t="s">
        <v>77</v>
      </c>
      <c r="C216" s="406"/>
      <c r="D216" s="406"/>
      <c r="E216" s="406"/>
      <c r="F216" s="406"/>
      <c r="G216" s="397"/>
      <c r="H216" s="397"/>
      <c r="I216" s="397"/>
      <c r="J216" s="397"/>
      <c r="K216" s="397"/>
      <c r="L216" s="397"/>
      <c r="M216" s="397"/>
      <c r="N216" s="397"/>
      <c r="O216" s="397"/>
      <c r="P216" s="397"/>
      <c r="Q216" s="397"/>
      <c r="R216" s="397"/>
      <c r="S216" s="397"/>
      <c r="T216" s="321">
        <f>+P68/N68</f>
        <v>9.3712736574975281E-3</v>
      </c>
      <c r="U216" s="286"/>
      <c r="V216" s="286"/>
      <c r="W216" s="289"/>
      <c r="X216" s="5"/>
    </row>
    <row r="217" spans="1:24" ht="15.75" x14ac:dyDescent="0.25">
      <c r="A217" s="350"/>
      <c r="B217" s="286" t="s">
        <v>78</v>
      </c>
      <c r="C217" s="406"/>
      <c r="D217" s="406"/>
      <c r="E217" s="406"/>
      <c r="F217" s="406"/>
      <c r="G217" s="397"/>
      <c r="H217" s="397"/>
      <c r="I217" s="397"/>
      <c r="J217" s="397"/>
      <c r="K217" s="397"/>
      <c r="L217" s="397"/>
      <c r="M217" s="397"/>
      <c r="N217" s="397"/>
      <c r="O217" s="397"/>
      <c r="P217" s="397"/>
      <c r="Q217" s="397"/>
      <c r="R217" s="397"/>
      <c r="S217" s="397"/>
      <c r="T217" s="321">
        <v>3.8100000000000002E-2</v>
      </c>
      <c r="U217" s="286"/>
      <c r="V217" s="286"/>
      <c r="W217" s="289"/>
      <c r="X217" s="5"/>
    </row>
    <row r="218" spans="1:24" ht="15.75" x14ac:dyDescent="0.25">
      <c r="A218" s="218"/>
      <c r="B218" s="348"/>
      <c r="C218" s="348"/>
      <c r="D218" s="348"/>
      <c r="E218" s="348"/>
      <c r="F218" s="348"/>
      <c r="G218" s="212"/>
      <c r="H218" s="212"/>
      <c r="I218" s="212"/>
      <c r="J218" s="212"/>
      <c r="K218" s="212"/>
      <c r="L218" s="212"/>
      <c r="M218" s="212"/>
      <c r="N218" s="212"/>
      <c r="O218" s="212"/>
      <c r="P218" s="212"/>
      <c r="Q218" s="212"/>
      <c r="R218" s="212"/>
      <c r="S218" s="212"/>
      <c r="T218" s="344"/>
      <c r="U218" s="212"/>
      <c r="V218" s="349"/>
      <c r="W218" s="212"/>
      <c r="X218" s="5"/>
    </row>
    <row r="219" spans="1:24" ht="15.75" x14ac:dyDescent="0.25">
      <c r="A219" s="242"/>
      <c r="B219" s="399" t="s">
        <v>79</v>
      </c>
      <c r="C219" s="400"/>
      <c r="D219" s="400"/>
      <c r="E219" s="400"/>
      <c r="F219" s="407"/>
      <c r="G219" s="400"/>
      <c r="H219" s="400"/>
      <c r="I219" s="400"/>
      <c r="J219" s="400"/>
      <c r="K219" s="400"/>
      <c r="L219" s="400"/>
      <c r="M219" s="400"/>
      <c r="N219" s="400"/>
      <c r="O219" s="400"/>
      <c r="P219" s="400"/>
      <c r="Q219" s="400"/>
      <c r="R219" s="400"/>
      <c r="S219" s="400" t="s">
        <v>102</v>
      </c>
      <c r="T219" s="407" t="s">
        <v>108</v>
      </c>
      <c r="U219" s="225"/>
      <c r="V219" s="225"/>
      <c r="W219" s="225"/>
      <c r="X219" s="5"/>
    </row>
    <row r="220" spans="1:24" ht="15.75" x14ac:dyDescent="0.25">
      <c r="A220" s="222"/>
      <c r="B220" s="250" t="s">
        <v>80</v>
      </c>
      <c r="C220" s="249"/>
      <c r="D220" s="249"/>
      <c r="E220" s="249"/>
      <c r="F220" s="250"/>
      <c r="G220" s="250"/>
      <c r="H220" s="268"/>
      <c r="I220" s="268"/>
      <c r="J220" s="268"/>
      <c r="K220" s="268"/>
      <c r="L220" s="268"/>
      <c r="M220" s="268"/>
      <c r="N220" s="268"/>
      <c r="O220" s="268"/>
      <c r="P220" s="268"/>
      <c r="Q220" s="268"/>
      <c r="R220" s="268"/>
      <c r="S220" s="268">
        <v>2</v>
      </c>
      <c r="T220" s="269">
        <v>339</v>
      </c>
      <c r="U220" s="250"/>
      <c r="V220" s="266"/>
      <c r="W220" s="223"/>
      <c r="X220" s="5"/>
    </row>
    <row r="221" spans="1:24" ht="15.75" x14ac:dyDescent="0.25">
      <c r="A221" s="358"/>
      <c r="B221" s="286" t="s">
        <v>145</v>
      </c>
      <c r="C221" s="337"/>
      <c r="D221" s="337"/>
      <c r="E221" s="337"/>
      <c r="F221" s="286"/>
      <c r="G221" s="286"/>
      <c r="H221" s="296"/>
      <c r="I221" s="296"/>
      <c r="J221" s="296"/>
      <c r="K221" s="296"/>
      <c r="L221" s="296"/>
      <c r="M221" s="296"/>
      <c r="N221" s="296"/>
      <c r="O221" s="296"/>
      <c r="P221" s="296"/>
      <c r="Q221" s="296"/>
      <c r="R221" s="296"/>
      <c r="S221" s="359">
        <f>+R273</f>
        <v>108</v>
      </c>
      <c r="T221" s="360">
        <f>+T273</f>
        <v>15646</v>
      </c>
      <c r="U221" s="286"/>
      <c r="V221" s="361"/>
      <c r="W221" s="362"/>
      <c r="X221" s="5"/>
    </row>
    <row r="222" spans="1:24" ht="15.75" x14ac:dyDescent="0.25">
      <c r="A222" s="358"/>
      <c r="B222" s="286" t="s">
        <v>81</v>
      </c>
      <c r="C222" s="337"/>
      <c r="D222" s="337"/>
      <c r="E222" s="337"/>
      <c r="F222" s="286"/>
      <c r="G222" s="286"/>
      <c r="H222" s="296"/>
      <c r="I222" s="296"/>
      <c r="J222" s="296"/>
      <c r="K222" s="296"/>
      <c r="L222" s="296"/>
      <c r="M222" s="296"/>
      <c r="N222" s="296"/>
      <c r="O222" s="296"/>
      <c r="P222" s="296"/>
      <c r="Q222" s="296"/>
      <c r="R222" s="296"/>
      <c r="S222" s="359">
        <f>+R285</f>
        <v>0</v>
      </c>
      <c r="T222" s="360">
        <f>+T285</f>
        <v>0</v>
      </c>
      <c r="U222" s="286"/>
      <c r="V222" s="361"/>
      <c r="W222" s="362"/>
      <c r="X222" s="5"/>
    </row>
    <row r="223" spans="1:24" ht="15.75" x14ac:dyDescent="0.25">
      <c r="A223" s="358"/>
      <c r="B223" s="313" t="s">
        <v>82</v>
      </c>
      <c r="C223" s="363"/>
      <c r="D223" s="363"/>
      <c r="E223" s="363"/>
      <c r="F223" s="314"/>
      <c r="G223" s="314"/>
      <c r="H223" s="314"/>
      <c r="I223" s="314"/>
      <c r="J223" s="314"/>
      <c r="K223" s="314"/>
      <c r="L223" s="314"/>
      <c r="M223" s="314"/>
      <c r="N223" s="314"/>
      <c r="O223" s="314"/>
      <c r="P223" s="314"/>
      <c r="Q223" s="314"/>
      <c r="R223" s="314"/>
      <c r="S223" s="286"/>
      <c r="T223" s="360">
        <v>0</v>
      </c>
      <c r="U223" s="314"/>
      <c r="V223" s="364"/>
      <c r="W223" s="362"/>
      <c r="X223" s="5"/>
    </row>
    <row r="224" spans="1:24" ht="15.75" x14ac:dyDescent="0.25">
      <c r="A224" s="358"/>
      <c r="B224" s="313" t="s">
        <v>228</v>
      </c>
      <c r="C224" s="363"/>
      <c r="D224" s="363"/>
      <c r="E224" s="363"/>
      <c r="F224" s="314"/>
      <c r="G224" s="314"/>
      <c r="H224" s="314"/>
      <c r="I224" s="314"/>
      <c r="J224" s="314"/>
      <c r="K224" s="314"/>
      <c r="L224" s="314"/>
      <c r="M224" s="314"/>
      <c r="N224" s="314"/>
      <c r="O224" s="314"/>
      <c r="P224" s="314"/>
      <c r="Q224" s="314"/>
      <c r="R224" s="314"/>
      <c r="S224" s="286"/>
      <c r="T224" s="360">
        <f>+N81</f>
        <v>0</v>
      </c>
      <c r="U224" s="314"/>
      <c r="V224" s="364"/>
      <c r="W224" s="362"/>
      <c r="X224" s="5"/>
    </row>
    <row r="225" spans="1:24" ht="15.75" x14ac:dyDescent="0.25">
      <c r="A225" s="365"/>
      <c r="B225" s="313" t="s">
        <v>83</v>
      </c>
      <c r="C225" s="366"/>
      <c r="D225" s="366"/>
      <c r="E225" s="366"/>
      <c r="F225" s="366"/>
      <c r="G225" s="314"/>
      <c r="H225" s="314"/>
      <c r="I225" s="314"/>
      <c r="J225" s="314"/>
      <c r="K225" s="314"/>
      <c r="L225" s="314"/>
      <c r="M225" s="314"/>
      <c r="N225" s="314"/>
      <c r="O225" s="314"/>
      <c r="P225" s="314"/>
      <c r="Q225" s="314"/>
      <c r="R225" s="314"/>
      <c r="S225" s="286"/>
      <c r="T225" s="360"/>
      <c r="U225" s="314"/>
      <c r="V225" s="364"/>
      <c r="W225" s="367"/>
      <c r="X225" s="5"/>
    </row>
    <row r="226" spans="1:24" ht="15.75" x14ac:dyDescent="0.25">
      <c r="A226" s="365"/>
      <c r="B226" s="286" t="s">
        <v>84</v>
      </c>
      <c r="C226" s="366"/>
      <c r="D226" s="366"/>
      <c r="E226" s="366"/>
      <c r="F226" s="366"/>
      <c r="G226" s="314"/>
      <c r="H226" s="314"/>
      <c r="I226" s="314"/>
      <c r="J226" s="314"/>
      <c r="K226" s="314"/>
      <c r="L226" s="314"/>
      <c r="M226" s="314"/>
      <c r="N226" s="314"/>
      <c r="O226" s="314"/>
      <c r="P226" s="314"/>
      <c r="Q226" s="314"/>
      <c r="R226" s="314"/>
      <c r="S226" s="296"/>
      <c r="T226" s="360">
        <f>V164</f>
        <v>183</v>
      </c>
      <c r="U226" s="314"/>
      <c r="V226" s="364"/>
      <c r="W226" s="367"/>
      <c r="X226" s="5"/>
    </row>
    <row r="227" spans="1:24" ht="15.75" x14ac:dyDescent="0.25">
      <c r="A227" s="358"/>
      <c r="B227" s="286" t="s">
        <v>85</v>
      </c>
      <c r="C227" s="363"/>
      <c r="D227" s="363"/>
      <c r="E227" s="363"/>
      <c r="F227" s="363"/>
      <c r="G227" s="314"/>
      <c r="H227" s="314"/>
      <c r="I227" s="314"/>
      <c r="J227" s="314"/>
      <c r="K227" s="314"/>
      <c r="L227" s="314"/>
      <c r="M227" s="314"/>
      <c r="N227" s="314"/>
      <c r="O227" s="314"/>
      <c r="P227" s="314"/>
      <c r="Q227" s="314"/>
      <c r="R227" s="314"/>
      <c r="S227" s="296"/>
      <c r="T227" s="360">
        <f>'Feb 14'!T227+T226</f>
        <v>6642</v>
      </c>
      <c r="U227" s="314"/>
      <c r="V227" s="364"/>
      <c r="W227" s="367"/>
      <c r="X227" s="5"/>
    </row>
    <row r="228" spans="1:24" ht="15.75" x14ac:dyDescent="0.25">
      <c r="A228" s="365"/>
      <c r="B228" s="313" t="s">
        <v>285</v>
      </c>
      <c r="C228" s="366"/>
      <c r="D228" s="366"/>
      <c r="E228" s="366"/>
      <c r="F228" s="366"/>
      <c r="G228" s="314"/>
      <c r="H228" s="314"/>
      <c r="I228" s="314"/>
      <c r="J228" s="314"/>
      <c r="K228" s="314"/>
      <c r="L228" s="314"/>
      <c r="M228" s="314"/>
      <c r="N228" s="314"/>
      <c r="O228" s="314"/>
      <c r="P228" s="314"/>
      <c r="Q228" s="314"/>
      <c r="R228" s="314"/>
      <c r="S228" s="296"/>
      <c r="T228" s="360"/>
      <c r="U228" s="314"/>
      <c r="V228" s="364"/>
      <c r="W228" s="367"/>
      <c r="X228" s="5"/>
    </row>
    <row r="229" spans="1:24" ht="15.75" x14ac:dyDescent="0.25">
      <c r="A229" s="365"/>
      <c r="B229" s="286" t="s">
        <v>282</v>
      </c>
      <c r="C229" s="366"/>
      <c r="D229" s="366"/>
      <c r="E229" s="366"/>
      <c r="F229" s="366"/>
      <c r="G229" s="314"/>
      <c r="H229" s="314"/>
      <c r="I229" s="314"/>
      <c r="J229" s="314"/>
      <c r="K229" s="314"/>
      <c r="L229" s="314"/>
      <c r="M229" s="314"/>
      <c r="N229" s="314"/>
      <c r="O229" s="314"/>
      <c r="P229" s="314"/>
      <c r="Q229" s="314"/>
      <c r="R229" s="314"/>
      <c r="S229" s="296">
        <v>0</v>
      </c>
      <c r="T229" s="360">
        <v>0</v>
      </c>
      <c r="U229" s="314"/>
      <c r="V229" s="364"/>
      <c r="W229" s="367"/>
      <c r="X229" s="5"/>
    </row>
    <row r="230" spans="1:24" ht="15.75" x14ac:dyDescent="0.25">
      <c r="A230" s="358"/>
      <c r="B230" s="286" t="s">
        <v>86</v>
      </c>
      <c r="C230" s="368"/>
      <c r="D230" s="368"/>
      <c r="E230" s="368"/>
      <c r="F230" s="369"/>
      <c r="G230" s="314"/>
      <c r="H230" s="314"/>
      <c r="I230" s="314"/>
      <c r="J230" s="314"/>
      <c r="K230" s="314"/>
      <c r="L230" s="314"/>
      <c r="M230" s="314"/>
      <c r="N230" s="314"/>
      <c r="O230" s="314"/>
      <c r="P230" s="314"/>
      <c r="Q230" s="314"/>
      <c r="R230" s="314"/>
      <c r="S230" s="286"/>
      <c r="T230" s="370">
        <v>0</v>
      </c>
      <c r="U230" s="314"/>
      <c r="V230" s="364"/>
      <c r="W230" s="367"/>
      <c r="X230" s="5"/>
    </row>
    <row r="231" spans="1:24" ht="15.75" x14ac:dyDescent="0.25">
      <c r="A231" s="358"/>
      <c r="B231" s="286" t="s">
        <v>87</v>
      </c>
      <c r="C231" s="368"/>
      <c r="D231" s="368"/>
      <c r="E231" s="368"/>
      <c r="F231" s="369"/>
      <c r="G231" s="314"/>
      <c r="H231" s="314"/>
      <c r="I231" s="314"/>
      <c r="J231" s="314"/>
      <c r="K231" s="314"/>
      <c r="L231" s="314"/>
      <c r="M231" s="314"/>
      <c r="N231" s="314"/>
      <c r="O231" s="314"/>
      <c r="P231" s="314"/>
      <c r="Q231" s="314"/>
      <c r="R231" s="314"/>
      <c r="S231" s="286"/>
      <c r="T231" s="370">
        <v>0</v>
      </c>
      <c r="U231" s="314"/>
      <c r="V231" s="364"/>
      <c r="W231" s="367"/>
      <c r="X231" s="5"/>
    </row>
    <row r="232" spans="1:24" ht="15.75" x14ac:dyDescent="0.25">
      <c r="A232" s="358"/>
      <c r="B232" s="313" t="s">
        <v>216</v>
      </c>
      <c r="C232" s="368"/>
      <c r="D232" s="368"/>
      <c r="E232" s="368"/>
      <c r="F232" s="369"/>
      <c r="G232" s="314"/>
      <c r="H232" s="314"/>
      <c r="I232" s="314"/>
      <c r="J232" s="314"/>
      <c r="K232" s="314"/>
      <c r="L232" s="314"/>
      <c r="M232" s="314"/>
      <c r="N232" s="314"/>
      <c r="O232" s="314"/>
      <c r="P232" s="314"/>
      <c r="Q232" s="314"/>
      <c r="R232" s="314"/>
      <c r="S232" s="286"/>
      <c r="T232" s="371"/>
      <c r="U232" s="314"/>
      <c r="V232" s="364"/>
      <c r="W232" s="367"/>
      <c r="X232" s="5"/>
    </row>
    <row r="233" spans="1:24" ht="15.75" x14ac:dyDescent="0.25">
      <c r="A233" s="358"/>
      <c r="B233" s="286" t="s">
        <v>282</v>
      </c>
      <c r="C233" s="368"/>
      <c r="D233" s="368"/>
      <c r="E233" s="368"/>
      <c r="F233" s="369"/>
      <c r="G233" s="314"/>
      <c r="H233" s="314"/>
      <c r="I233" s="314"/>
      <c r="J233" s="314"/>
      <c r="K233" s="314"/>
      <c r="L233" s="314"/>
      <c r="M233" s="314"/>
      <c r="N233" s="314"/>
      <c r="O233" s="314"/>
      <c r="P233" s="314"/>
      <c r="Q233" s="314"/>
      <c r="R233" s="314"/>
      <c r="S233" s="296">
        <v>5</v>
      </c>
      <c r="T233" s="360">
        <v>587</v>
      </c>
      <c r="U233" s="314"/>
      <c r="V233" s="364"/>
      <c r="W233" s="367"/>
      <c r="X233" s="5"/>
    </row>
    <row r="234" spans="1:24" ht="15.75" x14ac:dyDescent="0.25">
      <c r="A234" s="358"/>
      <c r="B234" s="286" t="s">
        <v>217</v>
      </c>
      <c r="C234" s="368"/>
      <c r="D234" s="368"/>
      <c r="E234" s="368"/>
      <c r="F234" s="369"/>
      <c r="G234" s="314"/>
      <c r="H234" s="314"/>
      <c r="I234" s="314"/>
      <c r="J234" s="314"/>
      <c r="K234" s="314"/>
      <c r="L234" s="314"/>
      <c r="M234" s="314"/>
      <c r="N234" s="314"/>
      <c r="O234" s="314"/>
      <c r="P234" s="314"/>
      <c r="Q234" s="314"/>
      <c r="R234" s="314"/>
      <c r="S234" s="286"/>
      <c r="T234" s="370">
        <v>4.4000000000000004</v>
      </c>
      <c r="U234" s="314"/>
      <c r="V234" s="364"/>
      <c r="W234" s="367"/>
      <c r="X234" s="5"/>
    </row>
    <row r="235" spans="1:24" ht="15.75" x14ac:dyDescent="0.25">
      <c r="A235" s="358"/>
      <c r="B235" s="366"/>
      <c r="C235" s="368"/>
      <c r="D235" s="368"/>
      <c r="E235" s="368"/>
      <c r="F235" s="369"/>
      <c r="G235" s="314"/>
      <c r="H235" s="314"/>
      <c r="I235" s="314"/>
      <c r="J235" s="314"/>
      <c r="K235" s="314"/>
      <c r="L235" s="314"/>
      <c r="M235" s="314"/>
      <c r="N235" s="314"/>
      <c r="O235" s="314"/>
      <c r="P235" s="314"/>
      <c r="Q235" s="314"/>
      <c r="R235" s="314"/>
      <c r="S235" s="286"/>
      <c r="T235" s="371"/>
      <c r="U235" s="314"/>
      <c r="V235" s="364"/>
      <c r="W235" s="367"/>
      <c r="X235" s="5"/>
    </row>
    <row r="236" spans="1:24" ht="15.75" x14ac:dyDescent="0.25">
      <c r="A236" s="358"/>
      <c r="B236" s="366"/>
      <c r="C236" s="368"/>
      <c r="D236" s="368"/>
      <c r="E236" s="368"/>
      <c r="F236" s="369"/>
      <c r="G236" s="314"/>
      <c r="H236" s="314"/>
      <c r="I236" s="314"/>
      <c r="J236" s="314"/>
      <c r="K236" s="314"/>
      <c r="L236" s="314"/>
      <c r="M236" s="314"/>
      <c r="N236" s="314"/>
      <c r="O236" s="314"/>
      <c r="P236" s="314"/>
      <c r="Q236" s="314"/>
      <c r="R236" s="314"/>
      <c r="S236" s="314"/>
      <c r="T236" s="372"/>
      <c r="U236" s="314"/>
      <c r="V236" s="364"/>
      <c r="W236" s="367"/>
      <c r="X236" s="5"/>
    </row>
    <row r="237" spans="1:24" ht="18.75" x14ac:dyDescent="0.3">
      <c r="A237" s="358"/>
      <c r="B237" s="373" t="s">
        <v>168</v>
      </c>
      <c r="C237" s="368"/>
      <c r="D237" s="368"/>
      <c r="E237" s="368"/>
      <c r="F237" s="369"/>
      <c r="G237" s="314"/>
      <c r="H237" s="314"/>
      <c r="I237" s="314"/>
      <c r="J237" s="314"/>
      <c r="K237" s="314"/>
      <c r="L237" s="314"/>
      <c r="M237" s="314"/>
      <c r="N237" s="314"/>
      <c r="O237" s="314"/>
      <c r="P237" s="374" t="s">
        <v>167</v>
      </c>
      <c r="Q237" s="314"/>
      <c r="R237" s="314"/>
      <c r="S237" s="314"/>
      <c r="T237" s="372"/>
      <c r="U237" s="314"/>
      <c r="V237" s="364"/>
      <c r="W237" s="367"/>
      <c r="X237" s="5"/>
    </row>
    <row r="238" spans="1:24" ht="15.75" x14ac:dyDescent="0.25">
      <c r="A238" s="353"/>
      <c r="B238" s="348"/>
      <c r="C238" s="354"/>
      <c r="D238" s="354"/>
      <c r="E238" s="354"/>
      <c r="F238" s="355"/>
      <c r="G238" s="212"/>
      <c r="H238" s="212"/>
      <c r="I238" s="212"/>
      <c r="J238" s="212"/>
      <c r="K238" s="212"/>
      <c r="L238" s="212"/>
      <c r="M238" s="212"/>
      <c r="N238" s="212"/>
      <c r="O238" s="212"/>
      <c r="P238" s="212"/>
      <c r="Q238" s="212"/>
      <c r="R238" s="212"/>
      <c r="S238" s="212"/>
      <c r="T238" s="356"/>
      <c r="U238" s="212"/>
      <c r="V238" s="349"/>
      <c r="W238" s="357"/>
      <c r="X238" s="5"/>
    </row>
    <row r="239" spans="1:24" ht="15.75" x14ac:dyDescent="0.25">
      <c r="A239" s="224"/>
      <c r="B239" s="399" t="s">
        <v>297</v>
      </c>
      <c r="C239" s="400"/>
      <c r="D239" s="400"/>
      <c r="E239" s="400"/>
      <c r="F239" s="407"/>
      <c r="G239" s="400"/>
      <c r="H239" s="400"/>
      <c r="I239" s="400"/>
      <c r="J239" s="400"/>
      <c r="K239" s="400"/>
      <c r="L239" s="400"/>
      <c r="M239" s="400"/>
      <c r="N239" s="400"/>
      <c r="O239" s="400"/>
      <c r="P239" s="400"/>
      <c r="Q239" s="400"/>
      <c r="R239" s="407" t="s">
        <v>102</v>
      </c>
      <c r="S239" s="400" t="s">
        <v>103</v>
      </c>
      <c r="T239" s="407" t="s">
        <v>109</v>
      </c>
      <c r="U239" s="400" t="s">
        <v>103</v>
      </c>
      <c r="V239" s="225"/>
      <c r="W239" s="399"/>
      <c r="X239" s="5"/>
    </row>
    <row r="240" spans="1:24" ht="15.75" x14ac:dyDescent="0.25">
      <c r="A240" s="193"/>
      <c r="B240" s="249" t="s">
        <v>88</v>
      </c>
      <c r="C240" s="265"/>
      <c r="D240" s="265"/>
      <c r="E240" s="265"/>
      <c r="F240" s="250"/>
      <c r="G240" s="265"/>
      <c r="H240" s="265"/>
      <c r="I240" s="265"/>
      <c r="J240" s="265"/>
      <c r="K240" s="265"/>
      <c r="L240" s="265"/>
      <c r="M240" s="265"/>
      <c r="N240" s="265"/>
      <c r="O240" s="265"/>
      <c r="P240" s="265"/>
      <c r="Q240" s="265"/>
      <c r="R240" s="249">
        <f t="shared" ref="R240:R247" si="1">+R252+R264+R276</f>
        <v>5494</v>
      </c>
      <c r="S240" s="252">
        <f t="shared" ref="S240:S247" si="2">R240/$R$249</f>
        <v>0.99528985507246381</v>
      </c>
      <c r="T240" s="253">
        <f t="shared" ref="T240:T247" si="3">+T252+T264+T276</f>
        <v>774020</v>
      </c>
      <c r="U240" s="252">
        <f t="shared" ref="U240:U247" si="4">T240/$T$249</f>
        <v>0.99513885942548286</v>
      </c>
      <c r="V240" s="266"/>
      <c r="W240" s="408"/>
      <c r="X240" s="5"/>
    </row>
    <row r="241" spans="1:25" ht="15.75" x14ac:dyDescent="0.25">
      <c r="A241" s="285"/>
      <c r="B241" s="337" t="s">
        <v>89</v>
      </c>
      <c r="C241" s="378"/>
      <c r="D241" s="378"/>
      <c r="E241" s="378"/>
      <c r="F241" s="286"/>
      <c r="G241" s="379"/>
      <c r="H241" s="378"/>
      <c r="I241" s="378"/>
      <c r="J241" s="378"/>
      <c r="K241" s="378"/>
      <c r="L241" s="378"/>
      <c r="M241" s="378"/>
      <c r="N241" s="378"/>
      <c r="O241" s="378"/>
      <c r="P241" s="378"/>
      <c r="Q241" s="378"/>
      <c r="R241" s="337">
        <f t="shared" si="1"/>
        <v>4</v>
      </c>
      <c r="S241" s="379">
        <f t="shared" si="2"/>
        <v>7.246376811594203E-4</v>
      </c>
      <c r="T241" s="338">
        <f t="shared" si="3"/>
        <v>942</v>
      </c>
      <c r="U241" s="379">
        <f t="shared" si="4"/>
        <v>1.2111066969571909E-3</v>
      </c>
      <c r="V241" s="361"/>
      <c r="W241" s="409"/>
      <c r="X241" s="5"/>
      <c r="Y241" s="109"/>
    </row>
    <row r="242" spans="1:25" ht="15.75" x14ac:dyDescent="0.25">
      <c r="A242" s="285"/>
      <c r="B242" s="337" t="s">
        <v>90</v>
      </c>
      <c r="C242" s="378"/>
      <c r="D242" s="378"/>
      <c r="E242" s="378"/>
      <c r="F242" s="286"/>
      <c r="G242" s="379"/>
      <c r="H242" s="378"/>
      <c r="I242" s="378"/>
      <c r="J242" s="378"/>
      <c r="K242" s="378"/>
      <c r="L242" s="378"/>
      <c r="M242" s="378"/>
      <c r="N242" s="378"/>
      <c r="O242" s="378"/>
      <c r="P242" s="378"/>
      <c r="Q242" s="378"/>
      <c r="R242" s="337">
        <f t="shared" si="1"/>
        <v>4</v>
      </c>
      <c r="S242" s="379">
        <f t="shared" si="2"/>
        <v>7.246376811594203E-4</v>
      </c>
      <c r="T242" s="338">
        <f t="shared" si="3"/>
        <v>496</v>
      </c>
      <c r="U242" s="379">
        <f t="shared" si="4"/>
        <v>6.376952459562279E-4</v>
      </c>
      <c r="V242" s="361"/>
      <c r="W242" s="409"/>
      <c r="X242" s="5"/>
    </row>
    <row r="243" spans="1:25" ht="15.75" x14ac:dyDescent="0.25">
      <c r="A243" s="285"/>
      <c r="B243" s="337" t="s">
        <v>156</v>
      </c>
      <c r="C243" s="378"/>
      <c r="D243" s="378"/>
      <c r="E243" s="378"/>
      <c r="F243" s="286"/>
      <c r="G243" s="379"/>
      <c r="H243" s="378"/>
      <c r="I243" s="378"/>
      <c r="J243" s="378"/>
      <c r="K243" s="378"/>
      <c r="L243" s="378"/>
      <c r="M243" s="378"/>
      <c r="N243" s="378"/>
      <c r="O243" s="378"/>
      <c r="P243" s="378"/>
      <c r="Q243" s="378"/>
      <c r="R243" s="337">
        <f t="shared" si="1"/>
        <v>1</v>
      </c>
      <c r="S243" s="379">
        <f t="shared" si="2"/>
        <v>1.8115942028985507E-4</v>
      </c>
      <c r="T243" s="338">
        <f t="shared" si="3"/>
        <v>115</v>
      </c>
      <c r="U243" s="379">
        <f t="shared" si="4"/>
        <v>1.4785272839710928E-4</v>
      </c>
      <c r="V243" s="361"/>
      <c r="W243" s="409"/>
      <c r="X243" s="5"/>
      <c r="Y243" s="109"/>
    </row>
    <row r="244" spans="1:25" ht="15.75" x14ac:dyDescent="0.25">
      <c r="A244" s="285"/>
      <c r="B244" s="337" t="s">
        <v>157</v>
      </c>
      <c r="C244" s="378"/>
      <c r="D244" s="378"/>
      <c r="E244" s="378"/>
      <c r="F244" s="286"/>
      <c r="G244" s="379"/>
      <c r="H244" s="378"/>
      <c r="I244" s="378"/>
      <c r="J244" s="378"/>
      <c r="K244" s="378"/>
      <c r="L244" s="378"/>
      <c r="M244" s="378"/>
      <c r="N244" s="378"/>
      <c r="O244" s="378"/>
      <c r="P244" s="378"/>
      <c r="Q244" s="378"/>
      <c r="R244" s="337">
        <f t="shared" si="1"/>
        <v>1</v>
      </c>
      <c r="S244" s="379">
        <f t="shared" si="2"/>
        <v>1.8115942028985507E-4</v>
      </c>
      <c r="T244" s="338">
        <f t="shared" si="3"/>
        <v>169</v>
      </c>
      <c r="U244" s="379">
        <f t="shared" si="4"/>
        <v>2.1727922694879539E-4</v>
      </c>
      <c r="V244" s="361"/>
      <c r="W244" s="409"/>
      <c r="X244" s="5"/>
    </row>
    <row r="245" spans="1:25" ht="15.75" x14ac:dyDescent="0.25">
      <c r="A245" s="285"/>
      <c r="B245" s="337" t="s">
        <v>158</v>
      </c>
      <c r="C245" s="378"/>
      <c r="D245" s="378"/>
      <c r="E245" s="378"/>
      <c r="F245" s="286"/>
      <c r="G245" s="379"/>
      <c r="H245" s="378"/>
      <c r="I245" s="378"/>
      <c r="J245" s="378"/>
      <c r="K245" s="378"/>
      <c r="L245" s="378"/>
      <c r="M245" s="378"/>
      <c r="N245" s="378"/>
      <c r="O245" s="378"/>
      <c r="P245" s="378"/>
      <c r="Q245" s="378"/>
      <c r="R245" s="337">
        <f t="shared" si="1"/>
        <v>1</v>
      </c>
      <c r="S245" s="379">
        <f t="shared" si="2"/>
        <v>1.8115942028985507E-4</v>
      </c>
      <c r="T245" s="338">
        <f t="shared" si="3"/>
        <v>108</v>
      </c>
      <c r="U245" s="379">
        <f t="shared" si="4"/>
        <v>1.3885299710337219E-4</v>
      </c>
      <c r="V245" s="361"/>
      <c r="W245" s="409"/>
      <c r="X245" s="5"/>
      <c r="Y245" s="109"/>
    </row>
    <row r="246" spans="1:25" ht="15.75" x14ac:dyDescent="0.25">
      <c r="A246" s="285"/>
      <c r="B246" s="337" t="s">
        <v>159</v>
      </c>
      <c r="C246" s="378"/>
      <c r="D246" s="378"/>
      <c r="E246" s="378"/>
      <c r="F246" s="286"/>
      <c r="G246" s="379"/>
      <c r="H246" s="378"/>
      <c r="I246" s="378"/>
      <c r="J246" s="378"/>
      <c r="K246" s="378"/>
      <c r="L246" s="378"/>
      <c r="M246" s="378"/>
      <c r="N246" s="378"/>
      <c r="O246" s="378"/>
      <c r="P246" s="378"/>
      <c r="Q246" s="378"/>
      <c r="R246" s="337">
        <f t="shared" si="1"/>
        <v>7</v>
      </c>
      <c r="S246" s="379">
        <f t="shared" si="2"/>
        <v>1.2681159420289854E-3</v>
      </c>
      <c r="T246" s="338">
        <f t="shared" si="3"/>
        <v>614</v>
      </c>
      <c r="U246" s="379">
        <f t="shared" si="4"/>
        <v>7.8940500205065302E-4</v>
      </c>
      <c r="V246" s="361"/>
      <c r="W246" s="409"/>
      <c r="X246" s="5"/>
    </row>
    <row r="247" spans="1:25" ht="15.75" x14ac:dyDescent="0.25">
      <c r="A247" s="285"/>
      <c r="B247" s="337" t="s">
        <v>160</v>
      </c>
      <c r="C247" s="378"/>
      <c r="D247" s="378"/>
      <c r="E247" s="378"/>
      <c r="F247" s="286"/>
      <c r="G247" s="379"/>
      <c r="H247" s="378"/>
      <c r="I247" s="378"/>
      <c r="J247" s="378"/>
      <c r="K247" s="378"/>
      <c r="L247" s="378"/>
      <c r="M247" s="378"/>
      <c r="N247" s="378"/>
      <c r="O247" s="378"/>
      <c r="P247" s="378"/>
      <c r="Q247" s="378"/>
      <c r="R247" s="386">
        <f t="shared" si="1"/>
        <v>8</v>
      </c>
      <c r="S247" s="379">
        <f t="shared" si="2"/>
        <v>1.4492753623188406E-3</v>
      </c>
      <c r="T247" s="383">
        <f t="shared" si="3"/>
        <v>1337</v>
      </c>
      <c r="U247" s="387">
        <f t="shared" si="4"/>
        <v>1.7189486771037837E-3</v>
      </c>
      <c r="V247" s="361"/>
      <c r="W247" s="409"/>
      <c r="X247" s="5"/>
      <c r="Y247" s="109"/>
    </row>
    <row r="248" spans="1:25" ht="15.75" x14ac:dyDescent="0.25">
      <c r="A248" s="285"/>
      <c r="B248" s="337"/>
      <c r="C248" s="378"/>
      <c r="D248" s="378"/>
      <c r="E248" s="378"/>
      <c r="F248" s="286"/>
      <c r="G248" s="379"/>
      <c r="H248" s="378"/>
      <c r="I248" s="378"/>
      <c r="J248" s="378"/>
      <c r="K248" s="378"/>
      <c r="L248" s="378"/>
      <c r="M248" s="378"/>
      <c r="N248" s="378"/>
      <c r="O248" s="378"/>
      <c r="P248" s="378"/>
      <c r="Q248" s="378"/>
      <c r="R248" s="337"/>
      <c r="S248" s="379"/>
      <c r="T248" s="338"/>
      <c r="U248" s="379"/>
      <c r="V248" s="361"/>
      <c r="W248" s="409"/>
      <c r="X248" s="5"/>
    </row>
    <row r="249" spans="1:25" ht="15.75" x14ac:dyDescent="0.25">
      <c r="A249" s="285"/>
      <c r="B249" s="286"/>
      <c r="C249" s="286"/>
      <c r="D249" s="286"/>
      <c r="E249" s="286"/>
      <c r="F249" s="286"/>
      <c r="G249" s="286"/>
      <c r="H249" s="381"/>
      <c r="I249" s="381"/>
      <c r="J249" s="381"/>
      <c r="K249" s="381"/>
      <c r="L249" s="381"/>
      <c r="M249" s="381"/>
      <c r="N249" s="381"/>
      <c r="O249" s="381"/>
      <c r="P249" s="381"/>
      <c r="Q249" s="381"/>
      <c r="R249" s="337">
        <f>SUM(R240:R248)</f>
        <v>5520</v>
      </c>
      <c r="S249" s="379">
        <f>SUM(S240:S248)</f>
        <v>1</v>
      </c>
      <c r="T249" s="338">
        <f>SUM(T240:T248)</f>
        <v>777801</v>
      </c>
      <c r="U249" s="379">
        <f>SUM(U240:U248)</f>
        <v>1</v>
      </c>
      <c r="V249" s="286"/>
      <c r="W249" s="289"/>
      <c r="X249" s="5"/>
    </row>
    <row r="250" spans="1:25" ht="15.75" x14ac:dyDescent="0.25">
      <c r="A250" s="181"/>
      <c r="B250" s="212"/>
      <c r="C250" s="212"/>
      <c r="D250" s="212"/>
      <c r="E250" s="212"/>
      <c r="F250" s="212"/>
      <c r="G250" s="212"/>
      <c r="H250" s="375"/>
      <c r="I250" s="375"/>
      <c r="J250" s="375"/>
      <c r="K250" s="375"/>
      <c r="L250" s="375"/>
      <c r="M250" s="375"/>
      <c r="N250" s="375"/>
      <c r="O250" s="375"/>
      <c r="P250" s="375"/>
      <c r="Q250" s="375"/>
      <c r="R250" s="335"/>
      <c r="S250" s="376"/>
      <c r="T250" s="377"/>
      <c r="U250" s="376"/>
      <c r="V250" s="212"/>
      <c r="W250" s="212"/>
      <c r="X250" s="5"/>
    </row>
    <row r="251" spans="1:25" ht="15.75" x14ac:dyDescent="0.25">
      <c r="A251" s="224"/>
      <c r="B251" s="399" t="s">
        <v>162</v>
      </c>
      <c r="C251" s="400"/>
      <c r="D251" s="400"/>
      <c r="E251" s="400"/>
      <c r="F251" s="407"/>
      <c r="G251" s="400"/>
      <c r="H251" s="400"/>
      <c r="I251" s="400"/>
      <c r="J251" s="400"/>
      <c r="K251" s="400"/>
      <c r="L251" s="400"/>
      <c r="M251" s="400"/>
      <c r="N251" s="400"/>
      <c r="O251" s="400"/>
      <c r="P251" s="400"/>
      <c r="Q251" s="400"/>
      <c r="R251" s="407" t="s">
        <v>102</v>
      </c>
      <c r="S251" s="400" t="s">
        <v>103</v>
      </c>
      <c r="T251" s="407" t="s">
        <v>109</v>
      </c>
      <c r="U251" s="400" t="s">
        <v>103</v>
      </c>
      <c r="V251" s="225"/>
      <c r="W251" s="399"/>
      <c r="X251" s="5"/>
    </row>
    <row r="252" spans="1:25" ht="15.75" x14ac:dyDescent="0.25">
      <c r="A252" s="193"/>
      <c r="B252" s="249" t="s">
        <v>88</v>
      </c>
      <c r="C252" s="265"/>
      <c r="D252" s="265"/>
      <c r="E252" s="265"/>
      <c r="F252" s="250"/>
      <c r="G252" s="265"/>
      <c r="H252" s="265"/>
      <c r="I252" s="265"/>
      <c r="J252" s="265"/>
      <c r="K252" s="265"/>
      <c r="L252" s="265"/>
      <c r="M252" s="265"/>
      <c r="N252" s="265"/>
      <c r="O252" s="265"/>
      <c r="P252" s="265"/>
      <c r="Q252" s="265"/>
      <c r="R252" s="249">
        <v>5400</v>
      </c>
      <c r="S252" s="252">
        <f t="shared" ref="S252:S259" si="5">R252/$R$261</f>
        <v>0.99778270509977829</v>
      </c>
      <c r="T252" s="253">
        <v>760364</v>
      </c>
      <c r="U252" s="252">
        <f t="shared" ref="U252:U259" si="6">T252/$T$261</f>
        <v>0.99765008430043756</v>
      </c>
      <c r="V252" s="266"/>
      <c r="W252" s="408"/>
      <c r="X252" s="5"/>
    </row>
    <row r="253" spans="1:25" ht="15.75" x14ac:dyDescent="0.25">
      <c r="A253" s="285"/>
      <c r="B253" s="337" t="s">
        <v>89</v>
      </c>
      <c r="C253" s="378"/>
      <c r="D253" s="378"/>
      <c r="E253" s="378"/>
      <c r="F253" s="286"/>
      <c r="G253" s="379"/>
      <c r="H253" s="378"/>
      <c r="I253" s="378"/>
      <c r="J253" s="378"/>
      <c r="K253" s="378"/>
      <c r="L253" s="378"/>
      <c r="M253" s="378"/>
      <c r="N253" s="378"/>
      <c r="O253" s="378"/>
      <c r="P253" s="378"/>
      <c r="Q253" s="378"/>
      <c r="R253" s="337">
        <v>1</v>
      </c>
      <c r="S253" s="379">
        <f t="shared" si="5"/>
        <v>1.8477457501847746E-4</v>
      </c>
      <c r="T253" s="338">
        <v>383</v>
      </c>
      <c r="U253" s="379">
        <f t="shared" si="6"/>
        <v>5.0252245278191443E-4</v>
      </c>
      <c r="V253" s="361"/>
      <c r="W253" s="409"/>
      <c r="X253" s="5"/>
      <c r="Y253" s="109"/>
    </row>
    <row r="254" spans="1:25" ht="15.75" x14ac:dyDescent="0.25">
      <c r="A254" s="285"/>
      <c r="B254" s="337" t="s">
        <v>90</v>
      </c>
      <c r="C254" s="378"/>
      <c r="D254" s="378"/>
      <c r="E254" s="378"/>
      <c r="F254" s="286"/>
      <c r="G254" s="379"/>
      <c r="H254" s="378"/>
      <c r="I254" s="378"/>
      <c r="J254" s="378"/>
      <c r="K254" s="378"/>
      <c r="L254" s="378"/>
      <c r="M254" s="378"/>
      <c r="N254" s="378"/>
      <c r="O254" s="378"/>
      <c r="P254" s="378"/>
      <c r="Q254" s="378"/>
      <c r="R254" s="337">
        <v>2</v>
      </c>
      <c r="S254" s="379">
        <f t="shared" si="5"/>
        <v>3.6954915003695491E-4</v>
      </c>
      <c r="T254" s="338">
        <v>330</v>
      </c>
      <c r="U254" s="379">
        <f t="shared" si="6"/>
        <v>4.3298279221418216E-4</v>
      </c>
      <c r="V254" s="361"/>
      <c r="W254" s="409"/>
      <c r="X254" s="5"/>
    </row>
    <row r="255" spans="1:25" ht="15.75" x14ac:dyDescent="0.25">
      <c r="A255" s="285"/>
      <c r="B255" s="337" t="s">
        <v>156</v>
      </c>
      <c r="C255" s="378"/>
      <c r="D255" s="378"/>
      <c r="E255" s="378"/>
      <c r="F255" s="286"/>
      <c r="G255" s="379"/>
      <c r="H255" s="378"/>
      <c r="I255" s="378"/>
      <c r="J255" s="378"/>
      <c r="K255" s="378"/>
      <c r="L255" s="378"/>
      <c r="M255" s="378"/>
      <c r="N255" s="378"/>
      <c r="O255" s="378"/>
      <c r="P255" s="378"/>
      <c r="Q255" s="378"/>
      <c r="R255" s="337">
        <v>0</v>
      </c>
      <c r="S255" s="379">
        <f t="shared" si="5"/>
        <v>0</v>
      </c>
      <c r="T255" s="338">
        <v>0</v>
      </c>
      <c r="U255" s="379">
        <f t="shared" si="6"/>
        <v>0</v>
      </c>
      <c r="V255" s="361"/>
      <c r="W255" s="409"/>
      <c r="X255" s="5"/>
      <c r="Y255" s="109"/>
    </row>
    <row r="256" spans="1:25" ht="15.75" x14ac:dyDescent="0.25">
      <c r="A256" s="285"/>
      <c r="B256" s="337" t="s">
        <v>157</v>
      </c>
      <c r="C256" s="378"/>
      <c r="D256" s="378"/>
      <c r="E256" s="378"/>
      <c r="F256" s="286"/>
      <c r="G256" s="379"/>
      <c r="H256" s="378"/>
      <c r="I256" s="378"/>
      <c r="J256" s="378"/>
      <c r="K256" s="378"/>
      <c r="L256" s="378"/>
      <c r="M256" s="378"/>
      <c r="N256" s="378"/>
      <c r="O256" s="378"/>
      <c r="P256" s="378"/>
      <c r="Q256" s="378"/>
      <c r="R256" s="337">
        <v>0</v>
      </c>
      <c r="S256" s="379">
        <f t="shared" si="5"/>
        <v>0</v>
      </c>
      <c r="T256" s="338">
        <v>0</v>
      </c>
      <c r="U256" s="379">
        <f t="shared" si="6"/>
        <v>0</v>
      </c>
      <c r="V256" s="361"/>
      <c r="W256" s="409"/>
      <c r="X256" s="5"/>
    </row>
    <row r="257" spans="1:25" ht="15.75" x14ac:dyDescent="0.25">
      <c r="A257" s="285"/>
      <c r="B257" s="337" t="s">
        <v>158</v>
      </c>
      <c r="C257" s="378"/>
      <c r="D257" s="378"/>
      <c r="E257" s="378"/>
      <c r="F257" s="286"/>
      <c r="G257" s="379"/>
      <c r="H257" s="378"/>
      <c r="I257" s="378"/>
      <c r="J257" s="378"/>
      <c r="K257" s="378"/>
      <c r="L257" s="378"/>
      <c r="M257" s="378"/>
      <c r="N257" s="378"/>
      <c r="O257" s="378"/>
      <c r="P257" s="378"/>
      <c r="Q257" s="378"/>
      <c r="R257" s="337">
        <v>1</v>
      </c>
      <c r="S257" s="379">
        <f t="shared" si="5"/>
        <v>1.8477457501847746E-4</v>
      </c>
      <c r="T257" s="338">
        <v>108</v>
      </c>
      <c r="U257" s="379">
        <f t="shared" si="6"/>
        <v>1.4170345927009599E-4</v>
      </c>
      <c r="V257" s="361"/>
      <c r="W257" s="409"/>
      <c r="X257" s="5"/>
      <c r="Y257" s="109"/>
    </row>
    <row r="258" spans="1:25" ht="15.75" x14ac:dyDescent="0.25">
      <c r="A258" s="285"/>
      <c r="B258" s="337" t="s">
        <v>159</v>
      </c>
      <c r="C258" s="378"/>
      <c r="D258" s="378"/>
      <c r="E258" s="378"/>
      <c r="F258" s="286"/>
      <c r="G258" s="379"/>
      <c r="H258" s="378"/>
      <c r="I258" s="378"/>
      <c r="J258" s="378"/>
      <c r="K258" s="378"/>
      <c r="L258" s="378"/>
      <c r="M258" s="378"/>
      <c r="N258" s="378"/>
      <c r="O258" s="378"/>
      <c r="P258" s="378"/>
      <c r="Q258" s="378"/>
      <c r="R258" s="337">
        <v>6</v>
      </c>
      <c r="S258" s="379">
        <f t="shared" si="5"/>
        <v>1.1086474501108647E-3</v>
      </c>
      <c r="T258" s="338">
        <v>539</v>
      </c>
      <c r="U258" s="379">
        <f t="shared" si="6"/>
        <v>7.0720522728316422E-4</v>
      </c>
      <c r="V258" s="361"/>
      <c r="W258" s="409"/>
      <c r="X258" s="5"/>
    </row>
    <row r="259" spans="1:25" ht="15.75" x14ac:dyDescent="0.25">
      <c r="A259" s="285"/>
      <c r="B259" s="337" t="s">
        <v>160</v>
      </c>
      <c r="C259" s="378"/>
      <c r="D259" s="378"/>
      <c r="E259" s="378"/>
      <c r="F259" s="286"/>
      <c r="G259" s="379"/>
      <c r="H259" s="378"/>
      <c r="I259" s="378"/>
      <c r="J259" s="378"/>
      <c r="K259" s="378"/>
      <c r="L259" s="378"/>
      <c r="M259" s="378"/>
      <c r="N259" s="378"/>
      <c r="O259" s="378"/>
      <c r="P259" s="378"/>
      <c r="Q259" s="378"/>
      <c r="R259" s="337">
        <v>2</v>
      </c>
      <c r="S259" s="379">
        <f t="shared" si="5"/>
        <v>3.6954915003695491E-4</v>
      </c>
      <c r="T259" s="338">
        <v>431</v>
      </c>
      <c r="U259" s="379">
        <f t="shared" si="6"/>
        <v>5.6550176801306823E-4</v>
      </c>
      <c r="V259" s="361"/>
      <c r="W259" s="409"/>
      <c r="X259" s="5"/>
      <c r="Y259" s="109"/>
    </row>
    <row r="260" spans="1:25" ht="15.75" x14ac:dyDescent="0.25">
      <c r="A260" s="285"/>
      <c r="B260" s="337"/>
      <c r="C260" s="378"/>
      <c r="D260" s="378"/>
      <c r="E260" s="378"/>
      <c r="F260" s="286"/>
      <c r="G260" s="379"/>
      <c r="H260" s="378"/>
      <c r="I260" s="378"/>
      <c r="J260" s="378"/>
      <c r="K260" s="378"/>
      <c r="L260" s="378"/>
      <c r="M260" s="378"/>
      <c r="N260" s="378"/>
      <c r="O260" s="378"/>
      <c r="P260" s="378"/>
      <c r="Q260" s="378"/>
      <c r="R260" s="337"/>
      <c r="S260" s="379"/>
      <c r="T260" s="338"/>
      <c r="U260" s="379"/>
      <c r="V260" s="361"/>
      <c r="W260" s="409"/>
      <c r="X260" s="5"/>
    </row>
    <row r="261" spans="1:25" ht="15.75" x14ac:dyDescent="0.25">
      <c r="A261" s="285"/>
      <c r="B261" s="286"/>
      <c r="C261" s="286"/>
      <c r="D261" s="286"/>
      <c r="E261" s="286"/>
      <c r="F261" s="286"/>
      <c r="G261" s="286"/>
      <c r="H261" s="381"/>
      <c r="I261" s="381"/>
      <c r="J261" s="381"/>
      <c r="K261" s="381"/>
      <c r="L261" s="381"/>
      <c r="M261" s="381"/>
      <c r="N261" s="381"/>
      <c r="O261" s="381"/>
      <c r="P261" s="381"/>
      <c r="Q261" s="381"/>
      <c r="R261" s="337">
        <f>SUM(R252:R260)</f>
        <v>5412</v>
      </c>
      <c r="S261" s="379">
        <f>SUM(S252:S260)</f>
        <v>1.0000000000000002</v>
      </c>
      <c r="T261" s="338">
        <f>SUM(T252:T260)</f>
        <v>762155</v>
      </c>
      <c r="U261" s="379">
        <f>SUM(U252:U260)</f>
        <v>1</v>
      </c>
      <c r="V261" s="286"/>
      <c r="W261" s="289"/>
      <c r="X261" s="5"/>
    </row>
    <row r="262" spans="1:25" ht="15.75" x14ac:dyDescent="0.25">
      <c r="A262" s="181"/>
      <c r="B262" s="212"/>
      <c r="C262" s="212"/>
      <c r="D262" s="212"/>
      <c r="E262" s="212"/>
      <c r="F262" s="212"/>
      <c r="G262" s="212"/>
      <c r="H262" s="375"/>
      <c r="I262" s="375"/>
      <c r="J262" s="375"/>
      <c r="K262" s="375"/>
      <c r="L262" s="375"/>
      <c r="M262" s="375"/>
      <c r="N262" s="375"/>
      <c r="O262" s="375"/>
      <c r="P262" s="375"/>
      <c r="Q262" s="375"/>
      <c r="R262" s="335"/>
      <c r="S262" s="376"/>
      <c r="T262" s="377"/>
      <c r="U262" s="376"/>
      <c r="V262" s="212"/>
      <c r="W262" s="212"/>
      <c r="X262" s="5"/>
    </row>
    <row r="263" spans="1:25" ht="15.75" x14ac:dyDescent="0.25">
      <c r="A263" s="244"/>
      <c r="B263" s="399" t="s">
        <v>236</v>
      </c>
      <c r="C263" s="400"/>
      <c r="D263" s="400"/>
      <c r="E263" s="400"/>
      <c r="F263" s="407"/>
      <c r="G263" s="400"/>
      <c r="H263" s="400"/>
      <c r="I263" s="400"/>
      <c r="J263" s="400"/>
      <c r="K263" s="400"/>
      <c r="L263" s="400"/>
      <c r="M263" s="400"/>
      <c r="N263" s="400"/>
      <c r="O263" s="400"/>
      <c r="P263" s="400"/>
      <c r="Q263" s="400"/>
      <c r="R263" s="407" t="s">
        <v>102</v>
      </c>
      <c r="S263" s="400" t="s">
        <v>103</v>
      </c>
      <c r="T263" s="407" t="s">
        <v>109</v>
      </c>
      <c r="U263" s="400" t="s">
        <v>103</v>
      </c>
      <c r="V263" s="245"/>
      <c r="W263" s="246"/>
      <c r="X263" s="5"/>
    </row>
    <row r="264" spans="1:25" ht="15.75" x14ac:dyDescent="0.25">
      <c r="A264" s="193"/>
      <c r="B264" s="249" t="s">
        <v>88</v>
      </c>
      <c r="C264" s="265"/>
      <c r="D264" s="265"/>
      <c r="E264" s="265"/>
      <c r="F264" s="250"/>
      <c r="G264" s="265"/>
      <c r="H264" s="265"/>
      <c r="I264" s="265"/>
      <c r="J264" s="265"/>
      <c r="K264" s="265"/>
      <c r="L264" s="265"/>
      <c r="M264" s="265"/>
      <c r="N264" s="265"/>
      <c r="O264" s="265"/>
      <c r="P264" s="265"/>
      <c r="Q264" s="265"/>
      <c r="R264" s="249">
        <v>94</v>
      </c>
      <c r="S264" s="252">
        <f t="shared" ref="S264:S270" si="7">R264/$R$273</f>
        <v>0.87037037037037035</v>
      </c>
      <c r="T264" s="253">
        <v>13656</v>
      </c>
      <c r="U264" s="252">
        <f t="shared" ref="U264:U271" si="8">T264/$T$273</f>
        <v>0.87281094209382593</v>
      </c>
      <c r="V264" s="250"/>
      <c r="W264" s="250"/>
      <c r="X264" s="5"/>
    </row>
    <row r="265" spans="1:25" ht="15.75" x14ac:dyDescent="0.25">
      <c r="A265" s="285"/>
      <c r="B265" s="337" t="s">
        <v>89</v>
      </c>
      <c r="C265" s="378"/>
      <c r="D265" s="378"/>
      <c r="E265" s="378"/>
      <c r="F265" s="286"/>
      <c r="G265" s="379"/>
      <c r="H265" s="378"/>
      <c r="I265" s="378"/>
      <c r="J265" s="378"/>
      <c r="K265" s="378"/>
      <c r="L265" s="378"/>
      <c r="M265" s="378"/>
      <c r="N265" s="378"/>
      <c r="O265" s="378"/>
      <c r="P265" s="378"/>
      <c r="Q265" s="378"/>
      <c r="R265" s="337">
        <v>3</v>
      </c>
      <c r="S265" s="379">
        <f t="shared" si="7"/>
        <v>2.7777777777777776E-2</v>
      </c>
      <c r="T265" s="338">
        <v>559</v>
      </c>
      <c r="U265" s="379">
        <f t="shared" si="8"/>
        <v>3.5727981592739357E-2</v>
      </c>
      <c r="V265" s="286"/>
      <c r="W265" s="289"/>
      <c r="X265" s="5"/>
    </row>
    <row r="266" spans="1:25" ht="15.75" x14ac:dyDescent="0.25">
      <c r="A266" s="285"/>
      <c r="B266" s="337" t="s">
        <v>90</v>
      </c>
      <c r="C266" s="378"/>
      <c r="D266" s="378"/>
      <c r="E266" s="378"/>
      <c r="F266" s="286"/>
      <c r="G266" s="379"/>
      <c r="H266" s="378"/>
      <c r="I266" s="378"/>
      <c r="J266" s="378"/>
      <c r="K266" s="378"/>
      <c r="L266" s="378"/>
      <c r="M266" s="378"/>
      <c r="N266" s="378"/>
      <c r="O266" s="378"/>
      <c r="P266" s="378"/>
      <c r="Q266" s="378"/>
      <c r="R266" s="337">
        <v>2</v>
      </c>
      <c r="S266" s="379">
        <f t="shared" si="7"/>
        <v>1.8518518518518517E-2</v>
      </c>
      <c r="T266" s="338">
        <v>166</v>
      </c>
      <c r="U266" s="379">
        <f t="shared" si="8"/>
        <v>1.0609740508756231E-2</v>
      </c>
      <c r="V266" s="286"/>
      <c r="W266" s="289"/>
      <c r="X266" s="5"/>
    </row>
    <row r="267" spans="1:25" ht="15.75" x14ac:dyDescent="0.25">
      <c r="A267" s="285"/>
      <c r="B267" s="337" t="s">
        <v>156</v>
      </c>
      <c r="C267" s="378"/>
      <c r="D267" s="378"/>
      <c r="E267" s="378"/>
      <c r="F267" s="286"/>
      <c r="G267" s="379"/>
      <c r="H267" s="378"/>
      <c r="I267" s="378"/>
      <c r="J267" s="378"/>
      <c r="K267" s="378"/>
      <c r="L267" s="378"/>
      <c r="M267" s="378"/>
      <c r="N267" s="378"/>
      <c r="O267" s="378"/>
      <c r="P267" s="378"/>
      <c r="Q267" s="378"/>
      <c r="R267" s="337">
        <v>1</v>
      </c>
      <c r="S267" s="379">
        <f t="shared" si="7"/>
        <v>9.2592592592592587E-3</v>
      </c>
      <c r="T267" s="338">
        <v>115</v>
      </c>
      <c r="U267" s="379">
        <f t="shared" si="8"/>
        <v>7.350121436788956E-3</v>
      </c>
      <c r="V267" s="286"/>
      <c r="W267" s="289"/>
      <c r="X267" s="5"/>
    </row>
    <row r="268" spans="1:25" ht="15.75" x14ac:dyDescent="0.25">
      <c r="A268" s="285"/>
      <c r="B268" s="337" t="s">
        <v>157</v>
      </c>
      <c r="C268" s="378"/>
      <c r="D268" s="378"/>
      <c r="E268" s="378"/>
      <c r="F268" s="286"/>
      <c r="G268" s="379"/>
      <c r="H268" s="378"/>
      <c r="I268" s="378"/>
      <c r="J268" s="378"/>
      <c r="K268" s="378"/>
      <c r="L268" s="378"/>
      <c r="M268" s="378"/>
      <c r="N268" s="378"/>
      <c r="O268" s="378"/>
      <c r="P268" s="378"/>
      <c r="Q268" s="378"/>
      <c r="R268" s="337">
        <v>1</v>
      </c>
      <c r="S268" s="379">
        <f t="shared" si="7"/>
        <v>9.2592592592592587E-3</v>
      </c>
      <c r="T268" s="338">
        <v>169</v>
      </c>
      <c r="U268" s="379">
        <f t="shared" si="8"/>
        <v>1.0801482807107248E-2</v>
      </c>
      <c r="V268" s="286"/>
      <c r="W268" s="289"/>
      <c r="X268" s="5"/>
    </row>
    <row r="269" spans="1:25" ht="15.75" x14ac:dyDescent="0.25">
      <c r="A269" s="285"/>
      <c r="B269" s="337" t="s">
        <v>158</v>
      </c>
      <c r="C269" s="378"/>
      <c r="D269" s="378"/>
      <c r="E269" s="378"/>
      <c r="F269" s="286"/>
      <c r="G269" s="379"/>
      <c r="H269" s="378"/>
      <c r="I269" s="378"/>
      <c r="J269" s="378"/>
      <c r="K269" s="378"/>
      <c r="L269" s="378"/>
      <c r="M269" s="378"/>
      <c r="N269" s="378"/>
      <c r="O269" s="378"/>
      <c r="P269" s="378"/>
      <c r="Q269" s="378"/>
      <c r="R269" s="337">
        <v>0</v>
      </c>
      <c r="S269" s="379">
        <f t="shared" si="7"/>
        <v>0</v>
      </c>
      <c r="T269" s="338">
        <v>0</v>
      </c>
      <c r="U269" s="379">
        <f t="shared" si="8"/>
        <v>0</v>
      </c>
      <c r="V269" s="286"/>
      <c r="W269" s="289"/>
      <c r="X269" s="5"/>
    </row>
    <row r="270" spans="1:25" ht="15.75" x14ac:dyDescent="0.25">
      <c r="A270" s="285"/>
      <c r="B270" s="337" t="s">
        <v>159</v>
      </c>
      <c r="C270" s="378"/>
      <c r="D270" s="378"/>
      <c r="E270" s="378"/>
      <c r="F270" s="286"/>
      <c r="G270" s="379"/>
      <c r="H270" s="378"/>
      <c r="I270" s="378"/>
      <c r="J270" s="378"/>
      <c r="K270" s="378"/>
      <c r="L270" s="378"/>
      <c r="M270" s="378"/>
      <c r="N270" s="378"/>
      <c r="O270" s="378"/>
      <c r="P270" s="378"/>
      <c r="Q270" s="378"/>
      <c r="R270" s="337">
        <v>1</v>
      </c>
      <c r="S270" s="379">
        <f t="shared" si="7"/>
        <v>9.2592592592592587E-3</v>
      </c>
      <c r="T270" s="338">
        <v>75</v>
      </c>
      <c r="U270" s="379">
        <f t="shared" si="8"/>
        <v>4.7935574587754061E-3</v>
      </c>
      <c r="V270" s="286"/>
      <c r="W270" s="289"/>
      <c r="X270" s="5"/>
    </row>
    <row r="271" spans="1:25" ht="15.75" x14ac:dyDescent="0.25">
      <c r="A271" s="285"/>
      <c r="B271" s="337" t="s">
        <v>160</v>
      </c>
      <c r="C271" s="378"/>
      <c r="D271" s="378"/>
      <c r="E271" s="378"/>
      <c r="F271" s="286"/>
      <c r="G271" s="379"/>
      <c r="H271" s="378"/>
      <c r="I271" s="378"/>
      <c r="J271" s="378"/>
      <c r="K271" s="378"/>
      <c r="L271" s="378"/>
      <c r="M271" s="378"/>
      <c r="N271" s="378"/>
      <c r="O271" s="378"/>
      <c r="P271" s="378"/>
      <c r="Q271" s="378"/>
      <c r="R271" s="337">
        <v>6</v>
      </c>
      <c r="S271" s="379">
        <f>R271/$R$273</f>
        <v>5.5555555555555552E-2</v>
      </c>
      <c r="T271" s="338">
        <v>906</v>
      </c>
      <c r="U271" s="379">
        <f t="shared" si="8"/>
        <v>5.7906174102006901E-2</v>
      </c>
      <c r="V271" s="286"/>
      <c r="W271" s="289"/>
      <c r="X271" s="5"/>
    </row>
    <row r="272" spans="1:25" ht="15.75" x14ac:dyDescent="0.25">
      <c r="A272" s="285"/>
      <c r="B272" s="337"/>
      <c r="C272" s="378"/>
      <c r="D272" s="378"/>
      <c r="E272" s="378"/>
      <c r="F272" s="286"/>
      <c r="G272" s="379"/>
      <c r="H272" s="378"/>
      <c r="I272" s="378"/>
      <c r="J272" s="378"/>
      <c r="K272" s="378"/>
      <c r="L272" s="378"/>
      <c r="M272" s="378"/>
      <c r="N272" s="378"/>
      <c r="O272" s="378"/>
      <c r="P272" s="378"/>
      <c r="Q272" s="378"/>
      <c r="R272" s="337"/>
      <c r="S272" s="379"/>
      <c r="T272" s="338"/>
      <c r="U272" s="379"/>
      <c r="V272" s="286"/>
      <c r="W272" s="289"/>
      <c r="X272" s="5"/>
    </row>
    <row r="273" spans="1:24" ht="15.75" x14ac:dyDescent="0.25">
      <c r="A273" s="285"/>
      <c r="B273" s="286"/>
      <c r="C273" s="286"/>
      <c r="D273" s="286"/>
      <c r="E273" s="286"/>
      <c r="F273" s="286"/>
      <c r="G273" s="286"/>
      <c r="H273" s="381"/>
      <c r="I273" s="381"/>
      <c r="J273" s="381"/>
      <c r="K273" s="381"/>
      <c r="L273" s="381"/>
      <c r="M273" s="381"/>
      <c r="N273" s="381"/>
      <c r="O273" s="381"/>
      <c r="P273" s="381"/>
      <c r="Q273" s="381"/>
      <c r="R273" s="337">
        <f>SUM(R264:R272)</f>
        <v>108</v>
      </c>
      <c r="S273" s="379">
        <f>SUM(S264:S272)</f>
        <v>1</v>
      </c>
      <c r="T273" s="338">
        <f>SUM(T264:T272)</f>
        <v>15646</v>
      </c>
      <c r="U273" s="379">
        <f>SUM(U264:U272)</f>
        <v>1</v>
      </c>
      <c r="V273" s="286"/>
      <c r="W273" s="289"/>
      <c r="X273" s="5"/>
    </row>
    <row r="274" spans="1:24" ht="15.75" x14ac:dyDescent="0.25">
      <c r="A274" s="181"/>
      <c r="B274" s="212"/>
      <c r="C274" s="212"/>
      <c r="D274" s="212"/>
      <c r="E274" s="212"/>
      <c r="F274" s="212"/>
      <c r="G274" s="212"/>
      <c r="H274" s="375"/>
      <c r="I274" s="375"/>
      <c r="J274" s="375"/>
      <c r="K274" s="375"/>
      <c r="L274" s="375"/>
      <c r="M274" s="375"/>
      <c r="N274" s="375"/>
      <c r="O274" s="375"/>
      <c r="P274" s="375"/>
      <c r="Q274" s="375"/>
      <c r="R274" s="335"/>
      <c r="S274" s="376"/>
      <c r="T274" s="377"/>
      <c r="U274" s="376"/>
      <c r="V274" s="212"/>
      <c r="W274" s="212"/>
      <c r="X274" s="5"/>
    </row>
    <row r="275" spans="1:24" ht="15.75" x14ac:dyDescent="0.25">
      <c r="A275" s="244"/>
      <c r="B275" s="399" t="s">
        <v>163</v>
      </c>
      <c r="C275" s="245"/>
      <c r="D275" s="245"/>
      <c r="E275" s="245"/>
      <c r="F275" s="245"/>
      <c r="G275" s="245"/>
      <c r="H275" s="247"/>
      <c r="I275" s="247"/>
      <c r="J275" s="247"/>
      <c r="K275" s="247"/>
      <c r="L275" s="247"/>
      <c r="M275" s="247"/>
      <c r="N275" s="247"/>
      <c r="O275" s="247"/>
      <c r="P275" s="247"/>
      <c r="Q275" s="247"/>
      <c r="R275" s="407" t="s">
        <v>102</v>
      </c>
      <c r="S275" s="400" t="s">
        <v>103</v>
      </c>
      <c r="T275" s="407" t="s">
        <v>109</v>
      </c>
      <c r="U275" s="400" t="s">
        <v>103</v>
      </c>
      <c r="V275" s="245"/>
      <c r="W275" s="246"/>
      <c r="X275" s="5"/>
    </row>
    <row r="276" spans="1:24" ht="15.75" x14ac:dyDescent="0.25">
      <c r="A276" s="248"/>
      <c r="B276" s="249" t="s">
        <v>88</v>
      </c>
      <c r="C276" s="250"/>
      <c r="D276" s="250"/>
      <c r="E276" s="250"/>
      <c r="F276" s="250"/>
      <c r="G276" s="250"/>
      <c r="H276" s="251"/>
      <c r="I276" s="251"/>
      <c r="J276" s="251"/>
      <c r="K276" s="251"/>
      <c r="L276" s="251"/>
      <c r="M276" s="251"/>
      <c r="N276" s="251"/>
      <c r="O276" s="251"/>
      <c r="P276" s="251"/>
      <c r="Q276" s="251"/>
      <c r="R276" s="249">
        <v>0</v>
      </c>
      <c r="S276" s="252">
        <v>0</v>
      </c>
      <c r="T276" s="253">
        <v>0</v>
      </c>
      <c r="U276" s="252">
        <v>0</v>
      </c>
      <c r="V276" s="250"/>
      <c r="W276" s="250"/>
      <c r="X276" s="5"/>
    </row>
    <row r="277" spans="1:24" ht="15.75" x14ac:dyDescent="0.25">
      <c r="A277" s="295"/>
      <c r="B277" s="337" t="s">
        <v>89</v>
      </c>
      <c r="C277" s="286"/>
      <c r="D277" s="286"/>
      <c r="E277" s="286"/>
      <c r="F277" s="286"/>
      <c r="G277" s="286"/>
      <c r="H277" s="381"/>
      <c r="I277" s="381"/>
      <c r="J277" s="381"/>
      <c r="K277" s="381"/>
      <c r="L277" s="381"/>
      <c r="M277" s="381"/>
      <c r="N277" s="381"/>
      <c r="O277" s="381"/>
      <c r="P277" s="381"/>
      <c r="Q277" s="381"/>
      <c r="R277" s="337">
        <v>0</v>
      </c>
      <c r="S277" s="379">
        <v>0</v>
      </c>
      <c r="T277" s="338">
        <v>0</v>
      </c>
      <c r="U277" s="379">
        <v>0</v>
      </c>
      <c r="V277" s="286"/>
      <c r="W277" s="289"/>
      <c r="X277" s="5"/>
    </row>
    <row r="278" spans="1:24" ht="15.75" x14ac:dyDescent="0.25">
      <c r="A278" s="295"/>
      <c r="B278" s="337" t="s">
        <v>90</v>
      </c>
      <c r="C278" s="286"/>
      <c r="D278" s="286"/>
      <c r="E278" s="286"/>
      <c r="F278" s="286"/>
      <c r="G278" s="286"/>
      <c r="H278" s="381"/>
      <c r="I278" s="381"/>
      <c r="J278" s="381"/>
      <c r="K278" s="381"/>
      <c r="L278" s="381"/>
      <c r="M278" s="381"/>
      <c r="N278" s="381"/>
      <c r="O278" s="381"/>
      <c r="P278" s="381"/>
      <c r="Q278" s="381"/>
      <c r="R278" s="337">
        <v>0</v>
      </c>
      <c r="S278" s="379">
        <v>0</v>
      </c>
      <c r="T278" s="338">
        <v>0</v>
      </c>
      <c r="U278" s="379">
        <v>0</v>
      </c>
      <c r="V278" s="286"/>
      <c r="W278" s="289"/>
      <c r="X278" s="5"/>
    </row>
    <row r="279" spans="1:24" ht="15.75" x14ac:dyDescent="0.25">
      <c r="A279" s="295"/>
      <c r="B279" s="337" t="s">
        <v>156</v>
      </c>
      <c r="C279" s="286"/>
      <c r="D279" s="286"/>
      <c r="E279" s="286"/>
      <c r="F279" s="286"/>
      <c r="G279" s="286"/>
      <c r="H279" s="381"/>
      <c r="I279" s="381"/>
      <c r="J279" s="381"/>
      <c r="K279" s="381"/>
      <c r="L279" s="381"/>
      <c r="M279" s="381"/>
      <c r="N279" s="381"/>
      <c r="O279" s="381"/>
      <c r="P279" s="381"/>
      <c r="Q279" s="381"/>
      <c r="R279" s="337">
        <v>0</v>
      </c>
      <c r="S279" s="379">
        <v>0</v>
      </c>
      <c r="T279" s="338">
        <v>0</v>
      </c>
      <c r="U279" s="379">
        <v>0</v>
      </c>
      <c r="V279" s="286"/>
      <c r="W279" s="289"/>
      <c r="X279" s="5"/>
    </row>
    <row r="280" spans="1:24" ht="15.75" x14ac:dyDescent="0.25">
      <c r="A280" s="295"/>
      <c r="B280" s="337" t="s">
        <v>157</v>
      </c>
      <c r="C280" s="286"/>
      <c r="D280" s="286"/>
      <c r="E280" s="286"/>
      <c r="F280" s="286"/>
      <c r="G280" s="286"/>
      <c r="H280" s="381"/>
      <c r="I280" s="381"/>
      <c r="J280" s="381"/>
      <c r="K280" s="381"/>
      <c r="L280" s="381"/>
      <c r="M280" s="381"/>
      <c r="N280" s="381"/>
      <c r="O280" s="381"/>
      <c r="P280" s="381"/>
      <c r="Q280" s="381"/>
      <c r="R280" s="337">
        <v>0</v>
      </c>
      <c r="S280" s="379">
        <v>0</v>
      </c>
      <c r="T280" s="338">
        <v>0</v>
      </c>
      <c r="U280" s="379">
        <v>0</v>
      </c>
      <c r="V280" s="286"/>
      <c r="W280" s="289"/>
      <c r="X280" s="5"/>
    </row>
    <row r="281" spans="1:24" ht="15.75" x14ac:dyDescent="0.25">
      <c r="A281" s="295"/>
      <c r="B281" s="337" t="s">
        <v>158</v>
      </c>
      <c r="C281" s="286"/>
      <c r="D281" s="286"/>
      <c r="E281" s="286"/>
      <c r="F281" s="286"/>
      <c r="G281" s="286"/>
      <c r="H281" s="381"/>
      <c r="I281" s="381"/>
      <c r="J281" s="381"/>
      <c r="K281" s="381"/>
      <c r="L281" s="381"/>
      <c r="M281" s="381"/>
      <c r="N281" s="381"/>
      <c r="O281" s="381"/>
      <c r="P281" s="381"/>
      <c r="Q281" s="381"/>
      <c r="R281" s="337">
        <v>0</v>
      </c>
      <c r="S281" s="379">
        <v>0</v>
      </c>
      <c r="T281" s="338">
        <v>0</v>
      </c>
      <c r="U281" s="379">
        <v>0</v>
      </c>
      <c r="V281" s="286"/>
      <c r="W281" s="289"/>
      <c r="X281" s="5"/>
    </row>
    <row r="282" spans="1:24" ht="15.75" x14ac:dyDescent="0.25">
      <c r="A282" s="295"/>
      <c r="B282" s="337" t="s">
        <v>159</v>
      </c>
      <c r="C282" s="286"/>
      <c r="D282" s="286"/>
      <c r="E282" s="286"/>
      <c r="F282" s="286"/>
      <c r="G282" s="286"/>
      <c r="H282" s="381"/>
      <c r="I282" s="381"/>
      <c r="J282" s="381"/>
      <c r="K282" s="381"/>
      <c r="L282" s="381"/>
      <c r="M282" s="381"/>
      <c r="N282" s="381"/>
      <c r="O282" s="381"/>
      <c r="P282" s="381"/>
      <c r="Q282" s="381"/>
      <c r="R282" s="337">
        <v>0</v>
      </c>
      <c r="S282" s="379">
        <v>0</v>
      </c>
      <c r="T282" s="338">
        <v>0</v>
      </c>
      <c r="U282" s="379">
        <v>0</v>
      </c>
      <c r="V282" s="286"/>
      <c r="W282" s="289"/>
      <c r="X282" s="5"/>
    </row>
    <row r="283" spans="1:24" ht="15.75" x14ac:dyDescent="0.25">
      <c r="A283" s="295"/>
      <c r="B283" s="337" t="s">
        <v>160</v>
      </c>
      <c r="C283" s="286"/>
      <c r="D283" s="286"/>
      <c r="E283" s="286"/>
      <c r="F283" s="286"/>
      <c r="G283" s="286"/>
      <c r="H283" s="381"/>
      <c r="I283" s="381"/>
      <c r="J283" s="381"/>
      <c r="K283" s="381"/>
      <c r="L283" s="381"/>
      <c r="M283" s="381"/>
      <c r="N283" s="381"/>
      <c r="O283" s="381"/>
      <c r="P283" s="381"/>
      <c r="Q283" s="381"/>
      <c r="R283" s="337">
        <v>0</v>
      </c>
      <c r="S283" s="379">
        <v>0</v>
      </c>
      <c r="T283" s="338">
        <v>0</v>
      </c>
      <c r="U283" s="379">
        <v>0</v>
      </c>
      <c r="V283" s="286"/>
      <c r="W283" s="289"/>
      <c r="X283" s="5"/>
    </row>
    <row r="284" spans="1:24" ht="15.75" x14ac:dyDescent="0.25">
      <c r="A284" s="295"/>
      <c r="B284" s="337"/>
      <c r="C284" s="286"/>
      <c r="D284" s="286"/>
      <c r="E284" s="286"/>
      <c r="F284" s="286"/>
      <c r="G284" s="286"/>
      <c r="H284" s="381"/>
      <c r="I284" s="381"/>
      <c r="J284" s="381"/>
      <c r="K284" s="381"/>
      <c r="L284" s="381"/>
      <c r="M284" s="381"/>
      <c r="N284" s="381"/>
      <c r="O284" s="381"/>
      <c r="P284" s="381"/>
      <c r="Q284" s="381"/>
      <c r="R284" s="337"/>
      <c r="S284" s="379"/>
      <c r="T284" s="338"/>
      <c r="U284" s="379"/>
      <c r="V284" s="286"/>
      <c r="W284" s="289"/>
      <c r="X284" s="5"/>
    </row>
    <row r="285" spans="1:24" ht="15.75" x14ac:dyDescent="0.25">
      <c r="A285" s="295"/>
      <c r="B285" s="286" t="s">
        <v>114</v>
      </c>
      <c r="C285" s="286"/>
      <c r="D285" s="286"/>
      <c r="E285" s="286"/>
      <c r="F285" s="286"/>
      <c r="G285" s="286"/>
      <c r="H285" s="381"/>
      <c r="I285" s="381"/>
      <c r="J285" s="381"/>
      <c r="K285" s="381"/>
      <c r="L285" s="381"/>
      <c r="M285" s="381"/>
      <c r="N285" s="381"/>
      <c r="O285" s="381"/>
      <c r="P285" s="381"/>
      <c r="Q285" s="381"/>
      <c r="R285" s="337">
        <f>SUM(R276:R283)</f>
        <v>0</v>
      </c>
      <c r="S285" s="379">
        <f>SUM(S276:S283)</f>
        <v>0</v>
      </c>
      <c r="T285" s="338">
        <f>SUM(T276:T283)</f>
        <v>0</v>
      </c>
      <c r="U285" s="379">
        <f>SUM(U276:U283)</f>
        <v>0</v>
      </c>
      <c r="V285" s="286"/>
      <c r="W285" s="289"/>
      <c r="X285" s="5"/>
    </row>
    <row r="286" spans="1:24" ht="15.75" x14ac:dyDescent="0.25">
      <c r="A286" s="295"/>
      <c r="B286" s="286"/>
      <c r="C286" s="286"/>
      <c r="D286" s="286"/>
      <c r="E286" s="286"/>
      <c r="F286" s="286"/>
      <c r="G286" s="286"/>
      <c r="H286" s="381"/>
      <c r="I286" s="381"/>
      <c r="J286" s="381"/>
      <c r="K286" s="381"/>
      <c r="L286" s="381"/>
      <c r="M286" s="381"/>
      <c r="N286" s="381"/>
      <c r="O286" s="381"/>
      <c r="P286" s="381"/>
      <c r="Q286" s="381"/>
      <c r="R286" s="337"/>
      <c r="S286" s="379"/>
      <c r="T286" s="338"/>
      <c r="U286" s="379"/>
      <c r="V286" s="286"/>
      <c r="W286" s="289"/>
      <c r="X286" s="5"/>
    </row>
    <row r="287" spans="1:24" ht="15.75" x14ac:dyDescent="0.25">
      <c r="A287" s="295"/>
      <c r="B287" s="297" t="s">
        <v>164</v>
      </c>
      <c r="C287" s="286"/>
      <c r="D287" s="286"/>
      <c r="E287" s="286"/>
      <c r="F287" s="286"/>
      <c r="G287" s="286"/>
      <c r="H287" s="381"/>
      <c r="I287" s="381"/>
      <c r="J287" s="381"/>
      <c r="K287" s="381"/>
      <c r="L287" s="381"/>
      <c r="M287" s="381"/>
      <c r="N287" s="381"/>
      <c r="O287" s="381"/>
      <c r="P287" s="381"/>
      <c r="Q287" s="381"/>
      <c r="R287" s="384">
        <f>R285+R273+R261</f>
        <v>5520</v>
      </c>
      <c r="S287" s="379"/>
      <c r="T287" s="410">
        <f>+T285+T273+T261</f>
        <v>777801</v>
      </c>
      <c r="U287" s="379"/>
      <c r="V287" s="286"/>
      <c r="W287" s="289"/>
      <c r="X287" s="5"/>
    </row>
    <row r="288" spans="1:24" ht="15.75" x14ac:dyDescent="0.25">
      <c r="A288" s="254"/>
      <c r="B288" s="346"/>
      <c r="C288" s="346"/>
      <c r="D288" s="346"/>
      <c r="E288" s="346"/>
      <c r="F288" s="346"/>
      <c r="G288" s="346"/>
      <c r="H288" s="382"/>
      <c r="I288" s="382"/>
      <c r="J288" s="382"/>
      <c r="K288" s="382"/>
      <c r="L288" s="382"/>
      <c r="M288" s="382"/>
      <c r="N288" s="382"/>
      <c r="O288" s="382"/>
      <c r="P288" s="382"/>
      <c r="Q288" s="382"/>
      <c r="R288" s="382"/>
      <c r="S288" s="382"/>
      <c r="T288" s="383"/>
      <c r="U288" s="382"/>
      <c r="V288" s="346"/>
      <c r="W288" s="346"/>
      <c r="X288" s="5"/>
    </row>
    <row r="289" spans="1:24" ht="15.75" x14ac:dyDescent="0.25">
      <c r="A289" s="254"/>
      <c r="B289" s="255"/>
      <c r="C289" s="255"/>
      <c r="D289" s="255"/>
      <c r="E289" s="255"/>
      <c r="F289" s="255"/>
      <c r="G289" s="255"/>
      <c r="H289" s="256"/>
      <c r="I289" s="256"/>
      <c r="J289" s="256"/>
      <c r="K289" s="256"/>
      <c r="L289" s="256"/>
      <c r="M289" s="256"/>
      <c r="N289" s="256"/>
      <c r="O289" s="256"/>
      <c r="P289" s="256"/>
      <c r="Q289" s="256"/>
      <c r="R289" s="256"/>
      <c r="S289" s="256"/>
      <c r="T289" s="257"/>
      <c r="U289" s="256"/>
      <c r="V289" s="255"/>
      <c r="W289" s="255"/>
      <c r="X289" s="5"/>
    </row>
    <row r="290" spans="1:24" ht="15.75" x14ac:dyDescent="0.25">
      <c r="A290" s="258"/>
      <c r="B290" s="388" t="s">
        <v>91</v>
      </c>
      <c r="C290" s="255"/>
      <c r="D290" s="255"/>
      <c r="E290" s="255"/>
      <c r="F290" s="391" t="s">
        <v>97</v>
      </c>
      <c r="G290" s="255"/>
      <c r="H290" s="388" t="s">
        <v>99</v>
      </c>
      <c r="I290" s="388"/>
      <c r="J290" s="388"/>
      <c r="K290" s="261"/>
      <c r="L290" s="261"/>
      <c r="M290" s="261"/>
      <c r="N290" s="261"/>
      <c r="O290" s="261"/>
      <c r="P290" s="261"/>
      <c r="Q290" s="261"/>
      <c r="R290" s="261"/>
      <c r="S290" s="261"/>
      <c r="T290" s="261"/>
      <c r="U290" s="261"/>
      <c r="V290" s="261"/>
      <c r="W290" s="261"/>
      <c r="X290" s="5"/>
    </row>
    <row r="291" spans="1:24" ht="15.75" x14ac:dyDescent="0.25">
      <c r="A291" s="258"/>
      <c r="B291" s="261"/>
      <c r="C291" s="255"/>
      <c r="D291" s="255"/>
      <c r="E291" s="255"/>
      <c r="F291" s="255"/>
      <c r="G291" s="255"/>
      <c r="H291" s="255"/>
      <c r="I291" s="255"/>
      <c r="J291" s="255"/>
      <c r="K291" s="261"/>
      <c r="L291" s="261"/>
      <c r="M291" s="261"/>
      <c r="N291" s="261"/>
      <c r="O291" s="261"/>
      <c r="P291" s="261"/>
      <c r="Q291" s="261"/>
      <c r="R291" s="261"/>
      <c r="S291" s="261"/>
      <c r="T291" s="261"/>
      <c r="U291" s="261"/>
      <c r="V291" s="261"/>
      <c r="W291" s="261"/>
      <c r="X291" s="5"/>
    </row>
    <row r="292" spans="1:24" ht="15.75" x14ac:dyDescent="0.25">
      <c r="A292" s="258"/>
      <c r="B292" s="388" t="s">
        <v>318</v>
      </c>
      <c r="C292" s="388"/>
      <c r="D292" s="388"/>
      <c r="E292" s="388"/>
      <c r="F292" s="411" t="s">
        <v>148</v>
      </c>
      <c r="G292" s="388"/>
      <c r="H292" s="388" t="s">
        <v>152</v>
      </c>
      <c r="I292" s="388"/>
      <c r="J292" s="388"/>
      <c r="K292" s="261"/>
      <c r="L292" s="261"/>
      <c r="M292" s="261"/>
      <c r="N292" s="261"/>
      <c r="O292" s="261"/>
      <c r="P292" s="261"/>
      <c r="Q292" s="261"/>
      <c r="R292" s="261"/>
      <c r="S292" s="261"/>
      <c r="T292" s="261"/>
      <c r="U292" s="261"/>
      <c r="V292" s="261"/>
      <c r="W292" s="261"/>
      <c r="X292" s="5"/>
    </row>
    <row r="293" spans="1:24" ht="15.75" x14ac:dyDescent="0.25">
      <c r="A293" s="258"/>
      <c r="B293" s="388" t="s">
        <v>319</v>
      </c>
      <c r="C293" s="388"/>
      <c r="D293" s="388"/>
      <c r="E293" s="388"/>
      <c r="F293" s="411" t="s">
        <v>266</v>
      </c>
      <c r="G293" s="388"/>
      <c r="H293" s="388" t="s">
        <v>267</v>
      </c>
      <c r="I293" s="388"/>
      <c r="J293" s="388"/>
      <c r="K293" s="261"/>
      <c r="L293" s="261"/>
      <c r="M293" s="261"/>
      <c r="N293" s="261"/>
      <c r="O293" s="261"/>
      <c r="P293" s="261"/>
      <c r="Q293" s="261"/>
      <c r="R293" s="261"/>
      <c r="S293" s="261"/>
      <c r="T293" s="261"/>
      <c r="U293" s="261"/>
      <c r="V293" s="261"/>
      <c r="W293" s="261"/>
      <c r="X293" s="5"/>
    </row>
    <row r="294" spans="1:24" ht="15.75" x14ac:dyDescent="0.25">
      <c r="A294" s="258"/>
      <c r="B294" s="388" t="s">
        <v>320</v>
      </c>
      <c r="C294" s="388"/>
      <c r="D294" s="388"/>
      <c r="E294" s="388"/>
      <c r="F294" s="411" t="s">
        <v>147</v>
      </c>
      <c r="G294" s="388"/>
      <c r="H294" s="388" t="s">
        <v>153</v>
      </c>
      <c r="I294" s="388"/>
      <c r="J294" s="388"/>
      <c r="K294" s="261"/>
      <c r="L294" s="261"/>
      <c r="M294" s="261"/>
      <c r="N294" s="261"/>
      <c r="O294" s="261"/>
      <c r="P294" s="261"/>
      <c r="Q294" s="261"/>
      <c r="R294" s="261"/>
      <c r="S294" s="261"/>
      <c r="T294" s="261"/>
      <c r="U294" s="261"/>
      <c r="V294" s="261"/>
      <c r="W294" s="261"/>
      <c r="X294" s="5"/>
    </row>
    <row r="295" spans="1:24" ht="15.75" x14ac:dyDescent="0.25">
      <c r="A295" s="258"/>
      <c r="B295" s="388"/>
      <c r="C295" s="388"/>
      <c r="D295" s="388"/>
      <c r="E295" s="388"/>
      <c r="F295" s="388"/>
      <c r="G295" s="263"/>
      <c r="H295" s="261"/>
      <c r="I295" s="261"/>
      <c r="J295" s="261"/>
      <c r="K295" s="261"/>
      <c r="L295" s="261"/>
      <c r="M295" s="261"/>
      <c r="N295" s="261"/>
      <c r="O295" s="261"/>
      <c r="P295" s="261"/>
      <c r="Q295" s="261"/>
      <c r="R295" s="261"/>
      <c r="S295" s="261"/>
      <c r="T295" s="261"/>
      <c r="U295" s="261"/>
      <c r="V295" s="261"/>
      <c r="W295" s="261"/>
      <c r="X295" s="5"/>
    </row>
    <row r="296" spans="1:24" ht="15.75" x14ac:dyDescent="0.25">
      <c r="A296" s="258"/>
      <c r="B296" s="388"/>
      <c r="C296" s="388"/>
      <c r="D296" s="388"/>
      <c r="E296" s="388"/>
      <c r="F296" s="388"/>
      <c r="G296" s="263"/>
      <c r="H296" s="261"/>
      <c r="I296" s="261"/>
      <c r="J296" s="261"/>
      <c r="K296" s="261"/>
      <c r="L296" s="261"/>
      <c r="M296" s="261"/>
      <c r="N296" s="261"/>
      <c r="O296" s="261"/>
      <c r="P296" s="261"/>
      <c r="Q296" s="261"/>
      <c r="R296" s="261"/>
      <c r="S296" s="261"/>
      <c r="T296" s="261"/>
      <c r="U296" s="261"/>
      <c r="V296" s="261"/>
      <c r="W296" s="261"/>
      <c r="X296" s="5"/>
    </row>
    <row r="297" spans="1:24" ht="19.5" thickBot="1" x14ac:dyDescent="0.35">
      <c r="A297" s="258"/>
      <c r="B297" s="264" t="str">
        <f>B201</f>
        <v>PM15 INVESTOR REPORT QUARTER ENDING MAY 2014</v>
      </c>
      <c r="C297" s="388"/>
      <c r="D297" s="388"/>
      <c r="E297" s="388"/>
      <c r="F297" s="388"/>
      <c r="G297" s="263"/>
      <c r="H297" s="261"/>
      <c r="I297" s="261"/>
      <c r="J297" s="261"/>
      <c r="K297" s="261"/>
      <c r="L297" s="261"/>
      <c r="M297" s="261"/>
      <c r="N297" s="261"/>
      <c r="O297" s="261"/>
      <c r="P297" s="261"/>
      <c r="Q297" s="261"/>
      <c r="R297" s="261"/>
      <c r="S297" s="261"/>
      <c r="T297" s="261"/>
      <c r="U297" s="261"/>
      <c r="V297" s="261"/>
      <c r="W297" s="261"/>
      <c r="X297" s="5"/>
    </row>
    <row r="298" spans="1:24" x14ac:dyDescent="0.2">
      <c r="A298" s="100"/>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00"/>
    </row>
  </sheetData>
  <hyperlinks>
    <hyperlink ref="P237" r:id="rId1" xr:uid="{00000000-0004-0000-1A00-000000000000}"/>
    <hyperlink ref="I9" r:id="rId2" xr:uid="{00000000-0004-0000-1A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5" max="14" man="1"/>
    <brk id="201" max="14" man="1"/>
  </rowBreaks>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sheetPr>
  <dimension ref="A1:IV298"/>
  <sheetViews>
    <sheetView showGridLines="0" showOutlineSymbols="0" zoomScale="70" zoomScaleNormal="70" workbookViewId="0"/>
  </sheetViews>
  <sheetFormatPr defaultColWidth="9.6640625" defaultRowHeight="15" x14ac:dyDescent="0.2"/>
  <cols>
    <col min="1" max="1" width="4" style="1" customWidth="1"/>
    <col min="2" max="2" width="71.21875" style="1" customWidth="1"/>
    <col min="3" max="3" width="2.21875" style="1" customWidth="1"/>
    <col min="4" max="4" width="19.33203125" style="1" customWidth="1"/>
    <col min="5" max="5" width="2.21875" style="1" customWidth="1"/>
    <col min="6" max="6" width="25.109375" style="1" customWidth="1"/>
    <col min="7" max="7" width="2.21875" style="1" customWidth="1"/>
    <col min="8" max="8" width="16.21875" style="1" customWidth="1"/>
    <col min="9" max="9" width="2.88671875" style="1" customWidth="1"/>
    <col min="10" max="10" width="16.21875" style="1" customWidth="1"/>
    <col min="11" max="11" width="2.21875" style="1" customWidth="1"/>
    <col min="12" max="12" width="17.88671875" style="1" customWidth="1"/>
    <col min="13" max="13" width="2.33203125" style="1" customWidth="1"/>
    <col min="14" max="14" width="14.88671875" style="1" customWidth="1"/>
    <col min="15" max="15" width="2.33203125" style="1" customWidth="1"/>
    <col min="16" max="16" width="15.5546875" style="1" customWidth="1"/>
    <col min="17" max="17" width="2.21875" style="1" customWidth="1"/>
    <col min="18" max="18" width="15.5546875" style="1" customWidth="1"/>
    <col min="19" max="20" width="12.6640625" style="1" customWidth="1"/>
    <col min="21" max="21" width="7.77734375" style="1" customWidth="1"/>
    <col min="22" max="22" width="14.6640625" style="1" customWidth="1"/>
    <col min="23" max="23" width="11.77734375" style="1" customWidth="1"/>
    <col min="24" max="16384" width="9.6640625" style="1"/>
  </cols>
  <sheetData>
    <row r="1" spans="1:24" ht="20.25" x14ac:dyDescent="0.3">
      <c r="A1" s="179"/>
      <c r="B1" s="274" t="s">
        <v>237</v>
      </c>
      <c r="C1" s="180"/>
      <c r="D1" s="180"/>
      <c r="E1" s="180"/>
      <c r="F1" s="180"/>
      <c r="G1" s="180"/>
      <c r="H1" s="180"/>
      <c r="I1" s="180"/>
      <c r="J1" s="180"/>
      <c r="K1" s="180"/>
      <c r="L1" s="180"/>
      <c r="M1" s="180"/>
      <c r="N1" s="180"/>
      <c r="O1" s="180"/>
      <c r="P1" s="180"/>
      <c r="Q1" s="180"/>
      <c r="R1" s="180"/>
      <c r="S1" s="180"/>
      <c r="T1" s="180"/>
      <c r="U1" s="180"/>
      <c r="V1" s="180"/>
      <c r="W1" s="180"/>
      <c r="X1" s="5"/>
    </row>
    <row r="2" spans="1:24" ht="15.75" x14ac:dyDescent="0.25">
      <c r="A2" s="181"/>
      <c r="B2" s="182"/>
      <c r="C2" s="183"/>
      <c r="D2" s="183"/>
      <c r="E2" s="183"/>
      <c r="F2" s="183"/>
      <c r="G2" s="183"/>
      <c r="H2" s="183"/>
      <c r="I2" s="183"/>
      <c r="J2" s="183"/>
      <c r="K2" s="183"/>
      <c r="L2" s="183"/>
      <c r="M2" s="183"/>
      <c r="N2" s="183"/>
      <c r="O2" s="183"/>
      <c r="P2" s="183"/>
      <c r="Q2" s="183"/>
      <c r="R2" s="183"/>
      <c r="S2" s="183"/>
      <c r="T2" s="183"/>
      <c r="U2" s="183"/>
      <c r="V2" s="183"/>
      <c r="W2" s="183"/>
      <c r="X2" s="5"/>
    </row>
    <row r="3" spans="1:24" ht="15.75" x14ac:dyDescent="0.25">
      <c r="A3" s="184"/>
      <c r="B3" s="185" t="s">
        <v>238</v>
      </c>
      <c r="C3" s="183"/>
      <c r="D3" s="183"/>
      <c r="E3" s="183"/>
      <c r="F3" s="183"/>
      <c r="G3" s="183"/>
      <c r="H3" s="183"/>
      <c r="I3" s="183"/>
      <c r="J3" s="183"/>
      <c r="K3" s="183"/>
      <c r="L3" s="183"/>
      <c r="M3" s="183"/>
      <c r="N3" s="183"/>
      <c r="O3" s="183"/>
      <c r="P3" s="183"/>
      <c r="Q3" s="183"/>
      <c r="R3" s="183"/>
      <c r="S3" s="183"/>
      <c r="T3" s="183"/>
      <c r="U3" s="183"/>
      <c r="V3" s="183"/>
      <c r="W3" s="183"/>
      <c r="X3" s="5"/>
    </row>
    <row r="4" spans="1:24" ht="15.75" x14ac:dyDescent="0.25">
      <c r="A4" s="181"/>
      <c r="B4" s="182"/>
      <c r="C4" s="183"/>
      <c r="D4" s="183"/>
      <c r="E4" s="183"/>
      <c r="F4" s="183"/>
      <c r="G4" s="183"/>
      <c r="H4" s="183"/>
      <c r="I4" s="183"/>
      <c r="J4" s="183"/>
      <c r="K4" s="183"/>
      <c r="L4" s="183"/>
      <c r="M4" s="183"/>
      <c r="N4" s="183"/>
      <c r="O4" s="183"/>
      <c r="P4" s="183"/>
      <c r="Q4" s="183"/>
      <c r="R4" s="183"/>
      <c r="S4" s="183"/>
      <c r="T4" s="183"/>
      <c r="U4" s="183"/>
      <c r="V4" s="183"/>
      <c r="W4" s="183"/>
      <c r="X4" s="5"/>
    </row>
    <row r="5" spans="1:24" ht="15.75" x14ac:dyDescent="0.25">
      <c r="A5" s="181"/>
      <c r="B5" s="275" t="s">
        <v>137</v>
      </c>
      <c r="C5" s="183"/>
      <c r="D5" s="183"/>
      <c r="E5" s="183"/>
      <c r="F5" s="183"/>
      <c r="G5" s="183"/>
      <c r="H5" s="183"/>
      <c r="I5" s="183"/>
      <c r="J5" s="183"/>
      <c r="K5" s="183"/>
      <c r="L5" s="183"/>
      <c r="M5" s="183"/>
      <c r="N5" s="183"/>
      <c r="O5" s="183"/>
      <c r="P5" s="183"/>
      <c r="Q5" s="183"/>
      <c r="R5" s="183"/>
      <c r="S5" s="183"/>
      <c r="T5" s="183"/>
      <c r="U5" s="183"/>
      <c r="V5" s="183"/>
      <c r="W5" s="183"/>
      <c r="X5" s="5"/>
    </row>
    <row r="6" spans="1:24" ht="15.75" x14ac:dyDescent="0.25">
      <c r="A6" s="181"/>
      <c r="B6" s="275" t="s">
        <v>139</v>
      </c>
      <c r="C6" s="183"/>
      <c r="D6" s="183"/>
      <c r="E6" s="183"/>
      <c r="F6" s="183"/>
      <c r="G6" s="183"/>
      <c r="H6" s="183"/>
      <c r="I6" s="183"/>
      <c r="J6" s="183"/>
      <c r="K6" s="183"/>
      <c r="L6" s="183"/>
      <c r="M6" s="183"/>
      <c r="N6" s="183"/>
      <c r="O6" s="183"/>
      <c r="P6" s="183"/>
      <c r="Q6" s="183"/>
      <c r="R6" s="183"/>
      <c r="S6" s="183"/>
      <c r="T6" s="183"/>
      <c r="U6" s="183"/>
      <c r="V6" s="183"/>
      <c r="W6" s="183"/>
      <c r="X6" s="5"/>
    </row>
    <row r="7" spans="1:24" ht="15.75" x14ac:dyDescent="0.25">
      <c r="A7" s="181"/>
      <c r="B7" s="275" t="s">
        <v>138</v>
      </c>
      <c r="C7" s="183"/>
      <c r="D7" s="183"/>
      <c r="E7" s="183"/>
      <c r="F7" s="183"/>
      <c r="G7" s="183"/>
      <c r="H7" s="183"/>
      <c r="I7" s="183"/>
      <c r="J7" s="183"/>
      <c r="K7" s="183"/>
      <c r="L7" s="183"/>
      <c r="M7" s="183"/>
      <c r="N7" s="183"/>
      <c r="O7" s="183"/>
      <c r="P7" s="183"/>
      <c r="Q7" s="183"/>
      <c r="R7" s="183"/>
      <c r="S7" s="183"/>
      <c r="T7" s="183"/>
      <c r="U7" s="183"/>
      <c r="V7" s="183"/>
      <c r="W7" s="183"/>
      <c r="X7" s="5"/>
    </row>
    <row r="8" spans="1:24" ht="15.75" x14ac:dyDescent="0.25">
      <c r="A8" s="181"/>
      <c r="B8" s="186"/>
      <c r="C8" s="183"/>
      <c r="D8" s="183"/>
      <c r="E8" s="183"/>
      <c r="F8" s="183"/>
      <c r="G8" s="183"/>
      <c r="H8" s="183"/>
      <c r="I8" s="183"/>
      <c r="J8" s="183"/>
      <c r="K8" s="183"/>
      <c r="L8" s="183"/>
      <c r="M8" s="183"/>
      <c r="N8" s="183"/>
      <c r="O8" s="183"/>
      <c r="P8" s="183"/>
      <c r="Q8" s="183"/>
      <c r="R8" s="183"/>
      <c r="S8" s="183"/>
      <c r="T8" s="183"/>
      <c r="U8" s="183"/>
      <c r="V8" s="183"/>
      <c r="W8" s="183"/>
      <c r="X8" s="5"/>
    </row>
    <row r="9" spans="1:24" ht="18.75" x14ac:dyDescent="0.3">
      <c r="A9" s="181"/>
      <c r="B9" s="187" t="s">
        <v>166</v>
      </c>
      <c r="C9" s="183"/>
      <c r="D9" s="183"/>
      <c r="E9" s="183"/>
      <c r="F9" s="183"/>
      <c r="G9" s="183"/>
      <c r="H9" s="183"/>
      <c r="I9" s="188" t="s">
        <v>167</v>
      </c>
      <c r="J9" s="183"/>
      <c r="K9" s="183"/>
      <c r="L9" s="188"/>
      <c r="M9" s="183"/>
      <c r="N9" s="188"/>
      <c r="O9" s="183"/>
      <c r="P9" s="183"/>
      <c r="Q9" s="183"/>
      <c r="R9" s="183"/>
      <c r="S9" s="183"/>
      <c r="T9" s="183"/>
      <c r="U9" s="183"/>
      <c r="V9" s="183"/>
      <c r="W9" s="183"/>
      <c r="X9" s="5"/>
    </row>
    <row r="10" spans="1:24" ht="15.75" x14ac:dyDescent="0.25">
      <c r="A10" s="181"/>
      <c r="B10" s="186"/>
      <c r="C10" s="189"/>
      <c r="D10" s="189"/>
      <c r="E10" s="189"/>
      <c r="F10" s="183"/>
      <c r="G10" s="183"/>
      <c r="H10" s="183"/>
      <c r="I10" s="183"/>
      <c r="J10" s="183"/>
      <c r="K10" s="183"/>
      <c r="L10" s="183"/>
      <c r="M10" s="183"/>
      <c r="N10" s="183"/>
      <c r="O10" s="183"/>
      <c r="P10" s="183"/>
      <c r="Q10" s="183"/>
      <c r="R10" s="183"/>
      <c r="S10" s="183"/>
      <c r="T10" s="183"/>
      <c r="U10" s="183"/>
      <c r="V10" s="183"/>
      <c r="W10" s="183"/>
      <c r="X10" s="5"/>
    </row>
    <row r="11" spans="1:24" ht="15.75" x14ac:dyDescent="0.25">
      <c r="A11" s="181"/>
      <c r="B11" s="388" t="s">
        <v>0</v>
      </c>
      <c r="C11" s="183"/>
      <c r="D11" s="183"/>
      <c r="E11" s="183"/>
      <c r="F11" s="183"/>
      <c r="G11" s="183"/>
      <c r="H11" s="183"/>
      <c r="I11" s="183"/>
      <c r="J11" s="183"/>
      <c r="K11" s="183"/>
      <c r="L11" s="183"/>
      <c r="M11" s="183"/>
      <c r="N11" s="183"/>
      <c r="O11" s="183"/>
      <c r="P11" s="183"/>
      <c r="Q11" s="183"/>
      <c r="R11" s="183"/>
      <c r="S11" s="183"/>
      <c r="T11" s="183"/>
      <c r="U11" s="183"/>
      <c r="V11" s="183"/>
      <c r="W11" s="183"/>
      <c r="X11" s="5"/>
    </row>
    <row r="12" spans="1:24" ht="16.5" thickBot="1" x14ac:dyDescent="0.3">
      <c r="A12" s="181"/>
      <c r="B12" s="189"/>
      <c r="C12" s="183"/>
      <c r="D12" s="183"/>
      <c r="E12" s="183"/>
      <c r="F12" s="183"/>
      <c r="G12" s="183"/>
      <c r="H12" s="183"/>
      <c r="I12" s="183"/>
      <c r="J12" s="183"/>
      <c r="K12" s="183"/>
      <c r="L12" s="183"/>
      <c r="M12" s="183"/>
      <c r="N12" s="183"/>
      <c r="O12" s="183"/>
      <c r="P12" s="183"/>
      <c r="Q12" s="183"/>
      <c r="R12" s="183"/>
      <c r="S12" s="183"/>
      <c r="T12" s="183"/>
      <c r="U12" s="183"/>
      <c r="V12" s="183"/>
      <c r="W12" s="183"/>
      <c r="X12" s="5"/>
    </row>
    <row r="13" spans="1:24" ht="15.75" x14ac:dyDescent="0.25">
      <c r="A13" s="179"/>
      <c r="B13" s="180"/>
      <c r="C13" s="180"/>
      <c r="D13" s="180"/>
      <c r="E13" s="180"/>
      <c r="F13" s="180"/>
      <c r="G13" s="180"/>
      <c r="H13" s="180"/>
      <c r="I13" s="180"/>
      <c r="J13" s="180"/>
      <c r="K13" s="180"/>
      <c r="L13" s="180"/>
      <c r="M13" s="180"/>
      <c r="N13" s="180"/>
      <c r="O13" s="180"/>
      <c r="P13" s="180"/>
      <c r="Q13" s="180"/>
      <c r="R13" s="180"/>
      <c r="S13" s="180"/>
      <c r="T13" s="180"/>
      <c r="U13" s="180"/>
      <c r="V13" s="180"/>
      <c r="W13" s="180"/>
      <c r="X13" s="5"/>
    </row>
    <row r="14" spans="1:24" ht="15.75" x14ac:dyDescent="0.25">
      <c r="A14" s="181"/>
      <c r="B14" s="388" t="s">
        <v>1</v>
      </c>
      <c r="C14" s="255"/>
      <c r="D14" s="255"/>
      <c r="E14" s="255"/>
      <c r="F14" s="255"/>
      <c r="G14" s="255"/>
      <c r="H14" s="255"/>
      <c r="I14" s="255"/>
      <c r="J14" s="255"/>
      <c r="K14" s="255"/>
      <c r="L14" s="255"/>
      <c r="M14" s="255"/>
      <c r="N14" s="255"/>
      <c r="O14" s="255"/>
      <c r="P14" s="255"/>
      <c r="Q14" s="255"/>
      <c r="R14" s="255"/>
      <c r="S14" s="255"/>
      <c r="T14" s="255"/>
      <c r="U14" s="255"/>
      <c r="V14" s="276" t="s">
        <v>239</v>
      </c>
      <c r="W14" s="255"/>
      <c r="X14" s="5"/>
    </row>
    <row r="15" spans="1:24" ht="15.75" x14ac:dyDescent="0.25">
      <c r="A15" s="181"/>
      <c r="B15" s="388" t="s">
        <v>2</v>
      </c>
      <c r="C15" s="255"/>
      <c r="D15" s="255"/>
      <c r="E15" s="255"/>
      <c r="F15" s="255"/>
      <c r="G15" s="255"/>
      <c r="H15" s="389"/>
      <c r="I15" s="389"/>
      <c r="J15" s="389"/>
      <c r="K15" s="389"/>
      <c r="L15" s="389"/>
      <c r="M15" s="389"/>
      <c r="N15" s="389"/>
      <c r="O15" s="389"/>
      <c r="P15" s="389"/>
      <c r="Q15" s="389"/>
      <c r="R15" s="389" t="s">
        <v>104</v>
      </c>
      <c r="S15" s="390">
        <v>0.47189999999999999</v>
      </c>
      <c r="T15" s="391" t="s">
        <v>140</v>
      </c>
      <c r="U15" s="390">
        <v>0.52810000000000001</v>
      </c>
      <c r="V15" s="276"/>
      <c r="W15" s="255"/>
      <c r="X15" s="5"/>
    </row>
    <row r="16" spans="1:24" ht="15.75" x14ac:dyDescent="0.25">
      <c r="A16" s="181"/>
      <c r="B16" s="388" t="s">
        <v>3</v>
      </c>
      <c r="C16" s="255"/>
      <c r="D16" s="255"/>
      <c r="E16" s="255"/>
      <c r="F16" s="255"/>
      <c r="G16" s="255"/>
      <c r="H16" s="389"/>
      <c r="I16" s="389"/>
      <c r="J16" s="389"/>
      <c r="K16" s="389"/>
      <c r="L16" s="389"/>
      <c r="M16" s="389"/>
      <c r="N16" s="389"/>
      <c r="O16" s="389"/>
      <c r="P16" s="389"/>
      <c r="Q16" s="389"/>
      <c r="R16" s="389" t="s">
        <v>104</v>
      </c>
      <c r="S16" s="390">
        <v>0.54630000000000001</v>
      </c>
      <c r="T16" s="391" t="s">
        <v>140</v>
      </c>
      <c r="U16" s="390">
        <v>0.45369999999999999</v>
      </c>
      <c r="V16" s="276"/>
      <c r="W16" s="255"/>
      <c r="X16" s="5"/>
    </row>
    <row r="17" spans="1:24" ht="15.75" x14ac:dyDescent="0.25">
      <c r="A17" s="181"/>
      <c r="B17" s="388" t="s">
        <v>4</v>
      </c>
      <c r="C17" s="255"/>
      <c r="D17" s="255"/>
      <c r="E17" s="255"/>
      <c r="F17" s="255"/>
      <c r="G17" s="255"/>
      <c r="H17" s="255"/>
      <c r="I17" s="255"/>
      <c r="J17" s="255"/>
      <c r="K17" s="255"/>
      <c r="L17" s="255"/>
      <c r="M17" s="255"/>
      <c r="N17" s="255"/>
      <c r="O17" s="255"/>
      <c r="P17" s="255"/>
      <c r="Q17" s="255"/>
      <c r="R17" s="255"/>
      <c r="S17" s="255"/>
      <c r="T17" s="255"/>
      <c r="U17" s="255"/>
      <c r="V17" s="392">
        <v>39282</v>
      </c>
      <c r="W17" s="255"/>
      <c r="X17" s="5"/>
    </row>
    <row r="18" spans="1:24" ht="15.75" x14ac:dyDescent="0.25">
      <c r="A18" s="181"/>
      <c r="B18" s="388" t="s">
        <v>5</v>
      </c>
      <c r="C18" s="255"/>
      <c r="D18" s="255"/>
      <c r="E18" s="255"/>
      <c r="F18" s="255"/>
      <c r="G18" s="255"/>
      <c r="H18" s="255"/>
      <c r="I18" s="255"/>
      <c r="J18" s="255"/>
      <c r="K18" s="255"/>
      <c r="L18" s="255"/>
      <c r="M18" s="255"/>
      <c r="N18" s="255"/>
      <c r="O18" s="255"/>
      <c r="P18" s="255"/>
      <c r="Q18" s="255"/>
      <c r="R18" s="255"/>
      <c r="S18" s="255"/>
      <c r="T18" s="255"/>
      <c r="U18" s="255"/>
      <c r="V18" s="392">
        <v>41904</v>
      </c>
      <c r="W18" s="255"/>
      <c r="X18" s="5"/>
    </row>
    <row r="19" spans="1:24" ht="15.75" x14ac:dyDescent="0.25">
      <c r="A19" s="181"/>
      <c r="B19" s="183"/>
      <c r="C19" s="183"/>
      <c r="D19" s="183"/>
      <c r="E19" s="183"/>
      <c r="F19" s="183"/>
      <c r="G19" s="183"/>
      <c r="H19" s="183"/>
      <c r="I19" s="183"/>
      <c r="J19" s="183"/>
      <c r="K19" s="183"/>
      <c r="L19" s="183"/>
      <c r="M19" s="183"/>
      <c r="N19" s="183"/>
      <c r="O19" s="183"/>
      <c r="P19" s="183"/>
      <c r="Q19" s="183"/>
      <c r="R19" s="183"/>
      <c r="S19" s="183"/>
      <c r="T19" s="183"/>
      <c r="U19" s="183"/>
      <c r="V19" s="190"/>
      <c r="W19" s="183"/>
      <c r="X19" s="5"/>
    </row>
    <row r="20" spans="1:24" ht="15.75" x14ac:dyDescent="0.25">
      <c r="A20" s="181"/>
      <c r="B20" s="280" t="s">
        <v>6</v>
      </c>
      <c r="C20" s="255"/>
      <c r="D20" s="255"/>
      <c r="E20" s="255"/>
      <c r="F20" s="255"/>
      <c r="G20" s="255"/>
      <c r="H20" s="255"/>
      <c r="I20" s="255"/>
      <c r="J20" s="255"/>
      <c r="K20" s="255"/>
      <c r="L20" s="255"/>
      <c r="M20" s="255"/>
      <c r="N20" s="255"/>
      <c r="O20" s="255"/>
      <c r="P20" s="255"/>
      <c r="Q20" s="255"/>
      <c r="R20" s="255"/>
      <c r="S20" s="255"/>
      <c r="T20" s="281" t="s">
        <v>105</v>
      </c>
      <c r="U20" s="255"/>
      <c r="V20" s="261"/>
      <c r="W20" s="183"/>
      <c r="X20" s="5"/>
    </row>
    <row r="21" spans="1:24" ht="15.75" x14ac:dyDescent="0.25">
      <c r="A21" s="181"/>
      <c r="B21" s="183"/>
      <c r="C21" s="183"/>
      <c r="D21" s="183"/>
      <c r="E21" s="183"/>
      <c r="F21" s="183"/>
      <c r="G21" s="183"/>
      <c r="H21" s="183"/>
      <c r="I21" s="183"/>
      <c r="J21" s="183"/>
      <c r="K21" s="183"/>
      <c r="L21" s="183"/>
      <c r="M21" s="183"/>
      <c r="N21" s="183"/>
      <c r="O21" s="183"/>
      <c r="P21" s="183"/>
      <c r="Q21" s="183"/>
      <c r="R21" s="183"/>
      <c r="S21" s="183"/>
      <c r="T21" s="183"/>
      <c r="U21" s="183"/>
      <c r="V21" s="192"/>
      <c r="W21" s="183"/>
      <c r="X21" s="5"/>
    </row>
    <row r="22" spans="1:24" ht="15.75" x14ac:dyDescent="0.25">
      <c r="A22" s="224"/>
      <c r="B22" s="225"/>
      <c r="C22" s="226"/>
      <c r="D22" s="226" t="s">
        <v>177</v>
      </c>
      <c r="E22" s="226"/>
      <c r="F22" s="226" t="s">
        <v>178</v>
      </c>
      <c r="G22" s="226"/>
      <c r="H22" s="226" t="s">
        <v>179</v>
      </c>
      <c r="I22" s="226"/>
      <c r="J22" s="226" t="s">
        <v>219</v>
      </c>
      <c r="K22" s="226"/>
      <c r="L22" s="226" t="s">
        <v>180</v>
      </c>
      <c r="M22" s="226"/>
      <c r="N22" s="226" t="s">
        <v>181</v>
      </c>
      <c r="O22" s="226"/>
      <c r="P22" s="226" t="s">
        <v>182</v>
      </c>
      <c r="Q22" s="226"/>
      <c r="R22" s="226"/>
      <c r="S22" s="228"/>
      <c r="T22" s="228"/>
      <c r="U22" s="229"/>
      <c r="V22" s="229"/>
      <c r="W22" s="225"/>
      <c r="X22" s="5"/>
    </row>
    <row r="23" spans="1:24" ht="15.75" x14ac:dyDescent="0.25">
      <c r="A23" s="193"/>
      <c r="B23" s="250" t="s">
        <v>7</v>
      </c>
      <c r="C23" s="282"/>
      <c r="D23" s="282" t="s">
        <v>212</v>
      </c>
      <c r="E23" s="282"/>
      <c r="F23" s="282" t="s">
        <v>141</v>
      </c>
      <c r="G23" s="282"/>
      <c r="H23" s="282" t="s">
        <v>141</v>
      </c>
      <c r="I23" s="282"/>
      <c r="J23" s="282" t="s">
        <v>141</v>
      </c>
      <c r="K23" s="282"/>
      <c r="L23" s="282" t="s">
        <v>183</v>
      </c>
      <c r="M23" s="282"/>
      <c r="N23" s="282" t="s">
        <v>183</v>
      </c>
      <c r="O23" s="282"/>
      <c r="P23" s="282" t="s">
        <v>142</v>
      </c>
      <c r="Q23" s="282"/>
      <c r="R23" s="282"/>
      <c r="S23" s="282"/>
      <c r="T23" s="282"/>
      <c r="U23" s="273"/>
      <c r="V23" s="273"/>
      <c r="W23" s="250"/>
      <c r="X23" s="5"/>
    </row>
    <row r="24" spans="1:24" ht="15.75" x14ac:dyDescent="0.25">
      <c r="A24" s="285"/>
      <c r="B24" s="286" t="s">
        <v>8</v>
      </c>
      <c r="C24" s="287"/>
      <c r="D24" s="287" t="s">
        <v>213</v>
      </c>
      <c r="E24" s="287"/>
      <c r="F24" s="287" t="s">
        <v>143</v>
      </c>
      <c r="G24" s="287"/>
      <c r="H24" s="287" t="s">
        <v>143</v>
      </c>
      <c r="I24" s="287"/>
      <c r="J24" s="287" t="s">
        <v>143</v>
      </c>
      <c r="K24" s="287"/>
      <c r="L24" s="287" t="s">
        <v>165</v>
      </c>
      <c r="M24" s="287"/>
      <c r="N24" s="287" t="s">
        <v>165</v>
      </c>
      <c r="O24" s="287"/>
      <c r="P24" s="287" t="s">
        <v>144</v>
      </c>
      <c r="Q24" s="287"/>
      <c r="R24" s="287"/>
      <c r="S24" s="287"/>
      <c r="T24" s="287"/>
      <c r="U24" s="288"/>
      <c r="V24" s="288"/>
      <c r="W24" s="289"/>
      <c r="X24" s="5"/>
    </row>
    <row r="25" spans="1:24" ht="15.75" x14ac:dyDescent="0.25">
      <c r="A25" s="290"/>
      <c r="B25" s="286" t="s">
        <v>190</v>
      </c>
      <c r="C25" s="292"/>
      <c r="D25" s="287" t="s">
        <v>214</v>
      </c>
      <c r="E25" s="287"/>
      <c r="F25" s="287" t="s">
        <v>143</v>
      </c>
      <c r="G25" s="287"/>
      <c r="H25" s="287" t="s">
        <v>143</v>
      </c>
      <c r="I25" s="287"/>
      <c r="J25" s="287" t="s">
        <v>143</v>
      </c>
      <c r="K25" s="287"/>
      <c r="L25" s="287" t="s">
        <v>165</v>
      </c>
      <c r="M25" s="287"/>
      <c r="N25" s="287" t="s">
        <v>165</v>
      </c>
      <c r="O25" s="287"/>
      <c r="P25" s="287" t="s">
        <v>144</v>
      </c>
      <c r="Q25" s="287"/>
      <c r="R25" s="287"/>
      <c r="S25" s="292"/>
      <c r="T25" s="287"/>
      <c r="U25" s="288"/>
      <c r="V25" s="288"/>
      <c r="W25" s="289"/>
      <c r="X25" s="5"/>
    </row>
    <row r="26" spans="1:24" ht="15.75" x14ac:dyDescent="0.25">
      <c r="A26" s="393"/>
      <c r="B26" s="297" t="s">
        <v>9</v>
      </c>
      <c r="C26" s="292"/>
      <c r="D26" s="292" t="s">
        <v>141</v>
      </c>
      <c r="E26" s="292"/>
      <c r="F26" s="292" t="s">
        <v>141</v>
      </c>
      <c r="G26" s="292"/>
      <c r="H26" s="292" t="s">
        <v>141</v>
      </c>
      <c r="I26" s="292"/>
      <c r="J26" s="292" t="s">
        <v>141</v>
      </c>
      <c r="K26" s="292"/>
      <c r="L26" s="292" t="s">
        <v>183</v>
      </c>
      <c r="M26" s="292"/>
      <c r="N26" s="292" t="s">
        <v>183</v>
      </c>
      <c r="O26" s="292"/>
      <c r="P26" s="292" t="s">
        <v>142</v>
      </c>
      <c r="Q26" s="292"/>
      <c r="R26" s="292"/>
      <c r="S26" s="292"/>
      <c r="T26" s="287"/>
      <c r="U26" s="288"/>
      <c r="V26" s="288"/>
      <c r="W26" s="289"/>
      <c r="X26" s="5"/>
    </row>
    <row r="27" spans="1:24" ht="15.75" x14ac:dyDescent="0.25">
      <c r="A27" s="295"/>
      <c r="B27" s="297" t="s">
        <v>191</v>
      </c>
      <c r="C27" s="287"/>
      <c r="D27" s="292" t="s">
        <v>143</v>
      </c>
      <c r="E27" s="292"/>
      <c r="F27" s="292" t="s">
        <v>143</v>
      </c>
      <c r="G27" s="292"/>
      <c r="H27" s="292" t="s">
        <v>143</v>
      </c>
      <c r="I27" s="292"/>
      <c r="J27" s="292" t="s">
        <v>143</v>
      </c>
      <c r="K27" s="292"/>
      <c r="L27" s="292" t="s">
        <v>307</v>
      </c>
      <c r="M27" s="292"/>
      <c r="N27" s="292" t="s">
        <v>307</v>
      </c>
      <c r="O27" s="292"/>
      <c r="P27" s="292" t="s">
        <v>308</v>
      </c>
      <c r="Q27" s="292"/>
      <c r="R27" s="292"/>
      <c r="S27" s="287"/>
      <c r="T27" s="296"/>
      <c r="U27" s="288"/>
      <c r="V27" s="288"/>
      <c r="W27" s="289"/>
      <c r="X27" s="5"/>
    </row>
    <row r="28" spans="1:24" ht="15.75" x14ac:dyDescent="0.25">
      <c r="A28" s="295"/>
      <c r="B28" s="297" t="s">
        <v>192</v>
      </c>
      <c r="C28" s="287"/>
      <c r="D28" s="292" t="s">
        <v>143</v>
      </c>
      <c r="E28" s="292"/>
      <c r="F28" s="292" t="s">
        <v>143</v>
      </c>
      <c r="G28" s="292"/>
      <c r="H28" s="292" t="s">
        <v>143</v>
      </c>
      <c r="I28" s="292"/>
      <c r="J28" s="292" t="s">
        <v>143</v>
      </c>
      <c r="K28" s="292"/>
      <c r="L28" s="292" t="s">
        <v>165</v>
      </c>
      <c r="M28" s="292"/>
      <c r="N28" s="292" t="s">
        <v>165</v>
      </c>
      <c r="O28" s="292"/>
      <c r="P28" s="292" t="s">
        <v>309</v>
      </c>
      <c r="Q28" s="292"/>
      <c r="R28" s="292"/>
      <c r="S28" s="287"/>
      <c r="T28" s="296"/>
      <c r="U28" s="288"/>
      <c r="V28" s="288"/>
      <c r="W28" s="289"/>
      <c r="X28" s="5"/>
    </row>
    <row r="29" spans="1:24" ht="15.75" x14ac:dyDescent="0.25">
      <c r="A29" s="295"/>
      <c r="B29" s="286" t="s">
        <v>10</v>
      </c>
      <c r="C29" s="298"/>
      <c r="D29" s="287" t="s">
        <v>242</v>
      </c>
      <c r="E29" s="287"/>
      <c r="F29" s="296" t="s">
        <v>244</v>
      </c>
      <c r="G29" s="287"/>
      <c r="H29" s="287" t="s">
        <v>245</v>
      </c>
      <c r="I29" s="287"/>
      <c r="J29" s="287" t="s">
        <v>247</v>
      </c>
      <c r="K29" s="287"/>
      <c r="L29" s="287" t="s">
        <v>248</v>
      </c>
      <c r="M29" s="287"/>
      <c r="N29" s="287" t="s">
        <v>249</v>
      </c>
      <c r="O29" s="287"/>
      <c r="P29" s="287" t="s">
        <v>250</v>
      </c>
      <c r="Q29" s="287"/>
      <c r="R29" s="287"/>
      <c r="S29" s="299"/>
      <c r="T29" s="299"/>
      <c r="U29" s="300"/>
      <c r="V29" s="299"/>
      <c r="W29" s="301"/>
      <c r="X29" s="5"/>
    </row>
    <row r="30" spans="1:24" ht="15.75" x14ac:dyDescent="0.25">
      <c r="A30" s="295"/>
      <c r="B30" s="286" t="s">
        <v>10</v>
      </c>
      <c r="C30" s="298"/>
      <c r="D30" s="287" t="s">
        <v>243</v>
      </c>
      <c r="E30" s="287"/>
      <c r="F30" s="296" t="s">
        <v>118</v>
      </c>
      <c r="G30" s="287"/>
      <c r="H30" s="287" t="s">
        <v>118</v>
      </c>
      <c r="I30" s="287"/>
      <c r="J30" s="287" t="s">
        <v>246</v>
      </c>
      <c r="K30" s="287"/>
      <c r="L30" s="287" t="s">
        <v>118</v>
      </c>
      <c r="M30" s="287"/>
      <c r="N30" s="287" t="s">
        <v>118</v>
      </c>
      <c r="O30" s="287"/>
      <c r="P30" s="287" t="s">
        <v>118</v>
      </c>
      <c r="Q30" s="287"/>
      <c r="R30" s="287"/>
      <c r="S30" s="299"/>
      <c r="T30" s="299"/>
      <c r="U30" s="300"/>
      <c r="V30" s="299"/>
      <c r="W30" s="301"/>
      <c r="X30" s="5"/>
    </row>
    <row r="31" spans="1:24" ht="15.75" x14ac:dyDescent="0.25">
      <c r="A31" s="393"/>
      <c r="B31" s="286" t="s">
        <v>133</v>
      </c>
      <c r="C31" s="310"/>
      <c r="D31" s="303">
        <v>1000000</v>
      </c>
      <c r="E31" s="298"/>
      <c r="F31" s="299">
        <v>209500</v>
      </c>
      <c r="G31" s="299"/>
      <c r="H31" s="304">
        <v>110000</v>
      </c>
      <c r="I31" s="304"/>
      <c r="J31" s="303">
        <v>150000</v>
      </c>
      <c r="K31" s="299"/>
      <c r="L31" s="299">
        <v>17000</v>
      </c>
      <c r="M31" s="299"/>
      <c r="N31" s="304">
        <v>85500</v>
      </c>
      <c r="O31" s="299"/>
      <c r="P31" s="304">
        <v>110500</v>
      </c>
      <c r="Q31" s="299"/>
      <c r="R31" s="304"/>
      <c r="S31" s="312"/>
      <c r="T31" s="312"/>
      <c r="U31" s="306"/>
      <c r="V31" s="312"/>
      <c r="W31" s="301"/>
      <c r="X31" s="5"/>
    </row>
    <row r="32" spans="1:24" ht="15.75" x14ac:dyDescent="0.25">
      <c r="A32" s="295"/>
      <c r="B32" s="286" t="s">
        <v>132</v>
      </c>
      <c r="C32" s="298"/>
      <c r="D32" s="303">
        <f>D31*D38</f>
        <v>737586.70000000007</v>
      </c>
      <c r="E32" s="298"/>
      <c r="F32" s="299">
        <f>F31*F38</f>
        <v>154524.7279</v>
      </c>
      <c r="G32" s="299"/>
      <c r="H32" s="304">
        <f>H31*H38</f>
        <v>81135.27399999999</v>
      </c>
      <c r="I32" s="304"/>
      <c r="J32" s="303">
        <f>J31*J38</f>
        <v>110638.005</v>
      </c>
      <c r="K32" s="299"/>
      <c r="L32" s="299">
        <f>L31*L38</f>
        <v>17000</v>
      </c>
      <c r="M32" s="299"/>
      <c r="N32" s="304">
        <f>N31*N38</f>
        <v>85500</v>
      </c>
      <c r="O32" s="299"/>
      <c r="P32" s="304">
        <f>P31*P38</f>
        <v>110500</v>
      </c>
      <c r="Q32" s="299"/>
      <c r="R32" s="304"/>
      <c r="S32" s="299"/>
      <c r="T32" s="299"/>
      <c r="U32" s="300"/>
      <c r="V32" s="299"/>
      <c r="W32" s="301"/>
      <c r="X32" s="5"/>
    </row>
    <row r="33" spans="1:27" ht="15.75" x14ac:dyDescent="0.25">
      <c r="A33" s="295"/>
      <c r="B33" s="297" t="s">
        <v>134</v>
      </c>
      <c r="C33" s="298"/>
      <c r="D33" s="394">
        <f>D37*D31</f>
        <v>727046.9</v>
      </c>
      <c r="E33" s="310"/>
      <c r="F33" s="312">
        <f>F37*F31</f>
        <v>152316.6398</v>
      </c>
      <c r="G33" s="312"/>
      <c r="H33" s="395">
        <f>H31*H37</f>
        <v>79975.917999999991</v>
      </c>
      <c r="I33" s="395"/>
      <c r="J33" s="394">
        <f>J37*J31</f>
        <v>109057.035</v>
      </c>
      <c r="K33" s="312"/>
      <c r="L33" s="312">
        <f>L31*L37</f>
        <v>17000</v>
      </c>
      <c r="M33" s="312"/>
      <c r="N33" s="395">
        <f>N31*N37</f>
        <v>85500</v>
      </c>
      <c r="O33" s="312"/>
      <c r="P33" s="395">
        <f>P31*P37</f>
        <v>110500</v>
      </c>
      <c r="Q33" s="312"/>
      <c r="R33" s="395"/>
      <c r="S33" s="299"/>
      <c r="T33" s="299"/>
      <c r="U33" s="300"/>
      <c r="V33" s="299"/>
      <c r="W33" s="301"/>
      <c r="X33" s="5"/>
    </row>
    <row r="34" spans="1:27" ht="15.75" x14ac:dyDescent="0.25">
      <c r="A34" s="393"/>
      <c r="B34" s="286" t="s">
        <v>286</v>
      </c>
      <c r="C34" s="310"/>
      <c r="D34" s="299">
        <v>492951</v>
      </c>
      <c r="E34" s="298"/>
      <c r="F34" s="299">
        <v>209500</v>
      </c>
      <c r="G34" s="299"/>
      <c r="H34" s="299">
        <v>74677</v>
      </c>
      <c r="I34" s="299"/>
      <c r="J34" s="299">
        <v>73943</v>
      </c>
      <c r="K34" s="299"/>
      <c r="L34" s="299">
        <v>17000</v>
      </c>
      <c r="M34" s="299"/>
      <c r="N34" s="299">
        <v>58045</v>
      </c>
      <c r="O34" s="299"/>
      <c r="P34" s="299">
        <v>75017</v>
      </c>
      <c r="Q34" s="299"/>
      <c r="R34" s="299"/>
      <c r="S34" s="312"/>
      <c r="T34" s="312"/>
      <c r="U34" s="306"/>
      <c r="V34" s="299">
        <f>SUM(C34:R34)</f>
        <v>1001133</v>
      </c>
      <c r="W34" s="301"/>
      <c r="X34" s="5"/>
    </row>
    <row r="35" spans="1:27" ht="15.75" x14ac:dyDescent="0.25">
      <c r="A35" s="393"/>
      <c r="B35" s="286" t="s">
        <v>287</v>
      </c>
      <c r="C35" s="310"/>
      <c r="D35" s="299">
        <f>D34*D38</f>
        <v>363594.10135170002</v>
      </c>
      <c r="E35" s="298"/>
      <c r="F35" s="299">
        <f>F34*F38</f>
        <v>154524.7279</v>
      </c>
      <c r="G35" s="299"/>
      <c r="H35" s="299">
        <f>H34*H38</f>
        <v>55081.262331799997</v>
      </c>
      <c r="I35" s="299"/>
      <c r="J35" s="299">
        <f>J34*J38</f>
        <v>54539.373358100005</v>
      </c>
      <c r="K35" s="299"/>
      <c r="L35" s="299">
        <f>L34*L38</f>
        <v>17000</v>
      </c>
      <c r="M35" s="299"/>
      <c r="N35" s="299">
        <f>N34*N38</f>
        <v>58045</v>
      </c>
      <c r="O35" s="299"/>
      <c r="P35" s="299">
        <f>P34*P38</f>
        <v>75017</v>
      </c>
      <c r="Q35" s="299"/>
      <c r="R35" s="299"/>
      <c r="S35" s="299"/>
      <c r="T35" s="299"/>
      <c r="U35" s="300"/>
      <c r="V35" s="299">
        <f>SUM(C35:R35)</f>
        <v>777801.46494159999</v>
      </c>
      <c r="W35" s="301"/>
      <c r="X35" s="5"/>
    </row>
    <row r="36" spans="1:27" ht="15.75" x14ac:dyDescent="0.25">
      <c r="A36" s="393"/>
      <c r="B36" s="297" t="s">
        <v>288</v>
      </c>
      <c r="C36" s="310"/>
      <c r="D36" s="312">
        <f>D34*D37</f>
        <v>358398.49640190002</v>
      </c>
      <c r="E36" s="310"/>
      <c r="F36" s="312">
        <f>F34*F37</f>
        <v>152316.6398</v>
      </c>
      <c r="G36" s="312"/>
      <c r="H36" s="312">
        <f>H34*H37</f>
        <v>54294.1966226</v>
      </c>
      <c r="I36" s="312"/>
      <c r="J36" s="312">
        <f>J34*J37</f>
        <v>53760.028926700004</v>
      </c>
      <c r="K36" s="312"/>
      <c r="L36" s="312">
        <f>L34*L37</f>
        <v>17000</v>
      </c>
      <c r="M36" s="312"/>
      <c r="N36" s="312">
        <f>N34*N37</f>
        <v>58045</v>
      </c>
      <c r="O36" s="312"/>
      <c r="P36" s="312">
        <f>P34*P37</f>
        <v>75017</v>
      </c>
      <c r="Q36" s="312"/>
      <c r="R36" s="312"/>
      <c r="S36" s="311"/>
      <c r="T36" s="311"/>
      <c r="U36" s="300"/>
      <c r="V36" s="312">
        <f>SUM(C36:R36)</f>
        <v>768831.36175120005</v>
      </c>
      <c r="W36" s="301"/>
      <c r="X36" s="5"/>
    </row>
    <row r="37" spans="1:27" ht="15.75" x14ac:dyDescent="0.25">
      <c r="A37" s="285"/>
      <c r="B37" s="313" t="s">
        <v>130</v>
      </c>
      <c r="C37" s="314"/>
      <c r="D37" s="315">
        <v>0.72704690000000005</v>
      </c>
      <c r="E37" s="315"/>
      <c r="F37" s="315">
        <v>0.72704840000000004</v>
      </c>
      <c r="G37" s="315"/>
      <c r="H37" s="315">
        <v>0.72705379999999997</v>
      </c>
      <c r="I37" s="315"/>
      <c r="J37" s="315">
        <v>0.72704690000000005</v>
      </c>
      <c r="K37" s="315"/>
      <c r="L37" s="315">
        <v>1</v>
      </c>
      <c r="M37" s="315"/>
      <c r="N37" s="315">
        <v>1</v>
      </c>
      <c r="O37" s="315"/>
      <c r="P37" s="315">
        <v>1</v>
      </c>
      <c r="Q37" s="315"/>
      <c r="R37" s="315"/>
      <c r="S37" s="316"/>
      <c r="T37" s="316"/>
      <c r="U37" s="317"/>
      <c r="V37" s="317"/>
      <c r="W37" s="318"/>
      <c r="X37" s="5"/>
    </row>
    <row r="38" spans="1:27" ht="15.75" x14ac:dyDescent="0.25">
      <c r="A38" s="285"/>
      <c r="B38" s="313" t="s">
        <v>131</v>
      </c>
      <c r="C38" s="314"/>
      <c r="D38" s="315">
        <v>0.73758670000000004</v>
      </c>
      <c r="E38" s="315"/>
      <c r="F38" s="315">
        <v>0.73758820000000003</v>
      </c>
      <c r="G38" s="315"/>
      <c r="H38" s="315">
        <v>0.73759339999999995</v>
      </c>
      <c r="I38" s="315"/>
      <c r="J38" s="315">
        <v>0.73758670000000004</v>
      </c>
      <c r="K38" s="315"/>
      <c r="L38" s="315">
        <v>1</v>
      </c>
      <c r="M38" s="315"/>
      <c r="N38" s="315">
        <v>1</v>
      </c>
      <c r="O38" s="315"/>
      <c r="P38" s="315">
        <v>1</v>
      </c>
      <c r="Q38" s="315"/>
      <c r="R38" s="315"/>
      <c r="S38" s="319"/>
      <c r="T38" s="320"/>
      <c r="U38" s="317"/>
      <c r="V38" s="319"/>
      <c r="W38" s="318"/>
      <c r="X38" s="5"/>
    </row>
    <row r="39" spans="1:27" ht="15.75" x14ac:dyDescent="0.25">
      <c r="A39" s="285"/>
      <c r="B39" s="286" t="s">
        <v>11</v>
      </c>
      <c r="C39" s="286"/>
      <c r="D39" s="296" t="s">
        <v>304</v>
      </c>
      <c r="E39" s="286"/>
      <c r="F39" s="296" t="s">
        <v>256</v>
      </c>
      <c r="G39" s="296"/>
      <c r="H39" s="296" t="s">
        <v>257</v>
      </c>
      <c r="I39" s="296"/>
      <c r="J39" s="296" t="s">
        <v>258</v>
      </c>
      <c r="K39" s="296"/>
      <c r="L39" s="296" t="s">
        <v>259</v>
      </c>
      <c r="M39" s="296"/>
      <c r="N39" s="296" t="s">
        <v>259</v>
      </c>
      <c r="O39" s="296"/>
      <c r="P39" s="296" t="s">
        <v>260</v>
      </c>
      <c r="Q39" s="296"/>
      <c r="R39" s="296"/>
      <c r="S39" s="321"/>
      <c r="T39" s="322"/>
      <c r="U39" s="288"/>
      <c r="V39" s="288"/>
      <c r="W39" s="289"/>
      <c r="X39" s="5"/>
    </row>
    <row r="40" spans="1:27" ht="15.75" x14ac:dyDescent="0.25">
      <c r="A40" s="285"/>
      <c r="B40" s="286" t="s">
        <v>12</v>
      </c>
      <c r="C40" s="286"/>
      <c r="D40" s="322">
        <v>3.3500000000000001E-3</v>
      </c>
      <c r="E40" s="286"/>
      <c r="F40" s="322">
        <v>8.1813000000000007E-3</v>
      </c>
      <c r="G40" s="321"/>
      <c r="H40" s="322">
        <v>4.8199999999999996E-3</v>
      </c>
      <c r="I40" s="322"/>
      <c r="J40" s="322">
        <v>4.5059999999999996E-3</v>
      </c>
      <c r="K40" s="321"/>
      <c r="L40" s="322">
        <v>1.0981299999999999E-2</v>
      </c>
      <c r="M40" s="321"/>
      <c r="N40" s="322">
        <v>7.8200000000000006E-3</v>
      </c>
      <c r="O40" s="321"/>
      <c r="P40" s="322">
        <v>1.342E-2</v>
      </c>
      <c r="Q40" s="321"/>
      <c r="R40" s="322"/>
      <c r="S40" s="321"/>
      <c r="T40" s="322"/>
      <c r="U40" s="288"/>
      <c r="V40" s="296"/>
      <c r="W40" s="289"/>
      <c r="X40" s="5"/>
      <c r="AA40" s="1" t="s">
        <v>193</v>
      </c>
    </row>
    <row r="41" spans="1:27" ht="15.75" x14ac:dyDescent="0.25">
      <c r="A41" s="285"/>
      <c r="B41" s="286" t="s">
        <v>13</v>
      </c>
      <c r="C41" s="286"/>
      <c r="D41" s="322">
        <v>3.3110000000000001E-3</v>
      </c>
      <c r="E41" s="286"/>
      <c r="F41" s="322">
        <v>7.8063000000000004E-3</v>
      </c>
      <c r="G41" s="321"/>
      <c r="H41" s="322">
        <v>5.4400000000000004E-3</v>
      </c>
      <c r="I41" s="322"/>
      <c r="J41" s="322">
        <v>4.5335000000000002E-3</v>
      </c>
      <c r="K41" s="321"/>
      <c r="L41" s="322">
        <v>1.0606300000000001E-2</v>
      </c>
      <c r="M41" s="321"/>
      <c r="N41" s="322">
        <v>8.4399999999999996E-3</v>
      </c>
      <c r="O41" s="321"/>
      <c r="P41" s="322">
        <v>1.404E-2</v>
      </c>
      <c r="Q41" s="321"/>
      <c r="R41" s="322"/>
      <c r="S41" s="321"/>
      <c r="T41" s="322"/>
      <c r="U41" s="288"/>
      <c r="V41" s="321" t="s">
        <v>193</v>
      </c>
      <c r="W41" s="289"/>
      <c r="X41" s="5"/>
    </row>
    <row r="42" spans="1:27" ht="15.75" x14ac:dyDescent="0.25">
      <c r="A42" s="285"/>
      <c r="B42" s="286" t="s">
        <v>289</v>
      </c>
      <c r="C42" s="286"/>
      <c r="D42" s="296" t="s">
        <v>311</v>
      </c>
      <c r="E42" s="286"/>
      <c r="F42" s="296" t="s">
        <v>256</v>
      </c>
      <c r="G42" s="296"/>
      <c r="H42" s="296" t="s">
        <v>261</v>
      </c>
      <c r="I42" s="296"/>
      <c r="J42" s="296" t="s">
        <v>261</v>
      </c>
      <c r="K42" s="296"/>
      <c r="L42" s="296" t="s">
        <v>259</v>
      </c>
      <c r="M42" s="296"/>
      <c r="N42" s="296" t="s">
        <v>263</v>
      </c>
      <c r="O42" s="296"/>
      <c r="P42" s="296" t="s">
        <v>264</v>
      </c>
      <c r="Q42" s="296"/>
      <c r="R42" s="296"/>
      <c r="S42" s="321"/>
      <c r="T42" s="322"/>
      <c r="U42" s="288"/>
      <c r="V42" s="288"/>
      <c r="W42" s="289"/>
      <c r="X42" s="5"/>
    </row>
    <row r="43" spans="1:27" ht="15.75" x14ac:dyDescent="0.25">
      <c r="A43" s="285"/>
      <c r="B43" s="286" t="s">
        <v>290</v>
      </c>
      <c r="C43" s="323"/>
      <c r="D43" s="322">
        <v>7.5782000000000002E-3</v>
      </c>
      <c r="E43" s="322"/>
      <c r="F43" s="322">
        <f>+F40</f>
        <v>8.1813000000000007E-3</v>
      </c>
      <c r="G43" s="322"/>
      <c r="H43" s="322">
        <v>8.3312999999999998E-3</v>
      </c>
      <c r="I43" s="322"/>
      <c r="J43" s="322">
        <v>8.3613000000000003E-3</v>
      </c>
      <c r="K43" s="322"/>
      <c r="L43" s="322">
        <f>+L40</f>
        <v>1.0981299999999999E-2</v>
      </c>
      <c r="M43" s="322"/>
      <c r="N43" s="322">
        <v>1.17153E-2</v>
      </c>
      <c r="O43" s="322"/>
      <c r="P43" s="322">
        <v>1.78753E-2</v>
      </c>
      <c r="Q43" s="321"/>
      <c r="R43" s="322"/>
      <c r="S43" s="296"/>
      <c r="T43" s="296"/>
      <c r="U43" s="288"/>
      <c r="V43" s="321">
        <f>SUMPRODUCT(D43:R43,D35:R35)/V35</f>
        <v>9.1825085823051128E-3</v>
      </c>
      <c r="W43" s="289"/>
      <c r="X43" s="5"/>
    </row>
    <row r="44" spans="1:27" ht="15.75" x14ac:dyDescent="0.25">
      <c r="A44" s="285"/>
      <c r="B44" s="286" t="s">
        <v>291</v>
      </c>
      <c r="C44" s="323"/>
      <c r="D44" s="322">
        <v>7.2031999999999999E-3</v>
      </c>
      <c r="E44" s="322"/>
      <c r="F44" s="322">
        <f>+F41</f>
        <v>7.8063000000000004E-3</v>
      </c>
      <c r="G44" s="322"/>
      <c r="H44" s="322">
        <v>7.9562999999999995E-3</v>
      </c>
      <c r="I44" s="322"/>
      <c r="J44" s="322">
        <v>7.9863E-3</v>
      </c>
      <c r="K44" s="322"/>
      <c r="L44" s="322">
        <f>+L41</f>
        <v>1.0606300000000001E-2</v>
      </c>
      <c r="M44" s="322"/>
      <c r="N44" s="322">
        <v>1.1340299999999999E-2</v>
      </c>
      <c r="O44" s="322"/>
      <c r="P44" s="322">
        <v>1.75003E-2</v>
      </c>
      <c r="Q44" s="321"/>
      <c r="R44" s="322"/>
      <c r="S44" s="296"/>
      <c r="T44" s="296"/>
      <c r="U44" s="288"/>
      <c r="V44" s="288"/>
      <c r="W44" s="289"/>
      <c r="X44" s="5"/>
    </row>
    <row r="45" spans="1:27" ht="15.75" x14ac:dyDescent="0.25">
      <c r="A45" s="285"/>
      <c r="B45" s="286" t="s">
        <v>14</v>
      </c>
      <c r="C45" s="286"/>
      <c r="D45" s="323">
        <v>40709</v>
      </c>
      <c r="E45" s="323"/>
      <c r="F45" s="323">
        <v>40709</v>
      </c>
      <c r="G45" s="323"/>
      <c r="H45" s="323">
        <v>40709</v>
      </c>
      <c r="I45" s="323"/>
      <c r="J45" s="323">
        <v>40709</v>
      </c>
      <c r="K45" s="323"/>
      <c r="L45" s="323">
        <v>40709</v>
      </c>
      <c r="M45" s="323"/>
      <c r="N45" s="323">
        <v>40709</v>
      </c>
      <c r="O45" s="323"/>
      <c r="P45" s="323">
        <v>40709</v>
      </c>
      <c r="Q45" s="323"/>
      <c r="R45" s="323"/>
      <c r="S45" s="296"/>
      <c r="T45" s="296"/>
      <c r="U45" s="288"/>
      <c r="V45" s="288"/>
      <c r="W45" s="289"/>
      <c r="X45" s="5"/>
    </row>
    <row r="46" spans="1:27" ht="15.75" x14ac:dyDescent="0.25">
      <c r="A46" s="285"/>
      <c r="B46" s="286" t="s">
        <v>15</v>
      </c>
      <c r="C46" s="286"/>
      <c r="D46" s="323">
        <v>41075</v>
      </c>
      <c r="E46" s="323"/>
      <c r="F46" s="323">
        <v>41075</v>
      </c>
      <c r="G46" s="323"/>
      <c r="H46" s="323">
        <v>41075</v>
      </c>
      <c r="I46" s="323"/>
      <c r="J46" s="323">
        <v>41075</v>
      </c>
      <c r="K46" s="296"/>
      <c r="L46" s="323">
        <v>41075</v>
      </c>
      <c r="M46" s="296"/>
      <c r="N46" s="323">
        <v>41075</v>
      </c>
      <c r="O46" s="296"/>
      <c r="P46" s="323">
        <v>41075</v>
      </c>
      <c r="Q46" s="296"/>
      <c r="R46" s="323"/>
      <c r="S46" s="296"/>
      <c r="T46" s="296"/>
      <c r="U46" s="288"/>
      <c r="V46" s="288"/>
      <c r="W46" s="289"/>
      <c r="X46" s="5"/>
    </row>
    <row r="47" spans="1:27" ht="15.75" x14ac:dyDescent="0.25">
      <c r="A47" s="285"/>
      <c r="B47" s="286" t="s">
        <v>119</v>
      </c>
      <c r="C47" s="286"/>
      <c r="D47" s="296" t="s">
        <v>304</v>
      </c>
      <c r="E47" s="286"/>
      <c r="F47" s="296" t="s">
        <v>256</v>
      </c>
      <c r="G47" s="296"/>
      <c r="H47" s="296" t="s">
        <v>257</v>
      </c>
      <c r="I47" s="296"/>
      <c r="J47" s="296" t="s">
        <v>258</v>
      </c>
      <c r="K47" s="296"/>
      <c r="L47" s="296" t="s">
        <v>259</v>
      </c>
      <c r="M47" s="296"/>
      <c r="N47" s="296" t="s">
        <v>259</v>
      </c>
      <c r="O47" s="296"/>
      <c r="P47" s="296" t="s">
        <v>260</v>
      </c>
      <c r="Q47" s="296"/>
      <c r="R47" s="296"/>
      <c r="S47" s="325"/>
      <c r="T47" s="325"/>
      <c r="U47" s="325"/>
      <c r="V47" s="325"/>
      <c r="W47" s="289"/>
      <c r="X47" s="5"/>
    </row>
    <row r="48" spans="1:27" ht="15.75" x14ac:dyDescent="0.25">
      <c r="A48" s="285"/>
      <c r="B48" s="286" t="s">
        <v>292</v>
      </c>
      <c r="C48" s="286"/>
      <c r="D48" s="296" t="s">
        <v>311</v>
      </c>
      <c r="E48" s="286"/>
      <c r="F48" s="296" t="s">
        <v>256</v>
      </c>
      <c r="G48" s="296"/>
      <c r="H48" s="296" t="s">
        <v>261</v>
      </c>
      <c r="I48" s="296"/>
      <c r="J48" s="296" t="s">
        <v>261</v>
      </c>
      <c r="K48" s="296"/>
      <c r="L48" s="296" t="s">
        <v>259</v>
      </c>
      <c r="M48" s="296"/>
      <c r="N48" s="296" t="s">
        <v>263</v>
      </c>
      <c r="O48" s="296"/>
      <c r="P48" s="296" t="s">
        <v>264</v>
      </c>
      <c r="Q48" s="296"/>
      <c r="R48" s="296"/>
      <c r="S48" s="286"/>
      <c r="T48" s="286"/>
      <c r="U48" s="286"/>
      <c r="V48" s="321"/>
      <c r="W48" s="289"/>
      <c r="X48" s="5"/>
    </row>
    <row r="49" spans="1:25" ht="15.75" x14ac:dyDescent="0.25">
      <c r="A49" s="285"/>
      <c r="B49" s="286"/>
      <c r="C49" s="286"/>
      <c r="D49" s="296"/>
      <c r="E49" s="286"/>
      <c r="F49" s="296"/>
      <c r="G49" s="296"/>
      <c r="H49" s="296"/>
      <c r="I49" s="296"/>
      <c r="J49" s="296"/>
      <c r="K49" s="296"/>
      <c r="L49" s="296"/>
      <c r="M49" s="296"/>
      <c r="N49" s="296"/>
      <c r="O49" s="296"/>
      <c r="P49" s="296"/>
      <c r="Q49" s="296"/>
      <c r="R49" s="296"/>
      <c r="S49" s="286"/>
      <c r="T49" s="286"/>
      <c r="U49" s="286"/>
      <c r="V49" s="321" t="s">
        <v>193</v>
      </c>
      <c r="W49" s="289"/>
      <c r="X49" s="5"/>
    </row>
    <row r="50" spans="1:25" ht="15.75" x14ac:dyDescent="0.25">
      <c r="A50" s="285"/>
      <c r="B50" s="286" t="s">
        <v>169</v>
      </c>
      <c r="C50" s="286"/>
      <c r="D50" s="296"/>
      <c r="E50" s="286"/>
      <c r="F50" s="296"/>
      <c r="G50" s="296"/>
      <c r="H50" s="296"/>
      <c r="I50" s="296"/>
      <c r="J50" s="296"/>
      <c r="K50" s="296"/>
      <c r="L50" s="296"/>
      <c r="M50" s="296"/>
      <c r="N50" s="296"/>
      <c r="O50" s="296"/>
      <c r="P50" s="296"/>
      <c r="Q50" s="296"/>
      <c r="R50" s="296"/>
      <c r="S50" s="286"/>
      <c r="T50" s="286"/>
      <c r="U50" s="286"/>
      <c r="V50" s="321">
        <f>SUM(L34:R34)/SUM(D34:J34)</f>
        <v>0.17632136449250416</v>
      </c>
      <c r="W50" s="289"/>
      <c r="X50" s="5"/>
    </row>
    <row r="51" spans="1:25" ht="15.75" x14ac:dyDescent="0.25">
      <c r="A51" s="285"/>
      <c r="B51" s="286" t="s">
        <v>170</v>
      </c>
      <c r="C51" s="286"/>
      <c r="D51" s="286"/>
      <c r="E51" s="286"/>
      <c r="F51" s="326"/>
      <c r="G51" s="286"/>
      <c r="H51" s="286"/>
      <c r="I51" s="286"/>
      <c r="J51" s="286"/>
      <c r="K51" s="286"/>
      <c r="L51" s="286"/>
      <c r="M51" s="286"/>
      <c r="N51" s="286"/>
      <c r="O51" s="286"/>
      <c r="P51" s="286"/>
      <c r="Q51" s="286"/>
      <c r="R51" s="286"/>
      <c r="S51" s="286"/>
      <c r="T51" s="286"/>
      <c r="U51" s="286"/>
      <c r="V51" s="321">
        <f>SUM(L36:R36)/SUM(D36:J36)</f>
        <v>0.24251685567511694</v>
      </c>
      <c r="W51" s="289"/>
      <c r="X51" s="5"/>
    </row>
    <row r="52" spans="1:25" ht="15.75" x14ac:dyDescent="0.25">
      <c r="A52" s="285"/>
      <c r="B52" s="286" t="s">
        <v>171</v>
      </c>
      <c r="C52" s="286"/>
      <c r="D52" s="286"/>
      <c r="E52" s="286"/>
      <c r="F52" s="286"/>
      <c r="G52" s="286"/>
      <c r="H52" s="286"/>
      <c r="I52" s="286"/>
      <c r="J52" s="286"/>
      <c r="K52" s="286"/>
      <c r="L52" s="286"/>
      <c r="M52" s="286"/>
      <c r="N52" s="286"/>
      <c r="O52" s="286"/>
      <c r="P52" s="286"/>
      <c r="Q52" s="286"/>
      <c r="R52" s="286"/>
      <c r="S52" s="286"/>
      <c r="T52" s="296"/>
      <c r="U52" s="296"/>
      <c r="V52" s="299" t="s">
        <v>268</v>
      </c>
      <c r="W52" s="289"/>
      <c r="X52" s="5"/>
    </row>
    <row r="53" spans="1:25" ht="15.75" x14ac:dyDescent="0.25">
      <c r="A53" s="285"/>
      <c r="B53" s="286"/>
      <c r="C53" s="286"/>
      <c r="D53" s="286"/>
      <c r="E53" s="286"/>
      <c r="F53" s="286"/>
      <c r="G53" s="286"/>
      <c r="H53" s="286"/>
      <c r="I53" s="286"/>
      <c r="J53" s="286"/>
      <c r="K53" s="286"/>
      <c r="L53" s="286"/>
      <c r="M53" s="286"/>
      <c r="N53" s="286"/>
      <c r="O53" s="286"/>
      <c r="P53" s="286"/>
      <c r="Q53" s="286"/>
      <c r="R53" s="286"/>
      <c r="S53" s="286"/>
      <c r="T53" s="286"/>
      <c r="U53" s="286"/>
      <c r="V53" s="327"/>
      <c r="W53" s="289"/>
      <c r="X53" s="5"/>
    </row>
    <row r="54" spans="1:25" ht="15.75" x14ac:dyDescent="0.25">
      <c r="A54" s="285"/>
      <c r="B54" s="286" t="s">
        <v>202</v>
      </c>
      <c r="C54" s="286"/>
      <c r="D54" s="286"/>
      <c r="E54" s="286"/>
      <c r="F54" s="286"/>
      <c r="G54" s="286"/>
      <c r="H54" s="286"/>
      <c r="I54" s="286"/>
      <c r="J54" s="286"/>
      <c r="K54" s="286"/>
      <c r="L54" s="286"/>
      <c r="M54" s="286"/>
      <c r="N54" s="286"/>
      <c r="O54" s="286"/>
      <c r="P54" s="286"/>
      <c r="Q54" s="286"/>
      <c r="R54" s="286"/>
      <c r="S54" s="286"/>
      <c r="T54" s="286"/>
      <c r="U54" s="286"/>
      <c r="V54" s="311" t="s">
        <v>203</v>
      </c>
      <c r="W54" s="289"/>
      <c r="X54" s="5"/>
    </row>
    <row r="55" spans="1:25" ht="15.75" x14ac:dyDescent="0.25">
      <c r="A55" s="285"/>
      <c r="B55" s="286" t="s">
        <v>270</v>
      </c>
      <c r="C55" s="286"/>
      <c r="D55" s="286"/>
      <c r="E55" s="286"/>
      <c r="F55" s="286"/>
      <c r="G55" s="286"/>
      <c r="H55" s="286"/>
      <c r="I55" s="286"/>
      <c r="J55" s="286"/>
      <c r="K55" s="286"/>
      <c r="L55" s="286"/>
      <c r="M55" s="286"/>
      <c r="N55" s="286"/>
      <c r="O55" s="286"/>
      <c r="P55" s="286"/>
      <c r="Q55" s="286"/>
      <c r="R55" s="286"/>
      <c r="S55" s="286"/>
      <c r="T55" s="296"/>
      <c r="U55" s="296"/>
      <c r="V55" s="396" t="s">
        <v>111</v>
      </c>
      <c r="W55" s="289"/>
      <c r="X55" s="5"/>
    </row>
    <row r="56" spans="1:25" ht="15.75" x14ac:dyDescent="0.25">
      <c r="A56" s="285"/>
      <c r="B56" s="297" t="s">
        <v>201</v>
      </c>
      <c r="C56" s="297"/>
      <c r="D56" s="297"/>
      <c r="E56" s="297"/>
      <c r="F56" s="297"/>
      <c r="G56" s="297"/>
      <c r="H56" s="297"/>
      <c r="I56" s="297"/>
      <c r="J56" s="297"/>
      <c r="K56" s="297"/>
      <c r="L56" s="297"/>
      <c r="M56" s="297"/>
      <c r="N56" s="297"/>
      <c r="O56" s="297"/>
      <c r="P56" s="297"/>
      <c r="Q56" s="297"/>
      <c r="R56" s="297"/>
      <c r="S56" s="297"/>
      <c r="T56" s="397"/>
      <c r="U56" s="397"/>
      <c r="V56" s="398">
        <v>41897</v>
      </c>
      <c r="W56" s="289"/>
      <c r="X56" s="5"/>
    </row>
    <row r="57" spans="1:25" ht="15.75" x14ac:dyDescent="0.25">
      <c r="A57" s="285"/>
      <c r="B57" s="286" t="s">
        <v>121</v>
      </c>
      <c r="C57" s="286"/>
      <c r="D57" s="286"/>
      <c r="E57" s="286"/>
      <c r="F57" s="286"/>
      <c r="G57" s="286"/>
      <c r="H57" s="332"/>
      <c r="I57" s="332"/>
      <c r="J57" s="332"/>
      <c r="K57" s="332"/>
      <c r="L57" s="332"/>
      <c r="M57" s="332"/>
      <c r="N57" s="332"/>
      <c r="O57" s="332"/>
      <c r="P57" s="332"/>
      <c r="Q57" s="332"/>
      <c r="R57" s="286">
        <f>+V57-T57+1</f>
        <v>91</v>
      </c>
      <c r="S57" s="332"/>
      <c r="T57" s="333">
        <v>41715</v>
      </c>
      <c r="U57" s="334"/>
      <c r="V57" s="333">
        <v>41805</v>
      </c>
      <c r="W57" s="289"/>
      <c r="X57" s="5"/>
    </row>
    <row r="58" spans="1:25" ht="15.75" x14ac:dyDescent="0.25">
      <c r="A58" s="285"/>
      <c r="B58" s="286" t="s">
        <v>122</v>
      </c>
      <c r="C58" s="286"/>
      <c r="D58" s="286"/>
      <c r="E58" s="286"/>
      <c r="F58" s="286"/>
      <c r="G58" s="286"/>
      <c r="H58" s="286"/>
      <c r="I58" s="286"/>
      <c r="J58" s="286"/>
      <c r="K58" s="286"/>
      <c r="L58" s="286"/>
      <c r="M58" s="286"/>
      <c r="N58" s="286"/>
      <c r="O58" s="286"/>
      <c r="P58" s="286"/>
      <c r="Q58" s="286"/>
      <c r="R58" s="286">
        <f>+V58-T58+1</f>
        <v>91</v>
      </c>
      <c r="S58" s="286"/>
      <c r="T58" s="333">
        <v>41806</v>
      </c>
      <c r="U58" s="334"/>
      <c r="V58" s="333">
        <v>41896</v>
      </c>
      <c r="W58" s="289"/>
      <c r="X58" s="5"/>
    </row>
    <row r="59" spans="1:25" ht="15.75" x14ac:dyDescent="0.25">
      <c r="A59" s="285"/>
      <c r="B59" s="286" t="s">
        <v>223</v>
      </c>
      <c r="C59" s="286"/>
      <c r="D59" s="286"/>
      <c r="E59" s="286"/>
      <c r="F59" s="286"/>
      <c r="G59" s="286"/>
      <c r="H59" s="286"/>
      <c r="I59" s="286"/>
      <c r="J59" s="286"/>
      <c r="K59" s="286"/>
      <c r="L59" s="286"/>
      <c r="M59" s="286"/>
      <c r="N59" s="286"/>
      <c r="O59" s="286"/>
      <c r="P59" s="286"/>
      <c r="Q59" s="286"/>
      <c r="R59" s="286"/>
      <c r="S59" s="286"/>
      <c r="T59" s="333"/>
      <c r="U59" s="334"/>
      <c r="V59" s="333" t="s">
        <v>120</v>
      </c>
      <c r="W59" s="289"/>
      <c r="X59" s="5"/>
    </row>
    <row r="60" spans="1:25" ht="15.75" x14ac:dyDescent="0.25">
      <c r="A60" s="285"/>
      <c r="B60" s="286" t="s">
        <v>271</v>
      </c>
      <c r="C60" s="286"/>
      <c r="D60" s="286"/>
      <c r="E60" s="286"/>
      <c r="F60" s="286"/>
      <c r="G60" s="286"/>
      <c r="H60" s="286"/>
      <c r="I60" s="286"/>
      <c r="J60" s="286"/>
      <c r="K60" s="286"/>
      <c r="L60" s="286"/>
      <c r="M60" s="286"/>
      <c r="N60" s="286"/>
      <c r="O60" s="286"/>
      <c r="P60" s="286"/>
      <c r="Q60" s="286"/>
      <c r="R60" s="286"/>
      <c r="S60" s="286"/>
      <c r="T60" s="333"/>
      <c r="U60" s="334"/>
      <c r="V60" s="333" t="s">
        <v>154</v>
      </c>
      <c r="W60" s="289"/>
      <c r="X60" s="5"/>
      <c r="Y60" s="133"/>
    </row>
    <row r="61" spans="1:25" ht="15.75" x14ac:dyDescent="0.25">
      <c r="A61" s="285"/>
      <c r="B61" s="286" t="s">
        <v>16</v>
      </c>
      <c r="C61" s="286"/>
      <c r="D61" s="286"/>
      <c r="E61" s="286"/>
      <c r="F61" s="286"/>
      <c r="G61" s="286"/>
      <c r="H61" s="286"/>
      <c r="I61" s="286"/>
      <c r="J61" s="286"/>
      <c r="K61" s="286"/>
      <c r="L61" s="286"/>
      <c r="M61" s="286"/>
      <c r="N61" s="286"/>
      <c r="O61" s="286"/>
      <c r="P61" s="286"/>
      <c r="Q61" s="286"/>
      <c r="R61" s="286"/>
      <c r="S61" s="286"/>
      <c r="T61" s="333"/>
      <c r="U61" s="334"/>
      <c r="V61" s="333">
        <v>41883</v>
      </c>
      <c r="W61" s="289"/>
      <c r="X61" s="5"/>
    </row>
    <row r="62" spans="1:25" ht="15.75" x14ac:dyDescent="0.25">
      <c r="A62" s="181"/>
      <c r="B62" s="212"/>
      <c r="C62" s="212"/>
      <c r="D62" s="212"/>
      <c r="E62" s="212"/>
      <c r="F62" s="212"/>
      <c r="G62" s="212"/>
      <c r="H62" s="212"/>
      <c r="I62" s="212"/>
      <c r="J62" s="212"/>
      <c r="K62" s="212"/>
      <c r="L62" s="212"/>
      <c r="M62" s="212"/>
      <c r="N62" s="212"/>
      <c r="O62" s="212"/>
      <c r="P62" s="212"/>
      <c r="Q62" s="212"/>
      <c r="R62" s="212"/>
      <c r="S62" s="212"/>
      <c r="T62" s="283"/>
      <c r="U62" s="284"/>
      <c r="V62" s="283"/>
      <c r="W62" s="212"/>
      <c r="X62" s="5"/>
    </row>
    <row r="63" spans="1:25" ht="15.75" x14ac:dyDescent="0.25">
      <c r="A63" s="181"/>
      <c r="B63" s="183"/>
      <c r="C63" s="183"/>
      <c r="D63" s="183"/>
      <c r="E63" s="183"/>
      <c r="F63" s="183"/>
      <c r="G63" s="183"/>
      <c r="H63" s="183"/>
      <c r="I63" s="183"/>
      <c r="J63" s="183"/>
      <c r="K63" s="183"/>
      <c r="L63" s="183"/>
      <c r="M63" s="183"/>
      <c r="N63" s="183"/>
      <c r="O63" s="183"/>
      <c r="P63" s="183"/>
      <c r="Q63" s="183"/>
      <c r="R63" s="183"/>
      <c r="S63" s="183"/>
      <c r="T63" s="195"/>
      <c r="U63" s="196"/>
      <c r="V63" s="195"/>
      <c r="W63" s="183"/>
      <c r="X63" s="5"/>
    </row>
    <row r="64" spans="1:25" ht="19.5" thickBot="1" x14ac:dyDescent="0.35">
      <c r="A64" s="197"/>
      <c r="B64" s="270" t="s">
        <v>325</v>
      </c>
      <c r="C64" s="198"/>
      <c r="D64" s="198"/>
      <c r="E64" s="198"/>
      <c r="F64" s="198"/>
      <c r="G64" s="198"/>
      <c r="H64" s="198"/>
      <c r="I64" s="198"/>
      <c r="J64" s="198"/>
      <c r="K64" s="198"/>
      <c r="L64" s="198"/>
      <c r="M64" s="198"/>
      <c r="N64" s="198"/>
      <c r="O64" s="198"/>
      <c r="P64" s="198"/>
      <c r="Q64" s="198"/>
      <c r="R64" s="198"/>
      <c r="S64" s="198"/>
      <c r="T64" s="198"/>
      <c r="U64" s="198"/>
      <c r="V64" s="199"/>
      <c r="W64" s="200"/>
      <c r="X64" s="5"/>
    </row>
    <row r="65" spans="1:24" ht="15.75" x14ac:dyDescent="0.25">
      <c r="A65" s="224"/>
      <c r="B65" s="230" t="s">
        <v>17</v>
      </c>
      <c r="C65" s="225"/>
      <c r="D65" s="225"/>
      <c r="E65" s="225"/>
      <c r="F65" s="225"/>
      <c r="G65" s="225"/>
      <c r="H65" s="225"/>
      <c r="I65" s="225"/>
      <c r="J65" s="225"/>
      <c r="K65" s="225"/>
      <c r="L65" s="225"/>
      <c r="M65" s="225"/>
      <c r="N65" s="225"/>
      <c r="O65" s="225"/>
      <c r="P65" s="225"/>
      <c r="Q65" s="225"/>
      <c r="R65" s="225"/>
      <c r="S65" s="225"/>
      <c r="T65" s="225"/>
      <c r="U65" s="225"/>
      <c r="V65" s="231"/>
      <c r="W65" s="225"/>
      <c r="X65" s="5"/>
    </row>
    <row r="66" spans="1:24" ht="15.75" x14ac:dyDescent="0.25">
      <c r="A66" s="181"/>
      <c r="B66" s="189"/>
      <c r="C66" s="183"/>
      <c r="D66" s="183"/>
      <c r="E66" s="183"/>
      <c r="F66" s="183"/>
      <c r="G66" s="183"/>
      <c r="H66" s="183"/>
      <c r="I66" s="183"/>
      <c r="J66" s="183"/>
      <c r="K66" s="183"/>
      <c r="L66" s="183"/>
      <c r="M66" s="183"/>
      <c r="N66" s="183"/>
      <c r="O66" s="183"/>
      <c r="P66" s="183"/>
      <c r="Q66" s="183"/>
      <c r="R66" s="183"/>
      <c r="S66" s="183"/>
      <c r="T66" s="183"/>
      <c r="U66" s="183"/>
      <c r="V66" s="202"/>
      <c r="W66" s="183"/>
      <c r="X66" s="5"/>
    </row>
    <row r="67" spans="1:24" ht="47.25" x14ac:dyDescent="0.25">
      <c r="A67" s="181"/>
      <c r="B67" s="203" t="s">
        <v>18</v>
      </c>
      <c r="C67" s="204"/>
      <c r="D67" s="204"/>
      <c r="E67" s="204"/>
      <c r="F67" s="204"/>
      <c r="G67" s="204"/>
      <c r="H67" s="204"/>
      <c r="I67" s="204"/>
      <c r="J67" s="204"/>
      <c r="K67" s="204"/>
      <c r="L67" s="204" t="s">
        <v>94</v>
      </c>
      <c r="M67" s="204"/>
      <c r="N67" s="204" t="s">
        <v>96</v>
      </c>
      <c r="O67" s="204"/>
      <c r="P67" s="204" t="s">
        <v>98</v>
      </c>
      <c r="Q67" s="204"/>
      <c r="R67" s="204" t="s">
        <v>100</v>
      </c>
      <c r="S67" s="204"/>
      <c r="T67" s="204" t="s">
        <v>106</v>
      </c>
      <c r="U67" s="204"/>
      <c r="V67" s="205" t="s">
        <v>112</v>
      </c>
      <c r="W67" s="206"/>
      <c r="X67" s="5"/>
    </row>
    <row r="68" spans="1:24" ht="15.75" x14ac:dyDescent="0.25">
      <c r="A68" s="285"/>
      <c r="B68" s="286" t="s">
        <v>19</v>
      </c>
      <c r="C68" s="337"/>
      <c r="D68" s="337"/>
      <c r="E68" s="337"/>
      <c r="F68" s="337"/>
      <c r="G68" s="337"/>
      <c r="H68" s="337"/>
      <c r="I68" s="337"/>
      <c r="J68" s="337"/>
      <c r="K68" s="337"/>
      <c r="L68" s="337">
        <v>812446</v>
      </c>
      <c r="M68" s="337"/>
      <c r="N68" s="338">
        <v>777801</v>
      </c>
      <c r="O68" s="337"/>
      <c r="P68" s="337">
        <f>8970</f>
        <v>8970</v>
      </c>
      <c r="Q68" s="337"/>
      <c r="R68" s="337">
        <v>0</v>
      </c>
      <c r="S68" s="337"/>
      <c r="T68" s="337">
        <v>0</v>
      </c>
      <c r="U68" s="337"/>
      <c r="V68" s="338">
        <f>+N68-P68+R68-T68</f>
        <v>768831</v>
      </c>
      <c r="W68" s="289"/>
      <c r="X68" s="5"/>
    </row>
    <row r="69" spans="1:24" ht="15.75" x14ac:dyDescent="0.25">
      <c r="A69" s="285"/>
      <c r="B69" s="286" t="s">
        <v>20</v>
      </c>
      <c r="C69" s="337"/>
      <c r="D69" s="337"/>
      <c r="E69" s="337"/>
      <c r="F69" s="337"/>
      <c r="G69" s="337"/>
      <c r="H69" s="337"/>
      <c r="I69" s="337"/>
      <c r="J69" s="337"/>
      <c r="K69" s="337"/>
      <c r="L69" s="337">
        <v>0</v>
      </c>
      <c r="M69" s="337"/>
      <c r="N69" s="338">
        <v>0</v>
      </c>
      <c r="O69" s="337"/>
      <c r="P69" s="337">
        <v>0</v>
      </c>
      <c r="Q69" s="337"/>
      <c r="R69" s="337">
        <v>0</v>
      </c>
      <c r="S69" s="337"/>
      <c r="T69" s="337">
        <v>0</v>
      </c>
      <c r="U69" s="337"/>
      <c r="V69" s="338">
        <f>+L69-P69</f>
        <v>0</v>
      </c>
      <c r="W69" s="289"/>
      <c r="X69" s="5"/>
    </row>
    <row r="70" spans="1:24" ht="15.75" x14ac:dyDescent="0.25">
      <c r="A70" s="285"/>
      <c r="B70" s="286"/>
      <c r="C70" s="337"/>
      <c r="D70" s="337"/>
      <c r="E70" s="337"/>
      <c r="F70" s="337"/>
      <c r="G70" s="337"/>
      <c r="H70" s="337"/>
      <c r="I70" s="337"/>
      <c r="J70" s="337"/>
      <c r="K70" s="337"/>
      <c r="L70" s="337"/>
      <c r="M70" s="337"/>
      <c r="N70" s="338"/>
      <c r="O70" s="337"/>
      <c r="P70" s="337"/>
      <c r="Q70" s="337"/>
      <c r="R70" s="337"/>
      <c r="S70" s="337"/>
      <c r="T70" s="337"/>
      <c r="U70" s="337"/>
      <c r="V70" s="338"/>
      <c r="W70" s="289"/>
      <c r="X70" s="5"/>
    </row>
    <row r="71" spans="1:24" ht="15.75" x14ac:dyDescent="0.25">
      <c r="A71" s="285"/>
      <c r="B71" s="286" t="s">
        <v>21</v>
      </c>
      <c r="C71" s="337"/>
      <c r="D71" s="337"/>
      <c r="E71" s="337"/>
      <c r="F71" s="337"/>
      <c r="G71" s="337"/>
      <c r="H71" s="337"/>
      <c r="I71" s="337"/>
      <c r="J71" s="337"/>
      <c r="K71" s="337"/>
      <c r="L71" s="337">
        <f>SUM(L68:L70)</f>
        <v>812446</v>
      </c>
      <c r="M71" s="337"/>
      <c r="N71" s="337">
        <f>N68+N69</f>
        <v>777801</v>
      </c>
      <c r="O71" s="337"/>
      <c r="P71" s="337">
        <f>SUM(P68:P70)</f>
        <v>8970</v>
      </c>
      <c r="Q71" s="337"/>
      <c r="R71" s="337">
        <f>SUM(R68:R70)</f>
        <v>0</v>
      </c>
      <c r="S71" s="337"/>
      <c r="T71" s="337">
        <f>SUM(T68:T70)</f>
        <v>0</v>
      </c>
      <c r="U71" s="337"/>
      <c r="V71" s="337">
        <f>SUM(V68:V70)</f>
        <v>768831</v>
      </c>
      <c r="W71" s="289"/>
      <c r="X71" s="5"/>
    </row>
    <row r="72" spans="1:24" ht="15.75" x14ac:dyDescent="0.25">
      <c r="A72" s="181"/>
      <c r="B72" s="212"/>
      <c r="C72" s="335"/>
      <c r="D72" s="335"/>
      <c r="E72" s="335"/>
      <c r="F72" s="335"/>
      <c r="G72" s="335"/>
      <c r="H72" s="335"/>
      <c r="I72" s="335"/>
      <c r="J72" s="335"/>
      <c r="K72" s="335"/>
      <c r="L72" s="335"/>
      <c r="M72" s="335"/>
      <c r="N72" s="335"/>
      <c r="O72" s="335"/>
      <c r="P72" s="335"/>
      <c r="Q72" s="335"/>
      <c r="R72" s="335"/>
      <c r="S72" s="335"/>
      <c r="T72" s="335"/>
      <c r="U72" s="335"/>
      <c r="V72" s="336"/>
      <c r="W72" s="212"/>
      <c r="X72" s="5"/>
    </row>
    <row r="73" spans="1:24" ht="15.75" x14ac:dyDescent="0.25">
      <c r="A73" s="181"/>
      <c r="B73" s="185" t="s">
        <v>22</v>
      </c>
      <c r="C73" s="207"/>
      <c r="D73" s="207"/>
      <c r="E73" s="207"/>
      <c r="F73" s="207"/>
      <c r="G73" s="207"/>
      <c r="H73" s="207"/>
      <c r="I73" s="207"/>
      <c r="J73" s="207"/>
      <c r="K73" s="207"/>
      <c r="L73" s="207"/>
      <c r="M73" s="207"/>
      <c r="N73" s="207"/>
      <c r="O73" s="207"/>
      <c r="P73" s="207"/>
      <c r="Q73" s="207"/>
      <c r="R73" s="207"/>
      <c r="S73" s="207"/>
      <c r="T73" s="207"/>
      <c r="U73" s="207"/>
      <c r="V73" s="208"/>
      <c r="W73" s="183"/>
      <c r="X73" s="5"/>
    </row>
    <row r="74" spans="1:24" ht="15.75" x14ac:dyDescent="0.25">
      <c r="A74" s="181"/>
      <c r="B74" s="183"/>
      <c r="C74" s="207"/>
      <c r="D74" s="207"/>
      <c r="E74" s="207"/>
      <c r="F74" s="207"/>
      <c r="G74" s="207"/>
      <c r="H74" s="207"/>
      <c r="I74" s="207"/>
      <c r="J74" s="207"/>
      <c r="K74" s="207"/>
      <c r="L74" s="207"/>
      <c r="M74" s="207"/>
      <c r="N74" s="207"/>
      <c r="O74" s="207"/>
      <c r="P74" s="207"/>
      <c r="Q74" s="207"/>
      <c r="R74" s="207"/>
      <c r="S74" s="207"/>
      <c r="T74" s="207"/>
      <c r="U74" s="207"/>
      <c r="V74" s="208"/>
      <c r="W74" s="183"/>
      <c r="X74" s="5"/>
    </row>
    <row r="75" spans="1:24" ht="15.75" x14ac:dyDescent="0.25">
      <c r="A75" s="285"/>
      <c r="B75" s="286" t="s">
        <v>19</v>
      </c>
      <c r="C75" s="337"/>
      <c r="D75" s="337"/>
      <c r="E75" s="337"/>
      <c r="F75" s="337"/>
      <c r="G75" s="337"/>
      <c r="H75" s="337"/>
      <c r="I75" s="337"/>
      <c r="J75" s="337"/>
      <c r="K75" s="337"/>
      <c r="L75" s="337"/>
      <c r="M75" s="337"/>
      <c r="N75" s="337"/>
      <c r="O75" s="337"/>
      <c r="P75" s="337"/>
      <c r="Q75" s="337"/>
      <c r="R75" s="337"/>
      <c r="S75" s="337"/>
      <c r="T75" s="337"/>
      <c r="U75" s="337"/>
      <c r="V75" s="337"/>
      <c r="W75" s="289"/>
      <c r="X75" s="5"/>
    </row>
    <row r="76" spans="1:24" ht="15.75" x14ac:dyDescent="0.25">
      <c r="A76" s="285"/>
      <c r="B76" s="286" t="s">
        <v>20</v>
      </c>
      <c r="C76" s="337"/>
      <c r="D76" s="337"/>
      <c r="E76" s="337"/>
      <c r="F76" s="337"/>
      <c r="G76" s="337"/>
      <c r="H76" s="337"/>
      <c r="I76" s="337"/>
      <c r="J76" s="337"/>
      <c r="K76" s="337"/>
      <c r="L76" s="337"/>
      <c r="M76" s="337"/>
      <c r="N76" s="337"/>
      <c r="O76" s="337"/>
      <c r="P76" s="337"/>
      <c r="Q76" s="337"/>
      <c r="R76" s="337"/>
      <c r="S76" s="337"/>
      <c r="T76" s="337"/>
      <c r="U76" s="337"/>
      <c r="V76" s="337"/>
      <c r="W76" s="289"/>
      <c r="X76" s="5"/>
    </row>
    <row r="77" spans="1:24" ht="15.75" x14ac:dyDescent="0.25">
      <c r="A77" s="285"/>
      <c r="B77" s="286"/>
      <c r="C77" s="337"/>
      <c r="D77" s="337"/>
      <c r="E77" s="337"/>
      <c r="F77" s="337"/>
      <c r="G77" s="337"/>
      <c r="H77" s="337"/>
      <c r="I77" s="337"/>
      <c r="J77" s="337"/>
      <c r="K77" s="337"/>
      <c r="L77" s="337"/>
      <c r="M77" s="337"/>
      <c r="N77" s="337"/>
      <c r="O77" s="337"/>
      <c r="P77" s="337"/>
      <c r="Q77" s="337"/>
      <c r="R77" s="337"/>
      <c r="S77" s="337"/>
      <c r="T77" s="337"/>
      <c r="U77" s="337"/>
      <c r="V77" s="337"/>
      <c r="W77" s="289"/>
      <c r="X77" s="5"/>
    </row>
    <row r="78" spans="1:24" ht="15.75" x14ac:dyDescent="0.25">
      <c r="A78" s="285"/>
      <c r="B78" s="286" t="s">
        <v>21</v>
      </c>
      <c r="C78" s="337"/>
      <c r="D78" s="337"/>
      <c r="E78" s="337"/>
      <c r="F78" s="337"/>
      <c r="G78" s="337"/>
      <c r="H78" s="337"/>
      <c r="I78" s="337"/>
      <c r="J78" s="337"/>
      <c r="K78" s="337"/>
      <c r="L78" s="337"/>
      <c r="M78" s="337"/>
      <c r="N78" s="337"/>
      <c r="O78" s="337"/>
      <c r="P78" s="337"/>
      <c r="Q78" s="337"/>
      <c r="R78" s="337"/>
      <c r="S78" s="337"/>
      <c r="T78" s="337"/>
      <c r="U78" s="337"/>
      <c r="V78" s="337"/>
      <c r="W78" s="289"/>
      <c r="X78" s="5"/>
    </row>
    <row r="79" spans="1:24" ht="15.75" x14ac:dyDescent="0.25">
      <c r="A79" s="285"/>
      <c r="B79" s="286"/>
      <c r="C79" s="337"/>
      <c r="D79" s="337"/>
      <c r="E79" s="337"/>
      <c r="F79" s="337"/>
      <c r="G79" s="337"/>
      <c r="H79" s="337"/>
      <c r="I79" s="337"/>
      <c r="J79" s="337"/>
      <c r="K79" s="337"/>
      <c r="L79" s="337"/>
      <c r="M79" s="337"/>
      <c r="N79" s="337"/>
      <c r="O79" s="337"/>
      <c r="P79" s="337"/>
      <c r="Q79" s="337"/>
      <c r="R79" s="337"/>
      <c r="S79" s="337"/>
      <c r="T79" s="337"/>
      <c r="U79" s="337"/>
      <c r="V79" s="337"/>
      <c r="W79" s="289"/>
      <c r="X79" s="5"/>
    </row>
    <row r="80" spans="1:24" ht="15.75" x14ac:dyDescent="0.25">
      <c r="A80" s="285"/>
      <c r="B80" s="286" t="s">
        <v>23</v>
      </c>
      <c r="C80" s="337"/>
      <c r="D80" s="337"/>
      <c r="E80" s="337"/>
      <c r="F80" s="337"/>
      <c r="G80" s="337"/>
      <c r="H80" s="337"/>
      <c r="I80" s="337"/>
      <c r="J80" s="337"/>
      <c r="K80" s="337"/>
      <c r="L80" s="337">
        <v>0</v>
      </c>
      <c r="M80" s="337"/>
      <c r="N80" s="337">
        <v>0</v>
      </c>
      <c r="O80" s="337"/>
      <c r="P80" s="337"/>
      <c r="Q80" s="337"/>
      <c r="R80" s="337"/>
      <c r="S80" s="337"/>
      <c r="T80" s="337"/>
      <c r="U80" s="337"/>
      <c r="V80" s="338">
        <v>0</v>
      </c>
      <c r="W80" s="289"/>
      <c r="X80" s="5"/>
    </row>
    <row r="81" spans="1:24" ht="15.75" x14ac:dyDescent="0.25">
      <c r="A81" s="285"/>
      <c r="B81" s="286" t="s">
        <v>117</v>
      </c>
      <c r="C81" s="337"/>
      <c r="D81" s="337"/>
      <c r="E81" s="337"/>
      <c r="F81" s="337"/>
      <c r="G81" s="337"/>
      <c r="H81" s="337"/>
      <c r="I81" s="337"/>
      <c r="J81" s="337"/>
      <c r="K81" s="337"/>
      <c r="L81" s="337">
        <v>188687</v>
      </c>
      <c r="M81" s="337"/>
      <c r="N81" s="337">
        <v>0</v>
      </c>
      <c r="O81" s="337"/>
      <c r="P81" s="337">
        <v>0</v>
      </c>
      <c r="Q81" s="337"/>
      <c r="R81" s="337"/>
      <c r="S81" s="337"/>
      <c r="T81" s="337"/>
      <c r="U81" s="337"/>
      <c r="V81" s="337">
        <f>SUM(N81:R81)</f>
        <v>0</v>
      </c>
      <c r="W81" s="289"/>
      <c r="X81" s="5"/>
    </row>
    <row r="82" spans="1:24" ht="15.75" x14ac:dyDescent="0.25">
      <c r="A82" s="285"/>
      <c r="B82" s="286"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89"/>
      <c r="X82" s="5"/>
    </row>
    <row r="83" spans="1:24" ht="15.75" x14ac:dyDescent="0.25">
      <c r="A83" s="285"/>
      <c r="B83" s="286" t="s">
        <v>25</v>
      </c>
      <c r="C83" s="337"/>
      <c r="D83" s="337"/>
      <c r="E83" s="337"/>
      <c r="F83" s="337"/>
      <c r="G83" s="337"/>
      <c r="H83" s="337"/>
      <c r="I83" s="337"/>
      <c r="J83" s="337"/>
      <c r="K83" s="337"/>
      <c r="L83" s="337">
        <v>0</v>
      </c>
      <c r="M83" s="337"/>
      <c r="N83" s="337">
        <v>0</v>
      </c>
      <c r="O83" s="337"/>
      <c r="P83" s="337"/>
      <c r="Q83" s="337"/>
      <c r="R83" s="337"/>
      <c r="S83" s="337"/>
      <c r="T83" s="337"/>
      <c r="U83" s="337"/>
      <c r="V83" s="337">
        <v>0</v>
      </c>
      <c r="W83" s="289"/>
      <c r="X83" s="5"/>
    </row>
    <row r="84" spans="1:24" ht="15.75" x14ac:dyDescent="0.25">
      <c r="A84" s="285"/>
      <c r="B84" s="286" t="s">
        <v>26</v>
      </c>
      <c r="C84" s="337"/>
      <c r="D84" s="337"/>
      <c r="E84" s="337"/>
      <c r="F84" s="337"/>
      <c r="G84" s="337"/>
      <c r="H84" s="337"/>
      <c r="I84" s="337"/>
      <c r="J84" s="337"/>
      <c r="K84" s="337"/>
      <c r="L84" s="337">
        <f>SUM(L71:L83)</f>
        <v>1001133</v>
      </c>
      <c r="M84" s="337"/>
      <c r="N84" s="337">
        <f>SUM(N71:N83)</f>
        <v>777801</v>
      </c>
      <c r="O84" s="337"/>
      <c r="P84" s="337"/>
      <c r="Q84" s="337"/>
      <c r="R84" s="337"/>
      <c r="S84" s="337"/>
      <c r="T84" s="337"/>
      <c r="U84" s="337"/>
      <c r="V84" s="337">
        <f>SUM(V71:V83)</f>
        <v>768831</v>
      </c>
      <c r="W84" s="289"/>
      <c r="X84" s="5"/>
    </row>
    <row r="85" spans="1:24" ht="15.75" x14ac:dyDescent="0.25">
      <c r="A85" s="181"/>
      <c r="B85" s="212"/>
      <c r="C85" s="335"/>
      <c r="D85" s="335"/>
      <c r="E85" s="335"/>
      <c r="F85" s="335"/>
      <c r="G85" s="335"/>
      <c r="H85" s="335"/>
      <c r="I85" s="335"/>
      <c r="J85" s="335"/>
      <c r="K85" s="335"/>
      <c r="L85" s="335"/>
      <c r="M85" s="335"/>
      <c r="N85" s="335"/>
      <c r="O85" s="335"/>
      <c r="P85" s="335"/>
      <c r="Q85" s="335"/>
      <c r="R85" s="335"/>
      <c r="S85" s="335"/>
      <c r="T85" s="335"/>
      <c r="U85" s="335"/>
      <c r="V85" s="336"/>
      <c r="W85" s="212"/>
      <c r="X85" s="5"/>
    </row>
    <row r="86" spans="1:24" ht="15.75" x14ac:dyDescent="0.25">
      <c r="A86" s="181"/>
      <c r="B86" s="183"/>
      <c r="C86" s="183"/>
      <c r="D86" s="183"/>
      <c r="E86" s="183"/>
      <c r="F86" s="183"/>
      <c r="G86" s="183"/>
      <c r="H86" s="183"/>
      <c r="I86" s="183"/>
      <c r="J86" s="183"/>
      <c r="K86" s="183"/>
      <c r="L86" s="183"/>
      <c r="M86" s="183"/>
      <c r="N86" s="183"/>
      <c r="O86" s="183"/>
      <c r="P86" s="183"/>
      <c r="Q86" s="183"/>
      <c r="R86" s="183"/>
      <c r="S86" s="183"/>
      <c r="T86" s="183"/>
      <c r="U86" s="183"/>
      <c r="V86" s="183"/>
      <c r="W86" s="183"/>
      <c r="X86" s="5"/>
    </row>
    <row r="87" spans="1:24" ht="15.75" x14ac:dyDescent="0.25">
      <c r="A87" s="224"/>
      <c r="B87" s="399" t="s">
        <v>27</v>
      </c>
      <c r="C87" s="399"/>
      <c r="D87" s="399"/>
      <c r="E87" s="399"/>
      <c r="F87" s="399"/>
      <c r="G87" s="399"/>
      <c r="H87" s="400"/>
      <c r="I87" s="400"/>
      <c r="J87" s="400"/>
      <c r="K87" s="400"/>
      <c r="L87" s="401" t="s">
        <v>95</v>
      </c>
      <c r="M87" s="400"/>
      <c r="N87" s="402">
        <f>+T202</f>
        <v>41880</v>
      </c>
      <c r="O87" s="400"/>
      <c r="P87" s="400"/>
      <c r="Q87" s="400"/>
      <c r="R87" s="400"/>
      <c r="S87" s="400"/>
      <c r="T87" s="400" t="s">
        <v>107</v>
      </c>
      <c r="U87" s="400"/>
      <c r="V87" s="400" t="s">
        <v>113</v>
      </c>
      <c r="W87" s="225"/>
      <c r="X87" s="5"/>
    </row>
    <row r="88" spans="1:24" ht="15.75" x14ac:dyDescent="0.25">
      <c r="A88" s="248"/>
      <c r="B88" s="250" t="s">
        <v>28</v>
      </c>
      <c r="C88" s="194"/>
      <c r="D88" s="194"/>
      <c r="E88" s="194"/>
      <c r="F88" s="194"/>
      <c r="G88" s="194"/>
      <c r="H88" s="194"/>
      <c r="I88" s="194"/>
      <c r="J88" s="194"/>
      <c r="K88" s="194"/>
      <c r="L88" s="194"/>
      <c r="M88" s="194"/>
      <c r="N88" s="194"/>
      <c r="O88" s="194"/>
      <c r="P88" s="194"/>
      <c r="Q88" s="194"/>
      <c r="R88" s="194"/>
      <c r="S88" s="194"/>
      <c r="T88" s="249">
        <v>0</v>
      </c>
      <c r="U88" s="250"/>
      <c r="V88" s="253">
        <v>0</v>
      </c>
      <c r="W88" s="194"/>
      <c r="X88" s="5"/>
    </row>
    <row r="89" spans="1:24" ht="15.75" x14ac:dyDescent="0.25">
      <c r="A89" s="295"/>
      <c r="B89" s="286" t="s">
        <v>29</v>
      </c>
      <c r="C89" s="314"/>
      <c r="D89" s="314"/>
      <c r="E89" s="314"/>
      <c r="F89" s="314"/>
      <c r="G89" s="314"/>
      <c r="H89" s="339"/>
      <c r="I89" s="339"/>
      <c r="J89" s="339"/>
      <c r="K89" s="340"/>
      <c r="L89" s="339"/>
      <c r="M89" s="314"/>
      <c r="N89" s="341"/>
      <c r="O89" s="314"/>
      <c r="P89" s="314"/>
      <c r="Q89" s="314"/>
      <c r="R89" s="314"/>
      <c r="S89" s="314"/>
      <c r="T89" s="337">
        <f>8970-676</f>
        <v>8294</v>
      </c>
      <c r="U89" s="286"/>
      <c r="V89" s="338"/>
      <c r="W89" s="318"/>
      <c r="X89" s="5"/>
    </row>
    <row r="90" spans="1:24" ht="15.75" x14ac:dyDescent="0.25">
      <c r="A90" s="295"/>
      <c r="B90" s="286" t="s">
        <v>215</v>
      </c>
      <c r="C90" s="314"/>
      <c r="D90" s="314"/>
      <c r="E90" s="314"/>
      <c r="F90" s="314"/>
      <c r="G90" s="314"/>
      <c r="H90" s="339"/>
      <c r="I90" s="339"/>
      <c r="J90" s="339"/>
      <c r="K90" s="340"/>
      <c r="L90" s="339"/>
      <c r="M90" s="314"/>
      <c r="N90" s="341"/>
      <c r="O90" s="314"/>
      <c r="P90" s="314"/>
      <c r="Q90" s="314"/>
      <c r="R90" s="314"/>
      <c r="S90" s="314"/>
      <c r="T90" s="337"/>
      <c r="U90" s="286"/>
      <c r="V90" s="338">
        <f>3172+2668-488-428</f>
        <v>4924</v>
      </c>
      <c r="W90" s="318"/>
      <c r="X90" s="5"/>
    </row>
    <row r="91" spans="1:24" ht="15.75" x14ac:dyDescent="0.25">
      <c r="A91" s="295"/>
      <c r="B91" s="286" t="s">
        <v>210</v>
      </c>
      <c r="C91" s="314"/>
      <c r="D91" s="314"/>
      <c r="E91" s="314"/>
      <c r="F91" s="314"/>
      <c r="G91" s="314"/>
      <c r="H91" s="339"/>
      <c r="I91" s="339"/>
      <c r="J91" s="339"/>
      <c r="K91" s="340"/>
      <c r="L91" s="339"/>
      <c r="M91" s="314"/>
      <c r="N91" s="341"/>
      <c r="O91" s="314"/>
      <c r="P91" s="314"/>
      <c r="Q91" s="314"/>
      <c r="R91" s="314"/>
      <c r="S91" s="314"/>
      <c r="T91" s="337"/>
      <c r="U91" s="286"/>
      <c r="V91" s="338">
        <f>153+52</f>
        <v>205</v>
      </c>
      <c r="W91" s="318"/>
      <c r="X91" s="5"/>
    </row>
    <row r="92" spans="1:24" ht="15.75" x14ac:dyDescent="0.25">
      <c r="A92" s="295"/>
      <c r="B92" s="286" t="s">
        <v>211</v>
      </c>
      <c r="C92" s="314"/>
      <c r="D92" s="314"/>
      <c r="E92" s="314"/>
      <c r="F92" s="314"/>
      <c r="G92" s="314"/>
      <c r="H92" s="339"/>
      <c r="I92" s="339"/>
      <c r="J92" s="339"/>
      <c r="K92" s="340"/>
      <c r="L92" s="339"/>
      <c r="M92" s="314"/>
      <c r="N92" s="341"/>
      <c r="O92" s="314"/>
      <c r="P92" s="314"/>
      <c r="Q92" s="314"/>
      <c r="R92" s="314"/>
      <c r="S92" s="314"/>
      <c r="T92" s="337"/>
      <c r="U92" s="286"/>
      <c r="V92" s="338">
        <v>28</v>
      </c>
      <c r="W92" s="318"/>
      <c r="X92" s="5"/>
    </row>
    <row r="93" spans="1:24" ht="15.75" x14ac:dyDescent="0.25">
      <c r="A93" s="295"/>
      <c r="B93" s="286" t="s">
        <v>233</v>
      </c>
      <c r="C93" s="314"/>
      <c r="D93" s="314"/>
      <c r="E93" s="314"/>
      <c r="F93" s="314"/>
      <c r="G93" s="314"/>
      <c r="H93" s="339"/>
      <c r="I93" s="339"/>
      <c r="J93" s="339"/>
      <c r="K93" s="340"/>
      <c r="L93" s="339"/>
      <c r="M93" s="314"/>
      <c r="N93" s="341"/>
      <c r="O93" s="314"/>
      <c r="P93" s="314"/>
      <c r="Q93" s="314"/>
      <c r="R93" s="314"/>
      <c r="S93" s="314"/>
      <c r="T93" s="337"/>
      <c r="U93" s="286"/>
      <c r="V93" s="338">
        <v>0</v>
      </c>
      <c r="W93" s="318"/>
      <c r="X93" s="5"/>
    </row>
    <row r="94" spans="1:24" ht="15.75" x14ac:dyDescent="0.25">
      <c r="A94" s="295"/>
      <c r="B94" s="286" t="s">
        <v>235</v>
      </c>
      <c r="C94" s="314"/>
      <c r="D94" s="314"/>
      <c r="E94" s="314"/>
      <c r="F94" s="314"/>
      <c r="G94" s="314"/>
      <c r="H94" s="339"/>
      <c r="I94" s="339"/>
      <c r="J94" s="339"/>
      <c r="K94" s="340"/>
      <c r="L94" s="339"/>
      <c r="M94" s="314"/>
      <c r="N94" s="341"/>
      <c r="O94" s="314"/>
      <c r="P94" s="314"/>
      <c r="Q94" s="314"/>
      <c r="R94" s="314"/>
      <c r="S94" s="314"/>
      <c r="T94" s="337"/>
      <c r="U94" s="286"/>
      <c r="V94" s="338">
        <v>0</v>
      </c>
      <c r="W94" s="318"/>
      <c r="X94" s="5"/>
    </row>
    <row r="95" spans="1:24" ht="15.75" x14ac:dyDescent="0.25">
      <c r="A95" s="295"/>
      <c r="B95" s="286" t="s">
        <v>135</v>
      </c>
      <c r="C95" s="314"/>
      <c r="D95" s="314"/>
      <c r="E95" s="314"/>
      <c r="F95" s="314"/>
      <c r="G95" s="314"/>
      <c r="H95" s="314"/>
      <c r="I95" s="314"/>
      <c r="J95" s="314"/>
      <c r="K95" s="314"/>
      <c r="L95" s="314"/>
      <c r="M95" s="314"/>
      <c r="N95" s="314"/>
      <c r="O95" s="314"/>
      <c r="P95" s="314"/>
      <c r="Q95" s="314"/>
      <c r="R95" s="314"/>
      <c r="S95" s="314"/>
      <c r="T95" s="337"/>
      <c r="U95" s="286"/>
      <c r="V95" s="338">
        <v>0</v>
      </c>
      <c r="W95" s="318"/>
      <c r="X95" s="5"/>
    </row>
    <row r="96" spans="1:24" ht="15.75" x14ac:dyDescent="0.25">
      <c r="A96" s="295"/>
      <c r="B96" s="286" t="s">
        <v>272</v>
      </c>
      <c r="C96" s="314"/>
      <c r="D96" s="314"/>
      <c r="E96" s="314"/>
      <c r="F96" s="314"/>
      <c r="G96" s="314"/>
      <c r="H96" s="314"/>
      <c r="I96" s="314"/>
      <c r="J96" s="314"/>
      <c r="K96" s="314"/>
      <c r="L96" s="314"/>
      <c r="M96" s="314"/>
      <c r="N96" s="314"/>
      <c r="O96" s="314"/>
      <c r="P96" s="314"/>
      <c r="Q96" s="314"/>
      <c r="R96" s="314"/>
      <c r="S96" s="314"/>
      <c r="T96" s="337"/>
      <c r="U96" s="286"/>
      <c r="V96" s="338">
        <v>0</v>
      </c>
      <c r="W96" s="318"/>
      <c r="X96" s="5"/>
    </row>
    <row r="97" spans="1:25" ht="15.75" x14ac:dyDescent="0.25">
      <c r="A97" s="295"/>
      <c r="B97" s="286" t="s">
        <v>30</v>
      </c>
      <c r="C97" s="314"/>
      <c r="D97" s="314"/>
      <c r="E97" s="314"/>
      <c r="F97" s="314"/>
      <c r="G97" s="314"/>
      <c r="H97" s="314"/>
      <c r="I97" s="314"/>
      <c r="J97" s="314"/>
      <c r="K97" s="314"/>
      <c r="L97" s="314"/>
      <c r="M97" s="314"/>
      <c r="N97" s="314"/>
      <c r="O97" s="314"/>
      <c r="P97" s="314"/>
      <c r="Q97" s="314"/>
      <c r="R97" s="314"/>
      <c r="S97" s="314"/>
      <c r="T97" s="337">
        <f>SUM(T88:T96)</f>
        <v>8294</v>
      </c>
      <c r="U97" s="286"/>
      <c r="V97" s="337">
        <f>SUM(V88:V96)</f>
        <v>5157</v>
      </c>
      <c r="W97" s="318"/>
      <c r="X97" s="5"/>
    </row>
    <row r="98" spans="1:25" ht="15.75" x14ac:dyDescent="0.25">
      <c r="A98" s="295"/>
      <c r="B98" s="286" t="s">
        <v>161</v>
      </c>
      <c r="C98" s="314"/>
      <c r="D98" s="314"/>
      <c r="E98" s="314"/>
      <c r="F98" s="314"/>
      <c r="G98" s="314"/>
      <c r="H98" s="314"/>
      <c r="I98" s="314"/>
      <c r="J98" s="314"/>
      <c r="K98" s="314"/>
      <c r="L98" s="314"/>
      <c r="M98" s="314"/>
      <c r="N98" s="314"/>
      <c r="O98" s="314"/>
      <c r="P98" s="314"/>
      <c r="Q98" s="314"/>
      <c r="R98" s="314"/>
      <c r="S98" s="314"/>
      <c r="T98" s="337">
        <f>-V98</f>
        <v>0</v>
      </c>
      <c r="U98" s="286"/>
      <c r="V98" s="337">
        <v>0</v>
      </c>
      <c r="W98" s="318"/>
      <c r="X98" s="5"/>
    </row>
    <row r="99" spans="1:25" ht="15.75" x14ac:dyDescent="0.25">
      <c r="A99" s="295"/>
      <c r="B99" s="286" t="s">
        <v>31</v>
      </c>
      <c r="C99" s="314"/>
      <c r="D99" s="314"/>
      <c r="E99" s="314"/>
      <c r="F99" s="314"/>
      <c r="G99" s="314"/>
      <c r="H99" s="314"/>
      <c r="I99" s="314"/>
      <c r="J99" s="314"/>
      <c r="K99" s="314"/>
      <c r="L99" s="314"/>
      <c r="M99" s="314"/>
      <c r="N99" s="314"/>
      <c r="O99" s="314"/>
      <c r="P99" s="314"/>
      <c r="Q99" s="314"/>
      <c r="R99" s="314"/>
      <c r="S99" s="314"/>
      <c r="T99" s="337">
        <f>-V99</f>
        <v>0</v>
      </c>
      <c r="U99" s="286"/>
      <c r="V99" s="338">
        <v>0</v>
      </c>
      <c r="W99" s="318"/>
      <c r="X99" s="5"/>
    </row>
    <row r="100" spans="1:25" ht="15.75" x14ac:dyDescent="0.25">
      <c r="A100" s="295"/>
      <c r="B100" s="286" t="s">
        <v>274</v>
      </c>
      <c r="C100" s="314"/>
      <c r="D100" s="314"/>
      <c r="E100" s="314"/>
      <c r="F100" s="314"/>
      <c r="G100" s="314"/>
      <c r="H100" s="314"/>
      <c r="I100" s="314"/>
      <c r="J100" s="314"/>
      <c r="K100" s="314"/>
      <c r="L100" s="314"/>
      <c r="M100" s="314"/>
      <c r="N100" s="314"/>
      <c r="O100" s="314"/>
      <c r="P100" s="314"/>
      <c r="Q100" s="314"/>
      <c r="R100" s="314"/>
      <c r="S100" s="314"/>
      <c r="T100" s="337"/>
      <c r="U100" s="286"/>
      <c r="V100" s="338">
        <v>378</v>
      </c>
      <c r="W100" s="318"/>
      <c r="X100" s="5"/>
    </row>
    <row r="101" spans="1:25" ht="15.75" x14ac:dyDescent="0.25">
      <c r="A101" s="295"/>
      <c r="B101" s="286" t="s">
        <v>32</v>
      </c>
      <c r="C101" s="314"/>
      <c r="D101" s="314"/>
      <c r="E101" s="314"/>
      <c r="F101" s="314"/>
      <c r="G101" s="314"/>
      <c r="H101" s="314"/>
      <c r="I101" s="314"/>
      <c r="J101" s="314"/>
      <c r="K101" s="314"/>
      <c r="L101" s="314"/>
      <c r="M101" s="314"/>
      <c r="N101" s="314"/>
      <c r="O101" s="314"/>
      <c r="P101" s="314"/>
      <c r="Q101" s="314"/>
      <c r="R101" s="314"/>
      <c r="S101" s="314"/>
      <c r="T101" s="337">
        <f>T97+T99+T98</f>
        <v>8294</v>
      </c>
      <c r="U101" s="286"/>
      <c r="V101" s="337">
        <f>V97+V99+V98+V100</f>
        <v>5535</v>
      </c>
      <c r="W101" s="318"/>
      <c r="X101" s="5"/>
    </row>
    <row r="102" spans="1:25" ht="15.75" x14ac:dyDescent="0.25">
      <c r="A102" s="285"/>
      <c r="B102" s="342" t="s">
        <v>33</v>
      </c>
      <c r="C102" s="314"/>
      <c r="D102" s="314"/>
      <c r="E102" s="314"/>
      <c r="F102" s="314"/>
      <c r="G102" s="314"/>
      <c r="H102" s="314"/>
      <c r="I102" s="314"/>
      <c r="J102" s="314"/>
      <c r="K102" s="314"/>
      <c r="L102" s="314"/>
      <c r="M102" s="314"/>
      <c r="N102" s="314"/>
      <c r="O102" s="314"/>
      <c r="P102" s="314"/>
      <c r="Q102" s="314"/>
      <c r="R102" s="314"/>
      <c r="S102" s="314"/>
      <c r="T102" s="337"/>
      <c r="U102" s="286"/>
      <c r="V102" s="338"/>
      <c r="W102" s="318"/>
      <c r="X102" s="5"/>
    </row>
    <row r="103" spans="1:25" ht="15.75" x14ac:dyDescent="0.25">
      <c r="A103" s="295">
        <v>1</v>
      </c>
      <c r="B103" s="286" t="s">
        <v>34</v>
      </c>
      <c r="C103" s="286"/>
      <c r="D103" s="286"/>
      <c r="E103" s="314"/>
      <c r="F103" s="314"/>
      <c r="G103" s="314"/>
      <c r="H103" s="314"/>
      <c r="I103" s="314"/>
      <c r="J103" s="314"/>
      <c r="K103" s="314"/>
      <c r="L103" s="314"/>
      <c r="M103" s="314"/>
      <c r="N103" s="314"/>
      <c r="O103" s="314"/>
      <c r="P103" s="314"/>
      <c r="Q103" s="314"/>
      <c r="R103" s="314"/>
      <c r="S103" s="314"/>
      <c r="T103" s="286"/>
      <c r="U103" s="286"/>
      <c r="V103" s="338">
        <v>0</v>
      </c>
      <c r="W103" s="318"/>
      <c r="X103" s="5"/>
    </row>
    <row r="104" spans="1:25" ht="15.75" x14ac:dyDescent="0.25">
      <c r="A104" s="295">
        <f>+A103+1</f>
        <v>2</v>
      </c>
      <c r="B104" s="286" t="s">
        <v>314</v>
      </c>
      <c r="C104" s="286"/>
      <c r="D104" s="286"/>
      <c r="E104" s="314"/>
      <c r="F104" s="314"/>
      <c r="G104" s="314"/>
      <c r="H104" s="314"/>
      <c r="I104" s="314"/>
      <c r="J104" s="314"/>
      <c r="K104" s="314"/>
      <c r="L104" s="314"/>
      <c r="M104" s="314"/>
      <c r="N104" s="314"/>
      <c r="O104" s="314"/>
      <c r="P104" s="314"/>
      <c r="Q104" s="314"/>
      <c r="R104" s="314"/>
      <c r="S104" s="314"/>
      <c r="T104" s="286"/>
      <c r="U104" s="286"/>
      <c r="V104" s="338">
        <v>-2</v>
      </c>
      <c r="W104" s="318"/>
      <c r="X104" s="5"/>
    </row>
    <row r="105" spans="1:25" ht="15.75" x14ac:dyDescent="0.25">
      <c r="A105" s="295">
        <f>+A104+1</f>
        <v>3</v>
      </c>
      <c r="B105" s="412" t="s">
        <v>316</v>
      </c>
      <c r="C105" s="286"/>
      <c r="D105" s="286"/>
      <c r="E105" s="314"/>
      <c r="F105" s="314"/>
      <c r="G105" s="314"/>
      <c r="H105" s="314"/>
      <c r="I105" s="314"/>
      <c r="J105" s="314"/>
      <c r="K105" s="314"/>
      <c r="L105" s="314"/>
      <c r="M105" s="314"/>
      <c r="N105" s="314"/>
      <c r="O105" s="314"/>
      <c r="P105" s="314"/>
      <c r="Q105" s="314"/>
      <c r="R105" s="314"/>
      <c r="S105" s="314"/>
      <c r="T105" s="286"/>
      <c r="U105" s="286"/>
      <c r="V105" s="338">
        <f>-298-140-10</f>
        <v>-448</v>
      </c>
      <c r="W105" s="318"/>
      <c r="X105" s="5"/>
    </row>
    <row r="106" spans="1:25" ht="15.75" x14ac:dyDescent="0.25">
      <c r="A106" s="295" t="s">
        <v>127</v>
      </c>
      <c r="B106" s="286" t="s">
        <v>116</v>
      </c>
      <c r="C106" s="286"/>
      <c r="D106" s="286"/>
      <c r="E106" s="314"/>
      <c r="F106" s="314"/>
      <c r="G106" s="314"/>
      <c r="H106" s="314"/>
      <c r="I106" s="314"/>
      <c r="J106" s="314"/>
      <c r="K106" s="314"/>
      <c r="L106" s="314"/>
      <c r="M106" s="314"/>
      <c r="N106" s="314"/>
      <c r="O106" s="314"/>
      <c r="P106" s="314"/>
      <c r="Q106" s="314"/>
      <c r="R106" s="314"/>
      <c r="S106" s="314"/>
      <c r="T106" s="286"/>
      <c r="U106" s="286"/>
      <c r="V106" s="338">
        <v>0</v>
      </c>
      <c r="W106" s="318"/>
      <c r="X106" s="5"/>
    </row>
    <row r="107" spans="1:25" ht="15.75" x14ac:dyDescent="0.25">
      <c r="A107" s="295" t="s">
        <v>128</v>
      </c>
      <c r="B107" s="286" t="s">
        <v>220</v>
      </c>
      <c r="C107" s="286"/>
      <c r="D107" s="286"/>
      <c r="E107" s="314"/>
      <c r="F107" s="314"/>
      <c r="G107" s="314"/>
      <c r="H107" s="314"/>
      <c r="I107" s="314"/>
      <c r="J107" s="314"/>
      <c r="K107" s="314"/>
      <c r="L107" s="314"/>
      <c r="M107" s="314"/>
      <c r="N107" s="314"/>
      <c r="O107" s="314"/>
      <c r="P107" s="314"/>
      <c r="Q107" s="314"/>
      <c r="R107" s="314"/>
      <c r="S107" s="314"/>
      <c r="T107" s="286"/>
      <c r="U107" s="286"/>
      <c r="V107" s="338">
        <f>-1230+315</f>
        <v>-915</v>
      </c>
      <c r="W107" s="318"/>
      <c r="X107" s="5"/>
      <c r="Y107" s="109"/>
    </row>
    <row r="108" spans="1:25" ht="15.75" x14ac:dyDescent="0.25">
      <c r="A108" s="295" t="s">
        <v>150</v>
      </c>
      <c r="B108" s="286" t="s">
        <v>184</v>
      </c>
      <c r="C108" s="286"/>
      <c r="D108" s="286"/>
      <c r="E108" s="314"/>
      <c r="F108" s="314"/>
      <c r="G108" s="314"/>
      <c r="H108" s="314"/>
      <c r="I108" s="314"/>
      <c r="J108" s="314"/>
      <c r="K108" s="314"/>
      <c r="L108" s="314"/>
      <c r="M108" s="314"/>
      <c r="N108" s="314"/>
      <c r="O108" s="314"/>
      <c r="P108" s="314"/>
      <c r="Q108" s="314"/>
      <c r="R108" s="314"/>
      <c r="S108" s="314"/>
      <c r="T108" s="286"/>
      <c r="U108" s="286"/>
      <c r="V108" s="338">
        <v>-315</v>
      </c>
      <c r="W108" s="318"/>
      <c r="X108" s="5"/>
      <c r="Y108" s="109"/>
    </row>
    <row r="109" spans="1:25" ht="15.75" x14ac:dyDescent="0.25">
      <c r="A109" s="295" t="s">
        <v>205</v>
      </c>
      <c r="B109" s="286" t="s">
        <v>185</v>
      </c>
      <c r="C109" s="286"/>
      <c r="D109" s="286"/>
      <c r="E109" s="314"/>
      <c r="F109" s="314"/>
      <c r="G109" s="314"/>
      <c r="H109" s="314"/>
      <c r="I109" s="314"/>
      <c r="J109" s="314"/>
      <c r="K109" s="314"/>
      <c r="L109" s="314"/>
      <c r="M109" s="314"/>
      <c r="N109" s="314"/>
      <c r="O109" s="314"/>
      <c r="P109" s="314"/>
      <c r="Q109" s="314"/>
      <c r="R109" s="314"/>
      <c r="S109" s="314"/>
      <c r="T109" s="286"/>
      <c r="U109" s="286"/>
      <c r="V109" s="338">
        <v>-169</v>
      </c>
      <c r="W109" s="318"/>
      <c r="X109" s="5"/>
      <c r="Y109" s="109"/>
    </row>
    <row r="110" spans="1:25" ht="15.75" x14ac:dyDescent="0.25">
      <c r="A110" s="295" t="s">
        <v>206</v>
      </c>
      <c r="B110" s="286" t="s">
        <v>186</v>
      </c>
      <c r="C110" s="286"/>
      <c r="D110" s="286"/>
      <c r="E110" s="314"/>
      <c r="F110" s="314"/>
      <c r="G110" s="314"/>
      <c r="H110" s="314"/>
      <c r="I110" s="314"/>
      <c r="J110" s="314"/>
      <c r="K110" s="314"/>
      <c r="L110" s="314"/>
      <c r="M110" s="314"/>
      <c r="N110" s="314"/>
      <c r="O110" s="314"/>
      <c r="P110" s="314"/>
      <c r="Q110" s="314"/>
      <c r="R110" s="314"/>
      <c r="S110" s="314"/>
      <c r="T110" s="286"/>
      <c r="U110" s="286"/>
      <c r="V110" s="338">
        <v>-47</v>
      </c>
      <c r="W110" s="318"/>
      <c r="X110" s="5"/>
      <c r="Y110" s="109"/>
    </row>
    <row r="111" spans="1:25" ht="15.75" x14ac:dyDescent="0.25">
      <c r="A111" s="295">
        <v>6</v>
      </c>
      <c r="B111" s="286" t="s">
        <v>196</v>
      </c>
      <c r="C111" s="286"/>
      <c r="D111" s="286"/>
      <c r="E111" s="314"/>
      <c r="F111" s="314"/>
      <c r="G111" s="314"/>
      <c r="H111" s="314"/>
      <c r="I111" s="314"/>
      <c r="J111" s="314"/>
      <c r="K111" s="314"/>
      <c r="L111" s="314"/>
      <c r="M111" s="314"/>
      <c r="N111" s="314"/>
      <c r="O111" s="314"/>
      <c r="P111" s="314"/>
      <c r="Q111" s="314"/>
      <c r="R111" s="314"/>
      <c r="S111" s="314"/>
      <c r="T111" s="286"/>
      <c r="U111" s="286"/>
      <c r="V111" s="338">
        <v>-334</v>
      </c>
      <c r="W111" s="318"/>
      <c r="X111" s="5"/>
      <c r="Y111" s="109"/>
    </row>
    <row r="112" spans="1:25" ht="15.75" x14ac:dyDescent="0.25">
      <c r="A112" s="295">
        <v>7</v>
      </c>
      <c r="B112" s="412" t="s">
        <v>315</v>
      </c>
      <c r="C112" s="286"/>
      <c r="D112" s="286"/>
      <c r="E112" s="314"/>
      <c r="F112" s="314"/>
      <c r="G112" s="314"/>
      <c r="H112" s="314"/>
      <c r="I112" s="314"/>
      <c r="J112" s="314"/>
      <c r="K112" s="314"/>
      <c r="L112" s="314"/>
      <c r="M112" s="314"/>
      <c r="N112" s="314"/>
      <c r="O112" s="314"/>
      <c r="P112" s="314"/>
      <c r="Q112" s="314"/>
      <c r="R112" s="314"/>
      <c r="S112" s="314"/>
      <c r="T112" s="286"/>
      <c r="U112" s="286"/>
      <c r="V112" s="338">
        <v>0</v>
      </c>
      <c r="W112" s="318"/>
      <c r="X112" s="5"/>
      <c r="Y112" s="109"/>
    </row>
    <row r="113" spans="1:24" ht="15.75" x14ac:dyDescent="0.25">
      <c r="A113" s="295">
        <v>8</v>
      </c>
      <c r="B113" s="286" t="s">
        <v>35</v>
      </c>
      <c r="C113" s="286"/>
      <c r="D113" s="286"/>
      <c r="E113" s="314"/>
      <c r="F113" s="314"/>
      <c r="G113" s="314"/>
      <c r="H113" s="314"/>
      <c r="I113" s="314"/>
      <c r="J113" s="314"/>
      <c r="K113" s="314"/>
      <c r="L113" s="314"/>
      <c r="M113" s="314"/>
      <c r="N113" s="314"/>
      <c r="O113" s="314"/>
      <c r="P113" s="314"/>
      <c r="Q113" s="314"/>
      <c r="R113" s="314"/>
      <c r="S113" s="314"/>
      <c r="T113" s="286"/>
      <c r="U113" s="286"/>
      <c r="V113" s="338">
        <v>-9</v>
      </c>
      <c r="W113" s="318"/>
      <c r="X113" s="5"/>
    </row>
    <row r="114" spans="1:24" ht="15.75" x14ac:dyDescent="0.25">
      <c r="A114" s="295">
        <f t="shared" ref="A114:A119" si="0">+A113+1</f>
        <v>9</v>
      </c>
      <c r="B114" s="286" t="s">
        <v>45</v>
      </c>
      <c r="C114" s="286"/>
      <c r="D114" s="286"/>
      <c r="E114" s="314"/>
      <c r="F114" s="314"/>
      <c r="G114" s="314"/>
      <c r="H114" s="314"/>
      <c r="I114" s="314"/>
      <c r="J114" s="314"/>
      <c r="K114" s="314"/>
      <c r="L114" s="314"/>
      <c r="M114" s="314"/>
      <c r="N114" s="314"/>
      <c r="O114" s="314"/>
      <c r="P114" s="314"/>
      <c r="Q114" s="314"/>
      <c r="R114" s="314"/>
      <c r="S114" s="314"/>
      <c r="T114" s="337">
        <f>-V114</f>
        <v>676</v>
      </c>
      <c r="U114" s="286"/>
      <c r="V114" s="338">
        <v>-676</v>
      </c>
      <c r="W114" s="318"/>
      <c r="X114" s="5"/>
    </row>
    <row r="115" spans="1:24" ht="15.75" x14ac:dyDescent="0.25">
      <c r="A115" s="295">
        <f t="shared" si="0"/>
        <v>10</v>
      </c>
      <c r="B115" s="286" t="s">
        <v>125</v>
      </c>
      <c r="C115" s="286"/>
      <c r="D115" s="286"/>
      <c r="E115" s="314"/>
      <c r="F115" s="314"/>
      <c r="G115" s="314"/>
      <c r="H115" s="314"/>
      <c r="I115" s="314"/>
      <c r="J115" s="314"/>
      <c r="K115" s="314"/>
      <c r="L115" s="314"/>
      <c r="M115" s="314"/>
      <c r="N115" s="314"/>
      <c r="O115" s="314"/>
      <c r="P115" s="314"/>
      <c r="Q115" s="314"/>
      <c r="R115" s="314"/>
      <c r="S115" s="314"/>
      <c r="T115" s="286"/>
      <c r="U115" s="286"/>
      <c r="V115" s="338">
        <v>0</v>
      </c>
      <c r="W115" s="318"/>
      <c r="X115" s="5"/>
    </row>
    <row r="116" spans="1:24" ht="15.75" x14ac:dyDescent="0.25">
      <c r="A116" s="295">
        <f t="shared" si="0"/>
        <v>11</v>
      </c>
      <c r="B116" s="286" t="s">
        <v>225</v>
      </c>
      <c r="C116" s="286"/>
      <c r="D116" s="286"/>
      <c r="E116" s="314"/>
      <c r="F116" s="314"/>
      <c r="G116" s="314"/>
      <c r="H116" s="314"/>
      <c r="I116" s="314"/>
      <c r="J116" s="314"/>
      <c r="K116" s="314"/>
      <c r="L116" s="314"/>
      <c r="M116" s="314"/>
      <c r="N116" s="314"/>
      <c r="O116" s="314"/>
      <c r="P116" s="314"/>
      <c r="Q116" s="314"/>
      <c r="R116" s="314"/>
      <c r="S116" s="314"/>
      <c r="T116" s="286"/>
      <c r="U116" s="286"/>
      <c r="V116" s="338">
        <v>0</v>
      </c>
      <c r="W116" s="318"/>
      <c r="X116" s="5"/>
    </row>
    <row r="117" spans="1:24" ht="15.75" x14ac:dyDescent="0.25">
      <c r="A117" s="295">
        <f t="shared" si="0"/>
        <v>12</v>
      </c>
      <c r="B117" s="286" t="s">
        <v>36</v>
      </c>
      <c r="C117" s="286"/>
      <c r="D117" s="286"/>
      <c r="E117" s="314"/>
      <c r="F117" s="314"/>
      <c r="G117" s="314"/>
      <c r="H117" s="314"/>
      <c r="I117" s="314"/>
      <c r="J117" s="314"/>
      <c r="K117" s="314"/>
      <c r="L117" s="314"/>
      <c r="M117" s="314"/>
      <c r="N117" s="314"/>
      <c r="O117" s="314"/>
      <c r="P117" s="314"/>
      <c r="Q117" s="314"/>
      <c r="R117" s="314"/>
      <c r="S117" s="314"/>
      <c r="T117" s="286"/>
      <c r="U117" s="286"/>
      <c r="V117" s="338">
        <v>0</v>
      </c>
      <c r="W117" s="318"/>
      <c r="X117" s="5"/>
    </row>
    <row r="118" spans="1:24" ht="15.75" x14ac:dyDescent="0.25">
      <c r="A118" s="295">
        <f t="shared" si="0"/>
        <v>13</v>
      </c>
      <c r="B118" s="286" t="s">
        <v>149</v>
      </c>
      <c r="C118" s="286"/>
      <c r="D118" s="286"/>
      <c r="E118" s="314"/>
      <c r="F118" s="314"/>
      <c r="G118" s="314"/>
      <c r="H118" s="314"/>
      <c r="I118" s="314"/>
      <c r="J118" s="314"/>
      <c r="K118" s="314"/>
      <c r="L118" s="314"/>
      <c r="M118" s="314"/>
      <c r="N118" s="314"/>
      <c r="O118" s="314"/>
      <c r="P118" s="314"/>
      <c r="Q118" s="314"/>
      <c r="R118" s="314"/>
      <c r="S118" s="314"/>
      <c r="T118" s="286"/>
      <c r="U118" s="286"/>
      <c r="V118" s="338">
        <v>-297</v>
      </c>
      <c r="W118" s="318"/>
      <c r="X118" s="5"/>
    </row>
    <row r="119" spans="1:24" ht="15.75" x14ac:dyDescent="0.25">
      <c r="A119" s="295">
        <f t="shared" si="0"/>
        <v>14</v>
      </c>
      <c r="B119" s="286" t="s">
        <v>126</v>
      </c>
      <c r="C119" s="286"/>
      <c r="D119" s="286"/>
      <c r="E119" s="314"/>
      <c r="F119" s="314"/>
      <c r="G119" s="314"/>
      <c r="H119" s="314"/>
      <c r="I119" s="314"/>
      <c r="J119" s="314"/>
      <c r="K119" s="314"/>
      <c r="L119" s="314"/>
      <c r="M119" s="314"/>
      <c r="N119" s="314"/>
      <c r="O119" s="314"/>
      <c r="P119" s="314"/>
      <c r="Q119" s="314"/>
      <c r="R119" s="314"/>
      <c r="S119" s="314"/>
      <c r="T119" s="286"/>
      <c r="U119" s="286"/>
      <c r="V119" s="338">
        <f>-V101-SUM(V103:V118)</f>
        <v>-2323</v>
      </c>
      <c r="W119" s="318"/>
      <c r="X119" s="5"/>
    </row>
    <row r="120" spans="1:24" ht="15.75" x14ac:dyDescent="0.25">
      <c r="A120" s="285"/>
      <c r="B120" s="342" t="s">
        <v>37</v>
      </c>
      <c r="C120" s="314"/>
      <c r="D120" s="314"/>
      <c r="E120" s="314"/>
      <c r="F120" s="314"/>
      <c r="G120" s="314"/>
      <c r="H120" s="314"/>
      <c r="I120" s="314"/>
      <c r="J120" s="314"/>
      <c r="K120" s="314"/>
      <c r="L120" s="314"/>
      <c r="M120" s="314"/>
      <c r="N120" s="314"/>
      <c r="O120" s="314"/>
      <c r="P120" s="314"/>
      <c r="Q120" s="314"/>
      <c r="R120" s="314"/>
      <c r="S120" s="314"/>
      <c r="T120" s="286"/>
      <c r="U120" s="286"/>
      <c r="V120" s="343"/>
      <c r="W120" s="318"/>
      <c r="X120" s="5"/>
    </row>
    <row r="121" spans="1:24" ht="15.75" x14ac:dyDescent="0.25">
      <c r="A121" s="285"/>
      <c r="B121" s="286" t="s">
        <v>173</v>
      </c>
      <c r="C121" s="314"/>
      <c r="D121" s="314"/>
      <c r="E121" s="314"/>
      <c r="F121" s="314"/>
      <c r="G121" s="314"/>
      <c r="H121" s="314"/>
      <c r="I121" s="314"/>
      <c r="J121" s="314"/>
      <c r="K121" s="314"/>
      <c r="L121" s="314"/>
      <c r="M121" s="314"/>
      <c r="N121" s="314"/>
      <c r="O121" s="314"/>
      <c r="P121" s="314"/>
      <c r="Q121" s="314"/>
      <c r="R121" s="314"/>
      <c r="S121" s="314"/>
      <c r="T121" s="337">
        <f>-T186</f>
        <v>0</v>
      </c>
      <c r="U121" s="337"/>
      <c r="V121" s="338"/>
      <c r="W121" s="318"/>
      <c r="X121" s="5"/>
    </row>
    <row r="122" spans="1:24" ht="15.75" x14ac:dyDescent="0.25">
      <c r="A122" s="285"/>
      <c r="B122" s="286" t="s">
        <v>174</v>
      </c>
      <c r="C122" s="314"/>
      <c r="D122" s="314"/>
      <c r="E122" s="314"/>
      <c r="F122" s="314"/>
      <c r="G122" s="314"/>
      <c r="H122" s="314"/>
      <c r="I122" s="314"/>
      <c r="J122" s="314"/>
      <c r="K122" s="314"/>
      <c r="L122" s="314"/>
      <c r="M122" s="314"/>
      <c r="N122" s="314"/>
      <c r="O122" s="314"/>
      <c r="P122" s="314"/>
      <c r="Q122" s="314"/>
      <c r="R122" s="314"/>
      <c r="S122" s="314"/>
      <c r="T122" s="337">
        <v>0</v>
      </c>
      <c r="U122" s="337"/>
      <c r="V122" s="338"/>
      <c r="W122" s="318"/>
      <c r="X122" s="5"/>
    </row>
    <row r="123" spans="1:24" ht="15.75" x14ac:dyDescent="0.25">
      <c r="A123" s="285"/>
      <c r="B123" s="286" t="s">
        <v>38</v>
      </c>
      <c r="C123" s="314"/>
      <c r="D123" s="314"/>
      <c r="E123" s="314"/>
      <c r="F123" s="314"/>
      <c r="G123" s="314"/>
      <c r="H123" s="314"/>
      <c r="I123" s="314"/>
      <c r="J123" s="314"/>
      <c r="K123" s="314"/>
      <c r="L123" s="314"/>
      <c r="M123" s="314"/>
      <c r="N123" s="314"/>
      <c r="O123" s="314"/>
      <c r="P123" s="314"/>
      <c r="Q123" s="314"/>
      <c r="R123" s="314"/>
      <c r="S123" s="314"/>
      <c r="T123" s="337">
        <f>-S186</f>
        <v>0</v>
      </c>
      <c r="U123" s="337"/>
      <c r="V123" s="338"/>
      <c r="W123" s="318"/>
      <c r="X123" s="5"/>
    </row>
    <row r="124" spans="1:24" ht="15.75" x14ac:dyDescent="0.25">
      <c r="A124" s="285"/>
      <c r="B124" s="286" t="s">
        <v>197</v>
      </c>
      <c r="C124" s="314"/>
      <c r="D124" s="314"/>
      <c r="E124" s="314"/>
      <c r="F124" s="314"/>
      <c r="G124" s="314"/>
      <c r="H124" s="314"/>
      <c r="I124" s="314"/>
      <c r="J124" s="314"/>
      <c r="K124" s="314"/>
      <c r="L124" s="314"/>
      <c r="M124" s="314"/>
      <c r="N124" s="314"/>
      <c r="O124" s="314"/>
      <c r="P124" s="314"/>
      <c r="Q124" s="314"/>
      <c r="R124" s="314"/>
      <c r="S124" s="314"/>
      <c r="T124" s="337">
        <v>-5196</v>
      </c>
      <c r="U124" s="337"/>
      <c r="V124" s="338"/>
      <c r="W124" s="318"/>
      <c r="X124" s="5"/>
    </row>
    <row r="125" spans="1:24" ht="15.75" x14ac:dyDescent="0.25">
      <c r="A125" s="285"/>
      <c r="B125" s="286" t="s">
        <v>195</v>
      </c>
      <c r="C125" s="314"/>
      <c r="D125" s="314"/>
      <c r="E125" s="314"/>
      <c r="F125" s="314"/>
      <c r="G125" s="314"/>
      <c r="H125" s="314"/>
      <c r="I125" s="314"/>
      <c r="J125" s="314"/>
      <c r="K125" s="314"/>
      <c r="L125" s="314"/>
      <c r="M125" s="314"/>
      <c r="N125" s="314"/>
      <c r="O125" s="314"/>
      <c r="P125" s="314"/>
      <c r="Q125" s="314"/>
      <c r="R125" s="314"/>
      <c r="S125" s="314"/>
      <c r="T125" s="337">
        <v>-2208</v>
      </c>
      <c r="U125" s="337"/>
      <c r="V125" s="338"/>
      <c r="W125" s="318"/>
      <c r="X125" s="5"/>
    </row>
    <row r="126" spans="1:24" ht="15.75" x14ac:dyDescent="0.25">
      <c r="A126" s="285"/>
      <c r="B126" s="286" t="s">
        <v>194</v>
      </c>
      <c r="C126" s="314"/>
      <c r="D126" s="314"/>
      <c r="E126" s="314"/>
      <c r="F126" s="314"/>
      <c r="G126" s="314"/>
      <c r="H126" s="314"/>
      <c r="I126" s="314"/>
      <c r="J126" s="314"/>
      <c r="K126" s="314"/>
      <c r="L126" s="314"/>
      <c r="M126" s="314"/>
      <c r="N126" s="314"/>
      <c r="O126" s="314"/>
      <c r="P126" s="314"/>
      <c r="Q126" s="314"/>
      <c r="R126" s="314"/>
      <c r="S126" s="314"/>
      <c r="T126" s="337">
        <v>-787</v>
      </c>
      <c r="U126" s="337"/>
      <c r="V126" s="338"/>
      <c r="W126" s="318"/>
      <c r="X126" s="5"/>
    </row>
    <row r="127" spans="1:24" ht="15.75" x14ac:dyDescent="0.25">
      <c r="A127" s="285"/>
      <c r="B127" s="286" t="s">
        <v>222</v>
      </c>
      <c r="C127" s="314"/>
      <c r="D127" s="314"/>
      <c r="E127" s="314"/>
      <c r="F127" s="314"/>
      <c r="G127" s="314"/>
      <c r="H127" s="314"/>
      <c r="I127" s="314"/>
      <c r="J127" s="314"/>
      <c r="K127" s="314"/>
      <c r="L127" s="314"/>
      <c r="M127" s="314"/>
      <c r="N127" s="314"/>
      <c r="O127" s="314"/>
      <c r="P127" s="314"/>
      <c r="Q127" s="314"/>
      <c r="R127" s="314"/>
      <c r="S127" s="314"/>
      <c r="T127" s="337">
        <v>-779</v>
      </c>
      <c r="U127" s="337"/>
      <c r="V127" s="338"/>
      <c r="W127" s="318"/>
      <c r="X127" s="5"/>
    </row>
    <row r="128" spans="1:24" ht="15.75" x14ac:dyDescent="0.25">
      <c r="A128" s="285"/>
      <c r="B128" s="286" t="s">
        <v>189</v>
      </c>
      <c r="C128" s="314"/>
      <c r="D128" s="314"/>
      <c r="E128" s="314"/>
      <c r="F128" s="314"/>
      <c r="G128" s="314"/>
      <c r="H128" s="314"/>
      <c r="I128" s="314"/>
      <c r="J128" s="314"/>
      <c r="K128" s="314"/>
      <c r="L128" s="314"/>
      <c r="M128" s="314"/>
      <c r="N128" s="314"/>
      <c r="O128" s="314"/>
      <c r="P128" s="314"/>
      <c r="Q128" s="314"/>
      <c r="R128" s="314"/>
      <c r="S128" s="314"/>
      <c r="T128" s="337">
        <v>0</v>
      </c>
      <c r="U128" s="337"/>
      <c r="V128" s="338"/>
      <c r="W128" s="318"/>
      <c r="X128" s="5"/>
    </row>
    <row r="129" spans="1:24" ht="15.75" x14ac:dyDescent="0.25">
      <c r="A129" s="285"/>
      <c r="B129" s="286" t="s">
        <v>188</v>
      </c>
      <c r="C129" s="314"/>
      <c r="D129" s="314"/>
      <c r="E129" s="314"/>
      <c r="F129" s="314"/>
      <c r="G129" s="314"/>
      <c r="H129" s="314"/>
      <c r="I129" s="314"/>
      <c r="J129" s="314"/>
      <c r="K129" s="314"/>
      <c r="L129" s="314"/>
      <c r="M129" s="314"/>
      <c r="N129" s="314"/>
      <c r="O129" s="314"/>
      <c r="P129" s="314"/>
      <c r="Q129" s="314"/>
      <c r="R129" s="314"/>
      <c r="S129" s="314"/>
      <c r="T129" s="337">
        <v>0</v>
      </c>
      <c r="U129" s="337"/>
      <c r="V129" s="338"/>
      <c r="W129" s="318"/>
      <c r="X129" s="5"/>
    </row>
    <row r="130" spans="1:24" ht="15.75" x14ac:dyDescent="0.25">
      <c r="A130" s="285"/>
      <c r="B130" s="286" t="s">
        <v>187</v>
      </c>
      <c r="C130" s="314"/>
      <c r="D130" s="314"/>
      <c r="E130" s="314"/>
      <c r="F130" s="314"/>
      <c r="G130" s="314"/>
      <c r="H130" s="314"/>
      <c r="I130" s="314"/>
      <c r="J130" s="314"/>
      <c r="K130" s="314"/>
      <c r="L130" s="314"/>
      <c r="M130" s="314"/>
      <c r="N130" s="314"/>
      <c r="O130" s="314"/>
      <c r="P130" s="314"/>
      <c r="Q130" s="314"/>
      <c r="R130" s="314"/>
      <c r="S130" s="314"/>
      <c r="T130" s="337">
        <v>0</v>
      </c>
      <c r="U130" s="337"/>
      <c r="V130" s="338"/>
      <c r="W130" s="318"/>
      <c r="X130" s="5"/>
    </row>
    <row r="131" spans="1:24" ht="15.75" x14ac:dyDescent="0.25">
      <c r="A131" s="285"/>
      <c r="B131" s="286" t="s">
        <v>39</v>
      </c>
      <c r="C131" s="314"/>
      <c r="D131" s="314"/>
      <c r="E131" s="314"/>
      <c r="F131" s="314"/>
      <c r="G131" s="314"/>
      <c r="H131" s="314"/>
      <c r="I131" s="314"/>
      <c r="J131" s="314"/>
      <c r="K131" s="314"/>
      <c r="L131" s="314"/>
      <c r="M131" s="314"/>
      <c r="N131" s="314"/>
      <c r="O131" s="314"/>
      <c r="P131" s="314"/>
      <c r="Q131" s="314"/>
      <c r="R131" s="314"/>
      <c r="S131" s="314"/>
      <c r="T131" s="337">
        <f>SUM(T121:T130)</f>
        <v>-8970</v>
      </c>
      <c r="U131" s="337"/>
      <c r="V131" s="337">
        <f>SUM(V102:V129)</f>
        <v>-5535</v>
      </c>
      <c r="W131" s="318"/>
      <c r="X131" s="5"/>
    </row>
    <row r="132" spans="1:24" ht="15.75" x14ac:dyDescent="0.25">
      <c r="A132" s="285"/>
      <c r="B132" s="286" t="s">
        <v>40</v>
      </c>
      <c r="C132" s="314"/>
      <c r="D132" s="314"/>
      <c r="E132" s="314"/>
      <c r="F132" s="314"/>
      <c r="G132" s="314"/>
      <c r="H132" s="314"/>
      <c r="I132" s="314"/>
      <c r="J132" s="314"/>
      <c r="K132" s="314"/>
      <c r="L132" s="314"/>
      <c r="M132" s="314"/>
      <c r="N132" s="314"/>
      <c r="O132" s="314"/>
      <c r="P132" s="314"/>
      <c r="Q132" s="314"/>
      <c r="R132" s="314"/>
      <c r="S132" s="314"/>
      <c r="T132" s="337">
        <f>T101+T131+T114</f>
        <v>0</v>
      </c>
      <c r="U132" s="337"/>
      <c r="V132" s="337">
        <f>V101+V131</f>
        <v>0</v>
      </c>
      <c r="W132" s="318"/>
      <c r="X132" s="5"/>
    </row>
    <row r="133" spans="1:24" ht="15.75" x14ac:dyDescent="0.25">
      <c r="A133" s="181"/>
      <c r="B133" s="212"/>
      <c r="C133" s="212"/>
      <c r="D133" s="212"/>
      <c r="E133" s="212"/>
      <c r="F133" s="212"/>
      <c r="G133" s="212"/>
      <c r="H133" s="212"/>
      <c r="I133" s="212"/>
      <c r="J133" s="212"/>
      <c r="K133" s="212"/>
      <c r="L133" s="212"/>
      <c r="M133" s="212"/>
      <c r="N133" s="212"/>
      <c r="O133" s="212"/>
      <c r="P133" s="212"/>
      <c r="Q133" s="212"/>
      <c r="R133" s="212"/>
      <c r="S133" s="212"/>
      <c r="T133" s="335"/>
      <c r="U133" s="335"/>
      <c r="V133" s="335"/>
      <c r="W133" s="212"/>
      <c r="X133" s="5"/>
    </row>
    <row r="134" spans="1:24" ht="15.75" x14ac:dyDescent="0.25">
      <c r="A134" s="181"/>
      <c r="B134" s="183"/>
      <c r="C134" s="183"/>
      <c r="D134" s="183"/>
      <c r="E134" s="183"/>
      <c r="F134" s="183"/>
      <c r="G134" s="183"/>
      <c r="H134" s="183"/>
      <c r="I134" s="183"/>
      <c r="J134" s="183"/>
      <c r="K134" s="183"/>
      <c r="L134" s="183"/>
      <c r="M134" s="183"/>
      <c r="N134" s="183"/>
      <c r="O134" s="183"/>
      <c r="P134" s="183"/>
      <c r="Q134" s="183"/>
      <c r="R134" s="183"/>
      <c r="S134" s="183"/>
      <c r="T134" s="183"/>
      <c r="U134" s="183"/>
      <c r="V134" s="202"/>
      <c r="W134" s="183"/>
      <c r="X134" s="5"/>
    </row>
    <row r="135" spans="1:24" ht="19.5" thickBot="1" x14ac:dyDescent="0.35">
      <c r="A135" s="197"/>
      <c r="B135" s="270" t="str">
        <f>B64</f>
        <v>PM15 INVESTOR REPORT QUARTER ENDING AUGUST 2014</v>
      </c>
      <c r="C135" s="198"/>
      <c r="D135" s="198"/>
      <c r="E135" s="198"/>
      <c r="F135" s="198"/>
      <c r="G135" s="198"/>
      <c r="H135" s="198"/>
      <c r="I135" s="198"/>
      <c r="J135" s="198"/>
      <c r="K135" s="198"/>
      <c r="L135" s="198"/>
      <c r="M135" s="198"/>
      <c r="N135" s="198"/>
      <c r="O135" s="198"/>
      <c r="P135" s="198"/>
      <c r="Q135" s="198"/>
      <c r="R135" s="198"/>
      <c r="S135" s="198"/>
      <c r="T135" s="198"/>
      <c r="U135" s="198"/>
      <c r="V135" s="209"/>
      <c r="W135" s="200"/>
      <c r="X135" s="5"/>
    </row>
    <row r="136" spans="1:24" ht="15.75" x14ac:dyDescent="0.25">
      <c r="A136" s="236"/>
      <c r="B136" s="403" t="s">
        <v>41</v>
      </c>
      <c r="C136" s="238"/>
      <c r="D136" s="238"/>
      <c r="E136" s="238"/>
      <c r="F136" s="238"/>
      <c r="G136" s="238"/>
      <c r="H136" s="238"/>
      <c r="I136" s="238"/>
      <c r="J136" s="238"/>
      <c r="K136" s="238"/>
      <c r="L136" s="238"/>
      <c r="M136" s="238"/>
      <c r="N136" s="238"/>
      <c r="O136" s="238"/>
      <c r="P136" s="238"/>
      <c r="Q136" s="238"/>
      <c r="R136" s="238"/>
      <c r="S136" s="238"/>
      <c r="T136" s="238"/>
      <c r="U136" s="238"/>
      <c r="V136" s="239"/>
      <c r="W136" s="238"/>
      <c r="X136" s="5"/>
    </row>
    <row r="137" spans="1:24" ht="15.75" x14ac:dyDescent="0.25">
      <c r="A137" s="181"/>
      <c r="B137" s="191"/>
      <c r="C137" s="183"/>
      <c r="D137" s="183"/>
      <c r="E137" s="183"/>
      <c r="F137" s="183"/>
      <c r="G137" s="183"/>
      <c r="H137" s="183"/>
      <c r="I137" s="183"/>
      <c r="J137" s="183"/>
      <c r="K137" s="183"/>
      <c r="L137" s="183"/>
      <c r="M137" s="183"/>
      <c r="N137" s="183"/>
      <c r="O137" s="183"/>
      <c r="P137" s="183"/>
      <c r="Q137" s="183"/>
      <c r="R137" s="183"/>
      <c r="S137" s="183"/>
      <c r="T137" s="183"/>
      <c r="U137" s="183"/>
      <c r="V137" s="202"/>
      <c r="W137" s="183"/>
      <c r="X137" s="5"/>
    </row>
    <row r="138" spans="1:24" ht="15.75" x14ac:dyDescent="0.25">
      <c r="A138" s="181"/>
      <c r="B138" s="210" t="s">
        <v>42</v>
      </c>
      <c r="C138" s="183"/>
      <c r="D138" s="183"/>
      <c r="E138" s="183"/>
      <c r="F138" s="183"/>
      <c r="G138" s="183"/>
      <c r="H138" s="183"/>
      <c r="I138" s="183"/>
      <c r="J138" s="183"/>
      <c r="K138" s="183"/>
      <c r="L138" s="183"/>
      <c r="M138" s="183"/>
      <c r="N138" s="183"/>
      <c r="O138" s="183"/>
      <c r="P138" s="183"/>
      <c r="Q138" s="183"/>
      <c r="R138" s="183"/>
      <c r="S138" s="183"/>
      <c r="T138" s="183"/>
      <c r="U138" s="183"/>
      <c r="V138" s="202"/>
      <c r="W138" s="183"/>
      <c r="X138" s="5"/>
    </row>
    <row r="139" spans="1:24" ht="15.75" x14ac:dyDescent="0.25">
      <c r="A139" s="285"/>
      <c r="B139" s="286" t="s">
        <v>43</v>
      </c>
      <c r="C139" s="286"/>
      <c r="D139" s="286"/>
      <c r="E139" s="286"/>
      <c r="F139" s="286"/>
      <c r="G139" s="286"/>
      <c r="H139" s="286"/>
      <c r="I139" s="286"/>
      <c r="J139" s="286"/>
      <c r="K139" s="286"/>
      <c r="L139" s="286"/>
      <c r="M139" s="286"/>
      <c r="N139" s="286"/>
      <c r="O139" s="286"/>
      <c r="P139" s="286"/>
      <c r="Q139" s="286"/>
      <c r="R139" s="286"/>
      <c r="S139" s="286"/>
      <c r="T139" s="286"/>
      <c r="U139" s="286"/>
      <c r="V139" s="338">
        <f>+V34*0.019</f>
        <v>19021.526999999998</v>
      </c>
      <c r="W139" s="289"/>
      <c r="X139" s="5"/>
    </row>
    <row r="140" spans="1:24" ht="15.75" x14ac:dyDescent="0.25">
      <c r="A140" s="285"/>
      <c r="B140" s="286" t="s">
        <v>44</v>
      </c>
      <c r="C140" s="286"/>
      <c r="D140" s="286"/>
      <c r="E140" s="286"/>
      <c r="F140" s="286"/>
      <c r="G140" s="286"/>
      <c r="H140" s="286"/>
      <c r="I140" s="286"/>
      <c r="J140" s="286"/>
      <c r="K140" s="286"/>
      <c r="L140" s="286"/>
      <c r="M140" s="286"/>
      <c r="N140" s="286"/>
      <c r="O140" s="286"/>
      <c r="P140" s="286"/>
      <c r="Q140" s="286"/>
      <c r="R140" s="286"/>
      <c r="S140" s="286"/>
      <c r="T140" s="286"/>
      <c r="U140" s="286"/>
      <c r="V140" s="338">
        <v>19022</v>
      </c>
      <c r="W140" s="289"/>
      <c r="X140" s="5"/>
    </row>
    <row r="141" spans="1:24" ht="15.75" x14ac:dyDescent="0.25">
      <c r="A141" s="285"/>
      <c r="B141" s="286" t="s">
        <v>136</v>
      </c>
      <c r="C141" s="286"/>
      <c r="D141" s="286"/>
      <c r="E141" s="286"/>
      <c r="F141" s="286"/>
      <c r="G141" s="286"/>
      <c r="H141" s="286"/>
      <c r="I141" s="286"/>
      <c r="J141" s="286"/>
      <c r="K141" s="286"/>
      <c r="L141" s="286"/>
      <c r="M141" s="286"/>
      <c r="N141" s="286"/>
      <c r="O141" s="286"/>
      <c r="P141" s="286"/>
      <c r="Q141" s="286"/>
      <c r="R141" s="286"/>
      <c r="S141" s="286"/>
      <c r="T141" s="286"/>
      <c r="U141" s="286"/>
      <c r="V141" s="338"/>
      <c r="W141" s="289"/>
      <c r="X141" s="5"/>
    </row>
    <row r="142" spans="1:24" ht="15.75" x14ac:dyDescent="0.25">
      <c r="A142" s="285"/>
      <c r="B142" s="286" t="s">
        <v>123</v>
      </c>
      <c r="C142" s="286"/>
      <c r="D142" s="286"/>
      <c r="E142" s="286"/>
      <c r="F142" s="286"/>
      <c r="G142" s="286"/>
      <c r="H142" s="286"/>
      <c r="I142" s="286"/>
      <c r="J142" s="286"/>
      <c r="K142" s="286"/>
      <c r="L142" s="286"/>
      <c r="M142" s="286"/>
      <c r="N142" s="286"/>
      <c r="O142" s="286"/>
      <c r="P142" s="286"/>
      <c r="Q142" s="286"/>
      <c r="R142" s="286"/>
      <c r="S142" s="286"/>
      <c r="T142" s="286"/>
      <c r="U142" s="286"/>
      <c r="V142" s="338">
        <v>0</v>
      </c>
      <c r="W142" s="289"/>
      <c r="X142" s="5"/>
    </row>
    <row r="143" spans="1:24" ht="15.75" x14ac:dyDescent="0.25">
      <c r="A143" s="285"/>
      <c r="B143" s="286" t="s">
        <v>124</v>
      </c>
      <c r="C143" s="286"/>
      <c r="D143" s="286"/>
      <c r="E143" s="286"/>
      <c r="F143" s="286"/>
      <c r="G143" s="286"/>
      <c r="H143" s="286"/>
      <c r="I143" s="286"/>
      <c r="J143" s="286"/>
      <c r="K143" s="286"/>
      <c r="L143" s="286"/>
      <c r="M143" s="286"/>
      <c r="N143" s="286"/>
      <c r="O143" s="286"/>
      <c r="P143" s="286"/>
      <c r="Q143" s="286"/>
      <c r="R143" s="286"/>
      <c r="S143" s="286"/>
      <c r="T143" s="286"/>
      <c r="U143" s="286"/>
      <c r="V143" s="338">
        <v>0</v>
      </c>
      <c r="W143" s="289"/>
      <c r="X143" s="5"/>
    </row>
    <row r="144" spans="1:24" ht="15.75" x14ac:dyDescent="0.25">
      <c r="A144" s="285"/>
      <c r="B144" s="286" t="s">
        <v>175</v>
      </c>
      <c r="C144" s="286"/>
      <c r="D144" s="286"/>
      <c r="E144" s="286"/>
      <c r="F144" s="286"/>
      <c r="G144" s="286"/>
      <c r="H144" s="286"/>
      <c r="I144" s="286"/>
      <c r="J144" s="286"/>
      <c r="K144" s="286"/>
      <c r="L144" s="286"/>
      <c r="M144" s="286"/>
      <c r="N144" s="286"/>
      <c r="O144" s="286"/>
      <c r="P144" s="286"/>
      <c r="Q144" s="286"/>
      <c r="R144" s="286"/>
      <c r="S144" s="286"/>
      <c r="T144" s="286"/>
      <c r="U144" s="286"/>
      <c r="V144" s="338">
        <v>0</v>
      </c>
      <c r="W144" s="289"/>
      <c r="X144" s="5"/>
    </row>
    <row r="145" spans="1:25" ht="15.75" x14ac:dyDescent="0.25">
      <c r="A145" s="285"/>
      <c r="B145" s="286" t="s">
        <v>45</v>
      </c>
      <c r="C145" s="286"/>
      <c r="D145" s="286"/>
      <c r="E145" s="286"/>
      <c r="F145" s="286"/>
      <c r="G145" s="286"/>
      <c r="H145" s="286"/>
      <c r="I145" s="286"/>
      <c r="J145" s="286"/>
      <c r="K145" s="286"/>
      <c r="L145" s="286"/>
      <c r="M145" s="286"/>
      <c r="N145" s="286"/>
      <c r="O145" s="286"/>
      <c r="P145" s="286"/>
      <c r="Q145" s="286"/>
      <c r="R145" s="286"/>
      <c r="S145" s="286"/>
      <c r="T145" s="286"/>
      <c r="U145" s="286"/>
      <c r="V145" s="338">
        <v>0</v>
      </c>
      <c r="W145" s="289"/>
      <c r="X145" s="5"/>
    </row>
    <row r="146" spans="1:25" ht="15.75" x14ac:dyDescent="0.25">
      <c r="A146" s="285"/>
      <c r="B146" s="286" t="s">
        <v>129</v>
      </c>
      <c r="C146" s="286"/>
      <c r="D146" s="286"/>
      <c r="E146" s="286"/>
      <c r="F146" s="286"/>
      <c r="G146" s="286"/>
      <c r="H146" s="286"/>
      <c r="I146" s="286"/>
      <c r="J146" s="286"/>
      <c r="K146" s="286"/>
      <c r="L146" s="286"/>
      <c r="M146" s="286"/>
      <c r="N146" s="286"/>
      <c r="O146" s="286"/>
      <c r="P146" s="286"/>
      <c r="Q146" s="286"/>
      <c r="R146" s="286"/>
      <c r="S146" s="286"/>
      <c r="T146" s="286"/>
      <c r="U146" s="286"/>
      <c r="V146" s="338">
        <v>0</v>
      </c>
      <c r="W146" s="289"/>
      <c r="X146" s="5"/>
    </row>
    <row r="147" spans="1:25" ht="15.75" x14ac:dyDescent="0.25">
      <c r="A147" s="285"/>
      <c r="B147" s="286" t="s">
        <v>241</v>
      </c>
      <c r="C147" s="286"/>
      <c r="D147" s="286"/>
      <c r="E147" s="286"/>
      <c r="F147" s="286"/>
      <c r="G147" s="286"/>
      <c r="H147" s="286"/>
      <c r="I147" s="286"/>
      <c r="J147" s="286"/>
      <c r="K147" s="286"/>
      <c r="L147" s="286"/>
      <c r="M147" s="286"/>
      <c r="N147" s="286"/>
      <c r="O147" s="286"/>
      <c r="P147" s="286"/>
      <c r="Q147" s="286"/>
      <c r="R147" s="286"/>
      <c r="S147" s="286"/>
      <c r="T147" s="286"/>
      <c r="U147" s="286"/>
      <c r="V147" s="338">
        <v>0</v>
      </c>
      <c r="W147" s="289"/>
      <c r="X147" s="5"/>
      <c r="Y147" s="109"/>
    </row>
    <row r="148" spans="1:25" ht="15.75" x14ac:dyDescent="0.25">
      <c r="A148" s="285"/>
      <c r="B148" s="286" t="s">
        <v>46</v>
      </c>
      <c r="C148" s="286"/>
      <c r="D148" s="286"/>
      <c r="E148" s="286"/>
      <c r="F148" s="286"/>
      <c r="G148" s="286"/>
      <c r="H148" s="286"/>
      <c r="I148" s="286"/>
      <c r="J148" s="286"/>
      <c r="K148" s="286"/>
      <c r="L148" s="286"/>
      <c r="M148" s="286"/>
      <c r="N148" s="286"/>
      <c r="O148" s="286"/>
      <c r="P148" s="286"/>
      <c r="Q148" s="286"/>
      <c r="R148" s="286"/>
      <c r="S148" s="286"/>
      <c r="T148" s="286"/>
      <c r="U148" s="286"/>
      <c r="V148" s="338">
        <f>SUM(V140:V147)</f>
        <v>19022</v>
      </c>
      <c r="W148" s="289"/>
      <c r="X148" s="5"/>
    </row>
    <row r="149" spans="1:25" ht="15.75" x14ac:dyDescent="0.25">
      <c r="A149" s="285"/>
      <c r="B149" s="314"/>
      <c r="C149" s="314"/>
      <c r="D149" s="314"/>
      <c r="E149" s="314"/>
      <c r="F149" s="314"/>
      <c r="G149" s="314"/>
      <c r="H149" s="314"/>
      <c r="I149" s="314"/>
      <c r="J149" s="314"/>
      <c r="K149" s="314"/>
      <c r="L149" s="314"/>
      <c r="M149" s="314"/>
      <c r="N149" s="314"/>
      <c r="O149" s="314"/>
      <c r="P149" s="314"/>
      <c r="Q149" s="314"/>
      <c r="R149" s="314"/>
      <c r="S149" s="314"/>
      <c r="T149" s="314"/>
      <c r="U149" s="314"/>
      <c r="V149" s="345"/>
      <c r="W149" s="318"/>
      <c r="X149" s="5"/>
    </row>
    <row r="150" spans="1:25" ht="15.75" x14ac:dyDescent="0.25">
      <c r="A150" s="285"/>
      <c r="B150" s="342" t="s">
        <v>269</v>
      </c>
      <c r="C150" s="314"/>
      <c r="D150" s="314"/>
      <c r="E150" s="314"/>
      <c r="F150" s="314"/>
      <c r="G150" s="314"/>
      <c r="H150" s="314"/>
      <c r="I150" s="314"/>
      <c r="J150" s="314"/>
      <c r="K150" s="314"/>
      <c r="L150" s="314"/>
      <c r="M150" s="314"/>
      <c r="N150" s="314"/>
      <c r="O150" s="314"/>
      <c r="P150" s="314"/>
      <c r="Q150" s="314"/>
      <c r="R150" s="314"/>
      <c r="S150" s="314"/>
      <c r="T150" s="314"/>
      <c r="U150" s="314"/>
      <c r="V150" s="345"/>
      <c r="W150" s="318"/>
      <c r="X150" s="5"/>
    </row>
    <row r="151" spans="1:25" ht="15.75" x14ac:dyDescent="0.25">
      <c r="A151" s="285"/>
      <c r="B151" s="286" t="s">
        <v>155</v>
      </c>
      <c r="C151" s="286"/>
      <c r="D151" s="286"/>
      <c r="E151" s="286"/>
      <c r="F151" s="286"/>
      <c r="G151" s="286"/>
      <c r="H151" s="286"/>
      <c r="I151" s="286"/>
      <c r="J151" s="286"/>
      <c r="K151" s="286"/>
      <c r="L151" s="286"/>
      <c r="M151" s="286"/>
      <c r="N151" s="286"/>
      <c r="O151" s="286"/>
      <c r="P151" s="286"/>
      <c r="Q151" s="286"/>
      <c r="R151" s="286"/>
      <c r="S151" s="286"/>
      <c r="T151" s="286"/>
      <c r="U151" s="286"/>
      <c r="V151" s="338">
        <v>0</v>
      </c>
      <c r="W151" s="289"/>
      <c r="X151" s="5"/>
    </row>
    <row r="152" spans="1:25" ht="15.75" x14ac:dyDescent="0.25">
      <c r="A152" s="285"/>
      <c r="B152" s="286" t="s">
        <v>172</v>
      </c>
      <c r="C152" s="286"/>
      <c r="D152" s="286"/>
      <c r="E152" s="286"/>
      <c r="F152" s="286"/>
      <c r="G152" s="286"/>
      <c r="H152" s="286"/>
      <c r="I152" s="286"/>
      <c r="J152" s="286"/>
      <c r="K152" s="286"/>
      <c r="L152" s="286"/>
      <c r="M152" s="286"/>
      <c r="N152" s="286"/>
      <c r="O152" s="286"/>
      <c r="P152" s="286"/>
      <c r="Q152" s="286"/>
      <c r="R152" s="286"/>
      <c r="S152" s="286"/>
      <c r="T152" s="286"/>
      <c r="U152" s="286"/>
      <c r="V152" s="338">
        <v>0</v>
      </c>
      <c r="W152" s="289"/>
      <c r="X152" s="5"/>
    </row>
    <row r="153" spans="1:25" ht="15.75" x14ac:dyDescent="0.25">
      <c r="A153" s="285"/>
      <c r="B153" s="286" t="s">
        <v>226</v>
      </c>
      <c r="C153" s="286"/>
      <c r="D153" s="286"/>
      <c r="E153" s="286"/>
      <c r="F153" s="286"/>
      <c r="G153" s="286"/>
      <c r="H153" s="286"/>
      <c r="I153" s="286"/>
      <c r="J153" s="286"/>
      <c r="K153" s="286"/>
      <c r="L153" s="286"/>
      <c r="M153" s="286"/>
      <c r="N153" s="286"/>
      <c r="O153" s="286"/>
      <c r="P153" s="286"/>
      <c r="Q153" s="286"/>
      <c r="R153" s="286"/>
      <c r="S153" s="286"/>
      <c r="T153" s="286"/>
      <c r="U153" s="286"/>
      <c r="V153" s="338">
        <v>0</v>
      </c>
      <c r="W153" s="289"/>
      <c r="X153" s="5"/>
    </row>
    <row r="154" spans="1:25" ht="15.75" x14ac:dyDescent="0.25">
      <c r="A154" s="285"/>
      <c r="B154" s="314"/>
      <c r="C154" s="314"/>
      <c r="D154" s="314"/>
      <c r="E154" s="314"/>
      <c r="F154" s="314"/>
      <c r="G154" s="314"/>
      <c r="H154" s="314"/>
      <c r="I154" s="314"/>
      <c r="J154" s="314"/>
      <c r="K154" s="314"/>
      <c r="L154" s="314"/>
      <c r="M154" s="314"/>
      <c r="N154" s="314"/>
      <c r="O154" s="314"/>
      <c r="P154" s="314"/>
      <c r="Q154" s="314"/>
      <c r="R154" s="314"/>
      <c r="S154" s="314"/>
      <c r="T154" s="314"/>
      <c r="U154" s="314"/>
      <c r="V154" s="345"/>
      <c r="W154" s="318"/>
      <c r="X154" s="5"/>
    </row>
    <row r="155" spans="1:25" ht="15.75" x14ac:dyDescent="0.25">
      <c r="A155" s="181"/>
      <c r="B155" s="212"/>
      <c r="C155" s="212"/>
      <c r="D155" s="212"/>
      <c r="E155" s="212"/>
      <c r="F155" s="212"/>
      <c r="G155" s="212"/>
      <c r="H155" s="212"/>
      <c r="I155" s="212"/>
      <c r="J155" s="212"/>
      <c r="K155" s="212"/>
      <c r="L155" s="212"/>
      <c r="M155" s="212"/>
      <c r="N155" s="212"/>
      <c r="O155" s="212"/>
      <c r="P155" s="212"/>
      <c r="Q155" s="212"/>
      <c r="R155" s="212"/>
      <c r="S155" s="212"/>
      <c r="T155" s="212"/>
      <c r="U155" s="212"/>
      <c r="V155" s="344"/>
      <c r="W155" s="212"/>
      <c r="X155" s="5"/>
    </row>
    <row r="156" spans="1:25" ht="15.75" x14ac:dyDescent="0.25">
      <c r="A156" s="181"/>
      <c r="B156" s="210" t="s">
        <v>24</v>
      </c>
      <c r="C156" s="183"/>
      <c r="D156" s="183"/>
      <c r="E156" s="183"/>
      <c r="F156" s="183"/>
      <c r="G156" s="183"/>
      <c r="H156" s="183"/>
      <c r="I156" s="183"/>
      <c r="J156" s="183"/>
      <c r="K156" s="183"/>
      <c r="L156" s="183"/>
      <c r="M156" s="183"/>
      <c r="N156" s="183"/>
      <c r="O156" s="183"/>
      <c r="P156" s="183"/>
      <c r="Q156" s="183"/>
      <c r="R156" s="183"/>
      <c r="S156" s="183"/>
      <c r="T156" s="183"/>
      <c r="U156" s="183"/>
      <c r="V156" s="202"/>
      <c r="W156" s="183"/>
      <c r="X156" s="5"/>
    </row>
    <row r="157" spans="1:25" ht="15.75" x14ac:dyDescent="0.25">
      <c r="A157" s="285"/>
      <c r="B157" s="286" t="s">
        <v>47</v>
      </c>
      <c r="C157" s="286"/>
      <c r="D157" s="286"/>
      <c r="E157" s="286"/>
      <c r="F157" s="286"/>
      <c r="G157" s="286"/>
      <c r="H157" s="286"/>
      <c r="I157" s="286"/>
      <c r="J157" s="286"/>
      <c r="K157" s="286"/>
      <c r="L157" s="286"/>
      <c r="M157" s="286"/>
      <c r="N157" s="286"/>
      <c r="O157" s="286"/>
      <c r="P157" s="286"/>
      <c r="Q157" s="286"/>
      <c r="R157" s="286"/>
      <c r="S157" s="286"/>
      <c r="T157" s="286"/>
      <c r="U157" s="286"/>
      <c r="V157" s="343" t="s">
        <v>118</v>
      </c>
      <c r="W157" s="318"/>
      <c r="X157" s="5"/>
    </row>
    <row r="158" spans="1:25" ht="15.75" x14ac:dyDescent="0.25">
      <c r="A158" s="285"/>
      <c r="B158" s="286" t="s">
        <v>48</v>
      </c>
      <c r="C158" s="288"/>
      <c r="D158" s="288"/>
      <c r="E158" s="288"/>
      <c r="F158" s="288"/>
      <c r="G158" s="288"/>
      <c r="H158" s="288"/>
      <c r="I158" s="288"/>
      <c r="J158" s="288"/>
      <c r="K158" s="288"/>
      <c r="L158" s="288"/>
      <c r="M158" s="288"/>
      <c r="N158" s="288"/>
      <c r="O158" s="288"/>
      <c r="P158" s="288"/>
      <c r="Q158" s="288"/>
      <c r="R158" s="288"/>
      <c r="S158" s="288"/>
      <c r="T158" s="288"/>
      <c r="U158" s="288"/>
      <c r="V158" s="343" t="s">
        <v>118</v>
      </c>
      <c r="W158" s="318"/>
      <c r="X158" s="5"/>
    </row>
    <row r="159" spans="1:25" ht="15.75" x14ac:dyDescent="0.25">
      <c r="A159" s="285"/>
      <c r="B159" s="286" t="s">
        <v>49</v>
      </c>
      <c r="C159" s="286"/>
      <c r="D159" s="286"/>
      <c r="E159" s="286"/>
      <c r="F159" s="286"/>
      <c r="G159" s="286"/>
      <c r="H159" s="286"/>
      <c r="I159" s="286"/>
      <c r="J159" s="286"/>
      <c r="K159" s="286"/>
      <c r="L159" s="286"/>
      <c r="M159" s="286"/>
      <c r="N159" s="286"/>
      <c r="O159" s="286"/>
      <c r="P159" s="286"/>
      <c r="Q159" s="286"/>
      <c r="R159" s="286"/>
      <c r="S159" s="286"/>
      <c r="T159" s="286"/>
      <c r="U159" s="286"/>
      <c r="V159" s="343" t="s">
        <v>118</v>
      </c>
      <c r="W159" s="318"/>
      <c r="X159" s="5"/>
    </row>
    <row r="160" spans="1:25" ht="15.75" x14ac:dyDescent="0.25">
      <c r="A160" s="285"/>
      <c r="B160" s="286" t="s">
        <v>50</v>
      </c>
      <c r="C160" s="286"/>
      <c r="D160" s="286"/>
      <c r="E160" s="286"/>
      <c r="F160" s="286"/>
      <c r="G160" s="286"/>
      <c r="H160" s="286"/>
      <c r="I160" s="286"/>
      <c r="J160" s="286"/>
      <c r="K160" s="286"/>
      <c r="L160" s="286"/>
      <c r="M160" s="286"/>
      <c r="N160" s="286"/>
      <c r="O160" s="286"/>
      <c r="P160" s="286"/>
      <c r="Q160" s="286"/>
      <c r="R160" s="286"/>
      <c r="S160" s="286"/>
      <c r="T160" s="286"/>
      <c r="U160" s="286"/>
      <c r="V160" s="343" t="s">
        <v>118</v>
      </c>
      <c r="W160" s="318"/>
      <c r="X160" s="5"/>
    </row>
    <row r="161" spans="1:256" ht="15.75" x14ac:dyDescent="0.25">
      <c r="A161" s="181"/>
      <c r="B161" s="212"/>
      <c r="C161" s="212"/>
      <c r="D161" s="212"/>
      <c r="E161" s="212"/>
      <c r="F161" s="212"/>
      <c r="G161" s="212"/>
      <c r="H161" s="212"/>
      <c r="I161" s="212"/>
      <c r="J161" s="212"/>
      <c r="K161" s="212"/>
      <c r="L161" s="212"/>
      <c r="M161" s="212"/>
      <c r="N161" s="212"/>
      <c r="O161" s="212"/>
      <c r="P161" s="212"/>
      <c r="Q161" s="212"/>
      <c r="R161" s="212"/>
      <c r="S161" s="212"/>
      <c r="T161" s="212"/>
      <c r="U161" s="212"/>
      <c r="V161" s="344"/>
      <c r="W161" s="212"/>
      <c r="X161" s="5"/>
    </row>
    <row r="162" spans="1:256" ht="15.75" x14ac:dyDescent="0.25">
      <c r="A162" s="181"/>
      <c r="B162" s="210" t="s">
        <v>51</v>
      </c>
      <c r="C162" s="183"/>
      <c r="D162" s="183"/>
      <c r="E162" s="183"/>
      <c r="F162" s="183"/>
      <c r="G162" s="183"/>
      <c r="H162" s="183"/>
      <c r="I162" s="183"/>
      <c r="J162" s="183"/>
      <c r="K162" s="183"/>
      <c r="L162" s="183"/>
      <c r="M162" s="183"/>
      <c r="N162" s="183"/>
      <c r="O162" s="183"/>
      <c r="P162" s="183"/>
      <c r="Q162" s="183"/>
      <c r="R162" s="183"/>
      <c r="S162" s="183"/>
      <c r="T162" s="183"/>
      <c r="U162" s="183"/>
      <c r="V162" s="211"/>
      <c r="W162" s="183"/>
      <c r="X162" s="5"/>
    </row>
    <row r="163" spans="1:256" ht="15.75" x14ac:dyDescent="0.25">
      <c r="A163" s="285"/>
      <c r="B163" s="286" t="s">
        <v>52</v>
      </c>
      <c r="C163" s="286"/>
      <c r="D163" s="286"/>
      <c r="E163" s="286"/>
      <c r="F163" s="286"/>
      <c r="G163" s="286"/>
      <c r="H163" s="286"/>
      <c r="I163" s="286"/>
      <c r="J163" s="286"/>
      <c r="K163" s="286"/>
      <c r="L163" s="286"/>
      <c r="M163" s="286"/>
      <c r="N163" s="286"/>
      <c r="O163" s="286"/>
      <c r="P163" s="286"/>
      <c r="Q163" s="286"/>
      <c r="R163" s="286"/>
      <c r="S163" s="286"/>
      <c r="T163" s="286"/>
      <c r="U163" s="286"/>
      <c r="V163" s="338">
        <v>0</v>
      </c>
      <c r="W163" s="289"/>
      <c r="X163" s="5"/>
    </row>
    <row r="164" spans="1:256" ht="15.75" x14ac:dyDescent="0.25">
      <c r="A164" s="285"/>
      <c r="B164" s="286" t="s">
        <v>53</v>
      </c>
      <c r="C164" s="286"/>
      <c r="D164" s="286"/>
      <c r="E164" s="286"/>
      <c r="F164" s="286"/>
      <c r="G164" s="286"/>
      <c r="H164" s="286"/>
      <c r="I164" s="286"/>
      <c r="J164" s="286"/>
      <c r="K164" s="286"/>
      <c r="L164" s="286"/>
      <c r="M164" s="286"/>
      <c r="N164" s="286"/>
      <c r="O164" s="286"/>
      <c r="P164" s="286"/>
      <c r="Q164" s="286"/>
      <c r="R164" s="286"/>
      <c r="S164" s="286"/>
      <c r="T164" s="286"/>
      <c r="U164" s="286"/>
      <c r="V164" s="338">
        <v>676</v>
      </c>
      <c r="W164" s="289"/>
      <c r="X164" s="5"/>
    </row>
    <row r="165" spans="1:256" ht="15.75" x14ac:dyDescent="0.25">
      <c r="A165" s="285"/>
      <c r="B165" s="286" t="s">
        <v>54</v>
      </c>
      <c r="C165" s="286"/>
      <c r="D165" s="286"/>
      <c r="E165" s="286"/>
      <c r="F165" s="286"/>
      <c r="G165" s="286"/>
      <c r="H165" s="286"/>
      <c r="I165" s="286"/>
      <c r="J165" s="286"/>
      <c r="K165" s="286"/>
      <c r="L165" s="286"/>
      <c r="M165" s="286"/>
      <c r="N165" s="286"/>
      <c r="O165" s="286"/>
      <c r="P165" s="286"/>
      <c r="Q165" s="286"/>
      <c r="R165" s="286"/>
      <c r="S165" s="286"/>
      <c r="T165" s="286"/>
      <c r="U165" s="286"/>
      <c r="V165" s="338">
        <f>V164+V163</f>
        <v>676</v>
      </c>
      <c r="W165" s="289"/>
      <c r="X165" s="5"/>
    </row>
    <row r="166" spans="1:256" ht="15.75" x14ac:dyDescent="0.25">
      <c r="A166" s="285"/>
      <c r="B166" s="286" t="s">
        <v>303</v>
      </c>
      <c r="C166" s="286"/>
      <c r="D166" s="286"/>
      <c r="E166" s="286"/>
      <c r="F166" s="286"/>
      <c r="G166" s="286"/>
      <c r="H166" s="286"/>
      <c r="I166" s="286"/>
      <c r="J166" s="286"/>
      <c r="K166" s="286"/>
      <c r="L166" s="286"/>
      <c r="M166" s="286"/>
      <c r="N166" s="286"/>
      <c r="O166" s="286"/>
      <c r="P166" s="286"/>
      <c r="Q166" s="286"/>
      <c r="R166" s="286"/>
      <c r="S166" s="286"/>
      <c r="T166" s="286"/>
      <c r="U166" s="286"/>
      <c r="V166" s="338">
        <f>V114</f>
        <v>-676</v>
      </c>
      <c r="W166" s="289"/>
      <c r="X166" s="5"/>
    </row>
    <row r="167" spans="1:256" ht="15.75" x14ac:dyDescent="0.25">
      <c r="A167" s="285"/>
      <c r="B167" s="286" t="s">
        <v>55</v>
      </c>
      <c r="C167" s="286"/>
      <c r="D167" s="286"/>
      <c r="E167" s="286"/>
      <c r="F167" s="286"/>
      <c r="G167" s="286"/>
      <c r="H167" s="286"/>
      <c r="I167" s="286"/>
      <c r="J167" s="286"/>
      <c r="K167" s="286"/>
      <c r="L167" s="286"/>
      <c r="M167" s="286"/>
      <c r="N167" s="286"/>
      <c r="O167" s="286"/>
      <c r="P167" s="286"/>
      <c r="Q167" s="286"/>
      <c r="R167" s="286"/>
      <c r="S167" s="286"/>
      <c r="T167" s="286"/>
      <c r="U167" s="286"/>
      <c r="V167" s="338">
        <f>V165+V166</f>
        <v>0</v>
      </c>
      <c r="W167" s="289"/>
      <c r="X167" s="5"/>
    </row>
    <row r="168" spans="1:256" ht="15.75" x14ac:dyDescent="0.25">
      <c r="A168" s="285"/>
      <c r="B168" s="286" t="s">
        <v>274</v>
      </c>
      <c r="C168" s="286"/>
      <c r="D168" s="286"/>
      <c r="E168" s="286"/>
      <c r="F168" s="286"/>
      <c r="G168" s="286"/>
      <c r="H168" s="286"/>
      <c r="I168" s="286"/>
      <c r="J168" s="286"/>
      <c r="K168" s="286"/>
      <c r="L168" s="286"/>
      <c r="M168" s="286"/>
      <c r="N168" s="286"/>
      <c r="O168" s="286"/>
      <c r="P168" s="286"/>
      <c r="Q168" s="286"/>
      <c r="R168" s="286"/>
      <c r="S168" s="286"/>
      <c r="T168" s="286"/>
      <c r="U168" s="286"/>
      <c r="V168" s="338">
        <v>0</v>
      </c>
      <c r="W168" s="289"/>
      <c r="X168" s="5"/>
    </row>
    <row r="169" spans="1:256" ht="16.5" thickBot="1" x14ac:dyDescent="0.3">
      <c r="A169" s="181"/>
      <c r="B169" s="212"/>
      <c r="C169" s="212"/>
      <c r="D169" s="212"/>
      <c r="E169" s="212"/>
      <c r="F169" s="212"/>
      <c r="G169" s="212"/>
      <c r="H169" s="212"/>
      <c r="I169" s="212"/>
      <c r="J169" s="212"/>
      <c r="K169" s="212"/>
      <c r="L169" s="212"/>
      <c r="M169" s="212"/>
      <c r="N169" s="212"/>
      <c r="O169" s="212"/>
      <c r="P169" s="212"/>
      <c r="Q169" s="212"/>
      <c r="R169" s="212"/>
      <c r="S169" s="212"/>
      <c r="T169" s="212"/>
      <c r="U169" s="212"/>
      <c r="V169" s="344"/>
      <c r="W169" s="212"/>
      <c r="X169" s="5"/>
    </row>
    <row r="170" spans="1:256" ht="15.75" x14ac:dyDescent="0.25">
      <c r="A170" s="179"/>
      <c r="B170" s="180"/>
      <c r="C170" s="180"/>
      <c r="D170" s="180"/>
      <c r="E170" s="180"/>
      <c r="F170" s="180"/>
      <c r="G170" s="180"/>
      <c r="H170" s="180"/>
      <c r="I170" s="180"/>
      <c r="J170" s="180"/>
      <c r="K170" s="180"/>
      <c r="L170" s="180"/>
      <c r="M170" s="180"/>
      <c r="N170" s="180"/>
      <c r="O170" s="180"/>
      <c r="P170" s="180"/>
      <c r="Q170" s="180"/>
      <c r="R170" s="180"/>
      <c r="S170" s="180"/>
      <c r="T170" s="180"/>
      <c r="U170" s="180"/>
      <c r="V170" s="201"/>
      <c r="W170" s="180"/>
      <c r="X170" s="5"/>
    </row>
    <row r="171" spans="1:256" s="158" customFormat="1" ht="15.75" x14ac:dyDescent="0.25">
      <c r="A171" s="181"/>
      <c r="B171" s="210" t="s">
        <v>230</v>
      </c>
      <c r="C171" s="212"/>
      <c r="D171" s="212"/>
      <c r="E171" s="212"/>
      <c r="F171" s="212"/>
      <c r="G171" s="212"/>
      <c r="H171" s="212"/>
      <c r="I171" s="212"/>
      <c r="J171" s="212"/>
      <c r="K171" s="212"/>
      <c r="L171" s="212"/>
      <c r="M171" s="212"/>
      <c r="N171" s="212"/>
      <c r="O171" s="212"/>
      <c r="P171" s="212"/>
      <c r="Q171" s="212"/>
      <c r="R171" s="212"/>
      <c r="S171" s="212"/>
      <c r="T171" s="212"/>
      <c r="U171" s="212"/>
      <c r="V171" s="213"/>
      <c r="W171" s="212"/>
      <c r="X171" s="5"/>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s="160" customFormat="1" ht="15.75" x14ac:dyDescent="0.25">
      <c r="A172" s="285"/>
      <c r="B172" s="286" t="s">
        <v>231</v>
      </c>
      <c r="C172" s="286"/>
      <c r="D172" s="286"/>
      <c r="E172" s="286"/>
      <c r="F172" s="286"/>
      <c r="G172" s="286"/>
      <c r="H172" s="286"/>
      <c r="I172" s="286"/>
      <c r="J172" s="286"/>
      <c r="K172" s="286"/>
      <c r="L172" s="286"/>
      <c r="M172" s="286"/>
      <c r="N172" s="286"/>
      <c r="O172" s="286"/>
      <c r="P172" s="286"/>
      <c r="Q172" s="286"/>
      <c r="R172" s="286"/>
      <c r="S172" s="286"/>
      <c r="T172" s="286"/>
      <c r="U172" s="286"/>
      <c r="V172" s="338">
        <f>+'Aug 08'!V173</f>
        <v>0</v>
      </c>
      <c r="W172" s="289"/>
      <c r="X172" s="5"/>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s="160" customFormat="1" ht="15.75" x14ac:dyDescent="0.25">
      <c r="A173" s="285"/>
      <c r="B173" s="286" t="s">
        <v>234</v>
      </c>
      <c r="C173" s="286"/>
      <c r="D173" s="286"/>
      <c r="E173" s="286"/>
      <c r="F173" s="286"/>
      <c r="G173" s="286"/>
      <c r="H173" s="286"/>
      <c r="I173" s="286"/>
      <c r="J173" s="286"/>
      <c r="K173" s="286"/>
      <c r="L173" s="286"/>
      <c r="M173" s="286"/>
      <c r="N173" s="286"/>
      <c r="O173" s="286"/>
      <c r="P173" s="286"/>
      <c r="Q173" s="286"/>
      <c r="R173" s="286"/>
      <c r="S173" s="286"/>
      <c r="T173" s="286"/>
      <c r="U173" s="286"/>
      <c r="V173" s="338">
        <f>+V94</f>
        <v>0</v>
      </c>
      <c r="W173" s="289"/>
      <c r="X173" s="5"/>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s="160" customFormat="1" ht="15.75" x14ac:dyDescent="0.25">
      <c r="A174" s="285"/>
      <c r="B174" s="286" t="s">
        <v>232</v>
      </c>
      <c r="C174" s="286"/>
      <c r="D174" s="286"/>
      <c r="E174" s="286"/>
      <c r="F174" s="286"/>
      <c r="G174" s="286"/>
      <c r="H174" s="286"/>
      <c r="I174" s="286"/>
      <c r="J174" s="286"/>
      <c r="K174" s="286"/>
      <c r="L174" s="286"/>
      <c r="M174" s="286"/>
      <c r="N174" s="286"/>
      <c r="O174" s="286"/>
      <c r="P174" s="286"/>
      <c r="Q174" s="286"/>
      <c r="R174" s="286"/>
      <c r="S174" s="286"/>
      <c r="T174" s="286"/>
      <c r="U174" s="286"/>
      <c r="V174" s="338">
        <f>+V172-V173</f>
        <v>0</v>
      </c>
      <c r="W174" s="289"/>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6.5" thickBot="1" x14ac:dyDescent="0.3">
      <c r="A175" s="197"/>
      <c r="B175" s="212"/>
      <c r="C175" s="212"/>
      <c r="D175" s="212"/>
      <c r="E175" s="212"/>
      <c r="F175" s="212"/>
      <c r="G175" s="212"/>
      <c r="H175" s="212"/>
      <c r="I175" s="212"/>
      <c r="J175" s="212"/>
      <c r="K175" s="212"/>
      <c r="L175" s="212"/>
      <c r="M175" s="212"/>
      <c r="N175" s="212"/>
      <c r="O175" s="212"/>
      <c r="P175" s="212"/>
      <c r="Q175" s="212"/>
      <c r="R175" s="212"/>
      <c r="S175" s="212"/>
      <c r="T175" s="212"/>
      <c r="U175" s="212"/>
      <c r="V175" s="344"/>
      <c r="W175" s="212"/>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4" customFormat="1" ht="15.75" x14ac:dyDescent="0.25">
      <c r="A176" s="179"/>
      <c r="B176" s="180"/>
      <c r="C176" s="180"/>
      <c r="D176" s="180"/>
      <c r="E176" s="180"/>
      <c r="F176" s="180"/>
      <c r="G176" s="180"/>
      <c r="H176" s="180"/>
      <c r="I176" s="180"/>
      <c r="J176" s="180"/>
      <c r="K176" s="180"/>
      <c r="L176" s="180"/>
      <c r="M176" s="180"/>
      <c r="N176" s="180"/>
      <c r="O176" s="180"/>
      <c r="P176" s="180"/>
      <c r="Q176" s="180"/>
      <c r="R176" s="180"/>
      <c r="S176" s="180"/>
      <c r="T176" s="180"/>
      <c r="U176" s="180"/>
      <c r="V176" s="201"/>
      <c r="W176" s="180"/>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4" ht="15.75" x14ac:dyDescent="0.25">
      <c r="A177" s="181"/>
      <c r="B177" s="210" t="s">
        <v>56</v>
      </c>
      <c r="C177" s="183"/>
      <c r="D177" s="183"/>
      <c r="E177" s="183"/>
      <c r="F177" s="183"/>
      <c r="G177" s="183"/>
      <c r="H177" s="183"/>
      <c r="I177" s="183"/>
      <c r="J177" s="183"/>
      <c r="K177" s="183"/>
      <c r="L177" s="183"/>
      <c r="M177" s="183"/>
      <c r="N177" s="183"/>
      <c r="O177" s="183"/>
      <c r="P177" s="183"/>
      <c r="Q177" s="183"/>
      <c r="R177" s="183"/>
      <c r="S177" s="183"/>
      <c r="T177" s="183"/>
      <c r="U177" s="183"/>
      <c r="V177" s="202"/>
      <c r="W177" s="183"/>
      <c r="X177" s="5"/>
    </row>
    <row r="178" spans="1:24" ht="15.75" x14ac:dyDescent="0.25">
      <c r="A178" s="181"/>
      <c r="B178" s="191"/>
      <c r="C178" s="183"/>
      <c r="D178" s="183"/>
      <c r="E178" s="183"/>
      <c r="F178" s="183"/>
      <c r="G178" s="183"/>
      <c r="H178" s="183"/>
      <c r="I178" s="183"/>
      <c r="J178" s="183"/>
      <c r="K178" s="183"/>
      <c r="L178" s="183"/>
      <c r="M178" s="183"/>
      <c r="N178" s="183"/>
      <c r="O178" s="183"/>
      <c r="P178" s="183"/>
      <c r="Q178" s="183"/>
      <c r="R178" s="183"/>
      <c r="S178" s="183"/>
      <c r="T178" s="183"/>
      <c r="U178" s="183"/>
      <c r="V178" s="202"/>
      <c r="W178" s="183"/>
      <c r="X178" s="5"/>
    </row>
    <row r="179" spans="1:24" ht="15.75" x14ac:dyDescent="0.25">
      <c r="A179" s="285"/>
      <c r="B179" s="286" t="s">
        <v>57</v>
      </c>
      <c r="C179" s="286"/>
      <c r="D179" s="286"/>
      <c r="E179" s="286"/>
      <c r="F179" s="286"/>
      <c r="G179" s="286"/>
      <c r="H179" s="286"/>
      <c r="I179" s="286"/>
      <c r="J179" s="286"/>
      <c r="K179" s="286"/>
      <c r="L179" s="286"/>
      <c r="M179" s="286"/>
      <c r="N179" s="286"/>
      <c r="O179" s="286"/>
      <c r="P179" s="286"/>
      <c r="Q179" s="286"/>
      <c r="R179" s="286"/>
      <c r="S179" s="286"/>
      <c r="T179" s="286"/>
      <c r="U179" s="286"/>
      <c r="V179" s="338">
        <f>V71</f>
        <v>768831</v>
      </c>
      <c r="W179" s="289"/>
      <c r="X179" s="5"/>
    </row>
    <row r="180" spans="1:24" ht="15.75" x14ac:dyDescent="0.25">
      <c r="A180" s="285"/>
      <c r="B180" s="286" t="s">
        <v>58</v>
      </c>
      <c r="C180" s="286"/>
      <c r="D180" s="286"/>
      <c r="E180" s="286"/>
      <c r="F180" s="286"/>
      <c r="G180" s="286"/>
      <c r="H180" s="286"/>
      <c r="I180" s="286"/>
      <c r="J180" s="286"/>
      <c r="K180" s="286"/>
      <c r="L180" s="286"/>
      <c r="M180" s="286"/>
      <c r="N180" s="286"/>
      <c r="O180" s="286"/>
      <c r="P180" s="286"/>
      <c r="Q180" s="286"/>
      <c r="R180" s="286"/>
      <c r="S180" s="286"/>
      <c r="T180" s="286"/>
      <c r="U180" s="286"/>
      <c r="V180" s="338">
        <f>V84</f>
        <v>768831</v>
      </c>
      <c r="W180" s="289"/>
      <c r="X180" s="5"/>
    </row>
    <row r="181" spans="1:24" ht="16.5" thickBot="1" x14ac:dyDescent="0.3">
      <c r="A181" s="181"/>
      <c r="B181" s="212"/>
      <c r="C181" s="212"/>
      <c r="D181" s="212"/>
      <c r="E181" s="212"/>
      <c r="F181" s="212"/>
      <c r="G181" s="212"/>
      <c r="H181" s="212"/>
      <c r="I181" s="212"/>
      <c r="J181" s="212"/>
      <c r="K181" s="212"/>
      <c r="L181" s="212"/>
      <c r="M181" s="212"/>
      <c r="N181" s="212"/>
      <c r="O181" s="212"/>
      <c r="P181" s="212"/>
      <c r="Q181" s="212"/>
      <c r="R181" s="212"/>
      <c r="S181" s="212"/>
      <c r="T181" s="212"/>
      <c r="U181" s="212"/>
      <c r="V181" s="344"/>
      <c r="W181" s="212"/>
      <c r="X181" s="5"/>
    </row>
    <row r="182" spans="1:24" ht="15.75" x14ac:dyDescent="0.25">
      <c r="A182" s="179"/>
      <c r="B182" s="180"/>
      <c r="C182" s="180"/>
      <c r="D182" s="180"/>
      <c r="E182" s="180"/>
      <c r="F182" s="180"/>
      <c r="G182" s="180"/>
      <c r="H182" s="180"/>
      <c r="I182" s="180"/>
      <c r="J182" s="180"/>
      <c r="K182" s="180"/>
      <c r="L182" s="180"/>
      <c r="M182" s="180"/>
      <c r="N182" s="180"/>
      <c r="O182" s="180"/>
      <c r="P182" s="180"/>
      <c r="Q182" s="180"/>
      <c r="R182" s="180"/>
      <c r="S182" s="180"/>
      <c r="T182" s="180"/>
      <c r="U182" s="180"/>
      <c r="V182" s="201"/>
      <c r="W182" s="180"/>
      <c r="X182" s="5"/>
    </row>
    <row r="183" spans="1:24" ht="15.75" x14ac:dyDescent="0.25">
      <c r="A183" s="181"/>
      <c r="B183" s="210" t="s">
        <v>59</v>
      </c>
      <c r="C183" s="206"/>
      <c r="D183" s="206"/>
      <c r="E183" s="206"/>
      <c r="F183" s="206"/>
      <c r="G183" s="206"/>
      <c r="H183" s="214"/>
      <c r="I183" s="214"/>
      <c r="J183" s="214"/>
      <c r="K183" s="214"/>
      <c r="L183" s="214"/>
      <c r="M183" s="214"/>
      <c r="N183" s="214"/>
      <c r="O183" s="214"/>
      <c r="P183" s="214"/>
      <c r="Q183" s="214"/>
      <c r="R183" s="214"/>
      <c r="S183" s="214" t="s">
        <v>101</v>
      </c>
      <c r="T183" s="214" t="s">
        <v>176</v>
      </c>
      <c r="U183" s="185"/>
      <c r="V183" s="215" t="s">
        <v>114</v>
      </c>
      <c r="W183" s="216"/>
      <c r="X183" s="5"/>
    </row>
    <row r="184" spans="1:24" ht="15.75" x14ac:dyDescent="0.25">
      <c r="A184" s="285"/>
      <c r="B184" s="286" t="s">
        <v>60</v>
      </c>
      <c r="C184" s="286"/>
      <c r="D184" s="286"/>
      <c r="E184" s="286"/>
      <c r="F184" s="286"/>
      <c r="G184" s="286"/>
      <c r="H184" s="286"/>
      <c r="I184" s="286"/>
      <c r="J184" s="286"/>
      <c r="K184" s="286"/>
      <c r="L184" s="286"/>
      <c r="M184" s="286"/>
      <c r="N184" s="286"/>
      <c r="O184" s="286"/>
      <c r="P184" s="286"/>
      <c r="Q184" s="286"/>
      <c r="R184" s="286"/>
      <c r="S184" s="338">
        <f>+V34*0.16</f>
        <v>160181.28</v>
      </c>
      <c r="T184" s="325"/>
      <c r="U184" s="286"/>
      <c r="V184" s="338"/>
      <c r="W184" s="289"/>
      <c r="X184" s="5"/>
    </row>
    <row r="185" spans="1:24" ht="15.75" x14ac:dyDescent="0.25">
      <c r="A185" s="285"/>
      <c r="B185" s="286" t="s">
        <v>61</v>
      </c>
      <c r="C185" s="286"/>
      <c r="D185" s="286"/>
      <c r="E185" s="286"/>
      <c r="F185" s="286"/>
      <c r="G185" s="286"/>
      <c r="H185" s="286"/>
      <c r="I185" s="286"/>
      <c r="J185" s="286"/>
      <c r="K185" s="286"/>
      <c r="L185" s="286"/>
      <c r="M185" s="286"/>
      <c r="N185" s="286"/>
      <c r="O185" s="286"/>
      <c r="P185" s="286"/>
      <c r="Q185" s="286"/>
      <c r="R185" s="286"/>
      <c r="S185" s="338">
        <f>+'May 14'!S187</f>
        <v>11336</v>
      </c>
      <c r="T185" s="338">
        <f>+'May 14'!T187</f>
        <v>6090</v>
      </c>
      <c r="U185" s="286"/>
      <c r="V185" s="338">
        <f>S185+T185</f>
        <v>17426</v>
      </c>
      <c r="W185" s="289"/>
      <c r="X185" s="5"/>
    </row>
    <row r="186" spans="1:24" ht="15.75" x14ac:dyDescent="0.25">
      <c r="A186" s="285"/>
      <c r="B186" s="286" t="s">
        <v>62</v>
      </c>
      <c r="C186" s="286"/>
      <c r="D186" s="286"/>
      <c r="E186" s="286"/>
      <c r="F186" s="286"/>
      <c r="G186" s="286"/>
      <c r="H186" s="286"/>
      <c r="I186" s="286"/>
      <c r="J186" s="286"/>
      <c r="K186" s="286"/>
      <c r="L186" s="286"/>
      <c r="M186" s="286"/>
      <c r="N186" s="286"/>
      <c r="O186" s="286"/>
      <c r="P186" s="286"/>
      <c r="Q186" s="286"/>
      <c r="R186" s="286"/>
      <c r="S186" s="337">
        <v>0</v>
      </c>
      <c r="T186" s="337">
        <v>0</v>
      </c>
      <c r="U186" s="286"/>
      <c r="V186" s="338">
        <f>S186+T186</f>
        <v>0</v>
      </c>
      <c r="W186" s="289"/>
      <c r="X186" s="5"/>
    </row>
    <row r="187" spans="1:24" ht="15.75" x14ac:dyDescent="0.25">
      <c r="A187" s="285"/>
      <c r="B187" s="286" t="s">
        <v>63</v>
      </c>
      <c r="C187" s="286"/>
      <c r="D187" s="286"/>
      <c r="E187" s="286"/>
      <c r="F187" s="286"/>
      <c r="G187" s="286"/>
      <c r="H187" s="286"/>
      <c r="I187" s="286"/>
      <c r="J187" s="286"/>
      <c r="K187" s="286"/>
      <c r="L187" s="286"/>
      <c r="M187" s="286"/>
      <c r="N187" s="286"/>
      <c r="O187" s="286"/>
      <c r="P187" s="286"/>
      <c r="Q187" s="286"/>
      <c r="R187" s="286"/>
      <c r="S187" s="338">
        <f>S185+S186</f>
        <v>11336</v>
      </c>
      <c r="T187" s="338">
        <f>T186+T185</f>
        <v>6090</v>
      </c>
      <c r="U187" s="286"/>
      <c r="V187" s="338">
        <f>S187+T187</f>
        <v>17426</v>
      </c>
      <c r="W187" s="289"/>
      <c r="X187" s="5"/>
    </row>
    <row r="188" spans="1:24" ht="15.75" x14ac:dyDescent="0.25">
      <c r="A188" s="285"/>
      <c r="B188" s="286" t="s">
        <v>64</v>
      </c>
      <c r="C188" s="286"/>
      <c r="D188" s="286"/>
      <c r="E188" s="286"/>
      <c r="F188" s="286"/>
      <c r="G188" s="286"/>
      <c r="H188" s="286"/>
      <c r="I188" s="286"/>
      <c r="J188" s="286"/>
      <c r="K188" s="286"/>
      <c r="L188" s="286"/>
      <c r="M188" s="286"/>
      <c r="N188" s="286"/>
      <c r="O188" s="286"/>
      <c r="P188" s="286"/>
      <c r="Q188" s="286"/>
      <c r="R188" s="286"/>
      <c r="S188" s="338">
        <f>S184-S187-T187</f>
        <v>142755.28</v>
      </c>
      <c r="T188" s="325"/>
      <c r="U188" s="286"/>
      <c r="V188" s="338"/>
      <c r="W188" s="289"/>
      <c r="X188" s="5"/>
    </row>
    <row r="189" spans="1:24" ht="16.5" thickBot="1" x14ac:dyDescent="0.3">
      <c r="A189" s="181"/>
      <c r="B189" s="212"/>
      <c r="C189" s="212"/>
      <c r="D189" s="212"/>
      <c r="E189" s="212"/>
      <c r="F189" s="212"/>
      <c r="G189" s="212"/>
      <c r="H189" s="212"/>
      <c r="I189" s="212"/>
      <c r="J189" s="212"/>
      <c r="K189" s="212"/>
      <c r="L189" s="212"/>
      <c r="M189" s="212"/>
      <c r="N189" s="212"/>
      <c r="O189" s="212"/>
      <c r="P189" s="212"/>
      <c r="Q189" s="212"/>
      <c r="R189" s="212"/>
      <c r="S189" s="212"/>
      <c r="T189" s="212"/>
      <c r="U189" s="212"/>
      <c r="V189" s="344"/>
      <c r="W189" s="212"/>
      <c r="X189" s="5"/>
    </row>
    <row r="190" spans="1:24" ht="15.75" x14ac:dyDescent="0.25">
      <c r="A190" s="179"/>
      <c r="B190" s="180"/>
      <c r="C190" s="180"/>
      <c r="D190" s="180"/>
      <c r="E190" s="180"/>
      <c r="F190" s="180"/>
      <c r="G190" s="180"/>
      <c r="H190" s="180"/>
      <c r="I190" s="180"/>
      <c r="J190" s="180"/>
      <c r="K190" s="180"/>
      <c r="L190" s="180"/>
      <c r="M190" s="180"/>
      <c r="N190" s="180"/>
      <c r="O190" s="180"/>
      <c r="P190" s="180"/>
      <c r="Q190" s="180"/>
      <c r="R190" s="180"/>
      <c r="S190" s="180"/>
      <c r="T190" s="180"/>
      <c r="U190" s="180"/>
      <c r="V190" s="201"/>
      <c r="W190" s="180"/>
      <c r="X190" s="5"/>
    </row>
    <row r="191" spans="1:24" ht="15.75" x14ac:dyDescent="0.25">
      <c r="A191" s="181"/>
      <c r="B191" s="210" t="s">
        <v>65</v>
      </c>
      <c r="C191" s="183"/>
      <c r="D191" s="183"/>
      <c r="E191" s="183"/>
      <c r="F191" s="183"/>
      <c r="G191" s="183"/>
      <c r="H191" s="183"/>
      <c r="I191" s="183"/>
      <c r="J191" s="183"/>
      <c r="K191" s="183"/>
      <c r="L191" s="183"/>
      <c r="M191" s="183"/>
      <c r="N191" s="183"/>
      <c r="O191" s="183"/>
      <c r="P191" s="183"/>
      <c r="Q191" s="183"/>
      <c r="R191" s="183"/>
      <c r="S191" s="183"/>
      <c r="T191" s="183"/>
      <c r="U191" s="183"/>
      <c r="V191" s="217"/>
      <c r="W191" s="183"/>
      <c r="X191" s="5"/>
    </row>
    <row r="192" spans="1:24" ht="15.75" x14ac:dyDescent="0.25">
      <c r="A192" s="285"/>
      <c r="B192" s="286" t="s">
        <v>66</v>
      </c>
      <c r="C192" s="286"/>
      <c r="D192" s="286"/>
      <c r="E192" s="286"/>
      <c r="F192" s="286"/>
      <c r="G192" s="286"/>
      <c r="H192" s="286"/>
      <c r="I192" s="286"/>
      <c r="J192" s="286"/>
      <c r="K192" s="286"/>
      <c r="L192" s="286"/>
      <c r="M192" s="286"/>
      <c r="N192" s="286"/>
      <c r="O192" s="286"/>
      <c r="P192" s="286"/>
      <c r="Q192" s="286"/>
      <c r="R192" s="286"/>
      <c r="S192" s="286"/>
      <c r="T192" s="286"/>
      <c r="U192" s="286"/>
      <c r="V192" s="343">
        <f>(V101+V103+V104+V105+V106)/-(V107+V108)</f>
        <v>4.1341463414634143</v>
      </c>
      <c r="W192" s="289" t="s">
        <v>115</v>
      </c>
      <c r="X192" s="5"/>
    </row>
    <row r="193" spans="1:24" ht="15.75" x14ac:dyDescent="0.25">
      <c r="A193" s="285"/>
      <c r="B193" s="286" t="s">
        <v>67</v>
      </c>
      <c r="C193" s="286"/>
      <c r="D193" s="286"/>
      <c r="E193" s="286"/>
      <c r="F193" s="286"/>
      <c r="G193" s="286"/>
      <c r="H193" s="286"/>
      <c r="I193" s="286"/>
      <c r="J193" s="286"/>
      <c r="K193" s="286"/>
      <c r="L193" s="286"/>
      <c r="M193" s="286"/>
      <c r="N193" s="286"/>
      <c r="O193" s="286"/>
      <c r="P193" s="286"/>
      <c r="Q193" s="286"/>
      <c r="R193" s="286"/>
      <c r="S193" s="286"/>
      <c r="T193" s="286"/>
      <c r="U193" s="286"/>
      <c r="V193" s="347">
        <v>1.94</v>
      </c>
      <c r="W193" s="289" t="s">
        <v>115</v>
      </c>
      <c r="X193" s="5"/>
    </row>
    <row r="194" spans="1:24" ht="15.75" x14ac:dyDescent="0.25">
      <c r="A194" s="285"/>
      <c r="B194" s="286" t="s">
        <v>68</v>
      </c>
      <c r="C194" s="286"/>
      <c r="D194" s="286"/>
      <c r="E194" s="286"/>
      <c r="F194" s="286"/>
      <c r="G194" s="286"/>
      <c r="H194" s="286"/>
      <c r="I194" s="286"/>
      <c r="J194" s="286"/>
      <c r="K194" s="286"/>
      <c r="L194" s="286"/>
      <c r="M194" s="286"/>
      <c r="N194" s="286"/>
      <c r="O194" s="286"/>
      <c r="P194" s="286"/>
      <c r="Q194" s="286"/>
      <c r="R194" s="286"/>
      <c r="S194" s="286"/>
      <c r="T194" s="286"/>
      <c r="U194" s="286"/>
      <c r="V194" s="343">
        <f>(V101+V103+V104+V105+V106+V107+V108)/-(V109+V110)</f>
        <v>17.847222222222221</v>
      </c>
      <c r="W194" s="289" t="s">
        <v>115</v>
      </c>
      <c r="X194" s="5"/>
    </row>
    <row r="195" spans="1:24" ht="15.75" x14ac:dyDescent="0.25">
      <c r="A195" s="285"/>
      <c r="B195" s="286" t="s">
        <v>69</v>
      </c>
      <c r="C195" s="286"/>
      <c r="D195" s="286"/>
      <c r="E195" s="286"/>
      <c r="F195" s="286"/>
      <c r="G195" s="286"/>
      <c r="H195" s="286"/>
      <c r="I195" s="286"/>
      <c r="J195" s="286"/>
      <c r="K195" s="286"/>
      <c r="L195" s="286"/>
      <c r="M195" s="286"/>
      <c r="N195" s="286"/>
      <c r="O195" s="286"/>
      <c r="P195" s="286"/>
      <c r="Q195" s="286"/>
      <c r="R195" s="286"/>
      <c r="S195" s="286"/>
      <c r="T195" s="286"/>
      <c r="U195" s="286"/>
      <c r="V195" s="347">
        <v>8.7200000000000006</v>
      </c>
      <c r="W195" s="289" t="s">
        <v>115</v>
      </c>
      <c r="X195" s="5"/>
    </row>
    <row r="196" spans="1:24" ht="15.75" x14ac:dyDescent="0.25">
      <c r="A196" s="285"/>
      <c r="B196" s="286" t="s">
        <v>198</v>
      </c>
      <c r="C196" s="286"/>
      <c r="D196" s="286"/>
      <c r="E196" s="286"/>
      <c r="F196" s="286"/>
      <c r="G196" s="286"/>
      <c r="H196" s="286"/>
      <c r="I196" s="286"/>
      <c r="J196" s="286"/>
      <c r="K196" s="286"/>
      <c r="L196" s="286"/>
      <c r="M196" s="286"/>
      <c r="N196" s="286"/>
      <c r="O196" s="286"/>
      <c r="P196" s="286"/>
      <c r="Q196" s="286"/>
      <c r="R196" s="286"/>
      <c r="S196" s="286"/>
      <c r="T196" s="286"/>
      <c r="U196" s="286"/>
      <c r="V196" s="343">
        <f>(V101+V103+V104+V105+V106+V107+V108+V109+V110)/-(V111)</f>
        <v>10.895209580838323</v>
      </c>
      <c r="W196" s="289" t="s">
        <v>115</v>
      </c>
      <c r="X196" s="5"/>
    </row>
    <row r="197" spans="1:24" ht="15.75" x14ac:dyDescent="0.25">
      <c r="A197" s="285"/>
      <c r="B197" s="286" t="s">
        <v>199</v>
      </c>
      <c r="C197" s="286"/>
      <c r="D197" s="286"/>
      <c r="E197" s="286"/>
      <c r="F197" s="286"/>
      <c r="G197" s="286"/>
      <c r="H197" s="286"/>
      <c r="I197" s="286"/>
      <c r="J197" s="286"/>
      <c r="K197" s="286"/>
      <c r="L197" s="286"/>
      <c r="M197" s="286"/>
      <c r="N197" s="286"/>
      <c r="O197" s="286"/>
      <c r="P197" s="286"/>
      <c r="Q197" s="286"/>
      <c r="R197" s="286"/>
      <c r="S197" s="286"/>
      <c r="T197" s="286"/>
      <c r="U197" s="286"/>
      <c r="V197" s="347">
        <v>6.53</v>
      </c>
      <c r="W197" s="289" t="s">
        <v>115</v>
      </c>
      <c r="X197" s="5"/>
    </row>
    <row r="198" spans="1:24" ht="15.75" x14ac:dyDescent="0.25">
      <c r="A198" s="285"/>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9"/>
      <c r="X198" s="5"/>
    </row>
    <row r="199" spans="1:24" ht="15.75" x14ac:dyDescent="0.25">
      <c r="A199" s="181"/>
      <c r="B199" s="346"/>
      <c r="C199" s="346"/>
      <c r="D199" s="346"/>
      <c r="E199" s="346"/>
      <c r="F199" s="346"/>
      <c r="G199" s="346"/>
      <c r="H199" s="346"/>
      <c r="I199" s="346"/>
      <c r="J199" s="346"/>
      <c r="K199" s="346"/>
      <c r="L199" s="346"/>
      <c r="M199" s="346"/>
      <c r="N199" s="346"/>
      <c r="O199" s="346"/>
      <c r="P199" s="346"/>
      <c r="Q199" s="346"/>
      <c r="R199" s="346"/>
      <c r="S199" s="346"/>
      <c r="T199" s="346"/>
      <c r="U199" s="346"/>
      <c r="V199" s="346"/>
      <c r="W199" s="346"/>
      <c r="X199" s="5"/>
    </row>
    <row r="200" spans="1:24" ht="15.75" x14ac:dyDescent="0.25">
      <c r="A200" s="181"/>
      <c r="B200" s="255"/>
      <c r="C200" s="255"/>
      <c r="D200" s="255"/>
      <c r="E200" s="255"/>
      <c r="F200" s="255"/>
      <c r="G200" s="255"/>
      <c r="H200" s="255"/>
      <c r="I200" s="255"/>
      <c r="J200" s="255"/>
      <c r="K200" s="255"/>
      <c r="L200" s="255"/>
      <c r="M200" s="255"/>
      <c r="N200" s="255"/>
      <c r="O200" s="255"/>
      <c r="P200" s="255"/>
      <c r="Q200" s="255"/>
      <c r="R200" s="255"/>
      <c r="S200" s="255"/>
      <c r="T200" s="255"/>
      <c r="U200" s="255"/>
      <c r="V200" s="255"/>
      <c r="W200" s="255"/>
      <c r="X200" s="5"/>
    </row>
    <row r="201" spans="1:24" ht="19.5" thickBot="1" x14ac:dyDescent="0.35">
      <c r="A201" s="197"/>
      <c r="B201" s="270" t="str">
        <f>B135</f>
        <v>PM15 INVESTOR REPORT QUARTER ENDING AUGUST 2014</v>
      </c>
      <c r="C201" s="271"/>
      <c r="D201" s="271"/>
      <c r="E201" s="271"/>
      <c r="F201" s="271"/>
      <c r="G201" s="271"/>
      <c r="H201" s="271"/>
      <c r="I201" s="271"/>
      <c r="J201" s="271"/>
      <c r="K201" s="271"/>
      <c r="L201" s="271"/>
      <c r="M201" s="271"/>
      <c r="N201" s="271"/>
      <c r="O201" s="271"/>
      <c r="P201" s="271"/>
      <c r="Q201" s="271"/>
      <c r="R201" s="271"/>
      <c r="S201" s="271"/>
      <c r="T201" s="271"/>
      <c r="U201" s="271"/>
      <c r="V201" s="271"/>
      <c r="W201" s="272"/>
      <c r="X201" s="5"/>
    </row>
    <row r="202" spans="1:24" ht="15.75" x14ac:dyDescent="0.25">
      <c r="A202" s="236"/>
      <c r="B202" s="403" t="s">
        <v>70</v>
      </c>
      <c r="C202" s="404"/>
      <c r="D202" s="404"/>
      <c r="E202" s="404"/>
      <c r="F202" s="404"/>
      <c r="G202" s="405"/>
      <c r="H202" s="405"/>
      <c r="I202" s="405"/>
      <c r="J202" s="405"/>
      <c r="K202" s="405"/>
      <c r="L202" s="405"/>
      <c r="M202" s="405"/>
      <c r="N202" s="405"/>
      <c r="O202" s="405"/>
      <c r="P202" s="405"/>
      <c r="Q202" s="405"/>
      <c r="R202" s="405"/>
      <c r="S202" s="405"/>
      <c r="T202" s="405">
        <v>41880</v>
      </c>
      <c r="U202" s="238"/>
      <c r="V202" s="238"/>
      <c r="W202" s="238"/>
      <c r="X202" s="5"/>
    </row>
    <row r="203" spans="1:24" ht="15.75" x14ac:dyDescent="0.25">
      <c r="A203" s="218"/>
      <c r="B203" s="219"/>
      <c r="C203" s="220"/>
      <c r="D203" s="220"/>
      <c r="E203" s="220"/>
      <c r="F203" s="220"/>
      <c r="G203" s="221"/>
      <c r="H203" s="221"/>
      <c r="I203" s="221"/>
      <c r="J203" s="221"/>
      <c r="K203" s="221"/>
      <c r="L203" s="221"/>
      <c r="M203" s="221"/>
      <c r="N203" s="221"/>
      <c r="O203" s="221"/>
      <c r="P203" s="221"/>
      <c r="Q203" s="221"/>
      <c r="R203" s="221"/>
      <c r="S203" s="221"/>
      <c r="T203" s="221"/>
      <c r="U203" s="183"/>
      <c r="V203" s="183"/>
      <c r="W203" s="183"/>
      <c r="X203" s="5"/>
    </row>
    <row r="204" spans="1:24" ht="15.75" x14ac:dyDescent="0.25">
      <c r="A204" s="350"/>
      <c r="B204" s="286" t="s">
        <v>71</v>
      </c>
      <c r="C204" s="406"/>
      <c r="D204" s="406"/>
      <c r="E204" s="406"/>
      <c r="F204" s="406"/>
      <c r="G204" s="397"/>
      <c r="H204" s="397"/>
      <c r="I204" s="397"/>
      <c r="J204" s="397"/>
      <c r="K204" s="397"/>
      <c r="L204" s="397"/>
      <c r="M204" s="397"/>
      <c r="N204" s="397"/>
      <c r="O204" s="397"/>
      <c r="P204" s="397"/>
      <c r="Q204" s="397"/>
      <c r="R204" s="397"/>
      <c r="S204" s="397"/>
      <c r="T204" s="321">
        <v>5.3830000000000003E-2</v>
      </c>
      <c r="U204" s="286"/>
      <c r="V204" s="286"/>
      <c r="W204" s="289"/>
      <c r="X204" s="5"/>
    </row>
    <row r="205" spans="1:24" ht="15.75" x14ac:dyDescent="0.25">
      <c r="A205" s="350"/>
      <c r="B205" s="286" t="s">
        <v>151</v>
      </c>
      <c r="C205" s="406"/>
      <c r="D205" s="406"/>
      <c r="E205" s="406"/>
      <c r="F205" s="406"/>
      <c r="G205" s="397"/>
      <c r="H205" s="397"/>
      <c r="I205" s="397"/>
      <c r="J205" s="397"/>
      <c r="K205" s="397"/>
      <c r="L205" s="397"/>
      <c r="M205" s="397"/>
      <c r="N205" s="397"/>
      <c r="O205" s="397"/>
      <c r="P205" s="397"/>
      <c r="Q205" s="397"/>
      <c r="R205" s="397"/>
      <c r="S205" s="397"/>
      <c r="T205" s="321">
        <v>6.25E-2</v>
      </c>
      <c r="U205" s="286"/>
      <c r="V205" s="286"/>
      <c r="W205" s="289"/>
      <c r="X205" s="5"/>
    </row>
    <row r="206" spans="1:24" ht="15.75" x14ac:dyDescent="0.25">
      <c r="A206" s="350"/>
      <c r="B206" s="286" t="s">
        <v>72</v>
      </c>
      <c r="C206" s="406"/>
      <c r="D206" s="406"/>
      <c r="E206" s="406"/>
      <c r="F206" s="406"/>
      <c r="G206" s="397"/>
      <c r="H206" s="397"/>
      <c r="I206" s="397"/>
      <c r="J206" s="397"/>
      <c r="K206" s="397"/>
      <c r="L206" s="397"/>
      <c r="M206" s="397"/>
      <c r="N206" s="397"/>
      <c r="O206" s="397"/>
      <c r="P206" s="397"/>
      <c r="Q206" s="397"/>
      <c r="R206" s="397"/>
      <c r="S206" s="397"/>
      <c r="T206" s="321">
        <f>T204-T205</f>
        <v>-8.6699999999999972E-3</v>
      </c>
      <c r="U206" s="286"/>
      <c r="V206" s="286"/>
      <c r="W206" s="289"/>
      <c r="X206" s="5"/>
    </row>
    <row r="207" spans="1:24" ht="15.75" x14ac:dyDescent="0.25">
      <c r="A207" s="350"/>
      <c r="B207" s="286" t="s">
        <v>73</v>
      </c>
      <c r="C207" s="406"/>
      <c r="D207" s="406"/>
      <c r="E207" s="406"/>
      <c r="F207" s="406"/>
      <c r="G207" s="397"/>
      <c r="H207" s="397"/>
      <c r="I207" s="397"/>
      <c r="J207" s="397"/>
      <c r="K207" s="397"/>
      <c r="L207" s="397"/>
      <c r="M207" s="397"/>
      <c r="N207" s="397"/>
      <c r="O207" s="397"/>
      <c r="P207" s="397"/>
      <c r="Q207" s="397"/>
      <c r="R207" s="397"/>
      <c r="S207" s="397"/>
      <c r="T207" s="321">
        <v>2.494E-2</v>
      </c>
      <c r="U207" s="286"/>
      <c r="V207" s="286"/>
      <c r="W207" s="289"/>
      <c r="X207" s="5"/>
    </row>
    <row r="208" spans="1:24" ht="15.75" x14ac:dyDescent="0.25">
      <c r="A208" s="350"/>
      <c r="B208" s="286" t="s">
        <v>218</v>
      </c>
      <c r="C208" s="406"/>
      <c r="D208" s="406"/>
      <c r="E208" s="406"/>
      <c r="F208" s="406"/>
      <c r="G208" s="397"/>
      <c r="H208" s="397"/>
      <c r="I208" s="397"/>
      <c r="J208" s="397"/>
      <c r="K208" s="397"/>
      <c r="L208" s="397"/>
      <c r="M208" s="397"/>
      <c r="N208" s="397"/>
      <c r="O208" s="397"/>
      <c r="P208" s="397"/>
      <c r="Q208" s="397"/>
      <c r="R208" s="397"/>
      <c r="S208" s="397"/>
      <c r="T208" s="321">
        <f>V43</f>
        <v>9.1825085823051128E-3</v>
      </c>
      <c r="U208" s="286"/>
      <c r="V208" s="286"/>
      <c r="W208" s="289"/>
      <c r="X208" s="5"/>
    </row>
    <row r="209" spans="1:24" ht="15.75" x14ac:dyDescent="0.25">
      <c r="A209" s="350"/>
      <c r="B209" s="286" t="s">
        <v>74</v>
      </c>
      <c r="C209" s="406"/>
      <c r="D209" s="406"/>
      <c r="E209" s="406"/>
      <c r="F209" s="406"/>
      <c r="G209" s="397"/>
      <c r="H209" s="397"/>
      <c r="I209" s="397"/>
      <c r="J209" s="397"/>
      <c r="K209" s="397"/>
      <c r="L209" s="397"/>
      <c r="M209" s="397"/>
      <c r="N209" s="397"/>
      <c r="O209" s="397"/>
      <c r="P209" s="397"/>
      <c r="Q209" s="397"/>
      <c r="R209" s="397"/>
      <c r="S209" s="397"/>
      <c r="T209" s="321">
        <f>T207-T208</f>
        <v>1.5757491417694888E-2</v>
      </c>
      <c r="U209" s="286"/>
      <c r="V209" s="286"/>
      <c r="W209" s="289"/>
      <c r="X209" s="5"/>
    </row>
    <row r="210" spans="1:24" ht="15.75" x14ac:dyDescent="0.25">
      <c r="A210" s="350"/>
      <c r="B210" s="286" t="s">
        <v>227</v>
      </c>
      <c r="C210" s="406"/>
      <c r="D210" s="406"/>
      <c r="E210" s="406"/>
      <c r="F210" s="406"/>
      <c r="G210" s="397"/>
      <c r="H210" s="397"/>
      <c r="I210" s="397"/>
      <c r="J210" s="397"/>
      <c r="K210" s="397"/>
      <c r="L210" s="397"/>
      <c r="M210" s="397"/>
      <c r="N210" s="397"/>
      <c r="O210" s="397"/>
      <c r="P210" s="397"/>
      <c r="Q210" s="397"/>
      <c r="R210" s="397"/>
      <c r="S210" s="397"/>
      <c r="T210" s="321">
        <f>V101/N71</f>
        <v>7.1162161015478256E-3</v>
      </c>
      <c r="U210" s="286"/>
      <c r="V210" s="286"/>
      <c r="W210" s="289"/>
      <c r="X210" s="5"/>
    </row>
    <row r="211" spans="1:24" ht="15.75" x14ac:dyDescent="0.25">
      <c r="A211" s="350"/>
      <c r="B211" s="286" t="s">
        <v>207</v>
      </c>
      <c r="C211" s="406"/>
      <c r="D211" s="406"/>
      <c r="E211" s="406"/>
      <c r="F211" s="406"/>
      <c r="G211" s="397"/>
      <c r="H211" s="397"/>
      <c r="I211" s="397"/>
      <c r="J211" s="397"/>
      <c r="K211" s="397"/>
      <c r="L211" s="397"/>
      <c r="M211" s="397"/>
      <c r="N211" s="397"/>
      <c r="O211" s="397"/>
      <c r="P211" s="397"/>
      <c r="Q211" s="397"/>
      <c r="R211" s="397"/>
      <c r="S211" s="397"/>
      <c r="T211" s="352">
        <v>51105</v>
      </c>
      <c r="U211" s="286"/>
      <c r="V211" s="286"/>
      <c r="W211" s="289"/>
      <c r="X211" s="5"/>
    </row>
    <row r="212" spans="1:24" ht="15.75" x14ac:dyDescent="0.25">
      <c r="A212" s="350"/>
      <c r="B212" s="286" t="s">
        <v>208</v>
      </c>
      <c r="C212" s="406"/>
      <c r="D212" s="406"/>
      <c r="E212" s="406"/>
      <c r="F212" s="406"/>
      <c r="G212" s="397"/>
      <c r="H212" s="397"/>
      <c r="I212" s="397"/>
      <c r="J212" s="397"/>
      <c r="K212" s="397"/>
      <c r="L212" s="397"/>
      <c r="M212" s="397"/>
      <c r="N212" s="397"/>
      <c r="O212" s="397"/>
      <c r="P212" s="397"/>
      <c r="Q212" s="397"/>
      <c r="R212" s="397"/>
      <c r="S212" s="397"/>
      <c r="T212" s="352">
        <v>51105</v>
      </c>
      <c r="U212" s="286"/>
      <c r="V212" s="286"/>
      <c r="W212" s="289"/>
      <c r="X212" s="5"/>
    </row>
    <row r="213" spans="1:24" ht="15.75" x14ac:dyDescent="0.25">
      <c r="A213" s="350"/>
      <c r="B213" s="286" t="s">
        <v>209</v>
      </c>
      <c r="C213" s="406"/>
      <c r="D213" s="406"/>
      <c r="E213" s="406"/>
      <c r="F213" s="406"/>
      <c r="G213" s="397"/>
      <c r="H213" s="397"/>
      <c r="I213" s="397"/>
      <c r="J213" s="397"/>
      <c r="K213" s="397"/>
      <c r="L213" s="397"/>
      <c r="M213" s="397"/>
      <c r="N213" s="397"/>
      <c r="O213" s="397"/>
      <c r="P213" s="397"/>
      <c r="Q213" s="397"/>
      <c r="R213" s="397"/>
      <c r="S213" s="397"/>
      <c r="T213" s="352">
        <v>51105</v>
      </c>
      <c r="U213" s="286"/>
      <c r="V213" s="286"/>
      <c r="W213" s="289"/>
      <c r="X213" s="5"/>
    </row>
    <row r="214" spans="1:24" ht="15.75" x14ac:dyDescent="0.25">
      <c r="A214" s="350"/>
      <c r="B214" s="286" t="s">
        <v>75</v>
      </c>
      <c r="C214" s="406"/>
      <c r="D214" s="406"/>
      <c r="E214" s="406"/>
      <c r="F214" s="406"/>
      <c r="G214" s="397"/>
      <c r="H214" s="397"/>
      <c r="I214" s="397"/>
      <c r="J214" s="397"/>
      <c r="K214" s="397"/>
      <c r="L214" s="397"/>
      <c r="M214" s="397"/>
      <c r="N214" s="397"/>
      <c r="O214" s="397"/>
      <c r="P214" s="397"/>
      <c r="Q214" s="397"/>
      <c r="R214" s="397"/>
      <c r="S214" s="397"/>
      <c r="T214" s="327">
        <v>21.06</v>
      </c>
      <c r="U214" s="286" t="s">
        <v>110</v>
      </c>
      <c r="V214" s="286"/>
      <c r="W214" s="289"/>
      <c r="X214" s="5"/>
    </row>
    <row r="215" spans="1:24" ht="15.75" x14ac:dyDescent="0.25">
      <c r="A215" s="350"/>
      <c r="B215" s="286" t="s">
        <v>76</v>
      </c>
      <c r="C215" s="406"/>
      <c r="D215" s="406"/>
      <c r="E215" s="406"/>
      <c r="F215" s="406"/>
      <c r="G215" s="397"/>
      <c r="H215" s="397"/>
      <c r="I215" s="397"/>
      <c r="J215" s="397"/>
      <c r="K215" s="397"/>
      <c r="L215" s="397"/>
      <c r="M215" s="397"/>
      <c r="N215" s="397"/>
      <c r="O215" s="397"/>
      <c r="P215" s="397"/>
      <c r="Q215" s="397"/>
      <c r="R215" s="397"/>
      <c r="S215" s="397"/>
      <c r="T215" s="327">
        <v>14.19</v>
      </c>
      <c r="U215" s="286" t="s">
        <v>110</v>
      </c>
      <c r="V215" s="286"/>
      <c r="W215" s="289"/>
      <c r="X215" s="5"/>
    </row>
    <row r="216" spans="1:24" ht="15.75" x14ac:dyDescent="0.25">
      <c r="A216" s="350"/>
      <c r="B216" s="286" t="s">
        <v>77</v>
      </c>
      <c r="C216" s="406"/>
      <c r="D216" s="406"/>
      <c r="E216" s="406"/>
      <c r="F216" s="406"/>
      <c r="G216" s="397"/>
      <c r="H216" s="397"/>
      <c r="I216" s="397"/>
      <c r="J216" s="397"/>
      <c r="K216" s="397"/>
      <c r="L216" s="397"/>
      <c r="M216" s="397"/>
      <c r="N216" s="397"/>
      <c r="O216" s="397"/>
      <c r="P216" s="397"/>
      <c r="Q216" s="397"/>
      <c r="R216" s="397"/>
      <c r="S216" s="397"/>
      <c r="T216" s="321">
        <f>+P68/N68</f>
        <v>1.1532512814974524E-2</v>
      </c>
      <c r="U216" s="286"/>
      <c r="V216" s="286"/>
      <c r="W216" s="289"/>
      <c r="X216" s="5"/>
    </row>
    <row r="217" spans="1:24" ht="15.75" x14ac:dyDescent="0.25">
      <c r="A217" s="350"/>
      <c r="B217" s="286" t="s">
        <v>78</v>
      </c>
      <c r="C217" s="406"/>
      <c r="D217" s="406"/>
      <c r="E217" s="406"/>
      <c r="F217" s="406"/>
      <c r="G217" s="397"/>
      <c r="H217" s="397"/>
      <c r="I217" s="397"/>
      <c r="J217" s="397"/>
      <c r="K217" s="397"/>
      <c r="L217" s="397"/>
      <c r="M217" s="397"/>
      <c r="N217" s="397"/>
      <c r="O217" s="397"/>
      <c r="P217" s="397"/>
      <c r="Q217" s="397"/>
      <c r="R217" s="397"/>
      <c r="S217" s="397"/>
      <c r="T217" s="321">
        <v>3.8300000000000001E-2</v>
      </c>
      <c r="U217" s="286"/>
      <c r="V217" s="286"/>
      <c r="W217" s="289"/>
      <c r="X217" s="5"/>
    </row>
    <row r="218" spans="1:24" ht="15.75" x14ac:dyDescent="0.25">
      <c r="A218" s="218"/>
      <c r="B218" s="348"/>
      <c r="C218" s="348"/>
      <c r="D218" s="348"/>
      <c r="E218" s="348"/>
      <c r="F218" s="348"/>
      <c r="G218" s="212"/>
      <c r="H218" s="212"/>
      <c r="I218" s="212"/>
      <c r="J218" s="212"/>
      <c r="K218" s="212"/>
      <c r="L218" s="212"/>
      <c r="M218" s="212"/>
      <c r="N218" s="212"/>
      <c r="O218" s="212"/>
      <c r="P218" s="212"/>
      <c r="Q218" s="212"/>
      <c r="R218" s="212"/>
      <c r="S218" s="212"/>
      <c r="T218" s="344"/>
      <c r="U218" s="212"/>
      <c r="V218" s="349"/>
      <c r="W218" s="212"/>
      <c r="X218" s="5"/>
    </row>
    <row r="219" spans="1:24" ht="15.75" x14ac:dyDescent="0.25">
      <c r="A219" s="242"/>
      <c r="B219" s="399" t="s">
        <v>79</v>
      </c>
      <c r="C219" s="400"/>
      <c r="D219" s="400"/>
      <c r="E219" s="400"/>
      <c r="F219" s="407"/>
      <c r="G219" s="400"/>
      <c r="H219" s="400"/>
      <c r="I219" s="400"/>
      <c r="J219" s="400"/>
      <c r="K219" s="400"/>
      <c r="L219" s="400"/>
      <c r="M219" s="400"/>
      <c r="N219" s="400"/>
      <c r="O219" s="400"/>
      <c r="P219" s="400"/>
      <c r="Q219" s="400"/>
      <c r="R219" s="400"/>
      <c r="S219" s="400" t="s">
        <v>102</v>
      </c>
      <c r="T219" s="407" t="s">
        <v>108</v>
      </c>
      <c r="U219" s="225"/>
      <c r="V219" s="225"/>
      <c r="W219" s="225"/>
      <c r="X219" s="5"/>
    </row>
    <row r="220" spans="1:24" ht="15.75" x14ac:dyDescent="0.25">
      <c r="A220" s="222"/>
      <c r="B220" s="250" t="s">
        <v>80</v>
      </c>
      <c r="C220" s="249"/>
      <c r="D220" s="249"/>
      <c r="E220" s="249"/>
      <c r="F220" s="250"/>
      <c r="G220" s="250"/>
      <c r="H220" s="268"/>
      <c r="I220" s="268"/>
      <c r="J220" s="268"/>
      <c r="K220" s="268"/>
      <c r="L220" s="268"/>
      <c r="M220" s="268"/>
      <c r="N220" s="268"/>
      <c r="O220" s="268"/>
      <c r="P220" s="268"/>
      <c r="Q220" s="268"/>
      <c r="R220" s="268"/>
      <c r="S220" s="268">
        <v>1</v>
      </c>
      <c r="T220" s="269">
        <v>231</v>
      </c>
      <c r="U220" s="250"/>
      <c r="V220" s="266"/>
      <c r="W220" s="223"/>
      <c r="X220" s="5"/>
    </row>
    <row r="221" spans="1:24" ht="15.75" x14ac:dyDescent="0.25">
      <c r="A221" s="358"/>
      <c r="B221" s="286" t="s">
        <v>145</v>
      </c>
      <c r="C221" s="337"/>
      <c r="D221" s="337"/>
      <c r="E221" s="337"/>
      <c r="F221" s="286"/>
      <c r="G221" s="286"/>
      <c r="H221" s="296"/>
      <c r="I221" s="296"/>
      <c r="J221" s="296"/>
      <c r="K221" s="296"/>
      <c r="L221" s="296"/>
      <c r="M221" s="296"/>
      <c r="N221" s="296"/>
      <c r="O221" s="296"/>
      <c r="P221" s="296"/>
      <c r="Q221" s="296"/>
      <c r="R221" s="296"/>
      <c r="S221" s="359">
        <f>+R273</f>
        <v>101</v>
      </c>
      <c r="T221" s="360">
        <f>+T273</f>
        <v>14654</v>
      </c>
      <c r="U221" s="286"/>
      <c r="V221" s="361"/>
      <c r="W221" s="362"/>
      <c r="X221" s="5"/>
    </row>
    <row r="222" spans="1:24" ht="15.75" x14ac:dyDescent="0.25">
      <c r="A222" s="358"/>
      <c r="B222" s="286" t="s">
        <v>81</v>
      </c>
      <c r="C222" s="337"/>
      <c r="D222" s="337"/>
      <c r="E222" s="337"/>
      <c r="F222" s="286"/>
      <c r="G222" s="286"/>
      <c r="H222" s="296"/>
      <c r="I222" s="296"/>
      <c r="J222" s="296"/>
      <c r="K222" s="296"/>
      <c r="L222" s="296"/>
      <c r="M222" s="296"/>
      <c r="N222" s="296"/>
      <c r="O222" s="296"/>
      <c r="P222" s="296"/>
      <c r="Q222" s="296"/>
      <c r="R222" s="296"/>
      <c r="S222" s="359">
        <f>+R285</f>
        <v>1</v>
      </c>
      <c r="T222" s="360">
        <f>+T285</f>
        <v>109</v>
      </c>
      <c r="U222" s="286"/>
      <c r="V222" s="361"/>
      <c r="W222" s="362"/>
      <c r="X222" s="5"/>
    </row>
    <row r="223" spans="1:24" ht="15.75" x14ac:dyDescent="0.25">
      <c r="A223" s="358"/>
      <c r="B223" s="313" t="s">
        <v>82</v>
      </c>
      <c r="C223" s="363"/>
      <c r="D223" s="363"/>
      <c r="E223" s="363"/>
      <c r="F223" s="314"/>
      <c r="G223" s="314"/>
      <c r="H223" s="314"/>
      <c r="I223" s="314"/>
      <c r="J223" s="314"/>
      <c r="K223" s="314"/>
      <c r="L223" s="314"/>
      <c r="M223" s="314"/>
      <c r="N223" s="314"/>
      <c r="O223" s="314"/>
      <c r="P223" s="314"/>
      <c r="Q223" s="314"/>
      <c r="R223" s="314"/>
      <c r="S223" s="286"/>
      <c r="T223" s="360">
        <v>0</v>
      </c>
      <c r="U223" s="314"/>
      <c r="V223" s="364"/>
      <c r="W223" s="362"/>
      <c r="X223" s="5"/>
    </row>
    <row r="224" spans="1:24" ht="15.75" x14ac:dyDescent="0.25">
      <c r="A224" s="358"/>
      <c r="B224" s="313" t="s">
        <v>228</v>
      </c>
      <c r="C224" s="363"/>
      <c r="D224" s="363"/>
      <c r="E224" s="363"/>
      <c r="F224" s="314"/>
      <c r="G224" s="314"/>
      <c r="H224" s="314"/>
      <c r="I224" s="314"/>
      <c r="J224" s="314"/>
      <c r="K224" s="314"/>
      <c r="L224" s="314"/>
      <c r="M224" s="314"/>
      <c r="N224" s="314"/>
      <c r="O224" s="314"/>
      <c r="P224" s="314"/>
      <c r="Q224" s="314"/>
      <c r="R224" s="314"/>
      <c r="S224" s="286"/>
      <c r="T224" s="360">
        <f>+N81</f>
        <v>0</v>
      </c>
      <c r="U224" s="314"/>
      <c r="V224" s="364"/>
      <c r="W224" s="362"/>
      <c r="X224" s="5"/>
    </row>
    <row r="225" spans="1:24" ht="15.75" x14ac:dyDescent="0.25">
      <c r="A225" s="365"/>
      <c r="B225" s="313" t="s">
        <v>83</v>
      </c>
      <c r="C225" s="366"/>
      <c r="D225" s="366"/>
      <c r="E225" s="366"/>
      <c r="F225" s="366"/>
      <c r="G225" s="314"/>
      <c r="H225" s="314"/>
      <c r="I225" s="314"/>
      <c r="J225" s="314"/>
      <c r="K225" s="314"/>
      <c r="L225" s="314"/>
      <c r="M225" s="314"/>
      <c r="N225" s="314"/>
      <c r="O225" s="314"/>
      <c r="P225" s="314"/>
      <c r="Q225" s="314"/>
      <c r="R225" s="314"/>
      <c r="S225" s="286"/>
      <c r="T225" s="360"/>
      <c r="U225" s="314"/>
      <c r="V225" s="364"/>
      <c r="W225" s="367"/>
      <c r="X225" s="5"/>
    </row>
    <row r="226" spans="1:24" ht="15.75" x14ac:dyDescent="0.25">
      <c r="A226" s="365"/>
      <c r="B226" s="286" t="s">
        <v>84</v>
      </c>
      <c r="C226" s="366"/>
      <c r="D226" s="366"/>
      <c r="E226" s="366"/>
      <c r="F226" s="366"/>
      <c r="G226" s="314"/>
      <c r="H226" s="314"/>
      <c r="I226" s="314"/>
      <c r="J226" s="314"/>
      <c r="K226" s="314"/>
      <c r="L226" s="314"/>
      <c r="M226" s="314"/>
      <c r="N226" s="314"/>
      <c r="O226" s="314"/>
      <c r="P226" s="314"/>
      <c r="Q226" s="314"/>
      <c r="R226" s="314"/>
      <c r="S226" s="296"/>
      <c r="T226" s="360">
        <f>V164</f>
        <v>676</v>
      </c>
      <c r="U226" s="314"/>
      <c r="V226" s="364"/>
      <c r="W226" s="367"/>
      <c r="X226" s="5"/>
    </row>
    <row r="227" spans="1:24" ht="15.75" x14ac:dyDescent="0.25">
      <c r="A227" s="358"/>
      <c r="B227" s="286" t="s">
        <v>85</v>
      </c>
      <c r="C227" s="363"/>
      <c r="D227" s="363"/>
      <c r="E227" s="363"/>
      <c r="F227" s="363"/>
      <c r="G227" s="314"/>
      <c r="H227" s="314"/>
      <c r="I227" s="314"/>
      <c r="J227" s="314"/>
      <c r="K227" s="314"/>
      <c r="L227" s="314"/>
      <c r="M227" s="314"/>
      <c r="N227" s="314"/>
      <c r="O227" s="314"/>
      <c r="P227" s="314"/>
      <c r="Q227" s="314"/>
      <c r="R227" s="314"/>
      <c r="S227" s="296"/>
      <c r="T227" s="360">
        <f>'May 14'!T227+T226</f>
        <v>7318</v>
      </c>
      <c r="U227" s="314"/>
      <c r="V227" s="364"/>
      <c r="W227" s="367"/>
      <c r="X227" s="5"/>
    </row>
    <row r="228" spans="1:24" ht="15.75" x14ac:dyDescent="0.25">
      <c r="A228" s="365"/>
      <c r="B228" s="313" t="s">
        <v>285</v>
      </c>
      <c r="C228" s="366"/>
      <c r="D228" s="366"/>
      <c r="E228" s="366"/>
      <c r="F228" s="366"/>
      <c r="G228" s="314"/>
      <c r="H228" s="314"/>
      <c r="I228" s="314"/>
      <c r="J228" s="314"/>
      <c r="K228" s="314"/>
      <c r="L228" s="314"/>
      <c r="M228" s="314"/>
      <c r="N228" s="314"/>
      <c r="O228" s="314"/>
      <c r="P228" s="314"/>
      <c r="Q228" s="314"/>
      <c r="R228" s="314"/>
      <c r="S228" s="296"/>
      <c r="T228" s="360"/>
      <c r="U228" s="314"/>
      <c r="V228" s="364"/>
      <c r="W228" s="367"/>
      <c r="X228" s="5"/>
    </row>
    <row r="229" spans="1:24" ht="15.75" x14ac:dyDescent="0.25">
      <c r="A229" s="365"/>
      <c r="B229" s="286" t="s">
        <v>282</v>
      </c>
      <c r="C229" s="366"/>
      <c r="D229" s="366"/>
      <c r="E229" s="366"/>
      <c r="F229" s="366"/>
      <c r="G229" s="314"/>
      <c r="H229" s="314"/>
      <c r="I229" s="314"/>
      <c r="J229" s="314"/>
      <c r="K229" s="314"/>
      <c r="L229" s="314"/>
      <c r="M229" s="314"/>
      <c r="N229" s="314"/>
      <c r="O229" s="314"/>
      <c r="P229" s="314"/>
      <c r="Q229" s="314"/>
      <c r="R229" s="314"/>
      <c r="S229" s="296">
        <v>0</v>
      </c>
      <c r="T229" s="360">
        <v>0</v>
      </c>
      <c r="U229" s="314"/>
      <c r="V229" s="364"/>
      <c r="W229" s="367"/>
      <c r="X229" s="5"/>
    </row>
    <row r="230" spans="1:24" ht="15.75" x14ac:dyDescent="0.25">
      <c r="A230" s="358"/>
      <c r="B230" s="286" t="s">
        <v>86</v>
      </c>
      <c r="C230" s="368"/>
      <c r="D230" s="368"/>
      <c r="E230" s="368"/>
      <c r="F230" s="369"/>
      <c r="G230" s="314"/>
      <c r="H230" s="314"/>
      <c r="I230" s="314"/>
      <c r="J230" s="314"/>
      <c r="K230" s="314"/>
      <c r="L230" s="314"/>
      <c r="M230" s="314"/>
      <c r="N230" s="314"/>
      <c r="O230" s="314"/>
      <c r="P230" s="314"/>
      <c r="Q230" s="314"/>
      <c r="R230" s="314"/>
      <c r="S230" s="286"/>
      <c r="T230" s="370">
        <v>0</v>
      </c>
      <c r="U230" s="314"/>
      <c r="V230" s="364"/>
      <c r="W230" s="367"/>
      <c r="X230" s="5"/>
    </row>
    <row r="231" spans="1:24" ht="15.75" x14ac:dyDescent="0.25">
      <c r="A231" s="358"/>
      <c r="B231" s="286" t="s">
        <v>87</v>
      </c>
      <c r="C231" s="368"/>
      <c r="D231" s="368"/>
      <c r="E231" s="368"/>
      <c r="F231" s="369"/>
      <c r="G231" s="314"/>
      <c r="H231" s="314"/>
      <c r="I231" s="314"/>
      <c r="J231" s="314"/>
      <c r="K231" s="314"/>
      <c r="L231" s="314"/>
      <c r="M231" s="314"/>
      <c r="N231" s="314"/>
      <c r="O231" s="314"/>
      <c r="P231" s="314"/>
      <c r="Q231" s="314"/>
      <c r="R231" s="314"/>
      <c r="S231" s="286"/>
      <c r="T231" s="370">
        <v>0</v>
      </c>
      <c r="U231" s="314"/>
      <c r="V231" s="364"/>
      <c r="W231" s="367"/>
      <c r="X231" s="5"/>
    </row>
    <row r="232" spans="1:24" ht="15.75" x14ac:dyDescent="0.25">
      <c r="A232" s="358"/>
      <c r="B232" s="313" t="s">
        <v>216</v>
      </c>
      <c r="C232" s="368"/>
      <c r="D232" s="368"/>
      <c r="E232" s="368"/>
      <c r="F232" s="369"/>
      <c r="G232" s="314"/>
      <c r="H232" s="314"/>
      <c r="I232" s="314"/>
      <c r="J232" s="314"/>
      <c r="K232" s="314"/>
      <c r="L232" s="314"/>
      <c r="M232" s="314"/>
      <c r="N232" s="314"/>
      <c r="O232" s="314"/>
      <c r="P232" s="314"/>
      <c r="Q232" s="314"/>
      <c r="R232" s="314"/>
      <c r="S232" s="286"/>
      <c r="T232" s="371"/>
      <c r="U232" s="314"/>
      <c r="V232" s="364"/>
      <c r="W232" s="367"/>
      <c r="X232" s="5"/>
    </row>
    <row r="233" spans="1:24" ht="15.75" x14ac:dyDescent="0.25">
      <c r="A233" s="358"/>
      <c r="B233" s="286" t="s">
        <v>282</v>
      </c>
      <c r="C233" s="368"/>
      <c r="D233" s="368"/>
      <c r="E233" s="368"/>
      <c r="F233" s="369"/>
      <c r="G233" s="314"/>
      <c r="H233" s="314"/>
      <c r="I233" s="314"/>
      <c r="J233" s="314"/>
      <c r="K233" s="314"/>
      <c r="L233" s="314"/>
      <c r="M233" s="314"/>
      <c r="N233" s="314"/>
      <c r="O233" s="314"/>
      <c r="P233" s="314"/>
      <c r="Q233" s="314"/>
      <c r="R233" s="314"/>
      <c r="S233" s="296">
        <v>11</v>
      </c>
      <c r="T233" s="360">
        <v>1267</v>
      </c>
      <c r="U233" s="314"/>
      <c r="V233" s="364"/>
      <c r="W233" s="367"/>
      <c r="X233" s="5"/>
    </row>
    <row r="234" spans="1:24" ht="15.75" x14ac:dyDescent="0.25">
      <c r="A234" s="358"/>
      <c r="B234" s="286" t="s">
        <v>217</v>
      </c>
      <c r="C234" s="368"/>
      <c r="D234" s="368"/>
      <c r="E234" s="368"/>
      <c r="F234" s="369"/>
      <c r="G234" s="314"/>
      <c r="H234" s="314"/>
      <c r="I234" s="314"/>
      <c r="J234" s="314"/>
      <c r="K234" s="314"/>
      <c r="L234" s="314"/>
      <c r="M234" s="314"/>
      <c r="N234" s="314"/>
      <c r="O234" s="314"/>
      <c r="P234" s="314"/>
      <c r="Q234" s="314"/>
      <c r="R234" s="314"/>
      <c r="S234" s="286"/>
      <c r="T234" s="370">
        <v>6.99</v>
      </c>
      <c r="U234" s="314"/>
      <c r="V234" s="364"/>
      <c r="W234" s="367"/>
      <c r="X234" s="5"/>
    </row>
    <row r="235" spans="1:24" ht="15.75" x14ac:dyDescent="0.25">
      <c r="A235" s="358"/>
      <c r="B235" s="366"/>
      <c r="C235" s="368"/>
      <c r="D235" s="368"/>
      <c r="E235" s="368"/>
      <c r="F235" s="369"/>
      <c r="G235" s="314"/>
      <c r="H235" s="314"/>
      <c r="I235" s="314"/>
      <c r="J235" s="314"/>
      <c r="K235" s="314"/>
      <c r="L235" s="314"/>
      <c r="M235" s="314"/>
      <c r="N235" s="314"/>
      <c r="O235" s="314"/>
      <c r="P235" s="314"/>
      <c r="Q235" s="314"/>
      <c r="R235" s="314"/>
      <c r="S235" s="286"/>
      <c r="T235" s="371"/>
      <c r="U235" s="314"/>
      <c r="V235" s="364"/>
      <c r="W235" s="367"/>
      <c r="X235" s="5"/>
    </row>
    <row r="236" spans="1:24" ht="15.75" x14ac:dyDescent="0.25">
      <c r="A236" s="358"/>
      <c r="B236" s="366"/>
      <c r="C236" s="368"/>
      <c r="D236" s="368"/>
      <c r="E236" s="368"/>
      <c r="F236" s="369"/>
      <c r="G236" s="314"/>
      <c r="H236" s="314"/>
      <c r="I236" s="314"/>
      <c r="J236" s="314"/>
      <c r="K236" s="314"/>
      <c r="L236" s="314"/>
      <c r="M236" s="314"/>
      <c r="N236" s="314"/>
      <c r="O236" s="314"/>
      <c r="P236" s="314"/>
      <c r="Q236" s="314"/>
      <c r="R236" s="314"/>
      <c r="S236" s="314"/>
      <c r="T236" s="372"/>
      <c r="U236" s="314"/>
      <c r="V236" s="364"/>
      <c r="W236" s="367"/>
      <c r="X236" s="5"/>
    </row>
    <row r="237" spans="1:24" ht="18.75" x14ac:dyDescent="0.3">
      <c r="A237" s="358"/>
      <c r="B237" s="373" t="s">
        <v>168</v>
      </c>
      <c r="C237" s="368"/>
      <c r="D237" s="368"/>
      <c r="E237" s="368"/>
      <c r="F237" s="369"/>
      <c r="G237" s="314"/>
      <c r="H237" s="314"/>
      <c r="I237" s="314"/>
      <c r="J237" s="314"/>
      <c r="K237" s="314"/>
      <c r="L237" s="314"/>
      <c r="M237" s="314"/>
      <c r="N237" s="314"/>
      <c r="O237" s="314"/>
      <c r="P237" s="374" t="s">
        <v>167</v>
      </c>
      <c r="Q237" s="314"/>
      <c r="R237" s="314"/>
      <c r="S237" s="314"/>
      <c r="T237" s="372"/>
      <c r="U237" s="314"/>
      <c r="V237" s="364"/>
      <c r="W237" s="367"/>
      <c r="X237" s="5"/>
    </row>
    <row r="238" spans="1:24" ht="15.75" x14ac:dyDescent="0.25">
      <c r="A238" s="353"/>
      <c r="B238" s="348"/>
      <c r="C238" s="354"/>
      <c r="D238" s="354"/>
      <c r="E238" s="354"/>
      <c r="F238" s="355"/>
      <c r="G238" s="212"/>
      <c r="H238" s="212"/>
      <c r="I238" s="212"/>
      <c r="J238" s="212"/>
      <c r="K238" s="212"/>
      <c r="L238" s="212"/>
      <c r="M238" s="212"/>
      <c r="N238" s="212"/>
      <c r="O238" s="212"/>
      <c r="P238" s="212"/>
      <c r="Q238" s="212"/>
      <c r="R238" s="212"/>
      <c r="S238" s="212"/>
      <c r="T238" s="356"/>
      <c r="U238" s="212"/>
      <c r="V238" s="349"/>
      <c r="W238" s="357"/>
      <c r="X238" s="5"/>
    </row>
    <row r="239" spans="1:24" ht="15.75" x14ac:dyDescent="0.25">
      <c r="A239" s="224"/>
      <c r="B239" s="399" t="s">
        <v>297</v>
      </c>
      <c r="C239" s="400"/>
      <c r="D239" s="400"/>
      <c r="E239" s="400"/>
      <c r="F239" s="407"/>
      <c r="G239" s="400"/>
      <c r="H239" s="400"/>
      <c r="I239" s="400"/>
      <c r="J239" s="400"/>
      <c r="K239" s="400"/>
      <c r="L239" s="400"/>
      <c r="M239" s="400"/>
      <c r="N239" s="400"/>
      <c r="O239" s="400"/>
      <c r="P239" s="400"/>
      <c r="Q239" s="400"/>
      <c r="R239" s="407" t="s">
        <v>102</v>
      </c>
      <c r="S239" s="400" t="s">
        <v>103</v>
      </c>
      <c r="T239" s="407" t="s">
        <v>109</v>
      </c>
      <c r="U239" s="400" t="s">
        <v>103</v>
      </c>
      <c r="V239" s="225"/>
      <c r="W239" s="399"/>
      <c r="X239" s="5"/>
    </row>
    <row r="240" spans="1:24" ht="15.75" x14ac:dyDescent="0.25">
      <c r="A240" s="193"/>
      <c r="B240" s="249" t="s">
        <v>88</v>
      </c>
      <c r="C240" s="265"/>
      <c r="D240" s="265"/>
      <c r="E240" s="265"/>
      <c r="F240" s="250"/>
      <c r="G240" s="265"/>
      <c r="H240" s="265"/>
      <c r="I240" s="265"/>
      <c r="J240" s="265"/>
      <c r="K240" s="265"/>
      <c r="L240" s="265"/>
      <c r="M240" s="265"/>
      <c r="N240" s="265"/>
      <c r="O240" s="265"/>
      <c r="P240" s="265"/>
      <c r="Q240" s="265"/>
      <c r="R240" s="249">
        <f t="shared" ref="R240:R247" si="1">+R252+R264+R276</f>
        <v>5447</v>
      </c>
      <c r="S240" s="252">
        <f t="shared" ref="S240:S247" si="2">R240/$R$249</f>
        <v>0.99561323341253882</v>
      </c>
      <c r="T240" s="253">
        <f t="shared" ref="T240:T247" si="3">+T252+T264+T276</f>
        <v>765262</v>
      </c>
      <c r="U240" s="252">
        <f t="shared" ref="U240:U247" si="4">T240/$T$249</f>
        <v>0.99535788749413068</v>
      </c>
      <c r="V240" s="266"/>
      <c r="W240" s="408"/>
      <c r="X240" s="5"/>
    </row>
    <row r="241" spans="1:25" ht="15.75" x14ac:dyDescent="0.25">
      <c r="A241" s="285"/>
      <c r="B241" s="337" t="s">
        <v>89</v>
      </c>
      <c r="C241" s="378"/>
      <c r="D241" s="378"/>
      <c r="E241" s="378"/>
      <c r="F241" s="286"/>
      <c r="G241" s="379"/>
      <c r="H241" s="378"/>
      <c r="I241" s="378"/>
      <c r="J241" s="378"/>
      <c r="K241" s="378"/>
      <c r="L241" s="378"/>
      <c r="M241" s="378"/>
      <c r="N241" s="378"/>
      <c r="O241" s="378"/>
      <c r="P241" s="378"/>
      <c r="Q241" s="378"/>
      <c r="R241" s="337">
        <f t="shared" si="1"/>
        <v>9</v>
      </c>
      <c r="S241" s="379">
        <f t="shared" si="2"/>
        <v>1.6450374702979345E-3</v>
      </c>
      <c r="T241" s="338">
        <f t="shared" si="3"/>
        <v>1309</v>
      </c>
      <c r="U241" s="379">
        <f t="shared" si="4"/>
        <v>1.7025848333378857E-3</v>
      </c>
      <c r="V241" s="361"/>
      <c r="W241" s="409"/>
      <c r="X241" s="5"/>
      <c r="Y241" s="109"/>
    </row>
    <row r="242" spans="1:25" ht="15.75" x14ac:dyDescent="0.25">
      <c r="A242" s="285"/>
      <c r="B242" s="337" t="s">
        <v>90</v>
      </c>
      <c r="C242" s="378"/>
      <c r="D242" s="378"/>
      <c r="E242" s="378"/>
      <c r="F242" s="286"/>
      <c r="G242" s="379"/>
      <c r="H242" s="378"/>
      <c r="I242" s="378"/>
      <c r="J242" s="378"/>
      <c r="K242" s="378"/>
      <c r="L242" s="378"/>
      <c r="M242" s="378"/>
      <c r="N242" s="378"/>
      <c r="O242" s="378"/>
      <c r="P242" s="378"/>
      <c r="Q242" s="378"/>
      <c r="R242" s="337">
        <f t="shared" si="1"/>
        <v>3</v>
      </c>
      <c r="S242" s="379">
        <f t="shared" si="2"/>
        <v>5.4834582343264487E-4</v>
      </c>
      <c r="T242" s="338">
        <f t="shared" si="3"/>
        <v>564</v>
      </c>
      <c r="U242" s="379">
        <f t="shared" si="4"/>
        <v>7.3358124217155654E-4</v>
      </c>
      <c r="V242" s="361"/>
      <c r="W242" s="409"/>
      <c r="X242" s="5"/>
    </row>
    <row r="243" spans="1:25" ht="15.75" x14ac:dyDescent="0.25">
      <c r="A243" s="285"/>
      <c r="B243" s="337" t="s">
        <v>156</v>
      </c>
      <c r="C243" s="378"/>
      <c r="D243" s="378"/>
      <c r="E243" s="378"/>
      <c r="F243" s="286"/>
      <c r="G243" s="379"/>
      <c r="H243" s="378"/>
      <c r="I243" s="378"/>
      <c r="J243" s="378"/>
      <c r="K243" s="378"/>
      <c r="L243" s="378"/>
      <c r="M243" s="378"/>
      <c r="N243" s="378"/>
      <c r="O243" s="378"/>
      <c r="P243" s="378"/>
      <c r="Q243" s="378"/>
      <c r="R243" s="337">
        <f t="shared" si="1"/>
        <v>0</v>
      </c>
      <c r="S243" s="379">
        <f t="shared" si="2"/>
        <v>0</v>
      </c>
      <c r="T243" s="338">
        <f t="shared" si="3"/>
        <v>0</v>
      </c>
      <c r="U243" s="379">
        <f t="shared" si="4"/>
        <v>0</v>
      </c>
      <c r="V243" s="361"/>
      <c r="W243" s="409"/>
      <c r="X243" s="5"/>
      <c r="Y243" s="109"/>
    </row>
    <row r="244" spans="1:25" ht="15.75" x14ac:dyDescent="0.25">
      <c r="A244" s="285"/>
      <c r="B244" s="337" t="s">
        <v>157</v>
      </c>
      <c r="C244" s="378"/>
      <c r="D244" s="378"/>
      <c r="E244" s="378"/>
      <c r="F244" s="286"/>
      <c r="G244" s="379"/>
      <c r="H244" s="378"/>
      <c r="I244" s="378"/>
      <c r="J244" s="378"/>
      <c r="K244" s="378"/>
      <c r="L244" s="378"/>
      <c r="M244" s="378"/>
      <c r="N244" s="378"/>
      <c r="O244" s="378"/>
      <c r="P244" s="378"/>
      <c r="Q244" s="378"/>
      <c r="R244" s="337">
        <f t="shared" si="1"/>
        <v>2</v>
      </c>
      <c r="S244" s="379">
        <f t="shared" si="2"/>
        <v>3.6556388228842988E-4</v>
      </c>
      <c r="T244" s="338">
        <f t="shared" si="3"/>
        <v>329</v>
      </c>
      <c r="U244" s="379">
        <f t="shared" si="4"/>
        <v>4.2792239126674135E-4</v>
      </c>
      <c r="V244" s="361"/>
      <c r="W244" s="409"/>
      <c r="X244" s="5"/>
    </row>
    <row r="245" spans="1:25" ht="15.75" x14ac:dyDescent="0.25">
      <c r="A245" s="285"/>
      <c r="B245" s="337" t="s">
        <v>158</v>
      </c>
      <c r="C245" s="378"/>
      <c r="D245" s="378"/>
      <c r="E245" s="378"/>
      <c r="F245" s="286"/>
      <c r="G245" s="379"/>
      <c r="H245" s="378"/>
      <c r="I245" s="378"/>
      <c r="J245" s="378"/>
      <c r="K245" s="378"/>
      <c r="L245" s="378"/>
      <c r="M245" s="378"/>
      <c r="N245" s="378"/>
      <c r="O245" s="378"/>
      <c r="P245" s="378"/>
      <c r="Q245" s="378"/>
      <c r="R245" s="337">
        <f t="shared" si="1"/>
        <v>1</v>
      </c>
      <c r="S245" s="379">
        <f t="shared" si="2"/>
        <v>1.8278194114421494E-4</v>
      </c>
      <c r="T245" s="338">
        <f t="shared" si="3"/>
        <v>68</v>
      </c>
      <c r="U245" s="379">
        <f t="shared" si="4"/>
        <v>8.8445965368201852E-5</v>
      </c>
      <c r="V245" s="361"/>
      <c r="W245" s="409"/>
      <c r="X245" s="5"/>
      <c r="Y245" s="109"/>
    </row>
    <row r="246" spans="1:25" ht="15.75" x14ac:dyDescent="0.25">
      <c r="A246" s="285"/>
      <c r="B246" s="337" t="s">
        <v>159</v>
      </c>
      <c r="C246" s="378"/>
      <c r="D246" s="378"/>
      <c r="E246" s="378"/>
      <c r="F246" s="286"/>
      <c r="G246" s="379"/>
      <c r="H246" s="378"/>
      <c r="I246" s="378"/>
      <c r="J246" s="378"/>
      <c r="K246" s="378"/>
      <c r="L246" s="378"/>
      <c r="M246" s="378"/>
      <c r="N246" s="378"/>
      <c r="O246" s="378"/>
      <c r="P246" s="378"/>
      <c r="Q246" s="378"/>
      <c r="R246" s="337">
        <f t="shared" si="1"/>
        <v>4</v>
      </c>
      <c r="S246" s="379">
        <f t="shared" si="2"/>
        <v>7.3112776457685976E-4</v>
      </c>
      <c r="T246" s="338">
        <f t="shared" si="3"/>
        <v>411</v>
      </c>
      <c r="U246" s="379">
        <f t="shared" si="4"/>
        <v>5.3457782009310242E-4</v>
      </c>
      <c r="V246" s="361"/>
      <c r="W246" s="409"/>
      <c r="X246" s="5"/>
    </row>
    <row r="247" spans="1:25" ht="15.75" x14ac:dyDescent="0.25">
      <c r="A247" s="285"/>
      <c r="B247" s="337" t="s">
        <v>160</v>
      </c>
      <c r="C247" s="378"/>
      <c r="D247" s="378"/>
      <c r="E247" s="378"/>
      <c r="F247" s="286"/>
      <c r="G247" s="379"/>
      <c r="H247" s="378"/>
      <c r="I247" s="378"/>
      <c r="J247" s="378"/>
      <c r="K247" s="378"/>
      <c r="L247" s="378"/>
      <c r="M247" s="378"/>
      <c r="N247" s="378"/>
      <c r="O247" s="378"/>
      <c r="P247" s="378"/>
      <c r="Q247" s="378"/>
      <c r="R247" s="386">
        <f t="shared" si="1"/>
        <v>5</v>
      </c>
      <c r="S247" s="379">
        <f t="shared" si="2"/>
        <v>9.1390970572107475E-4</v>
      </c>
      <c r="T247" s="383">
        <f t="shared" si="3"/>
        <v>888</v>
      </c>
      <c r="U247" s="387">
        <f t="shared" si="4"/>
        <v>1.1550002536318124E-3</v>
      </c>
      <c r="V247" s="361"/>
      <c r="W247" s="409"/>
      <c r="X247" s="5"/>
      <c r="Y247" s="109"/>
    </row>
    <row r="248" spans="1:25" ht="15.75" x14ac:dyDescent="0.25">
      <c r="A248" s="285"/>
      <c r="B248" s="337"/>
      <c r="C248" s="378"/>
      <c r="D248" s="378"/>
      <c r="E248" s="378"/>
      <c r="F248" s="286"/>
      <c r="G248" s="379"/>
      <c r="H248" s="378"/>
      <c r="I248" s="378"/>
      <c r="J248" s="378"/>
      <c r="K248" s="378"/>
      <c r="L248" s="378"/>
      <c r="M248" s="378"/>
      <c r="N248" s="378"/>
      <c r="O248" s="378"/>
      <c r="P248" s="378"/>
      <c r="Q248" s="378"/>
      <c r="R248" s="337"/>
      <c r="S248" s="379"/>
      <c r="T248" s="338"/>
      <c r="U248" s="379"/>
      <c r="V248" s="361"/>
      <c r="W248" s="409"/>
      <c r="X248" s="5"/>
    </row>
    <row r="249" spans="1:25" ht="15.75" x14ac:dyDescent="0.25">
      <c r="A249" s="285"/>
      <c r="B249" s="286"/>
      <c r="C249" s="286"/>
      <c r="D249" s="286"/>
      <c r="E249" s="286"/>
      <c r="F249" s="286"/>
      <c r="G249" s="286"/>
      <c r="H249" s="381"/>
      <c r="I249" s="381"/>
      <c r="J249" s="381"/>
      <c r="K249" s="381"/>
      <c r="L249" s="381"/>
      <c r="M249" s="381"/>
      <c r="N249" s="381"/>
      <c r="O249" s="381"/>
      <c r="P249" s="381"/>
      <c r="Q249" s="381"/>
      <c r="R249" s="337">
        <f>SUM(R240:R248)</f>
        <v>5471</v>
      </c>
      <c r="S249" s="379">
        <f>SUM(S240:S248)</f>
        <v>1</v>
      </c>
      <c r="T249" s="338">
        <f>SUM(T240:T248)</f>
        <v>768831</v>
      </c>
      <c r="U249" s="379">
        <f>SUM(U240:U248)</f>
        <v>1</v>
      </c>
      <c r="V249" s="286"/>
      <c r="W249" s="289"/>
      <c r="X249" s="5"/>
    </row>
    <row r="250" spans="1:25" ht="15.75" x14ac:dyDescent="0.25">
      <c r="A250" s="181"/>
      <c r="B250" s="212"/>
      <c r="C250" s="212"/>
      <c r="D250" s="212"/>
      <c r="E250" s="212"/>
      <c r="F250" s="212"/>
      <c r="G250" s="212"/>
      <c r="H250" s="375"/>
      <c r="I250" s="375"/>
      <c r="J250" s="375"/>
      <c r="K250" s="375"/>
      <c r="L250" s="375"/>
      <c r="M250" s="375"/>
      <c r="N250" s="375"/>
      <c r="O250" s="375"/>
      <c r="P250" s="375"/>
      <c r="Q250" s="375"/>
      <c r="R250" s="335"/>
      <c r="S250" s="376"/>
      <c r="T250" s="377"/>
      <c r="U250" s="376"/>
      <c r="V250" s="212"/>
      <c r="W250" s="212"/>
      <c r="X250" s="5"/>
    </row>
    <row r="251" spans="1:25" ht="15.75" x14ac:dyDescent="0.25">
      <c r="A251" s="224"/>
      <c r="B251" s="399" t="s">
        <v>162</v>
      </c>
      <c r="C251" s="400"/>
      <c r="D251" s="400"/>
      <c r="E251" s="400"/>
      <c r="F251" s="407"/>
      <c r="G251" s="400"/>
      <c r="H251" s="400"/>
      <c r="I251" s="400"/>
      <c r="J251" s="400"/>
      <c r="K251" s="400"/>
      <c r="L251" s="400"/>
      <c r="M251" s="400"/>
      <c r="N251" s="400"/>
      <c r="O251" s="400"/>
      <c r="P251" s="400"/>
      <c r="Q251" s="400"/>
      <c r="R251" s="407" t="s">
        <v>102</v>
      </c>
      <c r="S251" s="400" t="s">
        <v>103</v>
      </c>
      <c r="T251" s="407" t="s">
        <v>109</v>
      </c>
      <c r="U251" s="400" t="s">
        <v>103</v>
      </c>
      <c r="V251" s="225"/>
      <c r="W251" s="399"/>
      <c r="X251" s="5"/>
    </row>
    <row r="252" spans="1:25" ht="15.75" x14ac:dyDescent="0.25">
      <c r="A252" s="193"/>
      <c r="B252" s="249" t="s">
        <v>88</v>
      </c>
      <c r="C252" s="265"/>
      <c r="D252" s="265"/>
      <c r="E252" s="265"/>
      <c r="F252" s="250"/>
      <c r="G252" s="265"/>
      <c r="H252" s="265"/>
      <c r="I252" s="265"/>
      <c r="J252" s="265"/>
      <c r="K252" s="265"/>
      <c r="L252" s="265"/>
      <c r="M252" s="265"/>
      <c r="N252" s="265"/>
      <c r="O252" s="265"/>
      <c r="P252" s="265"/>
      <c r="Q252" s="265"/>
      <c r="R252" s="249">
        <v>5355</v>
      </c>
      <c r="S252" s="252">
        <f t="shared" ref="S252:S259" si="5">R252/$R$261</f>
        <v>0.99739243807040412</v>
      </c>
      <c r="T252" s="253">
        <v>751709</v>
      </c>
      <c r="U252" s="252">
        <f t="shared" ref="U252:U259" si="6">T252/$T$261</f>
        <v>0.99687163491886677</v>
      </c>
      <c r="V252" s="266"/>
      <c r="W252" s="408"/>
      <c r="X252" s="5"/>
    </row>
    <row r="253" spans="1:25" ht="15.75" x14ac:dyDescent="0.25">
      <c r="A253" s="285"/>
      <c r="B253" s="337" t="s">
        <v>89</v>
      </c>
      <c r="C253" s="378"/>
      <c r="D253" s="378"/>
      <c r="E253" s="378"/>
      <c r="F253" s="286"/>
      <c r="G253" s="379"/>
      <c r="H253" s="378"/>
      <c r="I253" s="378"/>
      <c r="J253" s="378"/>
      <c r="K253" s="378"/>
      <c r="L253" s="378"/>
      <c r="M253" s="378"/>
      <c r="N253" s="378"/>
      <c r="O253" s="378"/>
      <c r="P253" s="378"/>
      <c r="Q253" s="378"/>
      <c r="R253" s="337">
        <v>7</v>
      </c>
      <c r="S253" s="379">
        <f t="shared" si="5"/>
        <v>1.3037809647979139E-3</v>
      </c>
      <c r="T253" s="338">
        <v>1086</v>
      </c>
      <c r="U253" s="379">
        <f t="shared" si="6"/>
        <v>1.4401884180206559E-3</v>
      </c>
      <c r="V253" s="361"/>
      <c r="W253" s="409"/>
      <c r="X253" s="5"/>
      <c r="Y253" s="109"/>
    </row>
    <row r="254" spans="1:25" ht="15.75" x14ac:dyDescent="0.25">
      <c r="A254" s="285"/>
      <c r="B254" s="337" t="s">
        <v>90</v>
      </c>
      <c r="C254" s="378"/>
      <c r="D254" s="378"/>
      <c r="E254" s="378"/>
      <c r="F254" s="286"/>
      <c r="G254" s="379"/>
      <c r="H254" s="378"/>
      <c r="I254" s="378"/>
      <c r="J254" s="378"/>
      <c r="K254" s="378"/>
      <c r="L254" s="378"/>
      <c r="M254" s="378"/>
      <c r="N254" s="378"/>
      <c r="O254" s="378"/>
      <c r="P254" s="378"/>
      <c r="Q254" s="378"/>
      <c r="R254" s="337">
        <v>2</v>
      </c>
      <c r="S254" s="379">
        <f t="shared" si="5"/>
        <v>3.7250884708511827E-4</v>
      </c>
      <c r="T254" s="338">
        <v>481</v>
      </c>
      <c r="U254" s="379">
        <f t="shared" si="6"/>
        <v>6.378735074290382E-4</v>
      </c>
      <c r="V254" s="361"/>
      <c r="W254" s="409"/>
      <c r="X254" s="5"/>
    </row>
    <row r="255" spans="1:25" ht="15.75" x14ac:dyDescent="0.25">
      <c r="A255" s="285"/>
      <c r="B255" s="337" t="s">
        <v>156</v>
      </c>
      <c r="C255" s="378"/>
      <c r="D255" s="378"/>
      <c r="E255" s="378"/>
      <c r="F255" s="286"/>
      <c r="G255" s="379"/>
      <c r="H255" s="378"/>
      <c r="I255" s="378"/>
      <c r="J255" s="378"/>
      <c r="K255" s="378"/>
      <c r="L255" s="378"/>
      <c r="M255" s="378"/>
      <c r="N255" s="378"/>
      <c r="O255" s="378"/>
      <c r="P255" s="378"/>
      <c r="Q255" s="378"/>
      <c r="R255" s="337">
        <v>0</v>
      </c>
      <c r="S255" s="379">
        <f t="shared" si="5"/>
        <v>0</v>
      </c>
      <c r="T255" s="338">
        <v>0</v>
      </c>
      <c r="U255" s="379">
        <f t="shared" si="6"/>
        <v>0</v>
      </c>
      <c r="V255" s="361"/>
      <c r="W255" s="409"/>
      <c r="X255" s="5"/>
      <c r="Y255" s="109"/>
    </row>
    <row r="256" spans="1:25" ht="15.75" x14ac:dyDescent="0.25">
      <c r="A256" s="285"/>
      <c r="B256" s="337" t="s">
        <v>157</v>
      </c>
      <c r="C256" s="378"/>
      <c r="D256" s="378"/>
      <c r="E256" s="378"/>
      <c r="F256" s="286"/>
      <c r="G256" s="379"/>
      <c r="H256" s="378"/>
      <c r="I256" s="378"/>
      <c r="J256" s="378"/>
      <c r="K256" s="378"/>
      <c r="L256" s="378"/>
      <c r="M256" s="378"/>
      <c r="N256" s="378"/>
      <c r="O256" s="378"/>
      <c r="P256" s="378"/>
      <c r="Q256" s="378"/>
      <c r="R256" s="337">
        <v>1</v>
      </c>
      <c r="S256" s="379">
        <f t="shared" si="5"/>
        <v>1.8625442354255913E-4</v>
      </c>
      <c r="T256" s="338">
        <v>160</v>
      </c>
      <c r="U256" s="379">
        <f t="shared" si="6"/>
        <v>2.1218245569365097E-4</v>
      </c>
      <c r="V256" s="361"/>
      <c r="W256" s="409"/>
      <c r="X256" s="5"/>
    </row>
    <row r="257" spans="1:25" ht="15.75" x14ac:dyDescent="0.25">
      <c r="A257" s="285"/>
      <c r="B257" s="337" t="s">
        <v>158</v>
      </c>
      <c r="C257" s="378"/>
      <c r="D257" s="378"/>
      <c r="E257" s="378"/>
      <c r="F257" s="286"/>
      <c r="G257" s="379"/>
      <c r="H257" s="378"/>
      <c r="I257" s="378"/>
      <c r="J257" s="378"/>
      <c r="K257" s="378"/>
      <c r="L257" s="378"/>
      <c r="M257" s="378"/>
      <c r="N257" s="378"/>
      <c r="O257" s="378"/>
      <c r="P257" s="378"/>
      <c r="Q257" s="378"/>
      <c r="R257" s="337">
        <v>0</v>
      </c>
      <c r="S257" s="379">
        <f t="shared" si="5"/>
        <v>0</v>
      </c>
      <c r="T257" s="338">
        <v>0</v>
      </c>
      <c r="U257" s="379">
        <f t="shared" si="6"/>
        <v>0</v>
      </c>
      <c r="V257" s="361"/>
      <c r="W257" s="409"/>
      <c r="X257" s="5"/>
      <c r="Y257" s="109"/>
    </row>
    <row r="258" spans="1:25" ht="15.75" x14ac:dyDescent="0.25">
      <c r="A258" s="285"/>
      <c r="B258" s="337" t="s">
        <v>159</v>
      </c>
      <c r="C258" s="378"/>
      <c r="D258" s="378"/>
      <c r="E258" s="378"/>
      <c r="F258" s="286"/>
      <c r="G258" s="379"/>
      <c r="H258" s="378"/>
      <c r="I258" s="378"/>
      <c r="J258" s="378"/>
      <c r="K258" s="378"/>
      <c r="L258" s="378"/>
      <c r="M258" s="378"/>
      <c r="N258" s="378"/>
      <c r="O258" s="378"/>
      <c r="P258" s="378"/>
      <c r="Q258" s="378"/>
      <c r="R258" s="337">
        <v>3</v>
      </c>
      <c r="S258" s="379">
        <f t="shared" si="5"/>
        <v>5.5876327062767738E-4</v>
      </c>
      <c r="T258" s="338">
        <v>302</v>
      </c>
      <c r="U258" s="379">
        <f t="shared" si="6"/>
        <v>4.0049438512176623E-4</v>
      </c>
      <c r="V258" s="361"/>
      <c r="W258" s="409"/>
      <c r="X258" s="5"/>
    </row>
    <row r="259" spans="1:25" ht="15.75" x14ac:dyDescent="0.25">
      <c r="A259" s="285"/>
      <c r="B259" s="337" t="s">
        <v>160</v>
      </c>
      <c r="C259" s="378"/>
      <c r="D259" s="378"/>
      <c r="E259" s="378"/>
      <c r="F259" s="286"/>
      <c r="G259" s="379"/>
      <c r="H259" s="378"/>
      <c r="I259" s="378"/>
      <c r="J259" s="378"/>
      <c r="K259" s="378"/>
      <c r="L259" s="378"/>
      <c r="M259" s="378"/>
      <c r="N259" s="378"/>
      <c r="O259" s="378"/>
      <c r="P259" s="378"/>
      <c r="Q259" s="378"/>
      <c r="R259" s="337">
        <v>1</v>
      </c>
      <c r="S259" s="379">
        <f t="shared" si="5"/>
        <v>1.8625442354255913E-4</v>
      </c>
      <c r="T259" s="338">
        <v>330</v>
      </c>
      <c r="U259" s="379">
        <f t="shared" si="6"/>
        <v>4.3762631486815514E-4</v>
      </c>
      <c r="V259" s="361"/>
      <c r="W259" s="409"/>
      <c r="X259" s="5"/>
      <c r="Y259" s="109"/>
    </row>
    <row r="260" spans="1:25" ht="15.75" x14ac:dyDescent="0.25">
      <c r="A260" s="285"/>
      <c r="B260" s="337"/>
      <c r="C260" s="378"/>
      <c r="D260" s="378"/>
      <c r="E260" s="378"/>
      <c r="F260" s="286"/>
      <c r="G260" s="379"/>
      <c r="H260" s="378"/>
      <c r="I260" s="378"/>
      <c r="J260" s="378"/>
      <c r="K260" s="378"/>
      <c r="L260" s="378"/>
      <c r="M260" s="378"/>
      <c r="N260" s="378"/>
      <c r="O260" s="378"/>
      <c r="P260" s="378"/>
      <c r="Q260" s="378"/>
      <c r="R260" s="337"/>
      <c r="S260" s="379"/>
      <c r="T260" s="338"/>
      <c r="U260" s="379"/>
      <c r="V260" s="361"/>
      <c r="W260" s="409"/>
      <c r="X260" s="5"/>
    </row>
    <row r="261" spans="1:25" ht="15.75" x14ac:dyDescent="0.25">
      <c r="A261" s="285"/>
      <c r="B261" s="286"/>
      <c r="C261" s="286"/>
      <c r="D261" s="286"/>
      <c r="E261" s="286"/>
      <c r="F261" s="286"/>
      <c r="G261" s="286"/>
      <c r="H261" s="381"/>
      <c r="I261" s="381"/>
      <c r="J261" s="381"/>
      <c r="K261" s="381"/>
      <c r="L261" s="381"/>
      <c r="M261" s="381"/>
      <c r="N261" s="381"/>
      <c r="O261" s="381"/>
      <c r="P261" s="381"/>
      <c r="Q261" s="381"/>
      <c r="R261" s="337">
        <f>SUM(R252:R260)</f>
        <v>5369</v>
      </c>
      <c r="S261" s="379">
        <f>SUM(S252:S260)</f>
        <v>1</v>
      </c>
      <c r="T261" s="338">
        <f>SUM(T252:T260)</f>
        <v>754068</v>
      </c>
      <c r="U261" s="379">
        <f>SUM(U252:U260)</f>
        <v>1</v>
      </c>
      <c r="V261" s="286"/>
      <c r="W261" s="289"/>
      <c r="X261" s="5"/>
    </row>
    <row r="262" spans="1:25" ht="15.75" x14ac:dyDescent="0.25">
      <c r="A262" s="181"/>
      <c r="B262" s="212"/>
      <c r="C262" s="212"/>
      <c r="D262" s="212"/>
      <c r="E262" s="212"/>
      <c r="F262" s="212"/>
      <c r="G262" s="212"/>
      <c r="H262" s="375"/>
      <c r="I262" s="375"/>
      <c r="J262" s="375"/>
      <c r="K262" s="375"/>
      <c r="L262" s="375"/>
      <c r="M262" s="375"/>
      <c r="N262" s="375"/>
      <c r="O262" s="375"/>
      <c r="P262" s="375"/>
      <c r="Q262" s="375"/>
      <c r="R262" s="335"/>
      <c r="S262" s="376"/>
      <c r="T262" s="377"/>
      <c r="U262" s="376"/>
      <c r="V262" s="212"/>
      <c r="W262" s="212"/>
      <c r="X262" s="5"/>
    </row>
    <row r="263" spans="1:25" ht="15.75" x14ac:dyDescent="0.25">
      <c r="A263" s="244"/>
      <c r="B263" s="399" t="s">
        <v>236</v>
      </c>
      <c r="C263" s="400"/>
      <c r="D263" s="400"/>
      <c r="E263" s="400"/>
      <c r="F263" s="407"/>
      <c r="G263" s="400"/>
      <c r="H263" s="400"/>
      <c r="I263" s="400"/>
      <c r="J263" s="400"/>
      <c r="K263" s="400"/>
      <c r="L263" s="400"/>
      <c r="M263" s="400"/>
      <c r="N263" s="400"/>
      <c r="O263" s="400"/>
      <c r="P263" s="400"/>
      <c r="Q263" s="400"/>
      <c r="R263" s="407" t="s">
        <v>102</v>
      </c>
      <c r="S263" s="400" t="s">
        <v>103</v>
      </c>
      <c r="T263" s="407" t="s">
        <v>109</v>
      </c>
      <c r="U263" s="400" t="s">
        <v>103</v>
      </c>
      <c r="V263" s="245"/>
      <c r="W263" s="246"/>
      <c r="X263" s="5"/>
    </row>
    <row r="264" spans="1:25" ht="15.75" x14ac:dyDescent="0.25">
      <c r="A264" s="193"/>
      <c r="B264" s="249" t="s">
        <v>88</v>
      </c>
      <c r="C264" s="265"/>
      <c r="D264" s="265"/>
      <c r="E264" s="265"/>
      <c r="F264" s="250"/>
      <c r="G264" s="265"/>
      <c r="H264" s="265"/>
      <c r="I264" s="265"/>
      <c r="J264" s="265"/>
      <c r="K264" s="265"/>
      <c r="L264" s="265"/>
      <c r="M264" s="265"/>
      <c r="N264" s="265"/>
      <c r="O264" s="265"/>
      <c r="P264" s="265"/>
      <c r="Q264" s="265"/>
      <c r="R264" s="249">
        <v>92</v>
      </c>
      <c r="S264" s="252">
        <f t="shared" ref="S264:S270" si="7">R264/$R$273</f>
        <v>0.91089108910891092</v>
      </c>
      <c r="T264" s="253">
        <v>13553</v>
      </c>
      <c r="U264" s="252">
        <f t="shared" ref="U264:U271" si="8">T264/$T$273</f>
        <v>0.92486693053091307</v>
      </c>
      <c r="V264" s="250"/>
      <c r="W264" s="250"/>
      <c r="X264" s="5"/>
    </row>
    <row r="265" spans="1:25" ht="15.75" x14ac:dyDescent="0.25">
      <c r="A265" s="285"/>
      <c r="B265" s="337" t="s">
        <v>89</v>
      </c>
      <c r="C265" s="378"/>
      <c r="D265" s="378"/>
      <c r="E265" s="378"/>
      <c r="F265" s="286"/>
      <c r="G265" s="379"/>
      <c r="H265" s="378"/>
      <c r="I265" s="378"/>
      <c r="J265" s="378"/>
      <c r="K265" s="378"/>
      <c r="L265" s="378"/>
      <c r="M265" s="378"/>
      <c r="N265" s="378"/>
      <c r="O265" s="378"/>
      <c r="P265" s="378"/>
      <c r="Q265" s="378"/>
      <c r="R265" s="337">
        <v>2</v>
      </c>
      <c r="S265" s="379">
        <f t="shared" si="7"/>
        <v>1.9801980198019802E-2</v>
      </c>
      <c r="T265" s="338">
        <v>223</v>
      </c>
      <c r="U265" s="379">
        <f t="shared" si="8"/>
        <v>1.5217688003275557E-2</v>
      </c>
      <c r="V265" s="286"/>
      <c r="W265" s="289"/>
      <c r="X265" s="5"/>
    </row>
    <row r="266" spans="1:25" ht="15.75" x14ac:dyDescent="0.25">
      <c r="A266" s="285"/>
      <c r="B266" s="337" t="s">
        <v>90</v>
      </c>
      <c r="C266" s="378"/>
      <c r="D266" s="378"/>
      <c r="E266" s="378"/>
      <c r="F266" s="286"/>
      <c r="G266" s="379"/>
      <c r="H266" s="378"/>
      <c r="I266" s="378"/>
      <c r="J266" s="378"/>
      <c r="K266" s="378"/>
      <c r="L266" s="378"/>
      <c r="M266" s="378"/>
      <c r="N266" s="378"/>
      <c r="O266" s="378"/>
      <c r="P266" s="378"/>
      <c r="Q266" s="378"/>
      <c r="R266" s="337">
        <v>1</v>
      </c>
      <c r="S266" s="379">
        <f t="shared" si="7"/>
        <v>9.9009900990099011E-3</v>
      </c>
      <c r="T266" s="338">
        <v>83</v>
      </c>
      <c r="U266" s="379">
        <f t="shared" si="8"/>
        <v>5.6639825303671353E-3</v>
      </c>
      <c r="V266" s="286"/>
      <c r="W266" s="289"/>
      <c r="X266" s="5"/>
    </row>
    <row r="267" spans="1:25" ht="15.75" x14ac:dyDescent="0.25">
      <c r="A267" s="285"/>
      <c r="B267" s="337" t="s">
        <v>156</v>
      </c>
      <c r="C267" s="378"/>
      <c r="D267" s="378"/>
      <c r="E267" s="378"/>
      <c r="F267" s="286"/>
      <c r="G267" s="379"/>
      <c r="H267" s="378"/>
      <c r="I267" s="378"/>
      <c r="J267" s="378"/>
      <c r="K267" s="378"/>
      <c r="L267" s="378"/>
      <c r="M267" s="378"/>
      <c r="N267" s="378"/>
      <c r="O267" s="378"/>
      <c r="P267" s="378"/>
      <c r="Q267" s="378"/>
      <c r="R267" s="337">
        <v>0</v>
      </c>
      <c r="S267" s="379">
        <f t="shared" si="7"/>
        <v>0</v>
      </c>
      <c r="T267" s="338">
        <v>0</v>
      </c>
      <c r="U267" s="379">
        <f t="shared" si="8"/>
        <v>0</v>
      </c>
      <c r="V267" s="286"/>
      <c r="W267" s="289"/>
      <c r="X267" s="5"/>
    </row>
    <row r="268" spans="1:25" ht="15.75" x14ac:dyDescent="0.25">
      <c r="A268" s="285"/>
      <c r="B268" s="337" t="s">
        <v>157</v>
      </c>
      <c r="C268" s="378"/>
      <c r="D268" s="378"/>
      <c r="E268" s="378"/>
      <c r="F268" s="286"/>
      <c r="G268" s="379"/>
      <c r="H268" s="378"/>
      <c r="I268" s="378"/>
      <c r="J268" s="378"/>
      <c r="K268" s="378"/>
      <c r="L268" s="378"/>
      <c r="M268" s="378"/>
      <c r="N268" s="378"/>
      <c r="O268" s="378"/>
      <c r="P268" s="378"/>
      <c r="Q268" s="378"/>
      <c r="R268" s="337">
        <v>1</v>
      </c>
      <c r="S268" s="379">
        <f t="shared" si="7"/>
        <v>9.9009900990099011E-3</v>
      </c>
      <c r="T268" s="338">
        <v>169</v>
      </c>
      <c r="U268" s="379">
        <f t="shared" si="8"/>
        <v>1.1532687320868023E-2</v>
      </c>
      <c r="V268" s="286"/>
      <c r="W268" s="289"/>
      <c r="X268" s="5"/>
    </row>
    <row r="269" spans="1:25" ht="15.75" x14ac:dyDescent="0.25">
      <c r="A269" s="285"/>
      <c r="B269" s="337" t="s">
        <v>158</v>
      </c>
      <c r="C269" s="378"/>
      <c r="D269" s="378"/>
      <c r="E269" s="378"/>
      <c r="F269" s="286"/>
      <c r="G269" s="379"/>
      <c r="H269" s="378"/>
      <c r="I269" s="378"/>
      <c r="J269" s="378"/>
      <c r="K269" s="378"/>
      <c r="L269" s="378"/>
      <c r="M269" s="378"/>
      <c r="N269" s="378"/>
      <c r="O269" s="378"/>
      <c r="P269" s="378"/>
      <c r="Q269" s="378"/>
      <c r="R269" s="337">
        <v>1</v>
      </c>
      <c r="S269" s="379">
        <f t="shared" si="7"/>
        <v>9.9009900990099011E-3</v>
      </c>
      <c r="T269" s="338">
        <v>68</v>
      </c>
      <c r="U269" s="379">
        <f t="shared" si="8"/>
        <v>4.6403712296983757E-3</v>
      </c>
      <c r="V269" s="286"/>
      <c r="W269" s="289"/>
      <c r="X269" s="5"/>
    </row>
    <row r="270" spans="1:25" ht="15.75" x14ac:dyDescent="0.25">
      <c r="A270" s="285"/>
      <c r="B270" s="337" t="s">
        <v>159</v>
      </c>
      <c r="C270" s="378"/>
      <c r="D270" s="378"/>
      <c r="E270" s="378"/>
      <c r="F270" s="286"/>
      <c r="G270" s="379"/>
      <c r="H270" s="378"/>
      <c r="I270" s="378"/>
      <c r="J270" s="378"/>
      <c r="K270" s="378"/>
      <c r="L270" s="378"/>
      <c r="M270" s="378"/>
      <c r="N270" s="378"/>
      <c r="O270" s="378"/>
      <c r="P270" s="378"/>
      <c r="Q270" s="378"/>
      <c r="R270" s="337">
        <v>0</v>
      </c>
      <c r="S270" s="379">
        <f t="shared" si="7"/>
        <v>0</v>
      </c>
      <c r="T270" s="338">
        <v>0</v>
      </c>
      <c r="U270" s="379">
        <f t="shared" si="8"/>
        <v>0</v>
      </c>
      <c r="V270" s="286"/>
      <c r="W270" s="289"/>
      <c r="X270" s="5"/>
    </row>
    <row r="271" spans="1:25" ht="15.75" x14ac:dyDescent="0.25">
      <c r="A271" s="285"/>
      <c r="B271" s="337" t="s">
        <v>160</v>
      </c>
      <c r="C271" s="378"/>
      <c r="D271" s="378"/>
      <c r="E271" s="378"/>
      <c r="F271" s="286"/>
      <c r="G271" s="379"/>
      <c r="H271" s="378"/>
      <c r="I271" s="378"/>
      <c r="J271" s="378"/>
      <c r="K271" s="378"/>
      <c r="L271" s="378"/>
      <c r="M271" s="378"/>
      <c r="N271" s="378"/>
      <c r="O271" s="378"/>
      <c r="P271" s="378"/>
      <c r="Q271" s="378"/>
      <c r="R271" s="337">
        <v>4</v>
      </c>
      <c r="S271" s="379">
        <f>R271/$R$273</f>
        <v>3.9603960396039604E-2</v>
      </c>
      <c r="T271" s="338">
        <v>558</v>
      </c>
      <c r="U271" s="379">
        <f t="shared" si="8"/>
        <v>3.8078340384877847E-2</v>
      </c>
      <c r="V271" s="286"/>
      <c r="W271" s="289"/>
      <c r="X271" s="5"/>
    </row>
    <row r="272" spans="1:25" ht="15.75" x14ac:dyDescent="0.25">
      <c r="A272" s="285"/>
      <c r="B272" s="337"/>
      <c r="C272" s="378"/>
      <c r="D272" s="378"/>
      <c r="E272" s="378"/>
      <c r="F272" s="286"/>
      <c r="G272" s="379"/>
      <c r="H272" s="378"/>
      <c r="I272" s="378"/>
      <c r="J272" s="378"/>
      <c r="K272" s="378"/>
      <c r="L272" s="378"/>
      <c r="M272" s="378"/>
      <c r="N272" s="378"/>
      <c r="O272" s="378"/>
      <c r="P272" s="378"/>
      <c r="Q272" s="378"/>
      <c r="R272" s="337"/>
      <c r="S272" s="379"/>
      <c r="T272" s="338"/>
      <c r="U272" s="379"/>
      <c r="V272" s="286"/>
      <c r="W272" s="289"/>
      <c r="X272" s="5"/>
    </row>
    <row r="273" spans="1:24" ht="15.75" x14ac:dyDescent="0.25">
      <c r="A273" s="285"/>
      <c r="B273" s="286"/>
      <c r="C273" s="286"/>
      <c r="D273" s="286"/>
      <c r="E273" s="286"/>
      <c r="F273" s="286"/>
      <c r="G273" s="286"/>
      <c r="H273" s="381"/>
      <c r="I273" s="381"/>
      <c r="J273" s="381"/>
      <c r="K273" s="381"/>
      <c r="L273" s="381"/>
      <c r="M273" s="381"/>
      <c r="N273" s="381"/>
      <c r="O273" s="381"/>
      <c r="P273" s="381"/>
      <c r="Q273" s="381"/>
      <c r="R273" s="337">
        <f>SUM(R264:R272)</f>
        <v>101</v>
      </c>
      <c r="S273" s="379">
        <f>SUM(S264:S272)</f>
        <v>1</v>
      </c>
      <c r="T273" s="338">
        <f>SUM(T264:T272)</f>
        <v>14654</v>
      </c>
      <c r="U273" s="379">
        <f>SUM(U264:U272)</f>
        <v>1</v>
      </c>
      <c r="V273" s="286"/>
      <c r="W273" s="289"/>
      <c r="X273" s="5"/>
    </row>
    <row r="274" spans="1:24" ht="15.75" x14ac:dyDescent="0.25">
      <c r="A274" s="181"/>
      <c r="B274" s="212"/>
      <c r="C274" s="212"/>
      <c r="D274" s="212"/>
      <c r="E274" s="212"/>
      <c r="F274" s="212"/>
      <c r="G274" s="212"/>
      <c r="H274" s="375"/>
      <c r="I274" s="375"/>
      <c r="J274" s="375"/>
      <c r="K274" s="375"/>
      <c r="L274" s="375"/>
      <c r="M274" s="375"/>
      <c r="N274" s="375"/>
      <c r="O274" s="375"/>
      <c r="P274" s="375"/>
      <c r="Q274" s="375"/>
      <c r="R274" s="335"/>
      <c r="S274" s="376"/>
      <c r="T274" s="377"/>
      <c r="U274" s="376"/>
      <c r="V274" s="212"/>
      <c r="W274" s="212"/>
      <c r="X274" s="5"/>
    </row>
    <row r="275" spans="1:24" ht="15.75" x14ac:dyDescent="0.25">
      <c r="A275" s="244"/>
      <c r="B275" s="399" t="s">
        <v>163</v>
      </c>
      <c r="C275" s="245"/>
      <c r="D275" s="245"/>
      <c r="E275" s="245"/>
      <c r="F275" s="245"/>
      <c r="G275" s="245"/>
      <c r="H275" s="247"/>
      <c r="I275" s="247"/>
      <c r="J275" s="247"/>
      <c r="K275" s="247"/>
      <c r="L275" s="247"/>
      <c r="M275" s="247"/>
      <c r="N275" s="247"/>
      <c r="O275" s="247"/>
      <c r="P275" s="247"/>
      <c r="Q275" s="247"/>
      <c r="R275" s="407" t="s">
        <v>102</v>
      </c>
      <c r="S275" s="400" t="s">
        <v>103</v>
      </c>
      <c r="T275" s="407" t="s">
        <v>109</v>
      </c>
      <c r="U275" s="400" t="s">
        <v>103</v>
      </c>
      <c r="V275" s="245"/>
      <c r="W275" s="246"/>
      <c r="X275" s="5"/>
    </row>
    <row r="276" spans="1:24" ht="15.75" x14ac:dyDescent="0.25">
      <c r="A276" s="248"/>
      <c r="B276" s="249" t="s">
        <v>88</v>
      </c>
      <c r="C276" s="250"/>
      <c r="D276" s="250"/>
      <c r="E276" s="250"/>
      <c r="F276" s="250"/>
      <c r="G276" s="250"/>
      <c r="H276" s="251"/>
      <c r="I276" s="251"/>
      <c r="J276" s="251"/>
      <c r="K276" s="251"/>
      <c r="L276" s="251"/>
      <c r="M276" s="251"/>
      <c r="N276" s="251"/>
      <c r="O276" s="251"/>
      <c r="P276" s="251"/>
      <c r="Q276" s="251"/>
      <c r="R276" s="249">
        <v>0</v>
      </c>
      <c r="S276" s="252">
        <v>0</v>
      </c>
      <c r="T276" s="253">
        <v>0</v>
      </c>
      <c r="U276" s="252">
        <v>0</v>
      </c>
      <c r="V276" s="250"/>
      <c r="W276" s="250"/>
      <c r="X276" s="5"/>
    </row>
    <row r="277" spans="1:24" ht="15.75" x14ac:dyDescent="0.25">
      <c r="A277" s="295"/>
      <c r="B277" s="337" t="s">
        <v>89</v>
      </c>
      <c r="C277" s="286"/>
      <c r="D277" s="286"/>
      <c r="E277" s="286"/>
      <c r="F277" s="286"/>
      <c r="G277" s="286"/>
      <c r="H277" s="381"/>
      <c r="I277" s="381"/>
      <c r="J277" s="381"/>
      <c r="K277" s="381"/>
      <c r="L277" s="381"/>
      <c r="M277" s="381"/>
      <c r="N277" s="381"/>
      <c r="O277" s="381"/>
      <c r="P277" s="381"/>
      <c r="Q277" s="381"/>
      <c r="R277" s="337">
        <v>0</v>
      </c>
      <c r="S277" s="379">
        <v>0</v>
      </c>
      <c r="T277" s="338">
        <v>0</v>
      </c>
      <c r="U277" s="379">
        <v>0</v>
      </c>
      <c r="V277" s="286"/>
      <c r="W277" s="289"/>
      <c r="X277" s="5"/>
    </row>
    <row r="278" spans="1:24" ht="15.75" x14ac:dyDescent="0.25">
      <c r="A278" s="295"/>
      <c r="B278" s="337" t="s">
        <v>90</v>
      </c>
      <c r="C278" s="286"/>
      <c r="D278" s="286"/>
      <c r="E278" s="286"/>
      <c r="F278" s="286"/>
      <c r="G278" s="286"/>
      <c r="H278" s="381"/>
      <c r="I278" s="381"/>
      <c r="J278" s="381"/>
      <c r="K278" s="381"/>
      <c r="L278" s="381"/>
      <c r="M278" s="381"/>
      <c r="N278" s="381"/>
      <c r="O278" s="381"/>
      <c r="P278" s="381"/>
      <c r="Q278" s="381"/>
      <c r="R278" s="337">
        <v>0</v>
      </c>
      <c r="S278" s="379">
        <v>0</v>
      </c>
      <c r="T278" s="338">
        <v>0</v>
      </c>
      <c r="U278" s="379">
        <v>0</v>
      </c>
      <c r="V278" s="286"/>
      <c r="W278" s="289"/>
      <c r="X278" s="5"/>
    </row>
    <row r="279" spans="1:24" ht="15.75" x14ac:dyDescent="0.25">
      <c r="A279" s="295"/>
      <c r="B279" s="337" t="s">
        <v>156</v>
      </c>
      <c r="C279" s="286"/>
      <c r="D279" s="286"/>
      <c r="E279" s="286"/>
      <c r="F279" s="286"/>
      <c r="G279" s="286"/>
      <c r="H279" s="381"/>
      <c r="I279" s="381"/>
      <c r="J279" s="381"/>
      <c r="K279" s="381"/>
      <c r="L279" s="381"/>
      <c r="M279" s="381"/>
      <c r="N279" s="381"/>
      <c r="O279" s="381"/>
      <c r="P279" s="381"/>
      <c r="Q279" s="381"/>
      <c r="R279" s="337">
        <v>0</v>
      </c>
      <c r="S279" s="379">
        <v>0</v>
      </c>
      <c r="T279" s="338">
        <v>0</v>
      </c>
      <c r="U279" s="379">
        <v>0</v>
      </c>
      <c r="V279" s="286"/>
      <c r="W279" s="289"/>
      <c r="X279" s="5"/>
    </row>
    <row r="280" spans="1:24" ht="15.75" x14ac:dyDescent="0.25">
      <c r="A280" s="295"/>
      <c r="B280" s="337" t="s">
        <v>157</v>
      </c>
      <c r="C280" s="286"/>
      <c r="D280" s="286"/>
      <c r="E280" s="286"/>
      <c r="F280" s="286"/>
      <c r="G280" s="286"/>
      <c r="H280" s="381"/>
      <c r="I280" s="381"/>
      <c r="J280" s="381"/>
      <c r="K280" s="381"/>
      <c r="L280" s="381"/>
      <c r="M280" s="381"/>
      <c r="N280" s="381"/>
      <c r="O280" s="381"/>
      <c r="P280" s="381"/>
      <c r="Q280" s="381"/>
      <c r="R280" s="337">
        <v>0</v>
      </c>
      <c r="S280" s="379">
        <v>0</v>
      </c>
      <c r="T280" s="338">
        <v>0</v>
      </c>
      <c r="U280" s="379">
        <v>0</v>
      </c>
      <c r="V280" s="286"/>
      <c r="W280" s="289"/>
      <c r="X280" s="5"/>
    </row>
    <row r="281" spans="1:24" ht="15.75" x14ac:dyDescent="0.25">
      <c r="A281" s="295"/>
      <c r="B281" s="337" t="s">
        <v>158</v>
      </c>
      <c r="C281" s="286"/>
      <c r="D281" s="286"/>
      <c r="E281" s="286"/>
      <c r="F281" s="286"/>
      <c r="G281" s="286"/>
      <c r="H281" s="381"/>
      <c r="I281" s="381"/>
      <c r="J281" s="381"/>
      <c r="K281" s="381"/>
      <c r="L281" s="381"/>
      <c r="M281" s="381"/>
      <c r="N281" s="381"/>
      <c r="O281" s="381"/>
      <c r="P281" s="381"/>
      <c r="Q281" s="381"/>
      <c r="R281" s="337">
        <v>0</v>
      </c>
      <c r="S281" s="379">
        <v>0</v>
      </c>
      <c r="T281" s="338">
        <v>0</v>
      </c>
      <c r="U281" s="379">
        <v>0</v>
      </c>
      <c r="V281" s="286"/>
      <c r="W281" s="289"/>
      <c r="X281" s="5"/>
    </row>
    <row r="282" spans="1:24" ht="15.75" x14ac:dyDescent="0.25">
      <c r="A282" s="295"/>
      <c r="B282" s="337" t="s">
        <v>159</v>
      </c>
      <c r="C282" s="286"/>
      <c r="D282" s="286"/>
      <c r="E282" s="286"/>
      <c r="F282" s="286"/>
      <c r="G282" s="286"/>
      <c r="H282" s="381"/>
      <c r="I282" s="381"/>
      <c r="J282" s="381"/>
      <c r="K282" s="381"/>
      <c r="L282" s="381"/>
      <c r="M282" s="381"/>
      <c r="N282" s="381"/>
      <c r="O282" s="381"/>
      <c r="P282" s="381"/>
      <c r="Q282" s="381"/>
      <c r="R282" s="337">
        <v>1</v>
      </c>
      <c r="S282" s="379">
        <v>1</v>
      </c>
      <c r="T282" s="338">
        <v>109</v>
      </c>
      <c r="U282" s="379">
        <v>1</v>
      </c>
      <c r="V282" s="286"/>
      <c r="W282" s="289"/>
      <c r="X282" s="5"/>
    </row>
    <row r="283" spans="1:24" ht="15.75" x14ac:dyDescent="0.25">
      <c r="A283" s="295"/>
      <c r="B283" s="337" t="s">
        <v>160</v>
      </c>
      <c r="C283" s="286"/>
      <c r="D283" s="286"/>
      <c r="E283" s="286"/>
      <c r="F283" s="286"/>
      <c r="G283" s="286"/>
      <c r="H283" s="381"/>
      <c r="I283" s="381"/>
      <c r="J283" s="381"/>
      <c r="K283" s="381"/>
      <c r="L283" s="381"/>
      <c r="M283" s="381"/>
      <c r="N283" s="381"/>
      <c r="O283" s="381"/>
      <c r="P283" s="381"/>
      <c r="Q283" s="381"/>
      <c r="R283" s="337">
        <v>0</v>
      </c>
      <c r="S283" s="379">
        <v>0</v>
      </c>
      <c r="T283" s="338">
        <v>0</v>
      </c>
      <c r="U283" s="379">
        <v>0</v>
      </c>
      <c r="V283" s="286"/>
      <c r="W283" s="289"/>
      <c r="X283" s="5"/>
    </row>
    <row r="284" spans="1:24" ht="15.75" x14ac:dyDescent="0.25">
      <c r="A284" s="295"/>
      <c r="B284" s="337"/>
      <c r="C284" s="286"/>
      <c r="D284" s="286"/>
      <c r="E284" s="286"/>
      <c r="F284" s="286"/>
      <c r="G284" s="286"/>
      <c r="H284" s="381"/>
      <c r="I284" s="381"/>
      <c r="J284" s="381"/>
      <c r="K284" s="381"/>
      <c r="L284" s="381"/>
      <c r="M284" s="381"/>
      <c r="N284" s="381"/>
      <c r="O284" s="381"/>
      <c r="P284" s="381"/>
      <c r="Q284" s="381"/>
      <c r="R284" s="337"/>
      <c r="S284" s="379"/>
      <c r="T284" s="338"/>
      <c r="U284" s="379"/>
      <c r="V284" s="286"/>
      <c r="W284" s="289"/>
      <c r="X284" s="5"/>
    </row>
    <row r="285" spans="1:24" ht="15.75" x14ac:dyDescent="0.25">
      <c r="A285" s="295"/>
      <c r="B285" s="286" t="s">
        <v>114</v>
      </c>
      <c r="C285" s="286"/>
      <c r="D285" s="286"/>
      <c r="E285" s="286"/>
      <c r="F285" s="286"/>
      <c r="G285" s="286"/>
      <c r="H285" s="381"/>
      <c r="I285" s="381"/>
      <c r="J285" s="381"/>
      <c r="K285" s="381"/>
      <c r="L285" s="381"/>
      <c r="M285" s="381"/>
      <c r="N285" s="381"/>
      <c r="O285" s="381"/>
      <c r="P285" s="381"/>
      <c r="Q285" s="381"/>
      <c r="R285" s="337">
        <f>SUM(R276:R283)</f>
        <v>1</v>
      </c>
      <c r="S285" s="379">
        <f>SUM(S276:S283)</f>
        <v>1</v>
      </c>
      <c r="T285" s="338">
        <f>SUM(T276:T283)</f>
        <v>109</v>
      </c>
      <c r="U285" s="379">
        <f>SUM(U276:U283)</f>
        <v>1</v>
      </c>
      <c r="V285" s="286"/>
      <c r="W285" s="289"/>
      <c r="X285" s="5"/>
    </row>
    <row r="286" spans="1:24" ht="15.75" x14ac:dyDescent="0.25">
      <c r="A286" s="295"/>
      <c r="B286" s="286"/>
      <c r="C286" s="286"/>
      <c r="D286" s="286"/>
      <c r="E286" s="286"/>
      <c r="F286" s="286"/>
      <c r="G286" s="286"/>
      <c r="H286" s="381"/>
      <c r="I286" s="381"/>
      <c r="J286" s="381"/>
      <c r="K286" s="381"/>
      <c r="L286" s="381"/>
      <c r="M286" s="381"/>
      <c r="N286" s="381"/>
      <c r="O286" s="381"/>
      <c r="P286" s="381"/>
      <c r="Q286" s="381"/>
      <c r="R286" s="337"/>
      <c r="S286" s="379"/>
      <c r="T286" s="338"/>
      <c r="U286" s="379"/>
      <c r="V286" s="286"/>
      <c r="W286" s="289"/>
      <c r="X286" s="5"/>
    </row>
    <row r="287" spans="1:24" ht="15.75" x14ac:dyDescent="0.25">
      <c r="A287" s="295"/>
      <c r="B287" s="297" t="s">
        <v>164</v>
      </c>
      <c r="C287" s="286"/>
      <c r="D287" s="286"/>
      <c r="E287" s="286"/>
      <c r="F287" s="286"/>
      <c r="G287" s="286"/>
      <c r="H287" s="381"/>
      <c r="I287" s="381"/>
      <c r="J287" s="381"/>
      <c r="K287" s="381"/>
      <c r="L287" s="381"/>
      <c r="M287" s="381"/>
      <c r="N287" s="381"/>
      <c r="O287" s="381"/>
      <c r="P287" s="381"/>
      <c r="Q287" s="381"/>
      <c r="R287" s="384">
        <f>R285+R273+R261</f>
        <v>5471</v>
      </c>
      <c r="S287" s="379"/>
      <c r="T287" s="410">
        <f>+T285+T273+T261</f>
        <v>768831</v>
      </c>
      <c r="U287" s="379"/>
      <c r="V287" s="286"/>
      <c r="W287" s="289"/>
      <c r="X287" s="5"/>
    </row>
    <row r="288" spans="1:24" ht="15.75" x14ac:dyDescent="0.25">
      <c r="A288" s="254"/>
      <c r="B288" s="346"/>
      <c r="C288" s="346"/>
      <c r="D288" s="346"/>
      <c r="E288" s="346"/>
      <c r="F288" s="346"/>
      <c r="G288" s="346"/>
      <c r="H288" s="382"/>
      <c r="I288" s="382"/>
      <c r="J288" s="382"/>
      <c r="K288" s="382"/>
      <c r="L288" s="382"/>
      <c r="M288" s="382"/>
      <c r="N288" s="382"/>
      <c r="O288" s="382"/>
      <c r="P288" s="382"/>
      <c r="Q288" s="382"/>
      <c r="R288" s="382"/>
      <c r="S288" s="382"/>
      <c r="T288" s="383"/>
      <c r="U288" s="382"/>
      <c r="V288" s="346"/>
      <c r="W288" s="346"/>
      <c r="X288" s="5"/>
    </row>
    <row r="289" spans="1:24" ht="15.75" x14ac:dyDescent="0.25">
      <c r="A289" s="254"/>
      <c r="B289" s="255"/>
      <c r="C289" s="255"/>
      <c r="D289" s="255"/>
      <c r="E289" s="255"/>
      <c r="F289" s="255"/>
      <c r="G289" s="255"/>
      <c r="H289" s="256"/>
      <c r="I289" s="256"/>
      <c r="J289" s="256"/>
      <c r="K289" s="256"/>
      <c r="L289" s="256"/>
      <c r="M289" s="256"/>
      <c r="N289" s="256"/>
      <c r="O289" s="256"/>
      <c r="P289" s="256"/>
      <c r="Q289" s="256"/>
      <c r="R289" s="256"/>
      <c r="S289" s="256"/>
      <c r="T289" s="257"/>
      <c r="U289" s="256"/>
      <c r="V289" s="255"/>
      <c r="W289" s="255"/>
      <c r="X289" s="5"/>
    </row>
    <row r="290" spans="1:24" ht="15.75" x14ac:dyDescent="0.25">
      <c r="A290" s="258"/>
      <c r="B290" s="388" t="s">
        <v>91</v>
      </c>
      <c r="C290" s="255"/>
      <c r="D290" s="255"/>
      <c r="E290" s="255"/>
      <c r="F290" s="391" t="s">
        <v>97</v>
      </c>
      <c r="G290" s="255"/>
      <c r="H290" s="388" t="s">
        <v>99</v>
      </c>
      <c r="I290" s="388"/>
      <c r="J290" s="388"/>
      <c r="K290" s="261"/>
      <c r="L290" s="261"/>
      <c r="M290" s="261"/>
      <c r="N290" s="261"/>
      <c r="O290" s="261"/>
      <c r="P290" s="261"/>
      <c r="Q290" s="261"/>
      <c r="R290" s="261"/>
      <c r="S290" s="261"/>
      <c r="T290" s="261"/>
      <c r="U290" s="261"/>
      <c r="V290" s="261"/>
      <c r="W290" s="261"/>
      <c r="X290" s="5"/>
    </row>
    <row r="291" spans="1:24" ht="15.75" x14ac:dyDescent="0.25">
      <c r="A291" s="258"/>
      <c r="B291" s="261"/>
      <c r="C291" s="255"/>
      <c r="D291" s="255"/>
      <c r="E291" s="255"/>
      <c r="F291" s="255"/>
      <c r="G291" s="255"/>
      <c r="H291" s="255"/>
      <c r="I291" s="255"/>
      <c r="J291" s="255"/>
      <c r="K291" s="261"/>
      <c r="L291" s="261"/>
      <c r="M291" s="261"/>
      <c r="N291" s="261"/>
      <c r="O291" s="261"/>
      <c r="P291" s="261"/>
      <c r="Q291" s="261"/>
      <c r="R291" s="261"/>
      <c r="S291" s="261"/>
      <c r="T291" s="261"/>
      <c r="U291" s="261"/>
      <c r="V291" s="261"/>
      <c r="W291" s="261"/>
      <c r="X291" s="5"/>
    </row>
    <row r="292" spans="1:24" ht="15.75" x14ac:dyDescent="0.25">
      <c r="A292" s="258"/>
      <c r="B292" s="388" t="s">
        <v>318</v>
      </c>
      <c r="C292" s="388"/>
      <c r="D292" s="388"/>
      <c r="E292" s="388"/>
      <c r="F292" s="411" t="s">
        <v>148</v>
      </c>
      <c r="G292" s="388"/>
      <c r="H292" s="388" t="s">
        <v>152</v>
      </c>
      <c r="I292" s="388"/>
      <c r="J292" s="388"/>
      <c r="K292" s="261"/>
      <c r="L292" s="261"/>
      <c r="M292" s="261"/>
      <c r="N292" s="261"/>
      <c r="O292" s="261"/>
      <c r="P292" s="261"/>
      <c r="Q292" s="261"/>
      <c r="R292" s="261"/>
      <c r="S292" s="261"/>
      <c r="T292" s="261"/>
      <c r="U292" s="261"/>
      <c r="V292" s="261"/>
      <c r="W292" s="261"/>
      <c r="X292" s="5"/>
    </row>
    <row r="293" spans="1:24" ht="15.75" x14ac:dyDescent="0.25">
      <c r="A293" s="258"/>
      <c r="B293" s="388" t="s">
        <v>319</v>
      </c>
      <c r="C293" s="388"/>
      <c r="D293" s="388"/>
      <c r="E293" s="388"/>
      <c r="F293" s="411" t="s">
        <v>266</v>
      </c>
      <c r="G293" s="388"/>
      <c r="H293" s="388" t="s">
        <v>267</v>
      </c>
      <c r="I293" s="388"/>
      <c r="J293" s="388"/>
      <c r="K293" s="261"/>
      <c r="L293" s="261"/>
      <c r="M293" s="261"/>
      <c r="N293" s="261"/>
      <c r="O293" s="261"/>
      <c r="P293" s="261"/>
      <c r="Q293" s="261"/>
      <c r="R293" s="261"/>
      <c r="S293" s="261"/>
      <c r="T293" s="261"/>
      <c r="U293" s="261"/>
      <c r="V293" s="261"/>
      <c r="W293" s="261"/>
      <c r="X293" s="5"/>
    </row>
    <row r="294" spans="1:24" ht="15.75" x14ac:dyDescent="0.25">
      <c r="A294" s="258"/>
      <c r="B294" s="388" t="s">
        <v>320</v>
      </c>
      <c r="C294" s="388"/>
      <c r="D294" s="388"/>
      <c r="E294" s="388"/>
      <c r="F294" s="411" t="s">
        <v>147</v>
      </c>
      <c r="G294" s="388"/>
      <c r="H294" s="388" t="s">
        <v>153</v>
      </c>
      <c r="I294" s="388"/>
      <c r="J294" s="388"/>
      <c r="K294" s="261"/>
      <c r="L294" s="261"/>
      <c r="M294" s="261"/>
      <c r="N294" s="261"/>
      <c r="O294" s="261"/>
      <c r="P294" s="261"/>
      <c r="Q294" s="261"/>
      <c r="R294" s="261"/>
      <c r="S294" s="261"/>
      <c r="T294" s="261"/>
      <c r="U294" s="261"/>
      <c r="V294" s="261"/>
      <c r="W294" s="261"/>
      <c r="X294" s="5"/>
    </row>
    <row r="295" spans="1:24" ht="15.75" x14ac:dyDescent="0.25">
      <c r="A295" s="258"/>
      <c r="B295" s="388"/>
      <c r="C295" s="388"/>
      <c r="D295" s="388"/>
      <c r="E295" s="388"/>
      <c r="F295" s="388"/>
      <c r="G295" s="263"/>
      <c r="H295" s="261"/>
      <c r="I295" s="261"/>
      <c r="J295" s="261"/>
      <c r="K295" s="261"/>
      <c r="L295" s="261"/>
      <c r="M295" s="261"/>
      <c r="N295" s="261"/>
      <c r="O295" s="261"/>
      <c r="P295" s="261"/>
      <c r="Q295" s="261"/>
      <c r="R295" s="261"/>
      <c r="S295" s="261"/>
      <c r="T295" s="261"/>
      <c r="U295" s="261"/>
      <c r="V295" s="261"/>
      <c r="W295" s="261"/>
      <c r="X295" s="5"/>
    </row>
    <row r="296" spans="1:24" ht="15.75" x14ac:dyDescent="0.25">
      <c r="A296" s="258"/>
      <c r="B296" s="388"/>
      <c r="C296" s="388"/>
      <c r="D296" s="388"/>
      <c r="E296" s="388"/>
      <c r="F296" s="388"/>
      <c r="G296" s="263"/>
      <c r="H296" s="261"/>
      <c r="I296" s="261"/>
      <c r="J296" s="261"/>
      <c r="K296" s="261"/>
      <c r="L296" s="261"/>
      <c r="M296" s="261"/>
      <c r="N296" s="261"/>
      <c r="O296" s="261"/>
      <c r="P296" s="261"/>
      <c r="Q296" s="261"/>
      <c r="R296" s="261"/>
      <c r="S296" s="261"/>
      <c r="T296" s="261"/>
      <c r="U296" s="261"/>
      <c r="V296" s="261"/>
      <c r="W296" s="261"/>
      <c r="X296" s="5"/>
    </row>
    <row r="297" spans="1:24" ht="19.5" thickBot="1" x14ac:dyDescent="0.35">
      <c r="A297" s="258"/>
      <c r="B297" s="264" t="str">
        <f>B201</f>
        <v>PM15 INVESTOR REPORT QUARTER ENDING AUGUST 2014</v>
      </c>
      <c r="C297" s="388"/>
      <c r="D297" s="388"/>
      <c r="E297" s="388"/>
      <c r="F297" s="388"/>
      <c r="G297" s="263"/>
      <c r="H297" s="261"/>
      <c r="I297" s="261"/>
      <c r="J297" s="261"/>
      <c r="K297" s="261"/>
      <c r="L297" s="261"/>
      <c r="M297" s="261"/>
      <c r="N297" s="261"/>
      <c r="O297" s="261"/>
      <c r="P297" s="261"/>
      <c r="Q297" s="261"/>
      <c r="R297" s="261"/>
      <c r="S297" s="261"/>
      <c r="T297" s="261"/>
      <c r="U297" s="261"/>
      <c r="V297" s="261"/>
      <c r="W297" s="261"/>
      <c r="X297" s="5"/>
    </row>
    <row r="298" spans="1:24" x14ac:dyDescent="0.2">
      <c r="A298" s="100"/>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00"/>
    </row>
  </sheetData>
  <hyperlinks>
    <hyperlink ref="P237" r:id="rId1" xr:uid="{00000000-0004-0000-1B00-000000000000}"/>
    <hyperlink ref="I9" r:id="rId2" xr:uid="{00000000-0004-0000-1B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5" max="14" man="1"/>
    <brk id="201" max="14" man="1"/>
  </rowBreaks>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sheetPr>
  <dimension ref="A1:IV298"/>
  <sheetViews>
    <sheetView showGridLines="0" showOutlineSymbols="0" zoomScale="70" zoomScaleNormal="70" workbookViewId="0"/>
  </sheetViews>
  <sheetFormatPr defaultColWidth="9.6640625" defaultRowHeight="15" x14ac:dyDescent="0.2"/>
  <cols>
    <col min="1" max="1" width="4" style="1" customWidth="1"/>
    <col min="2" max="2" width="71.21875" style="1" customWidth="1"/>
    <col min="3" max="3" width="2.21875" style="1" customWidth="1"/>
    <col min="4" max="4" width="19.33203125" style="1" customWidth="1"/>
    <col min="5" max="5" width="2.21875" style="1" customWidth="1"/>
    <col min="6" max="6" width="25.109375" style="1" customWidth="1"/>
    <col min="7" max="7" width="2.21875" style="1" customWidth="1"/>
    <col min="8" max="8" width="16.21875" style="1" customWidth="1"/>
    <col min="9" max="9" width="2.88671875" style="1" customWidth="1"/>
    <col min="10" max="10" width="16.21875" style="1" customWidth="1"/>
    <col min="11" max="11" width="2.21875" style="1" customWidth="1"/>
    <col min="12" max="12" width="17.88671875" style="1" customWidth="1"/>
    <col min="13" max="13" width="2.33203125" style="1" customWidth="1"/>
    <col min="14" max="14" width="14.88671875" style="1" customWidth="1"/>
    <col min="15" max="15" width="2.33203125" style="1" customWidth="1"/>
    <col min="16" max="16" width="15.5546875" style="1" customWidth="1"/>
    <col min="17" max="17" width="2.21875" style="1" customWidth="1"/>
    <col min="18" max="18" width="15.5546875" style="1" customWidth="1"/>
    <col min="19" max="20" width="12.6640625" style="1" customWidth="1"/>
    <col min="21" max="21" width="7.77734375" style="1" customWidth="1"/>
    <col min="22" max="22" width="14.6640625" style="1" customWidth="1"/>
    <col min="23" max="23" width="11.77734375" style="1" customWidth="1"/>
    <col min="24" max="16384" width="9.6640625" style="1"/>
  </cols>
  <sheetData>
    <row r="1" spans="1:24" ht="20.25" x14ac:dyDescent="0.3">
      <c r="A1" s="179"/>
      <c r="B1" s="274" t="s">
        <v>237</v>
      </c>
      <c r="C1" s="180"/>
      <c r="D1" s="180"/>
      <c r="E1" s="180"/>
      <c r="F1" s="180"/>
      <c r="G1" s="180"/>
      <c r="H1" s="180"/>
      <c r="I1" s="180"/>
      <c r="J1" s="180"/>
      <c r="K1" s="180"/>
      <c r="L1" s="180"/>
      <c r="M1" s="180"/>
      <c r="N1" s="180"/>
      <c r="O1" s="180"/>
      <c r="P1" s="180"/>
      <c r="Q1" s="180"/>
      <c r="R1" s="180"/>
      <c r="S1" s="180"/>
      <c r="T1" s="180"/>
      <c r="U1" s="180"/>
      <c r="V1" s="180"/>
      <c r="W1" s="180"/>
      <c r="X1" s="5"/>
    </row>
    <row r="2" spans="1:24" ht="15.75" x14ac:dyDescent="0.25">
      <c r="A2" s="181"/>
      <c r="B2" s="182"/>
      <c r="C2" s="183"/>
      <c r="D2" s="183"/>
      <c r="E2" s="183"/>
      <c r="F2" s="183"/>
      <c r="G2" s="183"/>
      <c r="H2" s="183"/>
      <c r="I2" s="183"/>
      <c r="J2" s="183"/>
      <c r="K2" s="183"/>
      <c r="L2" s="183"/>
      <c r="M2" s="183"/>
      <c r="N2" s="183"/>
      <c r="O2" s="183"/>
      <c r="P2" s="183"/>
      <c r="Q2" s="183"/>
      <c r="R2" s="183"/>
      <c r="S2" s="183"/>
      <c r="T2" s="183"/>
      <c r="U2" s="183"/>
      <c r="V2" s="183"/>
      <c r="W2" s="183"/>
      <c r="X2" s="5"/>
    </row>
    <row r="3" spans="1:24" ht="15.75" x14ac:dyDescent="0.25">
      <c r="A3" s="184"/>
      <c r="B3" s="185" t="s">
        <v>238</v>
      </c>
      <c r="C3" s="183"/>
      <c r="D3" s="183"/>
      <c r="E3" s="183"/>
      <c r="F3" s="183"/>
      <c r="G3" s="183"/>
      <c r="H3" s="183"/>
      <c r="I3" s="183"/>
      <c r="J3" s="183"/>
      <c r="K3" s="183"/>
      <c r="L3" s="183"/>
      <c r="M3" s="183"/>
      <c r="N3" s="183"/>
      <c r="O3" s="183"/>
      <c r="P3" s="183"/>
      <c r="Q3" s="183"/>
      <c r="R3" s="183"/>
      <c r="S3" s="183"/>
      <c r="T3" s="183"/>
      <c r="U3" s="183"/>
      <c r="V3" s="183"/>
      <c r="W3" s="183"/>
      <c r="X3" s="5"/>
    </row>
    <row r="4" spans="1:24" ht="15.75" x14ac:dyDescent="0.25">
      <c r="A4" s="181"/>
      <c r="B4" s="182"/>
      <c r="C4" s="183"/>
      <c r="D4" s="183"/>
      <c r="E4" s="183"/>
      <c r="F4" s="183"/>
      <c r="G4" s="183"/>
      <c r="H4" s="183"/>
      <c r="I4" s="183"/>
      <c r="J4" s="183"/>
      <c r="K4" s="183"/>
      <c r="L4" s="183"/>
      <c r="M4" s="183"/>
      <c r="N4" s="183"/>
      <c r="O4" s="183"/>
      <c r="P4" s="183"/>
      <c r="Q4" s="183"/>
      <c r="R4" s="183"/>
      <c r="S4" s="183"/>
      <c r="T4" s="183"/>
      <c r="U4" s="183"/>
      <c r="V4" s="183"/>
      <c r="W4" s="183"/>
      <c r="X4" s="5"/>
    </row>
    <row r="5" spans="1:24" ht="15.75" x14ac:dyDescent="0.25">
      <c r="A5" s="181"/>
      <c r="B5" s="275" t="s">
        <v>137</v>
      </c>
      <c r="C5" s="183"/>
      <c r="D5" s="183"/>
      <c r="E5" s="183"/>
      <c r="F5" s="183"/>
      <c r="G5" s="183"/>
      <c r="H5" s="183"/>
      <c r="I5" s="183"/>
      <c r="J5" s="183"/>
      <c r="K5" s="183"/>
      <c r="L5" s="183"/>
      <c r="M5" s="183"/>
      <c r="N5" s="183"/>
      <c r="O5" s="183"/>
      <c r="P5" s="183"/>
      <c r="Q5" s="183"/>
      <c r="R5" s="183"/>
      <c r="S5" s="183"/>
      <c r="T5" s="183"/>
      <c r="U5" s="183"/>
      <c r="V5" s="183"/>
      <c r="W5" s="183"/>
      <c r="X5" s="5"/>
    </row>
    <row r="6" spans="1:24" ht="15.75" x14ac:dyDescent="0.25">
      <c r="A6" s="181"/>
      <c r="B6" s="275" t="s">
        <v>139</v>
      </c>
      <c r="C6" s="183"/>
      <c r="D6" s="183"/>
      <c r="E6" s="183"/>
      <c r="F6" s="183"/>
      <c r="G6" s="183"/>
      <c r="H6" s="183"/>
      <c r="I6" s="183"/>
      <c r="J6" s="183"/>
      <c r="K6" s="183"/>
      <c r="L6" s="183"/>
      <c r="M6" s="183"/>
      <c r="N6" s="183"/>
      <c r="O6" s="183"/>
      <c r="P6" s="183"/>
      <c r="Q6" s="183"/>
      <c r="R6" s="183"/>
      <c r="S6" s="183"/>
      <c r="T6" s="183"/>
      <c r="U6" s="183"/>
      <c r="V6" s="183"/>
      <c r="W6" s="183"/>
      <c r="X6" s="5"/>
    </row>
    <row r="7" spans="1:24" ht="15.75" x14ac:dyDescent="0.25">
      <c r="A7" s="181"/>
      <c r="B7" s="275" t="s">
        <v>138</v>
      </c>
      <c r="C7" s="183"/>
      <c r="D7" s="183"/>
      <c r="E7" s="183"/>
      <c r="F7" s="183"/>
      <c r="G7" s="183"/>
      <c r="H7" s="183"/>
      <c r="I7" s="183"/>
      <c r="J7" s="183"/>
      <c r="K7" s="183"/>
      <c r="L7" s="183"/>
      <c r="M7" s="183"/>
      <c r="N7" s="183"/>
      <c r="O7" s="183"/>
      <c r="P7" s="183"/>
      <c r="Q7" s="183"/>
      <c r="R7" s="183"/>
      <c r="S7" s="183"/>
      <c r="T7" s="183"/>
      <c r="U7" s="183"/>
      <c r="V7" s="183"/>
      <c r="W7" s="183"/>
      <c r="X7" s="5"/>
    </row>
    <row r="8" spans="1:24" ht="15.75" x14ac:dyDescent="0.25">
      <c r="A8" s="181"/>
      <c r="B8" s="186"/>
      <c r="C8" s="183"/>
      <c r="D8" s="183"/>
      <c r="E8" s="183"/>
      <c r="F8" s="183"/>
      <c r="G8" s="183"/>
      <c r="H8" s="183"/>
      <c r="I8" s="183"/>
      <c r="J8" s="183"/>
      <c r="K8" s="183"/>
      <c r="L8" s="183"/>
      <c r="M8" s="183"/>
      <c r="N8" s="183"/>
      <c r="O8" s="183"/>
      <c r="P8" s="183"/>
      <c r="Q8" s="183"/>
      <c r="R8" s="183"/>
      <c r="S8" s="183"/>
      <c r="T8" s="183"/>
      <c r="U8" s="183"/>
      <c r="V8" s="183"/>
      <c r="W8" s="183"/>
      <c r="X8" s="5"/>
    </row>
    <row r="9" spans="1:24" ht="18.75" x14ac:dyDescent="0.3">
      <c r="A9" s="181"/>
      <c r="B9" s="187" t="s">
        <v>166</v>
      </c>
      <c r="C9" s="183"/>
      <c r="D9" s="183"/>
      <c r="E9" s="183"/>
      <c r="F9" s="183"/>
      <c r="G9" s="183"/>
      <c r="H9" s="183"/>
      <c r="I9" s="188" t="s">
        <v>167</v>
      </c>
      <c r="J9" s="183"/>
      <c r="K9" s="183"/>
      <c r="L9" s="188"/>
      <c r="M9" s="183"/>
      <c r="N9" s="188"/>
      <c r="O9" s="183"/>
      <c r="P9" s="183"/>
      <c r="Q9" s="183"/>
      <c r="R9" s="183"/>
      <c r="S9" s="183"/>
      <c r="T9" s="183"/>
      <c r="U9" s="183"/>
      <c r="V9" s="183"/>
      <c r="W9" s="183"/>
      <c r="X9" s="5"/>
    </row>
    <row r="10" spans="1:24" ht="15.75" x14ac:dyDescent="0.25">
      <c r="A10" s="181"/>
      <c r="B10" s="186"/>
      <c r="C10" s="189"/>
      <c r="D10" s="189"/>
      <c r="E10" s="189"/>
      <c r="F10" s="183"/>
      <c r="G10" s="183"/>
      <c r="H10" s="183"/>
      <c r="I10" s="183"/>
      <c r="J10" s="183"/>
      <c r="K10" s="183"/>
      <c r="L10" s="183"/>
      <c r="M10" s="183"/>
      <c r="N10" s="183"/>
      <c r="O10" s="183"/>
      <c r="P10" s="183"/>
      <c r="Q10" s="183"/>
      <c r="R10" s="183"/>
      <c r="S10" s="183"/>
      <c r="T10" s="183"/>
      <c r="U10" s="183"/>
      <c r="V10" s="183"/>
      <c r="W10" s="183"/>
      <c r="X10" s="5"/>
    </row>
    <row r="11" spans="1:24" ht="15.75" x14ac:dyDescent="0.25">
      <c r="A11" s="181"/>
      <c r="B11" s="388" t="s">
        <v>0</v>
      </c>
      <c r="C11" s="183"/>
      <c r="D11" s="183"/>
      <c r="E11" s="183"/>
      <c r="F11" s="183"/>
      <c r="G11" s="183"/>
      <c r="H11" s="183"/>
      <c r="I11" s="183"/>
      <c r="J11" s="183"/>
      <c r="K11" s="183"/>
      <c r="L11" s="183"/>
      <c r="M11" s="183"/>
      <c r="N11" s="183"/>
      <c r="O11" s="183"/>
      <c r="P11" s="183"/>
      <c r="Q11" s="183"/>
      <c r="R11" s="183"/>
      <c r="S11" s="183"/>
      <c r="T11" s="183"/>
      <c r="U11" s="183"/>
      <c r="V11" s="183"/>
      <c r="W11" s="183"/>
      <c r="X11" s="5"/>
    </row>
    <row r="12" spans="1:24" ht="16.5" thickBot="1" x14ac:dyDescent="0.3">
      <c r="A12" s="181"/>
      <c r="B12" s="189"/>
      <c r="C12" s="183"/>
      <c r="D12" s="183"/>
      <c r="E12" s="183"/>
      <c r="F12" s="183"/>
      <c r="G12" s="183"/>
      <c r="H12" s="183"/>
      <c r="I12" s="183"/>
      <c r="J12" s="183"/>
      <c r="K12" s="183"/>
      <c r="L12" s="183"/>
      <c r="M12" s="183"/>
      <c r="N12" s="183"/>
      <c r="O12" s="183"/>
      <c r="P12" s="183"/>
      <c r="Q12" s="183"/>
      <c r="R12" s="183"/>
      <c r="S12" s="183"/>
      <c r="T12" s="183"/>
      <c r="U12" s="183"/>
      <c r="V12" s="183"/>
      <c r="W12" s="183"/>
      <c r="X12" s="5"/>
    </row>
    <row r="13" spans="1:24" ht="15.75" x14ac:dyDescent="0.25">
      <c r="A13" s="179"/>
      <c r="B13" s="180"/>
      <c r="C13" s="180"/>
      <c r="D13" s="180"/>
      <c r="E13" s="180"/>
      <c r="F13" s="180"/>
      <c r="G13" s="180"/>
      <c r="H13" s="180"/>
      <c r="I13" s="180"/>
      <c r="J13" s="180"/>
      <c r="K13" s="180"/>
      <c r="L13" s="180"/>
      <c r="M13" s="180"/>
      <c r="N13" s="180"/>
      <c r="O13" s="180"/>
      <c r="P13" s="180"/>
      <c r="Q13" s="180"/>
      <c r="R13" s="180"/>
      <c r="S13" s="180"/>
      <c r="T13" s="180"/>
      <c r="U13" s="180"/>
      <c r="V13" s="180"/>
      <c r="W13" s="180"/>
      <c r="X13" s="5"/>
    </row>
    <row r="14" spans="1:24" ht="15.75" x14ac:dyDescent="0.25">
      <c r="A14" s="181"/>
      <c r="B14" s="388" t="s">
        <v>1</v>
      </c>
      <c r="C14" s="255"/>
      <c r="D14" s="255"/>
      <c r="E14" s="255"/>
      <c r="F14" s="255"/>
      <c r="G14" s="255"/>
      <c r="H14" s="255"/>
      <c r="I14" s="255"/>
      <c r="J14" s="255"/>
      <c r="K14" s="255"/>
      <c r="L14" s="255"/>
      <c r="M14" s="255"/>
      <c r="N14" s="255"/>
      <c r="O14" s="255"/>
      <c r="P14" s="255"/>
      <c r="Q14" s="255"/>
      <c r="R14" s="255"/>
      <c r="S14" s="255"/>
      <c r="T14" s="255"/>
      <c r="U14" s="255"/>
      <c r="V14" s="276" t="s">
        <v>239</v>
      </c>
      <c r="W14" s="255"/>
      <c r="X14" s="5"/>
    </row>
    <row r="15" spans="1:24" ht="15.75" x14ac:dyDescent="0.25">
      <c r="A15" s="181"/>
      <c r="B15" s="388" t="s">
        <v>2</v>
      </c>
      <c r="C15" s="255"/>
      <c r="D15" s="255"/>
      <c r="E15" s="255"/>
      <c r="F15" s="255"/>
      <c r="G15" s="255"/>
      <c r="H15" s="389"/>
      <c r="I15" s="389"/>
      <c r="J15" s="389"/>
      <c r="K15" s="389"/>
      <c r="L15" s="389"/>
      <c r="M15" s="389"/>
      <c r="N15" s="389"/>
      <c r="O15" s="389"/>
      <c r="P15" s="389"/>
      <c r="Q15" s="389"/>
      <c r="R15" s="389" t="s">
        <v>104</v>
      </c>
      <c r="S15" s="390">
        <v>0.47189999999999999</v>
      </c>
      <c r="T15" s="391" t="s">
        <v>140</v>
      </c>
      <c r="U15" s="390">
        <v>0.52810000000000001</v>
      </c>
      <c r="V15" s="276"/>
      <c r="W15" s="255"/>
      <c r="X15" s="5"/>
    </row>
    <row r="16" spans="1:24" ht="15.75" x14ac:dyDescent="0.25">
      <c r="A16" s="181"/>
      <c r="B16" s="388" t="s">
        <v>3</v>
      </c>
      <c r="C16" s="255"/>
      <c r="D16" s="255"/>
      <c r="E16" s="255"/>
      <c r="F16" s="255"/>
      <c r="G16" s="255"/>
      <c r="H16" s="389"/>
      <c r="I16" s="389"/>
      <c r="J16" s="389"/>
      <c r="K16" s="389"/>
      <c r="L16" s="389"/>
      <c r="M16" s="389"/>
      <c r="N16" s="389"/>
      <c r="O16" s="389"/>
      <c r="P16" s="389"/>
      <c r="Q16" s="389"/>
      <c r="R16" s="389" t="s">
        <v>104</v>
      </c>
      <c r="S16" s="390">
        <v>0.54790000000000005</v>
      </c>
      <c r="T16" s="391" t="s">
        <v>140</v>
      </c>
      <c r="U16" s="390">
        <v>0.4521</v>
      </c>
      <c r="V16" s="276"/>
      <c r="W16" s="255"/>
      <c r="X16" s="5"/>
    </row>
    <row r="17" spans="1:24" ht="15.75" x14ac:dyDescent="0.25">
      <c r="A17" s="181"/>
      <c r="B17" s="388" t="s">
        <v>4</v>
      </c>
      <c r="C17" s="255"/>
      <c r="D17" s="255"/>
      <c r="E17" s="255"/>
      <c r="F17" s="255"/>
      <c r="G17" s="255"/>
      <c r="H17" s="255"/>
      <c r="I17" s="255"/>
      <c r="J17" s="255"/>
      <c r="K17" s="255"/>
      <c r="L17" s="255"/>
      <c r="M17" s="255"/>
      <c r="N17" s="255"/>
      <c r="O17" s="255"/>
      <c r="P17" s="255"/>
      <c r="Q17" s="255"/>
      <c r="R17" s="255"/>
      <c r="S17" s="255"/>
      <c r="T17" s="255"/>
      <c r="U17" s="255"/>
      <c r="V17" s="392">
        <v>39282</v>
      </c>
      <c r="W17" s="255"/>
      <c r="X17" s="5"/>
    </row>
    <row r="18" spans="1:24" ht="15.75" x14ac:dyDescent="0.25">
      <c r="A18" s="181"/>
      <c r="B18" s="388" t="s">
        <v>5</v>
      </c>
      <c r="C18" s="255"/>
      <c r="D18" s="255"/>
      <c r="E18" s="255"/>
      <c r="F18" s="255"/>
      <c r="G18" s="255"/>
      <c r="H18" s="255"/>
      <c r="I18" s="255"/>
      <c r="J18" s="255"/>
      <c r="K18" s="255"/>
      <c r="L18" s="255"/>
      <c r="M18" s="255"/>
      <c r="N18" s="255"/>
      <c r="O18" s="255"/>
      <c r="P18" s="255"/>
      <c r="Q18" s="255"/>
      <c r="R18" s="255"/>
      <c r="S18" s="255"/>
      <c r="T18" s="255"/>
      <c r="U18" s="255"/>
      <c r="V18" s="392">
        <v>41992</v>
      </c>
      <c r="W18" s="255"/>
      <c r="X18" s="5"/>
    </row>
    <row r="19" spans="1:24" ht="15.75" x14ac:dyDescent="0.25">
      <c r="A19" s="181"/>
      <c r="B19" s="183"/>
      <c r="C19" s="183"/>
      <c r="D19" s="183"/>
      <c r="E19" s="183"/>
      <c r="F19" s="183"/>
      <c r="G19" s="183"/>
      <c r="H19" s="183"/>
      <c r="I19" s="183"/>
      <c r="J19" s="183"/>
      <c r="K19" s="183"/>
      <c r="L19" s="183"/>
      <c r="M19" s="183"/>
      <c r="N19" s="183"/>
      <c r="O19" s="183"/>
      <c r="P19" s="183"/>
      <c r="Q19" s="183"/>
      <c r="R19" s="183"/>
      <c r="S19" s="183"/>
      <c r="T19" s="183"/>
      <c r="U19" s="183"/>
      <c r="V19" s="190"/>
      <c r="W19" s="183"/>
      <c r="X19" s="5"/>
    </row>
    <row r="20" spans="1:24" ht="15.75" x14ac:dyDescent="0.25">
      <c r="A20" s="181"/>
      <c r="B20" s="280" t="s">
        <v>6</v>
      </c>
      <c r="C20" s="255"/>
      <c r="D20" s="255"/>
      <c r="E20" s="255"/>
      <c r="F20" s="255"/>
      <c r="G20" s="255"/>
      <c r="H20" s="255"/>
      <c r="I20" s="255"/>
      <c r="J20" s="255"/>
      <c r="K20" s="255"/>
      <c r="L20" s="255"/>
      <c r="M20" s="255"/>
      <c r="N20" s="255"/>
      <c r="O20" s="255"/>
      <c r="P20" s="255"/>
      <c r="Q20" s="255"/>
      <c r="R20" s="255"/>
      <c r="S20" s="255"/>
      <c r="T20" s="281" t="s">
        <v>105</v>
      </c>
      <c r="U20" s="255"/>
      <c r="V20" s="261"/>
      <c r="W20" s="183"/>
      <c r="X20" s="5"/>
    </row>
    <row r="21" spans="1:24" ht="15.75" x14ac:dyDescent="0.25">
      <c r="A21" s="181"/>
      <c r="B21" s="183"/>
      <c r="C21" s="183"/>
      <c r="D21" s="183"/>
      <c r="E21" s="183"/>
      <c r="F21" s="183"/>
      <c r="G21" s="183"/>
      <c r="H21" s="183"/>
      <c r="I21" s="183"/>
      <c r="J21" s="183"/>
      <c r="K21" s="183"/>
      <c r="L21" s="183"/>
      <c r="M21" s="183"/>
      <c r="N21" s="183"/>
      <c r="O21" s="183"/>
      <c r="P21" s="183"/>
      <c r="Q21" s="183"/>
      <c r="R21" s="183"/>
      <c r="S21" s="183"/>
      <c r="T21" s="183"/>
      <c r="U21" s="183"/>
      <c r="V21" s="192"/>
      <c r="W21" s="183"/>
      <c r="X21" s="5"/>
    </row>
    <row r="22" spans="1:24" ht="15.75" x14ac:dyDescent="0.25">
      <c r="A22" s="224"/>
      <c r="B22" s="225"/>
      <c r="C22" s="226"/>
      <c r="D22" s="226" t="s">
        <v>177</v>
      </c>
      <c r="E22" s="226"/>
      <c r="F22" s="226" t="s">
        <v>178</v>
      </c>
      <c r="G22" s="226"/>
      <c r="H22" s="226" t="s">
        <v>179</v>
      </c>
      <c r="I22" s="226"/>
      <c r="J22" s="226" t="s">
        <v>219</v>
      </c>
      <c r="K22" s="226"/>
      <c r="L22" s="226" t="s">
        <v>180</v>
      </c>
      <c r="M22" s="226"/>
      <c r="N22" s="226" t="s">
        <v>181</v>
      </c>
      <c r="O22" s="226"/>
      <c r="P22" s="226" t="s">
        <v>182</v>
      </c>
      <c r="Q22" s="226"/>
      <c r="R22" s="226"/>
      <c r="S22" s="228"/>
      <c r="T22" s="228"/>
      <c r="U22" s="229"/>
      <c r="V22" s="229"/>
      <c r="W22" s="225"/>
      <c r="X22" s="5"/>
    </row>
    <row r="23" spans="1:24" ht="15.75" x14ac:dyDescent="0.25">
      <c r="A23" s="193"/>
      <c r="B23" s="250" t="s">
        <v>7</v>
      </c>
      <c r="C23" s="282"/>
      <c r="D23" s="282" t="s">
        <v>212</v>
      </c>
      <c r="E23" s="282"/>
      <c r="F23" s="282" t="s">
        <v>141</v>
      </c>
      <c r="G23" s="282"/>
      <c r="H23" s="282" t="s">
        <v>141</v>
      </c>
      <c r="I23" s="282"/>
      <c r="J23" s="282" t="s">
        <v>141</v>
      </c>
      <c r="K23" s="282"/>
      <c r="L23" s="282" t="s">
        <v>183</v>
      </c>
      <c r="M23" s="282"/>
      <c r="N23" s="282" t="s">
        <v>183</v>
      </c>
      <c r="O23" s="282"/>
      <c r="P23" s="282" t="s">
        <v>142</v>
      </c>
      <c r="Q23" s="282"/>
      <c r="R23" s="282"/>
      <c r="S23" s="282"/>
      <c r="T23" s="282"/>
      <c r="U23" s="273"/>
      <c r="V23" s="273"/>
      <c r="W23" s="250"/>
      <c r="X23" s="5"/>
    </row>
    <row r="24" spans="1:24" ht="15.75" x14ac:dyDescent="0.25">
      <c r="A24" s="285"/>
      <c r="B24" s="286" t="s">
        <v>8</v>
      </c>
      <c r="C24" s="287"/>
      <c r="D24" s="287" t="s">
        <v>213</v>
      </c>
      <c r="E24" s="287"/>
      <c r="F24" s="287" t="s">
        <v>143</v>
      </c>
      <c r="G24" s="287"/>
      <c r="H24" s="287" t="s">
        <v>143</v>
      </c>
      <c r="I24" s="287"/>
      <c r="J24" s="287" t="s">
        <v>143</v>
      </c>
      <c r="K24" s="287"/>
      <c r="L24" s="287" t="s">
        <v>165</v>
      </c>
      <c r="M24" s="287"/>
      <c r="N24" s="287" t="s">
        <v>165</v>
      </c>
      <c r="O24" s="287"/>
      <c r="P24" s="287" t="s">
        <v>144</v>
      </c>
      <c r="Q24" s="287"/>
      <c r="R24" s="287"/>
      <c r="S24" s="287"/>
      <c r="T24" s="287"/>
      <c r="U24" s="288"/>
      <c r="V24" s="288"/>
      <c r="W24" s="289"/>
      <c r="X24" s="5"/>
    </row>
    <row r="25" spans="1:24" ht="15.75" x14ac:dyDescent="0.25">
      <c r="A25" s="290"/>
      <c r="B25" s="286" t="s">
        <v>190</v>
      </c>
      <c r="C25" s="292"/>
      <c r="D25" s="287" t="s">
        <v>214</v>
      </c>
      <c r="E25" s="287"/>
      <c r="F25" s="287" t="s">
        <v>143</v>
      </c>
      <c r="G25" s="287"/>
      <c r="H25" s="287" t="s">
        <v>143</v>
      </c>
      <c r="I25" s="287"/>
      <c r="J25" s="287" t="s">
        <v>143</v>
      </c>
      <c r="K25" s="287"/>
      <c r="L25" s="287" t="s">
        <v>165</v>
      </c>
      <c r="M25" s="287"/>
      <c r="N25" s="287" t="s">
        <v>165</v>
      </c>
      <c r="O25" s="287"/>
      <c r="P25" s="287" t="s">
        <v>144</v>
      </c>
      <c r="Q25" s="287"/>
      <c r="R25" s="287"/>
      <c r="S25" s="292"/>
      <c r="T25" s="287"/>
      <c r="U25" s="288"/>
      <c r="V25" s="288"/>
      <c r="W25" s="289"/>
      <c r="X25" s="5"/>
    </row>
    <row r="26" spans="1:24" ht="15.75" x14ac:dyDescent="0.25">
      <c r="A26" s="393"/>
      <c r="B26" s="297" t="s">
        <v>9</v>
      </c>
      <c r="C26" s="292"/>
      <c r="D26" s="292" t="s">
        <v>141</v>
      </c>
      <c r="E26" s="292"/>
      <c r="F26" s="292" t="s">
        <v>141</v>
      </c>
      <c r="G26" s="292"/>
      <c r="H26" s="292" t="s">
        <v>141</v>
      </c>
      <c r="I26" s="292"/>
      <c r="J26" s="292" t="s">
        <v>141</v>
      </c>
      <c r="K26" s="292"/>
      <c r="L26" s="292" t="s">
        <v>183</v>
      </c>
      <c r="M26" s="292"/>
      <c r="N26" s="292" t="s">
        <v>183</v>
      </c>
      <c r="O26" s="292"/>
      <c r="P26" s="292" t="s">
        <v>142</v>
      </c>
      <c r="Q26" s="292"/>
      <c r="R26" s="292"/>
      <c r="S26" s="292"/>
      <c r="T26" s="287"/>
      <c r="U26" s="288"/>
      <c r="V26" s="288"/>
      <c r="W26" s="289"/>
      <c r="X26" s="5"/>
    </row>
    <row r="27" spans="1:24" ht="15.75" x14ac:dyDescent="0.25">
      <c r="A27" s="295"/>
      <c r="B27" s="297" t="s">
        <v>191</v>
      </c>
      <c r="C27" s="287"/>
      <c r="D27" s="292" t="s">
        <v>143</v>
      </c>
      <c r="E27" s="292"/>
      <c r="F27" s="292" t="s">
        <v>143</v>
      </c>
      <c r="G27" s="292"/>
      <c r="H27" s="292" t="s">
        <v>143</v>
      </c>
      <c r="I27" s="292"/>
      <c r="J27" s="292" t="s">
        <v>143</v>
      </c>
      <c r="K27" s="292"/>
      <c r="L27" s="292" t="s">
        <v>307</v>
      </c>
      <c r="M27" s="292"/>
      <c r="N27" s="292" t="s">
        <v>307</v>
      </c>
      <c r="O27" s="292"/>
      <c r="P27" s="292" t="s">
        <v>308</v>
      </c>
      <c r="Q27" s="292"/>
      <c r="R27" s="292"/>
      <c r="S27" s="287"/>
      <c r="T27" s="296"/>
      <c r="U27" s="288"/>
      <c r="V27" s="288"/>
      <c r="W27" s="289"/>
      <c r="X27" s="5"/>
    </row>
    <row r="28" spans="1:24" ht="15.75" x14ac:dyDescent="0.25">
      <c r="A28" s="295"/>
      <c r="B28" s="297" t="s">
        <v>192</v>
      </c>
      <c r="C28" s="287"/>
      <c r="D28" s="292" t="s">
        <v>143</v>
      </c>
      <c r="E28" s="292"/>
      <c r="F28" s="292" t="s">
        <v>143</v>
      </c>
      <c r="G28" s="292"/>
      <c r="H28" s="292" t="s">
        <v>143</v>
      </c>
      <c r="I28" s="292"/>
      <c r="J28" s="292" t="s">
        <v>143</v>
      </c>
      <c r="K28" s="292"/>
      <c r="L28" s="292" t="s">
        <v>165</v>
      </c>
      <c r="M28" s="292"/>
      <c r="N28" s="292" t="s">
        <v>165</v>
      </c>
      <c r="O28" s="292"/>
      <c r="P28" s="292" t="s">
        <v>309</v>
      </c>
      <c r="Q28" s="292"/>
      <c r="R28" s="292"/>
      <c r="S28" s="287"/>
      <c r="T28" s="296"/>
      <c r="U28" s="288"/>
      <c r="V28" s="288"/>
      <c r="W28" s="289"/>
      <c r="X28" s="5"/>
    </row>
    <row r="29" spans="1:24" ht="15.75" x14ac:dyDescent="0.25">
      <c r="A29" s="295"/>
      <c r="B29" s="286" t="s">
        <v>10</v>
      </c>
      <c r="C29" s="298"/>
      <c r="D29" s="287" t="s">
        <v>242</v>
      </c>
      <c r="E29" s="287"/>
      <c r="F29" s="296" t="s">
        <v>244</v>
      </c>
      <c r="G29" s="287"/>
      <c r="H29" s="287" t="s">
        <v>245</v>
      </c>
      <c r="I29" s="287"/>
      <c r="J29" s="287" t="s">
        <v>247</v>
      </c>
      <c r="K29" s="287"/>
      <c r="L29" s="287" t="s">
        <v>248</v>
      </c>
      <c r="M29" s="287"/>
      <c r="N29" s="287" t="s">
        <v>249</v>
      </c>
      <c r="O29" s="287"/>
      <c r="P29" s="287" t="s">
        <v>250</v>
      </c>
      <c r="Q29" s="287"/>
      <c r="R29" s="287"/>
      <c r="S29" s="299"/>
      <c r="T29" s="299"/>
      <c r="U29" s="300"/>
      <c r="V29" s="299"/>
      <c r="W29" s="301"/>
      <c r="X29" s="5"/>
    </row>
    <row r="30" spans="1:24" ht="15.75" x14ac:dyDescent="0.25">
      <c r="A30" s="295"/>
      <c r="B30" s="286" t="s">
        <v>10</v>
      </c>
      <c r="C30" s="298"/>
      <c r="D30" s="287" t="s">
        <v>243</v>
      </c>
      <c r="E30" s="287"/>
      <c r="F30" s="296" t="s">
        <v>118</v>
      </c>
      <c r="G30" s="287"/>
      <c r="H30" s="287" t="s">
        <v>118</v>
      </c>
      <c r="I30" s="287"/>
      <c r="J30" s="287" t="s">
        <v>246</v>
      </c>
      <c r="K30" s="287"/>
      <c r="L30" s="287" t="s">
        <v>118</v>
      </c>
      <c r="M30" s="287"/>
      <c r="N30" s="287" t="s">
        <v>118</v>
      </c>
      <c r="O30" s="287"/>
      <c r="P30" s="287" t="s">
        <v>118</v>
      </c>
      <c r="Q30" s="287"/>
      <c r="R30" s="287"/>
      <c r="S30" s="299"/>
      <c r="T30" s="299"/>
      <c r="U30" s="300"/>
      <c r="V30" s="299"/>
      <c r="W30" s="301"/>
      <c r="X30" s="5"/>
    </row>
    <row r="31" spans="1:24" ht="15.75" x14ac:dyDescent="0.25">
      <c r="A31" s="393"/>
      <c r="B31" s="286" t="s">
        <v>133</v>
      </c>
      <c r="C31" s="310"/>
      <c r="D31" s="303">
        <v>1000000</v>
      </c>
      <c r="E31" s="298"/>
      <c r="F31" s="299">
        <v>209500</v>
      </c>
      <c r="G31" s="299"/>
      <c r="H31" s="304">
        <v>110000</v>
      </c>
      <c r="I31" s="304"/>
      <c r="J31" s="303">
        <v>150000</v>
      </c>
      <c r="K31" s="299"/>
      <c r="L31" s="299">
        <v>17000</v>
      </c>
      <c r="M31" s="299"/>
      <c r="N31" s="304">
        <v>85500</v>
      </c>
      <c r="O31" s="299"/>
      <c r="P31" s="304">
        <v>110500</v>
      </c>
      <c r="Q31" s="299"/>
      <c r="R31" s="304"/>
      <c r="S31" s="312"/>
      <c r="T31" s="312"/>
      <c r="U31" s="306"/>
      <c r="V31" s="312"/>
      <c r="W31" s="301"/>
      <c r="X31" s="5"/>
    </row>
    <row r="32" spans="1:24" ht="15.75" x14ac:dyDescent="0.25">
      <c r="A32" s="295"/>
      <c r="B32" s="286" t="s">
        <v>132</v>
      </c>
      <c r="C32" s="298"/>
      <c r="D32" s="303">
        <f>D31*D38</f>
        <v>727046.9</v>
      </c>
      <c r="E32" s="298"/>
      <c r="F32" s="299">
        <f>F31*F38</f>
        <v>152316.6398</v>
      </c>
      <c r="G32" s="299"/>
      <c r="H32" s="304">
        <f>H31*H38</f>
        <v>79975.917999999991</v>
      </c>
      <c r="I32" s="304"/>
      <c r="J32" s="303">
        <f>J31*J38</f>
        <v>109057.035</v>
      </c>
      <c r="K32" s="299"/>
      <c r="L32" s="299">
        <f>L31*L38</f>
        <v>17000</v>
      </c>
      <c r="M32" s="299"/>
      <c r="N32" s="304">
        <f>N31*N38</f>
        <v>85500</v>
      </c>
      <c r="O32" s="299"/>
      <c r="P32" s="304">
        <f>P31*P38</f>
        <v>110500</v>
      </c>
      <c r="Q32" s="299"/>
      <c r="R32" s="304"/>
      <c r="S32" s="299"/>
      <c r="T32" s="299"/>
      <c r="U32" s="300"/>
      <c r="V32" s="299"/>
      <c r="W32" s="301"/>
      <c r="X32" s="5"/>
    </row>
    <row r="33" spans="1:27" ht="15.75" x14ac:dyDescent="0.25">
      <c r="A33" s="295"/>
      <c r="B33" s="297" t="s">
        <v>134</v>
      </c>
      <c r="C33" s="298"/>
      <c r="D33" s="394">
        <f>D37*D31</f>
        <v>718031.4</v>
      </c>
      <c r="E33" s="310"/>
      <c r="F33" s="312">
        <f>F37*F31</f>
        <v>150427.9135</v>
      </c>
      <c r="G33" s="312"/>
      <c r="H33" s="395">
        <f>H31*H37</f>
        <v>78984.245999999999</v>
      </c>
      <c r="I33" s="395"/>
      <c r="J33" s="394">
        <f>J37*J31</f>
        <v>107704.70999999999</v>
      </c>
      <c r="K33" s="312"/>
      <c r="L33" s="312">
        <f>L31*L37</f>
        <v>17000</v>
      </c>
      <c r="M33" s="312"/>
      <c r="N33" s="395">
        <f>N31*N37</f>
        <v>85500</v>
      </c>
      <c r="O33" s="312"/>
      <c r="P33" s="395">
        <f>P31*P37</f>
        <v>110500</v>
      </c>
      <c r="Q33" s="312"/>
      <c r="R33" s="395"/>
      <c r="S33" s="299"/>
      <c r="T33" s="299"/>
      <c r="U33" s="300"/>
      <c r="V33" s="299"/>
      <c r="W33" s="301"/>
      <c r="X33" s="5"/>
    </row>
    <row r="34" spans="1:27" ht="15.75" x14ac:dyDescent="0.25">
      <c r="A34" s="393"/>
      <c r="B34" s="286" t="s">
        <v>286</v>
      </c>
      <c r="C34" s="310"/>
      <c r="D34" s="299">
        <v>492951</v>
      </c>
      <c r="E34" s="298"/>
      <c r="F34" s="299">
        <v>209500</v>
      </c>
      <c r="G34" s="299"/>
      <c r="H34" s="299">
        <v>74677</v>
      </c>
      <c r="I34" s="299"/>
      <c r="J34" s="299">
        <v>73943</v>
      </c>
      <c r="K34" s="299"/>
      <c r="L34" s="299">
        <v>17000</v>
      </c>
      <c r="M34" s="299"/>
      <c r="N34" s="299">
        <v>58045</v>
      </c>
      <c r="O34" s="299"/>
      <c r="P34" s="299">
        <v>75017</v>
      </c>
      <c r="Q34" s="299"/>
      <c r="R34" s="299"/>
      <c r="S34" s="312"/>
      <c r="T34" s="312"/>
      <c r="U34" s="306"/>
      <c r="V34" s="299">
        <f>SUM(C34:R34)</f>
        <v>1001133</v>
      </c>
      <c r="W34" s="301"/>
      <c r="X34" s="5"/>
    </row>
    <row r="35" spans="1:27" ht="15.75" x14ac:dyDescent="0.25">
      <c r="A35" s="393"/>
      <c r="B35" s="286" t="s">
        <v>287</v>
      </c>
      <c r="C35" s="310"/>
      <c r="D35" s="299">
        <f>D34*D38</f>
        <v>358398.49640190002</v>
      </c>
      <c r="E35" s="298"/>
      <c r="F35" s="299">
        <f>F34*F38</f>
        <v>152316.6398</v>
      </c>
      <c r="G35" s="299"/>
      <c r="H35" s="299">
        <f>H34*H38</f>
        <v>54294.1966226</v>
      </c>
      <c r="I35" s="299"/>
      <c r="J35" s="299">
        <f>J34*J38</f>
        <v>53760.028926700004</v>
      </c>
      <c r="K35" s="299"/>
      <c r="L35" s="299">
        <f>L34*L38</f>
        <v>17000</v>
      </c>
      <c r="M35" s="299"/>
      <c r="N35" s="299">
        <f>N34*N38</f>
        <v>58045</v>
      </c>
      <c r="O35" s="299"/>
      <c r="P35" s="299">
        <f>P34*P38</f>
        <v>75017</v>
      </c>
      <c r="Q35" s="299"/>
      <c r="R35" s="299"/>
      <c r="S35" s="299"/>
      <c r="T35" s="299"/>
      <c r="U35" s="300"/>
      <c r="V35" s="299">
        <f>SUM(C35:R35)</f>
        <v>768831.36175120005</v>
      </c>
      <c r="W35" s="301"/>
      <c r="X35" s="5"/>
    </row>
    <row r="36" spans="1:27" ht="15.75" x14ac:dyDescent="0.25">
      <c r="A36" s="393"/>
      <c r="B36" s="297" t="s">
        <v>288</v>
      </c>
      <c r="C36" s="310"/>
      <c r="D36" s="312">
        <f>D34*D37</f>
        <v>353954.2966614</v>
      </c>
      <c r="E36" s="310"/>
      <c r="F36" s="312">
        <f>F34*F37</f>
        <v>150427.9135</v>
      </c>
      <c r="G36" s="312"/>
      <c r="H36" s="312">
        <f>H34*H37</f>
        <v>53620.9685322</v>
      </c>
      <c r="I36" s="312"/>
      <c r="J36" s="312">
        <f>J34*J37</f>
        <v>53093.395810199996</v>
      </c>
      <c r="K36" s="312"/>
      <c r="L36" s="312">
        <f>L34*L37</f>
        <v>17000</v>
      </c>
      <c r="M36" s="312"/>
      <c r="N36" s="312">
        <f>N34*N37</f>
        <v>58045</v>
      </c>
      <c r="O36" s="312"/>
      <c r="P36" s="312">
        <f>P34*P37</f>
        <v>75017</v>
      </c>
      <c r="Q36" s="312"/>
      <c r="R36" s="312"/>
      <c r="S36" s="311"/>
      <c r="T36" s="311"/>
      <c r="U36" s="300"/>
      <c r="V36" s="312">
        <f>SUM(C36:R36)-1</f>
        <v>761157.57450380002</v>
      </c>
      <c r="W36" s="301"/>
      <c r="X36" s="5"/>
    </row>
    <row r="37" spans="1:27" ht="15.75" x14ac:dyDescent="0.25">
      <c r="A37" s="285"/>
      <c r="B37" s="313" t="s">
        <v>130</v>
      </c>
      <c r="C37" s="314"/>
      <c r="D37" s="315">
        <v>0.71803139999999999</v>
      </c>
      <c r="E37" s="315"/>
      <c r="F37" s="315">
        <v>0.71803300000000003</v>
      </c>
      <c r="G37" s="315"/>
      <c r="H37" s="315">
        <v>0.71803859999999997</v>
      </c>
      <c r="I37" s="315"/>
      <c r="J37" s="315">
        <v>0.71803139999999999</v>
      </c>
      <c r="K37" s="315"/>
      <c r="L37" s="315">
        <v>1</v>
      </c>
      <c r="M37" s="315"/>
      <c r="N37" s="315">
        <v>1</v>
      </c>
      <c r="O37" s="315"/>
      <c r="P37" s="315">
        <v>1</v>
      </c>
      <c r="Q37" s="315"/>
      <c r="R37" s="315"/>
      <c r="S37" s="316"/>
      <c r="T37" s="316"/>
      <c r="U37" s="317"/>
      <c r="V37" s="317"/>
      <c r="W37" s="318"/>
      <c r="X37" s="5"/>
    </row>
    <row r="38" spans="1:27" ht="15.75" x14ac:dyDescent="0.25">
      <c r="A38" s="285"/>
      <c r="B38" s="313" t="s">
        <v>131</v>
      </c>
      <c r="C38" s="314"/>
      <c r="D38" s="315">
        <v>0.72704690000000005</v>
      </c>
      <c r="E38" s="315"/>
      <c r="F38" s="315">
        <v>0.72704840000000004</v>
      </c>
      <c r="G38" s="315"/>
      <c r="H38" s="315">
        <v>0.72705379999999997</v>
      </c>
      <c r="I38" s="315"/>
      <c r="J38" s="315">
        <v>0.72704690000000005</v>
      </c>
      <c r="K38" s="315"/>
      <c r="L38" s="315">
        <v>1</v>
      </c>
      <c r="M38" s="315"/>
      <c r="N38" s="315">
        <v>1</v>
      </c>
      <c r="O38" s="315"/>
      <c r="P38" s="315">
        <v>1</v>
      </c>
      <c r="Q38" s="315"/>
      <c r="R38" s="315"/>
      <c r="S38" s="319"/>
      <c r="T38" s="320"/>
      <c r="U38" s="317"/>
      <c r="V38" s="319"/>
      <c r="W38" s="318"/>
      <c r="X38" s="5"/>
    </row>
    <row r="39" spans="1:27" ht="15.75" x14ac:dyDescent="0.25">
      <c r="A39" s="285"/>
      <c r="B39" s="286" t="s">
        <v>11</v>
      </c>
      <c r="C39" s="286"/>
      <c r="D39" s="296" t="s">
        <v>304</v>
      </c>
      <c r="E39" s="286"/>
      <c r="F39" s="296" t="s">
        <v>256</v>
      </c>
      <c r="G39" s="296"/>
      <c r="H39" s="296" t="s">
        <v>257</v>
      </c>
      <c r="I39" s="296"/>
      <c r="J39" s="296" t="s">
        <v>258</v>
      </c>
      <c r="K39" s="296"/>
      <c r="L39" s="296" t="s">
        <v>259</v>
      </c>
      <c r="M39" s="296"/>
      <c r="N39" s="296" t="s">
        <v>259</v>
      </c>
      <c r="O39" s="296"/>
      <c r="P39" s="296" t="s">
        <v>260</v>
      </c>
      <c r="Q39" s="296"/>
      <c r="R39" s="296"/>
      <c r="S39" s="321"/>
      <c r="T39" s="322"/>
      <c r="U39" s="288"/>
      <c r="V39" s="288"/>
      <c r="W39" s="289"/>
      <c r="X39" s="5"/>
    </row>
    <row r="40" spans="1:27" ht="15.75" x14ac:dyDescent="0.25">
      <c r="A40" s="285"/>
      <c r="B40" s="286" t="s">
        <v>12</v>
      </c>
      <c r="C40" s="286"/>
      <c r="D40" s="322">
        <v>3.3470000000000001E-3</v>
      </c>
      <c r="E40" s="286"/>
      <c r="F40" s="322">
        <v>8.2337999999999995E-3</v>
      </c>
      <c r="G40" s="321"/>
      <c r="H40" s="322">
        <v>3.2399999999999998E-3</v>
      </c>
      <c r="I40" s="322"/>
      <c r="J40" s="322">
        <v>4.5409999999999999E-3</v>
      </c>
      <c r="K40" s="321"/>
      <c r="L40" s="322">
        <v>1.10338E-2</v>
      </c>
      <c r="M40" s="321"/>
      <c r="N40" s="322">
        <v>6.2399999999999999E-3</v>
      </c>
      <c r="O40" s="321"/>
      <c r="P40" s="322">
        <v>1.184E-2</v>
      </c>
      <c r="Q40" s="321"/>
      <c r="R40" s="322"/>
      <c r="S40" s="321"/>
      <c r="T40" s="322"/>
      <c r="U40" s="288"/>
      <c r="V40" s="296"/>
      <c r="W40" s="289"/>
      <c r="X40" s="5"/>
      <c r="AA40" s="1" t="s">
        <v>193</v>
      </c>
    </row>
    <row r="41" spans="1:27" ht="15.75" x14ac:dyDescent="0.25">
      <c r="A41" s="285"/>
      <c r="B41" s="286" t="s">
        <v>13</v>
      </c>
      <c r="C41" s="286"/>
      <c r="D41" s="322">
        <v>3.3500000000000001E-3</v>
      </c>
      <c r="E41" s="286"/>
      <c r="F41" s="322">
        <v>8.1813000000000007E-3</v>
      </c>
      <c r="G41" s="321"/>
      <c r="H41" s="322">
        <v>4.8199999999999996E-3</v>
      </c>
      <c r="I41" s="322"/>
      <c r="J41" s="322">
        <v>4.5059999999999996E-3</v>
      </c>
      <c r="K41" s="321"/>
      <c r="L41" s="322">
        <v>1.0981299999999999E-2</v>
      </c>
      <c r="M41" s="321"/>
      <c r="N41" s="322">
        <v>7.8200000000000006E-3</v>
      </c>
      <c r="O41" s="321"/>
      <c r="P41" s="322">
        <v>1.342E-2</v>
      </c>
      <c r="Q41" s="321"/>
      <c r="R41" s="322"/>
      <c r="S41" s="321"/>
      <c r="T41" s="322"/>
      <c r="U41" s="288"/>
      <c r="V41" s="321" t="s">
        <v>193</v>
      </c>
      <c r="W41" s="289"/>
      <c r="X41" s="5"/>
    </row>
    <row r="42" spans="1:27" ht="15.75" x14ac:dyDescent="0.25">
      <c r="A42" s="285"/>
      <c r="B42" s="286" t="s">
        <v>289</v>
      </c>
      <c r="C42" s="286"/>
      <c r="D42" s="296" t="s">
        <v>311</v>
      </c>
      <c r="E42" s="286"/>
      <c r="F42" s="296" t="s">
        <v>256</v>
      </c>
      <c r="G42" s="296"/>
      <c r="H42" s="296" t="s">
        <v>261</v>
      </c>
      <c r="I42" s="296"/>
      <c r="J42" s="296" t="s">
        <v>261</v>
      </c>
      <c r="K42" s="296"/>
      <c r="L42" s="296" t="s">
        <v>259</v>
      </c>
      <c r="M42" s="296"/>
      <c r="N42" s="296" t="s">
        <v>263</v>
      </c>
      <c r="O42" s="296"/>
      <c r="P42" s="296" t="s">
        <v>264</v>
      </c>
      <c r="Q42" s="296"/>
      <c r="R42" s="296"/>
      <c r="S42" s="321"/>
      <c r="T42" s="322"/>
      <c r="U42" s="288"/>
      <c r="V42" s="288"/>
      <c r="W42" s="289"/>
      <c r="X42" s="5"/>
    </row>
    <row r="43" spans="1:27" ht="15.75" x14ac:dyDescent="0.25">
      <c r="A43" s="285"/>
      <c r="B43" s="286" t="s">
        <v>290</v>
      </c>
      <c r="C43" s="323"/>
      <c r="D43" s="322">
        <v>7.6306999999999998E-3</v>
      </c>
      <c r="E43" s="322"/>
      <c r="F43" s="322">
        <f>+F40</f>
        <v>8.2337999999999995E-3</v>
      </c>
      <c r="G43" s="322"/>
      <c r="H43" s="322">
        <v>8.3838000000000003E-3</v>
      </c>
      <c r="I43" s="322"/>
      <c r="J43" s="322">
        <v>8.4138000000000008E-3</v>
      </c>
      <c r="K43" s="322"/>
      <c r="L43" s="322">
        <f>+L40</f>
        <v>1.10338E-2</v>
      </c>
      <c r="M43" s="322"/>
      <c r="N43" s="322">
        <v>1.17678E-2</v>
      </c>
      <c r="O43" s="322"/>
      <c r="P43" s="322">
        <v>1.7927800000000001E-2</v>
      </c>
      <c r="Q43" s="321"/>
      <c r="R43" s="322"/>
      <c r="S43" s="296"/>
      <c r="T43" s="296"/>
      <c r="U43" s="288"/>
      <c r="V43" s="321">
        <f>SUMPRODUCT(D43:R43,D35:R35)/V35</f>
        <v>9.2504294826213727E-3</v>
      </c>
      <c r="W43" s="289"/>
      <c r="X43" s="5"/>
    </row>
    <row r="44" spans="1:27" ht="15.75" x14ac:dyDescent="0.25">
      <c r="A44" s="285"/>
      <c r="B44" s="286" t="s">
        <v>291</v>
      </c>
      <c r="C44" s="323"/>
      <c r="D44" s="322">
        <v>7.5782000000000002E-3</v>
      </c>
      <c r="E44" s="322"/>
      <c r="F44" s="322">
        <f>+F41</f>
        <v>8.1813000000000007E-3</v>
      </c>
      <c r="G44" s="322"/>
      <c r="H44" s="322">
        <v>8.3312999999999998E-3</v>
      </c>
      <c r="I44" s="322"/>
      <c r="J44" s="322">
        <v>8.3613000000000003E-3</v>
      </c>
      <c r="K44" s="322"/>
      <c r="L44" s="322">
        <f>+L41</f>
        <v>1.0981299999999999E-2</v>
      </c>
      <c r="M44" s="322"/>
      <c r="N44" s="322">
        <v>1.17153E-2</v>
      </c>
      <c r="O44" s="322"/>
      <c r="P44" s="322">
        <v>1.78753E-2</v>
      </c>
      <c r="Q44" s="321"/>
      <c r="R44" s="322"/>
      <c r="S44" s="296"/>
      <c r="T44" s="296"/>
      <c r="U44" s="288"/>
      <c r="V44" s="288"/>
      <c r="W44" s="289"/>
      <c r="X44" s="5"/>
    </row>
    <row r="45" spans="1:27" ht="15.75" x14ac:dyDescent="0.25">
      <c r="A45" s="285"/>
      <c r="B45" s="286" t="s">
        <v>14</v>
      </c>
      <c r="C45" s="286"/>
      <c r="D45" s="323">
        <v>40709</v>
      </c>
      <c r="E45" s="323"/>
      <c r="F45" s="323">
        <v>40709</v>
      </c>
      <c r="G45" s="323"/>
      <c r="H45" s="323">
        <v>40709</v>
      </c>
      <c r="I45" s="323"/>
      <c r="J45" s="323">
        <v>40709</v>
      </c>
      <c r="K45" s="323"/>
      <c r="L45" s="323">
        <v>40709</v>
      </c>
      <c r="M45" s="323"/>
      <c r="N45" s="323">
        <v>40709</v>
      </c>
      <c r="O45" s="323"/>
      <c r="P45" s="323">
        <v>40709</v>
      </c>
      <c r="Q45" s="323"/>
      <c r="R45" s="323"/>
      <c r="S45" s="296"/>
      <c r="T45" s="296"/>
      <c r="U45" s="288"/>
      <c r="V45" s="288"/>
      <c r="W45" s="289"/>
      <c r="X45" s="5"/>
    </row>
    <row r="46" spans="1:27" ht="15.75" x14ac:dyDescent="0.25">
      <c r="A46" s="285"/>
      <c r="B46" s="286" t="s">
        <v>15</v>
      </c>
      <c r="C46" s="286"/>
      <c r="D46" s="323">
        <v>41075</v>
      </c>
      <c r="E46" s="323"/>
      <c r="F46" s="323">
        <v>41075</v>
      </c>
      <c r="G46" s="323"/>
      <c r="H46" s="323">
        <v>41075</v>
      </c>
      <c r="I46" s="323"/>
      <c r="J46" s="323">
        <v>41075</v>
      </c>
      <c r="K46" s="296"/>
      <c r="L46" s="323">
        <v>41075</v>
      </c>
      <c r="M46" s="296"/>
      <c r="N46" s="323">
        <v>41075</v>
      </c>
      <c r="O46" s="296"/>
      <c r="P46" s="323">
        <v>41075</v>
      </c>
      <c r="Q46" s="296"/>
      <c r="R46" s="323"/>
      <c r="S46" s="296"/>
      <c r="T46" s="296"/>
      <c r="U46" s="288"/>
      <c r="V46" s="288"/>
      <c r="W46" s="289"/>
      <c r="X46" s="5"/>
    </row>
    <row r="47" spans="1:27" ht="15.75" x14ac:dyDescent="0.25">
      <c r="A47" s="285"/>
      <c r="B47" s="286" t="s">
        <v>119</v>
      </c>
      <c r="C47" s="286"/>
      <c r="D47" s="296" t="s">
        <v>304</v>
      </c>
      <c r="E47" s="286"/>
      <c r="F47" s="296" t="s">
        <v>256</v>
      </c>
      <c r="G47" s="296"/>
      <c r="H47" s="296" t="s">
        <v>257</v>
      </c>
      <c r="I47" s="296"/>
      <c r="J47" s="296" t="s">
        <v>258</v>
      </c>
      <c r="K47" s="296"/>
      <c r="L47" s="296" t="s">
        <v>259</v>
      </c>
      <c r="M47" s="296"/>
      <c r="N47" s="296" t="s">
        <v>259</v>
      </c>
      <c r="O47" s="296"/>
      <c r="P47" s="296" t="s">
        <v>260</v>
      </c>
      <c r="Q47" s="296"/>
      <c r="R47" s="296"/>
      <c r="S47" s="325"/>
      <c r="T47" s="325"/>
      <c r="U47" s="325"/>
      <c r="V47" s="325"/>
      <c r="W47" s="289"/>
      <c r="X47" s="5"/>
    </row>
    <row r="48" spans="1:27" ht="15.75" x14ac:dyDescent="0.25">
      <c r="A48" s="285"/>
      <c r="B48" s="286" t="s">
        <v>292</v>
      </c>
      <c r="C48" s="286"/>
      <c r="D48" s="296" t="s">
        <v>311</v>
      </c>
      <c r="E48" s="286"/>
      <c r="F48" s="296" t="s">
        <v>256</v>
      </c>
      <c r="G48" s="296"/>
      <c r="H48" s="296" t="s">
        <v>261</v>
      </c>
      <c r="I48" s="296"/>
      <c r="J48" s="296" t="s">
        <v>261</v>
      </c>
      <c r="K48" s="296"/>
      <c r="L48" s="296" t="s">
        <v>259</v>
      </c>
      <c r="M48" s="296"/>
      <c r="N48" s="296" t="s">
        <v>263</v>
      </c>
      <c r="O48" s="296"/>
      <c r="P48" s="296" t="s">
        <v>264</v>
      </c>
      <c r="Q48" s="296"/>
      <c r="R48" s="296"/>
      <c r="S48" s="286"/>
      <c r="T48" s="286"/>
      <c r="U48" s="286"/>
      <c r="V48" s="321"/>
      <c r="W48" s="289"/>
      <c r="X48" s="5"/>
    </row>
    <row r="49" spans="1:25" ht="15.75" x14ac:dyDescent="0.25">
      <c r="A49" s="285"/>
      <c r="B49" s="286"/>
      <c r="C49" s="286"/>
      <c r="D49" s="296"/>
      <c r="E49" s="286"/>
      <c r="F49" s="296"/>
      <c r="G49" s="296"/>
      <c r="H49" s="296"/>
      <c r="I49" s="296"/>
      <c r="J49" s="296"/>
      <c r="K49" s="296"/>
      <c r="L49" s="296"/>
      <c r="M49" s="296"/>
      <c r="N49" s="296"/>
      <c r="O49" s="296"/>
      <c r="P49" s="296"/>
      <c r="Q49" s="296"/>
      <c r="R49" s="296"/>
      <c r="S49" s="286"/>
      <c r="T49" s="286"/>
      <c r="U49" s="286"/>
      <c r="V49" s="321" t="s">
        <v>193</v>
      </c>
      <c r="W49" s="289"/>
      <c r="X49" s="5"/>
    </row>
    <row r="50" spans="1:25" ht="15.75" x14ac:dyDescent="0.25">
      <c r="A50" s="285"/>
      <c r="B50" s="286" t="s">
        <v>169</v>
      </c>
      <c r="C50" s="286"/>
      <c r="D50" s="296"/>
      <c r="E50" s="286"/>
      <c r="F50" s="296"/>
      <c r="G50" s="296"/>
      <c r="H50" s="296"/>
      <c r="I50" s="296"/>
      <c r="J50" s="296"/>
      <c r="K50" s="296"/>
      <c r="L50" s="296"/>
      <c r="M50" s="296"/>
      <c r="N50" s="296"/>
      <c r="O50" s="296"/>
      <c r="P50" s="296"/>
      <c r="Q50" s="296"/>
      <c r="R50" s="296"/>
      <c r="S50" s="286"/>
      <c r="T50" s="286"/>
      <c r="U50" s="286"/>
      <c r="V50" s="321">
        <f>SUM(L34:R34)/SUM(D34:J34)</f>
        <v>0.17632136449250416</v>
      </c>
      <c r="W50" s="289"/>
      <c r="X50" s="5"/>
    </row>
    <row r="51" spans="1:25" ht="15.75" x14ac:dyDescent="0.25">
      <c r="A51" s="285"/>
      <c r="B51" s="286" t="s">
        <v>170</v>
      </c>
      <c r="C51" s="286"/>
      <c r="D51" s="286"/>
      <c r="E51" s="286"/>
      <c r="F51" s="326"/>
      <c r="G51" s="286"/>
      <c r="H51" s="286"/>
      <c r="I51" s="286"/>
      <c r="J51" s="286"/>
      <c r="K51" s="286"/>
      <c r="L51" s="286"/>
      <c r="M51" s="286"/>
      <c r="N51" s="286"/>
      <c r="O51" s="286"/>
      <c r="P51" s="286"/>
      <c r="Q51" s="286"/>
      <c r="R51" s="286"/>
      <c r="S51" s="286"/>
      <c r="T51" s="286"/>
      <c r="U51" s="286"/>
      <c r="V51" s="321">
        <f>SUM(L36:R36)/SUM(D36:J36)</f>
        <v>0.24556184122263783</v>
      </c>
      <c r="W51" s="289"/>
      <c r="X51" s="5"/>
    </row>
    <row r="52" spans="1:25" ht="15.75" x14ac:dyDescent="0.25">
      <c r="A52" s="285"/>
      <c r="B52" s="286" t="s">
        <v>171</v>
      </c>
      <c r="C52" s="286"/>
      <c r="D52" s="286"/>
      <c r="E52" s="286"/>
      <c r="F52" s="286"/>
      <c r="G52" s="286"/>
      <c r="H52" s="286"/>
      <c r="I52" s="286"/>
      <c r="J52" s="286"/>
      <c r="K52" s="286"/>
      <c r="L52" s="286"/>
      <c r="M52" s="286"/>
      <c r="N52" s="286"/>
      <c r="O52" s="286"/>
      <c r="P52" s="286"/>
      <c r="Q52" s="286"/>
      <c r="R52" s="286"/>
      <c r="S52" s="286"/>
      <c r="T52" s="296"/>
      <c r="U52" s="296"/>
      <c r="V52" s="299" t="s">
        <v>268</v>
      </c>
      <c r="W52" s="289"/>
      <c r="X52" s="5"/>
    </row>
    <row r="53" spans="1:25" ht="15.75" x14ac:dyDescent="0.25">
      <c r="A53" s="285"/>
      <c r="B53" s="286"/>
      <c r="C53" s="286"/>
      <c r="D53" s="286"/>
      <c r="E53" s="286"/>
      <c r="F53" s="286"/>
      <c r="G53" s="286"/>
      <c r="H53" s="286"/>
      <c r="I53" s="286"/>
      <c r="J53" s="286"/>
      <c r="K53" s="286"/>
      <c r="L53" s="286"/>
      <c r="M53" s="286"/>
      <c r="N53" s="286"/>
      <c r="O53" s="286"/>
      <c r="P53" s="286"/>
      <c r="Q53" s="286"/>
      <c r="R53" s="286"/>
      <c r="S53" s="286"/>
      <c r="T53" s="286"/>
      <c r="U53" s="286"/>
      <c r="V53" s="327"/>
      <c r="W53" s="289"/>
      <c r="X53" s="5"/>
    </row>
    <row r="54" spans="1:25" ht="15.75" x14ac:dyDescent="0.25">
      <c r="A54" s="285"/>
      <c r="B54" s="286" t="s">
        <v>202</v>
      </c>
      <c r="C54" s="286"/>
      <c r="D54" s="286"/>
      <c r="E54" s="286"/>
      <c r="F54" s="286"/>
      <c r="G54" s="286"/>
      <c r="H54" s="286"/>
      <c r="I54" s="286"/>
      <c r="J54" s="286"/>
      <c r="K54" s="286"/>
      <c r="L54" s="286"/>
      <c r="M54" s="286"/>
      <c r="N54" s="286"/>
      <c r="O54" s="286"/>
      <c r="P54" s="286"/>
      <c r="Q54" s="286"/>
      <c r="R54" s="286"/>
      <c r="S54" s="286"/>
      <c r="T54" s="286"/>
      <c r="U54" s="286"/>
      <c r="V54" s="311" t="s">
        <v>203</v>
      </c>
      <c r="W54" s="289"/>
      <c r="X54" s="5"/>
    </row>
    <row r="55" spans="1:25" ht="15.75" x14ac:dyDescent="0.25">
      <c r="A55" s="285"/>
      <c r="B55" s="286" t="s">
        <v>270</v>
      </c>
      <c r="C55" s="286"/>
      <c r="D55" s="286"/>
      <c r="E55" s="286"/>
      <c r="F55" s="286"/>
      <c r="G55" s="286"/>
      <c r="H55" s="286"/>
      <c r="I55" s="286"/>
      <c r="J55" s="286"/>
      <c r="K55" s="286"/>
      <c r="L55" s="286"/>
      <c r="M55" s="286"/>
      <c r="N55" s="286"/>
      <c r="O55" s="286"/>
      <c r="P55" s="286"/>
      <c r="Q55" s="286"/>
      <c r="R55" s="286"/>
      <c r="S55" s="286"/>
      <c r="T55" s="296"/>
      <c r="U55" s="296"/>
      <c r="V55" s="396" t="s">
        <v>111</v>
      </c>
      <c r="W55" s="289"/>
      <c r="X55" s="5"/>
    </row>
    <row r="56" spans="1:25" ht="15.75" x14ac:dyDescent="0.25">
      <c r="A56" s="285"/>
      <c r="B56" s="297" t="s">
        <v>201</v>
      </c>
      <c r="C56" s="297"/>
      <c r="D56" s="297"/>
      <c r="E56" s="297"/>
      <c r="F56" s="297"/>
      <c r="G56" s="297"/>
      <c r="H56" s="297"/>
      <c r="I56" s="297"/>
      <c r="J56" s="297"/>
      <c r="K56" s="297"/>
      <c r="L56" s="297"/>
      <c r="M56" s="297"/>
      <c r="N56" s="297"/>
      <c r="O56" s="297"/>
      <c r="P56" s="297"/>
      <c r="Q56" s="297"/>
      <c r="R56" s="297"/>
      <c r="S56" s="297"/>
      <c r="T56" s="397"/>
      <c r="U56" s="397"/>
      <c r="V56" s="398">
        <v>41988</v>
      </c>
      <c r="W56" s="289"/>
      <c r="X56" s="5"/>
    </row>
    <row r="57" spans="1:25" ht="15.75" x14ac:dyDescent="0.25">
      <c r="A57" s="285"/>
      <c r="B57" s="286" t="s">
        <v>121</v>
      </c>
      <c r="C57" s="286"/>
      <c r="D57" s="286"/>
      <c r="E57" s="286"/>
      <c r="F57" s="286"/>
      <c r="G57" s="286"/>
      <c r="H57" s="332"/>
      <c r="I57" s="332"/>
      <c r="J57" s="332"/>
      <c r="K57" s="332"/>
      <c r="L57" s="332"/>
      <c r="M57" s="332"/>
      <c r="N57" s="332"/>
      <c r="O57" s="332"/>
      <c r="P57" s="332"/>
      <c r="Q57" s="332"/>
      <c r="R57" s="286">
        <f>+V57-T57+1</f>
        <v>91</v>
      </c>
      <c r="S57" s="332"/>
      <c r="T57" s="333">
        <v>41806</v>
      </c>
      <c r="U57" s="334"/>
      <c r="V57" s="333">
        <v>41896</v>
      </c>
      <c r="W57" s="289"/>
      <c r="X57" s="5"/>
    </row>
    <row r="58" spans="1:25" ht="15.75" x14ac:dyDescent="0.25">
      <c r="A58" s="285"/>
      <c r="B58" s="286" t="s">
        <v>122</v>
      </c>
      <c r="C58" s="286"/>
      <c r="D58" s="286"/>
      <c r="E58" s="286"/>
      <c r="F58" s="286"/>
      <c r="G58" s="286"/>
      <c r="H58" s="286"/>
      <c r="I58" s="286"/>
      <c r="J58" s="286"/>
      <c r="K58" s="286"/>
      <c r="L58" s="286"/>
      <c r="M58" s="286"/>
      <c r="N58" s="286"/>
      <c r="O58" s="286"/>
      <c r="P58" s="286"/>
      <c r="Q58" s="286"/>
      <c r="R58" s="286">
        <f>+V58-T58+1</f>
        <v>91</v>
      </c>
      <c r="S58" s="286"/>
      <c r="T58" s="333">
        <v>41897</v>
      </c>
      <c r="U58" s="334"/>
      <c r="V58" s="333">
        <v>41987</v>
      </c>
      <c r="W58" s="289"/>
      <c r="X58" s="5"/>
    </row>
    <row r="59" spans="1:25" ht="15.75" x14ac:dyDescent="0.25">
      <c r="A59" s="285"/>
      <c r="B59" s="286" t="s">
        <v>223</v>
      </c>
      <c r="C59" s="286"/>
      <c r="D59" s="286"/>
      <c r="E59" s="286"/>
      <c r="F59" s="286"/>
      <c r="G59" s="286"/>
      <c r="H59" s="286"/>
      <c r="I59" s="286"/>
      <c r="J59" s="286"/>
      <c r="K59" s="286"/>
      <c r="L59" s="286"/>
      <c r="M59" s="286"/>
      <c r="N59" s="286"/>
      <c r="O59" s="286"/>
      <c r="P59" s="286"/>
      <c r="Q59" s="286"/>
      <c r="R59" s="286"/>
      <c r="S59" s="286"/>
      <c r="T59" s="333"/>
      <c r="U59" s="334"/>
      <c r="V59" s="333" t="s">
        <v>120</v>
      </c>
      <c r="W59" s="289"/>
      <c r="X59" s="5"/>
    </row>
    <row r="60" spans="1:25" ht="15.75" x14ac:dyDescent="0.25">
      <c r="A60" s="285"/>
      <c r="B60" s="286" t="s">
        <v>271</v>
      </c>
      <c r="C60" s="286"/>
      <c r="D60" s="286"/>
      <c r="E60" s="286"/>
      <c r="F60" s="286"/>
      <c r="G60" s="286"/>
      <c r="H60" s="286"/>
      <c r="I60" s="286"/>
      <c r="J60" s="286"/>
      <c r="K60" s="286"/>
      <c r="L60" s="286"/>
      <c r="M60" s="286"/>
      <c r="N60" s="286"/>
      <c r="O60" s="286"/>
      <c r="P60" s="286"/>
      <c r="Q60" s="286"/>
      <c r="R60" s="286"/>
      <c r="S60" s="286"/>
      <c r="T60" s="333"/>
      <c r="U60" s="334"/>
      <c r="V60" s="333" t="s">
        <v>154</v>
      </c>
      <c r="W60" s="289"/>
      <c r="X60" s="5"/>
      <c r="Y60" s="133"/>
    </row>
    <row r="61" spans="1:25" ht="15.75" x14ac:dyDescent="0.25">
      <c r="A61" s="285"/>
      <c r="B61" s="286" t="s">
        <v>16</v>
      </c>
      <c r="C61" s="286"/>
      <c r="D61" s="286"/>
      <c r="E61" s="286"/>
      <c r="F61" s="286"/>
      <c r="G61" s="286"/>
      <c r="H61" s="286"/>
      <c r="I61" s="286"/>
      <c r="J61" s="286"/>
      <c r="K61" s="286"/>
      <c r="L61" s="286"/>
      <c r="M61" s="286"/>
      <c r="N61" s="286"/>
      <c r="O61" s="286"/>
      <c r="P61" s="286"/>
      <c r="Q61" s="286"/>
      <c r="R61" s="286"/>
      <c r="S61" s="286"/>
      <c r="T61" s="333"/>
      <c r="U61" s="334"/>
      <c r="V61" s="333">
        <v>41974</v>
      </c>
      <c r="W61" s="289"/>
      <c r="X61" s="5"/>
    </row>
    <row r="62" spans="1:25" ht="15.75" x14ac:dyDescent="0.25">
      <c r="A62" s="181"/>
      <c r="B62" s="212"/>
      <c r="C62" s="212"/>
      <c r="D62" s="212"/>
      <c r="E62" s="212"/>
      <c r="F62" s="212"/>
      <c r="G62" s="212"/>
      <c r="H62" s="212"/>
      <c r="I62" s="212"/>
      <c r="J62" s="212"/>
      <c r="K62" s="212"/>
      <c r="L62" s="212"/>
      <c r="M62" s="212"/>
      <c r="N62" s="212"/>
      <c r="O62" s="212"/>
      <c r="P62" s="212"/>
      <c r="Q62" s="212"/>
      <c r="R62" s="212"/>
      <c r="S62" s="212"/>
      <c r="T62" s="283"/>
      <c r="U62" s="284"/>
      <c r="V62" s="283"/>
      <c r="W62" s="212"/>
      <c r="X62" s="5"/>
    </row>
    <row r="63" spans="1:25" ht="15.75" x14ac:dyDescent="0.25">
      <c r="A63" s="181"/>
      <c r="B63" s="183"/>
      <c r="C63" s="183"/>
      <c r="D63" s="183"/>
      <c r="E63" s="183"/>
      <c r="F63" s="183"/>
      <c r="G63" s="183"/>
      <c r="H63" s="183"/>
      <c r="I63" s="183"/>
      <c r="J63" s="183"/>
      <c r="K63" s="183"/>
      <c r="L63" s="183"/>
      <c r="M63" s="183"/>
      <c r="N63" s="183"/>
      <c r="O63" s="183"/>
      <c r="P63" s="183"/>
      <c r="Q63" s="183"/>
      <c r="R63" s="183"/>
      <c r="S63" s="183"/>
      <c r="T63" s="195"/>
      <c r="U63" s="196"/>
      <c r="V63" s="195"/>
      <c r="W63" s="183"/>
      <c r="X63" s="5"/>
    </row>
    <row r="64" spans="1:25" ht="19.5" thickBot="1" x14ac:dyDescent="0.35">
      <c r="A64" s="197"/>
      <c r="B64" s="270" t="s">
        <v>326</v>
      </c>
      <c r="C64" s="198"/>
      <c r="D64" s="198"/>
      <c r="E64" s="198"/>
      <c r="F64" s="198"/>
      <c r="G64" s="198"/>
      <c r="H64" s="198"/>
      <c r="I64" s="198"/>
      <c r="J64" s="198"/>
      <c r="K64" s="198"/>
      <c r="L64" s="198"/>
      <c r="M64" s="198"/>
      <c r="N64" s="198"/>
      <c r="O64" s="198"/>
      <c r="P64" s="198"/>
      <c r="Q64" s="198"/>
      <c r="R64" s="198"/>
      <c r="S64" s="198"/>
      <c r="T64" s="198"/>
      <c r="U64" s="198"/>
      <c r="V64" s="199"/>
      <c r="W64" s="200"/>
      <c r="X64" s="5"/>
    </row>
    <row r="65" spans="1:24" ht="15.75" x14ac:dyDescent="0.25">
      <c r="A65" s="224"/>
      <c r="B65" s="230" t="s">
        <v>17</v>
      </c>
      <c r="C65" s="225"/>
      <c r="D65" s="225"/>
      <c r="E65" s="225"/>
      <c r="F65" s="225"/>
      <c r="G65" s="225"/>
      <c r="H65" s="225"/>
      <c r="I65" s="225"/>
      <c r="J65" s="225"/>
      <c r="K65" s="225"/>
      <c r="L65" s="225"/>
      <c r="M65" s="225"/>
      <c r="N65" s="225"/>
      <c r="O65" s="225"/>
      <c r="P65" s="225"/>
      <c r="Q65" s="225"/>
      <c r="R65" s="225"/>
      <c r="S65" s="225"/>
      <c r="T65" s="225"/>
      <c r="U65" s="225"/>
      <c r="V65" s="231"/>
      <c r="W65" s="225"/>
      <c r="X65" s="5"/>
    </row>
    <row r="66" spans="1:24" ht="15.75" x14ac:dyDescent="0.25">
      <c r="A66" s="181"/>
      <c r="B66" s="189"/>
      <c r="C66" s="183"/>
      <c r="D66" s="183"/>
      <c r="E66" s="183"/>
      <c r="F66" s="183"/>
      <c r="G66" s="183"/>
      <c r="H66" s="183"/>
      <c r="I66" s="183"/>
      <c r="J66" s="183"/>
      <c r="K66" s="183"/>
      <c r="L66" s="183"/>
      <c r="M66" s="183"/>
      <c r="N66" s="183"/>
      <c r="O66" s="183"/>
      <c r="P66" s="183"/>
      <c r="Q66" s="183"/>
      <c r="R66" s="183"/>
      <c r="S66" s="183"/>
      <c r="T66" s="183"/>
      <c r="U66" s="183"/>
      <c r="V66" s="202"/>
      <c r="W66" s="183"/>
      <c r="X66" s="5"/>
    </row>
    <row r="67" spans="1:24" ht="47.25" x14ac:dyDescent="0.25">
      <c r="A67" s="181"/>
      <c r="B67" s="203" t="s">
        <v>18</v>
      </c>
      <c r="C67" s="204"/>
      <c r="D67" s="204"/>
      <c r="E67" s="204"/>
      <c r="F67" s="204"/>
      <c r="G67" s="204"/>
      <c r="H67" s="204"/>
      <c r="I67" s="204"/>
      <c r="J67" s="204"/>
      <c r="K67" s="204"/>
      <c r="L67" s="204" t="s">
        <v>94</v>
      </c>
      <c r="M67" s="204"/>
      <c r="N67" s="204" t="s">
        <v>96</v>
      </c>
      <c r="O67" s="204"/>
      <c r="P67" s="204" t="s">
        <v>98</v>
      </c>
      <c r="Q67" s="204"/>
      <c r="R67" s="204" t="s">
        <v>100</v>
      </c>
      <c r="S67" s="204"/>
      <c r="T67" s="204" t="s">
        <v>106</v>
      </c>
      <c r="U67" s="204"/>
      <c r="V67" s="205" t="s">
        <v>112</v>
      </c>
      <c r="W67" s="206"/>
      <c r="X67" s="5"/>
    </row>
    <row r="68" spans="1:24" ht="15.75" x14ac:dyDescent="0.25">
      <c r="A68" s="285"/>
      <c r="B68" s="286" t="s">
        <v>19</v>
      </c>
      <c r="C68" s="337"/>
      <c r="D68" s="337"/>
      <c r="E68" s="337"/>
      <c r="F68" s="337"/>
      <c r="G68" s="337"/>
      <c r="H68" s="337"/>
      <c r="I68" s="337"/>
      <c r="J68" s="337"/>
      <c r="K68" s="337"/>
      <c r="L68" s="337">
        <v>812446</v>
      </c>
      <c r="M68" s="337"/>
      <c r="N68" s="338">
        <v>768831</v>
      </c>
      <c r="O68" s="337"/>
      <c r="P68" s="337">
        <f>7673+85+311</f>
        <v>8069</v>
      </c>
      <c r="Q68" s="337"/>
      <c r="R68" s="337">
        <f>85+311</f>
        <v>396</v>
      </c>
      <c r="S68" s="337"/>
      <c r="T68" s="337">
        <v>0</v>
      </c>
      <c r="U68" s="337"/>
      <c r="V68" s="338">
        <f>+N68-P68+R68-T68</f>
        <v>761158</v>
      </c>
      <c r="W68" s="289"/>
      <c r="X68" s="5"/>
    </row>
    <row r="69" spans="1:24" ht="15.75" x14ac:dyDescent="0.25">
      <c r="A69" s="285"/>
      <c r="B69" s="286" t="s">
        <v>20</v>
      </c>
      <c r="C69" s="337"/>
      <c r="D69" s="337"/>
      <c r="E69" s="337"/>
      <c r="F69" s="337"/>
      <c r="G69" s="337"/>
      <c r="H69" s="337"/>
      <c r="I69" s="337"/>
      <c r="J69" s="337"/>
      <c r="K69" s="337"/>
      <c r="L69" s="337">
        <v>0</v>
      </c>
      <c r="M69" s="337"/>
      <c r="N69" s="338">
        <v>0</v>
      </c>
      <c r="O69" s="337"/>
      <c r="P69" s="337">
        <v>0</v>
      </c>
      <c r="Q69" s="337"/>
      <c r="R69" s="337">
        <v>0</v>
      </c>
      <c r="S69" s="337"/>
      <c r="T69" s="337">
        <v>0</v>
      </c>
      <c r="U69" s="337"/>
      <c r="V69" s="338">
        <f>+L69-P69</f>
        <v>0</v>
      </c>
      <c r="W69" s="289"/>
      <c r="X69" s="5"/>
    </row>
    <row r="70" spans="1:24" ht="15.75" x14ac:dyDescent="0.25">
      <c r="A70" s="285"/>
      <c r="B70" s="286"/>
      <c r="C70" s="337"/>
      <c r="D70" s="337"/>
      <c r="E70" s="337"/>
      <c r="F70" s="337"/>
      <c r="G70" s="337"/>
      <c r="H70" s="337"/>
      <c r="I70" s="337"/>
      <c r="J70" s="337"/>
      <c r="K70" s="337"/>
      <c r="L70" s="337"/>
      <c r="M70" s="337"/>
      <c r="N70" s="338"/>
      <c r="O70" s="337"/>
      <c r="P70" s="337"/>
      <c r="Q70" s="337"/>
      <c r="R70" s="337"/>
      <c r="S70" s="337"/>
      <c r="T70" s="337"/>
      <c r="U70" s="337"/>
      <c r="V70" s="338"/>
      <c r="W70" s="289"/>
      <c r="X70" s="5"/>
    </row>
    <row r="71" spans="1:24" ht="15.75" x14ac:dyDescent="0.25">
      <c r="A71" s="285"/>
      <c r="B71" s="286" t="s">
        <v>21</v>
      </c>
      <c r="C71" s="337"/>
      <c r="D71" s="337"/>
      <c r="E71" s="337"/>
      <c r="F71" s="337"/>
      <c r="G71" s="337"/>
      <c r="H71" s="337"/>
      <c r="I71" s="337"/>
      <c r="J71" s="337"/>
      <c r="K71" s="337"/>
      <c r="L71" s="337">
        <f>SUM(L68:L70)</f>
        <v>812446</v>
      </c>
      <c r="M71" s="337"/>
      <c r="N71" s="337">
        <f>N68+N69</f>
        <v>768831</v>
      </c>
      <c r="O71" s="337"/>
      <c r="P71" s="337">
        <f>SUM(P68:P70)</f>
        <v>8069</v>
      </c>
      <c r="Q71" s="337"/>
      <c r="R71" s="337">
        <f>SUM(R68:R70)</f>
        <v>396</v>
      </c>
      <c r="S71" s="337"/>
      <c r="T71" s="337">
        <f>SUM(T68:T70)</f>
        <v>0</v>
      </c>
      <c r="U71" s="337"/>
      <c r="V71" s="337">
        <f>SUM(V68:V70)</f>
        <v>761158</v>
      </c>
      <c r="W71" s="289"/>
      <c r="X71" s="5"/>
    </row>
    <row r="72" spans="1:24" ht="15.75" x14ac:dyDescent="0.25">
      <c r="A72" s="181"/>
      <c r="B72" s="212"/>
      <c r="C72" s="335"/>
      <c r="D72" s="335"/>
      <c r="E72" s="335"/>
      <c r="F72" s="335"/>
      <c r="G72" s="335"/>
      <c r="H72" s="335"/>
      <c r="I72" s="335"/>
      <c r="J72" s="335"/>
      <c r="K72" s="335"/>
      <c r="L72" s="335"/>
      <c r="M72" s="335"/>
      <c r="N72" s="335"/>
      <c r="O72" s="335"/>
      <c r="P72" s="335"/>
      <c r="Q72" s="335"/>
      <c r="R72" s="335"/>
      <c r="S72" s="335"/>
      <c r="T72" s="335"/>
      <c r="U72" s="335"/>
      <c r="V72" s="336"/>
      <c r="W72" s="212"/>
      <c r="X72" s="5"/>
    </row>
    <row r="73" spans="1:24" ht="15.75" x14ac:dyDescent="0.25">
      <c r="A73" s="181"/>
      <c r="B73" s="185" t="s">
        <v>22</v>
      </c>
      <c r="C73" s="207"/>
      <c r="D73" s="207"/>
      <c r="E73" s="207"/>
      <c r="F73" s="207"/>
      <c r="G73" s="207"/>
      <c r="H73" s="207"/>
      <c r="I73" s="207"/>
      <c r="J73" s="207"/>
      <c r="K73" s="207"/>
      <c r="L73" s="207"/>
      <c r="M73" s="207"/>
      <c r="N73" s="207"/>
      <c r="O73" s="207"/>
      <c r="P73" s="207"/>
      <c r="Q73" s="207"/>
      <c r="R73" s="207"/>
      <c r="S73" s="207"/>
      <c r="T73" s="207"/>
      <c r="U73" s="207"/>
      <c r="V73" s="208"/>
      <c r="W73" s="183"/>
      <c r="X73" s="5"/>
    </row>
    <row r="74" spans="1:24" ht="15.75" x14ac:dyDescent="0.25">
      <c r="A74" s="181"/>
      <c r="B74" s="183"/>
      <c r="C74" s="207"/>
      <c r="D74" s="207"/>
      <c r="E74" s="207"/>
      <c r="F74" s="207"/>
      <c r="G74" s="207"/>
      <c r="H74" s="207"/>
      <c r="I74" s="207"/>
      <c r="J74" s="207"/>
      <c r="K74" s="207"/>
      <c r="L74" s="207"/>
      <c r="M74" s="207"/>
      <c r="N74" s="207"/>
      <c r="O74" s="207"/>
      <c r="P74" s="207"/>
      <c r="Q74" s="207"/>
      <c r="R74" s="207"/>
      <c r="S74" s="207"/>
      <c r="T74" s="207"/>
      <c r="U74" s="207"/>
      <c r="V74" s="208"/>
      <c r="W74" s="183"/>
      <c r="X74" s="5"/>
    </row>
    <row r="75" spans="1:24" ht="15.75" x14ac:dyDescent="0.25">
      <c r="A75" s="285"/>
      <c r="B75" s="286" t="s">
        <v>19</v>
      </c>
      <c r="C75" s="337"/>
      <c r="D75" s="337"/>
      <c r="E75" s="337"/>
      <c r="F75" s="337"/>
      <c r="G75" s="337"/>
      <c r="H75" s="337"/>
      <c r="I75" s="337"/>
      <c r="J75" s="337"/>
      <c r="K75" s="337"/>
      <c r="L75" s="337"/>
      <c r="M75" s="337"/>
      <c r="N75" s="337"/>
      <c r="O75" s="337"/>
      <c r="P75" s="337"/>
      <c r="Q75" s="337"/>
      <c r="R75" s="337"/>
      <c r="S75" s="337"/>
      <c r="T75" s="337"/>
      <c r="U75" s="337"/>
      <c r="V75" s="337"/>
      <c r="W75" s="289"/>
      <c r="X75" s="5"/>
    </row>
    <row r="76" spans="1:24" ht="15.75" x14ac:dyDescent="0.25">
      <c r="A76" s="285"/>
      <c r="B76" s="286" t="s">
        <v>20</v>
      </c>
      <c r="C76" s="337"/>
      <c r="D76" s="337"/>
      <c r="E76" s="337"/>
      <c r="F76" s="337"/>
      <c r="G76" s="337"/>
      <c r="H76" s="337"/>
      <c r="I76" s="337"/>
      <c r="J76" s="337"/>
      <c r="K76" s="337"/>
      <c r="L76" s="337"/>
      <c r="M76" s="337"/>
      <c r="N76" s="337"/>
      <c r="O76" s="337"/>
      <c r="P76" s="337"/>
      <c r="Q76" s="337"/>
      <c r="R76" s="337"/>
      <c r="S76" s="337"/>
      <c r="T76" s="337"/>
      <c r="U76" s="337"/>
      <c r="V76" s="337"/>
      <c r="W76" s="289"/>
      <c r="X76" s="5"/>
    </row>
    <row r="77" spans="1:24" ht="15.75" x14ac:dyDescent="0.25">
      <c r="A77" s="285"/>
      <c r="B77" s="286"/>
      <c r="C77" s="337"/>
      <c r="D77" s="337"/>
      <c r="E77" s="337"/>
      <c r="F77" s="337"/>
      <c r="G77" s="337"/>
      <c r="H77" s="337"/>
      <c r="I77" s="337"/>
      <c r="J77" s="337"/>
      <c r="K77" s="337"/>
      <c r="L77" s="337"/>
      <c r="M77" s="337"/>
      <c r="N77" s="337"/>
      <c r="O77" s="337"/>
      <c r="P77" s="337"/>
      <c r="Q77" s="337"/>
      <c r="R77" s="337"/>
      <c r="S77" s="337"/>
      <c r="T77" s="337"/>
      <c r="U77" s="337"/>
      <c r="V77" s="337"/>
      <c r="W77" s="289"/>
      <c r="X77" s="5"/>
    </row>
    <row r="78" spans="1:24" ht="15.75" x14ac:dyDescent="0.25">
      <c r="A78" s="285"/>
      <c r="B78" s="286" t="s">
        <v>21</v>
      </c>
      <c r="C78" s="337"/>
      <c r="D78" s="337"/>
      <c r="E78" s="337"/>
      <c r="F78" s="337"/>
      <c r="G78" s="337"/>
      <c r="H78" s="337"/>
      <c r="I78" s="337"/>
      <c r="J78" s="337"/>
      <c r="K78" s="337"/>
      <c r="L78" s="337"/>
      <c r="M78" s="337"/>
      <c r="N78" s="337"/>
      <c r="O78" s="337"/>
      <c r="P78" s="337"/>
      <c r="Q78" s="337"/>
      <c r="R78" s="337"/>
      <c r="S78" s="337"/>
      <c r="T78" s="337"/>
      <c r="U78" s="337"/>
      <c r="V78" s="337"/>
      <c r="W78" s="289"/>
      <c r="X78" s="5"/>
    </row>
    <row r="79" spans="1:24" ht="15.75" x14ac:dyDescent="0.25">
      <c r="A79" s="285"/>
      <c r="B79" s="286"/>
      <c r="C79" s="337"/>
      <c r="D79" s="337"/>
      <c r="E79" s="337"/>
      <c r="F79" s="337"/>
      <c r="G79" s="337"/>
      <c r="H79" s="337"/>
      <c r="I79" s="337"/>
      <c r="J79" s="337"/>
      <c r="K79" s="337"/>
      <c r="L79" s="337"/>
      <c r="M79" s="337"/>
      <c r="N79" s="337"/>
      <c r="O79" s="337"/>
      <c r="P79" s="337"/>
      <c r="Q79" s="337"/>
      <c r="R79" s="337"/>
      <c r="S79" s="337"/>
      <c r="T79" s="337"/>
      <c r="U79" s="337"/>
      <c r="V79" s="337"/>
      <c r="W79" s="289"/>
      <c r="X79" s="5"/>
    </row>
    <row r="80" spans="1:24" ht="15.75" x14ac:dyDescent="0.25">
      <c r="A80" s="285"/>
      <c r="B80" s="286" t="s">
        <v>23</v>
      </c>
      <c r="C80" s="337"/>
      <c r="D80" s="337"/>
      <c r="E80" s="337"/>
      <c r="F80" s="337"/>
      <c r="G80" s="337"/>
      <c r="H80" s="337"/>
      <c r="I80" s="337"/>
      <c r="J80" s="337"/>
      <c r="K80" s="337"/>
      <c r="L80" s="337">
        <v>0</v>
      </c>
      <c r="M80" s="337"/>
      <c r="N80" s="337">
        <v>0</v>
      </c>
      <c r="O80" s="337"/>
      <c r="P80" s="337"/>
      <c r="Q80" s="337"/>
      <c r="R80" s="337"/>
      <c r="S80" s="337"/>
      <c r="T80" s="337"/>
      <c r="U80" s="337"/>
      <c r="V80" s="338">
        <v>0</v>
      </c>
      <c r="W80" s="289"/>
      <c r="X80" s="5"/>
    </row>
    <row r="81" spans="1:24" ht="15.75" x14ac:dyDescent="0.25">
      <c r="A81" s="285"/>
      <c r="B81" s="286" t="s">
        <v>117</v>
      </c>
      <c r="C81" s="337"/>
      <c r="D81" s="337"/>
      <c r="E81" s="337"/>
      <c r="F81" s="337"/>
      <c r="G81" s="337"/>
      <c r="H81" s="337"/>
      <c r="I81" s="337"/>
      <c r="J81" s="337"/>
      <c r="K81" s="337"/>
      <c r="L81" s="337">
        <v>188687</v>
      </c>
      <c r="M81" s="337"/>
      <c r="N81" s="337">
        <v>0</v>
      </c>
      <c r="O81" s="337"/>
      <c r="P81" s="337">
        <v>0</v>
      </c>
      <c r="Q81" s="337"/>
      <c r="R81" s="337"/>
      <c r="S81" s="337"/>
      <c r="T81" s="337"/>
      <c r="U81" s="337"/>
      <c r="V81" s="337">
        <f>SUM(N81:R81)</f>
        <v>0</v>
      </c>
      <c r="W81" s="289"/>
      <c r="X81" s="5"/>
    </row>
    <row r="82" spans="1:24" ht="15.75" x14ac:dyDescent="0.25">
      <c r="A82" s="285"/>
      <c r="B82" s="286"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89"/>
      <c r="X82" s="5"/>
    </row>
    <row r="83" spans="1:24" ht="15.75" x14ac:dyDescent="0.25">
      <c r="A83" s="285"/>
      <c r="B83" s="286" t="s">
        <v>25</v>
      </c>
      <c r="C83" s="337"/>
      <c r="D83" s="337"/>
      <c r="E83" s="337"/>
      <c r="F83" s="337"/>
      <c r="G83" s="337"/>
      <c r="H83" s="337"/>
      <c r="I83" s="337"/>
      <c r="J83" s="337"/>
      <c r="K83" s="337"/>
      <c r="L83" s="337">
        <v>0</v>
      </c>
      <c r="M83" s="337"/>
      <c r="N83" s="337">
        <v>0</v>
      </c>
      <c r="O83" s="337"/>
      <c r="P83" s="337"/>
      <c r="Q83" s="337"/>
      <c r="R83" s="337"/>
      <c r="S83" s="337"/>
      <c r="T83" s="337"/>
      <c r="U83" s="337"/>
      <c r="V83" s="337">
        <v>0</v>
      </c>
      <c r="W83" s="289"/>
      <c r="X83" s="5"/>
    </row>
    <row r="84" spans="1:24" ht="15.75" x14ac:dyDescent="0.25">
      <c r="A84" s="285"/>
      <c r="B84" s="286" t="s">
        <v>26</v>
      </c>
      <c r="C84" s="337"/>
      <c r="D84" s="337"/>
      <c r="E84" s="337"/>
      <c r="F84" s="337"/>
      <c r="G84" s="337"/>
      <c r="H84" s="337"/>
      <c r="I84" s="337"/>
      <c r="J84" s="337"/>
      <c r="K84" s="337"/>
      <c r="L84" s="337">
        <f>SUM(L71:L83)</f>
        <v>1001133</v>
      </c>
      <c r="M84" s="337"/>
      <c r="N84" s="337">
        <f>SUM(N71:N83)</f>
        <v>768831</v>
      </c>
      <c r="O84" s="337"/>
      <c r="P84" s="337"/>
      <c r="Q84" s="337"/>
      <c r="R84" s="337"/>
      <c r="S84" s="337"/>
      <c r="T84" s="337"/>
      <c r="U84" s="337"/>
      <c r="V84" s="337">
        <f>SUM(V71:V83)</f>
        <v>761158</v>
      </c>
      <c r="W84" s="289"/>
      <c r="X84" s="5"/>
    </row>
    <row r="85" spans="1:24" ht="15.75" x14ac:dyDescent="0.25">
      <c r="A85" s="181"/>
      <c r="B85" s="212"/>
      <c r="C85" s="335"/>
      <c r="D85" s="335"/>
      <c r="E85" s="335"/>
      <c r="F85" s="335"/>
      <c r="G85" s="335"/>
      <c r="H85" s="335"/>
      <c r="I85" s="335"/>
      <c r="J85" s="335"/>
      <c r="K85" s="335"/>
      <c r="L85" s="335"/>
      <c r="M85" s="335"/>
      <c r="N85" s="335"/>
      <c r="O85" s="335"/>
      <c r="P85" s="335"/>
      <c r="Q85" s="335"/>
      <c r="R85" s="335"/>
      <c r="S85" s="335"/>
      <c r="T85" s="335"/>
      <c r="U85" s="335"/>
      <c r="V85" s="336"/>
      <c r="W85" s="212"/>
      <c r="X85" s="5"/>
    </row>
    <row r="86" spans="1:24" ht="15.75" x14ac:dyDescent="0.25">
      <c r="A86" s="181"/>
      <c r="B86" s="183"/>
      <c r="C86" s="183"/>
      <c r="D86" s="183"/>
      <c r="E86" s="183"/>
      <c r="F86" s="183"/>
      <c r="G86" s="183"/>
      <c r="H86" s="183"/>
      <c r="I86" s="183"/>
      <c r="J86" s="183"/>
      <c r="K86" s="183"/>
      <c r="L86" s="183"/>
      <c r="M86" s="183"/>
      <c r="N86" s="183"/>
      <c r="O86" s="183"/>
      <c r="P86" s="183"/>
      <c r="Q86" s="183"/>
      <c r="R86" s="183"/>
      <c r="S86" s="183"/>
      <c r="T86" s="183"/>
      <c r="U86" s="183"/>
      <c r="V86" s="183"/>
      <c r="W86" s="183"/>
      <c r="X86" s="5"/>
    </row>
    <row r="87" spans="1:24" ht="15.75" x14ac:dyDescent="0.25">
      <c r="A87" s="224"/>
      <c r="B87" s="399" t="s">
        <v>27</v>
      </c>
      <c r="C87" s="399"/>
      <c r="D87" s="399"/>
      <c r="E87" s="399"/>
      <c r="F87" s="399"/>
      <c r="G87" s="399"/>
      <c r="H87" s="400"/>
      <c r="I87" s="400"/>
      <c r="J87" s="400"/>
      <c r="K87" s="400"/>
      <c r="L87" s="401" t="s">
        <v>95</v>
      </c>
      <c r="M87" s="400"/>
      <c r="N87" s="402">
        <f>+T202</f>
        <v>41971</v>
      </c>
      <c r="O87" s="400"/>
      <c r="P87" s="400"/>
      <c r="Q87" s="400"/>
      <c r="R87" s="400"/>
      <c r="S87" s="400"/>
      <c r="T87" s="400" t="s">
        <v>107</v>
      </c>
      <c r="U87" s="400"/>
      <c r="V87" s="400" t="s">
        <v>113</v>
      </c>
      <c r="W87" s="225"/>
      <c r="X87" s="5"/>
    </row>
    <row r="88" spans="1:24" ht="15.75" x14ac:dyDescent="0.25">
      <c r="A88" s="248"/>
      <c r="B88" s="250" t="s">
        <v>28</v>
      </c>
      <c r="C88" s="194"/>
      <c r="D88" s="194"/>
      <c r="E88" s="194"/>
      <c r="F88" s="194"/>
      <c r="G88" s="194"/>
      <c r="H88" s="194"/>
      <c r="I88" s="194"/>
      <c r="J88" s="194"/>
      <c r="K88" s="194"/>
      <c r="L88" s="194"/>
      <c r="M88" s="194"/>
      <c r="N88" s="194"/>
      <c r="O88" s="194"/>
      <c r="P88" s="194"/>
      <c r="Q88" s="194"/>
      <c r="R88" s="194"/>
      <c r="S88" s="194"/>
      <c r="T88" s="249">
        <v>0</v>
      </c>
      <c r="U88" s="250"/>
      <c r="V88" s="253">
        <v>0</v>
      </c>
      <c r="W88" s="194"/>
      <c r="X88" s="5"/>
    </row>
    <row r="89" spans="1:24" ht="15.75" x14ac:dyDescent="0.25">
      <c r="A89" s="295"/>
      <c r="B89" s="286" t="s">
        <v>29</v>
      </c>
      <c r="C89" s="314"/>
      <c r="D89" s="314"/>
      <c r="E89" s="314"/>
      <c r="F89" s="314"/>
      <c r="G89" s="314"/>
      <c r="H89" s="339"/>
      <c r="I89" s="339"/>
      <c r="J89" s="339"/>
      <c r="K89" s="340"/>
      <c r="L89" s="339"/>
      <c r="M89" s="314"/>
      <c r="N89" s="341"/>
      <c r="O89" s="314"/>
      <c r="P89" s="314"/>
      <c r="Q89" s="314"/>
      <c r="R89" s="314"/>
      <c r="S89" s="314"/>
      <c r="T89" s="337">
        <f>8069-104</f>
        <v>7965</v>
      </c>
      <c r="U89" s="286"/>
      <c r="V89" s="338"/>
      <c r="W89" s="318"/>
      <c r="X89" s="5"/>
    </row>
    <row r="90" spans="1:24" ht="15.75" x14ac:dyDescent="0.25">
      <c r="A90" s="295"/>
      <c r="B90" s="286" t="s">
        <v>215</v>
      </c>
      <c r="C90" s="314"/>
      <c r="D90" s="314"/>
      <c r="E90" s="314"/>
      <c r="F90" s="314"/>
      <c r="G90" s="314"/>
      <c r="H90" s="339"/>
      <c r="I90" s="339"/>
      <c r="J90" s="339"/>
      <c r="K90" s="340"/>
      <c r="L90" s="339"/>
      <c r="M90" s="314"/>
      <c r="N90" s="341"/>
      <c r="O90" s="314"/>
      <c r="P90" s="314"/>
      <c r="Q90" s="314"/>
      <c r="R90" s="314"/>
      <c r="S90" s="314"/>
      <c r="T90" s="337"/>
      <c r="U90" s="286"/>
      <c r="V90" s="338">
        <f>3142+2640-486-437</f>
        <v>4859</v>
      </c>
      <c r="W90" s="318"/>
      <c r="X90" s="5"/>
    </row>
    <row r="91" spans="1:24" ht="15.75" x14ac:dyDescent="0.25">
      <c r="A91" s="295"/>
      <c r="B91" s="286" t="s">
        <v>210</v>
      </c>
      <c r="C91" s="314"/>
      <c r="D91" s="314"/>
      <c r="E91" s="314"/>
      <c r="F91" s="314"/>
      <c r="G91" s="314"/>
      <c r="H91" s="339"/>
      <c r="I91" s="339"/>
      <c r="J91" s="339"/>
      <c r="K91" s="340"/>
      <c r="L91" s="339"/>
      <c r="M91" s="314"/>
      <c r="N91" s="341"/>
      <c r="O91" s="314"/>
      <c r="P91" s="314"/>
      <c r="Q91" s="314"/>
      <c r="R91" s="314"/>
      <c r="S91" s="314"/>
      <c r="T91" s="337"/>
      <c r="U91" s="286"/>
      <c r="V91" s="338">
        <f>45+27</f>
        <v>72</v>
      </c>
      <c r="W91" s="318"/>
      <c r="X91" s="5"/>
    </row>
    <row r="92" spans="1:24" ht="15.75" x14ac:dyDescent="0.25">
      <c r="A92" s="295"/>
      <c r="B92" s="286" t="s">
        <v>211</v>
      </c>
      <c r="C92" s="314"/>
      <c r="D92" s="314"/>
      <c r="E92" s="314"/>
      <c r="F92" s="314"/>
      <c r="G92" s="314"/>
      <c r="H92" s="339"/>
      <c r="I92" s="339"/>
      <c r="J92" s="339"/>
      <c r="K92" s="340"/>
      <c r="L92" s="339"/>
      <c r="M92" s="314"/>
      <c r="N92" s="341"/>
      <c r="O92" s="314"/>
      <c r="P92" s="314"/>
      <c r="Q92" s="314"/>
      <c r="R92" s="314"/>
      <c r="S92" s="314"/>
      <c r="T92" s="337"/>
      <c r="U92" s="286"/>
      <c r="V92" s="338">
        <v>28</v>
      </c>
      <c r="W92" s="318"/>
      <c r="X92" s="5"/>
    </row>
    <row r="93" spans="1:24" ht="15.75" x14ac:dyDescent="0.25">
      <c r="A93" s="295"/>
      <c r="B93" s="286" t="s">
        <v>233</v>
      </c>
      <c r="C93" s="314"/>
      <c r="D93" s="314"/>
      <c r="E93" s="314"/>
      <c r="F93" s="314"/>
      <c r="G93" s="314"/>
      <c r="H93" s="339"/>
      <c r="I93" s="339"/>
      <c r="J93" s="339"/>
      <c r="K93" s="340"/>
      <c r="L93" s="339"/>
      <c r="M93" s="314"/>
      <c r="N93" s="341"/>
      <c r="O93" s="314"/>
      <c r="P93" s="314"/>
      <c r="Q93" s="314"/>
      <c r="R93" s="314"/>
      <c r="S93" s="314"/>
      <c r="T93" s="337"/>
      <c r="U93" s="286"/>
      <c r="V93" s="338">
        <v>0</v>
      </c>
      <c r="W93" s="318"/>
      <c r="X93" s="5"/>
    </row>
    <row r="94" spans="1:24" ht="15.75" x14ac:dyDescent="0.25">
      <c r="A94" s="295"/>
      <c r="B94" s="286" t="s">
        <v>235</v>
      </c>
      <c r="C94" s="314"/>
      <c r="D94" s="314"/>
      <c r="E94" s="314"/>
      <c r="F94" s="314"/>
      <c r="G94" s="314"/>
      <c r="H94" s="339"/>
      <c r="I94" s="339"/>
      <c r="J94" s="339"/>
      <c r="K94" s="340"/>
      <c r="L94" s="339"/>
      <c r="M94" s="314"/>
      <c r="N94" s="341"/>
      <c r="O94" s="314"/>
      <c r="P94" s="314"/>
      <c r="Q94" s="314"/>
      <c r="R94" s="314"/>
      <c r="S94" s="314"/>
      <c r="T94" s="337"/>
      <c r="U94" s="286"/>
      <c r="V94" s="338">
        <v>0</v>
      </c>
      <c r="W94" s="318"/>
      <c r="X94" s="5"/>
    </row>
    <row r="95" spans="1:24" ht="15.75" x14ac:dyDescent="0.25">
      <c r="A95" s="295"/>
      <c r="B95" s="286" t="s">
        <v>135</v>
      </c>
      <c r="C95" s="314"/>
      <c r="D95" s="314"/>
      <c r="E95" s="314"/>
      <c r="F95" s="314"/>
      <c r="G95" s="314"/>
      <c r="H95" s="314"/>
      <c r="I95" s="314"/>
      <c r="J95" s="314"/>
      <c r="K95" s="314"/>
      <c r="L95" s="314"/>
      <c r="M95" s="314"/>
      <c r="N95" s="314"/>
      <c r="O95" s="314"/>
      <c r="P95" s="314"/>
      <c r="Q95" s="314"/>
      <c r="R95" s="314"/>
      <c r="S95" s="314"/>
      <c r="T95" s="337"/>
      <c r="U95" s="286"/>
      <c r="V95" s="338">
        <v>0</v>
      </c>
      <c r="W95" s="318"/>
      <c r="X95" s="5"/>
    </row>
    <row r="96" spans="1:24" ht="15.75" x14ac:dyDescent="0.25">
      <c r="A96" s="295"/>
      <c r="B96" s="286" t="s">
        <v>272</v>
      </c>
      <c r="C96" s="314"/>
      <c r="D96" s="314"/>
      <c r="E96" s="314"/>
      <c r="F96" s="314"/>
      <c r="G96" s="314"/>
      <c r="H96" s="314"/>
      <c r="I96" s="314"/>
      <c r="J96" s="314"/>
      <c r="K96" s="314"/>
      <c r="L96" s="314"/>
      <c r="M96" s="314"/>
      <c r="N96" s="314"/>
      <c r="O96" s="314"/>
      <c r="P96" s="314"/>
      <c r="Q96" s="314"/>
      <c r="R96" s="314"/>
      <c r="S96" s="314"/>
      <c r="T96" s="337"/>
      <c r="U96" s="286"/>
      <c r="V96" s="338">
        <v>8</v>
      </c>
      <c r="W96" s="318"/>
      <c r="X96" s="5"/>
    </row>
    <row r="97" spans="1:25" ht="15.75" x14ac:dyDescent="0.25">
      <c r="A97" s="295"/>
      <c r="B97" s="286" t="s">
        <v>30</v>
      </c>
      <c r="C97" s="314"/>
      <c r="D97" s="314"/>
      <c r="E97" s="314"/>
      <c r="F97" s="314"/>
      <c r="G97" s="314"/>
      <c r="H97" s="314"/>
      <c r="I97" s="314"/>
      <c r="J97" s="314"/>
      <c r="K97" s="314"/>
      <c r="L97" s="314"/>
      <c r="M97" s="314"/>
      <c r="N97" s="314"/>
      <c r="O97" s="314"/>
      <c r="P97" s="314"/>
      <c r="Q97" s="314"/>
      <c r="R97" s="314"/>
      <c r="S97" s="314"/>
      <c r="T97" s="337">
        <f>SUM(T88:T96)</f>
        <v>7965</v>
      </c>
      <c r="U97" s="286"/>
      <c r="V97" s="337">
        <f>SUM(V88:V96)</f>
        <v>4967</v>
      </c>
      <c r="W97" s="318"/>
      <c r="X97" s="5"/>
    </row>
    <row r="98" spans="1:25" ht="15.75" x14ac:dyDescent="0.25">
      <c r="A98" s="295"/>
      <c r="B98" s="286" t="s">
        <v>161</v>
      </c>
      <c r="C98" s="314"/>
      <c r="D98" s="314"/>
      <c r="E98" s="314"/>
      <c r="F98" s="314"/>
      <c r="G98" s="314"/>
      <c r="H98" s="314"/>
      <c r="I98" s="314"/>
      <c r="J98" s="314"/>
      <c r="K98" s="314"/>
      <c r="L98" s="314"/>
      <c r="M98" s="314"/>
      <c r="N98" s="314"/>
      <c r="O98" s="314"/>
      <c r="P98" s="314"/>
      <c r="Q98" s="314"/>
      <c r="R98" s="314"/>
      <c r="S98" s="314"/>
      <c r="T98" s="337">
        <f>-V98</f>
        <v>0</v>
      </c>
      <c r="U98" s="286"/>
      <c r="V98" s="337">
        <v>0</v>
      </c>
      <c r="W98" s="318"/>
      <c r="X98" s="5"/>
    </row>
    <row r="99" spans="1:25" ht="15.75" x14ac:dyDescent="0.25">
      <c r="A99" s="295"/>
      <c r="B99" s="286" t="s">
        <v>31</v>
      </c>
      <c r="C99" s="314"/>
      <c r="D99" s="314"/>
      <c r="E99" s="314"/>
      <c r="F99" s="314"/>
      <c r="G99" s="314"/>
      <c r="H99" s="314"/>
      <c r="I99" s="314"/>
      <c r="J99" s="314"/>
      <c r="K99" s="314"/>
      <c r="L99" s="314"/>
      <c r="M99" s="314"/>
      <c r="N99" s="314"/>
      <c r="O99" s="314"/>
      <c r="P99" s="314"/>
      <c r="Q99" s="314"/>
      <c r="R99" s="314"/>
      <c r="S99" s="314"/>
      <c r="T99" s="337">
        <f>-V99</f>
        <v>0</v>
      </c>
      <c r="U99" s="286"/>
      <c r="V99" s="338">
        <v>0</v>
      </c>
      <c r="W99" s="318"/>
      <c r="X99" s="5"/>
    </row>
    <row r="100" spans="1:25" ht="15.75" x14ac:dyDescent="0.25">
      <c r="A100" s="295"/>
      <c r="B100" s="286" t="s">
        <v>274</v>
      </c>
      <c r="C100" s="314"/>
      <c r="D100" s="314"/>
      <c r="E100" s="314"/>
      <c r="F100" s="314"/>
      <c r="G100" s="314"/>
      <c r="H100" s="314"/>
      <c r="I100" s="314"/>
      <c r="J100" s="314"/>
      <c r="K100" s="314"/>
      <c r="L100" s="314"/>
      <c r="M100" s="314"/>
      <c r="N100" s="314"/>
      <c r="O100" s="314"/>
      <c r="P100" s="314"/>
      <c r="Q100" s="314"/>
      <c r="R100" s="314"/>
      <c r="S100" s="314"/>
      <c r="T100" s="337"/>
      <c r="U100" s="286"/>
      <c r="V100" s="338">
        <v>-177</v>
      </c>
      <c r="W100" s="318"/>
      <c r="X100" s="5"/>
    </row>
    <row r="101" spans="1:25" ht="15.75" x14ac:dyDescent="0.25">
      <c r="A101" s="295"/>
      <c r="B101" s="286" t="s">
        <v>32</v>
      </c>
      <c r="C101" s="314"/>
      <c r="D101" s="314"/>
      <c r="E101" s="314"/>
      <c r="F101" s="314"/>
      <c r="G101" s="314"/>
      <c r="H101" s="314"/>
      <c r="I101" s="314"/>
      <c r="J101" s="314"/>
      <c r="K101" s="314"/>
      <c r="L101" s="314"/>
      <c r="M101" s="314"/>
      <c r="N101" s="314"/>
      <c r="O101" s="314"/>
      <c r="P101" s="314"/>
      <c r="Q101" s="314"/>
      <c r="R101" s="314"/>
      <c r="S101" s="314"/>
      <c r="T101" s="337">
        <f>T97+T99+T98</f>
        <v>7965</v>
      </c>
      <c r="U101" s="286"/>
      <c r="V101" s="337">
        <f>V97+V99+V98+V100</f>
        <v>4790</v>
      </c>
      <c r="W101" s="318"/>
      <c r="X101" s="5"/>
    </row>
    <row r="102" spans="1:25" ht="15.75" x14ac:dyDescent="0.25">
      <c r="A102" s="285"/>
      <c r="B102" s="342" t="s">
        <v>33</v>
      </c>
      <c r="C102" s="314"/>
      <c r="D102" s="314"/>
      <c r="E102" s="314"/>
      <c r="F102" s="314"/>
      <c r="G102" s="314"/>
      <c r="H102" s="314"/>
      <c r="I102" s="314"/>
      <c r="J102" s="314"/>
      <c r="K102" s="314"/>
      <c r="L102" s="314"/>
      <c r="M102" s="314"/>
      <c r="N102" s="314"/>
      <c r="O102" s="314"/>
      <c r="P102" s="314"/>
      <c r="Q102" s="314"/>
      <c r="R102" s="314"/>
      <c r="S102" s="314"/>
      <c r="T102" s="337"/>
      <c r="U102" s="286"/>
      <c r="V102" s="338"/>
      <c r="W102" s="318"/>
      <c r="X102" s="5"/>
    </row>
    <row r="103" spans="1:25" ht="15.75" x14ac:dyDescent="0.25">
      <c r="A103" s="295">
        <v>1</v>
      </c>
      <c r="B103" s="286" t="s">
        <v>34</v>
      </c>
      <c r="C103" s="286"/>
      <c r="D103" s="286"/>
      <c r="E103" s="314"/>
      <c r="F103" s="314"/>
      <c r="G103" s="314"/>
      <c r="H103" s="314"/>
      <c r="I103" s="314"/>
      <c r="J103" s="314"/>
      <c r="K103" s="314"/>
      <c r="L103" s="314"/>
      <c r="M103" s="314"/>
      <c r="N103" s="314"/>
      <c r="O103" s="314"/>
      <c r="P103" s="314"/>
      <c r="Q103" s="314"/>
      <c r="R103" s="314"/>
      <c r="S103" s="314"/>
      <c r="T103" s="286"/>
      <c r="U103" s="286"/>
      <c r="V103" s="338">
        <v>0</v>
      </c>
      <c r="W103" s="318"/>
      <c r="X103" s="5"/>
    </row>
    <row r="104" spans="1:25" ht="15.75" x14ac:dyDescent="0.25">
      <c r="A104" s="295">
        <f>+A103+1</f>
        <v>2</v>
      </c>
      <c r="B104" s="286" t="s">
        <v>314</v>
      </c>
      <c r="C104" s="286"/>
      <c r="D104" s="286"/>
      <c r="E104" s="314"/>
      <c r="F104" s="314"/>
      <c r="G104" s="314"/>
      <c r="H104" s="314"/>
      <c r="I104" s="314"/>
      <c r="J104" s="314"/>
      <c r="K104" s="314"/>
      <c r="L104" s="314"/>
      <c r="M104" s="314"/>
      <c r="N104" s="314"/>
      <c r="O104" s="314"/>
      <c r="P104" s="314"/>
      <c r="Q104" s="314"/>
      <c r="R104" s="314"/>
      <c r="S104" s="314"/>
      <c r="T104" s="286"/>
      <c r="U104" s="286"/>
      <c r="V104" s="338">
        <v>-2</v>
      </c>
      <c r="W104" s="318"/>
      <c r="X104" s="5"/>
    </row>
    <row r="105" spans="1:25" ht="15.75" x14ac:dyDescent="0.25">
      <c r="A105" s="295">
        <f>+A104+1</f>
        <v>3</v>
      </c>
      <c r="B105" s="412" t="s">
        <v>316</v>
      </c>
      <c r="C105" s="286"/>
      <c r="D105" s="286"/>
      <c r="E105" s="314"/>
      <c r="F105" s="314"/>
      <c r="G105" s="314"/>
      <c r="H105" s="314"/>
      <c r="I105" s="314"/>
      <c r="J105" s="314"/>
      <c r="K105" s="314"/>
      <c r="L105" s="314"/>
      <c r="M105" s="314"/>
      <c r="N105" s="314"/>
      <c r="O105" s="314"/>
      <c r="P105" s="314"/>
      <c r="Q105" s="314"/>
      <c r="R105" s="314"/>
      <c r="S105" s="314"/>
      <c r="T105" s="286"/>
      <c r="U105" s="286"/>
      <c r="V105" s="338">
        <f>-291-151-10</f>
        <v>-452</v>
      </c>
      <c r="W105" s="318"/>
      <c r="X105" s="5"/>
    </row>
    <row r="106" spans="1:25" ht="15.75" x14ac:dyDescent="0.25">
      <c r="A106" s="295" t="s">
        <v>127</v>
      </c>
      <c r="B106" s="286" t="s">
        <v>116</v>
      </c>
      <c r="C106" s="286"/>
      <c r="D106" s="286"/>
      <c r="E106" s="314"/>
      <c r="F106" s="314"/>
      <c r="G106" s="314"/>
      <c r="H106" s="314"/>
      <c r="I106" s="314"/>
      <c r="J106" s="314"/>
      <c r="K106" s="314"/>
      <c r="L106" s="314"/>
      <c r="M106" s="314"/>
      <c r="N106" s="314"/>
      <c r="O106" s="314"/>
      <c r="P106" s="314"/>
      <c r="Q106" s="314"/>
      <c r="R106" s="314"/>
      <c r="S106" s="314"/>
      <c r="T106" s="286"/>
      <c r="U106" s="286"/>
      <c r="V106" s="338">
        <v>0</v>
      </c>
      <c r="W106" s="318"/>
      <c r="X106" s="5"/>
    </row>
    <row r="107" spans="1:25" ht="15.75" x14ac:dyDescent="0.25">
      <c r="A107" s="295" t="s">
        <v>128</v>
      </c>
      <c r="B107" s="286" t="s">
        <v>220</v>
      </c>
      <c r="C107" s="286"/>
      <c r="D107" s="286"/>
      <c r="E107" s="314"/>
      <c r="F107" s="314"/>
      <c r="G107" s="314"/>
      <c r="H107" s="314"/>
      <c r="I107" s="314"/>
      <c r="J107" s="314"/>
      <c r="K107" s="314"/>
      <c r="L107" s="314"/>
      <c r="M107" s="314"/>
      <c r="N107" s="314"/>
      <c r="O107" s="314"/>
      <c r="P107" s="314"/>
      <c r="Q107" s="314"/>
      <c r="R107" s="314"/>
      <c r="S107" s="314"/>
      <c r="T107" s="286"/>
      <c r="U107" s="286"/>
      <c r="V107" s="338">
        <f>-1221+313</f>
        <v>-908</v>
      </c>
      <c r="W107" s="318"/>
      <c r="X107" s="5"/>
      <c r="Y107" s="109"/>
    </row>
    <row r="108" spans="1:25" ht="15.75" x14ac:dyDescent="0.25">
      <c r="A108" s="295" t="s">
        <v>150</v>
      </c>
      <c r="B108" s="286" t="s">
        <v>184</v>
      </c>
      <c r="C108" s="286"/>
      <c r="D108" s="286"/>
      <c r="E108" s="314"/>
      <c r="F108" s="314"/>
      <c r="G108" s="314"/>
      <c r="H108" s="314"/>
      <c r="I108" s="314"/>
      <c r="J108" s="314"/>
      <c r="K108" s="314"/>
      <c r="L108" s="314"/>
      <c r="M108" s="314"/>
      <c r="N108" s="314"/>
      <c r="O108" s="314"/>
      <c r="P108" s="314"/>
      <c r="Q108" s="314"/>
      <c r="R108" s="314"/>
      <c r="S108" s="314"/>
      <c r="T108" s="286"/>
      <c r="U108" s="286"/>
      <c r="V108" s="338">
        <v>-313</v>
      </c>
      <c r="W108" s="318"/>
      <c r="X108" s="5"/>
      <c r="Y108" s="109"/>
    </row>
    <row r="109" spans="1:25" ht="15.75" x14ac:dyDescent="0.25">
      <c r="A109" s="295" t="s">
        <v>205</v>
      </c>
      <c r="B109" s="286" t="s">
        <v>185</v>
      </c>
      <c r="C109" s="286"/>
      <c r="D109" s="286"/>
      <c r="E109" s="314"/>
      <c r="F109" s="314"/>
      <c r="G109" s="314"/>
      <c r="H109" s="314"/>
      <c r="I109" s="314"/>
      <c r="J109" s="314"/>
      <c r="K109" s="314"/>
      <c r="L109" s="314"/>
      <c r="M109" s="314"/>
      <c r="N109" s="314"/>
      <c r="O109" s="314"/>
      <c r="P109" s="314"/>
      <c r="Q109" s="314"/>
      <c r="R109" s="314"/>
      <c r="S109" s="314"/>
      <c r="T109" s="286"/>
      <c r="U109" s="286"/>
      <c r="V109" s="338">
        <v>-170</v>
      </c>
      <c r="W109" s="318"/>
      <c r="X109" s="5"/>
      <c r="Y109" s="109"/>
    </row>
    <row r="110" spans="1:25" ht="15.75" x14ac:dyDescent="0.25">
      <c r="A110" s="295" t="s">
        <v>206</v>
      </c>
      <c r="B110" s="286" t="s">
        <v>186</v>
      </c>
      <c r="C110" s="286"/>
      <c r="D110" s="286"/>
      <c r="E110" s="314"/>
      <c r="F110" s="314"/>
      <c r="G110" s="314"/>
      <c r="H110" s="314"/>
      <c r="I110" s="314"/>
      <c r="J110" s="314"/>
      <c r="K110" s="314"/>
      <c r="L110" s="314"/>
      <c r="M110" s="314"/>
      <c r="N110" s="314"/>
      <c r="O110" s="314"/>
      <c r="P110" s="314"/>
      <c r="Q110" s="314"/>
      <c r="R110" s="314"/>
      <c r="S110" s="314"/>
      <c r="T110" s="286"/>
      <c r="U110" s="286"/>
      <c r="V110" s="338">
        <v>-47</v>
      </c>
      <c r="W110" s="318"/>
      <c r="X110" s="5"/>
      <c r="Y110" s="109"/>
    </row>
    <row r="111" spans="1:25" ht="15.75" x14ac:dyDescent="0.25">
      <c r="A111" s="295">
        <v>6</v>
      </c>
      <c r="B111" s="286" t="s">
        <v>196</v>
      </c>
      <c r="C111" s="286"/>
      <c r="D111" s="286"/>
      <c r="E111" s="314"/>
      <c r="F111" s="314"/>
      <c r="G111" s="314"/>
      <c r="H111" s="314"/>
      <c r="I111" s="314"/>
      <c r="J111" s="314"/>
      <c r="K111" s="314"/>
      <c r="L111" s="314"/>
      <c r="M111" s="314"/>
      <c r="N111" s="314"/>
      <c r="O111" s="314"/>
      <c r="P111" s="314"/>
      <c r="Q111" s="314"/>
      <c r="R111" s="314"/>
      <c r="S111" s="314"/>
      <c r="T111" s="286"/>
      <c r="U111" s="286"/>
      <c r="V111" s="338">
        <v>-335</v>
      </c>
      <c r="W111" s="318"/>
      <c r="X111" s="5"/>
      <c r="Y111" s="109"/>
    </row>
    <row r="112" spans="1:25" ht="15.75" x14ac:dyDescent="0.25">
      <c r="A112" s="295">
        <v>7</v>
      </c>
      <c r="B112" s="412" t="s">
        <v>315</v>
      </c>
      <c r="C112" s="286"/>
      <c r="D112" s="286"/>
      <c r="E112" s="314"/>
      <c r="F112" s="314"/>
      <c r="G112" s="314"/>
      <c r="H112" s="314"/>
      <c r="I112" s="314"/>
      <c r="J112" s="314"/>
      <c r="K112" s="314"/>
      <c r="L112" s="314"/>
      <c r="M112" s="314"/>
      <c r="N112" s="314"/>
      <c r="O112" s="314"/>
      <c r="P112" s="314"/>
      <c r="Q112" s="314"/>
      <c r="R112" s="314"/>
      <c r="S112" s="314"/>
      <c r="T112" s="286"/>
      <c r="U112" s="286"/>
      <c r="V112" s="338">
        <v>0</v>
      </c>
      <c r="W112" s="318"/>
      <c r="X112" s="5"/>
      <c r="Y112" s="109"/>
    </row>
    <row r="113" spans="1:24" ht="15.75" x14ac:dyDescent="0.25">
      <c r="A113" s="295">
        <v>8</v>
      </c>
      <c r="B113" s="286" t="s">
        <v>35</v>
      </c>
      <c r="C113" s="286"/>
      <c r="D113" s="286"/>
      <c r="E113" s="314"/>
      <c r="F113" s="314"/>
      <c r="G113" s="314"/>
      <c r="H113" s="314"/>
      <c r="I113" s="314"/>
      <c r="J113" s="314"/>
      <c r="K113" s="314"/>
      <c r="L113" s="314"/>
      <c r="M113" s="314"/>
      <c r="N113" s="314"/>
      <c r="O113" s="314"/>
      <c r="P113" s="314"/>
      <c r="Q113" s="314"/>
      <c r="R113" s="314"/>
      <c r="S113" s="314"/>
      <c r="T113" s="286"/>
      <c r="U113" s="286"/>
      <c r="V113" s="338">
        <v>-9</v>
      </c>
      <c r="W113" s="318"/>
      <c r="X113" s="5"/>
    </row>
    <row r="114" spans="1:24" ht="15.75" x14ac:dyDescent="0.25">
      <c r="A114" s="295">
        <f t="shared" ref="A114:A119" si="0">+A113+1</f>
        <v>9</v>
      </c>
      <c r="B114" s="286" t="s">
        <v>45</v>
      </c>
      <c r="C114" s="286"/>
      <c r="D114" s="286"/>
      <c r="E114" s="314"/>
      <c r="F114" s="314"/>
      <c r="G114" s="314"/>
      <c r="H114" s="314"/>
      <c r="I114" s="314"/>
      <c r="J114" s="314"/>
      <c r="K114" s="314"/>
      <c r="L114" s="314"/>
      <c r="M114" s="314"/>
      <c r="N114" s="314"/>
      <c r="O114" s="314"/>
      <c r="P114" s="314"/>
      <c r="Q114" s="314"/>
      <c r="R114" s="314"/>
      <c r="S114" s="314"/>
      <c r="T114" s="337">
        <f>-V114</f>
        <v>104</v>
      </c>
      <c r="U114" s="286"/>
      <c r="V114" s="338">
        <v>-104</v>
      </c>
      <c r="W114" s="318"/>
      <c r="X114" s="5"/>
    </row>
    <row r="115" spans="1:24" ht="15.75" x14ac:dyDescent="0.25">
      <c r="A115" s="295">
        <f t="shared" si="0"/>
        <v>10</v>
      </c>
      <c r="B115" s="286" t="s">
        <v>125</v>
      </c>
      <c r="C115" s="286"/>
      <c r="D115" s="286"/>
      <c r="E115" s="314"/>
      <c r="F115" s="314"/>
      <c r="G115" s="314"/>
      <c r="H115" s="314"/>
      <c r="I115" s="314"/>
      <c r="J115" s="314"/>
      <c r="K115" s="314"/>
      <c r="L115" s="314"/>
      <c r="M115" s="314"/>
      <c r="N115" s="314"/>
      <c r="O115" s="314"/>
      <c r="P115" s="314"/>
      <c r="Q115" s="314"/>
      <c r="R115" s="314"/>
      <c r="S115" s="314"/>
      <c r="T115" s="286"/>
      <c r="U115" s="286"/>
      <c r="V115" s="338">
        <v>0</v>
      </c>
      <c r="W115" s="318"/>
      <c r="X115" s="5"/>
    </row>
    <row r="116" spans="1:24" ht="15.75" x14ac:dyDescent="0.25">
      <c r="A116" s="295">
        <f t="shared" si="0"/>
        <v>11</v>
      </c>
      <c r="B116" s="286" t="s">
        <v>225</v>
      </c>
      <c r="C116" s="286"/>
      <c r="D116" s="286"/>
      <c r="E116" s="314"/>
      <c r="F116" s="314"/>
      <c r="G116" s="314"/>
      <c r="H116" s="314"/>
      <c r="I116" s="314"/>
      <c r="J116" s="314"/>
      <c r="K116" s="314"/>
      <c r="L116" s="314"/>
      <c r="M116" s="314"/>
      <c r="N116" s="314"/>
      <c r="O116" s="314"/>
      <c r="P116" s="314"/>
      <c r="Q116" s="314"/>
      <c r="R116" s="314"/>
      <c r="S116" s="314"/>
      <c r="T116" s="286"/>
      <c r="U116" s="286"/>
      <c r="V116" s="338">
        <v>0</v>
      </c>
      <c r="W116" s="318"/>
      <c r="X116" s="5"/>
    </row>
    <row r="117" spans="1:24" ht="15.75" x14ac:dyDescent="0.25">
      <c r="A117" s="295">
        <f t="shared" si="0"/>
        <v>12</v>
      </c>
      <c r="B117" s="286" t="s">
        <v>36</v>
      </c>
      <c r="C117" s="286"/>
      <c r="D117" s="286"/>
      <c r="E117" s="314"/>
      <c r="F117" s="314"/>
      <c r="G117" s="314"/>
      <c r="H117" s="314"/>
      <c r="I117" s="314"/>
      <c r="J117" s="314"/>
      <c r="K117" s="314"/>
      <c r="L117" s="314"/>
      <c r="M117" s="314"/>
      <c r="N117" s="314"/>
      <c r="O117" s="314"/>
      <c r="P117" s="314"/>
      <c r="Q117" s="314"/>
      <c r="R117" s="314"/>
      <c r="S117" s="314"/>
      <c r="T117" s="286"/>
      <c r="U117" s="286"/>
      <c r="V117" s="338">
        <v>0</v>
      </c>
      <c r="W117" s="318"/>
      <c r="X117" s="5"/>
    </row>
    <row r="118" spans="1:24" ht="15.75" x14ac:dyDescent="0.25">
      <c r="A118" s="295">
        <f t="shared" si="0"/>
        <v>13</v>
      </c>
      <c r="B118" s="286" t="s">
        <v>149</v>
      </c>
      <c r="C118" s="286"/>
      <c r="D118" s="286"/>
      <c r="E118" s="314"/>
      <c r="F118" s="314"/>
      <c r="G118" s="314"/>
      <c r="H118" s="314"/>
      <c r="I118" s="314"/>
      <c r="J118" s="314"/>
      <c r="K118" s="314"/>
      <c r="L118" s="314"/>
      <c r="M118" s="314"/>
      <c r="N118" s="314"/>
      <c r="O118" s="314"/>
      <c r="P118" s="314"/>
      <c r="Q118" s="314"/>
      <c r="R118" s="314"/>
      <c r="S118" s="314"/>
      <c r="T118" s="286"/>
      <c r="U118" s="286"/>
      <c r="V118" s="338">
        <v>-291</v>
      </c>
      <c r="W118" s="318"/>
      <c r="X118" s="5"/>
    </row>
    <row r="119" spans="1:24" ht="15.75" x14ac:dyDescent="0.25">
      <c r="A119" s="295">
        <f t="shared" si="0"/>
        <v>14</v>
      </c>
      <c r="B119" s="286" t="s">
        <v>126</v>
      </c>
      <c r="C119" s="286"/>
      <c r="D119" s="286"/>
      <c r="E119" s="314"/>
      <c r="F119" s="314"/>
      <c r="G119" s="314"/>
      <c r="H119" s="314"/>
      <c r="I119" s="314"/>
      <c r="J119" s="314"/>
      <c r="K119" s="314"/>
      <c r="L119" s="314"/>
      <c r="M119" s="314"/>
      <c r="N119" s="314"/>
      <c r="O119" s="314"/>
      <c r="P119" s="314"/>
      <c r="Q119" s="314"/>
      <c r="R119" s="314"/>
      <c r="S119" s="314"/>
      <c r="T119" s="286"/>
      <c r="U119" s="286"/>
      <c r="V119" s="338">
        <f>-V101-SUM(V103:V118)</f>
        <v>-2159</v>
      </c>
      <c r="W119" s="318"/>
      <c r="X119" s="5"/>
    </row>
    <row r="120" spans="1:24" ht="15.75" x14ac:dyDescent="0.25">
      <c r="A120" s="285"/>
      <c r="B120" s="342" t="s">
        <v>37</v>
      </c>
      <c r="C120" s="314"/>
      <c r="D120" s="314"/>
      <c r="E120" s="314"/>
      <c r="F120" s="314"/>
      <c r="G120" s="314"/>
      <c r="H120" s="314"/>
      <c r="I120" s="314"/>
      <c r="J120" s="314"/>
      <c r="K120" s="314"/>
      <c r="L120" s="314"/>
      <c r="M120" s="314"/>
      <c r="N120" s="314"/>
      <c r="O120" s="314"/>
      <c r="P120" s="314"/>
      <c r="Q120" s="314"/>
      <c r="R120" s="314"/>
      <c r="S120" s="314"/>
      <c r="T120" s="286"/>
      <c r="U120" s="286"/>
      <c r="V120" s="343"/>
      <c r="W120" s="318"/>
      <c r="X120" s="5"/>
    </row>
    <row r="121" spans="1:24" ht="15.75" x14ac:dyDescent="0.25">
      <c r="A121" s="285"/>
      <c r="B121" s="286" t="s">
        <v>173</v>
      </c>
      <c r="C121" s="314"/>
      <c r="D121" s="314"/>
      <c r="E121" s="314"/>
      <c r="F121" s="314"/>
      <c r="G121" s="314"/>
      <c r="H121" s="314"/>
      <c r="I121" s="314"/>
      <c r="J121" s="314"/>
      <c r="K121" s="314"/>
      <c r="L121" s="314"/>
      <c r="M121" s="314"/>
      <c r="N121" s="314"/>
      <c r="O121" s="314"/>
      <c r="P121" s="314"/>
      <c r="Q121" s="314"/>
      <c r="R121" s="314"/>
      <c r="S121" s="314"/>
      <c r="T121" s="337">
        <f>-T186</f>
        <v>-5</v>
      </c>
      <c r="U121" s="337"/>
      <c r="V121" s="338"/>
      <c r="W121" s="318"/>
      <c r="X121" s="5"/>
    </row>
    <row r="122" spans="1:24" ht="15.75" x14ac:dyDescent="0.25">
      <c r="A122" s="285"/>
      <c r="B122" s="286" t="s">
        <v>174</v>
      </c>
      <c r="C122" s="314"/>
      <c r="D122" s="314"/>
      <c r="E122" s="314"/>
      <c r="F122" s="314"/>
      <c r="G122" s="314"/>
      <c r="H122" s="314"/>
      <c r="I122" s="314"/>
      <c r="J122" s="314"/>
      <c r="K122" s="314"/>
      <c r="L122" s="314"/>
      <c r="M122" s="314"/>
      <c r="N122" s="314"/>
      <c r="O122" s="314"/>
      <c r="P122" s="314"/>
      <c r="Q122" s="314"/>
      <c r="R122" s="314"/>
      <c r="S122" s="314"/>
      <c r="T122" s="337">
        <v>0</v>
      </c>
      <c r="U122" s="337"/>
      <c r="V122" s="338"/>
      <c r="W122" s="318"/>
      <c r="X122" s="5"/>
    </row>
    <row r="123" spans="1:24" ht="15.75" x14ac:dyDescent="0.25">
      <c r="A123" s="285"/>
      <c r="B123" s="286" t="s">
        <v>38</v>
      </c>
      <c r="C123" s="314"/>
      <c r="D123" s="314"/>
      <c r="E123" s="314"/>
      <c r="F123" s="314"/>
      <c r="G123" s="314"/>
      <c r="H123" s="314"/>
      <c r="I123" s="314"/>
      <c r="J123" s="314"/>
      <c r="K123" s="314"/>
      <c r="L123" s="314"/>
      <c r="M123" s="314"/>
      <c r="N123" s="314"/>
      <c r="O123" s="314"/>
      <c r="P123" s="314"/>
      <c r="Q123" s="314"/>
      <c r="R123" s="314"/>
      <c r="S123" s="314"/>
      <c r="T123" s="337">
        <f>-S186</f>
        <v>-391</v>
      </c>
      <c r="U123" s="337"/>
      <c r="V123" s="338"/>
      <c r="W123" s="318"/>
      <c r="X123" s="5"/>
    </row>
    <row r="124" spans="1:24" ht="15.75" x14ac:dyDescent="0.25">
      <c r="A124" s="285"/>
      <c r="B124" s="286" t="s">
        <v>197</v>
      </c>
      <c r="C124" s="314"/>
      <c r="D124" s="314"/>
      <c r="E124" s="314"/>
      <c r="F124" s="314"/>
      <c r="G124" s="314"/>
      <c r="H124" s="314"/>
      <c r="I124" s="314"/>
      <c r="J124" s="314"/>
      <c r="K124" s="314"/>
      <c r="L124" s="314"/>
      <c r="M124" s="314"/>
      <c r="N124" s="314"/>
      <c r="O124" s="314"/>
      <c r="P124" s="314"/>
      <c r="Q124" s="314"/>
      <c r="R124" s="314"/>
      <c r="S124" s="314"/>
      <c r="T124" s="337">
        <v>-4444</v>
      </c>
      <c r="U124" s="337"/>
      <c r="V124" s="338"/>
      <c r="W124" s="318"/>
      <c r="X124" s="5"/>
    </row>
    <row r="125" spans="1:24" ht="15.75" x14ac:dyDescent="0.25">
      <c r="A125" s="285"/>
      <c r="B125" s="286" t="s">
        <v>195</v>
      </c>
      <c r="C125" s="314"/>
      <c r="D125" s="314"/>
      <c r="E125" s="314"/>
      <c r="F125" s="314"/>
      <c r="G125" s="314"/>
      <c r="H125" s="314"/>
      <c r="I125" s="314"/>
      <c r="J125" s="314"/>
      <c r="K125" s="314"/>
      <c r="L125" s="314"/>
      <c r="M125" s="314"/>
      <c r="N125" s="314"/>
      <c r="O125" s="314"/>
      <c r="P125" s="314"/>
      <c r="Q125" s="314"/>
      <c r="R125" s="314"/>
      <c r="S125" s="314"/>
      <c r="T125" s="337">
        <v>-1889</v>
      </c>
      <c r="U125" s="337"/>
      <c r="V125" s="338"/>
      <c r="W125" s="318"/>
      <c r="X125" s="5"/>
    </row>
    <row r="126" spans="1:24" ht="15.75" x14ac:dyDescent="0.25">
      <c r="A126" s="285"/>
      <c r="B126" s="286" t="s">
        <v>194</v>
      </c>
      <c r="C126" s="314"/>
      <c r="D126" s="314"/>
      <c r="E126" s="314"/>
      <c r="F126" s="314"/>
      <c r="G126" s="314"/>
      <c r="H126" s="314"/>
      <c r="I126" s="314"/>
      <c r="J126" s="314"/>
      <c r="K126" s="314"/>
      <c r="L126" s="314"/>
      <c r="M126" s="314"/>
      <c r="N126" s="314"/>
      <c r="O126" s="314"/>
      <c r="P126" s="314"/>
      <c r="Q126" s="314"/>
      <c r="R126" s="314"/>
      <c r="S126" s="314"/>
      <c r="T126" s="337">
        <v>-673</v>
      </c>
      <c r="U126" s="337"/>
      <c r="V126" s="338"/>
      <c r="W126" s="318"/>
      <c r="X126" s="5"/>
    </row>
    <row r="127" spans="1:24" ht="15.75" x14ac:dyDescent="0.25">
      <c r="A127" s="285"/>
      <c r="B127" s="286" t="s">
        <v>222</v>
      </c>
      <c r="C127" s="314"/>
      <c r="D127" s="314"/>
      <c r="E127" s="314"/>
      <c r="F127" s="314"/>
      <c r="G127" s="314"/>
      <c r="H127" s="314"/>
      <c r="I127" s="314"/>
      <c r="J127" s="314"/>
      <c r="K127" s="314"/>
      <c r="L127" s="314"/>
      <c r="M127" s="314"/>
      <c r="N127" s="314"/>
      <c r="O127" s="314"/>
      <c r="P127" s="314"/>
      <c r="Q127" s="314"/>
      <c r="R127" s="314"/>
      <c r="S127" s="314"/>
      <c r="T127" s="337">
        <v>-667</v>
      </c>
      <c r="U127" s="337"/>
      <c r="V127" s="338"/>
      <c r="W127" s="318"/>
      <c r="X127" s="5"/>
    </row>
    <row r="128" spans="1:24" ht="15.75" x14ac:dyDescent="0.25">
      <c r="A128" s="285"/>
      <c r="B128" s="286" t="s">
        <v>189</v>
      </c>
      <c r="C128" s="314"/>
      <c r="D128" s="314"/>
      <c r="E128" s="314"/>
      <c r="F128" s="314"/>
      <c r="G128" s="314"/>
      <c r="H128" s="314"/>
      <c r="I128" s="314"/>
      <c r="J128" s="314"/>
      <c r="K128" s="314"/>
      <c r="L128" s="314"/>
      <c r="M128" s="314"/>
      <c r="N128" s="314"/>
      <c r="O128" s="314"/>
      <c r="P128" s="314"/>
      <c r="Q128" s="314"/>
      <c r="R128" s="314"/>
      <c r="S128" s="314"/>
      <c r="T128" s="337">
        <v>0</v>
      </c>
      <c r="U128" s="337"/>
      <c r="V128" s="338"/>
      <c r="W128" s="318"/>
      <c r="X128" s="5"/>
    </row>
    <row r="129" spans="1:24" ht="15.75" x14ac:dyDescent="0.25">
      <c r="A129" s="285"/>
      <c r="B129" s="286" t="s">
        <v>188</v>
      </c>
      <c r="C129" s="314"/>
      <c r="D129" s="314"/>
      <c r="E129" s="314"/>
      <c r="F129" s="314"/>
      <c r="G129" s="314"/>
      <c r="H129" s="314"/>
      <c r="I129" s="314"/>
      <c r="J129" s="314"/>
      <c r="K129" s="314"/>
      <c r="L129" s="314"/>
      <c r="M129" s="314"/>
      <c r="N129" s="314"/>
      <c r="O129" s="314"/>
      <c r="P129" s="314"/>
      <c r="Q129" s="314"/>
      <c r="R129" s="314"/>
      <c r="S129" s="314"/>
      <c r="T129" s="337">
        <v>0</v>
      </c>
      <c r="U129" s="337"/>
      <c r="V129" s="338"/>
      <c r="W129" s="318"/>
      <c r="X129" s="5"/>
    </row>
    <row r="130" spans="1:24" ht="15.75" x14ac:dyDescent="0.25">
      <c r="A130" s="285"/>
      <c r="B130" s="286" t="s">
        <v>187</v>
      </c>
      <c r="C130" s="314"/>
      <c r="D130" s="314"/>
      <c r="E130" s="314"/>
      <c r="F130" s="314"/>
      <c r="G130" s="314"/>
      <c r="H130" s="314"/>
      <c r="I130" s="314"/>
      <c r="J130" s="314"/>
      <c r="K130" s="314"/>
      <c r="L130" s="314"/>
      <c r="M130" s="314"/>
      <c r="N130" s="314"/>
      <c r="O130" s="314"/>
      <c r="P130" s="314"/>
      <c r="Q130" s="314"/>
      <c r="R130" s="314"/>
      <c r="S130" s="314"/>
      <c r="T130" s="337">
        <v>0</v>
      </c>
      <c r="U130" s="337"/>
      <c r="V130" s="338"/>
      <c r="W130" s="318"/>
      <c r="X130" s="5"/>
    </row>
    <row r="131" spans="1:24" ht="15.75" x14ac:dyDescent="0.25">
      <c r="A131" s="285"/>
      <c r="B131" s="286" t="s">
        <v>39</v>
      </c>
      <c r="C131" s="314"/>
      <c r="D131" s="314"/>
      <c r="E131" s="314"/>
      <c r="F131" s="314"/>
      <c r="G131" s="314"/>
      <c r="H131" s="314"/>
      <c r="I131" s="314"/>
      <c r="J131" s="314"/>
      <c r="K131" s="314"/>
      <c r="L131" s="314"/>
      <c r="M131" s="314"/>
      <c r="N131" s="314"/>
      <c r="O131" s="314"/>
      <c r="P131" s="314"/>
      <c r="Q131" s="314"/>
      <c r="R131" s="314"/>
      <c r="S131" s="314"/>
      <c r="T131" s="337">
        <f>SUM(T121:T130)</f>
        <v>-8069</v>
      </c>
      <c r="U131" s="337"/>
      <c r="V131" s="337">
        <f>SUM(V102:V129)</f>
        <v>-4790</v>
      </c>
      <c r="W131" s="318"/>
      <c r="X131" s="5"/>
    </row>
    <row r="132" spans="1:24" ht="15.75" x14ac:dyDescent="0.25">
      <c r="A132" s="285"/>
      <c r="B132" s="286" t="s">
        <v>40</v>
      </c>
      <c r="C132" s="314"/>
      <c r="D132" s="314"/>
      <c r="E132" s="314"/>
      <c r="F132" s="314"/>
      <c r="G132" s="314"/>
      <c r="H132" s="314"/>
      <c r="I132" s="314"/>
      <c r="J132" s="314"/>
      <c r="K132" s="314"/>
      <c r="L132" s="314"/>
      <c r="M132" s="314"/>
      <c r="N132" s="314"/>
      <c r="O132" s="314"/>
      <c r="P132" s="314"/>
      <c r="Q132" s="314"/>
      <c r="R132" s="314"/>
      <c r="S132" s="314"/>
      <c r="T132" s="337">
        <f>T101+T131+T114</f>
        <v>0</v>
      </c>
      <c r="U132" s="337"/>
      <c r="V132" s="337">
        <f>V101+V131</f>
        <v>0</v>
      </c>
      <c r="W132" s="318"/>
      <c r="X132" s="5"/>
    </row>
    <row r="133" spans="1:24" ht="15.75" x14ac:dyDescent="0.25">
      <c r="A133" s="181"/>
      <c r="B133" s="212"/>
      <c r="C133" s="212"/>
      <c r="D133" s="212"/>
      <c r="E133" s="212"/>
      <c r="F133" s="212"/>
      <c r="G133" s="212"/>
      <c r="H133" s="212"/>
      <c r="I133" s="212"/>
      <c r="J133" s="212"/>
      <c r="K133" s="212"/>
      <c r="L133" s="212"/>
      <c r="M133" s="212"/>
      <c r="N133" s="212"/>
      <c r="O133" s="212"/>
      <c r="P133" s="212"/>
      <c r="Q133" s="212"/>
      <c r="R133" s="212"/>
      <c r="S133" s="212"/>
      <c r="T133" s="335"/>
      <c r="U133" s="335"/>
      <c r="V133" s="335"/>
      <c r="W133" s="212"/>
      <c r="X133" s="5"/>
    </row>
    <row r="134" spans="1:24" ht="15.75" x14ac:dyDescent="0.25">
      <c r="A134" s="181"/>
      <c r="B134" s="183"/>
      <c r="C134" s="183"/>
      <c r="D134" s="183"/>
      <c r="E134" s="183"/>
      <c r="F134" s="183"/>
      <c r="G134" s="183"/>
      <c r="H134" s="183"/>
      <c r="I134" s="183"/>
      <c r="J134" s="183"/>
      <c r="K134" s="183"/>
      <c r="L134" s="183"/>
      <c r="M134" s="183"/>
      <c r="N134" s="183"/>
      <c r="O134" s="183"/>
      <c r="P134" s="183"/>
      <c r="Q134" s="183"/>
      <c r="R134" s="183"/>
      <c r="S134" s="183"/>
      <c r="T134" s="183"/>
      <c r="U134" s="183"/>
      <c r="V134" s="202"/>
      <c r="W134" s="183"/>
      <c r="X134" s="5"/>
    </row>
    <row r="135" spans="1:24" ht="19.5" thickBot="1" x14ac:dyDescent="0.35">
      <c r="A135" s="197"/>
      <c r="B135" s="270" t="str">
        <f>B64</f>
        <v>PM15 INVESTOR REPORT QUARTER ENDING NOVEMBER 2014</v>
      </c>
      <c r="C135" s="198"/>
      <c r="D135" s="198"/>
      <c r="E135" s="198"/>
      <c r="F135" s="198"/>
      <c r="G135" s="198"/>
      <c r="H135" s="198"/>
      <c r="I135" s="198"/>
      <c r="J135" s="198"/>
      <c r="K135" s="198"/>
      <c r="L135" s="198"/>
      <c r="M135" s="198"/>
      <c r="N135" s="198"/>
      <c r="O135" s="198"/>
      <c r="P135" s="198"/>
      <c r="Q135" s="198"/>
      <c r="R135" s="198"/>
      <c r="S135" s="198"/>
      <c r="T135" s="198"/>
      <c r="U135" s="198"/>
      <c r="V135" s="209"/>
      <c r="W135" s="200"/>
      <c r="X135" s="5"/>
    </row>
    <row r="136" spans="1:24" ht="15.75" x14ac:dyDescent="0.25">
      <c r="A136" s="236"/>
      <c r="B136" s="403" t="s">
        <v>41</v>
      </c>
      <c r="C136" s="238"/>
      <c r="D136" s="238"/>
      <c r="E136" s="238"/>
      <c r="F136" s="238"/>
      <c r="G136" s="238"/>
      <c r="H136" s="238"/>
      <c r="I136" s="238"/>
      <c r="J136" s="238"/>
      <c r="K136" s="238"/>
      <c r="L136" s="238"/>
      <c r="M136" s="238"/>
      <c r="N136" s="238"/>
      <c r="O136" s="238"/>
      <c r="P136" s="238"/>
      <c r="Q136" s="238"/>
      <c r="R136" s="238"/>
      <c r="S136" s="238"/>
      <c r="T136" s="238"/>
      <c r="U136" s="238"/>
      <c r="V136" s="239"/>
      <c r="W136" s="238"/>
      <c r="X136" s="5"/>
    </row>
    <row r="137" spans="1:24" ht="15.75" x14ac:dyDescent="0.25">
      <c r="A137" s="181"/>
      <c r="B137" s="191"/>
      <c r="C137" s="183"/>
      <c r="D137" s="183"/>
      <c r="E137" s="183"/>
      <c r="F137" s="183"/>
      <c r="G137" s="183"/>
      <c r="H137" s="183"/>
      <c r="I137" s="183"/>
      <c r="J137" s="183"/>
      <c r="K137" s="183"/>
      <c r="L137" s="183"/>
      <c r="M137" s="183"/>
      <c r="N137" s="183"/>
      <c r="O137" s="183"/>
      <c r="P137" s="183"/>
      <c r="Q137" s="183"/>
      <c r="R137" s="183"/>
      <c r="S137" s="183"/>
      <c r="T137" s="183"/>
      <c r="U137" s="183"/>
      <c r="V137" s="202"/>
      <c r="W137" s="183"/>
      <c r="X137" s="5"/>
    </row>
    <row r="138" spans="1:24" ht="15.75" x14ac:dyDescent="0.25">
      <c r="A138" s="181"/>
      <c r="B138" s="210" t="s">
        <v>42</v>
      </c>
      <c r="C138" s="183"/>
      <c r="D138" s="183"/>
      <c r="E138" s="183"/>
      <c r="F138" s="183"/>
      <c r="G138" s="183"/>
      <c r="H138" s="183"/>
      <c r="I138" s="183"/>
      <c r="J138" s="183"/>
      <c r="K138" s="183"/>
      <c r="L138" s="183"/>
      <c r="M138" s="183"/>
      <c r="N138" s="183"/>
      <c r="O138" s="183"/>
      <c r="P138" s="183"/>
      <c r="Q138" s="183"/>
      <c r="R138" s="183"/>
      <c r="S138" s="183"/>
      <c r="T138" s="183"/>
      <c r="U138" s="183"/>
      <c r="V138" s="202"/>
      <c r="W138" s="183"/>
      <c r="X138" s="5"/>
    </row>
    <row r="139" spans="1:24" ht="15.75" x14ac:dyDescent="0.25">
      <c r="A139" s="285"/>
      <c r="B139" s="286" t="s">
        <v>43</v>
      </c>
      <c r="C139" s="286"/>
      <c r="D139" s="286"/>
      <c r="E139" s="286"/>
      <c r="F139" s="286"/>
      <c r="G139" s="286"/>
      <c r="H139" s="286"/>
      <c r="I139" s="286"/>
      <c r="J139" s="286"/>
      <c r="K139" s="286"/>
      <c r="L139" s="286"/>
      <c r="M139" s="286"/>
      <c r="N139" s="286"/>
      <c r="O139" s="286"/>
      <c r="P139" s="286"/>
      <c r="Q139" s="286"/>
      <c r="R139" s="286"/>
      <c r="S139" s="286"/>
      <c r="T139" s="286"/>
      <c r="U139" s="286"/>
      <c r="V139" s="338">
        <f>+V34*0.019</f>
        <v>19021.526999999998</v>
      </c>
      <c r="W139" s="289"/>
      <c r="X139" s="5"/>
    </row>
    <row r="140" spans="1:24" ht="15.75" x14ac:dyDescent="0.25">
      <c r="A140" s="285"/>
      <c r="B140" s="286" t="s">
        <v>44</v>
      </c>
      <c r="C140" s="286"/>
      <c r="D140" s="286"/>
      <c r="E140" s="286"/>
      <c r="F140" s="286"/>
      <c r="G140" s="286"/>
      <c r="H140" s="286"/>
      <c r="I140" s="286"/>
      <c r="J140" s="286"/>
      <c r="K140" s="286"/>
      <c r="L140" s="286"/>
      <c r="M140" s="286"/>
      <c r="N140" s="286"/>
      <c r="O140" s="286"/>
      <c r="P140" s="286"/>
      <c r="Q140" s="286"/>
      <c r="R140" s="286"/>
      <c r="S140" s="286"/>
      <c r="T140" s="286"/>
      <c r="U140" s="286"/>
      <c r="V140" s="338">
        <v>19022</v>
      </c>
      <c r="W140" s="289"/>
      <c r="X140" s="5"/>
    </row>
    <row r="141" spans="1:24" ht="15.75" x14ac:dyDescent="0.25">
      <c r="A141" s="285"/>
      <c r="B141" s="286" t="s">
        <v>136</v>
      </c>
      <c r="C141" s="286"/>
      <c r="D141" s="286"/>
      <c r="E141" s="286"/>
      <c r="F141" s="286"/>
      <c r="G141" s="286"/>
      <c r="H141" s="286"/>
      <c r="I141" s="286"/>
      <c r="J141" s="286"/>
      <c r="K141" s="286"/>
      <c r="L141" s="286"/>
      <c r="M141" s="286"/>
      <c r="N141" s="286"/>
      <c r="O141" s="286"/>
      <c r="P141" s="286"/>
      <c r="Q141" s="286"/>
      <c r="R141" s="286"/>
      <c r="S141" s="286"/>
      <c r="T141" s="286"/>
      <c r="U141" s="286"/>
      <c r="V141" s="338"/>
      <c r="W141" s="289"/>
      <c r="X141" s="5"/>
    </row>
    <row r="142" spans="1:24" ht="15.75" x14ac:dyDescent="0.25">
      <c r="A142" s="285"/>
      <c r="B142" s="286" t="s">
        <v>123</v>
      </c>
      <c r="C142" s="286"/>
      <c r="D142" s="286"/>
      <c r="E142" s="286"/>
      <c r="F142" s="286"/>
      <c r="G142" s="286"/>
      <c r="H142" s="286"/>
      <c r="I142" s="286"/>
      <c r="J142" s="286"/>
      <c r="K142" s="286"/>
      <c r="L142" s="286"/>
      <c r="M142" s="286"/>
      <c r="N142" s="286"/>
      <c r="O142" s="286"/>
      <c r="P142" s="286"/>
      <c r="Q142" s="286"/>
      <c r="R142" s="286"/>
      <c r="S142" s="286"/>
      <c r="T142" s="286"/>
      <c r="U142" s="286"/>
      <c r="V142" s="338">
        <v>0</v>
      </c>
      <c r="W142" s="289"/>
      <c r="X142" s="5"/>
    </row>
    <row r="143" spans="1:24" ht="15.75" x14ac:dyDescent="0.25">
      <c r="A143" s="285"/>
      <c r="B143" s="286" t="s">
        <v>124</v>
      </c>
      <c r="C143" s="286"/>
      <c r="D143" s="286"/>
      <c r="E143" s="286"/>
      <c r="F143" s="286"/>
      <c r="G143" s="286"/>
      <c r="H143" s="286"/>
      <c r="I143" s="286"/>
      <c r="J143" s="286"/>
      <c r="K143" s="286"/>
      <c r="L143" s="286"/>
      <c r="M143" s="286"/>
      <c r="N143" s="286"/>
      <c r="O143" s="286"/>
      <c r="P143" s="286"/>
      <c r="Q143" s="286"/>
      <c r="R143" s="286"/>
      <c r="S143" s="286"/>
      <c r="T143" s="286"/>
      <c r="U143" s="286"/>
      <c r="V143" s="338">
        <v>0</v>
      </c>
      <c r="W143" s="289"/>
      <c r="X143" s="5"/>
    </row>
    <row r="144" spans="1:24" ht="15.75" x14ac:dyDescent="0.25">
      <c r="A144" s="285"/>
      <c r="B144" s="286" t="s">
        <v>175</v>
      </c>
      <c r="C144" s="286"/>
      <c r="D144" s="286"/>
      <c r="E144" s="286"/>
      <c r="F144" s="286"/>
      <c r="G144" s="286"/>
      <c r="H144" s="286"/>
      <c r="I144" s="286"/>
      <c r="J144" s="286"/>
      <c r="K144" s="286"/>
      <c r="L144" s="286"/>
      <c r="M144" s="286"/>
      <c r="N144" s="286"/>
      <c r="O144" s="286"/>
      <c r="P144" s="286"/>
      <c r="Q144" s="286"/>
      <c r="R144" s="286"/>
      <c r="S144" s="286"/>
      <c r="T144" s="286"/>
      <c r="U144" s="286"/>
      <c r="V144" s="338">
        <v>0</v>
      </c>
      <c r="W144" s="289"/>
      <c r="X144" s="5"/>
    </row>
    <row r="145" spans="1:25" ht="15.75" x14ac:dyDescent="0.25">
      <c r="A145" s="285"/>
      <c r="B145" s="286" t="s">
        <v>45</v>
      </c>
      <c r="C145" s="286"/>
      <c r="D145" s="286"/>
      <c r="E145" s="286"/>
      <c r="F145" s="286"/>
      <c r="G145" s="286"/>
      <c r="H145" s="286"/>
      <c r="I145" s="286"/>
      <c r="J145" s="286"/>
      <c r="K145" s="286"/>
      <c r="L145" s="286"/>
      <c r="M145" s="286"/>
      <c r="N145" s="286"/>
      <c r="O145" s="286"/>
      <c r="P145" s="286"/>
      <c r="Q145" s="286"/>
      <c r="R145" s="286"/>
      <c r="S145" s="286"/>
      <c r="T145" s="286"/>
      <c r="U145" s="286"/>
      <c r="V145" s="338">
        <v>0</v>
      </c>
      <c r="W145" s="289"/>
      <c r="X145" s="5"/>
    </row>
    <row r="146" spans="1:25" ht="15.75" x14ac:dyDescent="0.25">
      <c r="A146" s="285"/>
      <c r="B146" s="286" t="s">
        <v>129</v>
      </c>
      <c r="C146" s="286"/>
      <c r="D146" s="286"/>
      <c r="E146" s="286"/>
      <c r="F146" s="286"/>
      <c r="G146" s="286"/>
      <c r="H146" s="286"/>
      <c r="I146" s="286"/>
      <c r="J146" s="286"/>
      <c r="K146" s="286"/>
      <c r="L146" s="286"/>
      <c r="M146" s="286"/>
      <c r="N146" s="286"/>
      <c r="O146" s="286"/>
      <c r="P146" s="286"/>
      <c r="Q146" s="286"/>
      <c r="R146" s="286"/>
      <c r="S146" s="286"/>
      <c r="T146" s="286"/>
      <c r="U146" s="286"/>
      <c r="V146" s="338">
        <v>0</v>
      </c>
      <c r="W146" s="289"/>
      <c r="X146" s="5"/>
    </row>
    <row r="147" spans="1:25" ht="15.75" x14ac:dyDescent="0.25">
      <c r="A147" s="285"/>
      <c r="B147" s="286" t="s">
        <v>241</v>
      </c>
      <c r="C147" s="286"/>
      <c r="D147" s="286"/>
      <c r="E147" s="286"/>
      <c r="F147" s="286"/>
      <c r="G147" s="286"/>
      <c r="H147" s="286"/>
      <c r="I147" s="286"/>
      <c r="J147" s="286"/>
      <c r="K147" s="286"/>
      <c r="L147" s="286"/>
      <c r="M147" s="286"/>
      <c r="N147" s="286"/>
      <c r="O147" s="286"/>
      <c r="P147" s="286"/>
      <c r="Q147" s="286"/>
      <c r="R147" s="286"/>
      <c r="S147" s="286"/>
      <c r="T147" s="286"/>
      <c r="U147" s="286"/>
      <c r="V147" s="338">
        <v>0</v>
      </c>
      <c r="W147" s="289"/>
      <c r="X147" s="5"/>
      <c r="Y147" s="109"/>
    </row>
    <row r="148" spans="1:25" ht="15.75" x14ac:dyDescent="0.25">
      <c r="A148" s="285"/>
      <c r="B148" s="286" t="s">
        <v>46</v>
      </c>
      <c r="C148" s="286"/>
      <c r="D148" s="286"/>
      <c r="E148" s="286"/>
      <c r="F148" s="286"/>
      <c r="G148" s="286"/>
      <c r="H148" s="286"/>
      <c r="I148" s="286"/>
      <c r="J148" s="286"/>
      <c r="K148" s="286"/>
      <c r="L148" s="286"/>
      <c r="M148" s="286"/>
      <c r="N148" s="286"/>
      <c r="O148" s="286"/>
      <c r="P148" s="286"/>
      <c r="Q148" s="286"/>
      <c r="R148" s="286"/>
      <c r="S148" s="286"/>
      <c r="T148" s="286"/>
      <c r="U148" s="286"/>
      <c r="V148" s="338">
        <f>SUM(V140:V147)</f>
        <v>19022</v>
      </c>
      <c r="W148" s="289"/>
      <c r="X148" s="5"/>
    </row>
    <row r="149" spans="1:25" ht="15.75" x14ac:dyDescent="0.25">
      <c r="A149" s="285"/>
      <c r="B149" s="314"/>
      <c r="C149" s="314"/>
      <c r="D149" s="314"/>
      <c r="E149" s="314"/>
      <c r="F149" s="314"/>
      <c r="G149" s="314"/>
      <c r="H149" s="314"/>
      <c r="I149" s="314"/>
      <c r="J149" s="314"/>
      <c r="K149" s="314"/>
      <c r="L149" s="314"/>
      <c r="M149" s="314"/>
      <c r="N149" s="314"/>
      <c r="O149" s="314"/>
      <c r="P149" s="314"/>
      <c r="Q149" s="314"/>
      <c r="R149" s="314"/>
      <c r="S149" s="314"/>
      <c r="T149" s="314"/>
      <c r="U149" s="314"/>
      <c r="V149" s="345"/>
      <c r="W149" s="318"/>
      <c r="X149" s="5"/>
    </row>
    <row r="150" spans="1:25" ht="15.75" x14ac:dyDescent="0.25">
      <c r="A150" s="285"/>
      <c r="B150" s="342" t="s">
        <v>269</v>
      </c>
      <c r="C150" s="314"/>
      <c r="D150" s="314"/>
      <c r="E150" s="314"/>
      <c r="F150" s="314"/>
      <c r="G150" s="314"/>
      <c r="H150" s="314"/>
      <c r="I150" s="314"/>
      <c r="J150" s="314"/>
      <c r="K150" s="314"/>
      <c r="L150" s="314"/>
      <c r="M150" s="314"/>
      <c r="N150" s="314"/>
      <c r="O150" s="314"/>
      <c r="P150" s="314"/>
      <c r="Q150" s="314"/>
      <c r="R150" s="314"/>
      <c r="S150" s="314"/>
      <c r="T150" s="314"/>
      <c r="U150" s="314"/>
      <c r="V150" s="345"/>
      <c r="W150" s="318"/>
      <c r="X150" s="5"/>
    </row>
    <row r="151" spans="1:25" ht="15.75" x14ac:dyDescent="0.25">
      <c r="A151" s="285"/>
      <c r="B151" s="286" t="s">
        <v>155</v>
      </c>
      <c r="C151" s="286"/>
      <c r="D151" s="286"/>
      <c r="E151" s="286"/>
      <c r="F151" s="286"/>
      <c r="G151" s="286"/>
      <c r="H151" s="286"/>
      <c r="I151" s="286"/>
      <c r="J151" s="286"/>
      <c r="K151" s="286"/>
      <c r="L151" s="286"/>
      <c r="M151" s="286"/>
      <c r="N151" s="286"/>
      <c r="O151" s="286"/>
      <c r="P151" s="286"/>
      <c r="Q151" s="286"/>
      <c r="R151" s="286"/>
      <c r="S151" s="286"/>
      <c r="T151" s="286"/>
      <c r="U151" s="286"/>
      <c r="V151" s="338">
        <v>0</v>
      </c>
      <c r="W151" s="289"/>
      <c r="X151" s="5"/>
    </row>
    <row r="152" spans="1:25" ht="15.75" x14ac:dyDescent="0.25">
      <c r="A152" s="285"/>
      <c r="B152" s="286" t="s">
        <v>172</v>
      </c>
      <c r="C152" s="286"/>
      <c r="D152" s="286"/>
      <c r="E152" s="286"/>
      <c r="F152" s="286"/>
      <c r="G152" s="286"/>
      <c r="H152" s="286"/>
      <c r="I152" s="286"/>
      <c r="J152" s="286"/>
      <c r="K152" s="286"/>
      <c r="L152" s="286"/>
      <c r="M152" s="286"/>
      <c r="N152" s="286"/>
      <c r="O152" s="286"/>
      <c r="P152" s="286"/>
      <c r="Q152" s="286"/>
      <c r="R152" s="286"/>
      <c r="S152" s="286"/>
      <c r="T152" s="286"/>
      <c r="U152" s="286"/>
      <c r="V152" s="338">
        <v>0</v>
      </c>
      <c r="W152" s="289"/>
      <c r="X152" s="5"/>
    </row>
    <row r="153" spans="1:25" ht="15.75" x14ac:dyDescent="0.25">
      <c r="A153" s="285"/>
      <c r="B153" s="286" t="s">
        <v>226</v>
      </c>
      <c r="C153" s="286"/>
      <c r="D153" s="286"/>
      <c r="E153" s="286"/>
      <c r="F153" s="286"/>
      <c r="G153" s="286"/>
      <c r="H153" s="286"/>
      <c r="I153" s="286"/>
      <c r="J153" s="286"/>
      <c r="K153" s="286"/>
      <c r="L153" s="286"/>
      <c r="M153" s="286"/>
      <c r="N153" s="286"/>
      <c r="O153" s="286"/>
      <c r="P153" s="286"/>
      <c r="Q153" s="286"/>
      <c r="R153" s="286"/>
      <c r="S153" s="286"/>
      <c r="T153" s="286"/>
      <c r="U153" s="286"/>
      <c r="V153" s="338">
        <v>0</v>
      </c>
      <c r="W153" s="289"/>
      <c r="X153" s="5"/>
    </row>
    <row r="154" spans="1:25" ht="15.75" x14ac:dyDescent="0.25">
      <c r="A154" s="285"/>
      <c r="B154" s="314"/>
      <c r="C154" s="314"/>
      <c r="D154" s="314"/>
      <c r="E154" s="314"/>
      <c r="F154" s="314"/>
      <c r="G154" s="314"/>
      <c r="H154" s="314"/>
      <c r="I154" s="314"/>
      <c r="J154" s="314"/>
      <c r="K154" s="314"/>
      <c r="L154" s="314"/>
      <c r="M154" s="314"/>
      <c r="N154" s="314"/>
      <c r="O154" s="314"/>
      <c r="P154" s="314"/>
      <c r="Q154" s="314"/>
      <c r="R154" s="314"/>
      <c r="S154" s="314"/>
      <c r="T154" s="314"/>
      <c r="U154" s="314"/>
      <c r="V154" s="345"/>
      <c r="W154" s="318"/>
      <c r="X154" s="5"/>
    </row>
    <row r="155" spans="1:25" ht="15.75" x14ac:dyDescent="0.25">
      <c r="A155" s="181"/>
      <c r="B155" s="212"/>
      <c r="C155" s="212"/>
      <c r="D155" s="212"/>
      <c r="E155" s="212"/>
      <c r="F155" s="212"/>
      <c r="G155" s="212"/>
      <c r="H155" s="212"/>
      <c r="I155" s="212"/>
      <c r="J155" s="212"/>
      <c r="K155" s="212"/>
      <c r="L155" s="212"/>
      <c r="M155" s="212"/>
      <c r="N155" s="212"/>
      <c r="O155" s="212"/>
      <c r="P155" s="212"/>
      <c r="Q155" s="212"/>
      <c r="R155" s="212"/>
      <c r="S155" s="212"/>
      <c r="T155" s="212"/>
      <c r="U155" s="212"/>
      <c r="V155" s="344"/>
      <c r="W155" s="212"/>
      <c r="X155" s="5"/>
    </row>
    <row r="156" spans="1:25" ht="15.75" x14ac:dyDescent="0.25">
      <c r="A156" s="181"/>
      <c r="B156" s="210" t="s">
        <v>24</v>
      </c>
      <c r="C156" s="183"/>
      <c r="D156" s="183"/>
      <c r="E156" s="183"/>
      <c r="F156" s="183"/>
      <c r="G156" s="183"/>
      <c r="H156" s="183"/>
      <c r="I156" s="183"/>
      <c r="J156" s="183"/>
      <c r="K156" s="183"/>
      <c r="L156" s="183"/>
      <c r="M156" s="183"/>
      <c r="N156" s="183"/>
      <c r="O156" s="183"/>
      <c r="P156" s="183"/>
      <c r="Q156" s="183"/>
      <c r="R156" s="183"/>
      <c r="S156" s="183"/>
      <c r="T156" s="183"/>
      <c r="U156" s="183"/>
      <c r="V156" s="202"/>
      <c r="W156" s="183"/>
      <c r="X156" s="5"/>
    </row>
    <row r="157" spans="1:25" ht="15.75" x14ac:dyDescent="0.25">
      <c r="A157" s="285"/>
      <c r="B157" s="286" t="s">
        <v>47</v>
      </c>
      <c r="C157" s="286"/>
      <c r="D157" s="286"/>
      <c r="E157" s="286"/>
      <c r="F157" s="286"/>
      <c r="G157" s="286"/>
      <c r="H157" s="286"/>
      <c r="I157" s="286"/>
      <c r="J157" s="286"/>
      <c r="K157" s="286"/>
      <c r="L157" s="286"/>
      <c r="M157" s="286"/>
      <c r="N157" s="286"/>
      <c r="O157" s="286"/>
      <c r="P157" s="286"/>
      <c r="Q157" s="286"/>
      <c r="R157" s="286"/>
      <c r="S157" s="286"/>
      <c r="T157" s="286"/>
      <c r="U157" s="286"/>
      <c r="V157" s="343" t="s">
        <v>118</v>
      </c>
      <c r="W157" s="318"/>
      <c r="X157" s="5"/>
    </row>
    <row r="158" spans="1:25" ht="15.75" x14ac:dyDescent="0.25">
      <c r="A158" s="285"/>
      <c r="B158" s="286" t="s">
        <v>48</v>
      </c>
      <c r="C158" s="288"/>
      <c r="D158" s="288"/>
      <c r="E158" s="288"/>
      <c r="F158" s="288"/>
      <c r="G158" s="288"/>
      <c r="H158" s="288"/>
      <c r="I158" s="288"/>
      <c r="J158" s="288"/>
      <c r="K158" s="288"/>
      <c r="L158" s="288"/>
      <c r="M158" s="288"/>
      <c r="N158" s="288"/>
      <c r="O158" s="288"/>
      <c r="P158" s="288"/>
      <c r="Q158" s="288"/>
      <c r="R158" s="288"/>
      <c r="S158" s="288"/>
      <c r="T158" s="288"/>
      <c r="U158" s="288"/>
      <c r="V158" s="343" t="s">
        <v>118</v>
      </c>
      <c r="W158" s="318"/>
      <c r="X158" s="5"/>
    </row>
    <row r="159" spans="1:25" ht="15.75" x14ac:dyDescent="0.25">
      <c r="A159" s="285"/>
      <c r="B159" s="286" t="s">
        <v>49</v>
      </c>
      <c r="C159" s="286"/>
      <c r="D159" s="286"/>
      <c r="E159" s="286"/>
      <c r="F159" s="286"/>
      <c r="G159" s="286"/>
      <c r="H159" s="286"/>
      <c r="I159" s="286"/>
      <c r="J159" s="286"/>
      <c r="K159" s="286"/>
      <c r="L159" s="286"/>
      <c r="M159" s="286"/>
      <c r="N159" s="286"/>
      <c r="O159" s="286"/>
      <c r="P159" s="286"/>
      <c r="Q159" s="286"/>
      <c r="R159" s="286"/>
      <c r="S159" s="286"/>
      <c r="T159" s="286"/>
      <c r="U159" s="286"/>
      <c r="V159" s="343" t="s">
        <v>118</v>
      </c>
      <c r="W159" s="318"/>
      <c r="X159" s="5"/>
    </row>
    <row r="160" spans="1:25" ht="15.75" x14ac:dyDescent="0.25">
      <c r="A160" s="285"/>
      <c r="B160" s="286" t="s">
        <v>50</v>
      </c>
      <c r="C160" s="286"/>
      <c r="D160" s="286"/>
      <c r="E160" s="286"/>
      <c r="F160" s="286"/>
      <c r="G160" s="286"/>
      <c r="H160" s="286"/>
      <c r="I160" s="286"/>
      <c r="J160" s="286"/>
      <c r="K160" s="286"/>
      <c r="L160" s="286"/>
      <c r="M160" s="286"/>
      <c r="N160" s="286"/>
      <c r="O160" s="286"/>
      <c r="P160" s="286"/>
      <c r="Q160" s="286"/>
      <c r="R160" s="286"/>
      <c r="S160" s="286"/>
      <c r="T160" s="286"/>
      <c r="U160" s="286"/>
      <c r="V160" s="343" t="s">
        <v>118</v>
      </c>
      <c r="W160" s="318"/>
      <c r="X160" s="5"/>
    </row>
    <row r="161" spans="1:256" ht="15.75" x14ac:dyDescent="0.25">
      <c r="A161" s="181"/>
      <c r="B161" s="212"/>
      <c r="C161" s="212"/>
      <c r="D161" s="212"/>
      <c r="E161" s="212"/>
      <c r="F161" s="212"/>
      <c r="G161" s="212"/>
      <c r="H161" s="212"/>
      <c r="I161" s="212"/>
      <c r="J161" s="212"/>
      <c r="K161" s="212"/>
      <c r="L161" s="212"/>
      <c r="M161" s="212"/>
      <c r="N161" s="212"/>
      <c r="O161" s="212"/>
      <c r="P161" s="212"/>
      <c r="Q161" s="212"/>
      <c r="R161" s="212"/>
      <c r="S161" s="212"/>
      <c r="T161" s="212"/>
      <c r="U161" s="212"/>
      <c r="V161" s="344"/>
      <c r="W161" s="212"/>
      <c r="X161" s="5"/>
    </row>
    <row r="162" spans="1:256" ht="15.75" x14ac:dyDescent="0.25">
      <c r="A162" s="181"/>
      <c r="B162" s="210" t="s">
        <v>51</v>
      </c>
      <c r="C162" s="183"/>
      <c r="D162" s="183"/>
      <c r="E162" s="183"/>
      <c r="F162" s="183"/>
      <c r="G162" s="183"/>
      <c r="H162" s="183"/>
      <c r="I162" s="183"/>
      <c r="J162" s="183"/>
      <c r="K162" s="183"/>
      <c r="L162" s="183"/>
      <c r="M162" s="183"/>
      <c r="N162" s="183"/>
      <c r="O162" s="183"/>
      <c r="P162" s="183"/>
      <c r="Q162" s="183"/>
      <c r="R162" s="183"/>
      <c r="S162" s="183"/>
      <c r="T162" s="183"/>
      <c r="U162" s="183"/>
      <c r="V162" s="211"/>
      <c r="W162" s="183"/>
      <c r="X162" s="5"/>
    </row>
    <row r="163" spans="1:256" ht="15.75" x14ac:dyDescent="0.25">
      <c r="A163" s="285"/>
      <c r="B163" s="286" t="s">
        <v>52</v>
      </c>
      <c r="C163" s="286"/>
      <c r="D163" s="286"/>
      <c r="E163" s="286"/>
      <c r="F163" s="286"/>
      <c r="G163" s="286"/>
      <c r="H163" s="286"/>
      <c r="I163" s="286"/>
      <c r="J163" s="286"/>
      <c r="K163" s="286"/>
      <c r="L163" s="286"/>
      <c r="M163" s="286"/>
      <c r="N163" s="286"/>
      <c r="O163" s="286"/>
      <c r="P163" s="286"/>
      <c r="Q163" s="286"/>
      <c r="R163" s="286"/>
      <c r="S163" s="286"/>
      <c r="T163" s="286"/>
      <c r="U163" s="286"/>
      <c r="V163" s="338">
        <v>0</v>
      </c>
      <c r="W163" s="289"/>
      <c r="X163" s="5"/>
    </row>
    <row r="164" spans="1:256" ht="15.75" x14ac:dyDescent="0.25">
      <c r="A164" s="285"/>
      <c r="B164" s="286" t="s">
        <v>53</v>
      </c>
      <c r="C164" s="286"/>
      <c r="D164" s="286"/>
      <c r="E164" s="286"/>
      <c r="F164" s="286"/>
      <c r="G164" s="286"/>
      <c r="H164" s="286"/>
      <c r="I164" s="286"/>
      <c r="J164" s="286"/>
      <c r="K164" s="286"/>
      <c r="L164" s="286"/>
      <c r="M164" s="286"/>
      <c r="N164" s="286"/>
      <c r="O164" s="286"/>
      <c r="P164" s="286"/>
      <c r="Q164" s="286"/>
      <c r="R164" s="286"/>
      <c r="S164" s="286"/>
      <c r="T164" s="286"/>
      <c r="U164" s="286"/>
      <c r="V164" s="338">
        <v>104</v>
      </c>
      <c r="W164" s="289"/>
      <c r="X164" s="5"/>
    </row>
    <row r="165" spans="1:256" ht="15.75" x14ac:dyDescent="0.25">
      <c r="A165" s="285"/>
      <c r="B165" s="286" t="s">
        <v>54</v>
      </c>
      <c r="C165" s="286"/>
      <c r="D165" s="286"/>
      <c r="E165" s="286"/>
      <c r="F165" s="286"/>
      <c r="G165" s="286"/>
      <c r="H165" s="286"/>
      <c r="I165" s="286"/>
      <c r="J165" s="286"/>
      <c r="K165" s="286"/>
      <c r="L165" s="286"/>
      <c r="M165" s="286"/>
      <c r="N165" s="286"/>
      <c r="O165" s="286"/>
      <c r="P165" s="286"/>
      <c r="Q165" s="286"/>
      <c r="R165" s="286"/>
      <c r="S165" s="286"/>
      <c r="T165" s="286"/>
      <c r="U165" s="286"/>
      <c r="V165" s="338">
        <f>V164+V163</f>
        <v>104</v>
      </c>
      <c r="W165" s="289"/>
      <c r="X165" s="5"/>
    </row>
    <row r="166" spans="1:256" ht="15.75" x14ac:dyDescent="0.25">
      <c r="A166" s="285"/>
      <c r="B166" s="286" t="s">
        <v>303</v>
      </c>
      <c r="C166" s="286"/>
      <c r="D166" s="286"/>
      <c r="E166" s="286"/>
      <c r="F166" s="286"/>
      <c r="G166" s="286"/>
      <c r="H166" s="286"/>
      <c r="I166" s="286"/>
      <c r="J166" s="286"/>
      <c r="K166" s="286"/>
      <c r="L166" s="286"/>
      <c r="M166" s="286"/>
      <c r="N166" s="286"/>
      <c r="O166" s="286"/>
      <c r="P166" s="286"/>
      <c r="Q166" s="286"/>
      <c r="R166" s="286"/>
      <c r="S166" s="286"/>
      <c r="T166" s="286"/>
      <c r="U166" s="286"/>
      <c r="V166" s="338">
        <f>V114</f>
        <v>-104</v>
      </c>
      <c r="W166" s="289"/>
      <c r="X166" s="5"/>
    </row>
    <row r="167" spans="1:256" ht="15.75" x14ac:dyDescent="0.25">
      <c r="A167" s="285"/>
      <c r="B167" s="286" t="s">
        <v>55</v>
      </c>
      <c r="C167" s="286"/>
      <c r="D167" s="286"/>
      <c r="E167" s="286"/>
      <c r="F167" s="286"/>
      <c r="G167" s="286"/>
      <c r="H167" s="286"/>
      <c r="I167" s="286"/>
      <c r="J167" s="286"/>
      <c r="K167" s="286"/>
      <c r="L167" s="286"/>
      <c r="M167" s="286"/>
      <c r="N167" s="286"/>
      <c r="O167" s="286"/>
      <c r="P167" s="286"/>
      <c r="Q167" s="286"/>
      <c r="R167" s="286"/>
      <c r="S167" s="286"/>
      <c r="T167" s="286"/>
      <c r="U167" s="286"/>
      <c r="V167" s="338">
        <f>V165+V166</f>
        <v>0</v>
      </c>
      <c r="W167" s="289"/>
      <c r="X167" s="5"/>
    </row>
    <row r="168" spans="1:256" ht="15.75" x14ac:dyDescent="0.25">
      <c r="A168" s="285"/>
      <c r="B168" s="286" t="s">
        <v>274</v>
      </c>
      <c r="C168" s="286"/>
      <c r="D168" s="286"/>
      <c r="E168" s="286"/>
      <c r="F168" s="286"/>
      <c r="G168" s="286"/>
      <c r="H168" s="286"/>
      <c r="I168" s="286"/>
      <c r="J168" s="286"/>
      <c r="K168" s="286"/>
      <c r="L168" s="286"/>
      <c r="M168" s="286"/>
      <c r="N168" s="286"/>
      <c r="O168" s="286"/>
      <c r="P168" s="286"/>
      <c r="Q168" s="286"/>
      <c r="R168" s="286"/>
      <c r="S168" s="286"/>
      <c r="T168" s="286"/>
      <c r="U168" s="286"/>
      <c r="V168" s="338">
        <f>-V100</f>
        <v>177</v>
      </c>
      <c r="W168" s="289"/>
      <c r="X168" s="5"/>
    </row>
    <row r="169" spans="1:256" ht="16.5" thickBot="1" x14ac:dyDescent="0.3">
      <c r="A169" s="181"/>
      <c r="B169" s="212"/>
      <c r="C169" s="212"/>
      <c r="D169" s="212"/>
      <c r="E169" s="212"/>
      <c r="F169" s="212"/>
      <c r="G169" s="212"/>
      <c r="H169" s="212"/>
      <c r="I169" s="212"/>
      <c r="J169" s="212"/>
      <c r="K169" s="212"/>
      <c r="L169" s="212"/>
      <c r="M169" s="212"/>
      <c r="N169" s="212"/>
      <c r="O169" s="212"/>
      <c r="P169" s="212"/>
      <c r="Q169" s="212"/>
      <c r="R169" s="212"/>
      <c r="S169" s="212"/>
      <c r="T169" s="212"/>
      <c r="U169" s="212"/>
      <c r="V169" s="344"/>
      <c r="W169" s="212"/>
      <c r="X169" s="5"/>
    </row>
    <row r="170" spans="1:256" ht="15.75" x14ac:dyDescent="0.25">
      <c r="A170" s="179"/>
      <c r="B170" s="180"/>
      <c r="C170" s="180"/>
      <c r="D170" s="180"/>
      <c r="E170" s="180"/>
      <c r="F170" s="180"/>
      <c r="G170" s="180"/>
      <c r="H170" s="180"/>
      <c r="I170" s="180"/>
      <c r="J170" s="180"/>
      <c r="K170" s="180"/>
      <c r="L170" s="180"/>
      <c r="M170" s="180"/>
      <c r="N170" s="180"/>
      <c r="O170" s="180"/>
      <c r="P170" s="180"/>
      <c r="Q170" s="180"/>
      <c r="R170" s="180"/>
      <c r="S170" s="180"/>
      <c r="T170" s="180"/>
      <c r="U170" s="180"/>
      <c r="V170" s="201"/>
      <c r="W170" s="180"/>
      <c r="X170" s="5"/>
    </row>
    <row r="171" spans="1:256" s="158" customFormat="1" ht="15.75" x14ac:dyDescent="0.25">
      <c r="A171" s="181"/>
      <c r="B171" s="210" t="s">
        <v>230</v>
      </c>
      <c r="C171" s="212"/>
      <c r="D171" s="212"/>
      <c r="E171" s="212"/>
      <c r="F171" s="212"/>
      <c r="G171" s="212"/>
      <c r="H171" s="212"/>
      <c r="I171" s="212"/>
      <c r="J171" s="212"/>
      <c r="K171" s="212"/>
      <c r="L171" s="212"/>
      <c r="M171" s="212"/>
      <c r="N171" s="212"/>
      <c r="O171" s="212"/>
      <c r="P171" s="212"/>
      <c r="Q171" s="212"/>
      <c r="R171" s="212"/>
      <c r="S171" s="212"/>
      <c r="T171" s="212"/>
      <c r="U171" s="212"/>
      <c r="V171" s="213"/>
      <c r="W171" s="212"/>
      <c r="X171" s="5"/>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s="160" customFormat="1" ht="15.75" x14ac:dyDescent="0.25">
      <c r="A172" s="285"/>
      <c r="B172" s="286" t="s">
        <v>231</v>
      </c>
      <c r="C172" s="286"/>
      <c r="D172" s="286"/>
      <c r="E172" s="286"/>
      <c r="F172" s="286"/>
      <c r="G172" s="286"/>
      <c r="H172" s="286"/>
      <c r="I172" s="286"/>
      <c r="J172" s="286"/>
      <c r="K172" s="286"/>
      <c r="L172" s="286"/>
      <c r="M172" s="286"/>
      <c r="N172" s="286"/>
      <c r="O172" s="286"/>
      <c r="P172" s="286"/>
      <c r="Q172" s="286"/>
      <c r="R172" s="286"/>
      <c r="S172" s="286"/>
      <c r="T172" s="286"/>
      <c r="U172" s="286"/>
      <c r="V172" s="338">
        <f>+'Aug 08'!V173</f>
        <v>0</v>
      </c>
      <c r="W172" s="289"/>
      <c r="X172" s="5"/>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s="160" customFormat="1" ht="15.75" x14ac:dyDescent="0.25">
      <c r="A173" s="285"/>
      <c r="B173" s="286" t="s">
        <v>234</v>
      </c>
      <c r="C173" s="286"/>
      <c r="D173" s="286"/>
      <c r="E173" s="286"/>
      <c r="F173" s="286"/>
      <c r="G173" s="286"/>
      <c r="H173" s="286"/>
      <c r="I173" s="286"/>
      <c r="J173" s="286"/>
      <c r="K173" s="286"/>
      <c r="L173" s="286"/>
      <c r="M173" s="286"/>
      <c r="N173" s="286"/>
      <c r="O173" s="286"/>
      <c r="P173" s="286"/>
      <c r="Q173" s="286"/>
      <c r="R173" s="286"/>
      <c r="S173" s="286"/>
      <c r="T173" s="286"/>
      <c r="U173" s="286"/>
      <c r="V173" s="338">
        <f>+V94</f>
        <v>0</v>
      </c>
      <c r="W173" s="289"/>
      <c r="X173" s="5"/>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s="160" customFormat="1" ht="15.75" x14ac:dyDescent="0.25">
      <c r="A174" s="285"/>
      <c r="B174" s="286" t="s">
        <v>232</v>
      </c>
      <c r="C174" s="286"/>
      <c r="D174" s="286"/>
      <c r="E174" s="286"/>
      <c r="F174" s="286"/>
      <c r="G174" s="286"/>
      <c r="H174" s="286"/>
      <c r="I174" s="286"/>
      <c r="J174" s="286"/>
      <c r="K174" s="286"/>
      <c r="L174" s="286"/>
      <c r="M174" s="286"/>
      <c r="N174" s="286"/>
      <c r="O174" s="286"/>
      <c r="P174" s="286"/>
      <c r="Q174" s="286"/>
      <c r="R174" s="286"/>
      <c r="S174" s="286"/>
      <c r="T174" s="286"/>
      <c r="U174" s="286"/>
      <c r="V174" s="338">
        <f>+V172-V173</f>
        <v>0</v>
      </c>
      <c r="W174" s="289"/>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6.5" thickBot="1" x14ac:dyDescent="0.3">
      <c r="A175" s="197"/>
      <c r="B175" s="212"/>
      <c r="C175" s="212"/>
      <c r="D175" s="212"/>
      <c r="E175" s="212"/>
      <c r="F175" s="212"/>
      <c r="G175" s="212"/>
      <c r="H175" s="212"/>
      <c r="I175" s="212"/>
      <c r="J175" s="212"/>
      <c r="K175" s="212"/>
      <c r="L175" s="212"/>
      <c r="M175" s="212"/>
      <c r="N175" s="212"/>
      <c r="O175" s="212"/>
      <c r="P175" s="212"/>
      <c r="Q175" s="212"/>
      <c r="R175" s="212"/>
      <c r="S175" s="212"/>
      <c r="T175" s="212"/>
      <c r="U175" s="212"/>
      <c r="V175" s="344"/>
      <c r="W175" s="212"/>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4" customFormat="1" ht="15.75" x14ac:dyDescent="0.25">
      <c r="A176" s="179"/>
      <c r="B176" s="180"/>
      <c r="C176" s="180"/>
      <c r="D176" s="180"/>
      <c r="E176" s="180"/>
      <c r="F176" s="180"/>
      <c r="G176" s="180"/>
      <c r="H176" s="180"/>
      <c r="I176" s="180"/>
      <c r="J176" s="180"/>
      <c r="K176" s="180"/>
      <c r="L176" s="180"/>
      <c r="M176" s="180"/>
      <c r="N176" s="180"/>
      <c r="O176" s="180"/>
      <c r="P176" s="180"/>
      <c r="Q176" s="180"/>
      <c r="R176" s="180"/>
      <c r="S176" s="180"/>
      <c r="T176" s="180"/>
      <c r="U176" s="180"/>
      <c r="V176" s="201"/>
      <c r="W176" s="180"/>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4" ht="15.75" x14ac:dyDescent="0.25">
      <c r="A177" s="181"/>
      <c r="B177" s="210" t="s">
        <v>56</v>
      </c>
      <c r="C177" s="183"/>
      <c r="D177" s="183"/>
      <c r="E177" s="183"/>
      <c r="F177" s="183"/>
      <c r="G177" s="183"/>
      <c r="H177" s="183"/>
      <c r="I177" s="183"/>
      <c r="J177" s="183"/>
      <c r="K177" s="183"/>
      <c r="L177" s="183"/>
      <c r="M177" s="183"/>
      <c r="N177" s="183"/>
      <c r="O177" s="183"/>
      <c r="P177" s="183"/>
      <c r="Q177" s="183"/>
      <c r="R177" s="183"/>
      <c r="S177" s="183"/>
      <c r="T177" s="183"/>
      <c r="U177" s="183"/>
      <c r="V177" s="202"/>
      <c r="W177" s="183"/>
      <c r="X177" s="5"/>
    </row>
    <row r="178" spans="1:24" ht="15.75" x14ac:dyDescent="0.25">
      <c r="A178" s="181"/>
      <c r="B178" s="191"/>
      <c r="C178" s="183"/>
      <c r="D178" s="183"/>
      <c r="E178" s="183"/>
      <c r="F178" s="183"/>
      <c r="G178" s="183"/>
      <c r="H178" s="183"/>
      <c r="I178" s="183"/>
      <c r="J178" s="183"/>
      <c r="K178" s="183"/>
      <c r="L178" s="183"/>
      <c r="M178" s="183"/>
      <c r="N178" s="183"/>
      <c r="O178" s="183"/>
      <c r="P178" s="183"/>
      <c r="Q178" s="183"/>
      <c r="R178" s="183"/>
      <c r="S178" s="183"/>
      <c r="T178" s="183"/>
      <c r="U178" s="183"/>
      <c r="V178" s="202"/>
      <c r="W178" s="183"/>
      <c r="X178" s="5"/>
    </row>
    <row r="179" spans="1:24" ht="15.75" x14ac:dyDescent="0.25">
      <c r="A179" s="285"/>
      <c r="B179" s="286" t="s">
        <v>57</v>
      </c>
      <c r="C179" s="286"/>
      <c r="D179" s="286"/>
      <c r="E179" s="286"/>
      <c r="F179" s="286"/>
      <c r="G179" s="286"/>
      <c r="H179" s="286"/>
      <c r="I179" s="286"/>
      <c r="J179" s="286"/>
      <c r="K179" s="286"/>
      <c r="L179" s="286"/>
      <c r="M179" s="286"/>
      <c r="N179" s="286"/>
      <c r="O179" s="286"/>
      <c r="P179" s="286"/>
      <c r="Q179" s="286"/>
      <c r="R179" s="286"/>
      <c r="S179" s="286"/>
      <c r="T179" s="286"/>
      <c r="U179" s="286"/>
      <c r="V179" s="338">
        <f>V71</f>
        <v>761158</v>
      </c>
      <c r="W179" s="289"/>
      <c r="X179" s="5"/>
    </row>
    <row r="180" spans="1:24" ht="15.75" x14ac:dyDescent="0.25">
      <c r="A180" s="285"/>
      <c r="B180" s="286" t="s">
        <v>58</v>
      </c>
      <c r="C180" s="286"/>
      <c r="D180" s="286"/>
      <c r="E180" s="286"/>
      <c r="F180" s="286"/>
      <c r="G180" s="286"/>
      <c r="H180" s="286"/>
      <c r="I180" s="286"/>
      <c r="J180" s="286"/>
      <c r="K180" s="286"/>
      <c r="L180" s="286"/>
      <c r="M180" s="286"/>
      <c r="N180" s="286"/>
      <c r="O180" s="286"/>
      <c r="P180" s="286"/>
      <c r="Q180" s="286"/>
      <c r="R180" s="286"/>
      <c r="S180" s="286"/>
      <c r="T180" s="286"/>
      <c r="U180" s="286"/>
      <c r="V180" s="338">
        <f>V84</f>
        <v>761158</v>
      </c>
      <c r="W180" s="289"/>
      <c r="X180" s="5"/>
    </row>
    <row r="181" spans="1:24" ht="16.5" thickBot="1" x14ac:dyDescent="0.3">
      <c r="A181" s="181"/>
      <c r="B181" s="212"/>
      <c r="C181" s="212"/>
      <c r="D181" s="212"/>
      <c r="E181" s="212"/>
      <c r="F181" s="212"/>
      <c r="G181" s="212"/>
      <c r="H181" s="212"/>
      <c r="I181" s="212"/>
      <c r="J181" s="212"/>
      <c r="K181" s="212"/>
      <c r="L181" s="212"/>
      <c r="M181" s="212"/>
      <c r="N181" s="212"/>
      <c r="O181" s="212"/>
      <c r="P181" s="212"/>
      <c r="Q181" s="212"/>
      <c r="R181" s="212"/>
      <c r="S181" s="212"/>
      <c r="T181" s="212"/>
      <c r="U181" s="212"/>
      <c r="V181" s="344"/>
      <c r="W181" s="212"/>
      <c r="X181" s="5"/>
    </row>
    <row r="182" spans="1:24" ht="15.75" x14ac:dyDescent="0.25">
      <c r="A182" s="179"/>
      <c r="B182" s="180"/>
      <c r="C182" s="180"/>
      <c r="D182" s="180"/>
      <c r="E182" s="180"/>
      <c r="F182" s="180"/>
      <c r="G182" s="180"/>
      <c r="H182" s="180"/>
      <c r="I182" s="180"/>
      <c r="J182" s="180"/>
      <c r="K182" s="180"/>
      <c r="L182" s="180"/>
      <c r="M182" s="180"/>
      <c r="N182" s="180"/>
      <c r="O182" s="180"/>
      <c r="P182" s="180"/>
      <c r="Q182" s="180"/>
      <c r="R182" s="180"/>
      <c r="S182" s="180"/>
      <c r="T182" s="180"/>
      <c r="U182" s="180"/>
      <c r="V182" s="201"/>
      <c r="W182" s="180"/>
      <c r="X182" s="5"/>
    </row>
    <row r="183" spans="1:24" ht="15.75" x14ac:dyDescent="0.25">
      <c r="A183" s="181"/>
      <c r="B183" s="210" t="s">
        <v>59</v>
      </c>
      <c r="C183" s="206"/>
      <c r="D183" s="206"/>
      <c r="E183" s="206"/>
      <c r="F183" s="206"/>
      <c r="G183" s="206"/>
      <c r="H183" s="214"/>
      <c r="I183" s="214"/>
      <c r="J183" s="214"/>
      <c r="K183" s="214"/>
      <c r="L183" s="214"/>
      <c r="M183" s="214"/>
      <c r="N183" s="214"/>
      <c r="O183" s="214"/>
      <c r="P183" s="214"/>
      <c r="Q183" s="214"/>
      <c r="R183" s="214"/>
      <c r="S183" s="214" t="s">
        <v>101</v>
      </c>
      <c r="T183" s="214" t="s">
        <v>176</v>
      </c>
      <c r="U183" s="185"/>
      <c r="V183" s="215" t="s">
        <v>114</v>
      </c>
      <c r="W183" s="216"/>
      <c r="X183" s="5"/>
    </row>
    <row r="184" spans="1:24" ht="15.75" x14ac:dyDescent="0.25">
      <c r="A184" s="285"/>
      <c r="B184" s="286" t="s">
        <v>60</v>
      </c>
      <c r="C184" s="286"/>
      <c r="D184" s="286"/>
      <c r="E184" s="286"/>
      <c r="F184" s="286"/>
      <c r="G184" s="286"/>
      <c r="H184" s="286"/>
      <c r="I184" s="286"/>
      <c r="J184" s="286"/>
      <c r="K184" s="286"/>
      <c r="L184" s="286"/>
      <c r="M184" s="286"/>
      <c r="N184" s="286"/>
      <c r="O184" s="286"/>
      <c r="P184" s="286"/>
      <c r="Q184" s="286"/>
      <c r="R184" s="286"/>
      <c r="S184" s="338">
        <f>+V34*0.16</f>
        <v>160181.28</v>
      </c>
      <c r="T184" s="325"/>
      <c r="U184" s="286"/>
      <c r="V184" s="338"/>
      <c r="W184" s="289"/>
      <c r="X184" s="5"/>
    </row>
    <row r="185" spans="1:24" ht="15.75" x14ac:dyDescent="0.25">
      <c r="A185" s="285"/>
      <c r="B185" s="286" t="s">
        <v>61</v>
      </c>
      <c r="C185" s="286"/>
      <c r="D185" s="286"/>
      <c r="E185" s="286"/>
      <c r="F185" s="286"/>
      <c r="G185" s="286"/>
      <c r="H185" s="286"/>
      <c r="I185" s="286"/>
      <c r="J185" s="286"/>
      <c r="K185" s="286"/>
      <c r="L185" s="286"/>
      <c r="M185" s="286"/>
      <c r="N185" s="286"/>
      <c r="O185" s="286"/>
      <c r="P185" s="286"/>
      <c r="Q185" s="286"/>
      <c r="R185" s="286"/>
      <c r="S185" s="338">
        <f>+'Aug 14'!S187</f>
        <v>11336</v>
      </c>
      <c r="T185" s="338">
        <f>+'Aug 14'!T187</f>
        <v>6090</v>
      </c>
      <c r="U185" s="286"/>
      <c r="V185" s="338">
        <f>S185+T185</f>
        <v>17426</v>
      </c>
      <c r="W185" s="289"/>
      <c r="X185" s="5"/>
    </row>
    <row r="186" spans="1:24" ht="15.75" x14ac:dyDescent="0.25">
      <c r="A186" s="285"/>
      <c r="B186" s="286" t="s">
        <v>62</v>
      </c>
      <c r="C186" s="286"/>
      <c r="D186" s="286"/>
      <c r="E186" s="286"/>
      <c r="F186" s="286"/>
      <c r="G186" s="286"/>
      <c r="H186" s="286"/>
      <c r="I186" s="286"/>
      <c r="J186" s="286"/>
      <c r="K186" s="286"/>
      <c r="L186" s="286"/>
      <c r="M186" s="286"/>
      <c r="N186" s="286"/>
      <c r="O186" s="286"/>
      <c r="P186" s="286"/>
      <c r="Q186" s="286"/>
      <c r="R186" s="286"/>
      <c r="S186" s="337">
        <f>80+311</f>
        <v>391</v>
      </c>
      <c r="T186" s="337">
        <v>5</v>
      </c>
      <c r="U186" s="286"/>
      <c r="V186" s="338">
        <f>S186+T186</f>
        <v>396</v>
      </c>
      <c r="W186" s="289"/>
      <c r="X186" s="5"/>
    </row>
    <row r="187" spans="1:24" ht="15.75" x14ac:dyDescent="0.25">
      <c r="A187" s="285"/>
      <c r="B187" s="286" t="s">
        <v>63</v>
      </c>
      <c r="C187" s="286"/>
      <c r="D187" s="286"/>
      <c r="E187" s="286"/>
      <c r="F187" s="286"/>
      <c r="G187" s="286"/>
      <c r="H187" s="286"/>
      <c r="I187" s="286"/>
      <c r="J187" s="286"/>
      <c r="K187" s="286"/>
      <c r="L187" s="286"/>
      <c r="M187" s="286"/>
      <c r="N187" s="286"/>
      <c r="O187" s="286"/>
      <c r="P187" s="286"/>
      <c r="Q187" s="286"/>
      <c r="R187" s="286"/>
      <c r="S187" s="338">
        <f>S185+S186</f>
        <v>11727</v>
      </c>
      <c r="T187" s="338">
        <f>T186+T185</f>
        <v>6095</v>
      </c>
      <c r="U187" s="286"/>
      <c r="V187" s="338">
        <f>S187+T187</f>
        <v>17822</v>
      </c>
      <c r="W187" s="289"/>
      <c r="X187" s="5"/>
    </row>
    <row r="188" spans="1:24" ht="15.75" x14ac:dyDescent="0.25">
      <c r="A188" s="285"/>
      <c r="B188" s="286" t="s">
        <v>64</v>
      </c>
      <c r="C188" s="286"/>
      <c r="D188" s="286"/>
      <c r="E188" s="286"/>
      <c r="F188" s="286"/>
      <c r="G188" s="286"/>
      <c r="H188" s="286"/>
      <c r="I188" s="286"/>
      <c r="J188" s="286"/>
      <c r="K188" s="286"/>
      <c r="L188" s="286"/>
      <c r="M188" s="286"/>
      <c r="N188" s="286"/>
      <c r="O188" s="286"/>
      <c r="P188" s="286"/>
      <c r="Q188" s="286"/>
      <c r="R188" s="286"/>
      <c r="S188" s="338">
        <f>S184-S187-T187</f>
        <v>142359.28</v>
      </c>
      <c r="T188" s="325"/>
      <c r="U188" s="286"/>
      <c r="V188" s="338"/>
      <c r="W188" s="289"/>
      <c r="X188" s="5"/>
    </row>
    <row r="189" spans="1:24" ht="16.5" thickBot="1" x14ac:dyDescent="0.3">
      <c r="A189" s="181"/>
      <c r="B189" s="212"/>
      <c r="C189" s="212"/>
      <c r="D189" s="212"/>
      <c r="E189" s="212"/>
      <c r="F189" s="212"/>
      <c r="G189" s="212"/>
      <c r="H189" s="212"/>
      <c r="I189" s="212"/>
      <c r="J189" s="212"/>
      <c r="K189" s="212"/>
      <c r="L189" s="212"/>
      <c r="M189" s="212"/>
      <c r="N189" s="212"/>
      <c r="O189" s="212"/>
      <c r="P189" s="212"/>
      <c r="Q189" s="212"/>
      <c r="R189" s="212"/>
      <c r="S189" s="212"/>
      <c r="T189" s="212"/>
      <c r="U189" s="212"/>
      <c r="V189" s="344"/>
      <c r="W189" s="212"/>
      <c r="X189" s="5"/>
    </row>
    <row r="190" spans="1:24" ht="15.75" x14ac:dyDescent="0.25">
      <c r="A190" s="179"/>
      <c r="B190" s="180"/>
      <c r="C190" s="180"/>
      <c r="D190" s="180"/>
      <c r="E190" s="180"/>
      <c r="F190" s="180"/>
      <c r="G190" s="180"/>
      <c r="H190" s="180"/>
      <c r="I190" s="180"/>
      <c r="J190" s="180"/>
      <c r="K190" s="180"/>
      <c r="L190" s="180"/>
      <c r="M190" s="180"/>
      <c r="N190" s="180"/>
      <c r="O190" s="180"/>
      <c r="P190" s="180"/>
      <c r="Q190" s="180"/>
      <c r="R190" s="180"/>
      <c r="S190" s="180"/>
      <c r="T190" s="180"/>
      <c r="U190" s="180"/>
      <c r="V190" s="201"/>
      <c r="W190" s="180"/>
      <c r="X190" s="5"/>
    </row>
    <row r="191" spans="1:24" ht="15.75" x14ac:dyDescent="0.25">
      <c r="A191" s="181"/>
      <c r="B191" s="210" t="s">
        <v>65</v>
      </c>
      <c r="C191" s="183"/>
      <c r="D191" s="183"/>
      <c r="E191" s="183"/>
      <c r="F191" s="183"/>
      <c r="G191" s="183"/>
      <c r="H191" s="183"/>
      <c r="I191" s="183"/>
      <c r="J191" s="183"/>
      <c r="K191" s="183"/>
      <c r="L191" s="183"/>
      <c r="M191" s="183"/>
      <c r="N191" s="183"/>
      <c r="O191" s="183"/>
      <c r="P191" s="183"/>
      <c r="Q191" s="183"/>
      <c r="R191" s="183"/>
      <c r="S191" s="183"/>
      <c r="T191" s="183"/>
      <c r="U191" s="183"/>
      <c r="V191" s="217"/>
      <c r="W191" s="183"/>
      <c r="X191" s="5"/>
    </row>
    <row r="192" spans="1:24" ht="15.75" x14ac:dyDescent="0.25">
      <c r="A192" s="285"/>
      <c r="B192" s="286" t="s">
        <v>66</v>
      </c>
      <c r="C192" s="286"/>
      <c r="D192" s="286"/>
      <c r="E192" s="286"/>
      <c r="F192" s="286"/>
      <c r="G192" s="286"/>
      <c r="H192" s="286"/>
      <c r="I192" s="286"/>
      <c r="J192" s="286"/>
      <c r="K192" s="286"/>
      <c r="L192" s="286"/>
      <c r="M192" s="286"/>
      <c r="N192" s="286"/>
      <c r="O192" s="286"/>
      <c r="P192" s="286"/>
      <c r="Q192" s="286"/>
      <c r="R192" s="286"/>
      <c r="S192" s="286"/>
      <c r="T192" s="286"/>
      <c r="U192" s="286"/>
      <c r="V192" s="343">
        <f>(V101+V103+V104+V105+V106)/-(V107+V108)</f>
        <v>3.5511875511875513</v>
      </c>
      <c r="W192" s="289" t="s">
        <v>115</v>
      </c>
      <c r="X192" s="5"/>
    </row>
    <row r="193" spans="1:24" ht="15.75" x14ac:dyDescent="0.25">
      <c r="A193" s="285"/>
      <c r="B193" s="286" t="s">
        <v>67</v>
      </c>
      <c r="C193" s="286"/>
      <c r="D193" s="286"/>
      <c r="E193" s="286"/>
      <c r="F193" s="286"/>
      <c r="G193" s="286"/>
      <c r="H193" s="286"/>
      <c r="I193" s="286"/>
      <c r="J193" s="286"/>
      <c r="K193" s="286"/>
      <c r="L193" s="286"/>
      <c r="M193" s="286"/>
      <c r="N193" s="286"/>
      <c r="O193" s="286"/>
      <c r="P193" s="286"/>
      <c r="Q193" s="286"/>
      <c r="R193" s="286"/>
      <c r="S193" s="286"/>
      <c r="T193" s="286"/>
      <c r="U193" s="286"/>
      <c r="V193" s="347">
        <v>1.96</v>
      </c>
      <c r="W193" s="289" t="s">
        <v>115</v>
      </c>
      <c r="X193" s="5"/>
    </row>
    <row r="194" spans="1:24" ht="15.75" x14ac:dyDescent="0.25">
      <c r="A194" s="285"/>
      <c r="B194" s="286" t="s">
        <v>68</v>
      </c>
      <c r="C194" s="286"/>
      <c r="D194" s="286"/>
      <c r="E194" s="286"/>
      <c r="F194" s="286"/>
      <c r="G194" s="286"/>
      <c r="H194" s="286"/>
      <c r="I194" s="286"/>
      <c r="J194" s="286"/>
      <c r="K194" s="286"/>
      <c r="L194" s="286"/>
      <c r="M194" s="286"/>
      <c r="N194" s="286"/>
      <c r="O194" s="286"/>
      <c r="P194" s="286"/>
      <c r="Q194" s="286"/>
      <c r="R194" s="286"/>
      <c r="S194" s="286"/>
      <c r="T194" s="286"/>
      <c r="U194" s="286"/>
      <c r="V194" s="343">
        <f>(V101+V103+V104+V105+V106+V107+V108)/-(V109+V110)</f>
        <v>14.35483870967742</v>
      </c>
      <c r="W194" s="289" t="s">
        <v>115</v>
      </c>
      <c r="X194" s="5"/>
    </row>
    <row r="195" spans="1:24" ht="15.75" x14ac:dyDescent="0.25">
      <c r="A195" s="285"/>
      <c r="B195" s="286" t="s">
        <v>69</v>
      </c>
      <c r="C195" s="286"/>
      <c r="D195" s="286"/>
      <c r="E195" s="286"/>
      <c r="F195" s="286"/>
      <c r="G195" s="286"/>
      <c r="H195" s="286"/>
      <c r="I195" s="286"/>
      <c r="J195" s="286"/>
      <c r="K195" s="286"/>
      <c r="L195" s="286"/>
      <c r="M195" s="286"/>
      <c r="N195" s="286"/>
      <c r="O195" s="286"/>
      <c r="P195" s="286"/>
      <c r="Q195" s="286"/>
      <c r="R195" s="286"/>
      <c r="S195" s="286"/>
      <c r="T195" s="286"/>
      <c r="U195" s="286"/>
      <c r="V195" s="347">
        <v>8.81</v>
      </c>
      <c r="W195" s="289" t="s">
        <v>115</v>
      </c>
      <c r="X195" s="5"/>
    </row>
    <row r="196" spans="1:24" ht="15.75" x14ac:dyDescent="0.25">
      <c r="A196" s="285"/>
      <c r="B196" s="286" t="s">
        <v>198</v>
      </c>
      <c r="C196" s="286"/>
      <c r="D196" s="286"/>
      <c r="E196" s="286"/>
      <c r="F196" s="286"/>
      <c r="G196" s="286"/>
      <c r="H196" s="286"/>
      <c r="I196" s="286"/>
      <c r="J196" s="286"/>
      <c r="K196" s="286"/>
      <c r="L196" s="286"/>
      <c r="M196" s="286"/>
      <c r="N196" s="286"/>
      <c r="O196" s="286"/>
      <c r="P196" s="286"/>
      <c r="Q196" s="286"/>
      <c r="R196" s="286"/>
      <c r="S196" s="286"/>
      <c r="T196" s="286"/>
      <c r="U196" s="286"/>
      <c r="V196" s="343">
        <f>(V101+V103+V104+V105+V106+V107+V108+V109+V110)/-(V111)</f>
        <v>8.6507462686567163</v>
      </c>
      <c r="W196" s="289" t="s">
        <v>115</v>
      </c>
      <c r="X196" s="5"/>
    </row>
    <row r="197" spans="1:24" ht="15.75" x14ac:dyDescent="0.25">
      <c r="A197" s="285"/>
      <c r="B197" s="286" t="s">
        <v>199</v>
      </c>
      <c r="C197" s="286"/>
      <c r="D197" s="286"/>
      <c r="E197" s="286"/>
      <c r="F197" s="286"/>
      <c r="G197" s="286"/>
      <c r="H197" s="286"/>
      <c r="I197" s="286"/>
      <c r="J197" s="286"/>
      <c r="K197" s="286"/>
      <c r="L197" s="286"/>
      <c r="M197" s="286"/>
      <c r="N197" s="286"/>
      <c r="O197" s="286"/>
      <c r="P197" s="286"/>
      <c r="Q197" s="286"/>
      <c r="R197" s="286"/>
      <c r="S197" s="286"/>
      <c r="T197" s="286"/>
      <c r="U197" s="286"/>
      <c r="V197" s="347">
        <v>6.58</v>
      </c>
      <c r="W197" s="289" t="s">
        <v>115</v>
      </c>
      <c r="X197" s="5"/>
    </row>
    <row r="198" spans="1:24" ht="15.75" x14ac:dyDescent="0.25">
      <c r="A198" s="285"/>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9"/>
      <c r="X198" s="5"/>
    </row>
    <row r="199" spans="1:24" ht="15.75" x14ac:dyDescent="0.25">
      <c r="A199" s="181"/>
      <c r="B199" s="346"/>
      <c r="C199" s="346"/>
      <c r="D199" s="346"/>
      <c r="E199" s="346"/>
      <c r="F199" s="346"/>
      <c r="G199" s="346"/>
      <c r="H199" s="346"/>
      <c r="I199" s="346"/>
      <c r="J199" s="346"/>
      <c r="K199" s="346"/>
      <c r="L199" s="346"/>
      <c r="M199" s="346"/>
      <c r="N199" s="346"/>
      <c r="O199" s="346"/>
      <c r="P199" s="346"/>
      <c r="Q199" s="346"/>
      <c r="R199" s="346"/>
      <c r="S199" s="346"/>
      <c r="T199" s="346"/>
      <c r="U199" s="346"/>
      <c r="V199" s="346"/>
      <c r="W199" s="346"/>
      <c r="X199" s="5"/>
    </row>
    <row r="200" spans="1:24" ht="15.75" x14ac:dyDescent="0.25">
      <c r="A200" s="181"/>
      <c r="B200" s="255"/>
      <c r="C200" s="255"/>
      <c r="D200" s="255"/>
      <c r="E200" s="255"/>
      <c r="F200" s="255"/>
      <c r="G200" s="255"/>
      <c r="H200" s="255"/>
      <c r="I200" s="255"/>
      <c r="J200" s="255"/>
      <c r="K200" s="255"/>
      <c r="L200" s="255"/>
      <c r="M200" s="255"/>
      <c r="N200" s="255"/>
      <c r="O200" s="255"/>
      <c r="P200" s="255"/>
      <c r="Q200" s="255"/>
      <c r="R200" s="255"/>
      <c r="S200" s="255"/>
      <c r="T200" s="255"/>
      <c r="U200" s="255"/>
      <c r="V200" s="255"/>
      <c r="W200" s="255"/>
      <c r="X200" s="5"/>
    </row>
    <row r="201" spans="1:24" ht="19.5" thickBot="1" x14ac:dyDescent="0.35">
      <c r="A201" s="197"/>
      <c r="B201" s="270" t="str">
        <f>B135</f>
        <v>PM15 INVESTOR REPORT QUARTER ENDING NOVEMBER 2014</v>
      </c>
      <c r="C201" s="271"/>
      <c r="D201" s="271"/>
      <c r="E201" s="271"/>
      <c r="F201" s="271"/>
      <c r="G201" s="271"/>
      <c r="H201" s="271"/>
      <c r="I201" s="271"/>
      <c r="J201" s="271"/>
      <c r="K201" s="271"/>
      <c r="L201" s="271"/>
      <c r="M201" s="271"/>
      <c r="N201" s="271"/>
      <c r="O201" s="271"/>
      <c r="P201" s="271"/>
      <c r="Q201" s="271"/>
      <c r="R201" s="271"/>
      <c r="S201" s="271"/>
      <c r="T201" s="271"/>
      <c r="U201" s="271"/>
      <c r="V201" s="271"/>
      <c r="W201" s="272"/>
      <c r="X201" s="5"/>
    </row>
    <row r="202" spans="1:24" ht="15.75" x14ac:dyDescent="0.25">
      <c r="A202" s="236"/>
      <c r="B202" s="403" t="s">
        <v>70</v>
      </c>
      <c r="C202" s="404"/>
      <c r="D202" s="404"/>
      <c r="E202" s="404"/>
      <c r="F202" s="404"/>
      <c r="G202" s="405"/>
      <c r="H202" s="405"/>
      <c r="I202" s="405"/>
      <c r="J202" s="405"/>
      <c r="K202" s="405"/>
      <c r="L202" s="405"/>
      <c r="M202" s="405"/>
      <c r="N202" s="405"/>
      <c r="O202" s="405"/>
      <c r="P202" s="405"/>
      <c r="Q202" s="405"/>
      <c r="R202" s="405"/>
      <c r="S202" s="405"/>
      <c r="T202" s="405">
        <v>41971</v>
      </c>
      <c r="U202" s="238"/>
      <c r="V202" s="238"/>
      <c r="W202" s="238"/>
      <c r="X202" s="5"/>
    </row>
    <row r="203" spans="1:24" ht="15.75" x14ac:dyDescent="0.25">
      <c r="A203" s="218"/>
      <c r="B203" s="219"/>
      <c r="C203" s="220"/>
      <c r="D203" s="220"/>
      <c r="E203" s="220"/>
      <c r="F203" s="220"/>
      <c r="G203" s="221"/>
      <c r="H203" s="221"/>
      <c r="I203" s="221"/>
      <c r="J203" s="221"/>
      <c r="K203" s="221"/>
      <c r="L203" s="221"/>
      <c r="M203" s="221"/>
      <c r="N203" s="221"/>
      <c r="O203" s="221"/>
      <c r="P203" s="221"/>
      <c r="Q203" s="221"/>
      <c r="R203" s="221"/>
      <c r="S203" s="221"/>
      <c r="T203" s="221"/>
      <c r="U203" s="183"/>
      <c r="V203" s="183"/>
      <c r="W203" s="183"/>
      <c r="X203" s="5"/>
    </row>
    <row r="204" spans="1:24" ht="15.75" x14ac:dyDescent="0.25">
      <c r="A204" s="350"/>
      <c r="B204" s="286" t="s">
        <v>71</v>
      </c>
      <c r="C204" s="406"/>
      <c r="D204" s="406"/>
      <c r="E204" s="406"/>
      <c r="F204" s="406"/>
      <c r="G204" s="397"/>
      <c r="H204" s="397"/>
      <c r="I204" s="397"/>
      <c r="J204" s="397"/>
      <c r="K204" s="397"/>
      <c r="L204" s="397"/>
      <c r="M204" s="397"/>
      <c r="N204" s="397"/>
      <c r="O204" s="397"/>
      <c r="P204" s="397"/>
      <c r="Q204" s="397"/>
      <c r="R204" s="397"/>
      <c r="S204" s="397"/>
      <c r="T204" s="321">
        <v>5.3830000000000003E-2</v>
      </c>
      <c r="U204" s="286"/>
      <c r="V204" s="286"/>
      <c r="W204" s="289"/>
      <c r="X204" s="5"/>
    </row>
    <row r="205" spans="1:24" ht="15.75" x14ac:dyDescent="0.25">
      <c r="A205" s="350"/>
      <c r="B205" s="286" t="s">
        <v>151</v>
      </c>
      <c r="C205" s="406"/>
      <c r="D205" s="406"/>
      <c r="E205" s="406"/>
      <c r="F205" s="406"/>
      <c r="G205" s="397"/>
      <c r="H205" s="397"/>
      <c r="I205" s="397"/>
      <c r="J205" s="397"/>
      <c r="K205" s="397"/>
      <c r="L205" s="397"/>
      <c r="M205" s="397"/>
      <c r="N205" s="397"/>
      <c r="O205" s="397"/>
      <c r="P205" s="397"/>
      <c r="Q205" s="397"/>
      <c r="R205" s="397"/>
      <c r="S205" s="397"/>
      <c r="T205" s="321">
        <v>6.25E-2</v>
      </c>
      <c r="U205" s="286"/>
      <c r="V205" s="286"/>
      <c r="W205" s="289"/>
      <c r="X205" s="5"/>
    </row>
    <row r="206" spans="1:24" ht="15.75" x14ac:dyDescent="0.25">
      <c r="A206" s="350"/>
      <c r="B206" s="286" t="s">
        <v>72</v>
      </c>
      <c r="C206" s="406"/>
      <c r="D206" s="406"/>
      <c r="E206" s="406"/>
      <c r="F206" s="406"/>
      <c r="G206" s="397"/>
      <c r="H206" s="397"/>
      <c r="I206" s="397"/>
      <c r="J206" s="397"/>
      <c r="K206" s="397"/>
      <c r="L206" s="397"/>
      <c r="M206" s="397"/>
      <c r="N206" s="397"/>
      <c r="O206" s="397"/>
      <c r="P206" s="397"/>
      <c r="Q206" s="397"/>
      <c r="R206" s="397"/>
      <c r="S206" s="397"/>
      <c r="T206" s="321">
        <f>T204-T205</f>
        <v>-8.6699999999999972E-3</v>
      </c>
      <c r="U206" s="286"/>
      <c r="V206" s="286"/>
      <c r="W206" s="289"/>
      <c r="X206" s="5"/>
    </row>
    <row r="207" spans="1:24" ht="15.75" x14ac:dyDescent="0.25">
      <c r="A207" s="350"/>
      <c r="B207" s="286" t="s">
        <v>73</v>
      </c>
      <c r="C207" s="406"/>
      <c r="D207" s="406"/>
      <c r="E207" s="406"/>
      <c r="F207" s="406"/>
      <c r="G207" s="397"/>
      <c r="H207" s="397"/>
      <c r="I207" s="397"/>
      <c r="J207" s="397"/>
      <c r="K207" s="397"/>
      <c r="L207" s="397"/>
      <c r="M207" s="397"/>
      <c r="N207" s="397"/>
      <c r="O207" s="397"/>
      <c r="P207" s="397"/>
      <c r="Q207" s="397"/>
      <c r="R207" s="397"/>
      <c r="S207" s="397"/>
      <c r="T207" s="321">
        <v>2.5049999999999999E-2</v>
      </c>
      <c r="U207" s="286"/>
      <c r="V207" s="286"/>
      <c r="W207" s="289"/>
      <c r="X207" s="5"/>
    </row>
    <row r="208" spans="1:24" ht="15.75" x14ac:dyDescent="0.25">
      <c r="A208" s="350"/>
      <c r="B208" s="286" t="s">
        <v>218</v>
      </c>
      <c r="C208" s="406"/>
      <c r="D208" s="406"/>
      <c r="E208" s="406"/>
      <c r="F208" s="406"/>
      <c r="G208" s="397"/>
      <c r="H208" s="397"/>
      <c r="I208" s="397"/>
      <c r="J208" s="397"/>
      <c r="K208" s="397"/>
      <c r="L208" s="397"/>
      <c r="M208" s="397"/>
      <c r="N208" s="397"/>
      <c r="O208" s="397"/>
      <c r="P208" s="397"/>
      <c r="Q208" s="397"/>
      <c r="R208" s="397"/>
      <c r="S208" s="397"/>
      <c r="T208" s="321">
        <f>V43</f>
        <v>9.2504294826213727E-3</v>
      </c>
      <c r="U208" s="286"/>
      <c r="V208" s="286"/>
      <c r="W208" s="289"/>
      <c r="X208" s="5"/>
    </row>
    <row r="209" spans="1:24" ht="15.75" x14ac:dyDescent="0.25">
      <c r="A209" s="350"/>
      <c r="B209" s="286" t="s">
        <v>74</v>
      </c>
      <c r="C209" s="406"/>
      <c r="D209" s="406"/>
      <c r="E209" s="406"/>
      <c r="F209" s="406"/>
      <c r="G209" s="397"/>
      <c r="H209" s="397"/>
      <c r="I209" s="397"/>
      <c r="J209" s="397"/>
      <c r="K209" s="397"/>
      <c r="L209" s="397"/>
      <c r="M209" s="397"/>
      <c r="N209" s="397"/>
      <c r="O209" s="397"/>
      <c r="P209" s="397"/>
      <c r="Q209" s="397"/>
      <c r="R209" s="397"/>
      <c r="S209" s="397"/>
      <c r="T209" s="321">
        <f>T207-T208</f>
        <v>1.5799570517378625E-2</v>
      </c>
      <c r="U209" s="286"/>
      <c r="V209" s="286"/>
      <c r="W209" s="289"/>
      <c r="X209" s="5"/>
    </row>
    <row r="210" spans="1:24" ht="15.75" x14ac:dyDescent="0.25">
      <c r="A210" s="350"/>
      <c r="B210" s="286" t="s">
        <v>227</v>
      </c>
      <c r="C210" s="406"/>
      <c r="D210" s="406"/>
      <c r="E210" s="406"/>
      <c r="F210" s="406"/>
      <c r="G210" s="397"/>
      <c r="H210" s="397"/>
      <c r="I210" s="397"/>
      <c r="J210" s="397"/>
      <c r="K210" s="397"/>
      <c r="L210" s="397"/>
      <c r="M210" s="397"/>
      <c r="N210" s="397"/>
      <c r="O210" s="397"/>
      <c r="P210" s="397"/>
      <c r="Q210" s="397"/>
      <c r="R210" s="397"/>
      <c r="S210" s="397"/>
      <c r="T210" s="321">
        <f>V101/N71</f>
        <v>6.2302378546130422E-3</v>
      </c>
      <c r="U210" s="286"/>
      <c r="V210" s="286"/>
      <c r="W210" s="289"/>
      <c r="X210" s="5"/>
    </row>
    <row r="211" spans="1:24" ht="15.75" x14ac:dyDescent="0.25">
      <c r="A211" s="350"/>
      <c r="B211" s="286" t="s">
        <v>207</v>
      </c>
      <c r="C211" s="406"/>
      <c r="D211" s="406"/>
      <c r="E211" s="406"/>
      <c r="F211" s="406"/>
      <c r="G211" s="397"/>
      <c r="H211" s="397"/>
      <c r="I211" s="397"/>
      <c r="J211" s="397"/>
      <c r="K211" s="397"/>
      <c r="L211" s="397"/>
      <c r="M211" s="397"/>
      <c r="N211" s="397"/>
      <c r="O211" s="397"/>
      <c r="P211" s="397"/>
      <c r="Q211" s="397"/>
      <c r="R211" s="397"/>
      <c r="S211" s="397"/>
      <c r="T211" s="352">
        <v>51105</v>
      </c>
      <c r="U211" s="286"/>
      <c r="V211" s="286"/>
      <c r="W211" s="289"/>
      <c r="X211" s="5"/>
    </row>
    <row r="212" spans="1:24" ht="15.75" x14ac:dyDescent="0.25">
      <c r="A212" s="350"/>
      <c r="B212" s="286" t="s">
        <v>208</v>
      </c>
      <c r="C212" s="406"/>
      <c r="D212" s="406"/>
      <c r="E212" s="406"/>
      <c r="F212" s="406"/>
      <c r="G212" s="397"/>
      <c r="H212" s="397"/>
      <c r="I212" s="397"/>
      <c r="J212" s="397"/>
      <c r="K212" s="397"/>
      <c r="L212" s="397"/>
      <c r="M212" s="397"/>
      <c r="N212" s="397"/>
      <c r="O212" s="397"/>
      <c r="P212" s="397"/>
      <c r="Q212" s="397"/>
      <c r="R212" s="397"/>
      <c r="S212" s="397"/>
      <c r="T212" s="352">
        <v>51105</v>
      </c>
      <c r="U212" s="286"/>
      <c r="V212" s="286"/>
      <c r="W212" s="289"/>
      <c r="X212" s="5"/>
    </row>
    <row r="213" spans="1:24" ht="15.75" x14ac:dyDescent="0.25">
      <c r="A213" s="350"/>
      <c r="B213" s="286" t="s">
        <v>209</v>
      </c>
      <c r="C213" s="406"/>
      <c r="D213" s="406"/>
      <c r="E213" s="406"/>
      <c r="F213" s="406"/>
      <c r="G213" s="397"/>
      <c r="H213" s="397"/>
      <c r="I213" s="397"/>
      <c r="J213" s="397"/>
      <c r="K213" s="397"/>
      <c r="L213" s="397"/>
      <c r="M213" s="397"/>
      <c r="N213" s="397"/>
      <c r="O213" s="397"/>
      <c r="P213" s="397"/>
      <c r="Q213" s="397"/>
      <c r="R213" s="397"/>
      <c r="S213" s="397"/>
      <c r="T213" s="352">
        <v>51105</v>
      </c>
      <c r="U213" s="286"/>
      <c r="V213" s="286"/>
      <c r="W213" s="289"/>
      <c r="X213" s="5"/>
    </row>
    <row r="214" spans="1:24" ht="15.75" x14ac:dyDescent="0.25">
      <c r="A214" s="350"/>
      <c r="B214" s="286" t="s">
        <v>75</v>
      </c>
      <c r="C214" s="406"/>
      <c r="D214" s="406"/>
      <c r="E214" s="406"/>
      <c r="F214" s="406"/>
      <c r="G214" s="397"/>
      <c r="H214" s="397"/>
      <c r="I214" s="397"/>
      <c r="J214" s="397"/>
      <c r="K214" s="397"/>
      <c r="L214" s="397"/>
      <c r="M214" s="397"/>
      <c r="N214" s="397"/>
      <c r="O214" s="397"/>
      <c r="P214" s="397"/>
      <c r="Q214" s="397"/>
      <c r="R214" s="397"/>
      <c r="S214" s="397"/>
      <c r="T214" s="327">
        <v>21.06</v>
      </c>
      <c r="U214" s="286" t="s">
        <v>110</v>
      </c>
      <c r="V214" s="286"/>
      <c r="W214" s="289"/>
      <c r="X214" s="5"/>
    </row>
    <row r="215" spans="1:24" ht="15.75" x14ac:dyDescent="0.25">
      <c r="A215" s="350"/>
      <c r="B215" s="286" t="s">
        <v>76</v>
      </c>
      <c r="C215" s="406"/>
      <c r="D215" s="406"/>
      <c r="E215" s="406"/>
      <c r="F215" s="406"/>
      <c r="G215" s="397"/>
      <c r="H215" s="397"/>
      <c r="I215" s="397"/>
      <c r="J215" s="397"/>
      <c r="K215" s="397"/>
      <c r="L215" s="397"/>
      <c r="M215" s="397"/>
      <c r="N215" s="397"/>
      <c r="O215" s="397"/>
      <c r="P215" s="397"/>
      <c r="Q215" s="397"/>
      <c r="R215" s="397"/>
      <c r="S215" s="397"/>
      <c r="T215" s="327">
        <v>13.96</v>
      </c>
      <c r="U215" s="286" t="s">
        <v>110</v>
      </c>
      <c r="V215" s="286"/>
      <c r="W215" s="289"/>
      <c r="X215" s="5"/>
    </row>
    <row r="216" spans="1:24" ht="15.75" x14ac:dyDescent="0.25">
      <c r="A216" s="350"/>
      <c r="B216" s="286" t="s">
        <v>77</v>
      </c>
      <c r="C216" s="406"/>
      <c r="D216" s="406"/>
      <c r="E216" s="406"/>
      <c r="F216" s="406"/>
      <c r="G216" s="397"/>
      <c r="H216" s="397"/>
      <c r="I216" s="397"/>
      <c r="J216" s="397"/>
      <c r="K216" s="397"/>
      <c r="L216" s="397"/>
      <c r="M216" s="397"/>
      <c r="N216" s="397"/>
      <c r="O216" s="397"/>
      <c r="P216" s="397"/>
      <c r="Q216" s="397"/>
      <c r="R216" s="397"/>
      <c r="S216" s="397"/>
      <c r="T216" s="321">
        <f>+P68/N68</f>
        <v>1.0495154331706188E-2</v>
      </c>
      <c r="U216" s="286"/>
      <c r="V216" s="286"/>
      <c r="W216" s="289"/>
      <c r="X216" s="5"/>
    </row>
    <row r="217" spans="1:24" ht="15.75" x14ac:dyDescent="0.25">
      <c r="A217" s="350"/>
      <c r="B217" s="286" t="s">
        <v>78</v>
      </c>
      <c r="C217" s="406"/>
      <c r="D217" s="406"/>
      <c r="E217" s="406"/>
      <c r="F217" s="406"/>
      <c r="G217" s="397"/>
      <c r="H217" s="397"/>
      <c r="I217" s="397"/>
      <c r="J217" s="397"/>
      <c r="K217" s="397"/>
      <c r="L217" s="397"/>
      <c r="M217" s="397"/>
      <c r="N217" s="397"/>
      <c r="O217" s="397"/>
      <c r="P217" s="397"/>
      <c r="Q217" s="397"/>
      <c r="R217" s="397"/>
      <c r="S217" s="397"/>
      <c r="T217" s="321">
        <v>3.8399999999999997E-2</v>
      </c>
      <c r="U217" s="286"/>
      <c r="V217" s="286"/>
      <c r="W217" s="289"/>
      <c r="X217" s="5"/>
    </row>
    <row r="218" spans="1:24" ht="15.75" x14ac:dyDescent="0.25">
      <c r="A218" s="218"/>
      <c r="B218" s="348"/>
      <c r="C218" s="348"/>
      <c r="D218" s="348"/>
      <c r="E218" s="348"/>
      <c r="F218" s="348"/>
      <c r="G218" s="212"/>
      <c r="H218" s="212"/>
      <c r="I218" s="212"/>
      <c r="J218" s="212"/>
      <c r="K218" s="212"/>
      <c r="L218" s="212"/>
      <c r="M218" s="212"/>
      <c r="N218" s="212"/>
      <c r="O218" s="212"/>
      <c r="P218" s="212"/>
      <c r="Q218" s="212"/>
      <c r="R218" s="212"/>
      <c r="S218" s="212"/>
      <c r="T218" s="344"/>
      <c r="U218" s="212"/>
      <c r="V218" s="349"/>
      <c r="W218" s="212"/>
      <c r="X218" s="5"/>
    </row>
    <row r="219" spans="1:24" ht="15.75" x14ac:dyDescent="0.25">
      <c r="A219" s="242"/>
      <c r="B219" s="399" t="s">
        <v>79</v>
      </c>
      <c r="C219" s="400"/>
      <c r="D219" s="400"/>
      <c r="E219" s="400"/>
      <c r="F219" s="407"/>
      <c r="G219" s="400"/>
      <c r="H219" s="400"/>
      <c r="I219" s="400"/>
      <c r="J219" s="400"/>
      <c r="K219" s="400"/>
      <c r="L219" s="400"/>
      <c r="M219" s="400"/>
      <c r="N219" s="400"/>
      <c r="O219" s="400"/>
      <c r="P219" s="400"/>
      <c r="Q219" s="400"/>
      <c r="R219" s="400"/>
      <c r="S219" s="400" t="s">
        <v>102</v>
      </c>
      <c r="T219" s="407" t="s">
        <v>108</v>
      </c>
      <c r="U219" s="225"/>
      <c r="V219" s="225"/>
      <c r="W219" s="225"/>
      <c r="X219" s="5"/>
    </row>
    <row r="220" spans="1:24" ht="15.75" x14ac:dyDescent="0.25">
      <c r="A220" s="222"/>
      <c r="B220" s="250" t="s">
        <v>80</v>
      </c>
      <c r="C220" s="249"/>
      <c r="D220" s="249"/>
      <c r="E220" s="249"/>
      <c r="F220" s="250"/>
      <c r="G220" s="250"/>
      <c r="H220" s="268"/>
      <c r="I220" s="268"/>
      <c r="J220" s="268"/>
      <c r="K220" s="268"/>
      <c r="L220" s="268"/>
      <c r="M220" s="268"/>
      <c r="N220" s="268"/>
      <c r="O220" s="268"/>
      <c r="P220" s="268"/>
      <c r="Q220" s="268"/>
      <c r="R220" s="268"/>
      <c r="S220" s="268">
        <v>2</v>
      </c>
      <c r="T220" s="269">
        <v>299</v>
      </c>
      <c r="U220" s="250"/>
      <c r="V220" s="266"/>
      <c r="W220" s="223"/>
      <c r="X220" s="5"/>
    </row>
    <row r="221" spans="1:24" ht="15.75" x14ac:dyDescent="0.25">
      <c r="A221" s="358"/>
      <c r="B221" s="286" t="s">
        <v>145</v>
      </c>
      <c r="C221" s="337"/>
      <c r="D221" s="337"/>
      <c r="E221" s="337"/>
      <c r="F221" s="286"/>
      <c r="G221" s="286"/>
      <c r="H221" s="296"/>
      <c r="I221" s="296"/>
      <c r="J221" s="296"/>
      <c r="K221" s="296"/>
      <c r="L221" s="296"/>
      <c r="M221" s="296"/>
      <c r="N221" s="296"/>
      <c r="O221" s="296"/>
      <c r="P221" s="296"/>
      <c r="Q221" s="296"/>
      <c r="R221" s="296"/>
      <c r="S221" s="359">
        <f>+R273</f>
        <v>98</v>
      </c>
      <c r="T221" s="360">
        <f>+T273</f>
        <v>14425</v>
      </c>
      <c r="U221" s="286"/>
      <c r="V221" s="361"/>
      <c r="W221" s="362"/>
      <c r="X221" s="5"/>
    </row>
    <row r="222" spans="1:24" ht="15.75" x14ac:dyDescent="0.25">
      <c r="A222" s="358"/>
      <c r="B222" s="286" t="s">
        <v>81</v>
      </c>
      <c r="C222" s="337"/>
      <c r="D222" s="337"/>
      <c r="E222" s="337"/>
      <c r="F222" s="286"/>
      <c r="G222" s="286"/>
      <c r="H222" s="296"/>
      <c r="I222" s="296"/>
      <c r="J222" s="296"/>
      <c r="K222" s="296"/>
      <c r="L222" s="296"/>
      <c r="M222" s="296"/>
      <c r="N222" s="296"/>
      <c r="O222" s="296"/>
      <c r="P222" s="296"/>
      <c r="Q222" s="296"/>
      <c r="R222" s="296"/>
      <c r="S222" s="359">
        <f>+R285</f>
        <v>0</v>
      </c>
      <c r="T222" s="360">
        <f>+T285</f>
        <v>0</v>
      </c>
      <c r="U222" s="286"/>
      <c r="V222" s="361"/>
      <c r="W222" s="362"/>
      <c r="X222" s="5"/>
    </row>
    <row r="223" spans="1:24" ht="15.75" x14ac:dyDescent="0.25">
      <c r="A223" s="358"/>
      <c r="B223" s="313" t="s">
        <v>82</v>
      </c>
      <c r="C223" s="363"/>
      <c r="D223" s="363"/>
      <c r="E223" s="363"/>
      <c r="F223" s="314"/>
      <c r="G223" s="314"/>
      <c r="H223" s="314"/>
      <c r="I223" s="314"/>
      <c r="J223" s="314"/>
      <c r="K223" s="314"/>
      <c r="L223" s="314"/>
      <c r="M223" s="314"/>
      <c r="N223" s="314"/>
      <c r="O223" s="314"/>
      <c r="P223" s="314"/>
      <c r="Q223" s="314"/>
      <c r="R223" s="314"/>
      <c r="S223" s="286"/>
      <c r="T223" s="360">
        <v>0</v>
      </c>
      <c r="U223" s="314"/>
      <c r="V223" s="364"/>
      <c r="W223" s="362"/>
      <c r="X223" s="5"/>
    </row>
    <row r="224" spans="1:24" ht="15.75" x14ac:dyDescent="0.25">
      <c r="A224" s="358"/>
      <c r="B224" s="313" t="s">
        <v>228</v>
      </c>
      <c r="C224" s="363"/>
      <c r="D224" s="363"/>
      <c r="E224" s="363"/>
      <c r="F224" s="314"/>
      <c r="G224" s="314"/>
      <c r="H224" s="314"/>
      <c r="I224" s="314"/>
      <c r="J224" s="314"/>
      <c r="K224" s="314"/>
      <c r="L224" s="314"/>
      <c r="M224" s="314"/>
      <c r="N224" s="314"/>
      <c r="O224" s="314"/>
      <c r="P224" s="314"/>
      <c r="Q224" s="314"/>
      <c r="R224" s="314"/>
      <c r="S224" s="286"/>
      <c r="T224" s="360">
        <f>+N81</f>
        <v>0</v>
      </c>
      <c r="U224" s="314"/>
      <c r="V224" s="364"/>
      <c r="W224" s="362"/>
      <c r="X224" s="5"/>
    </row>
    <row r="225" spans="1:24" ht="15.75" x14ac:dyDescent="0.25">
      <c r="A225" s="365"/>
      <c r="B225" s="313" t="s">
        <v>83</v>
      </c>
      <c r="C225" s="366"/>
      <c r="D225" s="366"/>
      <c r="E225" s="366"/>
      <c r="F225" s="366"/>
      <c r="G225" s="314"/>
      <c r="H225" s="314"/>
      <c r="I225" s="314"/>
      <c r="J225" s="314"/>
      <c r="K225" s="314"/>
      <c r="L225" s="314"/>
      <c r="M225" s="314"/>
      <c r="N225" s="314"/>
      <c r="O225" s="314"/>
      <c r="P225" s="314"/>
      <c r="Q225" s="314"/>
      <c r="R225" s="314"/>
      <c r="S225" s="286"/>
      <c r="T225" s="360"/>
      <c r="U225" s="314"/>
      <c r="V225" s="364"/>
      <c r="W225" s="367"/>
      <c r="X225" s="5"/>
    </row>
    <row r="226" spans="1:24" ht="15.75" x14ac:dyDescent="0.25">
      <c r="A226" s="365"/>
      <c r="B226" s="286" t="s">
        <v>84</v>
      </c>
      <c r="C226" s="366"/>
      <c r="D226" s="366"/>
      <c r="E226" s="366"/>
      <c r="F226" s="366"/>
      <c r="G226" s="314"/>
      <c r="H226" s="314"/>
      <c r="I226" s="314"/>
      <c r="J226" s="314"/>
      <c r="K226" s="314"/>
      <c r="L226" s="314"/>
      <c r="M226" s="314"/>
      <c r="N226" s="314"/>
      <c r="O226" s="314"/>
      <c r="P226" s="314"/>
      <c r="Q226" s="314"/>
      <c r="R226" s="314"/>
      <c r="S226" s="296"/>
      <c r="T226" s="360">
        <f>V164</f>
        <v>104</v>
      </c>
      <c r="U226" s="314"/>
      <c r="V226" s="364"/>
      <c r="W226" s="367"/>
      <c r="X226" s="5"/>
    </row>
    <row r="227" spans="1:24" ht="15.75" x14ac:dyDescent="0.25">
      <c r="A227" s="358"/>
      <c r="B227" s="286" t="s">
        <v>85</v>
      </c>
      <c r="C227" s="363"/>
      <c r="D227" s="363"/>
      <c r="E227" s="363"/>
      <c r="F227" s="363"/>
      <c r="G227" s="314"/>
      <c r="H227" s="314"/>
      <c r="I227" s="314"/>
      <c r="J227" s="314"/>
      <c r="K227" s="314"/>
      <c r="L227" s="314"/>
      <c r="M227" s="314"/>
      <c r="N227" s="314"/>
      <c r="O227" s="314"/>
      <c r="P227" s="314"/>
      <c r="Q227" s="314"/>
      <c r="R227" s="314"/>
      <c r="S227" s="296"/>
      <c r="T227" s="360">
        <f>'Aug 14'!T227+T226</f>
        <v>7422</v>
      </c>
      <c r="U227" s="314"/>
      <c r="V227" s="364"/>
      <c r="W227" s="367"/>
      <c r="X227" s="5"/>
    </row>
    <row r="228" spans="1:24" ht="15.75" x14ac:dyDescent="0.25">
      <c r="A228" s="365"/>
      <c r="B228" s="313" t="s">
        <v>285</v>
      </c>
      <c r="C228" s="366"/>
      <c r="D228" s="366"/>
      <c r="E228" s="366"/>
      <c r="F228" s="366"/>
      <c r="G228" s="314"/>
      <c r="H228" s="314"/>
      <c r="I228" s="314"/>
      <c r="J228" s="314"/>
      <c r="K228" s="314"/>
      <c r="L228" s="314"/>
      <c r="M228" s="314"/>
      <c r="N228" s="314"/>
      <c r="O228" s="314"/>
      <c r="P228" s="314"/>
      <c r="Q228" s="314"/>
      <c r="R228" s="314"/>
      <c r="S228" s="296"/>
      <c r="T228" s="360"/>
      <c r="U228" s="314"/>
      <c r="V228" s="364"/>
      <c r="W228" s="367"/>
      <c r="X228" s="5"/>
    </row>
    <row r="229" spans="1:24" ht="15.75" x14ac:dyDescent="0.25">
      <c r="A229" s="365"/>
      <c r="B229" s="286" t="s">
        <v>282</v>
      </c>
      <c r="C229" s="366"/>
      <c r="D229" s="366"/>
      <c r="E229" s="366"/>
      <c r="F229" s="366"/>
      <c r="G229" s="314"/>
      <c r="H229" s="314"/>
      <c r="I229" s="314"/>
      <c r="J229" s="314"/>
      <c r="K229" s="314"/>
      <c r="L229" s="314"/>
      <c r="M229" s="314"/>
      <c r="N229" s="314"/>
      <c r="O229" s="314"/>
      <c r="P229" s="314"/>
      <c r="Q229" s="314"/>
      <c r="R229" s="314"/>
      <c r="S229" s="296">
        <v>1</v>
      </c>
      <c r="T229" s="360">
        <v>108</v>
      </c>
      <c r="U229" s="314"/>
      <c r="V229" s="364"/>
      <c r="W229" s="367"/>
      <c r="X229" s="5"/>
    </row>
    <row r="230" spans="1:24" ht="15.75" x14ac:dyDescent="0.25">
      <c r="A230" s="358"/>
      <c r="B230" s="286" t="s">
        <v>86</v>
      </c>
      <c r="C230" s="368"/>
      <c r="D230" s="368"/>
      <c r="E230" s="368"/>
      <c r="F230" s="369"/>
      <c r="G230" s="314"/>
      <c r="H230" s="314"/>
      <c r="I230" s="314"/>
      <c r="J230" s="314"/>
      <c r="K230" s="314"/>
      <c r="L230" s="314"/>
      <c r="M230" s="314"/>
      <c r="N230" s="314"/>
      <c r="O230" s="314"/>
      <c r="P230" s="314"/>
      <c r="Q230" s="314"/>
      <c r="R230" s="314"/>
      <c r="S230" s="286"/>
      <c r="T230" s="370">
        <v>8.8800000000000008</v>
      </c>
      <c r="U230" s="314"/>
      <c r="V230" s="364"/>
      <c r="W230" s="367"/>
      <c r="X230" s="5"/>
    </row>
    <row r="231" spans="1:24" ht="15.75" x14ac:dyDescent="0.25">
      <c r="A231" s="358"/>
      <c r="B231" s="286" t="s">
        <v>87</v>
      </c>
      <c r="C231" s="368"/>
      <c r="D231" s="368"/>
      <c r="E231" s="368"/>
      <c r="F231" s="369"/>
      <c r="G231" s="314"/>
      <c r="H231" s="314"/>
      <c r="I231" s="314"/>
      <c r="J231" s="314"/>
      <c r="K231" s="314"/>
      <c r="L231" s="314"/>
      <c r="M231" s="314"/>
      <c r="N231" s="314"/>
      <c r="O231" s="314"/>
      <c r="P231" s="314"/>
      <c r="Q231" s="314"/>
      <c r="R231" s="314"/>
      <c r="S231" s="286"/>
      <c r="T231" s="370">
        <v>3.45</v>
      </c>
      <c r="U231" s="314"/>
      <c r="V231" s="364"/>
      <c r="W231" s="367"/>
      <c r="X231" s="5"/>
    </row>
    <row r="232" spans="1:24" ht="15.75" x14ac:dyDescent="0.25">
      <c r="A232" s="358"/>
      <c r="B232" s="313" t="s">
        <v>216</v>
      </c>
      <c r="C232" s="368"/>
      <c r="D232" s="368"/>
      <c r="E232" s="368"/>
      <c r="F232" s="369"/>
      <c r="G232" s="314"/>
      <c r="H232" s="314"/>
      <c r="I232" s="314"/>
      <c r="J232" s="314"/>
      <c r="K232" s="314"/>
      <c r="L232" s="314"/>
      <c r="M232" s="314"/>
      <c r="N232" s="314"/>
      <c r="O232" s="314"/>
      <c r="P232" s="314"/>
      <c r="Q232" s="314"/>
      <c r="R232" s="314"/>
      <c r="S232" s="286"/>
      <c r="T232" s="371"/>
      <c r="U232" s="314"/>
      <c r="V232" s="364"/>
      <c r="W232" s="367"/>
      <c r="X232" s="5"/>
    </row>
    <row r="233" spans="1:24" ht="15.75" x14ac:dyDescent="0.25">
      <c r="A233" s="358"/>
      <c r="B233" s="286" t="s">
        <v>282</v>
      </c>
      <c r="C233" s="368"/>
      <c r="D233" s="368"/>
      <c r="E233" s="368"/>
      <c r="F233" s="369"/>
      <c r="G233" s="314"/>
      <c r="H233" s="314"/>
      <c r="I233" s="314"/>
      <c r="J233" s="314"/>
      <c r="K233" s="314"/>
      <c r="L233" s="314"/>
      <c r="M233" s="314"/>
      <c r="N233" s="314"/>
      <c r="O233" s="314"/>
      <c r="P233" s="314"/>
      <c r="Q233" s="314"/>
      <c r="R233" s="314"/>
      <c r="S233" s="296">
        <v>3</v>
      </c>
      <c r="T233" s="360">
        <v>228</v>
      </c>
      <c r="U233" s="314"/>
      <c r="V233" s="364"/>
      <c r="W233" s="367"/>
      <c r="X233" s="5"/>
    </row>
    <row r="234" spans="1:24" ht="15.75" x14ac:dyDescent="0.25">
      <c r="A234" s="358"/>
      <c r="B234" s="286" t="s">
        <v>217</v>
      </c>
      <c r="C234" s="368"/>
      <c r="D234" s="368"/>
      <c r="E234" s="368"/>
      <c r="F234" s="369"/>
      <c r="G234" s="314"/>
      <c r="H234" s="314"/>
      <c r="I234" s="314"/>
      <c r="J234" s="314"/>
      <c r="K234" s="314"/>
      <c r="L234" s="314"/>
      <c r="M234" s="314"/>
      <c r="N234" s="314"/>
      <c r="O234" s="314"/>
      <c r="P234" s="314"/>
      <c r="Q234" s="314"/>
      <c r="R234" s="314"/>
      <c r="S234" s="286"/>
      <c r="T234" s="370">
        <v>2.17</v>
      </c>
      <c r="U234" s="314"/>
      <c r="V234" s="364"/>
      <c r="W234" s="367"/>
      <c r="X234" s="5"/>
    </row>
    <row r="235" spans="1:24" ht="15.75" x14ac:dyDescent="0.25">
      <c r="A235" s="358"/>
      <c r="B235" s="366"/>
      <c r="C235" s="368"/>
      <c r="D235" s="368"/>
      <c r="E235" s="368"/>
      <c r="F235" s="369"/>
      <c r="G235" s="314"/>
      <c r="H235" s="314"/>
      <c r="I235" s="314"/>
      <c r="J235" s="314"/>
      <c r="K235" s="314"/>
      <c r="L235" s="314"/>
      <c r="M235" s="314"/>
      <c r="N235" s="314"/>
      <c r="O235" s="314"/>
      <c r="P235" s="314"/>
      <c r="Q235" s="314"/>
      <c r="R235" s="314"/>
      <c r="S235" s="286"/>
      <c r="T235" s="371"/>
      <c r="U235" s="314"/>
      <c r="V235" s="364"/>
      <c r="W235" s="367"/>
      <c r="X235" s="5"/>
    </row>
    <row r="236" spans="1:24" ht="15.75" x14ac:dyDescent="0.25">
      <c r="A236" s="358"/>
      <c r="B236" s="366"/>
      <c r="C236" s="368"/>
      <c r="D236" s="368"/>
      <c r="E236" s="368"/>
      <c r="F236" s="369"/>
      <c r="G236" s="314"/>
      <c r="H236" s="314"/>
      <c r="I236" s="314"/>
      <c r="J236" s="314"/>
      <c r="K236" s="314"/>
      <c r="L236" s="314"/>
      <c r="M236" s="314"/>
      <c r="N236" s="314"/>
      <c r="O236" s="314"/>
      <c r="P236" s="314"/>
      <c r="Q236" s="314"/>
      <c r="R236" s="314"/>
      <c r="S236" s="314"/>
      <c r="T236" s="372"/>
      <c r="U236" s="314"/>
      <c r="V236" s="364"/>
      <c r="W236" s="367"/>
      <c r="X236" s="5"/>
    </row>
    <row r="237" spans="1:24" ht="18.75" x14ac:dyDescent="0.3">
      <c r="A237" s="358"/>
      <c r="B237" s="373" t="s">
        <v>168</v>
      </c>
      <c r="C237" s="368"/>
      <c r="D237" s="368"/>
      <c r="E237" s="368"/>
      <c r="F237" s="369"/>
      <c r="G237" s="314"/>
      <c r="H237" s="314"/>
      <c r="I237" s="314"/>
      <c r="J237" s="314"/>
      <c r="K237" s="314"/>
      <c r="L237" s="314"/>
      <c r="M237" s="314"/>
      <c r="N237" s="314"/>
      <c r="O237" s="314"/>
      <c r="P237" s="374" t="s">
        <v>167</v>
      </c>
      <c r="Q237" s="314"/>
      <c r="R237" s="314"/>
      <c r="S237" s="314"/>
      <c r="T237" s="372"/>
      <c r="U237" s="314"/>
      <c r="V237" s="364"/>
      <c r="W237" s="367"/>
      <c r="X237" s="5"/>
    </row>
    <row r="238" spans="1:24" ht="15.75" x14ac:dyDescent="0.25">
      <c r="A238" s="353"/>
      <c r="B238" s="348"/>
      <c r="C238" s="354"/>
      <c r="D238" s="354"/>
      <c r="E238" s="354"/>
      <c r="F238" s="355"/>
      <c r="G238" s="212"/>
      <c r="H238" s="212"/>
      <c r="I238" s="212"/>
      <c r="J238" s="212"/>
      <c r="K238" s="212"/>
      <c r="L238" s="212"/>
      <c r="M238" s="212"/>
      <c r="N238" s="212"/>
      <c r="O238" s="212"/>
      <c r="P238" s="212"/>
      <c r="Q238" s="212"/>
      <c r="R238" s="212"/>
      <c r="S238" s="212"/>
      <c r="T238" s="356"/>
      <c r="U238" s="212"/>
      <c r="V238" s="349"/>
      <c r="W238" s="357"/>
      <c r="X238" s="5"/>
    </row>
    <row r="239" spans="1:24" ht="15.75" x14ac:dyDescent="0.25">
      <c r="A239" s="224"/>
      <c r="B239" s="399" t="s">
        <v>297</v>
      </c>
      <c r="C239" s="400"/>
      <c r="D239" s="400"/>
      <c r="E239" s="400"/>
      <c r="F239" s="407"/>
      <c r="G239" s="400"/>
      <c r="H239" s="400"/>
      <c r="I239" s="400"/>
      <c r="J239" s="400"/>
      <c r="K239" s="400"/>
      <c r="L239" s="400"/>
      <c r="M239" s="400"/>
      <c r="N239" s="400"/>
      <c r="O239" s="400"/>
      <c r="P239" s="400"/>
      <c r="Q239" s="400"/>
      <c r="R239" s="407" t="s">
        <v>102</v>
      </c>
      <c r="S239" s="400" t="s">
        <v>103</v>
      </c>
      <c r="T239" s="407" t="s">
        <v>109</v>
      </c>
      <c r="U239" s="400" t="s">
        <v>103</v>
      </c>
      <c r="V239" s="225"/>
      <c r="W239" s="399"/>
      <c r="X239" s="5"/>
    </row>
    <row r="240" spans="1:24" ht="15.75" x14ac:dyDescent="0.25">
      <c r="A240" s="193"/>
      <c r="B240" s="249" t="s">
        <v>88</v>
      </c>
      <c r="C240" s="265"/>
      <c r="D240" s="265"/>
      <c r="E240" s="265"/>
      <c r="F240" s="250"/>
      <c r="G240" s="265"/>
      <c r="H240" s="265"/>
      <c r="I240" s="265"/>
      <c r="J240" s="265"/>
      <c r="K240" s="265"/>
      <c r="L240" s="265"/>
      <c r="M240" s="265"/>
      <c r="N240" s="265"/>
      <c r="O240" s="265"/>
      <c r="P240" s="265"/>
      <c r="Q240" s="265"/>
      <c r="R240" s="249">
        <f t="shared" ref="R240:R247" si="1">+R252+R264+R276</f>
        <v>5401</v>
      </c>
      <c r="S240" s="252">
        <f t="shared" ref="S240:S247" si="2">R240/$R$249</f>
        <v>0.99612689044632974</v>
      </c>
      <c r="T240" s="253">
        <f t="shared" ref="T240:T247" si="3">+T252+T264+T276</f>
        <v>758367</v>
      </c>
      <c r="U240" s="252">
        <f t="shared" ref="U240:U247" si="4">T240/$T$249</f>
        <v>0.99633321859587631</v>
      </c>
      <c r="V240" s="266"/>
      <c r="W240" s="408"/>
      <c r="X240" s="5"/>
    </row>
    <row r="241" spans="1:25" ht="15.75" x14ac:dyDescent="0.25">
      <c r="A241" s="285"/>
      <c r="B241" s="337" t="s">
        <v>89</v>
      </c>
      <c r="C241" s="378"/>
      <c r="D241" s="378"/>
      <c r="E241" s="378"/>
      <c r="F241" s="286"/>
      <c r="G241" s="379"/>
      <c r="H241" s="378"/>
      <c r="I241" s="378"/>
      <c r="J241" s="378"/>
      <c r="K241" s="378"/>
      <c r="L241" s="378"/>
      <c r="M241" s="378"/>
      <c r="N241" s="378"/>
      <c r="O241" s="378"/>
      <c r="P241" s="378"/>
      <c r="Q241" s="378"/>
      <c r="R241" s="337">
        <f t="shared" si="1"/>
        <v>5</v>
      </c>
      <c r="S241" s="379">
        <f t="shared" si="2"/>
        <v>9.2216894135005532E-4</v>
      </c>
      <c r="T241" s="338">
        <f t="shared" si="3"/>
        <v>593</v>
      </c>
      <c r="U241" s="379">
        <f t="shared" si="4"/>
        <v>7.7907609195462704E-4</v>
      </c>
      <c r="V241" s="361"/>
      <c r="W241" s="409"/>
      <c r="X241" s="5"/>
      <c r="Y241" s="109"/>
    </row>
    <row r="242" spans="1:25" ht="15.75" x14ac:dyDescent="0.25">
      <c r="A242" s="285"/>
      <c r="B242" s="337" t="s">
        <v>90</v>
      </c>
      <c r="C242" s="378"/>
      <c r="D242" s="378"/>
      <c r="E242" s="378"/>
      <c r="F242" s="286"/>
      <c r="G242" s="379"/>
      <c r="H242" s="378"/>
      <c r="I242" s="378"/>
      <c r="J242" s="378"/>
      <c r="K242" s="378"/>
      <c r="L242" s="378"/>
      <c r="M242" s="378"/>
      <c r="N242" s="378"/>
      <c r="O242" s="378"/>
      <c r="P242" s="378"/>
      <c r="Q242" s="378"/>
      <c r="R242" s="337">
        <f t="shared" si="1"/>
        <v>6</v>
      </c>
      <c r="S242" s="379">
        <f t="shared" si="2"/>
        <v>1.1066027296200663E-3</v>
      </c>
      <c r="T242" s="338">
        <f t="shared" si="3"/>
        <v>619</v>
      </c>
      <c r="U242" s="379">
        <f t="shared" si="4"/>
        <v>8.1323457153442517E-4</v>
      </c>
      <c r="V242" s="361"/>
      <c r="W242" s="409"/>
      <c r="X242" s="5"/>
    </row>
    <row r="243" spans="1:25" ht="15.75" x14ac:dyDescent="0.25">
      <c r="A243" s="285"/>
      <c r="B243" s="337" t="s">
        <v>156</v>
      </c>
      <c r="C243" s="378"/>
      <c r="D243" s="378"/>
      <c r="E243" s="378"/>
      <c r="F243" s="286"/>
      <c r="G243" s="379"/>
      <c r="H243" s="378"/>
      <c r="I243" s="378"/>
      <c r="J243" s="378"/>
      <c r="K243" s="378"/>
      <c r="L243" s="378"/>
      <c r="M243" s="378"/>
      <c r="N243" s="378"/>
      <c r="O243" s="378"/>
      <c r="P243" s="378"/>
      <c r="Q243" s="378"/>
      <c r="R243" s="337">
        <f t="shared" si="1"/>
        <v>2</v>
      </c>
      <c r="S243" s="379">
        <f t="shared" si="2"/>
        <v>3.6886757654002215E-4</v>
      </c>
      <c r="T243" s="338">
        <f t="shared" si="3"/>
        <v>346</v>
      </c>
      <c r="U243" s="379">
        <f t="shared" si="4"/>
        <v>4.5457053594654458E-4</v>
      </c>
      <c r="V243" s="361"/>
      <c r="W243" s="409"/>
      <c r="X243" s="5"/>
      <c r="Y243" s="109"/>
    </row>
    <row r="244" spans="1:25" ht="15.75" x14ac:dyDescent="0.25">
      <c r="A244" s="285"/>
      <c r="B244" s="337" t="s">
        <v>157</v>
      </c>
      <c r="C244" s="378"/>
      <c r="D244" s="378"/>
      <c r="E244" s="378"/>
      <c r="F244" s="286"/>
      <c r="G244" s="379"/>
      <c r="H244" s="378"/>
      <c r="I244" s="378"/>
      <c r="J244" s="378"/>
      <c r="K244" s="378"/>
      <c r="L244" s="378"/>
      <c r="M244" s="378"/>
      <c r="N244" s="378"/>
      <c r="O244" s="378"/>
      <c r="P244" s="378"/>
      <c r="Q244" s="378"/>
      <c r="R244" s="337">
        <f t="shared" si="1"/>
        <v>1</v>
      </c>
      <c r="S244" s="379">
        <f t="shared" si="2"/>
        <v>1.8443378827001107E-4</v>
      </c>
      <c r="T244" s="338">
        <f t="shared" si="3"/>
        <v>160</v>
      </c>
      <c r="U244" s="379">
        <f t="shared" si="4"/>
        <v>2.1020602818337322E-4</v>
      </c>
      <c r="V244" s="361"/>
      <c r="W244" s="409"/>
      <c r="X244" s="5"/>
    </row>
    <row r="245" spans="1:25" ht="15.75" x14ac:dyDescent="0.25">
      <c r="A245" s="285"/>
      <c r="B245" s="337" t="s">
        <v>158</v>
      </c>
      <c r="C245" s="378"/>
      <c r="D245" s="378"/>
      <c r="E245" s="378"/>
      <c r="F245" s="286"/>
      <c r="G245" s="379"/>
      <c r="H245" s="378"/>
      <c r="I245" s="378"/>
      <c r="J245" s="378"/>
      <c r="K245" s="378"/>
      <c r="L245" s="378"/>
      <c r="M245" s="378"/>
      <c r="N245" s="378"/>
      <c r="O245" s="378"/>
      <c r="P245" s="378"/>
      <c r="Q245" s="378"/>
      <c r="R245" s="337">
        <f t="shared" si="1"/>
        <v>1</v>
      </c>
      <c r="S245" s="379">
        <f t="shared" si="2"/>
        <v>1.8443378827001107E-4</v>
      </c>
      <c r="T245" s="338">
        <f t="shared" si="3"/>
        <v>83</v>
      </c>
      <c r="U245" s="379">
        <f t="shared" si="4"/>
        <v>1.0904437712012486E-4</v>
      </c>
      <c r="V245" s="361"/>
      <c r="W245" s="409"/>
      <c r="X245" s="5"/>
      <c r="Y245" s="109"/>
    </row>
    <row r="246" spans="1:25" ht="15.75" x14ac:dyDescent="0.25">
      <c r="A246" s="285"/>
      <c r="B246" s="337" t="s">
        <v>159</v>
      </c>
      <c r="C246" s="378"/>
      <c r="D246" s="378"/>
      <c r="E246" s="378"/>
      <c r="F246" s="286"/>
      <c r="G246" s="379"/>
      <c r="H246" s="378"/>
      <c r="I246" s="378"/>
      <c r="J246" s="378"/>
      <c r="K246" s="378"/>
      <c r="L246" s="378"/>
      <c r="M246" s="378"/>
      <c r="N246" s="378"/>
      <c r="O246" s="378"/>
      <c r="P246" s="378"/>
      <c r="Q246" s="378"/>
      <c r="R246" s="337">
        <f t="shared" si="1"/>
        <v>1</v>
      </c>
      <c r="S246" s="379">
        <f t="shared" si="2"/>
        <v>1.8443378827001107E-4</v>
      </c>
      <c r="T246" s="338">
        <f t="shared" si="3"/>
        <v>102</v>
      </c>
      <c r="U246" s="379">
        <f t="shared" si="4"/>
        <v>1.3400634296690042E-4</v>
      </c>
      <c r="V246" s="361"/>
      <c r="W246" s="409"/>
      <c r="X246" s="5"/>
    </row>
    <row r="247" spans="1:25" ht="15.75" x14ac:dyDescent="0.25">
      <c r="A247" s="285"/>
      <c r="B247" s="337" t="s">
        <v>160</v>
      </c>
      <c r="C247" s="378"/>
      <c r="D247" s="378"/>
      <c r="E247" s="378"/>
      <c r="F247" s="286"/>
      <c r="G247" s="379"/>
      <c r="H247" s="378"/>
      <c r="I247" s="378"/>
      <c r="J247" s="378"/>
      <c r="K247" s="378"/>
      <c r="L247" s="378"/>
      <c r="M247" s="378"/>
      <c r="N247" s="378"/>
      <c r="O247" s="378"/>
      <c r="P247" s="378"/>
      <c r="Q247" s="378"/>
      <c r="R247" s="386">
        <f t="shared" si="1"/>
        <v>5</v>
      </c>
      <c r="S247" s="379">
        <f t="shared" si="2"/>
        <v>9.2216894135005532E-4</v>
      </c>
      <c r="T247" s="383">
        <f t="shared" si="3"/>
        <v>888</v>
      </c>
      <c r="U247" s="387">
        <f t="shared" si="4"/>
        <v>1.1666434564177215E-3</v>
      </c>
      <c r="V247" s="361"/>
      <c r="W247" s="409"/>
      <c r="X247" s="5"/>
      <c r="Y247" s="109"/>
    </row>
    <row r="248" spans="1:25" ht="15.75" x14ac:dyDescent="0.25">
      <c r="A248" s="285"/>
      <c r="B248" s="337"/>
      <c r="C248" s="378"/>
      <c r="D248" s="378"/>
      <c r="E248" s="378"/>
      <c r="F248" s="286"/>
      <c r="G248" s="379"/>
      <c r="H248" s="378"/>
      <c r="I248" s="378"/>
      <c r="J248" s="378"/>
      <c r="K248" s="378"/>
      <c r="L248" s="378"/>
      <c r="M248" s="378"/>
      <c r="N248" s="378"/>
      <c r="O248" s="378"/>
      <c r="P248" s="378"/>
      <c r="Q248" s="378"/>
      <c r="R248" s="337"/>
      <c r="S248" s="379"/>
      <c r="T248" s="338"/>
      <c r="U248" s="379"/>
      <c r="V248" s="361"/>
      <c r="W248" s="409"/>
      <c r="X248" s="5"/>
    </row>
    <row r="249" spans="1:25" ht="15.75" x14ac:dyDescent="0.25">
      <c r="A249" s="285"/>
      <c r="B249" s="286"/>
      <c r="C249" s="286"/>
      <c r="D249" s="286"/>
      <c r="E249" s="286"/>
      <c r="F249" s="286"/>
      <c r="G249" s="286"/>
      <c r="H249" s="381"/>
      <c r="I249" s="381"/>
      <c r="J249" s="381"/>
      <c r="K249" s="381"/>
      <c r="L249" s="381"/>
      <c r="M249" s="381"/>
      <c r="N249" s="381"/>
      <c r="O249" s="381"/>
      <c r="P249" s="381"/>
      <c r="Q249" s="381"/>
      <c r="R249" s="337">
        <f>SUM(R240:R248)</f>
        <v>5422</v>
      </c>
      <c r="S249" s="379">
        <f>SUM(S240:S248)</f>
        <v>1</v>
      </c>
      <c r="T249" s="338">
        <f>SUM(T240:T248)</f>
        <v>761158</v>
      </c>
      <c r="U249" s="379">
        <f>SUM(U240:U248)</f>
        <v>0.99999999999999989</v>
      </c>
      <c r="V249" s="286"/>
      <c r="W249" s="289"/>
      <c r="X249" s="5"/>
    </row>
    <row r="250" spans="1:25" ht="15.75" x14ac:dyDescent="0.25">
      <c r="A250" s="181"/>
      <c r="B250" s="212"/>
      <c r="C250" s="212"/>
      <c r="D250" s="212"/>
      <c r="E250" s="212"/>
      <c r="F250" s="212"/>
      <c r="G250" s="212"/>
      <c r="H250" s="375"/>
      <c r="I250" s="375"/>
      <c r="J250" s="375"/>
      <c r="K250" s="375"/>
      <c r="L250" s="375"/>
      <c r="M250" s="375"/>
      <c r="N250" s="375"/>
      <c r="O250" s="375"/>
      <c r="P250" s="375"/>
      <c r="Q250" s="375"/>
      <c r="R250" s="335"/>
      <c r="S250" s="376"/>
      <c r="T250" s="377"/>
      <c r="U250" s="376"/>
      <c r="V250" s="212"/>
      <c r="W250" s="212"/>
      <c r="X250" s="5"/>
    </row>
    <row r="251" spans="1:25" ht="15.75" x14ac:dyDescent="0.25">
      <c r="A251" s="224"/>
      <c r="B251" s="399" t="s">
        <v>162</v>
      </c>
      <c r="C251" s="400"/>
      <c r="D251" s="400"/>
      <c r="E251" s="400"/>
      <c r="F251" s="407"/>
      <c r="G251" s="400"/>
      <c r="H251" s="400"/>
      <c r="I251" s="400"/>
      <c r="J251" s="400"/>
      <c r="K251" s="400"/>
      <c r="L251" s="400"/>
      <c r="M251" s="400"/>
      <c r="N251" s="400"/>
      <c r="O251" s="400"/>
      <c r="P251" s="400"/>
      <c r="Q251" s="400"/>
      <c r="R251" s="407" t="s">
        <v>102</v>
      </c>
      <c r="S251" s="400" t="s">
        <v>103</v>
      </c>
      <c r="T251" s="407" t="s">
        <v>109</v>
      </c>
      <c r="U251" s="400" t="s">
        <v>103</v>
      </c>
      <c r="V251" s="225"/>
      <c r="W251" s="399"/>
      <c r="X251" s="5"/>
    </row>
    <row r="252" spans="1:25" ht="15.75" x14ac:dyDescent="0.25">
      <c r="A252" s="193"/>
      <c r="B252" s="249" t="s">
        <v>88</v>
      </c>
      <c r="C252" s="265"/>
      <c r="D252" s="265"/>
      <c r="E252" s="265"/>
      <c r="F252" s="250"/>
      <c r="G252" s="265"/>
      <c r="H252" s="265"/>
      <c r="I252" s="265"/>
      <c r="J252" s="265"/>
      <c r="K252" s="265"/>
      <c r="L252" s="265"/>
      <c r="M252" s="265"/>
      <c r="N252" s="265"/>
      <c r="O252" s="265"/>
      <c r="P252" s="265"/>
      <c r="Q252" s="265"/>
      <c r="R252" s="249">
        <v>5317</v>
      </c>
      <c r="S252" s="252">
        <f t="shared" ref="S252:S259" si="5">R252/$R$261</f>
        <v>0.99868519909842224</v>
      </c>
      <c r="T252" s="253">
        <v>745541</v>
      </c>
      <c r="U252" s="252">
        <f t="shared" ref="U252:U259" si="6">T252/$T$261</f>
        <v>0.99840371324154686</v>
      </c>
      <c r="V252" s="266"/>
      <c r="W252" s="408"/>
      <c r="X252" s="5"/>
    </row>
    <row r="253" spans="1:25" ht="15.75" x14ac:dyDescent="0.25">
      <c r="A253" s="285"/>
      <c r="B253" s="337" t="s">
        <v>89</v>
      </c>
      <c r="C253" s="378"/>
      <c r="D253" s="378"/>
      <c r="E253" s="378"/>
      <c r="F253" s="286"/>
      <c r="G253" s="379"/>
      <c r="H253" s="378"/>
      <c r="I253" s="378"/>
      <c r="J253" s="378"/>
      <c r="K253" s="378"/>
      <c r="L253" s="378"/>
      <c r="M253" s="378"/>
      <c r="N253" s="378"/>
      <c r="O253" s="378"/>
      <c r="P253" s="378"/>
      <c r="Q253" s="378"/>
      <c r="R253" s="337">
        <v>3</v>
      </c>
      <c r="S253" s="379">
        <f t="shared" si="5"/>
        <v>5.634861006761833E-4</v>
      </c>
      <c r="T253" s="338">
        <v>370</v>
      </c>
      <c r="U253" s="379">
        <f t="shared" si="6"/>
        <v>4.9549169515743913E-4</v>
      </c>
      <c r="V253" s="361"/>
      <c r="W253" s="409"/>
      <c r="X253" s="5"/>
      <c r="Y253" s="109"/>
    </row>
    <row r="254" spans="1:25" ht="15.75" x14ac:dyDescent="0.25">
      <c r="A254" s="285"/>
      <c r="B254" s="337" t="s">
        <v>90</v>
      </c>
      <c r="C254" s="378"/>
      <c r="D254" s="378"/>
      <c r="E254" s="378"/>
      <c r="F254" s="286"/>
      <c r="G254" s="379"/>
      <c r="H254" s="378"/>
      <c r="I254" s="378"/>
      <c r="J254" s="378"/>
      <c r="K254" s="378"/>
      <c r="L254" s="378"/>
      <c r="M254" s="378"/>
      <c r="N254" s="378"/>
      <c r="O254" s="378"/>
      <c r="P254" s="378"/>
      <c r="Q254" s="378"/>
      <c r="R254" s="337">
        <v>1</v>
      </c>
      <c r="S254" s="379">
        <f t="shared" si="5"/>
        <v>1.8782870022539445E-4</v>
      </c>
      <c r="T254" s="338">
        <v>230</v>
      </c>
      <c r="U254" s="379">
        <f t="shared" si="6"/>
        <v>3.0800835104381351E-4</v>
      </c>
      <c r="V254" s="361"/>
      <c r="W254" s="409"/>
      <c r="X254" s="5"/>
    </row>
    <row r="255" spans="1:25" ht="15.75" x14ac:dyDescent="0.25">
      <c r="A255" s="285"/>
      <c r="B255" s="337" t="s">
        <v>156</v>
      </c>
      <c r="C255" s="378"/>
      <c r="D255" s="378"/>
      <c r="E255" s="378"/>
      <c r="F255" s="286"/>
      <c r="G255" s="379"/>
      <c r="H255" s="378"/>
      <c r="I255" s="378"/>
      <c r="J255" s="378"/>
      <c r="K255" s="378"/>
      <c r="L255" s="378"/>
      <c r="M255" s="378"/>
      <c r="N255" s="378"/>
      <c r="O255" s="378"/>
      <c r="P255" s="378"/>
      <c r="Q255" s="378"/>
      <c r="R255" s="337">
        <v>0</v>
      </c>
      <c r="S255" s="379">
        <f t="shared" si="5"/>
        <v>0</v>
      </c>
      <c r="T255" s="338">
        <v>0</v>
      </c>
      <c r="U255" s="379">
        <f t="shared" si="6"/>
        <v>0</v>
      </c>
      <c r="V255" s="361"/>
      <c r="W255" s="409"/>
      <c r="X255" s="5"/>
      <c r="Y255" s="109"/>
    </row>
    <row r="256" spans="1:25" ht="15.75" x14ac:dyDescent="0.25">
      <c r="A256" s="285"/>
      <c r="B256" s="337" t="s">
        <v>157</v>
      </c>
      <c r="C256" s="378"/>
      <c r="D256" s="378"/>
      <c r="E256" s="378"/>
      <c r="F256" s="286"/>
      <c r="G256" s="379"/>
      <c r="H256" s="378"/>
      <c r="I256" s="378"/>
      <c r="J256" s="378"/>
      <c r="K256" s="378"/>
      <c r="L256" s="378"/>
      <c r="M256" s="378"/>
      <c r="N256" s="378"/>
      <c r="O256" s="378"/>
      <c r="P256" s="378"/>
      <c r="Q256" s="378"/>
      <c r="R256" s="337">
        <v>1</v>
      </c>
      <c r="S256" s="379">
        <f t="shared" si="5"/>
        <v>1.8782870022539445E-4</v>
      </c>
      <c r="T256" s="338">
        <v>160</v>
      </c>
      <c r="U256" s="379">
        <f t="shared" si="6"/>
        <v>2.142666789870007E-4</v>
      </c>
      <c r="V256" s="361"/>
      <c r="W256" s="409"/>
      <c r="X256" s="5"/>
    </row>
    <row r="257" spans="1:25" ht="15.75" x14ac:dyDescent="0.25">
      <c r="A257" s="285"/>
      <c r="B257" s="337" t="s">
        <v>158</v>
      </c>
      <c r="C257" s="378"/>
      <c r="D257" s="378"/>
      <c r="E257" s="378"/>
      <c r="F257" s="286"/>
      <c r="G257" s="379"/>
      <c r="H257" s="378"/>
      <c r="I257" s="378"/>
      <c r="J257" s="378"/>
      <c r="K257" s="378"/>
      <c r="L257" s="378"/>
      <c r="M257" s="378"/>
      <c r="N257" s="378"/>
      <c r="O257" s="378"/>
      <c r="P257" s="378"/>
      <c r="Q257" s="378"/>
      <c r="R257" s="337">
        <v>0</v>
      </c>
      <c r="S257" s="379">
        <f t="shared" si="5"/>
        <v>0</v>
      </c>
      <c r="T257" s="338">
        <v>0</v>
      </c>
      <c r="U257" s="379">
        <f t="shared" si="6"/>
        <v>0</v>
      </c>
      <c r="V257" s="361"/>
      <c r="W257" s="409"/>
      <c r="X257" s="5"/>
      <c r="Y257" s="109"/>
    </row>
    <row r="258" spans="1:25" ht="15.75" x14ac:dyDescent="0.25">
      <c r="A258" s="285"/>
      <c r="B258" s="337" t="s">
        <v>159</v>
      </c>
      <c r="C258" s="378"/>
      <c r="D258" s="378"/>
      <c r="E258" s="378"/>
      <c r="F258" s="286"/>
      <c r="G258" s="379"/>
      <c r="H258" s="378"/>
      <c r="I258" s="378"/>
      <c r="J258" s="378"/>
      <c r="K258" s="378"/>
      <c r="L258" s="378"/>
      <c r="M258" s="378"/>
      <c r="N258" s="378"/>
      <c r="O258" s="378"/>
      <c r="P258" s="378"/>
      <c r="Q258" s="378"/>
      <c r="R258" s="337">
        <v>1</v>
      </c>
      <c r="S258" s="379">
        <f t="shared" si="5"/>
        <v>1.8782870022539445E-4</v>
      </c>
      <c r="T258" s="338">
        <v>102</v>
      </c>
      <c r="U258" s="379">
        <f t="shared" si="6"/>
        <v>1.3659500785421296E-4</v>
      </c>
      <c r="V258" s="361"/>
      <c r="W258" s="409"/>
      <c r="X258" s="5"/>
    </row>
    <row r="259" spans="1:25" ht="15.75" x14ac:dyDescent="0.25">
      <c r="A259" s="285"/>
      <c r="B259" s="337" t="s">
        <v>160</v>
      </c>
      <c r="C259" s="378"/>
      <c r="D259" s="378"/>
      <c r="E259" s="378"/>
      <c r="F259" s="286"/>
      <c r="G259" s="379"/>
      <c r="H259" s="378"/>
      <c r="I259" s="378"/>
      <c r="J259" s="378"/>
      <c r="K259" s="378"/>
      <c r="L259" s="378"/>
      <c r="M259" s="378"/>
      <c r="N259" s="378"/>
      <c r="O259" s="378"/>
      <c r="P259" s="378"/>
      <c r="Q259" s="378"/>
      <c r="R259" s="337">
        <v>1</v>
      </c>
      <c r="S259" s="379">
        <f t="shared" si="5"/>
        <v>1.8782870022539445E-4</v>
      </c>
      <c r="T259" s="338">
        <v>330</v>
      </c>
      <c r="U259" s="379">
        <f t="shared" si="6"/>
        <v>4.4192502541068898E-4</v>
      </c>
      <c r="V259" s="361"/>
      <c r="W259" s="409"/>
      <c r="X259" s="5"/>
      <c r="Y259" s="109"/>
    </row>
    <row r="260" spans="1:25" ht="15.75" x14ac:dyDescent="0.25">
      <c r="A260" s="285"/>
      <c r="B260" s="337"/>
      <c r="C260" s="378"/>
      <c r="D260" s="378"/>
      <c r="E260" s="378"/>
      <c r="F260" s="286"/>
      <c r="G260" s="379"/>
      <c r="H260" s="378"/>
      <c r="I260" s="378"/>
      <c r="J260" s="378"/>
      <c r="K260" s="378"/>
      <c r="L260" s="378"/>
      <c r="M260" s="378"/>
      <c r="N260" s="378"/>
      <c r="O260" s="378"/>
      <c r="P260" s="378"/>
      <c r="Q260" s="378"/>
      <c r="R260" s="337"/>
      <c r="S260" s="379"/>
      <c r="T260" s="338"/>
      <c r="U260" s="379"/>
      <c r="V260" s="361"/>
      <c r="W260" s="409"/>
      <c r="X260" s="5"/>
    </row>
    <row r="261" spans="1:25" ht="15.75" x14ac:dyDescent="0.25">
      <c r="A261" s="285"/>
      <c r="B261" s="286"/>
      <c r="C261" s="286"/>
      <c r="D261" s="286"/>
      <c r="E261" s="286"/>
      <c r="F261" s="286"/>
      <c r="G261" s="286"/>
      <c r="H261" s="381"/>
      <c r="I261" s="381"/>
      <c r="J261" s="381"/>
      <c r="K261" s="381"/>
      <c r="L261" s="381"/>
      <c r="M261" s="381"/>
      <c r="N261" s="381"/>
      <c r="O261" s="381"/>
      <c r="P261" s="381"/>
      <c r="Q261" s="381"/>
      <c r="R261" s="337">
        <f>SUM(R252:R260)</f>
        <v>5324</v>
      </c>
      <c r="S261" s="379">
        <f>SUM(S252:S260)</f>
        <v>0.99999999999999989</v>
      </c>
      <c r="T261" s="338">
        <f>SUM(T252:T260)</f>
        <v>746733</v>
      </c>
      <c r="U261" s="379">
        <f>SUM(U252:U260)</f>
        <v>1</v>
      </c>
      <c r="V261" s="286"/>
      <c r="W261" s="289"/>
      <c r="X261" s="5"/>
    </row>
    <row r="262" spans="1:25" ht="15.75" x14ac:dyDescent="0.25">
      <c r="A262" s="181"/>
      <c r="B262" s="212"/>
      <c r="C262" s="212"/>
      <c r="D262" s="212"/>
      <c r="E262" s="212"/>
      <c r="F262" s="212"/>
      <c r="G262" s="212"/>
      <c r="H262" s="375"/>
      <c r="I262" s="375"/>
      <c r="J262" s="375"/>
      <c r="K262" s="375"/>
      <c r="L262" s="375"/>
      <c r="M262" s="375"/>
      <c r="N262" s="375"/>
      <c r="O262" s="375"/>
      <c r="P262" s="375"/>
      <c r="Q262" s="375"/>
      <c r="R262" s="335"/>
      <c r="S262" s="376"/>
      <c r="T262" s="377"/>
      <c r="U262" s="376"/>
      <c r="V262" s="212"/>
      <c r="W262" s="212"/>
      <c r="X262" s="5"/>
    </row>
    <row r="263" spans="1:25" ht="15.75" x14ac:dyDescent="0.25">
      <c r="A263" s="244"/>
      <c r="B263" s="399" t="s">
        <v>236</v>
      </c>
      <c r="C263" s="400"/>
      <c r="D263" s="400"/>
      <c r="E263" s="400"/>
      <c r="F263" s="407"/>
      <c r="G263" s="400"/>
      <c r="H263" s="400"/>
      <c r="I263" s="400"/>
      <c r="J263" s="400"/>
      <c r="K263" s="400"/>
      <c r="L263" s="400"/>
      <c r="M263" s="400"/>
      <c r="N263" s="400"/>
      <c r="O263" s="400"/>
      <c r="P263" s="400"/>
      <c r="Q263" s="400"/>
      <c r="R263" s="407" t="s">
        <v>102</v>
      </c>
      <c r="S263" s="400" t="s">
        <v>103</v>
      </c>
      <c r="T263" s="407" t="s">
        <v>109</v>
      </c>
      <c r="U263" s="400" t="s">
        <v>103</v>
      </c>
      <c r="V263" s="245"/>
      <c r="W263" s="246"/>
      <c r="X263" s="5"/>
    </row>
    <row r="264" spans="1:25" ht="15.75" x14ac:dyDescent="0.25">
      <c r="A264" s="193"/>
      <c r="B264" s="249" t="s">
        <v>88</v>
      </c>
      <c r="C264" s="265"/>
      <c r="D264" s="265"/>
      <c r="E264" s="265"/>
      <c r="F264" s="250"/>
      <c r="G264" s="265"/>
      <c r="H264" s="265"/>
      <c r="I264" s="265"/>
      <c r="J264" s="265"/>
      <c r="K264" s="265"/>
      <c r="L264" s="265"/>
      <c r="M264" s="265"/>
      <c r="N264" s="265"/>
      <c r="O264" s="265"/>
      <c r="P264" s="265"/>
      <c r="Q264" s="265"/>
      <c r="R264" s="249">
        <v>84</v>
      </c>
      <c r="S264" s="252">
        <f t="shared" ref="S264:S270" si="7">R264/$R$273</f>
        <v>0.8571428571428571</v>
      </c>
      <c r="T264" s="253">
        <v>12826</v>
      </c>
      <c r="U264" s="252">
        <f t="shared" ref="U264:U271" si="8">T264/$T$273</f>
        <v>0.88915077989601388</v>
      </c>
      <c r="V264" s="250"/>
      <c r="W264" s="250"/>
      <c r="X264" s="5"/>
    </row>
    <row r="265" spans="1:25" ht="15.75" x14ac:dyDescent="0.25">
      <c r="A265" s="285"/>
      <c r="B265" s="337" t="s">
        <v>89</v>
      </c>
      <c r="C265" s="378"/>
      <c r="D265" s="378"/>
      <c r="E265" s="378"/>
      <c r="F265" s="286"/>
      <c r="G265" s="379"/>
      <c r="H265" s="378"/>
      <c r="I265" s="378"/>
      <c r="J265" s="378"/>
      <c r="K265" s="378"/>
      <c r="L265" s="378"/>
      <c r="M265" s="378"/>
      <c r="N265" s="378"/>
      <c r="O265" s="378"/>
      <c r="P265" s="378"/>
      <c r="Q265" s="378"/>
      <c r="R265" s="337">
        <v>2</v>
      </c>
      <c r="S265" s="379">
        <f t="shared" si="7"/>
        <v>2.0408163265306121E-2</v>
      </c>
      <c r="T265" s="338">
        <v>223</v>
      </c>
      <c r="U265" s="379">
        <f t="shared" si="8"/>
        <v>1.5459272097053726E-2</v>
      </c>
      <c r="V265" s="286"/>
      <c r="W265" s="289"/>
      <c r="X265" s="5"/>
    </row>
    <row r="266" spans="1:25" ht="15.75" x14ac:dyDescent="0.25">
      <c r="A266" s="285"/>
      <c r="B266" s="337" t="s">
        <v>90</v>
      </c>
      <c r="C266" s="378"/>
      <c r="D266" s="378"/>
      <c r="E266" s="378"/>
      <c r="F266" s="286"/>
      <c r="G266" s="379"/>
      <c r="H266" s="378"/>
      <c r="I266" s="378"/>
      <c r="J266" s="378"/>
      <c r="K266" s="378"/>
      <c r="L266" s="378"/>
      <c r="M266" s="378"/>
      <c r="N266" s="378"/>
      <c r="O266" s="378"/>
      <c r="P266" s="378"/>
      <c r="Q266" s="378"/>
      <c r="R266" s="337">
        <v>5</v>
      </c>
      <c r="S266" s="379">
        <f t="shared" si="7"/>
        <v>5.1020408163265307E-2</v>
      </c>
      <c r="T266" s="338">
        <v>389</v>
      </c>
      <c r="U266" s="379">
        <f t="shared" si="8"/>
        <v>2.6967071057192375E-2</v>
      </c>
      <c r="V266" s="286"/>
      <c r="W266" s="289"/>
      <c r="X266" s="5"/>
    </row>
    <row r="267" spans="1:25" ht="15.75" x14ac:dyDescent="0.25">
      <c r="A267" s="285"/>
      <c r="B267" s="337" t="s">
        <v>156</v>
      </c>
      <c r="C267" s="378"/>
      <c r="D267" s="378"/>
      <c r="E267" s="378"/>
      <c r="F267" s="286"/>
      <c r="G267" s="379"/>
      <c r="H267" s="378"/>
      <c r="I267" s="378"/>
      <c r="J267" s="378"/>
      <c r="K267" s="378"/>
      <c r="L267" s="378"/>
      <c r="M267" s="378"/>
      <c r="N267" s="378"/>
      <c r="O267" s="378"/>
      <c r="P267" s="378"/>
      <c r="Q267" s="378"/>
      <c r="R267" s="337">
        <v>2</v>
      </c>
      <c r="S267" s="379">
        <f t="shared" si="7"/>
        <v>2.0408163265306121E-2</v>
      </c>
      <c r="T267" s="338">
        <v>346</v>
      </c>
      <c r="U267" s="379">
        <f t="shared" si="8"/>
        <v>2.3986135181975735E-2</v>
      </c>
      <c r="V267" s="286"/>
      <c r="W267" s="289"/>
      <c r="X267" s="5"/>
    </row>
    <row r="268" spans="1:25" ht="15.75" x14ac:dyDescent="0.25">
      <c r="A268" s="285"/>
      <c r="B268" s="337" t="s">
        <v>157</v>
      </c>
      <c r="C268" s="378"/>
      <c r="D268" s="378"/>
      <c r="E268" s="378"/>
      <c r="F268" s="286"/>
      <c r="G268" s="379"/>
      <c r="H268" s="378"/>
      <c r="I268" s="378"/>
      <c r="J268" s="378"/>
      <c r="K268" s="378"/>
      <c r="L268" s="378"/>
      <c r="M268" s="378"/>
      <c r="N268" s="378"/>
      <c r="O268" s="378"/>
      <c r="P268" s="378"/>
      <c r="Q268" s="378"/>
      <c r="R268" s="337">
        <v>0</v>
      </c>
      <c r="S268" s="379">
        <f t="shared" si="7"/>
        <v>0</v>
      </c>
      <c r="T268" s="338">
        <v>0</v>
      </c>
      <c r="U268" s="379">
        <f t="shared" si="8"/>
        <v>0</v>
      </c>
      <c r="V268" s="286"/>
      <c r="W268" s="289"/>
      <c r="X268" s="5"/>
    </row>
    <row r="269" spans="1:25" ht="15.75" x14ac:dyDescent="0.25">
      <c r="A269" s="285"/>
      <c r="B269" s="337" t="s">
        <v>158</v>
      </c>
      <c r="C269" s="378"/>
      <c r="D269" s="378"/>
      <c r="E269" s="378"/>
      <c r="F269" s="286"/>
      <c r="G269" s="379"/>
      <c r="H269" s="378"/>
      <c r="I269" s="378"/>
      <c r="J269" s="378"/>
      <c r="K269" s="378"/>
      <c r="L269" s="378"/>
      <c r="M269" s="378"/>
      <c r="N269" s="378"/>
      <c r="O269" s="378"/>
      <c r="P269" s="378"/>
      <c r="Q269" s="378"/>
      <c r="R269" s="337">
        <v>1</v>
      </c>
      <c r="S269" s="379">
        <f t="shared" si="7"/>
        <v>1.020408163265306E-2</v>
      </c>
      <c r="T269" s="338">
        <v>83</v>
      </c>
      <c r="U269" s="379">
        <f t="shared" si="8"/>
        <v>5.7538994800693244E-3</v>
      </c>
      <c r="V269" s="286"/>
      <c r="W269" s="289"/>
      <c r="X269" s="5"/>
    </row>
    <row r="270" spans="1:25" ht="15.75" x14ac:dyDescent="0.25">
      <c r="A270" s="285"/>
      <c r="B270" s="337" t="s">
        <v>159</v>
      </c>
      <c r="C270" s="378"/>
      <c r="D270" s="378"/>
      <c r="E270" s="378"/>
      <c r="F270" s="286"/>
      <c r="G270" s="379"/>
      <c r="H270" s="378"/>
      <c r="I270" s="378"/>
      <c r="J270" s="378"/>
      <c r="K270" s="378"/>
      <c r="L270" s="378"/>
      <c r="M270" s="378"/>
      <c r="N270" s="378"/>
      <c r="O270" s="378"/>
      <c r="P270" s="378"/>
      <c r="Q270" s="378"/>
      <c r="R270" s="337">
        <v>0</v>
      </c>
      <c r="S270" s="379">
        <f t="shared" si="7"/>
        <v>0</v>
      </c>
      <c r="T270" s="338">
        <v>0</v>
      </c>
      <c r="U270" s="379">
        <f t="shared" si="8"/>
        <v>0</v>
      </c>
      <c r="V270" s="286"/>
      <c r="W270" s="289"/>
      <c r="X270" s="5"/>
    </row>
    <row r="271" spans="1:25" ht="15.75" x14ac:dyDescent="0.25">
      <c r="A271" s="285"/>
      <c r="B271" s="337" t="s">
        <v>160</v>
      </c>
      <c r="C271" s="378"/>
      <c r="D271" s="378"/>
      <c r="E271" s="378"/>
      <c r="F271" s="286"/>
      <c r="G271" s="379"/>
      <c r="H271" s="378"/>
      <c r="I271" s="378"/>
      <c r="J271" s="378"/>
      <c r="K271" s="378"/>
      <c r="L271" s="378"/>
      <c r="M271" s="378"/>
      <c r="N271" s="378"/>
      <c r="O271" s="378"/>
      <c r="P271" s="378"/>
      <c r="Q271" s="378"/>
      <c r="R271" s="337">
        <v>4</v>
      </c>
      <c r="S271" s="379">
        <f>R271/$R$273</f>
        <v>4.0816326530612242E-2</v>
      </c>
      <c r="T271" s="338">
        <v>558</v>
      </c>
      <c r="U271" s="379">
        <f t="shared" si="8"/>
        <v>3.8682842287694974E-2</v>
      </c>
      <c r="V271" s="286"/>
      <c r="W271" s="289"/>
      <c r="X271" s="5"/>
    </row>
    <row r="272" spans="1:25" ht="15.75" x14ac:dyDescent="0.25">
      <c r="A272" s="285"/>
      <c r="B272" s="337"/>
      <c r="C272" s="378"/>
      <c r="D272" s="378"/>
      <c r="E272" s="378"/>
      <c r="F272" s="286"/>
      <c r="G272" s="379"/>
      <c r="H272" s="378"/>
      <c r="I272" s="378"/>
      <c r="J272" s="378"/>
      <c r="K272" s="378"/>
      <c r="L272" s="378"/>
      <c r="M272" s="378"/>
      <c r="N272" s="378"/>
      <c r="O272" s="378"/>
      <c r="P272" s="378"/>
      <c r="Q272" s="378"/>
      <c r="R272" s="337"/>
      <c r="S272" s="379"/>
      <c r="T272" s="338"/>
      <c r="U272" s="379"/>
      <c r="V272" s="286"/>
      <c r="W272" s="289"/>
      <c r="X272" s="5"/>
    </row>
    <row r="273" spans="1:24" ht="15.75" x14ac:dyDescent="0.25">
      <c r="A273" s="285"/>
      <c r="B273" s="286"/>
      <c r="C273" s="286"/>
      <c r="D273" s="286"/>
      <c r="E273" s="286"/>
      <c r="F273" s="286"/>
      <c r="G273" s="286"/>
      <c r="H273" s="381"/>
      <c r="I273" s="381"/>
      <c r="J273" s="381"/>
      <c r="K273" s="381"/>
      <c r="L273" s="381"/>
      <c r="M273" s="381"/>
      <c r="N273" s="381"/>
      <c r="O273" s="381"/>
      <c r="P273" s="381"/>
      <c r="Q273" s="381"/>
      <c r="R273" s="337">
        <f>SUM(R264:R272)</f>
        <v>98</v>
      </c>
      <c r="S273" s="379">
        <f>SUM(S264:S272)</f>
        <v>1</v>
      </c>
      <c r="T273" s="338">
        <f>SUM(T264:T272)</f>
        <v>14425</v>
      </c>
      <c r="U273" s="379">
        <f>SUM(U264:U272)</f>
        <v>1.0000000000000002</v>
      </c>
      <c r="V273" s="286"/>
      <c r="W273" s="289"/>
      <c r="X273" s="5"/>
    </row>
    <row r="274" spans="1:24" ht="15.75" x14ac:dyDescent="0.25">
      <c r="A274" s="181"/>
      <c r="B274" s="212"/>
      <c r="C274" s="212"/>
      <c r="D274" s="212"/>
      <c r="E274" s="212"/>
      <c r="F274" s="212"/>
      <c r="G274" s="212"/>
      <c r="H274" s="375"/>
      <c r="I274" s="375"/>
      <c r="J274" s="375"/>
      <c r="K274" s="375"/>
      <c r="L274" s="375"/>
      <c r="M274" s="375"/>
      <c r="N274" s="375"/>
      <c r="O274" s="375"/>
      <c r="P274" s="375"/>
      <c r="Q274" s="375"/>
      <c r="R274" s="335"/>
      <c r="S274" s="376"/>
      <c r="T274" s="377"/>
      <c r="U274" s="376"/>
      <c r="V274" s="212"/>
      <c r="W274" s="212"/>
      <c r="X274" s="5"/>
    </row>
    <row r="275" spans="1:24" ht="15.75" x14ac:dyDescent="0.25">
      <c r="A275" s="244"/>
      <c r="B275" s="399" t="s">
        <v>163</v>
      </c>
      <c r="C275" s="245"/>
      <c r="D275" s="245"/>
      <c r="E275" s="245"/>
      <c r="F275" s="245"/>
      <c r="G275" s="245"/>
      <c r="H275" s="247"/>
      <c r="I275" s="247"/>
      <c r="J275" s="247"/>
      <c r="K275" s="247"/>
      <c r="L275" s="247"/>
      <c r="M275" s="247"/>
      <c r="N275" s="247"/>
      <c r="O275" s="247"/>
      <c r="P275" s="247"/>
      <c r="Q275" s="247"/>
      <c r="R275" s="407" t="s">
        <v>102</v>
      </c>
      <c r="S275" s="400" t="s">
        <v>103</v>
      </c>
      <c r="T275" s="407" t="s">
        <v>109</v>
      </c>
      <c r="U275" s="400" t="s">
        <v>103</v>
      </c>
      <c r="V275" s="245"/>
      <c r="W275" s="246"/>
      <c r="X275" s="5"/>
    </row>
    <row r="276" spans="1:24" ht="15.75" x14ac:dyDescent="0.25">
      <c r="A276" s="248"/>
      <c r="B276" s="249" t="s">
        <v>88</v>
      </c>
      <c r="C276" s="250"/>
      <c r="D276" s="250"/>
      <c r="E276" s="250"/>
      <c r="F276" s="250"/>
      <c r="G276" s="250"/>
      <c r="H276" s="251"/>
      <c r="I276" s="251"/>
      <c r="J276" s="251"/>
      <c r="K276" s="251"/>
      <c r="L276" s="251"/>
      <c r="M276" s="251"/>
      <c r="N276" s="251"/>
      <c r="O276" s="251"/>
      <c r="P276" s="251"/>
      <c r="Q276" s="251"/>
      <c r="R276" s="249">
        <v>0</v>
      </c>
      <c r="S276" s="252">
        <v>0</v>
      </c>
      <c r="T276" s="253">
        <v>0</v>
      </c>
      <c r="U276" s="252">
        <v>0</v>
      </c>
      <c r="V276" s="250"/>
      <c r="W276" s="250"/>
      <c r="X276" s="5"/>
    </row>
    <row r="277" spans="1:24" ht="15.75" x14ac:dyDescent="0.25">
      <c r="A277" s="295"/>
      <c r="B277" s="337" t="s">
        <v>89</v>
      </c>
      <c r="C277" s="286"/>
      <c r="D277" s="286"/>
      <c r="E277" s="286"/>
      <c r="F277" s="286"/>
      <c r="G277" s="286"/>
      <c r="H277" s="381"/>
      <c r="I277" s="381"/>
      <c r="J277" s="381"/>
      <c r="K277" s="381"/>
      <c r="L277" s="381"/>
      <c r="M277" s="381"/>
      <c r="N277" s="381"/>
      <c r="O277" s="381"/>
      <c r="P277" s="381"/>
      <c r="Q277" s="381"/>
      <c r="R277" s="337">
        <v>0</v>
      </c>
      <c r="S277" s="379">
        <v>0</v>
      </c>
      <c r="T277" s="338">
        <v>0</v>
      </c>
      <c r="U277" s="379">
        <v>0</v>
      </c>
      <c r="V277" s="286"/>
      <c r="W277" s="289"/>
      <c r="X277" s="5"/>
    </row>
    <row r="278" spans="1:24" ht="15.75" x14ac:dyDescent="0.25">
      <c r="A278" s="295"/>
      <c r="B278" s="337" t="s">
        <v>90</v>
      </c>
      <c r="C278" s="286"/>
      <c r="D278" s="286"/>
      <c r="E278" s="286"/>
      <c r="F278" s="286"/>
      <c r="G278" s="286"/>
      <c r="H278" s="381"/>
      <c r="I278" s="381"/>
      <c r="J278" s="381"/>
      <c r="K278" s="381"/>
      <c r="L278" s="381"/>
      <c r="M278" s="381"/>
      <c r="N278" s="381"/>
      <c r="O278" s="381"/>
      <c r="P278" s="381"/>
      <c r="Q278" s="381"/>
      <c r="R278" s="337">
        <v>0</v>
      </c>
      <c r="S278" s="379">
        <v>0</v>
      </c>
      <c r="T278" s="338">
        <v>0</v>
      </c>
      <c r="U278" s="379">
        <v>0</v>
      </c>
      <c r="V278" s="286"/>
      <c r="W278" s="289"/>
      <c r="X278" s="5"/>
    </row>
    <row r="279" spans="1:24" ht="15.75" x14ac:dyDescent="0.25">
      <c r="A279" s="295"/>
      <c r="B279" s="337" t="s">
        <v>156</v>
      </c>
      <c r="C279" s="286"/>
      <c r="D279" s="286"/>
      <c r="E279" s="286"/>
      <c r="F279" s="286"/>
      <c r="G279" s="286"/>
      <c r="H279" s="381"/>
      <c r="I279" s="381"/>
      <c r="J279" s="381"/>
      <c r="K279" s="381"/>
      <c r="L279" s="381"/>
      <c r="M279" s="381"/>
      <c r="N279" s="381"/>
      <c r="O279" s="381"/>
      <c r="P279" s="381"/>
      <c r="Q279" s="381"/>
      <c r="R279" s="337">
        <v>0</v>
      </c>
      <c r="S279" s="379">
        <v>0</v>
      </c>
      <c r="T279" s="338">
        <v>0</v>
      </c>
      <c r="U279" s="379">
        <v>0</v>
      </c>
      <c r="V279" s="286"/>
      <c r="W279" s="289"/>
      <c r="X279" s="5"/>
    </row>
    <row r="280" spans="1:24" ht="15.75" x14ac:dyDescent="0.25">
      <c r="A280" s="295"/>
      <c r="B280" s="337" t="s">
        <v>157</v>
      </c>
      <c r="C280" s="286"/>
      <c r="D280" s="286"/>
      <c r="E280" s="286"/>
      <c r="F280" s="286"/>
      <c r="G280" s="286"/>
      <c r="H280" s="381"/>
      <c r="I280" s="381"/>
      <c r="J280" s="381"/>
      <c r="K280" s="381"/>
      <c r="L280" s="381"/>
      <c r="M280" s="381"/>
      <c r="N280" s="381"/>
      <c r="O280" s="381"/>
      <c r="P280" s="381"/>
      <c r="Q280" s="381"/>
      <c r="R280" s="337">
        <v>0</v>
      </c>
      <c r="S280" s="379">
        <v>0</v>
      </c>
      <c r="T280" s="338">
        <v>0</v>
      </c>
      <c r="U280" s="379">
        <v>0</v>
      </c>
      <c r="V280" s="286"/>
      <c r="W280" s="289"/>
      <c r="X280" s="5"/>
    </row>
    <row r="281" spans="1:24" ht="15.75" x14ac:dyDescent="0.25">
      <c r="A281" s="295"/>
      <c r="B281" s="337" t="s">
        <v>158</v>
      </c>
      <c r="C281" s="286"/>
      <c r="D281" s="286"/>
      <c r="E281" s="286"/>
      <c r="F281" s="286"/>
      <c r="G281" s="286"/>
      <c r="H281" s="381"/>
      <c r="I281" s="381"/>
      <c r="J281" s="381"/>
      <c r="K281" s="381"/>
      <c r="L281" s="381"/>
      <c r="M281" s="381"/>
      <c r="N281" s="381"/>
      <c r="O281" s="381"/>
      <c r="P281" s="381"/>
      <c r="Q281" s="381"/>
      <c r="R281" s="337">
        <v>0</v>
      </c>
      <c r="S281" s="379">
        <v>0</v>
      </c>
      <c r="T281" s="338">
        <v>0</v>
      </c>
      <c r="U281" s="379">
        <v>0</v>
      </c>
      <c r="V281" s="286"/>
      <c r="W281" s="289"/>
      <c r="X281" s="5"/>
    </row>
    <row r="282" spans="1:24" ht="15.75" x14ac:dyDescent="0.25">
      <c r="A282" s="295"/>
      <c r="B282" s="337" t="s">
        <v>159</v>
      </c>
      <c r="C282" s="286"/>
      <c r="D282" s="286"/>
      <c r="E282" s="286"/>
      <c r="F282" s="286"/>
      <c r="G282" s="286"/>
      <c r="H282" s="381"/>
      <c r="I282" s="381"/>
      <c r="J282" s="381"/>
      <c r="K282" s="381"/>
      <c r="L282" s="381"/>
      <c r="M282" s="381"/>
      <c r="N282" s="381"/>
      <c r="O282" s="381"/>
      <c r="P282" s="381"/>
      <c r="Q282" s="381"/>
      <c r="R282" s="337">
        <v>0</v>
      </c>
      <c r="S282" s="379">
        <v>0</v>
      </c>
      <c r="T282" s="338">
        <v>0</v>
      </c>
      <c r="U282" s="379">
        <v>0</v>
      </c>
      <c r="V282" s="286"/>
      <c r="W282" s="289"/>
      <c r="X282" s="5"/>
    </row>
    <row r="283" spans="1:24" ht="15.75" x14ac:dyDescent="0.25">
      <c r="A283" s="295"/>
      <c r="B283" s="337" t="s">
        <v>160</v>
      </c>
      <c r="C283" s="286"/>
      <c r="D283" s="286"/>
      <c r="E283" s="286"/>
      <c r="F283" s="286"/>
      <c r="G283" s="286"/>
      <c r="H283" s="381"/>
      <c r="I283" s="381"/>
      <c r="J283" s="381"/>
      <c r="K283" s="381"/>
      <c r="L283" s="381"/>
      <c r="M283" s="381"/>
      <c r="N283" s="381"/>
      <c r="O283" s="381"/>
      <c r="P283" s="381"/>
      <c r="Q283" s="381"/>
      <c r="R283" s="337">
        <v>0</v>
      </c>
      <c r="S283" s="379">
        <v>0</v>
      </c>
      <c r="T283" s="338">
        <v>0</v>
      </c>
      <c r="U283" s="379">
        <v>0</v>
      </c>
      <c r="V283" s="286"/>
      <c r="W283" s="289"/>
      <c r="X283" s="5"/>
    </row>
    <row r="284" spans="1:24" ht="15.75" x14ac:dyDescent="0.25">
      <c r="A284" s="295"/>
      <c r="B284" s="337"/>
      <c r="C284" s="286"/>
      <c r="D284" s="286"/>
      <c r="E284" s="286"/>
      <c r="F284" s="286"/>
      <c r="G284" s="286"/>
      <c r="H284" s="381"/>
      <c r="I284" s="381"/>
      <c r="J284" s="381"/>
      <c r="K284" s="381"/>
      <c r="L284" s="381"/>
      <c r="M284" s="381"/>
      <c r="N284" s="381"/>
      <c r="O284" s="381"/>
      <c r="P284" s="381"/>
      <c r="Q284" s="381"/>
      <c r="R284" s="337"/>
      <c r="S284" s="379"/>
      <c r="T284" s="338"/>
      <c r="U284" s="379"/>
      <c r="V284" s="286"/>
      <c r="W284" s="289"/>
      <c r="X284" s="5"/>
    </row>
    <row r="285" spans="1:24" ht="15.75" x14ac:dyDescent="0.25">
      <c r="A285" s="295"/>
      <c r="B285" s="286" t="s">
        <v>114</v>
      </c>
      <c r="C285" s="286"/>
      <c r="D285" s="286"/>
      <c r="E285" s="286"/>
      <c r="F285" s="286"/>
      <c r="G285" s="286"/>
      <c r="H285" s="381"/>
      <c r="I285" s="381"/>
      <c r="J285" s="381"/>
      <c r="K285" s="381"/>
      <c r="L285" s="381"/>
      <c r="M285" s="381"/>
      <c r="N285" s="381"/>
      <c r="O285" s="381"/>
      <c r="P285" s="381"/>
      <c r="Q285" s="381"/>
      <c r="R285" s="337">
        <f>SUM(R276:R283)</f>
        <v>0</v>
      </c>
      <c r="S285" s="379">
        <f>SUM(S276:S283)</f>
        <v>0</v>
      </c>
      <c r="T285" s="338">
        <f>SUM(T276:T283)</f>
        <v>0</v>
      </c>
      <c r="U285" s="379">
        <f>SUM(U276:U283)</f>
        <v>0</v>
      </c>
      <c r="V285" s="286"/>
      <c r="W285" s="289"/>
      <c r="X285" s="5"/>
    </row>
    <row r="286" spans="1:24" ht="15.75" x14ac:dyDescent="0.25">
      <c r="A286" s="295"/>
      <c r="B286" s="286"/>
      <c r="C286" s="286"/>
      <c r="D286" s="286"/>
      <c r="E286" s="286"/>
      <c r="F286" s="286"/>
      <c r="G286" s="286"/>
      <c r="H286" s="381"/>
      <c r="I286" s="381"/>
      <c r="J286" s="381"/>
      <c r="K286" s="381"/>
      <c r="L286" s="381"/>
      <c r="M286" s="381"/>
      <c r="N286" s="381"/>
      <c r="O286" s="381"/>
      <c r="P286" s="381"/>
      <c r="Q286" s="381"/>
      <c r="R286" s="337"/>
      <c r="S286" s="379"/>
      <c r="T286" s="338"/>
      <c r="U286" s="379"/>
      <c r="V286" s="286"/>
      <c r="W286" s="289"/>
      <c r="X286" s="5"/>
    </row>
    <row r="287" spans="1:24" ht="15.75" x14ac:dyDescent="0.25">
      <c r="A287" s="295"/>
      <c r="B287" s="297" t="s">
        <v>164</v>
      </c>
      <c r="C287" s="286"/>
      <c r="D287" s="286"/>
      <c r="E287" s="286"/>
      <c r="F287" s="286"/>
      <c r="G287" s="286"/>
      <c r="H287" s="381"/>
      <c r="I287" s="381"/>
      <c r="J287" s="381"/>
      <c r="K287" s="381"/>
      <c r="L287" s="381"/>
      <c r="M287" s="381"/>
      <c r="N287" s="381"/>
      <c r="O287" s="381"/>
      <c r="P287" s="381"/>
      <c r="Q287" s="381"/>
      <c r="R287" s="384">
        <f>R285+R273+R261</f>
        <v>5422</v>
      </c>
      <c r="S287" s="379"/>
      <c r="T287" s="410">
        <f>+T285+T273+T261</f>
        <v>761158</v>
      </c>
      <c r="U287" s="379"/>
      <c r="V287" s="286"/>
      <c r="W287" s="289"/>
      <c r="X287" s="5"/>
    </row>
    <row r="288" spans="1:24" ht="15.75" x14ac:dyDescent="0.25">
      <c r="A288" s="254"/>
      <c r="B288" s="346"/>
      <c r="C288" s="346"/>
      <c r="D288" s="346"/>
      <c r="E288" s="346"/>
      <c r="F288" s="346"/>
      <c r="G288" s="346"/>
      <c r="H288" s="382"/>
      <c r="I288" s="382"/>
      <c r="J288" s="382"/>
      <c r="K288" s="382"/>
      <c r="L288" s="382"/>
      <c r="M288" s="382"/>
      <c r="N288" s="382"/>
      <c r="O288" s="382"/>
      <c r="P288" s="382"/>
      <c r="Q288" s="382"/>
      <c r="R288" s="382"/>
      <c r="S288" s="382"/>
      <c r="T288" s="383"/>
      <c r="U288" s="382"/>
      <c r="V288" s="346"/>
      <c r="W288" s="346"/>
      <c r="X288" s="5"/>
    </row>
    <row r="289" spans="1:24" ht="15.75" x14ac:dyDescent="0.25">
      <c r="A289" s="254"/>
      <c r="B289" s="255"/>
      <c r="C289" s="255"/>
      <c r="D289" s="255"/>
      <c r="E289" s="255"/>
      <c r="F289" s="255"/>
      <c r="G289" s="255"/>
      <c r="H289" s="256"/>
      <c r="I289" s="256"/>
      <c r="J289" s="256"/>
      <c r="K289" s="256"/>
      <c r="L289" s="256"/>
      <c r="M289" s="256"/>
      <c r="N289" s="256"/>
      <c r="O289" s="256"/>
      <c r="P289" s="256"/>
      <c r="Q289" s="256"/>
      <c r="R289" s="256"/>
      <c r="S289" s="256"/>
      <c r="T289" s="257"/>
      <c r="U289" s="256"/>
      <c r="V289" s="255"/>
      <c r="W289" s="255"/>
      <c r="X289" s="5"/>
    </row>
    <row r="290" spans="1:24" ht="15.75" x14ac:dyDescent="0.25">
      <c r="A290" s="258"/>
      <c r="B290" s="388" t="s">
        <v>91</v>
      </c>
      <c r="C290" s="255"/>
      <c r="D290" s="255"/>
      <c r="E290" s="255"/>
      <c r="F290" s="391" t="s">
        <v>97</v>
      </c>
      <c r="G290" s="255"/>
      <c r="H290" s="388" t="s">
        <v>99</v>
      </c>
      <c r="I290" s="388"/>
      <c r="J290" s="388"/>
      <c r="K290" s="261"/>
      <c r="L290" s="261"/>
      <c r="M290" s="261"/>
      <c r="N290" s="261"/>
      <c r="O290" s="261"/>
      <c r="P290" s="261"/>
      <c r="Q290" s="261"/>
      <c r="R290" s="261"/>
      <c r="S290" s="261"/>
      <c r="T290" s="261"/>
      <c r="U290" s="261"/>
      <c r="V290" s="261"/>
      <c r="W290" s="261"/>
      <c r="X290" s="5"/>
    </row>
    <row r="291" spans="1:24" ht="15.75" x14ac:dyDescent="0.25">
      <c r="A291" s="258"/>
      <c r="B291" s="261"/>
      <c r="C291" s="255"/>
      <c r="D291" s="255"/>
      <c r="E291" s="255"/>
      <c r="F291" s="255"/>
      <c r="G291" s="255"/>
      <c r="H291" s="255"/>
      <c r="I291" s="255"/>
      <c r="J291" s="255"/>
      <c r="K291" s="261"/>
      <c r="L291" s="261"/>
      <c r="M291" s="261"/>
      <c r="N291" s="261"/>
      <c r="O291" s="261"/>
      <c r="P291" s="261"/>
      <c r="Q291" s="261"/>
      <c r="R291" s="261"/>
      <c r="S291" s="261"/>
      <c r="T291" s="261"/>
      <c r="U291" s="261"/>
      <c r="V291" s="261"/>
      <c r="W291" s="261"/>
      <c r="X291" s="5"/>
    </row>
    <row r="292" spans="1:24" ht="15.75" x14ac:dyDescent="0.25">
      <c r="A292" s="258"/>
      <c r="B292" s="388" t="s">
        <v>318</v>
      </c>
      <c r="C292" s="388"/>
      <c r="D292" s="388"/>
      <c r="E292" s="388"/>
      <c r="F292" s="411" t="s">
        <v>148</v>
      </c>
      <c r="G292" s="388"/>
      <c r="H292" s="388" t="s">
        <v>152</v>
      </c>
      <c r="I292" s="388"/>
      <c r="J292" s="388"/>
      <c r="K292" s="261"/>
      <c r="L292" s="261"/>
      <c r="M292" s="261"/>
      <c r="N292" s="261"/>
      <c r="O292" s="261"/>
      <c r="P292" s="261"/>
      <c r="Q292" s="261"/>
      <c r="R292" s="261"/>
      <c r="S292" s="261"/>
      <c r="T292" s="261"/>
      <c r="U292" s="261"/>
      <c r="V292" s="261"/>
      <c r="W292" s="261"/>
      <c r="X292" s="5"/>
    </row>
    <row r="293" spans="1:24" ht="15.75" x14ac:dyDescent="0.25">
      <c r="A293" s="258"/>
      <c r="B293" s="388" t="s">
        <v>319</v>
      </c>
      <c r="C293" s="388"/>
      <c r="D293" s="388"/>
      <c r="E293" s="388"/>
      <c r="F293" s="411" t="s">
        <v>266</v>
      </c>
      <c r="G293" s="388"/>
      <c r="H293" s="388" t="s">
        <v>267</v>
      </c>
      <c r="I293" s="388"/>
      <c r="J293" s="388"/>
      <c r="K293" s="261"/>
      <c r="L293" s="261"/>
      <c r="M293" s="261"/>
      <c r="N293" s="261"/>
      <c r="O293" s="261"/>
      <c r="P293" s="261"/>
      <c r="Q293" s="261"/>
      <c r="R293" s="261"/>
      <c r="S293" s="261"/>
      <c r="T293" s="261"/>
      <c r="U293" s="261"/>
      <c r="V293" s="261"/>
      <c r="W293" s="261"/>
      <c r="X293" s="5"/>
    </row>
    <row r="294" spans="1:24" ht="15.75" x14ac:dyDescent="0.25">
      <c r="A294" s="258"/>
      <c r="B294" s="388" t="s">
        <v>320</v>
      </c>
      <c r="C294" s="388"/>
      <c r="D294" s="388"/>
      <c r="E294" s="388"/>
      <c r="F294" s="411" t="s">
        <v>147</v>
      </c>
      <c r="G294" s="388"/>
      <c r="H294" s="388" t="s">
        <v>153</v>
      </c>
      <c r="I294" s="388"/>
      <c r="J294" s="388"/>
      <c r="K294" s="261"/>
      <c r="L294" s="261"/>
      <c r="M294" s="261"/>
      <c r="N294" s="261"/>
      <c r="O294" s="261"/>
      <c r="P294" s="261"/>
      <c r="Q294" s="261"/>
      <c r="R294" s="261"/>
      <c r="S294" s="261"/>
      <c r="T294" s="261"/>
      <c r="U294" s="261"/>
      <c r="V294" s="261"/>
      <c r="W294" s="261"/>
      <c r="X294" s="5"/>
    </row>
    <row r="295" spans="1:24" ht="15.75" x14ac:dyDescent="0.25">
      <c r="A295" s="258"/>
      <c r="B295" s="388"/>
      <c r="C295" s="388"/>
      <c r="D295" s="388"/>
      <c r="E295" s="388"/>
      <c r="F295" s="388"/>
      <c r="G295" s="263"/>
      <c r="H295" s="261"/>
      <c r="I295" s="261"/>
      <c r="J295" s="261"/>
      <c r="K295" s="261"/>
      <c r="L295" s="261"/>
      <c r="M295" s="261"/>
      <c r="N295" s="261"/>
      <c r="O295" s="261"/>
      <c r="P295" s="261"/>
      <c r="Q295" s="261"/>
      <c r="R295" s="261"/>
      <c r="S295" s="261"/>
      <c r="T295" s="261"/>
      <c r="U295" s="261"/>
      <c r="V295" s="261"/>
      <c r="W295" s="261"/>
      <c r="X295" s="5"/>
    </row>
    <row r="296" spans="1:24" ht="15.75" x14ac:dyDescent="0.25">
      <c r="A296" s="258"/>
      <c r="B296" s="388"/>
      <c r="C296" s="388"/>
      <c r="D296" s="388"/>
      <c r="E296" s="388"/>
      <c r="F296" s="388"/>
      <c r="G296" s="263"/>
      <c r="H296" s="261"/>
      <c r="I296" s="261"/>
      <c r="J296" s="261"/>
      <c r="K296" s="261"/>
      <c r="L296" s="261"/>
      <c r="M296" s="261"/>
      <c r="N296" s="261"/>
      <c r="O296" s="261"/>
      <c r="P296" s="261"/>
      <c r="Q296" s="261"/>
      <c r="R296" s="261"/>
      <c r="S296" s="261"/>
      <c r="T296" s="261"/>
      <c r="U296" s="261"/>
      <c r="V296" s="261"/>
      <c r="W296" s="261"/>
      <c r="X296" s="5"/>
    </row>
    <row r="297" spans="1:24" ht="19.5" thickBot="1" x14ac:dyDescent="0.35">
      <c r="A297" s="258"/>
      <c r="B297" s="264" t="str">
        <f>B201</f>
        <v>PM15 INVESTOR REPORT QUARTER ENDING NOVEMBER 2014</v>
      </c>
      <c r="C297" s="388"/>
      <c r="D297" s="388"/>
      <c r="E297" s="388"/>
      <c r="F297" s="388"/>
      <c r="G297" s="263"/>
      <c r="H297" s="261"/>
      <c r="I297" s="261"/>
      <c r="J297" s="261"/>
      <c r="K297" s="261"/>
      <c r="L297" s="261"/>
      <c r="M297" s="261"/>
      <c r="N297" s="261"/>
      <c r="O297" s="261"/>
      <c r="P297" s="261"/>
      <c r="Q297" s="261"/>
      <c r="R297" s="261"/>
      <c r="S297" s="261"/>
      <c r="T297" s="261"/>
      <c r="U297" s="261"/>
      <c r="V297" s="261"/>
      <c r="W297" s="261"/>
      <c r="X297" s="5"/>
    </row>
    <row r="298" spans="1:24" x14ac:dyDescent="0.2">
      <c r="A298" s="100"/>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00"/>
    </row>
  </sheetData>
  <hyperlinks>
    <hyperlink ref="P237" r:id="rId1" xr:uid="{00000000-0004-0000-1C00-000000000000}"/>
    <hyperlink ref="I9" r:id="rId2" xr:uid="{00000000-0004-0000-1C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5" max="14" man="1"/>
    <brk id="201" max="14"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4"/>
  </sheetPr>
  <dimension ref="A1:IV285"/>
  <sheetViews>
    <sheetView showGridLines="0" showOutlineSymbols="0" zoomScale="70" zoomScaleNormal="70" workbookViewId="0"/>
  </sheetViews>
  <sheetFormatPr defaultColWidth="9.6640625" defaultRowHeight="15" x14ac:dyDescent="0.2"/>
  <cols>
    <col min="1" max="1" width="4" style="1" customWidth="1"/>
    <col min="2" max="2" width="71.21875" style="1" customWidth="1"/>
    <col min="3" max="3" width="2.21875" style="1" customWidth="1"/>
    <col min="4" max="4" width="19.33203125" style="1" customWidth="1"/>
    <col min="5" max="5" width="2.21875" style="1" customWidth="1"/>
    <col min="6" max="6" width="25.109375" style="1" customWidth="1"/>
    <col min="7" max="7" width="2.21875" style="1" customWidth="1"/>
    <col min="8" max="8" width="16.21875" style="1" customWidth="1"/>
    <col min="9" max="9" width="2.88671875" style="1" customWidth="1"/>
    <col min="10" max="10" width="16.21875" style="1" customWidth="1"/>
    <col min="11" max="11" width="2.21875" style="1" customWidth="1"/>
    <col min="12" max="12" width="17.88671875" style="1" customWidth="1"/>
    <col min="13" max="13" width="2.33203125" style="1" customWidth="1"/>
    <col min="14" max="14" width="14.88671875" style="1" customWidth="1"/>
    <col min="15" max="15" width="2.33203125" style="1" customWidth="1"/>
    <col min="16" max="16" width="15.5546875" style="1" customWidth="1"/>
    <col min="17" max="17" width="2.21875" style="1" customWidth="1"/>
    <col min="18" max="18" width="15.5546875" style="1" customWidth="1"/>
    <col min="19" max="20" width="12.6640625" style="1" customWidth="1"/>
    <col min="21" max="21" width="7.77734375" style="1" customWidth="1"/>
    <col min="22" max="22" width="14.6640625" style="1" customWidth="1"/>
    <col min="23" max="23" width="11.77734375" style="1" customWidth="1"/>
    <col min="24" max="16384" width="9.6640625" style="1"/>
  </cols>
  <sheetData>
    <row r="1" spans="1:24" ht="20.25" x14ac:dyDescent="0.3">
      <c r="A1" s="2"/>
      <c r="B1" s="3" t="s">
        <v>237</v>
      </c>
      <c r="C1" s="4"/>
      <c r="D1" s="4"/>
      <c r="E1" s="4"/>
      <c r="F1" s="4"/>
      <c r="G1" s="4"/>
      <c r="H1" s="4"/>
      <c r="I1" s="4"/>
      <c r="J1" s="4"/>
      <c r="K1" s="4"/>
      <c r="L1" s="4"/>
      <c r="M1" s="4"/>
      <c r="N1" s="4"/>
      <c r="O1" s="4"/>
      <c r="P1" s="4"/>
      <c r="Q1" s="4"/>
      <c r="R1" s="4"/>
      <c r="S1" s="4"/>
      <c r="T1" s="4"/>
      <c r="U1" s="4"/>
      <c r="V1" s="4"/>
      <c r="W1" s="4"/>
      <c r="X1" s="5"/>
    </row>
    <row r="2" spans="1:24" ht="15.75" x14ac:dyDescent="0.25">
      <c r="A2" s="6"/>
      <c r="B2" s="7"/>
      <c r="C2" s="8"/>
      <c r="D2" s="8"/>
      <c r="E2" s="8"/>
      <c r="F2" s="8"/>
      <c r="G2" s="8"/>
      <c r="H2" s="8"/>
      <c r="I2" s="8"/>
      <c r="J2" s="8"/>
      <c r="K2" s="8"/>
      <c r="L2" s="8"/>
      <c r="M2" s="8"/>
      <c r="N2" s="8"/>
      <c r="O2" s="8"/>
      <c r="P2" s="8"/>
      <c r="Q2" s="8"/>
      <c r="R2" s="8"/>
      <c r="S2" s="8"/>
      <c r="T2" s="8"/>
      <c r="U2" s="8"/>
      <c r="V2" s="8"/>
      <c r="W2" s="8"/>
      <c r="X2" s="5"/>
    </row>
    <row r="3" spans="1:24" ht="15.75" x14ac:dyDescent="0.25">
      <c r="A3" s="9"/>
      <c r="B3" s="111" t="s">
        <v>238</v>
      </c>
      <c r="C3" s="8"/>
      <c r="D3" s="8"/>
      <c r="E3" s="8"/>
      <c r="F3" s="8"/>
      <c r="G3" s="8"/>
      <c r="H3" s="8"/>
      <c r="I3" s="8"/>
      <c r="J3" s="8"/>
      <c r="K3" s="8"/>
      <c r="L3" s="8"/>
      <c r="M3" s="8"/>
      <c r="N3" s="8"/>
      <c r="O3" s="8"/>
      <c r="P3" s="8"/>
      <c r="Q3" s="8"/>
      <c r="R3" s="8"/>
      <c r="S3" s="8"/>
      <c r="T3" s="8"/>
      <c r="U3" s="8"/>
      <c r="V3" s="8"/>
      <c r="W3" s="8"/>
      <c r="X3" s="5"/>
    </row>
    <row r="4" spans="1:24" ht="15.75" x14ac:dyDescent="0.25">
      <c r="A4" s="6"/>
      <c r="B4" s="7"/>
      <c r="C4" s="8"/>
      <c r="D4" s="8"/>
      <c r="E4" s="8"/>
      <c r="F4" s="8"/>
      <c r="G4" s="8"/>
      <c r="H4" s="8"/>
      <c r="I4" s="8"/>
      <c r="J4" s="8"/>
      <c r="K4" s="8"/>
      <c r="L4" s="8"/>
      <c r="M4" s="8"/>
      <c r="N4" s="8"/>
      <c r="O4" s="8"/>
      <c r="P4" s="8"/>
      <c r="Q4" s="8"/>
      <c r="R4" s="8"/>
      <c r="S4" s="8"/>
      <c r="T4" s="8"/>
      <c r="U4" s="8"/>
      <c r="V4" s="8"/>
      <c r="W4" s="8"/>
      <c r="X4" s="5"/>
    </row>
    <row r="5" spans="1:24" ht="15.75" x14ac:dyDescent="0.25">
      <c r="A5" s="6"/>
      <c r="B5" s="11" t="s">
        <v>137</v>
      </c>
      <c r="C5" s="8"/>
      <c r="D5" s="8"/>
      <c r="E5" s="8"/>
      <c r="F5" s="8"/>
      <c r="G5" s="8"/>
      <c r="H5" s="8"/>
      <c r="I5" s="8"/>
      <c r="J5" s="8"/>
      <c r="K5" s="8"/>
      <c r="L5" s="8"/>
      <c r="M5" s="8"/>
      <c r="N5" s="8"/>
      <c r="O5" s="8"/>
      <c r="P5" s="8"/>
      <c r="Q5" s="8"/>
      <c r="R5" s="8"/>
      <c r="S5" s="8"/>
      <c r="T5" s="8"/>
      <c r="U5" s="8"/>
      <c r="V5" s="8"/>
      <c r="W5" s="8"/>
      <c r="X5" s="5"/>
    </row>
    <row r="6" spans="1:24" ht="15.75" x14ac:dyDescent="0.25">
      <c r="A6" s="6"/>
      <c r="B6" s="11" t="s">
        <v>139</v>
      </c>
      <c r="C6" s="8"/>
      <c r="D6" s="8"/>
      <c r="E6" s="8"/>
      <c r="F6" s="8"/>
      <c r="G6" s="8"/>
      <c r="H6" s="8"/>
      <c r="I6" s="8"/>
      <c r="J6" s="8"/>
      <c r="K6" s="8"/>
      <c r="L6" s="8"/>
      <c r="M6" s="8"/>
      <c r="N6" s="8"/>
      <c r="O6" s="8"/>
      <c r="P6" s="8"/>
      <c r="Q6" s="8"/>
      <c r="R6" s="8"/>
      <c r="S6" s="8"/>
      <c r="T6" s="8"/>
      <c r="U6" s="8"/>
      <c r="V6" s="8"/>
      <c r="W6" s="8"/>
      <c r="X6" s="5"/>
    </row>
    <row r="7" spans="1:24" ht="15.75" x14ac:dyDescent="0.25">
      <c r="A7" s="6"/>
      <c r="B7" s="11" t="s">
        <v>138</v>
      </c>
      <c r="C7" s="8"/>
      <c r="D7" s="8"/>
      <c r="E7" s="8"/>
      <c r="F7" s="8"/>
      <c r="G7" s="8"/>
      <c r="H7" s="8"/>
      <c r="I7" s="8"/>
      <c r="J7" s="8"/>
      <c r="K7" s="8"/>
      <c r="L7" s="8"/>
      <c r="M7" s="8"/>
      <c r="N7" s="8"/>
      <c r="O7" s="8"/>
      <c r="P7" s="8"/>
      <c r="Q7" s="8"/>
      <c r="R7" s="8"/>
      <c r="S7" s="8"/>
      <c r="T7" s="8"/>
      <c r="U7" s="8"/>
      <c r="V7" s="8"/>
      <c r="W7" s="8"/>
      <c r="X7" s="5"/>
    </row>
    <row r="8" spans="1:24" ht="15.75" x14ac:dyDescent="0.25">
      <c r="A8" s="6"/>
      <c r="B8" s="11"/>
      <c r="C8" s="8"/>
      <c r="D8" s="8"/>
      <c r="E8" s="8"/>
      <c r="F8" s="8"/>
      <c r="G8" s="8"/>
      <c r="H8" s="8"/>
      <c r="I8" s="8"/>
      <c r="J8" s="8"/>
      <c r="K8" s="8"/>
      <c r="L8" s="8"/>
      <c r="M8" s="8"/>
      <c r="N8" s="8"/>
      <c r="O8" s="8"/>
      <c r="P8" s="8"/>
      <c r="Q8" s="8"/>
      <c r="R8" s="8"/>
      <c r="S8" s="8"/>
      <c r="T8" s="8"/>
      <c r="U8" s="8"/>
      <c r="V8" s="8"/>
      <c r="W8" s="8"/>
      <c r="X8" s="5"/>
    </row>
    <row r="9" spans="1:24" ht="18.75" x14ac:dyDescent="0.3">
      <c r="A9" s="6"/>
      <c r="B9" s="144" t="s">
        <v>166</v>
      </c>
      <c r="C9" s="8"/>
      <c r="D9" s="8"/>
      <c r="E9" s="8"/>
      <c r="F9" s="8"/>
      <c r="G9" s="8"/>
      <c r="H9" s="8"/>
      <c r="I9" s="145" t="s">
        <v>167</v>
      </c>
      <c r="J9" s="8"/>
      <c r="K9" s="8"/>
      <c r="L9" s="145"/>
      <c r="M9" s="8"/>
      <c r="N9" s="145"/>
      <c r="O9" s="8"/>
      <c r="P9" s="8"/>
      <c r="Q9" s="8"/>
      <c r="R9" s="8"/>
      <c r="S9" s="8"/>
      <c r="T9" s="8"/>
      <c r="U9" s="8"/>
      <c r="V9" s="8"/>
      <c r="W9" s="8"/>
      <c r="X9" s="5"/>
    </row>
    <row r="10" spans="1:24" ht="15.75" x14ac:dyDescent="0.25">
      <c r="A10" s="6"/>
      <c r="B10" s="11"/>
      <c r="C10" s="13"/>
      <c r="D10" s="13"/>
      <c r="E10" s="13"/>
      <c r="F10" s="8"/>
      <c r="G10" s="8"/>
      <c r="H10" s="8"/>
      <c r="I10" s="8"/>
      <c r="J10" s="8"/>
      <c r="K10" s="8"/>
      <c r="L10" s="8"/>
      <c r="M10" s="8"/>
      <c r="N10" s="8"/>
      <c r="O10" s="8"/>
      <c r="P10" s="8"/>
      <c r="Q10" s="8"/>
      <c r="R10" s="8"/>
      <c r="S10" s="8"/>
      <c r="T10" s="8"/>
      <c r="U10" s="8"/>
      <c r="V10" s="8"/>
      <c r="W10" s="8"/>
      <c r="X10" s="5"/>
    </row>
    <row r="11" spans="1:24" ht="15.75" x14ac:dyDescent="0.25">
      <c r="A11" s="6"/>
      <c r="B11" s="14" t="s">
        <v>0</v>
      </c>
      <c r="C11" s="8"/>
      <c r="D11" s="8"/>
      <c r="E11" s="8"/>
      <c r="F11" s="8"/>
      <c r="G11" s="8"/>
      <c r="H11" s="8"/>
      <c r="I11" s="8"/>
      <c r="J11" s="8"/>
      <c r="K11" s="8"/>
      <c r="L11" s="8"/>
      <c r="M11" s="8"/>
      <c r="N11" s="8"/>
      <c r="O11" s="8"/>
      <c r="P11" s="8"/>
      <c r="Q11" s="8"/>
      <c r="R11" s="8"/>
      <c r="S11" s="8"/>
      <c r="T11" s="8"/>
      <c r="U11" s="8"/>
      <c r="V11" s="8"/>
      <c r="W11" s="8"/>
      <c r="X11" s="5"/>
    </row>
    <row r="12" spans="1:24" ht="16.5" thickBot="1" x14ac:dyDescent="0.3">
      <c r="A12" s="6"/>
      <c r="B12" s="13"/>
      <c r="C12" s="8"/>
      <c r="D12" s="8"/>
      <c r="E12" s="8"/>
      <c r="F12" s="8"/>
      <c r="G12" s="8"/>
      <c r="H12" s="8"/>
      <c r="I12" s="8"/>
      <c r="J12" s="8"/>
      <c r="K12" s="8"/>
      <c r="L12" s="8"/>
      <c r="M12" s="8"/>
      <c r="N12" s="8"/>
      <c r="O12" s="8"/>
      <c r="P12" s="8"/>
      <c r="Q12" s="8"/>
      <c r="R12" s="8"/>
      <c r="S12" s="8"/>
      <c r="T12" s="8"/>
      <c r="U12" s="8"/>
      <c r="V12" s="8"/>
      <c r="W12" s="8"/>
      <c r="X12" s="5"/>
    </row>
    <row r="13" spans="1:24" ht="15.75" x14ac:dyDescent="0.25">
      <c r="A13" s="2"/>
      <c r="B13" s="4"/>
      <c r="C13" s="4"/>
      <c r="D13" s="4"/>
      <c r="E13" s="4"/>
      <c r="F13" s="4"/>
      <c r="G13" s="4"/>
      <c r="H13" s="4"/>
      <c r="I13" s="4"/>
      <c r="J13" s="4"/>
      <c r="K13" s="4"/>
      <c r="L13" s="4"/>
      <c r="M13" s="4"/>
      <c r="N13" s="4"/>
      <c r="O13" s="4"/>
      <c r="P13" s="4"/>
      <c r="Q13" s="4"/>
      <c r="R13" s="4"/>
      <c r="S13" s="4"/>
      <c r="T13" s="4"/>
      <c r="U13" s="4"/>
      <c r="V13" s="4"/>
      <c r="W13" s="4"/>
      <c r="X13" s="5"/>
    </row>
    <row r="14" spans="1:24" ht="15.75" x14ac:dyDescent="0.25">
      <c r="A14" s="6"/>
      <c r="B14" s="14" t="s">
        <v>1</v>
      </c>
      <c r="C14" s="15"/>
      <c r="D14" s="15"/>
      <c r="E14" s="15"/>
      <c r="F14" s="15"/>
      <c r="G14" s="15"/>
      <c r="H14" s="15"/>
      <c r="I14" s="15"/>
      <c r="J14" s="15"/>
      <c r="K14" s="15"/>
      <c r="L14" s="15"/>
      <c r="M14" s="15"/>
      <c r="N14" s="15"/>
      <c r="O14" s="15"/>
      <c r="P14" s="15"/>
      <c r="Q14" s="15"/>
      <c r="R14" s="15"/>
      <c r="S14" s="15"/>
      <c r="T14" s="15"/>
      <c r="U14" s="15"/>
      <c r="V14" s="16" t="s">
        <v>239</v>
      </c>
      <c r="W14" s="15"/>
      <c r="X14" s="5"/>
    </row>
    <row r="15" spans="1:24" ht="15.75" x14ac:dyDescent="0.25">
      <c r="A15" s="6"/>
      <c r="B15" s="14" t="s">
        <v>2</v>
      </c>
      <c r="C15" s="15"/>
      <c r="D15" s="15"/>
      <c r="E15" s="15"/>
      <c r="F15" s="15"/>
      <c r="G15" s="15"/>
      <c r="H15" s="18"/>
      <c r="I15" s="18"/>
      <c r="J15" s="18"/>
      <c r="K15" s="18"/>
      <c r="L15" s="18"/>
      <c r="M15" s="18"/>
      <c r="N15" s="18"/>
      <c r="O15" s="18"/>
      <c r="P15" s="18"/>
      <c r="Q15" s="18"/>
      <c r="R15" s="18" t="s">
        <v>104</v>
      </c>
      <c r="S15" s="134">
        <v>0.47189999999999999</v>
      </c>
      <c r="T15" s="17" t="s">
        <v>140</v>
      </c>
      <c r="U15" s="134">
        <v>0.52810000000000001</v>
      </c>
      <c r="V15" s="16"/>
      <c r="W15" s="15"/>
      <c r="X15" s="5"/>
    </row>
    <row r="16" spans="1:24" ht="15.75" x14ac:dyDescent="0.25">
      <c r="A16" s="6"/>
      <c r="B16" s="14" t="s">
        <v>3</v>
      </c>
      <c r="C16" s="15"/>
      <c r="D16" s="15"/>
      <c r="E16" s="15"/>
      <c r="F16" s="15"/>
      <c r="G16" s="15"/>
      <c r="H16" s="18"/>
      <c r="I16" s="18"/>
      <c r="J16" s="18"/>
      <c r="K16" s="18"/>
      <c r="L16" s="18"/>
      <c r="M16" s="18"/>
      <c r="N16" s="18"/>
      <c r="O16" s="18"/>
      <c r="P16" s="18"/>
      <c r="Q16" s="18"/>
      <c r="R16" s="18" t="s">
        <v>104</v>
      </c>
      <c r="S16" s="134">
        <v>0.48509999999999998</v>
      </c>
      <c r="T16" s="17" t="s">
        <v>140</v>
      </c>
      <c r="U16" s="134">
        <v>0.51490000000000002</v>
      </c>
      <c r="V16" s="16"/>
      <c r="W16" s="15"/>
      <c r="X16" s="5"/>
    </row>
    <row r="17" spans="1:24" ht="15.75" x14ac:dyDescent="0.25">
      <c r="A17" s="6"/>
      <c r="B17" s="14" t="s">
        <v>4</v>
      </c>
      <c r="C17" s="15"/>
      <c r="D17" s="15"/>
      <c r="E17" s="15"/>
      <c r="F17" s="15"/>
      <c r="G17" s="15"/>
      <c r="H17" s="15"/>
      <c r="I17" s="15"/>
      <c r="J17" s="15"/>
      <c r="K17" s="15"/>
      <c r="L17" s="15"/>
      <c r="M17" s="15"/>
      <c r="N17" s="15"/>
      <c r="O17" s="15"/>
      <c r="P17" s="15"/>
      <c r="Q17" s="15"/>
      <c r="R17" s="15"/>
      <c r="S17" s="15"/>
      <c r="T17" s="15"/>
      <c r="U17" s="15"/>
      <c r="V17" s="19">
        <v>39282</v>
      </c>
      <c r="W17" s="15"/>
      <c r="X17" s="5"/>
    </row>
    <row r="18" spans="1:24" ht="15.75" x14ac:dyDescent="0.25">
      <c r="A18" s="6"/>
      <c r="B18" s="14" t="s">
        <v>5</v>
      </c>
      <c r="C18" s="15"/>
      <c r="D18" s="15"/>
      <c r="E18" s="15"/>
      <c r="F18" s="15"/>
      <c r="G18" s="15"/>
      <c r="H18" s="15"/>
      <c r="I18" s="15"/>
      <c r="J18" s="15"/>
      <c r="K18" s="15"/>
      <c r="L18" s="15"/>
      <c r="M18" s="15"/>
      <c r="N18" s="15"/>
      <c r="O18" s="15"/>
      <c r="P18" s="15"/>
      <c r="Q18" s="15"/>
      <c r="R18" s="15"/>
      <c r="S18" s="15"/>
      <c r="T18" s="15"/>
      <c r="U18" s="15"/>
      <c r="V18" s="19">
        <v>39622</v>
      </c>
      <c r="W18" s="15"/>
      <c r="X18" s="5"/>
    </row>
    <row r="19" spans="1:24" ht="15.75" x14ac:dyDescent="0.25">
      <c r="A19" s="6"/>
      <c r="B19" s="8"/>
      <c r="C19" s="8"/>
      <c r="D19" s="8"/>
      <c r="E19" s="8"/>
      <c r="F19" s="8"/>
      <c r="G19" s="8"/>
      <c r="H19" s="8"/>
      <c r="I19" s="8"/>
      <c r="J19" s="8"/>
      <c r="K19" s="8"/>
      <c r="L19" s="8"/>
      <c r="M19" s="8"/>
      <c r="N19" s="8"/>
      <c r="O19" s="8"/>
      <c r="P19" s="8"/>
      <c r="Q19" s="8"/>
      <c r="R19" s="8"/>
      <c r="S19" s="8"/>
      <c r="T19" s="8"/>
      <c r="U19" s="8"/>
      <c r="V19" s="20"/>
      <c r="W19" s="8"/>
      <c r="X19" s="5"/>
    </row>
    <row r="20" spans="1:24" ht="15.75" x14ac:dyDescent="0.25">
      <c r="A20" s="6"/>
      <c r="B20" s="21" t="s">
        <v>6</v>
      </c>
      <c r="C20" s="8"/>
      <c r="D20" s="8"/>
      <c r="E20" s="8"/>
      <c r="F20" s="8"/>
      <c r="G20" s="8"/>
      <c r="H20" s="8"/>
      <c r="I20" s="8"/>
      <c r="J20" s="8"/>
      <c r="K20" s="8"/>
      <c r="L20" s="8"/>
      <c r="M20" s="8"/>
      <c r="N20" s="8"/>
      <c r="O20" s="8"/>
      <c r="P20" s="8"/>
      <c r="Q20" s="8"/>
      <c r="R20" s="8"/>
      <c r="S20" s="8"/>
      <c r="T20" s="20" t="s">
        <v>105</v>
      </c>
      <c r="U20" s="8"/>
      <c r="V20" s="173"/>
      <c r="W20" s="8"/>
      <c r="X20" s="5"/>
    </row>
    <row r="21" spans="1:24" ht="15.75" x14ac:dyDescent="0.25">
      <c r="A21" s="6"/>
      <c r="B21" s="8"/>
      <c r="C21" s="8"/>
      <c r="D21" s="8"/>
      <c r="E21" s="8"/>
      <c r="F21" s="8"/>
      <c r="G21" s="8"/>
      <c r="H21" s="8"/>
      <c r="I21" s="8"/>
      <c r="J21" s="8"/>
      <c r="K21" s="8"/>
      <c r="L21" s="8"/>
      <c r="M21" s="8"/>
      <c r="N21" s="8"/>
      <c r="O21" s="8"/>
      <c r="P21" s="8"/>
      <c r="Q21" s="8"/>
      <c r="R21" s="8"/>
      <c r="S21" s="8"/>
      <c r="T21" s="8"/>
      <c r="U21" s="8"/>
      <c r="V21" s="22"/>
      <c r="W21" s="8"/>
      <c r="X21" s="5"/>
    </row>
    <row r="22" spans="1:24" ht="15.75" x14ac:dyDescent="0.25">
      <c r="A22" s="6"/>
      <c r="B22" s="8"/>
      <c r="C22" s="112"/>
      <c r="D22" s="112" t="s">
        <v>177</v>
      </c>
      <c r="E22" s="112"/>
      <c r="F22" s="112" t="s">
        <v>178</v>
      </c>
      <c r="G22" s="112"/>
      <c r="H22" s="112" t="s">
        <v>179</v>
      </c>
      <c r="I22" s="112"/>
      <c r="J22" s="112" t="s">
        <v>219</v>
      </c>
      <c r="K22" s="112"/>
      <c r="L22" s="112" t="s">
        <v>180</v>
      </c>
      <c r="M22" s="112"/>
      <c r="N22" s="112" t="s">
        <v>181</v>
      </c>
      <c r="O22" s="112"/>
      <c r="P22" s="112" t="s">
        <v>182</v>
      </c>
      <c r="Q22" s="112"/>
      <c r="R22" s="112"/>
      <c r="S22" s="113"/>
      <c r="T22" s="23"/>
      <c r="U22" s="173"/>
      <c r="V22" s="173"/>
      <c r="W22" s="8"/>
      <c r="X22" s="5"/>
    </row>
    <row r="23" spans="1:24" ht="15.75" x14ac:dyDescent="0.25">
      <c r="A23" s="24"/>
      <c r="B23" s="25" t="s">
        <v>7</v>
      </c>
      <c r="C23" s="26"/>
      <c r="D23" s="26" t="s">
        <v>212</v>
      </c>
      <c r="E23" s="26"/>
      <c r="F23" s="26" t="s">
        <v>141</v>
      </c>
      <c r="G23" s="26"/>
      <c r="H23" s="26" t="s">
        <v>141</v>
      </c>
      <c r="I23" s="26"/>
      <c r="J23" s="26" t="s">
        <v>141</v>
      </c>
      <c r="K23" s="26"/>
      <c r="L23" s="26" t="s">
        <v>183</v>
      </c>
      <c r="M23" s="26"/>
      <c r="N23" s="26" t="s">
        <v>183</v>
      </c>
      <c r="O23" s="26"/>
      <c r="P23" s="26" t="s">
        <v>142</v>
      </c>
      <c r="Q23" s="26"/>
      <c r="R23" s="26"/>
      <c r="S23" s="26"/>
      <c r="T23" s="26"/>
      <c r="U23" s="174"/>
      <c r="V23" s="174"/>
      <c r="W23" s="25"/>
      <c r="X23" s="5"/>
    </row>
    <row r="24" spans="1:24" ht="15.75" x14ac:dyDescent="0.25">
      <c r="A24" s="24"/>
      <c r="B24" s="25" t="s">
        <v>8</v>
      </c>
      <c r="C24" s="26"/>
      <c r="D24" s="26" t="s">
        <v>213</v>
      </c>
      <c r="E24" s="26"/>
      <c r="F24" s="26" t="s">
        <v>143</v>
      </c>
      <c r="G24" s="26"/>
      <c r="H24" s="26" t="s">
        <v>143</v>
      </c>
      <c r="I24" s="26"/>
      <c r="J24" s="26" t="s">
        <v>143</v>
      </c>
      <c r="K24" s="26"/>
      <c r="L24" s="26" t="s">
        <v>165</v>
      </c>
      <c r="M24" s="26"/>
      <c r="N24" s="26" t="s">
        <v>165</v>
      </c>
      <c r="O24" s="26"/>
      <c r="P24" s="26" t="s">
        <v>144</v>
      </c>
      <c r="Q24" s="26"/>
      <c r="R24" s="26"/>
      <c r="S24" s="26"/>
      <c r="T24" s="26"/>
      <c r="U24" s="174"/>
      <c r="V24" s="174"/>
      <c r="W24" s="25"/>
      <c r="X24" s="5"/>
    </row>
    <row r="25" spans="1:24" ht="15.75" x14ac:dyDescent="0.25">
      <c r="A25" s="28"/>
      <c r="B25" s="130" t="s">
        <v>190</v>
      </c>
      <c r="C25" s="123"/>
      <c r="D25" s="26" t="s">
        <v>214</v>
      </c>
      <c r="E25" s="26"/>
      <c r="F25" s="26" t="s">
        <v>143</v>
      </c>
      <c r="G25" s="26"/>
      <c r="H25" s="26" t="s">
        <v>143</v>
      </c>
      <c r="I25" s="26"/>
      <c r="J25" s="26" t="s">
        <v>143</v>
      </c>
      <c r="K25" s="26"/>
      <c r="L25" s="26" t="s">
        <v>165</v>
      </c>
      <c r="M25" s="26"/>
      <c r="N25" s="26" t="s">
        <v>165</v>
      </c>
      <c r="O25" s="26"/>
      <c r="P25" s="26" t="s">
        <v>144</v>
      </c>
      <c r="Q25" s="26"/>
      <c r="R25" s="26"/>
      <c r="S25" s="123"/>
      <c r="T25" s="26"/>
      <c r="U25" s="174"/>
      <c r="V25" s="174"/>
      <c r="W25" s="25"/>
      <c r="X25" s="5"/>
    </row>
    <row r="26" spans="1:24" ht="15.75" x14ac:dyDescent="0.25">
      <c r="A26" s="28"/>
      <c r="B26" s="29" t="s">
        <v>9</v>
      </c>
      <c r="C26" s="123"/>
      <c r="D26" s="123" t="s">
        <v>212</v>
      </c>
      <c r="E26" s="123"/>
      <c r="F26" s="123" t="s">
        <v>141</v>
      </c>
      <c r="G26" s="123"/>
      <c r="H26" s="123" t="s">
        <v>141</v>
      </c>
      <c r="I26" s="123"/>
      <c r="J26" s="123" t="s">
        <v>141</v>
      </c>
      <c r="K26" s="123"/>
      <c r="L26" s="123" t="s">
        <v>183</v>
      </c>
      <c r="M26" s="123"/>
      <c r="N26" s="123" t="s">
        <v>183</v>
      </c>
      <c r="O26" s="123"/>
      <c r="P26" s="123" t="s">
        <v>142</v>
      </c>
      <c r="Q26" s="123"/>
      <c r="R26" s="123"/>
      <c r="S26" s="123"/>
      <c r="T26" s="26"/>
      <c r="U26" s="174"/>
      <c r="V26" s="174"/>
      <c r="W26" s="25"/>
      <c r="X26" s="5"/>
    </row>
    <row r="27" spans="1:24" ht="15.75" x14ac:dyDescent="0.25">
      <c r="A27" s="24"/>
      <c r="B27" s="29" t="s">
        <v>191</v>
      </c>
      <c r="C27" s="26"/>
      <c r="D27" s="123" t="s">
        <v>213</v>
      </c>
      <c r="E27" s="123"/>
      <c r="F27" s="123" t="s">
        <v>143</v>
      </c>
      <c r="G27" s="123"/>
      <c r="H27" s="123" t="s">
        <v>143</v>
      </c>
      <c r="I27" s="123"/>
      <c r="J27" s="123" t="s">
        <v>143</v>
      </c>
      <c r="K27" s="123"/>
      <c r="L27" s="123" t="s">
        <v>165</v>
      </c>
      <c r="M27" s="123"/>
      <c r="N27" s="123" t="s">
        <v>165</v>
      </c>
      <c r="O27" s="123"/>
      <c r="P27" s="123" t="s">
        <v>144</v>
      </c>
      <c r="Q27" s="123"/>
      <c r="R27" s="123"/>
      <c r="S27" s="26"/>
      <c r="T27" s="30"/>
      <c r="U27" s="174"/>
      <c r="V27" s="174"/>
      <c r="W27" s="25"/>
      <c r="X27" s="5"/>
    </row>
    <row r="28" spans="1:24" ht="15.75" x14ac:dyDescent="0.25">
      <c r="A28" s="24"/>
      <c r="B28" s="149" t="s">
        <v>192</v>
      </c>
      <c r="C28" s="26"/>
      <c r="D28" s="123" t="s">
        <v>214</v>
      </c>
      <c r="E28" s="123"/>
      <c r="F28" s="123" t="s">
        <v>143</v>
      </c>
      <c r="G28" s="123"/>
      <c r="H28" s="123" t="s">
        <v>143</v>
      </c>
      <c r="I28" s="123"/>
      <c r="J28" s="123" t="s">
        <v>143</v>
      </c>
      <c r="K28" s="123"/>
      <c r="L28" s="123" t="s">
        <v>165</v>
      </c>
      <c r="M28" s="123"/>
      <c r="N28" s="123" t="s">
        <v>165</v>
      </c>
      <c r="O28" s="123"/>
      <c r="P28" s="123" t="s">
        <v>144</v>
      </c>
      <c r="Q28" s="123"/>
      <c r="R28" s="123"/>
      <c r="S28" s="26"/>
      <c r="T28" s="30"/>
      <c r="U28" s="174"/>
      <c r="V28" s="174"/>
      <c r="W28" s="25"/>
      <c r="X28" s="5"/>
    </row>
    <row r="29" spans="1:24" ht="15.75" x14ac:dyDescent="0.25">
      <c r="A29" s="24"/>
      <c r="B29" s="25" t="s">
        <v>10</v>
      </c>
      <c r="C29" s="32"/>
      <c r="D29" s="26" t="s">
        <v>242</v>
      </c>
      <c r="E29" s="26"/>
      <c r="F29" s="30" t="s">
        <v>244</v>
      </c>
      <c r="G29" s="26"/>
      <c r="H29" s="26" t="s">
        <v>245</v>
      </c>
      <c r="I29" s="26"/>
      <c r="J29" s="26" t="s">
        <v>247</v>
      </c>
      <c r="K29" s="26"/>
      <c r="L29" s="26" t="s">
        <v>248</v>
      </c>
      <c r="M29" s="26"/>
      <c r="N29" s="26" t="s">
        <v>249</v>
      </c>
      <c r="O29" s="26"/>
      <c r="P29" s="26" t="s">
        <v>250</v>
      </c>
      <c r="Q29" s="26"/>
      <c r="R29" s="26"/>
      <c r="S29" s="31"/>
      <c r="T29" s="31"/>
      <c r="U29" s="175"/>
      <c r="V29" s="31"/>
      <c r="W29" s="34"/>
      <c r="X29" s="5"/>
    </row>
    <row r="30" spans="1:24" ht="15.75" x14ac:dyDescent="0.25">
      <c r="A30" s="24"/>
      <c r="B30" s="25" t="s">
        <v>10</v>
      </c>
      <c r="C30" s="32"/>
      <c r="D30" s="26" t="s">
        <v>243</v>
      </c>
      <c r="E30" s="26"/>
      <c r="F30" s="30" t="s">
        <v>118</v>
      </c>
      <c r="G30" s="26"/>
      <c r="H30" s="26" t="s">
        <v>118</v>
      </c>
      <c r="I30" s="26"/>
      <c r="J30" s="26" t="s">
        <v>246</v>
      </c>
      <c r="K30" s="26"/>
      <c r="L30" s="26" t="s">
        <v>118</v>
      </c>
      <c r="M30" s="26"/>
      <c r="N30" s="26" t="s">
        <v>118</v>
      </c>
      <c r="O30" s="26"/>
      <c r="P30" s="26" t="s">
        <v>118</v>
      </c>
      <c r="Q30" s="26"/>
      <c r="R30" s="26"/>
      <c r="S30" s="31"/>
      <c r="T30" s="31"/>
      <c r="U30" s="175"/>
      <c r="V30" s="31"/>
      <c r="W30" s="34"/>
      <c r="X30" s="5"/>
    </row>
    <row r="31" spans="1:24" ht="15.75" x14ac:dyDescent="0.25">
      <c r="A31" s="28"/>
      <c r="B31" s="25" t="s">
        <v>133</v>
      </c>
      <c r="C31" s="36"/>
      <c r="D31" s="143">
        <v>1000000</v>
      </c>
      <c r="E31" s="32"/>
      <c r="F31" s="31">
        <v>209500</v>
      </c>
      <c r="G31" s="31"/>
      <c r="H31" s="124">
        <v>110000</v>
      </c>
      <c r="I31" s="124"/>
      <c r="J31" s="143">
        <v>150000</v>
      </c>
      <c r="K31" s="31"/>
      <c r="L31" s="31">
        <v>17000</v>
      </c>
      <c r="M31" s="31"/>
      <c r="N31" s="124">
        <v>85500</v>
      </c>
      <c r="O31" s="31"/>
      <c r="P31" s="124">
        <v>110500</v>
      </c>
      <c r="Q31" s="31"/>
      <c r="R31" s="124"/>
      <c r="S31" s="35"/>
      <c r="T31" s="35"/>
      <c r="U31" s="37"/>
      <c r="V31" s="35"/>
      <c r="W31" s="34"/>
      <c r="X31" s="5"/>
    </row>
    <row r="32" spans="1:24" ht="15.75" x14ac:dyDescent="0.25">
      <c r="A32" s="24"/>
      <c r="B32" s="25" t="s">
        <v>132</v>
      </c>
      <c r="C32" s="32"/>
      <c r="D32" s="143">
        <f>D31*D38</f>
        <v>980753.4</v>
      </c>
      <c r="E32" s="32"/>
      <c r="F32" s="31">
        <f>F31*F38</f>
        <v>205467.83730000001</v>
      </c>
      <c r="G32" s="31"/>
      <c r="H32" s="124">
        <f>H31*H38</f>
        <v>107882.94</v>
      </c>
      <c r="I32" s="124"/>
      <c r="J32" s="143">
        <f>J31*J38</f>
        <v>147113.01</v>
      </c>
      <c r="K32" s="31"/>
      <c r="L32" s="31">
        <f>L31*L38</f>
        <v>17000</v>
      </c>
      <c r="M32" s="31"/>
      <c r="N32" s="124">
        <f>N31*N38</f>
        <v>85500</v>
      </c>
      <c r="O32" s="31"/>
      <c r="P32" s="124">
        <f>P31*P38</f>
        <v>110500</v>
      </c>
      <c r="Q32" s="31"/>
      <c r="R32" s="124"/>
      <c r="S32" s="31"/>
      <c r="T32" s="31"/>
      <c r="U32" s="175"/>
      <c r="V32" s="31"/>
      <c r="W32" s="34"/>
      <c r="X32" s="5"/>
    </row>
    <row r="33" spans="1:27" ht="15.75" x14ac:dyDescent="0.25">
      <c r="A33" s="24"/>
      <c r="B33" s="29" t="s">
        <v>134</v>
      </c>
      <c r="C33" s="32"/>
      <c r="D33" s="170">
        <f>D37*D31</f>
        <v>971859.4</v>
      </c>
      <c r="E33" s="36"/>
      <c r="F33" s="35">
        <f>F37*F31</f>
        <v>203604.54430000001</v>
      </c>
      <c r="G33" s="35"/>
      <c r="H33" s="125">
        <f>H31*H37</f>
        <v>106904.62199999999</v>
      </c>
      <c r="I33" s="125"/>
      <c r="J33" s="170">
        <f>J37*J31</f>
        <v>145778.91</v>
      </c>
      <c r="K33" s="35"/>
      <c r="L33" s="35">
        <f>L31*L37</f>
        <v>17000</v>
      </c>
      <c r="M33" s="35"/>
      <c r="N33" s="125">
        <f>N31*N37</f>
        <v>85500</v>
      </c>
      <c r="O33" s="35"/>
      <c r="P33" s="125">
        <f>P31*P37</f>
        <v>110500</v>
      </c>
      <c r="Q33" s="35"/>
      <c r="R33" s="125"/>
      <c r="S33" s="31"/>
      <c r="T33" s="31"/>
      <c r="U33" s="175"/>
      <c r="V33" s="31"/>
      <c r="W33" s="34"/>
      <c r="X33" s="5"/>
    </row>
    <row r="34" spans="1:27" ht="15.75" x14ac:dyDescent="0.25">
      <c r="A34" s="28"/>
      <c r="B34" s="25" t="s">
        <v>286</v>
      </c>
      <c r="C34" s="36"/>
      <c r="D34" s="31">
        <v>492951</v>
      </c>
      <c r="E34" s="32"/>
      <c r="F34" s="31">
        <v>209500</v>
      </c>
      <c r="G34" s="31"/>
      <c r="H34" s="31">
        <v>74677</v>
      </c>
      <c r="I34" s="31"/>
      <c r="J34" s="31">
        <v>73943</v>
      </c>
      <c r="K34" s="31"/>
      <c r="L34" s="31">
        <v>17000</v>
      </c>
      <c r="M34" s="31"/>
      <c r="N34" s="31">
        <v>58045</v>
      </c>
      <c r="O34" s="31"/>
      <c r="P34" s="31">
        <v>75017</v>
      </c>
      <c r="Q34" s="31"/>
      <c r="R34" s="31"/>
      <c r="S34" s="35"/>
      <c r="T34" s="35"/>
      <c r="U34" s="37"/>
      <c r="V34" s="150">
        <f>SUM(C34:R34)</f>
        <v>1001133</v>
      </c>
      <c r="W34" s="34"/>
      <c r="X34" s="5"/>
    </row>
    <row r="35" spans="1:27" ht="15.75" x14ac:dyDescent="0.25">
      <c r="A35" s="28"/>
      <c r="B35" s="25" t="s">
        <v>287</v>
      </c>
      <c r="C35" s="126"/>
      <c r="D35" s="31">
        <f>D34*D38</f>
        <v>483463.36928340001</v>
      </c>
      <c r="E35" s="32"/>
      <c r="F35" s="31">
        <f>F34*F38</f>
        <v>205467.83730000001</v>
      </c>
      <c r="G35" s="31"/>
      <c r="H35" s="31">
        <f>H34*H38</f>
        <v>73239.766457999998</v>
      </c>
      <c r="I35" s="31"/>
      <c r="J35" s="31">
        <f>J34*J38</f>
        <v>72519.848656200003</v>
      </c>
      <c r="K35" s="31"/>
      <c r="L35" s="31">
        <f>L34*L38</f>
        <v>17000</v>
      </c>
      <c r="M35" s="31"/>
      <c r="N35" s="31">
        <f>N34*N38</f>
        <v>58045</v>
      </c>
      <c r="O35" s="31"/>
      <c r="P35" s="31">
        <f>P34*P38</f>
        <v>75017</v>
      </c>
      <c r="Q35" s="31"/>
      <c r="R35" s="31"/>
      <c r="S35" s="31"/>
      <c r="T35" s="31"/>
      <c r="U35" s="175"/>
      <c r="V35" s="150">
        <f>SUM(C35:R35)</f>
        <v>984752.82169760007</v>
      </c>
      <c r="W35" s="34"/>
      <c r="X35" s="5"/>
    </row>
    <row r="36" spans="1:27" ht="15.75" x14ac:dyDescent="0.25">
      <c r="A36" s="28"/>
      <c r="B36" s="29" t="s">
        <v>288</v>
      </c>
      <c r="C36" s="126"/>
      <c r="D36" s="35">
        <f>D34*D37</f>
        <v>479079.06308940001</v>
      </c>
      <c r="E36" s="36"/>
      <c r="F36" s="35">
        <f>F34*F37</f>
        <v>203604.54430000001</v>
      </c>
      <c r="G36" s="35"/>
      <c r="H36" s="35">
        <f>H34*H37</f>
        <v>72575.604155399997</v>
      </c>
      <c r="I36" s="35"/>
      <c r="J36" s="35">
        <f>J34*J37</f>
        <v>71862.199614199999</v>
      </c>
      <c r="K36" s="35"/>
      <c r="L36" s="35">
        <f>L34*L37</f>
        <v>17000</v>
      </c>
      <c r="M36" s="35"/>
      <c r="N36" s="35">
        <f>N34*N37</f>
        <v>58045</v>
      </c>
      <c r="O36" s="35"/>
      <c r="P36" s="35">
        <f>P34*P37</f>
        <v>75017</v>
      </c>
      <c r="Q36" s="35"/>
      <c r="R36" s="35"/>
      <c r="S36" s="128"/>
      <c r="T36" s="128"/>
      <c r="U36" s="175"/>
      <c r="V36" s="151">
        <f>SUM(C36:R36)</f>
        <v>977183.41115900001</v>
      </c>
      <c r="W36" s="34"/>
      <c r="X36" s="5"/>
    </row>
    <row r="37" spans="1:27" ht="15.75" x14ac:dyDescent="0.25">
      <c r="A37" s="24"/>
      <c r="B37" s="122" t="s">
        <v>130</v>
      </c>
      <c r="C37" s="25"/>
      <c r="D37" s="168">
        <v>0.97185940000000004</v>
      </c>
      <c r="E37" s="168"/>
      <c r="F37" s="168">
        <v>0.97185940000000004</v>
      </c>
      <c r="G37" s="168"/>
      <c r="H37" s="168">
        <v>0.97186019999999995</v>
      </c>
      <c r="I37" s="168"/>
      <c r="J37" s="168">
        <v>0.97185940000000004</v>
      </c>
      <c r="K37" s="168"/>
      <c r="L37" s="168">
        <v>1</v>
      </c>
      <c r="M37" s="168"/>
      <c r="N37" s="168">
        <v>1</v>
      </c>
      <c r="O37" s="168"/>
      <c r="P37" s="168">
        <v>1</v>
      </c>
      <c r="Q37" s="168"/>
      <c r="R37" s="168"/>
      <c r="S37" s="30"/>
      <c r="T37" s="30"/>
      <c r="U37" s="174"/>
      <c r="V37" s="174"/>
      <c r="W37" s="25"/>
      <c r="X37" s="5"/>
    </row>
    <row r="38" spans="1:27" ht="15.75" x14ac:dyDescent="0.25">
      <c r="A38" s="24"/>
      <c r="B38" s="122" t="s">
        <v>131</v>
      </c>
      <c r="C38" s="25"/>
      <c r="D38" s="168">
        <v>0.9807534</v>
      </c>
      <c r="E38" s="168"/>
      <c r="F38" s="168">
        <v>0.9807534</v>
      </c>
      <c r="G38" s="168"/>
      <c r="H38" s="168">
        <v>0.98075400000000001</v>
      </c>
      <c r="I38" s="168"/>
      <c r="J38" s="168">
        <v>0.9807534</v>
      </c>
      <c r="K38" s="168"/>
      <c r="L38" s="168">
        <v>1</v>
      </c>
      <c r="M38" s="168"/>
      <c r="N38" s="168">
        <v>1</v>
      </c>
      <c r="O38" s="168"/>
      <c r="P38" s="168">
        <v>1</v>
      </c>
      <c r="Q38" s="168"/>
      <c r="R38" s="168"/>
      <c r="S38" s="39"/>
      <c r="T38" s="38"/>
      <c r="U38" s="174"/>
      <c r="V38" s="39"/>
      <c r="W38" s="25"/>
      <c r="X38" s="5"/>
    </row>
    <row r="39" spans="1:27" ht="15.75" x14ac:dyDescent="0.25">
      <c r="A39" s="24"/>
      <c r="B39" s="25" t="s">
        <v>11</v>
      </c>
      <c r="C39" s="25"/>
      <c r="D39" s="30" t="s">
        <v>224</v>
      </c>
      <c r="E39" s="25"/>
      <c r="F39" s="30" t="s">
        <v>251</v>
      </c>
      <c r="G39" s="30"/>
      <c r="H39" s="30" t="s">
        <v>252</v>
      </c>
      <c r="I39" s="30"/>
      <c r="J39" s="30" t="s">
        <v>253</v>
      </c>
      <c r="K39" s="30"/>
      <c r="L39" s="30" t="s">
        <v>254</v>
      </c>
      <c r="M39" s="30"/>
      <c r="N39" s="30" t="s">
        <v>254</v>
      </c>
      <c r="O39" s="30"/>
      <c r="P39" s="30" t="s">
        <v>255</v>
      </c>
      <c r="Q39" s="30"/>
      <c r="R39" s="30"/>
      <c r="S39" s="39"/>
      <c r="T39" s="38"/>
      <c r="U39" s="174"/>
      <c r="V39" s="174"/>
      <c r="W39" s="25"/>
      <c r="X39" s="5"/>
    </row>
    <row r="40" spans="1:27" ht="15.75" x14ac:dyDescent="0.25">
      <c r="A40" s="24"/>
      <c r="B40" s="25" t="s">
        <v>12</v>
      </c>
      <c r="C40" s="25"/>
      <c r="D40" s="38">
        <v>2.5143800000000001E-2</v>
      </c>
      <c r="E40" s="25"/>
      <c r="F40" s="38">
        <v>6.0887499999999997E-2</v>
      </c>
      <c r="G40" s="39"/>
      <c r="H40" s="38">
        <v>4.7260000000000003E-2</v>
      </c>
      <c r="I40" s="38"/>
      <c r="J40" s="38">
        <v>2.9100000000000001E-2</v>
      </c>
      <c r="K40" s="39"/>
      <c r="L40" s="38">
        <v>6.2287500000000003E-2</v>
      </c>
      <c r="M40" s="39"/>
      <c r="N40" s="38">
        <v>4.8759999999999998E-2</v>
      </c>
      <c r="O40" s="39"/>
      <c r="P40" s="38">
        <v>5.1560000000000002E-2</v>
      </c>
      <c r="Q40" s="39"/>
      <c r="R40" s="38"/>
      <c r="S40" s="39"/>
      <c r="T40" s="38"/>
      <c r="U40" s="174"/>
      <c r="V40" s="30"/>
      <c r="W40" s="25"/>
      <c r="X40" s="5"/>
      <c r="AA40" s="1" t="s">
        <v>193</v>
      </c>
    </row>
    <row r="41" spans="1:27" ht="15.75" x14ac:dyDescent="0.25">
      <c r="A41" s="24"/>
      <c r="B41" s="25" t="s">
        <v>13</v>
      </c>
      <c r="C41" s="25"/>
      <c r="D41" s="38">
        <v>3.1212500000000001E-2</v>
      </c>
      <c r="E41" s="25"/>
      <c r="F41" s="38">
        <v>6.5612500000000004E-2</v>
      </c>
      <c r="G41" s="39"/>
      <c r="H41" s="38">
        <v>5.0680000000000003E-2</v>
      </c>
      <c r="I41" s="38"/>
      <c r="J41" s="38">
        <v>5.1006299999999997E-2</v>
      </c>
      <c r="K41" s="39"/>
      <c r="L41" s="38">
        <v>6.7012500000000003E-2</v>
      </c>
      <c r="M41" s="39"/>
      <c r="N41" s="38">
        <v>5.2179999999999997E-2</v>
      </c>
      <c r="O41" s="39"/>
      <c r="P41" s="38">
        <v>5.4980000000000001E-2</v>
      </c>
      <c r="Q41" s="38"/>
      <c r="R41" s="38"/>
      <c r="S41" s="39"/>
      <c r="T41" s="38"/>
      <c r="U41" s="174"/>
      <c r="V41" s="39" t="s">
        <v>193</v>
      </c>
      <c r="W41" s="25"/>
      <c r="X41" s="5"/>
    </row>
    <row r="42" spans="1:27" ht="15.75" x14ac:dyDescent="0.25">
      <c r="A42" s="24"/>
      <c r="B42" s="25" t="s">
        <v>289</v>
      </c>
      <c r="C42" s="25"/>
      <c r="D42" s="30" t="s">
        <v>273</v>
      </c>
      <c r="E42" s="25"/>
      <c r="F42" s="30" t="s">
        <v>251</v>
      </c>
      <c r="G42" s="30"/>
      <c r="H42" s="30" t="s">
        <v>229</v>
      </c>
      <c r="I42" s="30"/>
      <c r="J42" s="30" t="s">
        <v>229</v>
      </c>
      <c r="K42" s="30"/>
      <c r="L42" s="30" t="s">
        <v>254</v>
      </c>
      <c r="M42" s="30"/>
      <c r="N42" s="30" t="s">
        <v>262</v>
      </c>
      <c r="O42" s="30"/>
      <c r="P42" s="30" t="s">
        <v>263</v>
      </c>
      <c r="Q42" s="30"/>
      <c r="R42" s="30"/>
      <c r="S42" s="39"/>
      <c r="T42" s="38"/>
      <c r="U42" s="174"/>
      <c r="V42" s="174"/>
      <c r="W42" s="25"/>
      <c r="X42" s="5"/>
    </row>
    <row r="43" spans="1:27" ht="15.75" x14ac:dyDescent="0.25">
      <c r="A43" s="24"/>
      <c r="B43" s="25" t="s">
        <v>290</v>
      </c>
      <c r="C43" s="110"/>
      <c r="D43" s="38">
        <v>5.9774500000000001E-2</v>
      </c>
      <c r="E43" s="38"/>
      <c r="F43" s="38">
        <f>+F40</f>
        <v>6.0887499999999997E-2</v>
      </c>
      <c r="G43" s="38"/>
      <c r="H43" s="38">
        <v>6.0962500000000003E-2</v>
      </c>
      <c r="I43" s="38"/>
      <c r="J43" s="38">
        <v>6.0977499999999997E-2</v>
      </c>
      <c r="K43" s="38"/>
      <c r="L43" s="38">
        <f>+L40</f>
        <v>6.2287500000000003E-2</v>
      </c>
      <c r="M43" s="38"/>
      <c r="N43" s="38">
        <v>6.2654500000000002E-2</v>
      </c>
      <c r="O43" s="38"/>
      <c r="P43" s="38">
        <v>6.5734500000000001E-2</v>
      </c>
      <c r="Q43" s="39"/>
      <c r="R43" s="38"/>
      <c r="S43" s="30"/>
      <c r="T43" s="30"/>
      <c r="U43" s="174"/>
      <c r="V43" s="39">
        <f>SUMPRODUCT(D43:R43,D35:R35)/V35</f>
        <v>6.0850838975676363E-2</v>
      </c>
      <c r="W43" s="25"/>
      <c r="X43" s="5"/>
    </row>
    <row r="44" spans="1:27" ht="15.75" x14ac:dyDescent="0.25">
      <c r="A44" s="24"/>
      <c r="B44" s="25" t="s">
        <v>291</v>
      </c>
      <c r="C44" s="110"/>
      <c r="D44" s="38">
        <v>6.4499500000000001E-2</v>
      </c>
      <c r="E44" s="38"/>
      <c r="F44" s="38">
        <f>+F41</f>
        <v>6.5612500000000004E-2</v>
      </c>
      <c r="G44" s="38"/>
      <c r="H44" s="38">
        <v>6.5687499999999996E-2</v>
      </c>
      <c r="I44" s="38"/>
      <c r="J44" s="38">
        <v>6.5702499999999997E-2</v>
      </c>
      <c r="K44" s="38"/>
      <c r="L44" s="38">
        <f>+L41</f>
        <v>6.7012500000000003E-2</v>
      </c>
      <c r="M44" s="38"/>
      <c r="N44" s="38">
        <v>6.7379499999999995E-2</v>
      </c>
      <c r="O44" s="38"/>
      <c r="P44" s="38">
        <v>7.0459499999999994E-2</v>
      </c>
      <c r="Q44" s="39"/>
      <c r="R44" s="38"/>
      <c r="S44" s="30"/>
      <c r="T44" s="30"/>
      <c r="U44" s="174"/>
      <c r="V44" s="174"/>
      <c r="W44" s="25"/>
      <c r="X44" s="5"/>
    </row>
    <row r="45" spans="1:27" ht="15.75" x14ac:dyDescent="0.25">
      <c r="A45" s="24"/>
      <c r="B45" s="25" t="s">
        <v>14</v>
      </c>
      <c r="C45" s="25"/>
      <c r="D45" s="110">
        <v>40709</v>
      </c>
      <c r="E45" s="110"/>
      <c r="F45" s="110">
        <v>40709</v>
      </c>
      <c r="G45" s="110"/>
      <c r="H45" s="110">
        <v>40709</v>
      </c>
      <c r="I45" s="110"/>
      <c r="J45" s="110">
        <v>40709</v>
      </c>
      <c r="K45" s="110"/>
      <c r="L45" s="110">
        <v>40709</v>
      </c>
      <c r="M45" s="110"/>
      <c r="N45" s="110">
        <v>40709</v>
      </c>
      <c r="O45" s="110"/>
      <c r="P45" s="110">
        <v>40709</v>
      </c>
      <c r="Q45" s="110"/>
      <c r="R45" s="110"/>
      <c r="S45" s="30"/>
      <c r="T45" s="30"/>
      <c r="U45" s="174"/>
      <c r="V45" s="174"/>
      <c r="W45" s="25"/>
      <c r="X45" s="5"/>
    </row>
    <row r="46" spans="1:27" ht="15.75" x14ac:dyDescent="0.25">
      <c r="A46" s="24"/>
      <c r="B46" s="25" t="s">
        <v>15</v>
      </c>
      <c r="C46" s="25"/>
      <c r="D46" s="110" t="s">
        <v>118</v>
      </c>
      <c r="E46" s="110"/>
      <c r="F46" s="110">
        <v>41075</v>
      </c>
      <c r="G46" s="110"/>
      <c r="H46" s="110">
        <v>41075</v>
      </c>
      <c r="I46" s="110"/>
      <c r="J46" s="110">
        <v>41075</v>
      </c>
      <c r="K46" s="30"/>
      <c r="L46" s="110">
        <v>41075</v>
      </c>
      <c r="M46" s="30"/>
      <c r="N46" s="110">
        <v>41075</v>
      </c>
      <c r="O46" s="30"/>
      <c r="P46" s="110">
        <v>41075</v>
      </c>
      <c r="Q46" s="30"/>
      <c r="R46" s="110"/>
      <c r="S46" s="30"/>
      <c r="T46" s="30"/>
      <c r="U46" s="174"/>
      <c r="V46" s="174"/>
      <c r="W46" s="25"/>
      <c r="X46" s="5"/>
    </row>
    <row r="47" spans="1:27" ht="15.75" x14ac:dyDescent="0.25">
      <c r="A47" s="24"/>
      <c r="B47" s="25" t="s">
        <v>119</v>
      </c>
      <c r="C47" s="25"/>
      <c r="D47" s="171" t="s">
        <v>118</v>
      </c>
      <c r="E47" s="25"/>
      <c r="F47" s="30" t="s">
        <v>256</v>
      </c>
      <c r="G47" s="30"/>
      <c r="H47" s="30" t="s">
        <v>257</v>
      </c>
      <c r="I47" s="30"/>
      <c r="J47" s="30" t="s">
        <v>258</v>
      </c>
      <c r="K47" s="30"/>
      <c r="L47" s="30" t="s">
        <v>259</v>
      </c>
      <c r="M47" s="30"/>
      <c r="N47" s="30" t="s">
        <v>259</v>
      </c>
      <c r="O47" s="30"/>
      <c r="P47" s="30" t="s">
        <v>260</v>
      </c>
      <c r="Q47" s="30"/>
      <c r="R47" s="30"/>
      <c r="S47" s="40"/>
      <c r="T47" s="40"/>
      <c r="U47" s="40"/>
      <c r="V47" s="40"/>
      <c r="W47" s="25"/>
      <c r="X47" s="5"/>
    </row>
    <row r="48" spans="1:27" ht="15.75" x14ac:dyDescent="0.25">
      <c r="A48" s="24"/>
      <c r="B48" s="25" t="s">
        <v>292</v>
      </c>
      <c r="C48" s="25"/>
      <c r="D48" s="30" t="s">
        <v>200</v>
      </c>
      <c r="E48" s="25"/>
      <c r="F48" s="30" t="s">
        <v>256</v>
      </c>
      <c r="G48" s="30"/>
      <c r="H48" s="30" t="s">
        <v>261</v>
      </c>
      <c r="I48" s="30"/>
      <c r="J48" s="30" t="s">
        <v>261</v>
      </c>
      <c r="K48" s="30"/>
      <c r="L48" s="30" t="s">
        <v>259</v>
      </c>
      <c r="M48" s="30"/>
      <c r="N48" s="30" t="s">
        <v>263</v>
      </c>
      <c r="O48" s="30"/>
      <c r="P48" s="30" t="s">
        <v>264</v>
      </c>
      <c r="Q48" s="30"/>
      <c r="R48" s="30"/>
      <c r="S48" s="25"/>
      <c r="T48" s="25"/>
      <c r="U48" s="25"/>
      <c r="V48" s="39"/>
      <c r="W48" s="25"/>
      <c r="X48" s="5"/>
    </row>
    <row r="49" spans="1:25" ht="15.75" x14ac:dyDescent="0.25">
      <c r="A49" s="24"/>
      <c r="B49" s="25"/>
      <c r="C49" s="25"/>
      <c r="D49" s="30"/>
      <c r="E49" s="25"/>
      <c r="F49" s="30"/>
      <c r="G49" s="30"/>
      <c r="H49" s="30"/>
      <c r="I49" s="30"/>
      <c r="J49" s="30"/>
      <c r="K49" s="30"/>
      <c r="L49" s="30"/>
      <c r="M49" s="30"/>
      <c r="N49" s="30"/>
      <c r="O49" s="30"/>
      <c r="P49" s="30"/>
      <c r="Q49" s="30"/>
      <c r="R49" s="30"/>
      <c r="S49" s="25"/>
      <c r="T49" s="25"/>
      <c r="U49" s="25"/>
      <c r="V49" s="39" t="s">
        <v>193</v>
      </c>
      <c r="W49" s="25"/>
      <c r="X49" s="5"/>
    </row>
    <row r="50" spans="1:25" ht="15.75" x14ac:dyDescent="0.25">
      <c r="A50" s="24"/>
      <c r="B50" s="25" t="s">
        <v>169</v>
      </c>
      <c r="C50" s="25"/>
      <c r="D50" s="30"/>
      <c r="E50" s="25"/>
      <c r="F50" s="30"/>
      <c r="G50" s="30"/>
      <c r="H50" s="30"/>
      <c r="I50" s="30"/>
      <c r="J50" s="30"/>
      <c r="K50" s="30"/>
      <c r="L50" s="30"/>
      <c r="M50" s="30"/>
      <c r="N50" s="30"/>
      <c r="O50" s="30"/>
      <c r="P50" s="30"/>
      <c r="Q50" s="30"/>
      <c r="R50" s="30"/>
      <c r="S50" s="25"/>
      <c r="T50" s="25"/>
      <c r="U50" s="25"/>
      <c r="V50" s="39">
        <f>SUM(L34:R34)/SUM(D34:J34)</f>
        <v>0.17632136449250416</v>
      </c>
      <c r="W50" s="25"/>
      <c r="X50" s="5"/>
    </row>
    <row r="51" spans="1:25" ht="15.75" x14ac:dyDescent="0.25">
      <c r="A51" s="24"/>
      <c r="B51" s="25" t="s">
        <v>170</v>
      </c>
      <c r="C51" s="25"/>
      <c r="D51" s="25"/>
      <c r="E51" s="25"/>
      <c r="F51" s="41"/>
      <c r="G51" s="25"/>
      <c r="H51" s="25"/>
      <c r="I51" s="25"/>
      <c r="J51" s="25"/>
      <c r="K51" s="25"/>
      <c r="L51" s="25"/>
      <c r="M51" s="25"/>
      <c r="N51" s="25"/>
      <c r="O51" s="25"/>
      <c r="P51" s="25"/>
      <c r="Q51" s="25"/>
      <c r="R51" s="25"/>
      <c r="S51" s="25"/>
      <c r="T51" s="25"/>
      <c r="U51" s="25"/>
      <c r="V51" s="39">
        <f>SUM(L36:R36)/SUM(D36:J36)</f>
        <v>0.18142681107689659</v>
      </c>
      <c r="W51" s="25"/>
      <c r="X51" s="5"/>
    </row>
    <row r="52" spans="1:25" ht="15.75" x14ac:dyDescent="0.25">
      <c r="A52" s="24"/>
      <c r="B52" s="25" t="s">
        <v>171</v>
      </c>
      <c r="C52" s="25"/>
      <c r="D52" s="25"/>
      <c r="E52" s="25"/>
      <c r="F52" s="25"/>
      <c r="G52" s="25"/>
      <c r="H52" s="25"/>
      <c r="I52" s="25"/>
      <c r="J52" s="25"/>
      <c r="K52" s="25"/>
      <c r="L52" s="25"/>
      <c r="M52" s="25"/>
      <c r="N52" s="25"/>
      <c r="O52" s="25"/>
      <c r="P52" s="25"/>
      <c r="Q52" s="25"/>
      <c r="R52" s="25"/>
      <c r="S52" s="25"/>
      <c r="T52" s="30"/>
      <c r="U52" s="30"/>
      <c r="V52" s="31" t="s">
        <v>268</v>
      </c>
      <c r="W52" s="25"/>
      <c r="X52" s="5"/>
    </row>
    <row r="53" spans="1:25" ht="15.75" x14ac:dyDescent="0.25">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75" x14ac:dyDescent="0.25">
      <c r="A54" s="24"/>
      <c r="B54" s="25" t="s">
        <v>202</v>
      </c>
      <c r="C54" s="25"/>
      <c r="D54" s="25"/>
      <c r="E54" s="25"/>
      <c r="F54" s="25"/>
      <c r="G54" s="25"/>
      <c r="H54" s="25"/>
      <c r="I54" s="25"/>
      <c r="J54" s="25"/>
      <c r="K54" s="25"/>
      <c r="L54" s="25"/>
      <c r="M54" s="25"/>
      <c r="N54" s="25"/>
      <c r="O54" s="25"/>
      <c r="P54" s="25"/>
      <c r="Q54" s="25"/>
      <c r="R54" s="25"/>
      <c r="S54" s="25"/>
      <c r="T54" s="25"/>
      <c r="U54" s="25"/>
      <c r="V54" s="152" t="s">
        <v>203</v>
      </c>
      <c r="W54" s="25"/>
      <c r="X54" s="5"/>
    </row>
    <row r="55" spans="1:25" ht="15.75" x14ac:dyDescent="0.25">
      <c r="A55" s="24"/>
      <c r="B55" s="25" t="s">
        <v>270</v>
      </c>
      <c r="C55" s="25"/>
      <c r="D55" s="25"/>
      <c r="E55" s="25"/>
      <c r="F55" s="25"/>
      <c r="G55" s="25"/>
      <c r="H55" s="25"/>
      <c r="I55" s="25"/>
      <c r="J55" s="25"/>
      <c r="K55" s="25"/>
      <c r="L55" s="25"/>
      <c r="M55" s="25"/>
      <c r="N55" s="25"/>
      <c r="O55" s="25"/>
      <c r="P55" s="25"/>
      <c r="Q55" s="25"/>
      <c r="R55" s="25"/>
      <c r="S55" s="25"/>
      <c r="T55" s="30"/>
      <c r="U55" s="30"/>
      <c r="V55" s="153" t="s">
        <v>111</v>
      </c>
      <c r="W55" s="25"/>
      <c r="X55" s="5"/>
    </row>
    <row r="56" spans="1:25" ht="15.75" x14ac:dyDescent="0.25">
      <c r="A56" s="24"/>
      <c r="B56" s="29" t="s">
        <v>201</v>
      </c>
      <c r="C56" s="29"/>
      <c r="D56" s="29"/>
      <c r="E56" s="29"/>
      <c r="F56" s="29"/>
      <c r="G56" s="29"/>
      <c r="H56" s="29"/>
      <c r="I56" s="29"/>
      <c r="J56" s="29"/>
      <c r="K56" s="29"/>
      <c r="L56" s="29"/>
      <c r="M56" s="29"/>
      <c r="N56" s="29"/>
      <c r="O56" s="29"/>
      <c r="P56" s="29"/>
      <c r="Q56" s="29"/>
      <c r="R56" s="29"/>
      <c r="S56" s="29"/>
      <c r="T56" s="43"/>
      <c r="U56" s="43"/>
      <c r="V56" s="44">
        <v>39615</v>
      </c>
      <c r="W56" s="25"/>
      <c r="X56" s="5"/>
    </row>
    <row r="57" spans="1:25" ht="15.75" x14ac:dyDescent="0.25">
      <c r="A57" s="24"/>
      <c r="B57" s="25" t="s">
        <v>121</v>
      </c>
      <c r="C57" s="25"/>
      <c r="D57" s="25"/>
      <c r="E57" s="25"/>
      <c r="F57" s="25"/>
      <c r="G57" s="25"/>
      <c r="H57" s="58"/>
      <c r="I57" s="58"/>
      <c r="J57" s="58"/>
      <c r="K57" s="58"/>
      <c r="L57" s="58"/>
      <c r="M57" s="58"/>
      <c r="N57" s="58"/>
      <c r="O57" s="58"/>
      <c r="P57" s="58"/>
      <c r="Q57" s="58"/>
      <c r="R57" s="25">
        <f>+V57-T57+1</f>
        <v>91</v>
      </c>
      <c r="S57" s="58"/>
      <c r="T57" s="45">
        <v>39433</v>
      </c>
      <c r="U57" s="46"/>
      <c r="V57" s="45">
        <v>39523</v>
      </c>
      <c r="W57" s="25"/>
      <c r="X57" s="5"/>
    </row>
    <row r="58" spans="1:25" ht="15.75" x14ac:dyDescent="0.25">
      <c r="A58" s="24"/>
      <c r="B58" s="25" t="s">
        <v>122</v>
      </c>
      <c r="C58" s="25"/>
      <c r="D58" s="25"/>
      <c r="E58" s="25"/>
      <c r="F58" s="25"/>
      <c r="G58" s="25"/>
      <c r="H58" s="25"/>
      <c r="I58" s="25"/>
      <c r="J58" s="25"/>
      <c r="K58" s="25"/>
      <c r="L58" s="25"/>
      <c r="M58" s="25"/>
      <c r="N58" s="25"/>
      <c r="O58" s="25"/>
      <c r="P58" s="25"/>
      <c r="Q58" s="25"/>
      <c r="R58" s="25">
        <f>+V58-T58+1</f>
        <v>91</v>
      </c>
      <c r="S58" s="25"/>
      <c r="T58" s="45">
        <v>39524</v>
      </c>
      <c r="U58" s="46"/>
      <c r="V58" s="45">
        <v>39614</v>
      </c>
      <c r="W58" s="25"/>
      <c r="X58" s="5"/>
    </row>
    <row r="59" spans="1:25" ht="15.75" x14ac:dyDescent="0.25">
      <c r="A59" s="24"/>
      <c r="B59" s="25" t="s">
        <v>223</v>
      </c>
      <c r="C59" s="25"/>
      <c r="D59" s="25"/>
      <c r="E59" s="25"/>
      <c r="F59" s="25"/>
      <c r="G59" s="25"/>
      <c r="H59" s="25"/>
      <c r="I59" s="25"/>
      <c r="J59" s="25"/>
      <c r="K59" s="25"/>
      <c r="L59" s="25"/>
      <c r="M59" s="25"/>
      <c r="N59" s="25"/>
      <c r="O59" s="25"/>
      <c r="P59" s="25"/>
      <c r="Q59" s="25"/>
      <c r="R59" s="25"/>
      <c r="S59" s="25"/>
      <c r="T59" s="45"/>
      <c r="U59" s="46"/>
      <c r="V59" s="45" t="s">
        <v>120</v>
      </c>
      <c r="W59" s="25"/>
      <c r="X59" s="5"/>
    </row>
    <row r="60" spans="1:25" ht="15.75" x14ac:dyDescent="0.25">
      <c r="A60" s="24"/>
      <c r="B60" s="25" t="s">
        <v>271</v>
      </c>
      <c r="C60" s="25"/>
      <c r="D60" s="25"/>
      <c r="E60" s="25"/>
      <c r="F60" s="25"/>
      <c r="G60" s="25"/>
      <c r="H60" s="25"/>
      <c r="I60" s="25"/>
      <c r="J60" s="25"/>
      <c r="K60" s="25"/>
      <c r="L60" s="25"/>
      <c r="M60" s="25"/>
      <c r="N60" s="25"/>
      <c r="O60" s="25"/>
      <c r="P60" s="25"/>
      <c r="Q60" s="25"/>
      <c r="R60" s="25"/>
      <c r="S60" s="25"/>
      <c r="T60" s="45"/>
      <c r="U60" s="46"/>
      <c r="V60" s="45" t="s">
        <v>154</v>
      </c>
      <c r="W60" s="25"/>
      <c r="X60" s="5"/>
      <c r="Y60" s="133"/>
    </row>
    <row r="61" spans="1:25" ht="15.75" x14ac:dyDescent="0.25">
      <c r="A61" s="24"/>
      <c r="B61" s="25" t="s">
        <v>16</v>
      </c>
      <c r="C61" s="25"/>
      <c r="D61" s="25"/>
      <c r="E61" s="25"/>
      <c r="F61" s="25"/>
      <c r="G61" s="25"/>
      <c r="H61" s="25"/>
      <c r="I61" s="25"/>
      <c r="J61" s="25"/>
      <c r="K61" s="25"/>
      <c r="L61" s="25"/>
      <c r="M61" s="25"/>
      <c r="N61" s="25"/>
      <c r="O61" s="25"/>
      <c r="P61" s="25"/>
      <c r="Q61" s="25"/>
      <c r="R61" s="25"/>
      <c r="S61" s="25"/>
      <c r="T61" s="45"/>
      <c r="U61" s="46"/>
      <c r="V61" s="45">
        <v>39601</v>
      </c>
      <c r="W61" s="25"/>
      <c r="X61" s="5"/>
    </row>
    <row r="62" spans="1:25" ht="15.75" x14ac:dyDescent="0.25">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75" x14ac:dyDescent="0.25">
      <c r="A63" s="6"/>
      <c r="B63" s="8"/>
      <c r="C63" s="8"/>
      <c r="D63" s="8"/>
      <c r="E63" s="8"/>
      <c r="F63" s="8"/>
      <c r="G63" s="8"/>
      <c r="H63" s="8"/>
      <c r="I63" s="8"/>
      <c r="J63" s="8"/>
      <c r="K63" s="8"/>
      <c r="L63" s="8"/>
      <c r="M63" s="8"/>
      <c r="N63" s="8"/>
      <c r="O63" s="8"/>
      <c r="P63" s="8"/>
      <c r="Q63" s="8"/>
      <c r="R63" s="8"/>
      <c r="S63" s="8"/>
      <c r="T63" s="47"/>
      <c r="U63" s="48"/>
      <c r="V63" s="47"/>
      <c r="W63" s="8"/>
      <c r="X63" s="5"/>
    </row>
    <row r="64" spans="1:25" ht="19.5" thickBot="1" x14ac:dyDescent="0.35">
      <c r="A64" s="101"/>
      <c r="B64" s="102" t="s">
        <v>276</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75" x14ac:dyDescent="0.25">
      <c r="A65" s="2"/>
      <c r="B65" s="4"/>
      <c r="C65" s="4"/>
      <c r="D65" s="4"/>
      <c r="E65" s="4"/>
      <c r="F65" s="4"/>
      <c r="G65" s="4"/>
      <c r="H65" s="4"/>
      <c r="I65" s="4"/>
      <c r="J65" s="4"/>
      <c r="K65" s="4"/>
      <c r="L65" s="4"/>
      <c r="M65" s="4"/>
      <c r="N65" s="4"/>
      <c r="O65" s="4"/>
      <c r="P65" s="4"/>
      <c r="Q65" s="4"/>
      <c r="R65" s="4"/>
      <c r="S65" s="4"/>
      <c r="T65" s="4"/>
      <c r="U65" s="4"/>
      <c r="V65" s="50"/>
      <c r="W65" s="4"/>
      <c r="X65" s="5"/>
    </row>
    <row r="66" spans="1:24" ht="15.75" x14ac:dyDescent="0.25">
      <c r="A66" s="6"/>
      <c r="B66" s="51" t="s">
        <v>17</v>
      </c>
      <c r="C66" s="8"/>
      <c r="D66" s="8"/>
      <c r="E66" s="8"/>
      <c r="F66" s="8"/>
      <c r="G66" s="8"/>
      <c r="H66" s="8"/>
      <c r="I66" s="8"/>
      <c r="J66" s="8"/>
      <c r="K66" s="8"/>
      <c r="L66" s="8"/>
      <c r="M66" s="8"/>
      <c r="N66" s="8"/>
      <c r="O66" s="8"/>
      <c r="P66" s="8"/>
      <c r="Q66" s="8"/>
      <c r="R66" s="8"/>
      <c r="S66" s="8"/>
      <c r="T66" s="8"/>
      <c r="U66" s="8"/>
      <c r="V66" s="52"/>
      <c r="W66" s="8"/>
      <c r="X66" s="5"/>
    </row>
    <row r="67" spans="1:24" ht="15.75" x14ac:dyDescent="0.25">
      <c r="A67" s="6"/>
      <c r="B67" s="13"/>
      <c r="C67" s="8"/>
      <c r="D67" s="8"/>
      <c r="E67" s="8"/>
      <c r="F67" s="8"/>
      <c r="G67" s="8"/>
      <c r="H67" s="8"/>
      <c r="I67" s="8"/>
      <c r="J67" s="8"/>
      <c r="K67" s="8"/>
      <c r="L67" s="8"/>
      <c r="M67" s="8"/>
      <c r="N67" s="8"/>
      <c r="O67" s="8"/>
      <c r="P67" s="8"/>
      <c r="Q67" s="8"/>
      <c r="R67" s="8"/>
      <c r="S67" s="8"/>
      <c r="T67" s="8"/>
      <c r="U67" s="8"/>
      <c r="V67" s="52"/>
      <c r="W67" s="8"/>
      <c r="X67" s="5"/>
    </row>
    <row r="68" spans="1:24" ht="47.25" x14ac:dyDescent="0.25">
      <c r="A68" s="6"/>
      <c r="B68" s="114" t="s">
        <v>18</v>
      </c>
      <c r="C68" s="115"/>
      <c r="D68" s="115"/>
      <c r="E68" s="115"/>
      <c r="F68" s="115"/>
      <c r="G68" s="115"/>
      <c r="H68" s="115"/>
      <c r="I68" s="115"/>
      <c r="J68" s="115"/>
      <c r="K68" s="115"/>
      <c r="L68" s="115" t="s">
        <v>94</v>
      </c>
      <c r="M68" s="115"/>
      <c r="N68" s="115" t="s">
        <v>96</v>
      </c>
      <c r="O68" s="115"/>
      <c r="P68" s="115" t="s">
        <v>98</v>
      </c>
      <c r="Q68" s="115"/>
      <c r="R68" s="115" t="s">
        <v>100</v>
      </c>
      <c r="S68" s="115"/>
      <c r="T68" s="115" t="s">
        <v>106</v>
      </c>
      <c r="U68" s="115"/>
      <c r="V68" s="116" t="s">
        <v>112</v>
      </c>
      <c r="W68" s="117"/>
      <c r="X68" s="5"/>
    </row>
    <row r="69" spans="1:24" ht="15.75" x14ac:dyDescent="0.25">
      <c r="A69" s="24"/>
      <c r="B69" s="25" t="s">
        <v>19</v>
      </c>
      <c r="C69" s="34"/>
      <c r="D69" s="34"/>
      <c r="E69" s="34"/>
      <c r="F69" s="34"/>
      <c r="G69" s="34"/>
      <c r="H69" s="34"/>
      <c r="I69" s="34"/>
      <c r="J69" s="34"/>
      <c r="K69" s="34"/>
      <c r="L69" s="34">
        <v>812446</v>
      </c>
      <c r="M69" s="34"/>
      <c r="N69" s="53">
        <v>984753</v>
      </c>
      <c r="O69" s="34"/>
      <c r="P69" s="34">
        <f>7570+2453+536</f>
        <v>10559</v>
      </c>
      <c r="Q69" s="34"/>
      <c r="R69" s="34">
        <f>2453+536</f>
        <v>2989</v>
      </c>
      <c r="S69" s="34"/>
      <c r="T69" s="34">
        <v>0</v>
      </c>
      <c r="U69" s="34"/>
      <c r="V69" s="53">
        <f>+N69-P69+R69-T69</f>
        <v>977183</v>
      </c>
      <c r="W69" s="25"/>
      <c r="X69" s="5"/>
    </row>
    <row r="70" spans="1:24" ht="15.75" x14ac:dyDescent="0.25">
      <c r="A70" s="24"/>
      <c r="B70" s="25" t="s">
        <v>20</v>
      </c>
      <c r="C70" s="34"/>
      <c r="D70" s="34"/>
      <c r="E70" s="34"/>
      <c r="F70" s="34"/>
      <c r="G70" s="34"/>
      <c r="H70" s="34"/>
      <c r="I70" s="34"/>
      <c r="J70" s="34"/>
      <c r="K70" s="34"/>
      <c r="L70" s="34">
        <v>0</v>
      </c>
      <c r="M70" s="34"/>
      <c r="N70" s="53">
        <v>0</v>
      </c>
      <c r="O70" s="34"/>
      <c r="P70" s="34">
        <v>0</v>
      </c>
      <c r="Q70" s="34"/>
      <c r="R70" s="34">
        <v>0</v>
      </c>
      <c r="S70" s="34"/>
      <c r="T70" s="34">
        <v>0</v>
      </c>
      <c r="U70" s="34"/>
      <c r="V70" s="53">
        <f>+L70-P70</f>
        <v>0</v>
      </c>
      <c r="W70" s="25"/>
      <c r="X70" s="5"/>
    </row>
    <row r="71" spans="1:24" ht="15.75" x14ac:dyDescent="0.25">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75" x14ac:dyDescent="0.25">
      <c r="A72" s="24"/>
      <c r="B72" s="25" t="s">
        <v>21</v>
      </c>
      <c r="C72" s="34"/>
      <c r="D72" s="34"/>
      <c r="E72" s="34"/>
      <c r="F72" s="34"/>
      <c r="G72" s="34"/>
      <c r="H72" s="34"/>
      <c r="I72" s="34"/>
      <c r="J72" s="34"/>
      <c r="K72" s="34"/>
      <c r="L72" s="34">
        <f>SUM(L69:L71)</f>
        <v>812446</v>
      </c>
      <c r="M72" s="34"/>
      <c r="N72" s="54">
        <f>N69+N70</f>
        <v>984753</v>
      </c>
      <c r="O72" s="34"/>
      <c r="P72" s="34">
        <f>SUM(P69:P71)</f>
        <v>10559</v>
      </c>
      <c r="Q72" s="34"/>
      <c r="R72" s="34">
        <f>SUM(R69:R71)</f>
        <v>2989</v>
      </c>
      <c r="S72" s="34"/>
      <c r="T72" s="34">
        <f>SUM(T69:T71)</f>
        <v>0</v>
      </c>
      <c r="U72" s="34"/>
      <c r="V72" s="54">
        <f>SUM(V69:V71)</f>
        <v>977183</v>
      </c>
      <c r="W72" s="25"/>
      <c r="X72" s="5"/>
    </row>
    <row r="73" spans="1:24" ht="15.75" x14ac:dyDescent="0.25">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75" x14ac:dyDescent="0.25">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75" x14ac:dyDescent="0.25">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75" x14ac:dyDescent="0.25">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75" x14ac:dyDescent="0.25">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75" x14ac:dyDescent="0.25">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75" x14ac:dyDescent="0.25">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75" x14ac:dyDescent="0.25">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75" x14ac:dyDescent="0.25">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75" x14ac:dyDescent="0.25">
      <c r="A82" s="24"/>
      <c r="B82" s="25" t="s">
        <v>117</v>
      </c>
      <c r="C82" s="34"/>
      <c r="D82" s="34"/>
      <c r="E82" s="34"/>
      <c r="F82" s="34"/>
      <c r="G82" s="34"/>
      <c r="H82" s="34"/>
      <c r="I82" s="34"/>
      <c r="J82" s="34"/>
      <c r="K82" s="34"/>
      <c r="L82" s="34">
        <v>188687</v>
      </c>
      <c r="M82" s="34"/>
      <c r="N82" s="34">
        <v>0</v>
      </c>
      <c r="O82" s="34"/>
      <c r="P82" s="34">
        <v>0</v>
      </c>
      <c r="Q82" s="34"/>
      <c r="R82" s="34"/>
      <c r="S82" s="34"/>
      <c r="T82" s="34"/>
      <c r="U82" s="34"/>
      <c r="V82" s="54">
        <f>SUM(N82:R82)</f>
        <v>0</v>
      </c>
      <c r="W82" s="25"/>
      <c r="X82" s="5"/>
    </row>
    <row r="83" spans="1:24" ht="15.75" x14ac:dyDescent="0.25">
      <c r="A83" s="24"/>
      <c r="B83" s="25" t="s">
        <v>146</v>
      </c>
      <c r="C83" s="34"/>
      <c r="D83" s="34"/>
      <c r="E83" s="34"/>
      <c r="F83" s="34"/>
      <c r="G83" s="34"/>
      <c r="H83" s="34"/>
      <c r="I83" s="34"/>
      <c r="J83" s="34"/>
      <c r="K83" s="34"/>
      <c r="L83" s="34">
        <v>0</v>
      </c>
      <c r="M83" s="34"/>
      <c r="N83" s="34">
        <v>0</v>
      </c>
      <c r="O83" s="34"/>
      <c r="P83" s="34">
        <v>0</v>
      </c>
      <c r="Q83" s="34"/>
      <c r="R83" s="34"/>
      <c r="S83" s="34"/>
      <c r="T83" s="34"/>
      <c r="U83" s="34"/>
      <c r="V83" s="54">
        <f>+N83+P83</f>
        <v>0</v>
      </c>
      <c r="W83" s="25"/>
      <c r="X83" s="5"/>
    </row>
    <row r="84" spans="1:24" ht="15.75" x14ac:dyDescent="0.25">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75" x14ac:dyDescent="0.25">
      <c r="A85" s="24"/>
      <c r="B85" s="25" t="s">
        <v>26</v>
      </c>
      <c r="C85" s="34"/>
      <c r="D85" s="34"/>
      <c r="E85" s="34"/>
      <c r="F85" s="54"/>
      <c r="G85" s="34"/>
      <c r="H85" s="54"/>
      <c r="I85" s="54"/>
      <c r="J85" s="54"/>
      <c r="K85" s="54"/>
      <c r="L85" s="54">
        <f>SUM(L72:L84)</f>
        <v>1001133</v>
      </c>
      <c r="M85" s="34"/>
      <c r="N85" s="54">
        <f>SUM(N72:N84)</f>
        <v>984753</v>
      </c>
      <c r="O85" s="34"/>
      <c r="P85" s="34"/>
      <c r="Q85" s="34"/>
      <c r="R85" s="34"/>
      <c r="S85" s="34"/>
      <c r="T85" s="54"/>
      <c r="U85" s="34"/>
      <c r="V85" s="54">
        <f>SUM(V72:V84)</f>
        <v>977183</v>
      </c>
      <c r="W85" s="25"/>
      <c r="X85" s="5"/>
    </row>
    <row r="86" spans="1:24" ht="15.75" x14ac:dyDescent="0.25">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75" x14ac:dyDescent="0.25">
      <c r="A87" s="6"/>
      <c r="B87" s="8"/>
      <c r="C87" s="8"/>
      <c r="D87" s="8"/>
      <c r="E87" s="8"/>
      <c r="F87" s="8"/>
      <c r="G87" s="8"/>
      <c r="H87" s="8"/>
      <c r="I87" s="8"/>
      <c r="J87" s="8"/>
      <c r="K87" s="8"/>
      <c r="L87" s="8"/>
      <c r="M87" s="8"/>
      <c r="N87" s="8"/>
      <c r="O87" s="8"/>
      <c r="P87" s="8"/>
      <c r="Q87" s="8"/>
      <c r="R87" s="8"/>
      <c r="S87" s="8"/>
      <c r="T87" s="8"/>
      <c r="U87" s="8"/>
      <c r="V87" s="8"/>
      <c r="W87" s="8"/>
      <c r="X87" s="5"/>
    </row>
    <row r="88" spans="1:24" ht="15.75" x14ac:dyDescent="0.25">
      <c r="A88" s="6"/>
      <c r="B88" s="51" t="s">
        <v>27</v>
      </c>
      <c r="C88" s="14"/>
      <c r="D88" s="14"/>
      <c r="E88" s="14"/>
      <c r="F88" s="14"/>
      <c r="G88" s="14"/>
      <c r="H88" s="17"/>
      <c r="I88" s="17"/>
      <c r="J88" s="17"/>
      <c r="K88" s="17"/>
      <c r="L88" s="155" t="s">
        <v>95</v>
      </c>
      <c r="M88" s="17"/>
      <c r="N88" s="154">
        <f>+T201</f>
        <v>39598</v>
      </c>
      <c r="O88" s="17"/>
      <c r="P88" s="17"/>
      <c r="Q88" s="17"/>
      <c r="R88" s="17"/>
      <c r="S88" s="17"/>
      <c r="T88" s="17" t="s">
        <v>107</v>
      </c>
      <c r="U88" s="17"/>
      <c r="V88" s="17" t="s">
        <v>113</v>
      </c>
      <c r="W88" s="8"/>
      <c r="X88" s="5"/>
    </row>
    <row r="89" spans="1:24" ht="15.75" x14ac:dyDescent="0.25">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75" x14ac:dyDescent="0.25">
      <c r="A90" s="24"/>
      <c r="B90" s="25" t="s">
        <v>29</v>
      </c>
      <c r="C90" s="25"/>
      <c r="D90" s="25"/>
      <c r="E90" s="25"/>
      <c r="F90" s="25"/>
      <c r="G90" s="25"/>
      <c r="H90" s="40"/>
      <c r="I90" s="40"/>
      <c r="J90" s="40"/>
      <c r="K90" s="57"/>
      <c r="L90" s="40"/>
      <c r="M90" s="25"/>
      <c r="N90" s="127"/>
      <c r="O90" s="25"/>
      <c r="P90" s="25"/>
      <c r="Q90" s="25"/>
      <c r="R90" s="25"/>
      <c r="S90" s="25"/>
      <c r="T90" s="34">
        <v>10559</v>
      </c>
      <c r="U90" s="25"/>
      <c r="V90" s="53"/>
      <c r="W90" s="25"/>
      <c r="X90" s="5"/>
    </row>
    <row r="91" spans="1:24" ht="15.75" x14ac:dyDescent="0.25">
      <c r="A91" s="24"/>
      <c r="B91" s="25" t="s">
        <v>215</v>
      </c>
      <c r="C91" s="25"/>
      <c r="D91" s="25"/>
      <c r="E91" s="25"/>
      <c r="F91" s="25"/>
      <c r="G91" s="25"/>
      <c r="H91" s="40"/>
      <c r="I91" s="40"/>
      <c r="J91" s="40"/>
      <c r="K91" s="57"/>
      <c r="L91" s="40"/>
      <c r="M91" s="25"/>
      <c r="N91" s="127"/>
      <c r="O91" s="25"/>
      <c r="P91" s="25"/>
      <c r="Q91" s="25"/>
      <c r="R91" s="25"/>
      <c r="S91" s="25"/>
      <c r="T91" s="34"/>
      <c r="U91" s="25"/>
      <c r="V91" s="53">
        <f>6657+7107-257-572+7</f>
        <v>12942</v>
      </c>
      <c r="W91" s="25"/>
      <c r="X91" s="5"/>
    </row>
    <row r="92" spans="1:24" ht="15.75" x14ac:dyDescent="0.25">
      <c r="A92" s="24"/>
      <c r="B92" s="25" t="s">
        <v>210</v>
      </c>
      <c r="C92" s="25"/>
      <c r="D92" s="25"/>
      <c r="E92" s="25"/>
      <c r="F92" s="25"/>
      <c r="G92" s="25"/>
      <c r="H92" s="40"/>
      <c r="I92" s="40"/>
      <c r="J92" s="40"/>
      <c r="K92" s="57"/>
      <c r="L92" s="40"/>
      <c r="M92" s="25"/>
      <c r="N92" s="127"/>
      <c r="O92" s="25"/>
      <c r="P92" s="25"/>
      <c r="Q92" s="25"/>
      <c r="R92" s="25"/>
      <c r="S92" s="25"/>
      <c r="T92" s="34"/>
      <c r="U92" s="25"/>
      <c r="V92" s="53">
        <f>75+116</f>
        <v>191</v>
      </c>
      <c r="W92" s="25"/>
      <c r="X92" s="5"/>
    </row>
    <row r="93" spans="1:24" ht="15.75" x14ac:dyDescent="0.25">
      <c r="A93" s="24"/>
      <c r="B93" s="25" t="s">
        <v>211</v>
      </c>
      <c r="C93" s="25"/>
      <c r="D93" s="25"/>
      <c r="E93" s="25"/>
      <c r="F93" s="25"/>
      <c r="G93" s="25"/>
      <c r="H93" s="40"/>
      <c r="I93" s="40"/>
      <c r="J93" s="40"/>
      <c r="K93" s="57"/>
      <c r="L93" s="40"/>
      <c r="M93" s="25"/>
      <c r="N93" s="127"/>
      <c r="O93" s="25"/>
      <c r="P93" s="25"/>
      <c r="Q93" s="25"/>
      <c r="R93" s="25"/>
      <c r="S93" s="25"/>
      <c r="T93" s="34"/>
      <c r="U93" s="25"/>
      <c r="V93" s="53">
        <v>511</v>
      </c>
      <c r="W93" s="25"/>
      <c r="X93" s="5"/>
    </row>
    <row r="94" spans="1:24" ht="15.75" x14ac:dyDescent="0.25">
      <c r="A94" s="24"/>
      <c r="B94" s="25" t="s">
        <v>233</v>
      </c>
      <c r="C94" s="25"/>
      <c r="D94" s="25"/>
      <c r="E94" s="25"/>
      <c r="F94" s="25"/>
      <c r="G94" s="25"/>
      <c r="H94" s="40"/>
      <c r="I94" s="40"/>
      <c r="J94" s="40"/>
      <c r="K94" s="57"/>
      <c r="L94" s="40"/>
      <c r="M94" s="25"/>
      <c r="N94" s="127"/>
      <c r="O94" s="25"/>
      <c r="P94" s="25"/>
      <c r="Q94" s="25"/>
      <c r="R94" s="25"/>
      <c r="S94" s="25"/>
      <c r="T94" s="34"/>
      <c r="U94" s="25"/>
      <c r="V94" s="53">
        <v>95</v>
      </c>
      <c r="W94" s="25"/>
      <c r="X94" s="5"/>
    </row>
    <row r="95" spans="1:24" ht="15.75" x14ac:dyDescent="0.25">
      <c r="A95" s="24"/>
      <c r="B95" s="25" t="s">
        <v>235</v>
      </c>
      <c r="C95" s="25"/>
      <c r="D95" s="25"/>
      <c r="E95" s="25"/>
      <c r="F95" s="25"/>
      <c r="G95" s="25"/>
      <c r="H95" s="40"/>
      <c r="I95" s="40"/>
      <c r="J95" s="40"/>
      <c r="K95" s="57"/>
      <c r="L95" s="40"/>
      <c r="M95" s="25"/>
      <c r="N95" s="127"/>
      <c r="O95" s="25"/>
      <c r="P95" s="25"/>
      <c r="Q95" s="25"/>
      <c r="R95" s="25"/>
      <c r="S95" s="25"/>
      <c r="T95" s="34"/>
      <c r="U95" s="25"/>
      <c r="V95" s="53">
        <v>729</v>
      </c>
      <c r="W95" s="25"/>
      <c r="X95" s="5"/>
    </row>
    <row r="96" spans="1:24" ht="15.75" x14ac:dyDescent="0.25">
      <c r="A96" s="24"/>
      <c r="B96" s="25" t="s">
        <v>135</v>
      </c>
      <c r="C96" s="25"/>
      <c r="D96" s="25"/>
      <c r="E96" s="25"/>
      <c r="F96" s="25"/>
      <c r="G96" s="25"/>
      <c r="H96" s="25"/>
      <c r="I96" s="25"/>
      <c r="J96" s="25"/>
      <c r="K96" s="25"/>
      <c r="L96" s="25"/>
      <c r="M96" s="25"/>
      <c r="N96" s="25"/>
      <c r="O96" s="25"/>
      <c r="P96" s="25"/>
      <c r="Q96" s="25"/>
      <c r="R96" s="25"/>
      <c r="S96" s="25"/>
      <c r="T96" s="34"/>
      <c r="U96" s="25"/>
      <c r="V96" s="53">
        <v>0</v>
      </c>
      <c r="W96" s="25"/>
      <c r="X96" s="5"/>
    </row>
    <row r="97" spans="1:25" ht="15.75" x14ac:dyDescent="0.25">
      <c r="A97" s="24"/>
      <c r="B97" s="25" t="s">
        <v>272</v>
      </c>
      <c r="C97" s="25"/>
      <c r="D97" s="25"/>
      <c r="E97" s="25"/>
      <c r="F97" s="25"/>
      <c r="G97" s="25"/>
      <c r="H97" s="25"/>
      <c r="I97" s="25"/>
      <c r="J97" s="25"/>
      <c r="K97" s="25"/>
      <c r="L97" s="25"/>
      <c r="M97" s="25"/>
      <c r="N97" s="25"/>
      <c r="O97" s="25"/>
      <c r="P97" s="25"/>
      <c r="Q97" s="25"/>
      <c r="R97" s="25"/>
      <c r="S97" s="25"/>
      <c r="T97" s="34"/>
      <c r="U97" s="25"/>
      <c r="V97" s="53">
        <v>3870</v>
      </c>
      <c r="W97" s="25"/>
      <c r="X97" s="5"/>
    </row>
    <row r="98" spans="1:25" ht="15.75" x14ac:dyDescent="0.25">
      <c r="A98" s="24"/>
      <c r="B98" s="25" t="s">
        <v>30</v>
      </c>
      <c r="C98" s="25"/>
      <c r="D98" s="25"/>
      <c r="E98" s="25"/>
      <c r="F98" s="25"/>
      <c r="G98" s="25"/>
      <c r="H98" s="25"/>
      <c r="I98" s="25"/>
      <c r="J98" s="25"/>
      <c r="K98" s="25"/>
      <c r="L98" s="25"/>
      <c r="M98" s="25"/>
      <c r="N98" s="25"/>
      <c r="O98" s="25"/>
      <c r="P98" s="25"/>
      <c r="Q98" s="25"/>
      <c r="R98" s="25"/>
      <c r="S98" s="25"/>
      <c r="T98" s="34">
        <f>SUM(T89:T97)</f>
        <v>10559</v>
      </c>
      <c r="U98" s="25"/>
      <c r="V98" s="54">
        <f>SUM(V89:V97)</f>
        <v>18338</v>
      </c>
      <c r="W98" s="25"/>
      <c r="X98" s="5"/>
    </row>
    <row r="99" spans="1:25" ht="15.75" x14ac:dyDescent="0.25">
      <c r="A99" s="24"/>
      <c r="B99" s="25" t="s">
        <v>161</v>
      </c>
      <c r="C99" s="25"/>
      <c r="D99" s="25"/>
      <c r="E99" s="25"/>
      <c r="F99" s="25"/>
      <c r="G99" s="25"/>
      <c r="H99" s="25"/>
      <c r="I99" s="25"/>
      <c r="J99" s="25"/>
      <c r="K99" s="25"/>
      <c r="L99" s="25"/>
      <c r="M99" s="25"/>
      <c r="N99" s="25"/>
      <c r="O99" s="25"/>
      <c r="P99" s="25"/>
      <c r="Q99" s="25"/>
      <c r="R99" s="25"/>
      <c r="S99" s="25"/>
      <c r="T99" s="34">
        <f>-V99</f>
        <v>-21</v>
      </c>
      <c r="U99" s="25"/>
      <c r="V99" s="54">
        <v>21</v>
      </c>
      <c r="W99" s="25"/>
      <c r="X99" s="5"/>
    </row>
    <row r="100" spans="1:25" ht="15.75" x14ac:dyDescent="0.25">
      <c r="A100" s="24"/>
      <c r="B100" s="25" t="s">
        <v>31</v>
      </c>
      <c r="C100" s="25"/>
      <c r="D100" s="25"/>
      <c r="E100" s="25"/>
      <c r="F100" s="25"/>
      <c r="G100" s="25"/>
      <c r="H100" s="25"/>
      <c r="I100" s="25"/>
      <c r="J100" s="25"/>
      <c r="K100" s="25"/>
      <c r="L100" s="25"/>
      <c r="M100" s="25"/>
      <c r="N100" s="25"/>
      <c r="O100" s="25"/>
      <c r="P100" s="25"/>
      <c r="Q100" s="25"/>
      <c r="R100" s="25"/>
      <c r="S100" s="25"/>
      <c r="T100" s="34">
        <f>-V100</f>
        <v>0</v>
      </c>
      <c r="U100" s="25"/>
      <c r="V100" s="53">
        <v>0</v>
      </c>
      <c r="W100" s="25"/>
      <c r="X100" s="5"/>
    </row>
    <row r="101" spans="1:25" ht="15.75" x14ac:dyDescent="0.25">
      <c r="A101" s="24"/>
      <c r="B101" s="25" t="s">
        <v>274</v>
      </c>
      <c r="C101" s="25"/>
      <c r="D101" s="25"/>
      <c r="E101" s="25"/>
      <c r="F101" s="25"/>
      <c r="G101" s="25"/>
      <c r="H101" s="25"/>
      <c r="I101" s="25"/>
      <c r="J101" s="25"/>
      <c r="K101" s="25"/>
      <c r="L101" s="25"/>
      <c r="M101" s="25"/>
      <c r="N101" s="25"/>
      <c r="O101" s="25"/>
      <c r="P101" s="25"/>
      <c r="Q101" s="25"/>
      <c r="R101" s="25"/>
      <c r="S101" s="25"/>
      <c r="T101" s="34"/>
      <c r="U101" s="25"/>
      <c r="V101" s="53">
        <v>0</v>
      </c>
      <c r="W101" s="25"/>
      <c r="X101" s="5"/>
    </row>
    <row r="102" spans="1:25" ht="15.75" x14ac:dyDescent="0.25">
      <c r="A102" s="24"/>
      <c r="B102" s="25" t="s">
        <v>32</v>
      </c>
      <c r="C102" s="25"/>
      <c r="D102" s="25"/>
      <c r="E102" s="25"/>
      <c r="F102" s="25"/>
      <c r="G102" s="25"/>
      <c r="H102" s="25"/>
      <c r="I102" s="25"/>
      <c r="J102" s="25"/>
      <c r="K102" s="25"/>
      <c r="L102" s="25"/>
      <c r="M102" s="25"/>
      <c r="N102" s="25"/>
      <c r="O102" s="25"/>
      <c r="P102" s="25"/>
      <c r="Q102" s="25"/>
      <c r="R102" s="25"/>
      <c r="S102" s="25"/>
      <c r="T102" s="34">
        <f>T98+T100+T99</f>
        <v>10538</v>
      </c>
      <c r="U102" s="25"/>
      <c r="V102" s="54">
        <f>V98+V100+V99+V101</f>
        <v>18359</v>
      </c>
      <c r="W102" s="25"/>
      <c r="X102" s="5"/>
    </row>
    <row r="103" spans="1:25" ht="15.75" x14ac:dyDescent="0.25">
      <c r="A103" s="24"/>
      <c r="B103" s="118" t="s">
        <v>33</v>
      </c>
      <c r="C103" s="25"/>
      <c r="D103" s="25"/>
      <c r="E103" s="25"/>
      <c r="F103" s="25"/>
      <c r="G103" s="25"/>
      <c r="H103" s="25"/>
      <c r="I103" s="25"/>
      <c r="J103" s="25"/>
      <c r="K103" s="25"/>
      <c r="L103" s="25"/>
      <c r="M103" s="25"/>
      <c r="N103" s="25"/>
      <c r="O103" s="25"/>
      <c r="P103" s="25"/>
      <c r="Q103" s="25"/>
      <c r="R103" s="25"/>
      <c r="S103" s="25"/>
      <c r="T103" s="34"/>
      <c r="U103" s="25"/>
      <c r="V103" s="53"/>
      <c r="W103" s="25"/>
      <c r="X103" s="5"/>
    </row>
    <row r="104" spans="1:25" ht="15.75" x14ac:dyDescent="0.25">
      <c r="A104" s="24">
        <v>1</v>
      </c>
      <c r="B104" s="25" t="s">
        <v>34</v>
      </c>
      <c r="C104" s="25"/>
      <c r="D104" s="25"/>
      <c r="E104" s="25"/>
      <c r="F104" s="25"/>
      <c r="G104" s="25"/>
      <c r="H104" s="25"/>
      <c r="I104" s="25"/>
      <c r="J104" s="25"/>
      <c r="K104" s="25"/>
      <c r="L104" s="25"/>
      <c r="M104" s="25"/>
      <c r="N104" s="25"/>
      <c r="O104" s="25"/>
      <c r="P104" s="25"/>
      <c r="Q104" s="25"/>
      <c r="R104" s="25"/>
      <c r="S104" s="25"/>
      <c r="T104" s="25"/>
      <c r="U104" s="25"/>
      <c r="V104" s="53">
        <v>0</v>
      </c>
      <c r="W104" s="25"/>
      <c r="X104" s="5"/>
    </row>
    <row r="105" spans="1:25" ht="15.75" x14ac:dyDescent="0.25">
      <c r="A105" s="24">
        <f>+A104+1</f>
        <v>2</v>
      </c>
      <c r="B105" s="25" t="s">
        <v>221</v>
      </c>
      <c r="C105" s="25"/>
      <c r="D105" s="25"/>
      <c r="E105" s="25"/>
      <c r="F105" s="25"/>
      <c r="G105" s="25"/>
      <c r="H105" s="25"/>
      <c r="I105" s="25"/>
      <c r="J105" s="25"/>
      <c r="K105" s="25"/>
      <c r="L105" s="25"/>
      <c r="M105" s="25"/>
      <c r="N105" s="25"/>
      <c r="O105" s="25"/>
      <c r="P105" s="25"/>
      <c r="Q105" s="25"/>
      <c r="R105" s="25"/>
      <c r="S105" s="25"/>
      <c r="T105" s="25"/>
      <c r="U105" s="25"/>
      <c r="V105" s="53">
        <v>-2</v>
      </c>
      <c r="W105" s="25"/>
      <c r="X105" s="5"/>
    </row>
    <row r="106" spans="1:25" ht="15.75" x14ac:dyDescent="0.25">
      <c r="A106" s="24">
        <f>+A105+1</f>
        <v>3</v>
      </c>
      <c r="B106" s="25" t="s">
        <v>204</v>
      </c>
      <c r="C106" s="25"/>
      <c r="D106" s="25"/>
      <c r="E106" s="25"/>
      <c r="F106" s="25"/>
      <c r="G106" s="25"/>
      <c r="H106" s="25"/>
      <c r="I106" s="25"/>
      <c r="J106" s="25"/>
      <c r="K106" s="25"/>
      <c r="L106" s="25"/>
      <c r="M106" s="25"/>
      <c r="N106" s="25"/>
      <c r="O106" s="25"/>
      <c r="P106" s="25"/>
      <c r="Q106" s="25"/>
      <c r="R106" s="25"/>
      <c r="S106" s="25"/>
      <c r="T106" s="25"/>
      <c r="U106" s="25"/>
      <c r="V106" s="53">
        <f>-372-13-12-7</f>
        <v>-404</v>
      </c>
      <c r="W106" s="25"/>
      <c r="X106" s="5"/>
    </row>
    <row r="107" spans="1:25" ht="15.75" x14ac:dyDescent="0.25">
      <c r="A107" s="24" t="s">
        <v>127</v>
      </c>
      <c r="B107" s="25" t="s">
        <v>116</v>
      </c>
      <c r="C107" s="25"/>
      <c r="D107" s="25"/>
      <c r="E107" s="25"/>
      <c r="F107" s="25"/>
      <c r="G107" s="25"/>
      <c r="H107" s="25"/>
      <c r="I107" s="25"/>
      <c r="J107" s="25"/>
      <c r="K107" s="25"/>
      <c r="L107" s="25"/>
      <c r="M107" s="25"/>
      <c r="N107" s="25"/>
      <c r="O107" s="25"/>
      <c r="P107" s="25"/>
      <c r="Q107" s="25"/>
      <c r="R107" s="25"/>
      <c r="S107" s="25"/>
      <c r="T107" s="25"/>
      <c r="U107" s="25"/>
      <c r="V107" s="53">
        <v>0</v>
      </c>
      <c r="W107" s="25"/>
      <c r="X107" s="5"/>
    </row>
    <row r="108" spans="1:25" ht="15.75" x14ac:dyDescent="0.25">
      <c r="A108" s="24" t="s">
        <v>128</v>
      </c>
      <c r="B108" s="25" t="s">
        <v>220</v>
      </c>
      <c r="C108" s="25"/>
      <c r="D108" s="25"/>
      <c r="E108" s="25"/>
      <c r="F108" s="25"/>
      <c r="G108" s="25"/>
      <c r="H108" s="25"/>
      <c r="I108" s="25"/>
      <c r="J108" s="25"/>
      <c r="K108" s="25"/>
      <c r="L108" s="25"/>
      <c r="M108" s="25"/>
      <c r="N108" s="25"/>
      <c r="O108" s="25"/>
      <c r="P108" s="25"/>
      <c r="Q108" s="25"/>
      <c r="R108" s="25"/>
      <c r="S108" s="25"/>
      <c r="T108" s="25"/>
      <c r="U108" s="25"/>
      <c r="V108" s="53">
        <v>-9420</v>
      </c>
      <c r="W108" s="25"/>
      <c r="X108" s="5"/>
      <c r="Y108" s="109"/>
    </row>
    <row r="109" spans="1:25" ht="15.75" x14ac:dyDescent="0.25">
      <c r="A109" s="24" t="s">
        <v>150</v>
      </c>
      <c r="B109" s="25" t="s">
        <v>184</v>
      </c>
      <c r="C109" s="25"/>
      <c r="D109" s="25"/>
      <c r="E109" s="25"/>
      <c r="F109" s="25"/>
      <c r="G109" s="25"/>
      <c r="H109" s="25"/>
      <c r="I109" s="25"/>
      <c r="J109" s="25"/>
      <c r="K109" s="25"/>
      <c r="L109" s="25"/>
      <c r="M109" s="25"/>
      <c r="N109" s="25"/>
      <c r="O109" s="25"/>
      <c r="P109" s="25"/>
      <c r="Q109" s="25"/>
      <c r="R109" s="25"/>
      <c r="S109" s="25"/>
      <c r="T109" s="25"/>
      <c r="U109" s="25"/>
      <c r="V109" s="53">
        <v>-3119</v>
      </c>
      <c r="W109" s="25"/>
      <c r="X109" s="5"/>
      <c r="Y109" s="109"/>
    </row>
    <row r="110" spans="1:25" ht="15.75" x14ac:dyDescent="0.25">
      <c r="A110" s="24" t="s">
        <v>205</v>
      </c>
      <c r="B110" s="25" t="s">
        <v>185</v>
      </c>
      <c r="C110" s="25"/>
      <c r="D110" s="25"/>
      <c r="E110" s="25"/>
      <c r="F110" s="25"/>
      <c r="G110" s="25"/>
      <c r="H110" s="25"/>
      <c r="I110" s="25"/>
      <c r="J110" s="25"/>
      <c r="K110" s="25"/>
      <c r="L110" s="25"/>
      <c r="M110" s="25"/>
      <c r="N110" s="25"/>
      <c r="O110" s="25"/>
      <c r="P110" s="25"/>
      <c r="Q110" s="25"/>
      <c r="R110" s="25"/>
      <c r="S110" s="25"/>
      <c r="T110" s="25"/>
      <c r="U110" s="25"/>
      <c r="V110" s="53">
        <v>-907</v>
      </c>
      <c r="W110" s="25"/>
      <c r="X110" s="5"/>
      <c r="Y110" s="109"/>
    </row>
    <row r="111" spans="1:25" ht="15.75" x14ac:dyDescent="0.25">
      <c r="A111" s="24" t="s">
        <v>206</v>
      </c>
      <c r="B111" s="25" t="s">
        <v>186</v>
      </c>
      <c r="C111" s="25"/>
      <c r="D111" s="25"/>
      <c r="E111" s="25"/>
      <c r="F111" s="25"/>
      <c r="G111" s="25"/>
      <c r="H111" s="25"/>
      <c r="I111" s="25"/>
      <c r="J111" s="25"/>
      <c r="K111" s="25"/>
      <c r="L111" s="25"/>
      <c r="M111" s="25"/>
      <c r="N111" s="25"/>
      <c r="O111" s="25"/>
      <c r="P111" s="25"/>
      <c r="Q111" s="25"/>
      <c r="R111" s="25"/>
      <c r="S111" s="25"/>
      <c r="T111" s="25"/>
      <c r="U111" s="25"/>
      <c r="V111" s="53">
        <v>-264</v>
      </c>
      <c r="W111" s="25"/>
      <c r="X111" s="5"/>
      <c r="Y111" s="109"/>
    </row>
    <row r="112" spans="1:25" ht="15.75" x14ac:dyDescent="0.25">
      <c r="A112" s="24">
        <v>6</v>
      </c>
      <c r="B112" s="25" t="s">
        <v>196</v>
      </c>
      <c r="C112" s="25"/>
      <c r="D112" s="25"/>
      <c r="E112" s="25"/>
      <c r="F112" s="25"/>
      <c r="G112" s="25"/>
      <c r="H112" s="25"/>
      <c r="I112" s="25"/>
      <c r="J112" s="25"/>
      <c r="K112" s="25"/>
      <c r="L112" s="25"/>
      <c r="M112" s="25"/>
      <c r="N112" s="25"/>
      <c r="O112" s="25"/>
      <c r="P112" s="25"/>
      <c r="Q112" s="25"/>
      <c r="R112" s="25"/>
      <c r="S112" s="25"/>
      <c r="T112" s="25"/>
      <c r="U112" s="25"/>
      <c r="V112" s="53">
        <v>-1229</v>
      </c>
      <c r="W112" s="25"/>
      <c r="X112" s="5"/>
      <c r="Y112" s="109"/>
    </row>
    <row r="113" spans="1:24" ht="15.75" x14ac:dyDescent="0.25">
      <c r="A113" s="24">
        <v>7</v>
      </c>
      <c r="B113" s="25" t="s">
        <v>35</v>
      </c>
      <c r="C113" s="25"/>
      <c r="D113" s="25"/>
      <c r="E113" s="25"/>
      <c r="F113" s="25"/>
      <c r="G113" s="25"/>
      <c r="H113" s="25"/>
      <c r="I113" s="25"/>
      <c r="J113" s="25"/>
      <c r="K113" s="25"/>
      <c r="L113" s="25"/>
      <c r="M113" s="25"/>
      <c r="N113" s="25"/>
      <c r="O113" s="25"/>
      <c r="P113" s="25"/>
      <c r="Q113" s="25"/>
      <c r="R113" s="25"/>
      <c r="S113" s="25"/>
      <c r="T113" s="25"/>
      <c r="U113" s="25"/>
      <c r="V113" s="53">
        <v>-9</v>
      </c>
      <c r="W113" s="25"/>
      <c r="X113" s="5"/>
    </row>
    <row r="114" spans="1:24" ht="15.75" x14ac:dyDescent="0.25">
      <c r="A114" s="24">
        <f t="shared" ref="A114:A119" si="0">+A113+1</f>
        <v>8</v>
      </c>
      <c r="B114" s="25" t="s">
        <v>45</v>
      </c>
      <c r="C114" s="25"/>
      <c r="D114" s="25"/>
      <c r="E114" s="25"/>
      <c r="F114" s="25"/>
      <c r="G114" s="25"/>
      <c r="H114" s="25"/>
      <c r="I114" s="25"/>
      <c r="J114" s="25"/>
      <c r="K114" s="25"/>
      <c r="L114" s="25"/>
      <c r="M114" s="25"/>
      <c r="N114" s="25"/>
      <c r="O114" s="25"/>
      <c r="P114" s="25"/>
      <c r="Q114" s="25"/>
      <c r="R114" s="25"/>
      <c r="S114" s="25"/>
      <c r="T114" s="25">
        <v>0</v>
      </c>
      <c r="U114" s="25"/>
      <c r="V114" s="53">
        <v>0</v>
      </c>
      <c r="W114" s="25"/>
      <c r="X114" s="5"/>
    </row>
    <row r="115" spans="1:24" ht="15.75" x14ac:dyDescent="0.25">
      <c r="A115" s="24">
        <f t="shared" si="0"/>
        <v>9</v>
      </c>
      <c r="B115" s="25" t="s">
        <v>125</v>
      </c>
      <c r="C115" s="25"/>
      <c r="D115" s="25"/>
      <c r="E115" s="25"/>
      <c r="F115" s="25"/>
      <c r="G115" s="25"/>
      <c r="H115" s="25"/>
      <c r="I115" s="25"/>
      <c r="J115" s="25"/>
      <c r="K115" s="25"/>
      <c r="L115" s="25"/>
      <c r="M115" s="25"/>
      <c r="N115" s="25"/>
      <c r="O115" s="25"/>
      <c r="P115" s="25"/>
      <c r="Q115" s="25"/>
      <c r="R115" s="25"/>
      <c r="S115" s="25"/>
      <c r="T115" s="25"/>
      <c r="U115" s="25"/>
      <c r="V115" s="53">
        <v>0</v>
      </c>
      <c r="W115" s="25"/>
      <c r="X115" s="5"/>
    </row>
    <row r="116" spans="1:24" ht="15.75" x14ac:dyDescent="0.25">
      <c r="A116" s="24">
        <f t="shared" si="0"/>
        <v>10</v>
      </c>
      <c r="B116" s="25" t="s">
        <v>225</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4" ht="15.75" x14ac:dyDescent="0.25">
      <c r="A117" s="24">
        <f t="shared" si="0"/>
        <v>11</v>
      </c>
      <c r="B117" s="25" t="s">
        <v>36</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4" ht="15.75" x14ac:dyDescent="0.25">
      <c r="A118" s="24">
        <f t="shared" si="0"/>
        <v>12</v>
      </c>
      <c r="B118" s="25" t="s">
        <v>149</v>
      </c>
      <c r="C118" s="25"/>
      <c r="D118" s="25"/>
      <c r="E118" s="25"/>
      <c r="F118" s="25"/>
      <c r="G118" s="25"/>
      <c r="H118" s="25"/>
      <c r="I118" s="25"/>
      <c r="J118" s="25"/>
      <c r="K118" s="25"/>
      <c r="L118" s="25"/>
      <c r="M118" s="25"/>
      <c r="N118" s="25"/>
      <c r="O118" s="25"/>
      <c r="P118" s="25"/>
      <c r="Q118" s="25"/>
      <c r="R118" s="25"/>
      <c r="S118" s="25"/>
      <c r="T118" s="25"/>
      <c r="U118" s="25"/>
      <c r="V118" s="53">
        <v>-372</v>
      </c>
      <c r="W118" s="25"/>
      <c r="X118" s="5"/>
    </row>
    <row r="119" spans="1:24" ht="15.75" x14ac:dyDescent="0.25">
      <c r="A119" s="24">
        <f t="shared" si="0"/>
        <v>13</v>
      </c>
      <c r="B119" s="25" t="s">
        <v>126</v>
      </c>
      <c r="C119" s="25"/>
      <c r="D119" s="25"/>
      <c r="E119" s="25"/>
      <c r="F119" s="25"/>
      <c r="G119" s="25"/>
      <c r="H119" s="25"/>
      <c r="I119" s="25"/>
      <c r="J119" s="25"/>
      <c r="K119" s="25"/>
      <c r="L119" s="25"/>
      <c r="M119" s="25"/>
      <c r="N119" s="25"/>
      <c r="O119" s="25"/>
      <c r="P119" s="25"/>
      <c r="Q119" s="25"/>
      <c r="R119" s="25"/>
      <c r="S119" s="25"/>
      <c r="T119" s="25"/>
      <c r="U119" s="25"/>
      <c r="V119" s="53">
        <f>-V102-SUM(V104:V118)</f>
        <v>-2633</v>
      </c>
      <c r="W119" s="25"/>
      <c r="X119" s="5"/>
    </row>
    <row r="120" spans="1:24" ht="15.75" x14ac:dyDescent="0.25">
      <c r="A120" s="24"/>
      <c r="B120" s="118" t="s">
        <v>37</v>
      </c>
      <c r="C120" s="25"/>
      <c r="D120" s="25"/>
      <c r="E120" s="25"/>
      <c r="F120" s="25"/>
      <c r="G120" s="25"/>
      <c r="H120" s="25"/>
      <c r="I120" s="25"/>
      <c r="J120" s="25"/>
      <c r="K120" s="25"/>
      <c r="L120" s="25"/>
      <c r="M120" s="25"/>
      <c r="N120" s="25"/>
      <c r="O120" s="25"/>
      <c r="P120" s="25"/>
      <c r="Q120" s="25"/>
      <c r="R120" s="25"/>
      <c r="S120" s="25"/>
      <c r="T120" s="25"/>
      <c r="U120" s="25"/>
      <c r="V120" s="59"/>
      <c r="W120" s="25"/>
      <c r="X120" s="5"/>
    </row>
    <row r="121" spans="1:24" ht="15.75" x14ac:dyDescent="0.25">
      <c r="A121" s="24"/>
      <c r="B121" s="25" t="s">
        <v>173</v>
      </c>
      <c r="C121" s="25"/>
      <c r="D121" s="25"/>
      <c r="E121" s="25"/>
      <c r="F121" s="25"/>
      <c r="G121" s="25"/>
      <c r="H121" s="25"/>
      <c r="I121" s="25"/>
      <c r="J121" s="25"/>
      <c r="K121" s="25"/>
      <c r="L121" s="25"/>
      <c r="M121" s="25"/>
      <c r="N121" s="25"/>
      <c r="O121" s="25"/>
      <c r="P121" s="25"/>
      <c r="Q121" s="25"/>
      <c r="R121" s="25"/>
      <c r="S121" s="25"/>
      <c r="T121" s="34">
        <f>-T185</f>
        <v>-385</v>
      </c>
      <c r="U121" s="34"/>
      <c r="V121" s="53"/>
      <c r="W121" s="25"/>
      <c r="X121" s="5"/>
    </row>
    <row r="122" spans="1:24" ht="15.75" x14ac:dyDescent="0.25">
      <c r="A122" s="24"/>
      <c r="B122" s="25" t="s">
        <v>174</v>
      </c>
      <c r="C122" s="25"/>
      <c r="D122" s="25"/>
      <c r="E122" s="25"/>
      <c r="F122" s="25"/>
      <c r="G122" s="25"/>
      <c r="H122" s="25"/>
      <c r="I122" s="25"/>
      <c r="J122" s="25"/>
      <c r="K122" s="25"/>
      <c r="L122" s="25"/>
      <c r="M122" s="25"/>
      <c r="N122" s="25"/>
      <c r="O122" s="25"/>
      <c r="P122" s="25"/>
      <c r="Q122" s="25"/>
      <c r="R122" s="25"/>
      <c r="S122" s="25"/>
      <c r="T122" s="34">
        <v>-3</v>
      </c>
      <c r="U122" s="34"/>
      <c r="V122" s="53"/>
      <c r="W122" s="25"/>
      <c r="X122" s="5"/>
    </row>
    <row r="123" spans="1:24" ht="15.75" x14ac:dyDescent="0.25">
      <c r="A123" s="24"/>
      <c r="B123" s="25" t="s">
        <v>38</v>
      </c>
      <c r="C123" s="25"/>
      <c r="D123" s="25"/>
      <c r="E123" s="25"/>
      <c r="F123" s="25"/>
      <c r="G123" s="25"/>
      <c r="H123" s="25"/>
      <c r="I123" s="25"/>
      <c r="J123" s="25"/>
      <c r="K123" s="25"/>
      <c r="L123" s="25"/>
      <c r="M123" s="25"/>
      <c r="N123" s="25"/>
      <c r="O123" s="25"/>
      <c r="P123" s="25"/>
      <c r="Q123" s="25"/>
      <c r="R123" s="25"/>
      <c r="S123" s="25"/>
      <c r="T123" s="34">
        <f>-S185</f>
        <v>-2580</v>
      </c>
      <c r="U123" s="34"/>
      <c r="V123" s="53"/>
      <c r="W123" s="25"/>
      <c r="X123" s="5"/>
    </row>
    <row r="124" spans="1:24" ht="15.75" x14ac:dyDescent="0.25">
      <c r="A124" s="24"/>
      <c r="B124" s="25" t="s">
        <v>197</v>
      </c>
      <c r="C124" s="25"/>
      <c r="D124" s="25"/>
      <c r="E124" s="25"/>
      <c r="F124" s="25"/>
      <c r="G124" s="25"/>
      <c r="H124" s="25"/>
      <c r="I124" s="25"/>
      <c r="J124" s="25"/>
      <c r="K124" s="25"/>
      <c r="L124" s="25"/>
      <c r="M124" s="25"/>
      <c r="N124" s="25"/>
      <c r="O124" s="25"/>
      <c r="P124" s="25"/>
      <c r="Q124" s="25"/>
      <c r="R124" s="25"/>
      <c r="S124" s="25"/>
      <c r="T124" s="34">
        <v>-4385</v>
      </c>
      <c r="U124" s="34"/>
      <c r="V124" s="53"/>
      <c r="W124" s="25"/>
      <c r="X124" s="5"/>
    </row>
    <row r="125" spans="1:24" ht="15.75" x14ac:dyDescent="0.25">
      <c r="A125" s="24"/>
      <c r="B125" s="25" t="s">
        <v>195</v>
      </c>
      <c r="C125" s="25"/>
      <c r="D125" s="25"/>
      <c r="E125" s="25"/>
      <c r="F125" s="25"/>
      <c r="G125" s="25"/>
      <c r="H125" s="25"/>
      <c r="I125" s="25"/>
      <c r="J125" s="25"/>
      <c r="K125" s="25"/>
      <c r="L125" s="25"/>
      <c r="M125" s="25"/>
      <c r="N125" s="25"/>
      <c r="O125" s="25"/>
      <c r="P125" s="25"/>
      <c r="Q125" s="25"/>
      <c r="R125" s="25"/>
      <c r="S125" s="25"/>
      <c r="T125" s="34">
        <v>-1863</v>
      </c>
      <c r="U125" s="34"/>
      <c r="V125" s="53"/>
      <c r="W125" s="25"/>
      <c r="X125" s="5"/>
    </row>
    <row r="126" spans="1:24" ht="15.75" x14ac:dyDescent="0.25">
      <c r="A126" s="24"/>
      <c r="B126" s="25" t="s">
        <v>194</v>
      </c>
      <c r="C126" s="25"/>
      <c r="D126" s="25"/>
      <c r="E126" s="25"/>
      <c r="F126" s="25"/>
      <c r="G126" s="25"/>
      <c r="H126" s="25"/>
      <c r="I126" s="25"/>
      <c r="J126" s="25"/>
      <c r="K126" s="25"/>
      <c r="L126" s="25"/>
      <c r="M126" s="25"/>
      <c r="N126" s="25"/>
      <c r="O126" s="25"/>
      <c r="P126" s="25"/>
      <c r="Q126" s="25"/>
      <c r="R126" s="25"/>
      <c r="S126" s="25"/>
      <c r="T126" s="34">
        <v>-664</v>
      </c>
      <c r="U126" s="34"/>
      <c r="V126" s="53"/>
      <c r="W126" s="25"/>
      <c r="X126" s="5"/>
    </row>
    <row r="127" spans="1:24" ht="15.75" x14ac:dyDescent="0.25">
      <c r="A127" s="24"/>
      <c r="B127" s="25" t="s">
        <v>222</v>
      </c>
      <c r="C127" s="25"/>
      <c r="D127" s="25"/>
      <c r="E127" s="25"/>
      <c r="F127" s="25"/>
      <c r="G127" s="25"/>
      <c r="H127" s="25"/>
      <c r="I127" s="25"/>
      <c r="J127" s="25"/>
      <c r="K127" s="25"/>
      <c r="L127" s="25"/>
      <c r="M127" s="25"/>
      <c r="N127" s="25"/>
      <c r="O127" s="25"/>
      <c r="P127" s="25"/>
      <c r="Q127" s="25"/>
      <c r="R127" s="25"/>
      <c r="S127" s="25"/>
      <c r="T127" s="34">
        <v>-658</v>
      </c>
      <c r="U127" s="34"/>
      <c r="V127" s="53"/>
      <c r="W127" s="25"/>
      <c r="X127" s="5"/>
    </row>
    <row r="128" spans="1:24" ht="15.75" x14ac:dyDescent="0.25">
      <c r="A128" s="24"/>
      <c r="B128" s="25" t="s">
        <v>189</v>
      </c>
      <c r="C128" s="25"/>
      <c r="D128" s="25"/>
      <c r="E128" s="25"/>
      <c r="F128" s="25"/>
      <c r="G128" s="25"/>
      <c r="H128" s="25"/>
      <c r="I128" s="25"/>
      <c r="J128" s="25"/>
      <c r="K128" s="25"/>
      <c r="L128" s="25"/>
      <c r="M128" s="25"/>
      <c r="N128" s="25"/>
      <c r="O128" s="25"/>
      <c r="P128" s="25"/>
      <c r="Q128" s="25"/>
      <c r="R128" s="25"/>
      <c r="S128" s="25"/>
      <c r="T128" s="34">
        <v>0</v>
      </c>
      <c r="U128" s="34"/>
      <c r="V128" s="53"/>
      <c r="W128" s="25"/>
      <c r="X128" s="5"/>
    </row>
    <row r="129" spans="1:24" ht="15.75" x14ac:dyDescent="0.25">
      <c r="A129" s="24"/>
      <c r="B129" s="25" t="s">
        <v>188</v>
      </c>
      <c r="C129" s="25"/>
      <c r="D129" s="25"/>
      <c r="E129" s="25"/>
      <c r="F129" s="25"/>
      <c r="G129" s="25"/>
      <c r="H129" s="25"/>
      <c r="I129" s="25"/>
      <c r="J129" s="25"/>
      <c r="K129" s="25"/>
      <c r="L129" s="25"/>
      <c r="M129" s="25"/>
      <c r="N129" s="25"/>
      <c r="O129" s="25"/>
      <c r="P129" s="25"/>
      <c r="Q129" s="25"/>
      <c r="R129" s="25"/>
      <c r="S129" s="25"/>
      <c r="T129" s="34">
        <v>0</v>
      </c>
      <c r="U129" s="34"/>
      <c r="V129" s="53"/>
      <c r="W129" s="25"/>
      <c r="X129" s="5"/>
    </row>
    <row r="130" spans="1:24" ht="15.75" x14ac:dyDescent="0.25">
      <c r="A130" s="24"/>
      <c r="B130" s="25" t="s">
        <v>187</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75" x14ac:dyDescent="0.25">
      <c r="A131" s="24"/>
      <c r="B131" s="25" t="s">
        <v>39</v>
      </c>
      <c r="C131" s="25"/>
      <c r="D131" s="25"/>
      <c r="E131" s="25"/>
      <c r="F131" s="25"/>
      <c r="G131" s="25"/>
      <c r="H131" s="25"/>
      <c r="I131" s="25"/>
      <c r="J131" s="25"/>
      <c r="K131" s="25"/>
      <c r="L131" s="25"/>
      <c r="M131" s="25"/>
      <c r="N131" s="25"/>
      <c r="O131" s="25"/>
      <c r="P131" s="25"/>
      <c r="Q131" s="25"/>
      <c r="R131" s="25"/>
      <c r="S131" s="25"/>
      <c r="T131" s="34">
        <f>SUM(T121:T130)</f>
        <v>-10538</v>
      </c>
      <c r="U131" s="34"/>
      <c r="V131" s="34">
        <f>SUM(V103:V129)</f>
        <v>-18359</v>
      </c>
      <c r="W131" s="25"/>
      <c r="X131" s="5"/>
    </row>
    <row r="132" spans="1:24" ht="15.75" x14ac:dyDescent="0.25">
      <c r="A132" s="24"/>
      <c r="B132" s="25" t="s">
        <v>40</v>
      </c>
      <c r="C132" s="25"/>
      <c r="D132" s="25"/>
      <c r="E132" s="25"/>
      <c r="F132" s="25"/>
      <c r="G132" s="25"/>
      <c r="H132" s="25"/>
      <c r="I132" s="25"/>
      <c r="J132" s="25"/>
      <c r="K132" s="25"/>
      <c r="L132" s="25"/>
      <c r="M132" s="25"/>
      <c r="N132" s="25"/>
      <c r="O132" s="25"/>
      <c r="P132" s="25"/>
      <c r="Q132" s="25"/>
      <c r="R132" s="25"/>
      <c r="S132" s="25"/>
      <c r="T132" s="34">
        <f>T102+T131+T114</f>
        <v>0</v>
      </c>
      <c r="U132" s="34"/>
      <c r="V132" s="34">
        <f>V102+V131</f>
        <v>0</v>
      </c>
      <c r="W132" s="25"/>
      <c r="X132" s="5"/>
    </row>
    <row r="133" spans="1:24" ht="15.75" x14ac:dyDescent="0.25">
      <c r="A133" s="24"/>
      <c r="B133" s="25"/>
      <c r="C133" s="25"/>
      <c r="D133" s="25"/>
      <c r="E133" s="25"/>
      <c r="F133" s="25"/>
      <c r="G133" s="25"/>
      <c r="H133" s="25"/>
      <c r="I133" s="25"/>
      <c r="J133" s="25"/>
      <c r="K133" s="25"/>
      <c r="L133" s="25"/>
      <c r="M133" s="25"/>
      <c r="N133" s="25"/>
      <c r="O133" s="25"/>
      <c r="P133" s="25"/>
      <c r="Q133" s="25"/>
      <c r="R133" s="25"/>
      <c r="S133" s="25"/>
      <c r="T133" s="34"/>
      <c r="U133" s="34"/>
      <c r="V133" s="34"/>
      <c r="W133" s="25"/>
      <c r="X133" s="5"/>
    </row>
    <row r="134" spans="1:24" ht="15.75" x14ac:dyDescent="0.25">
      <c r="A134" s="6"/>
      <c r="B134" s="8"/>
      <c r="C134" s="8"/>
      <c r="D134" s="8"/>
      <c r="E134" s="8"/>
      <c r="F134" s="8"/>
      <c r="G134" s="8"/>
      <c r="H134" s="8"/>
      <c r="I134" s="8"/>
      <c r="J134" s="8"/>
      <c r="K134" s="8"/>
      <c r="L134" s="8"/>
      <c r="M134" s="8"/>
      <c r="N134" s="8"/>
      <c r="O134" s="8"/>
      <c r="P134" s="8"/>
      <c r="Q134" s="8"/>
      <c r="R134" s="8"/>
      <c r="S134" s="8"/>
      <c r="T134" s="8"/>
      <c r="U134" s="8"/>
      <c r="V134" s="52"/>
      <c r="W134" s="8"/>
      <c r="X134" s="5"/>
    </row>
    <row r="135" spans="1:24" ht="19.5" thickBot="1" x14ac:dyDescent="0.35">
      <c r="A135" s="101"/>
      <c r="B135" s="102" t="str">
        <f>B64</f>
        <v>PM15 INVESTOR REPORT QUARTER ENDING MAY 2008</v>
      </c>
      <c r="C135" s="103"/>
      <c r="D135" s="103"/>
      <c r="E135" s="103"/>
      <c r="F135" s="103"/>
      <c r="G135" s="103"/>
      <c r="H135" s="103"/>
      <c r="I135" s="103"/>
      <c r="J135" s="103"/>
      <c r="K135" s="103"/>
      <c r="L135" s="103"/>
      <c r="M135" s="103"/>
      <c r="N135" s="103"/>
      <c r="O135" s="103"/>
      <c r="P135" s="103"/>
      <c r="Q135" s="103"/>
      <c r="R135" s="103"/>
      <c r="S135" s="103"/>
      <c r="T135" s="103"/>
      <c r="U135" s="103"/>
      <c r="V135" s="106"/>
      <c r="W135" s="105"/>
      <c r="X135" s="5"/>
    </row>
    <row r="136" spans="1:24" ht="15.75" x14ac:dyDescent="0.25">
      <c r="A136" s="2"/>
      <c r="B136" s="60" t="s">
        <v>41</v>
      </c>
      <c r="C136" s="4"/>
      <c r="D136" s="4"/>
      <c r="E136" s="4"/>
      <c r="F136" s="4"/>
      <c r="G136" s="4"/>
      <c r="H136" s="4"/>
      <c r="I136" s="4"/>
      <c r="J136" s="4"/>
      <c r="K136" s="4"/>
      <c r="L136" s="4"/>
      <c r="M136" s="4"/>
      <c r="N136" s="4"/>
      <c r="O136" s="4"/>
      <c r="P136" s="4"/>
      <c r="Q136" s="4"/>
      <c r="R136" s="4"/>
      <c r="S136" s="4"/>
      <c r="T136" s="4"/>
      <c r="U136" s="4"/>
      <c r="V136" s="50"/>
      <c r="W136" s="4"/>
      <c r="X136" s="5"/>
    </row>
    <row r="137" spans="1:24" ht="15.75" x14ac:dyDescent="0.25">
      <c r="A137" s="6"/>
      <c r="B137" s="21"/>
      <c r="C137" s="8"/>
      <c r="D137" s="8"/>
      <c r="E137" s="8"/>
      <c r="F137" s="8"/>
      <c r="G137" s="8"/>
      <c r="H137" s="8"/>
      <c r="I137" s="8"/>
      <c r="J137" s="8"/>
      <c r="K137" s="8"/>
      <c r="L137" s="8"/>
      <c r="M137" s="8"/>
      <c r="N137" s="8"/>
      <c r="O137" s="8"/>
      <c r="P137" s="8"/>
      <c r="Q137" s="8"/>
      <c r="R137" s="8"/>
      <c r="S137" s="8"/>
      <c r="T137" s="8"/>
      <c r="U137" s="8"/>
      <c r="V137" s="52"/>
      <c r="W137" s="8"/>
      <c r="X137" s="5"/>
    </row>
    <row r="138" spans="1:24" ht="15.75" x14ac:dyDescent="0.25">
      <c r="A138" s="6"/>
      <c r="B138" s="119" t="s">
        <v>42</v>
      </c>
      <c r="C138" s="8"/>
      <c r="D138" s="8"/>
      <c r="E138" s="8"/>
      <c r="F138" s="8"/>
      <c r="G138" s="8"/>
      <c r="H138" s="8"/>
      <c r="I138" s="8"/>
      <c r="J138" s="8"/>
      <c r="K138" s="8"/>
      <c r="L138" s="8"/>
      <c r="M138" s="8"/>
      <c r="N138" s="8"/>
      <c r="O138" s="8"/>
      <c r="P138" s="8"/>
      <c r="Q138" s="8"/>
      <c r="R138" s="8"/>
      <c r="S138" s="8"/>
      <c r="T138" s="8"/>
      <c r="U138" s="8"/>
      <c r="V138" s="52"/>
      <c r="W138" s="8"/>
      <c r="X138" s="5"/>
    </row>
    <row r="139" spans="1:24" ht="15.75" x14ac:dyDescent="0.25">
      <c r="A139" s="24"/>
      <c r="B139" s="25" t="s">
        <v>43</v>
      </c>
      <c r="C139" s="25"/>
      <c r="D139" s="25"/>
      <c r="E139" s="25"/>
      <c r="F139" s="25"/>
      <c r="G139" s="25"/>
      <c r="H139" s="25"/>
      <c r="I139" s="25"/>
      <c r="J139" s="25"/>
      <c r="K139" s="25"/>
      <c r="L139" s="25"/>
      <c r="M139" s="25"/>
      <c r="N139" s="25"/>
      <c r="O139" s="25"/>
      <c r="P139" s="25"/>
      <c r="Q139" s="25"/>
      <c r="R139" s="25"/>
      <c r="S139" s="25"/>
      <c r="T139" s="25"/>
      <c r="U139" s="25"/>
      <c r="V139" s="53">
        <f>+V34*0.019</f>
        <v>19021.526999999998</v>
      </c>
      <c r="W139" s="25"/>
      <c r="X139" s="5"/>
    </row>
    <row r="140" spans="1:24" ht="15.75" x14ac:dyDescent="0.25">
      <c r="A140" s="24"/>
      <c r="B140" s="25" t="s">
        <v>44</v>
      </c>
      <c r="C140" s="25"/>
      <c r="D140" s="25"/>
      <c r="E140" s="25"/>
      <c r="F140" s="25"/>
      <c r="G140" s="25"/>
      <c r="H140" s="25"/>
      <c r="I140" s="25"/>
      <c r="J140" s="25"/>
      <c r="K140" s="25"/>
      <c r="L140" s="25"/>
      <c r="M140" s="25"/>
      <c r="N140" s="25"/>
      <c r="O140" s="25"/>
      <c r="P140" s="25"/>
      <c r="Q140" s="25"/>
      <c r="R140" s="25"/>
      <c r="S140" s="25"/>
      <c r="T140" s="25"/>
      <c r="U140" s="25"/>
      <c r="V140" s="53">
        <v>19022</v>
      </c>
      <c r="W140" s="25"/>
      <c r="X140" s="5"/>
    </row>
    <row r="141" spans="1:24" ht="15.75" x14ac:dyDescent="0.25">
      <c r="A141" s="24"/>
      <c r="B141" s="25" t="s">
        <v>136</v>
      </c>
      <c r="C141" s="25"/>
      <c r="D141" s="25"/>
      <c r="E141" s="25"/>
      <c r="F141" s="25"/>
      <c r="G141" s="25"/>
      <c r="H141" s="25"/>
      <c r="I141" s="25"/>
      <c r="J141" s="25"/>
      <c r="K141" s="25"/>
      <c r="L141" s="25"/>
      <c r="M141" s="25"/>
      <c r="N141" s="25"/>
      <c r="O141" s="25"/>
      <c r="P141" s="25"/>
      <c r="Q141" s="25"/>
      <c r="R141" s="25"/>
      <c r="S141" s="25"/>
      <c r="T141" s="25"/>
      <c r="U141" s="25"/>
      <c r="V141" s="53"/>
      <c r="W141" s="25"/>
      <c r="X141" s="5"/>
    </row>
    <row r="142" spans="1:24" ht="15.75" x14ac:dyDescent="0.25">
      <c r="A142" s="24"/>
      <c r="B142" s="25" t="s">
        <v>123</v>
      </c>
      <c r="C142" s="25"/>
      <c r="D142" s="25"/>
      <c r="E142" s="25"/>
      <c r="F142" s="25"/>
      <c r="G142" s="25"/>
      <c r="H142" s="25"/>
      <c r="I142" s="25"/>
      <c r="J142" s="25"/>
      <c r="K142" s="25"/>
      <c r="L142" s="25"/>
      <c r="M142" s="25"/>
      <c r="N142" s="25"/>
      <c r="O142" s="25"/>
      <c r="P142" s="25"/>
      <c r="Q142" s="25"/>
      <c r="R142" s="25"/>
      <c r="S142" s="25"/>
      <c r="T142" s="25"/>
      <c r="U142" s="25"/>
      <c r="V142" s="53">
        <v>0</v>
      </c>
      <c r="W142" s="25"/>
      <c r="X142" s="5"/>
    </row>
    <row r="143" spans="1:24" ht="15.75" x14ac:dyDescent="0.25">
      <c r="A143" s="24"/>
      <c r="B143" s="25" t="s">
        <v>124</v>
      </c>
      <c r="C143" s="25"/>
      <c r="D143" s="25"/>
      <c r="E143" s="25"/>
      <c r="F143" s="25"/>
      <c r="G143" s="25"/>
      <c r="H143" s="25"/>
      <c r="I143" s="25"/>
      <c r="J143" s="25"/>
      <c r="K143" s="25"/>
      <c r="L143" s="25"/>
      <c r="M143" s="25"/>
      <c r="N143" s="25"/>
      <c r="O143" s="25"/>
      <c r="P143" s="25"/>
      <c r="Q143" s="25"/>
      <c r="R143" s="25"/>
      <c r="S143" s="25"/>
      <c r="T143" s="25"/>
      <c r="U143" s="25"/>
      <c r="V143" s="53">
        <v>0</v>
      </c>
      <c r="W143" s="25"/>
      <c r="X143" s="5"/>
    </row>
    <row r="144" spans="1:24" ht="15.75" x14ac:dyDescent="0.25">
      <c r="A144" s="24"/>
      <c r="B144" s="25" t="s">
        <v>175</v>
      </c>
      <c r="C144" s="25"/>
      <c r="D144" s="25"/>
      <c r="E144" s="25"/>
      <c r="F144" s="25"/>
      <c r="G144" s="25"/>
      <c r="H144" s="25"/>
      <c r="I144" s="25"/>
      <c r="J144" s="25"/>
      <c r="K144" s="25"/>
      <c r="L144" s="25"/>
      <c r="M144" s="25"/>
      <c r="N144" s="25"/>
      <c r="O144" s="25"/>
      <c r="P144" s="25"/>
      <c r="Q144" s="25"/>
      <c r="R144" s="25"/>
      <c r="S144" s="25"/>
      <c r="T144" s="25"/>
      <c r="U144" s="25"/>
      <c r="V144" s="53">
        <v>0</v>
      </c>
      <c r="W144" s="25"/>
      <c r="X144" s="5"/>
    </row>
    <row r="145" spans="1:25" ht="15.75" x14ac:dyDescent="0.25">
      <c r="A145" s="24"/>
      <c r="B145" s="25" t="s">
        <v>45</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75" x14ac:dyDescent="0.25">
      <c r="A146" s="24"/>
      <c r="B146" s="25" t="s">
        <v>129</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75" x14ac:dyDescent="0.25">
      <c r="A147" s="24"/>
      <c r="B147" s="25" t="s">
        <v>241</v>
      </c>
      <c r="C147" s="25"/>
      <c r="D147" s="25"/>
      <c r="E147" s="25"/>
      <c r="F147" s="25"/>
      <c r="G147" s="25"/>
      <c r="H147" s="25"/>
      <c r="I147" s="25"/>
      <c r="J147" s="25"/>
      <c r="K147" s="25"/>
      <c r="L147" s="25"/>
      <c r="M147" s="25"/>
      <c r="N147" s="25"/>
      <c r="O147" s="25"/>
      <c r="P147" s="25"/>
      <c r="Q147" s="25"/>
      <c r="R147" s="25"/>
      <c r="S147" s="25"/>
      <c r="T147" s="25"/>
      <c r="U147" s="25"/>
      <c r="V147" s="53">
        <v>0</v>
      </c>
      <c r="W147" s="25"/>
      <c r="X147" s="5"/>
      <c r="Y147" s="109"/>
    </row>
    <row r="148" spans="1:25" ht="15.75" x14ac:dyDescent="0.25">
      <c r="A148" s="24"/>
      <c r="B148" s="25" t="s">
        <v>46</v>
      </c>
      <c r="C148" s="25"/>
      <c r="D148" s="25"/>
      <c r="E148" s="25"/>
      <c r="F148" s="25"/>
      <c r="G148" s="25"/>
      <c r="H148" s="25"/>
      <c r="I148" s="25"/>
      <c r="J148" s="25"/>
      <c r="K148" s="25"/>
      <c r="L148" s="25"/>
      <c r="M148" s="25"/>
      <c r="N148" s="25"/>
      <c r="O148" s="25"/>
      <c r="P148" s="25"/>
      <c r="Q148" s="25"/>
      <c r="R148" s="25"/>
      <c r="S148" s="25"/>
      <c r="T148" s="25"/>
      <c r="U148" s="25"/>
      <c r="V148" s="53">
        <f>SUM(V140:V147)</f>
        <v>19022</v>
      </c>
      <c r="W148" s="25"/>
      <c r="X148" s="5"/>
    </row>
    <row r="149" spans="1:25" ht="15.75" x14ac:dyDescent="0.25">
      <c r="A149" s="24"/>
      <c r="B149" s="25"/>
      <c r="C149" s="25"/>
      <c r="D149" s="25"/>
      <c r="E149" s="25"/>
      <c r="F149" s="25"/>
      <c r="G149" s="25"/>
      <c r="H149" s="25"/>
      <c r="I149" s="25"/>
      <c r="J149" s="25"/>
      <c r="K149" s="25"/>
      <c r="L149" s="25"/>
      <c r="M149" s="25"/>
      <c r="N149" s="25"/>
      <c r="O149" s="25"/>
      <c r="P149" s="25"/>
      <c r="Q149" s="25"/>
      <c r="R149" s="25"/>
      <c r="S149" s="25"/>
      <c r="T149" s="25"/>
      <c r="U149" s="25"/>
      <c r="V149" s="53"/>
      <c r="W149" s="25"/>
      <c r="X149" s="5"/>
    </row>
    <row r="150" spans="1:25" ht="15.75" x14ac:dyDescent="0.25">
      <c r="A150" s="24"/>
      <c r="B150" s="135" t="s">
        <v>269</v>
      </c>
      <c r="C150" s="25"/>
      <c r="D150" s="25"/>
      <c r="E150" s="25"/>
      <c r="F150" s="25"/>
      <c r="G150" s="25"/>
      <c r="H150" s="25"/>
      <c r="I150" s="25"/>
      <c r="J150" s="25"/>
      <c r="K150" s="25"/>
      <c r="L150" s="25"/>
      <c r="M150" s="25"/>
      <c r="N150" s="25"/>
      <c r="O150" s="25"/>
      <c r="P150" s="25"/>
      <c r="Q150" s="25"/>
      <c r="R150" s="25"/>
      <c r="S150" s="25"/>
      <c r="T150" s="25"/>
      <c r="U150" s="25"/>
      <c r="V150" s="53"/>
      <c r="W150" s="25"/>
      <c r="X150" s="5"/>
    </row>
    <row r="151" spans="1:25" ht="15.75" x14ac:dyDescent="0.25">
      <c r="A151" s="24"/>
      <c r="B151" s="25" t="s">
        <v>155</v>
      </c>
      <c r="C151" s="25"/>
      <c r="D151" s="25"/>
      <c r="E151" s="25"/>
      <c r="F151" s="25"/>
      <c r="G151" s="25"/>
      <c r="H151" s="25"/>
      <c r="I151" s="25"/>
      <c r="J151" s="25"/>
      <c r="K151" s="25"/>
      <c r="L151" s="25"/>
      <c r="M151" s="25"/>
      <c r="N151" s="25"/>
      <c r="O151" s="25"/>
      <c r="P151" s="25"/>
      <c r="Q151" s="25"/>
      <c r="R151" s="25"/>
      <c r="S151" s="25"/>
      <c r="T151" s="25"/>
      <c r="U151" s="25"/>
      <c r="V151" s="53">
        <v>0</v>
      </c>
      <c r="W151" s="25"/>
      <c r="X151" s="5"/>
    </row>
    <row r="152" spans="1:25" ht="15.75" x14ac:dyDescent="0.25">
      <c r="A152" s="24"/>
      <c r="B152" s="25" t="s">
        <v>172</v>
      </c>
      <c r="C152" s="25"/>
      <c r="D152" s="25"/>
      <c r="E152" s="25"/>
      <c r="F152" s="25"/>
      <c r="G152" s="25"/>
      <c r="H152" s="25"/>
      <c r="I152" s="25"/>
      <c r="J152" s="25"/>
      <c r="K152" s="25"/>
      <c r="L152" s="25"/>
      <c r="M152" s="25"/>
      <c r="N152" s="25"/>
      <c r="O152" s="25"/>
      <c r="P152" s="25"/>
      <c r="Q152" s="25"/>
      <c r="R152" s="25"/>
      <c r="S152" s="25"/>
      <c r="T152" s="25"/>
      <c r="U152" s="25"/>
      <c r="V152" s="53">
        <v>0</v>
      </c>
      <c r="W152" s="25"/>
      <c r="X152" s="5"/>
    </row>
    <row r="153" spans="1:25" ht="15.75" x14ac:dyDescent="0.25">
      <c r="A153" s="24"/>
      <c r="B153" s="25" t="s">
        <v>226</v>
      </c>
      <c r="C153" s="25"/>
      <c r="D153" s="25"/>
      <c r="E153" s="25"/>
      <c r="F153" s="25"/>
      <c r="G153" s="25"/>
      <c r="H153" s="25"/>
      <c r="I153" s="25"/>
      <c r="J153" s="25"/>
      <c r="K153" s="25"/>
      <c r="L153" s="25"/>
      <c r="M153" s="25"/>
      <c r="N153" s="25"/>
      <c r="O153" s="25"/>
      <c r="P153" s="25"/>
      <c r="Q153" s="25"/>
      <c r="R153" s="25"/>
      <c r="S153" s="25"/>
      <c r="T153" s="25"/>
      <c r="U153" s="25"/>
      <c r="V153" s="53">
        <v>0</v>
      </c>
      <c r="W153" s="25"/>
      <c r="X153" s="5"/>
    </row>
    <row r="154" spans="1:25" ht="15.75" x14ac:dyDescent="0.25">
      <c r="A154" s="24"/>
      <c r="B154" s="25"/>
      <c r="C154" s="25"/>
      <c r="D154" s="25"/>
      <c r="E154" s="25"/>
      <c r="F154" s="25"/>
      <c r="G154" s="25"/>
      <c r="H154" s="25"/>
      <c r="I154" s="25"/>
      <c r="J154" s="25"/>
      <c r="K154" s="25"/>
      <c r="L154" s="25"/>
      <c r="M154" s="25"/>
      <c r="N154" s="25"/>
      <c r="O154" s="25"/>
      <c r="P154" s="25"/>
      <c r="Q154" s="25"/>
      <c r="R154" s="25"/>
      <c r="S154" s="25"/>
      <c r="T154" s="25"/>
      <c r="U154" s="25"/>
      <c r="V154" s="53"/>
      <c r="W154" s="25"/>
      <c r="X154" s="5"/>
    </row>
    <row r="155" spans="1:25" ht="15.75" x14ac:dyDescent="0.25">
      <c r="A155" s="24"/>
      <c r="B155" s="25"/>
      <c r="C155" s="25"/>
      <c r="D155" s="25"/>
      <c r="E155" s="25"/>
      <c r="F155" s="25"/>
      <c r="G155" s="25"/>
      <c r="H155" s="25"/>
      <c r="I155" s="25"/>
      <c r="J155" s="25"/>
      <c r="K155" s="25"/>
      <c r="L155" s="25"/>
      <c r="M155" s="25"/>
      <c r="N155" s="25"/>
      <c r="O155" s="25"/>
      <c r="P155" s="25"/>
      <c r="Q155" s="25"/>
      <c r="R155" s="25"/>
      <c r="S155" s="25"/>
      <c r="T155" s="25"/>
      <c r="U155" s="25"/>
      <c r="V155" s="61"/>
      <c r="W155" s="25"/>
      <c r="X155" s="5"/>
    </row>
    <row r="156" spans="1:25" ht="15.75" x14ac:dyDescent="0.25">
      <c r="A156" s="6"/>
      <c r="B156" s="119" t="s">
        <v>24</v>
      </c>
      <c r="C156" s="8"/>
      <c r="D156" s="8"/>
      <c r="E156" s="8"/>
      <c r="F156" s="8"/>
      <c r="G156" s="8"/>
      <c r="H156" s="8"/>
      <c r="I156" s="8"/>
      <c r="J156" s="8"/>
      <c r="K156" s="8"/>
      <c r="L156" s="8"/>
      <c r="M156" s="8"/>
      <c r="N156" s="8"/>
      <c r="O156" s="8"/>
      <c r="P156" s="8"/>
      <c r="Q156" s="8"/>
      <c r="R156" s="8"/>
      <c r="S156" s="8"/>
      <c r="T156" s="8"/>
      <c r="U156" s="8"/>
      <c r="V156" s="52"/>
      <c r="W156" s="8"/>
      <c r="X156" s="5"/>
    </row>
    <row r="157" spans="1:25" ht="15.75" x14ac:dyDescent="0.25">
      <c r="A157" s="24"/>
      <c r="B157" s="25" t="s">
        <v>47</v>
      </c>
      <c r="C157" s="25"/>
      <c r="D157" s="25"/>
      <c r="E157" s="25"/>
      <c r="F157" s="25"/>
      <c r="G157" s="25"/>
      <c r="H157" s="25"/>
      <c r="I157" s="25"/>
      <c r="J157" s="25"/>
      <c r="K157" s="25"/>
      <c r="L157" s="25"/>
      <c r="M157" s="25"/>
      <c r="N157" s="25"/>
      <c r="O157" s="25"/>
      <c r="P157" s="25"/>
      <c r="Q157" s="25"/>
      <c r="R157" s="25"/>
      <c r="S157" s="25"/>
      <c r="T157" s="25"/>
      <c r="U157" s="25"/>
      <c r="V157" s="59" t="s">
        <v>118</v>
      </c>
      <c r="W157" s="25"/>
      <c r="X157" s="5"/>
    </row>
    <row r="158" spans="1:25" ht="15.75" x14ac:dyDescent="0.25">
      <c r="A158" s="24"/>
      <c r="B158" s="25" t="s">
        <v>48</v>
      </c>
      <c r="C158" s="174"/>
      <c r="D158" s="174"/>
      <c r="E158" s="174"/>
      <c r="F158" s="174"/>
      <c r="G158" s="174"/>
      <c r="H158" s="174"/>
      <c r="I158" s="174"/>
      <c r="J158" s="174"/>
      <c r="K158" s="174"/>
      <c r="L158" s="174"/>
      <c r="M158" s="174"/>
      <c r="N158" s="174"/>
      <c r="O158" s="174"/>
      <c r="P158" s="174"/>
      <c r="Q158" s="174"/>
      <c r="R158" s="174"/>
      <c r="S158" s="174"/>
      <c r="T158" s="174"/>
      <c r="U158" s="174"/>
      <c r="V158" s="59" t="s">
        <v>118</v>
      </c>
      <c r="W158" s="25"/>
      <c r="X158" s="5"/>
    </row>
    <row r="159" spans="1:25" ht="15.75" x14ac:dyDescent="0.25">
      <c r="A159" s="24"/>
      <c r="B159" s="25" t="s">
        <v>49</v>
      </c>
      <c r="C159" s="25"/>
      <c r="D159" s="25"/>
      <c r="E159" s="25"/>
      <c r="F159" s="25"/>
      <c r="G159" s="25"/>
      <c r="H159" s="25"/>
      <c r="I159" s="25"/>
      <c r="J159" s="25"/>
      <c r="K159" s="25"/>
      <c r="L159" s="25"/>
      <c r="M159" s="25"/>
      <c r="N159" s="25"/>
      <c r="O159" s="25"/>
      <c r="P159" s="25"/>
      <c r="Q159" s="25"/>
      <c r="R159" s="25"/>
      <c r="S159" s="25"/>
      <c r="T159" s="25"/>
      <c r="U159" s="25"/>
      <c r="V159" s="59" t="s">
        <v>118</v>
      </c>
      <c r="W159" s="25"/>
      <c r="X159" s="5"/>
    </row>
    <row r="160" spans="1:25" ht="15.75" x14ac:dyDescent="0.25">
      <c r="A160" s="24"/>
      <c r="B160" s="25" t="s">
        <v>50</v>
      </c>
      <c r="C160" s="25"/>
      <c r="D160" s="25"/>
      <c r="E160" s="25"/>
      <c r="F160" s="25"/>
      <c r="G160" s="25"/>
      <c r="H160" s="25"/>
      <c r="I160" s="25"/>
      <c r="J160" s="25"/>
      <c r="K160" s="25"/>
      <c r="L160" s="25"/>
      <c r="M160" s="25"/>
      <c r="N160" s="25"/>
      <c r="O160" s="25"/>
      <c r="P160" s="25"/>
      <c r="Q160" s="25"/>
      <c r="R160" s="25"/>
      <c r="S160" s="25"/>
      <c r="T160" s="25"/>
      <c r="U160" s="25"/>
      <c r="V160" s="59" t="s">
        <v>118</v>
      </c>
      <c r="W160" s="25"/>
      <c r="X160" s="5"/>
    </row>
    <row r="161" spans="1:256" ht="15.75" x14ac:dyDescent="0.25">
      <c r="A161" s="24"/>
      <c r="B161" s="25"/>
      <c r="C161" s="25"/>
      <c r="D161" s="25"/>
      <c r="E161" s="25"/>
      <c r="F161" s="25"/>
      <c r="G161" s="25"/>
      <c r="H161" s="25"/>
      <c r="I161" s="25"/>
      <c r="J161" s="25"/>
      <c r="K161" s="25"/>
      <c r="L161" s="25"/>
      <c r="M161" s="25"/>
      <c r="N161" s="25"/>
      <c r="O161" s="25"/>
      <c r="P161" s="25"/>
      <c r="Q161" s="25"/>
      <c r="R161" s="25"/>
      <c r="S161" s="25"/>
      <c r="T161" s="25"/>
      <c r="U161" s="25"/>
      <c r="V161" s="61"/>
      <c r="W161" s="25"/>
      <c r="X161" s="5"/>
    </row>
    <row r="162" spans="1:256" ht="15.75" x14ac:dyDescent="0.25">
      <c r="A162" s="6"/>
      <c r="B162" s="119" t="s">
        <v>51</v>
      </c>
      <c r="C162" s="8"/>
      <c r="D162" s="8"/>
      <c r="E162" s="8"/>
      <c r="F162" s="8"/>
      <c r="G162" s="8"/>
      <c r="H162" s="8"/>
      <c r="I162" s="8"/>
      <c r="J162" s="8"/>
      <c r="K162" s="8"/>
      <c r="L162" s="8"/>
      <c r="M162" s="8"/>
      <c r="N162" s="8"/>
      <c r="O162" s="8"/>
      <c r="P162" s="8"/>
      <c r="Q162" s="8"/>
      <c r="R162" s="8"/>
      <c r="S162" s="8"/>
      <c r="T162" s="8"/>
      <c r="U162" s="8"/>
      <c r="V162" s="63"/>
      <c r="W162" s="8"/>
      <c r="X162" s="5"/>
    </row>
    <row r="163" spans="1:256" ht="15.75" x14ac:dyDescent="0.25">
      <c r="A163" s="24"/>
      <c r="B163" s="25" t="s">
        <v>52</v>
      </c>
      <c r="C163" s="25"/>
      <c r="D163" s="25"/>
      <c r="E163" s="25"/>
      <c r="F163" s="25"/>
      <c r="G163" s="25"/>
      <c r="H163" s="25"/>
      <c r="I163" s="25"/>
      <c r="J163" s="25"/>
      <c r="K163" s="25"/>
      <c r="L163" s="25"/>
      <c r="M163" s="25"/>
      <c r="N163" s="25"/>
      <c r="O163" s="25"/>
      <c r="P163" s="25"/>
      <c r="Q163" s="25"/>
      <c r="R163" s="25"/>
      <c r="S163" s="25"/>
      <c r="T163" s="25"/>
      <c r="U163" s="25"/>
      <c r="V163" s="53">
        <v>0</v>
      </c>
      <c r="W163" s="25"/>
      <c r="X163" s="5"/>
    </row>
    <row r="164" spans="1:256" ht="15.75" x14ac:dyDescent="0.25">
      <c r="A164" s="24"/>
      <c r="B164" s="25" t="s">
        <v>53</v>
      </c>
      <c r="C164" s="25"/>
      <c r="D164" s="25"/>
      <c r="E164" s="25"/>
      <c r="F164" s="25"/>
      <c r="G164" s="25"/>
      <c r="H164" s="25"/>
      <c r="I164" s="25"/>
      <c r="J164" s="25"/>
      <c r="K164" s="25"/>
      <c r="L164" s="25"/>
      <c r="M164" s="25"/>
      <c r="N164" s="25"/>
      <c r="O164" s="25"/>
      <c r="P164" s="25"/>
      <c r="Q164" s="25"/>
      <c r="R164" s="25"/>
      <c r="S164" s="25"/>
      <c r="T164" s="25"/>
      <c r="U164" s="25"/>
      <c r="V164" s="53">
        <v>0</v>
      </c>
      <c r="W164" s="25"/>
      <c r="X164" s="5"/>
    </row>
    <row r="165" spans="1:256" ht="15.75" x14ac:dyDescent="0.25">
      <c r="A165" s="24"/>
      <c r="B165" s="25" t="s">
        <v>54</v>
      </c>
      <c r="C165" s="25"/>
      <c r="D165" s="25"/>
      <c r="E165" s="25"/>
      <c r="F165" s="25"/>
      <c r="G165" s="25"/>
      <c r="H165" s="25"/>
      <c r="I165" s="25"/>
      <c r="J165" s="25"/>
      <c r="K165" s="25"/>
      <c r="L165" s="25"/>
      <c r="M165" s="25"/>
      <c r="N165" s="25"/>
      <c r="O165" s="25"/>
      <c r="P165" s="25"/>
      <c r="Q165" s="25"/>
      <c r="R165" s="25"/>
      <c r="S165" s="25"/>
      <c r="T165" s="25"/>
      <c r="U165" s="25"/>
      <c r="V165" s="53">
        <f>V164+V163</f>
        <v>0</v>
      </c>
      <c r="W165" s="25"/>
      <c r="X165" s="5"/>
    </row>
    <row r="166" spans="1:256" ht="15.75" x14ac:dyDescent="0.25">
      <c r="A166" s="24"/>
      <c r="B166" s="25" t="s">
        <v>303</v>
      </c>
      <c r="C166" s="25"/>
      <c r="D166" s="25"/>
      <c r="E166" s="25"/>
      <c r="F166" s="25"/>
      <c r="G166" s="25"/>
      <c r="H166" s="25"/>
      <c r="I166" s="25"/>
      <c r="J166" s="25"/>
      <c r="K166" s="25"/>
      <c r="L166" s="25"/>
      <c r="M166" s="25"/>
      <c r="N166" s="25"/>
      <c r="O166" s="25"/>
      <c r="P166" s="25"/>
      <c r="Q166" s="25"/>
      <c r="R166" s="25"/>
      <c r="S166" s="25"/>
      <c r="T166" s="25"/>
      <c r="U166" s="25"/>
      <c r="V166" s="53">
        <f>V115</f>
        <v>0</v>
      </c>
      <c r="W166" s="25"/>
      <c r="X166" s="5"/>
    </row>
    <row r="167" spans="1:256" ht="15.75" x14ac:dyDescent="0.25">
      <c r="A167" s="24"/>
      <c r="B167" s="25" t="s">
        <v>55</v>
      </c>
      <c r="C167" s="25"/>
      <c r="D167" s="25"/>
      <c r="E167" s="25"/>
      <c r="F167" s="25"/>
      <c r="G167" s="25"/>
      <c r="H167" s="25"/>
      <c r="I167" s="25"/>
      <c r="J167" s="25"/>
      <c r="K167" s="25"/>
      <c r="L167" s="25"/>
      <c r="M167" s="25"/>
      <c r="N167" s="25"/>
      <c r="O167" s="25"/>
      <c r="P167" s="25"/>
      <c r="Q167" s="25"/>
      <c r="R167" s="25"/>
      <c r="S167" s="25"/>
      <c r="T167" s="25"/>
      <c r="U167" s="25"/>
      <c r="V167" s="53">
        <f>V165+V166</f>
        <v>0</v>
      </c>
      <c r="W167" s="25"/>
      <c r="X167" s="5"/>
    </row>
    <row r="168" spans="1:256" ht="16.5" thickBot="1" x14ac:dyDescent="0.3">
      <c r="A168" s="24"/>
      <c r="B168" s="25"/>
      <c r="C168" s="25"/>
      <c r="D168" s="25"/>
      <c r="E168" s="25"/>
      <c r="F168" s="25"/>
      <c r="G168" s="25"/>
      <c r="H168" s="25"/>
      <c r="I168" s="25"/>
      <c r="J168" s="25"/>
      <c r="K168" s="25"/>
      <c r="L168" s="25"/>
      <c r="M168" s="25"/>
      <c r="N168" s="25"/>
      <c r="O168" s="25"/>
      <c r="P168" s="25"/>
      <c r="Q168" s="25"/>
      <c r="R168" s="25"/>
      <c r="S168" s="25"/>
      <c r="T168" s="25"/>
      <c r="U168" s="25"/>
      <c r="V168" s="61"/>
      <c r="W168" s="25"/>
      <c r="X168" s="5"/>
    </row>
    <row r="169" spans="1:256" ht="15.75" x14ac:dyDescent="0.25">
      <c r="A169" s="2"/>
      <c r="B169" s="4"/>
      <c r="C169" s="4"/>
      <c r="D169" s="4"/>
      <c r="E169" s="4"/>
      <c r="F169" s="4"/>
      <c r="G169" s="4"/>
      <c r="H169" s="4"/>
      <c r="I169" s="4"/>
      <c r="J169" s="4"/>
      <c r="K169" s="4"/>
      <c r="L169" s="4"/>
      <c r="M169" s="4"/>
      <c r="N169" s="4"/>
      <c r="O169" s="4"/>
      <c r="P169" s="4"/>
      <c r="Q169" s="4"/>
      <c r="R169" s="4"/>
      <c r="S169" s="4"/>
      <c r="T169" s="4"/>
      <c r="U169" s="4"/>
      <c r="V169" s="50"/>
      <c r="W169" s="4"/>
      <c r="X169" s="5"/>
    </row>
    <row r="170" spans="1:256" s="158" customFormat="1" ht="15.75" x14ac:dyDescent="0.25">
      <c r="A170" s="6"/>
      <c r="B170" s="119" t="s">
        <v>230</v>
      </c>
      <c r="C170" s="157"/>
      <c r="D170" s="157"/>
      <c r="E170" s="157"/>
      <c r="F170" s="157"/>
      <c r="G170" s="157"/>
      <c r="H170" s="157"/>
      <c r="I170" s="157"/>
      <c r="J170" s="157"/>
      <c r="K170" s="157"/>
      <c r="L170" s="157"/>
      <c r="M170" s="157"/>
      <c r="N170" s="157"/>
      <c r="O170" s="157"/>
      <c r="P170" s="157"/>
      <c r="Q170" s="157"/>
      <c r="R170" s="157"/>
      <c r="S170" s="157"/>
      <c r="T170" s="157"/>
      <c r="U170" s="157"/>
      <c r="V170" s="165"/>
      <c r="W170" s="157"/>
      <c r="X170" s="5"/>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s="160" customFormat="1" ht="15.75" x14ac:dyDescent="0.25">
      <c r="A171" s="24"/>
      <c r="B171" s="159" t="s">
        <v>231</v>
      </c>
      <c r="C171" s="159"/>
      <c r="D171" s="159"/>
      <c r="E171" s="159"/>
      <c r="F171" s="159"/>
      <c r="G171" s="159"/>
      <c r="H171" s="159"/>
      <c r="I171" s="159"/>
      <c r="J171" s="159"/>
      <c r="K171" s="159"/>
      <c r="L171" s="159"/>
      <c r="M171" s="159"/>
      <c r="N171" s="159"/>
      <c r="O171" s="159"/>
      <c r="P171" s="159"/>
      <c r="Q171" s="159"/>
      <c r="R171" s="159"/>
      <c r="S171" s="159"/>
      <c r="T171" s="159"/>
      <c r="U171" s="159"/>
      <c r="V171" s="166">
        <f>+'Feb 08'!V173</f>
        <v>1385</v>
      </c>
      <c r="W171" s="159"/>
      <c r="X171" s="5"/>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s="160" customFormat="1" ht="15.75" x14ac:dyDescent="0.25">
      <c r="A172" s="24"/>
      <c r="B172" s="159" t="s">
        <v>234</v>
      </c>
      <c r="C172" s="159"/>
      <c r="D172" s="159"/>
      <c r="E172" s="159"/>
      <c r="F172" s="159"/>
      <c r="G172" s="159"/>
      <c r="H172" s="159"/>
      <c r="I172" s="159"/>
      <c r="J172" s="159"/>
      <c r="K172" s="159"/>
      <c r="L172" s="159"/>
      <c r="M172" s="159"/>
      <c r="N172" s="159"/>
      <c r="O172" s="159"/>
      <c r="P172" s="159"/>
      <c r="Q172" s="159"/>
      <c r="R172" s="159"/>
      <c r="S172" s="159"/>
      <c r="T172" s="159"/>
      <c r="U172" s="159"/>
      <c r="V172" s="166">
        <f>+V95</f>
        <v>729</v>
      </c>
      <c r="W172" s="159"/>
      <c r="X172" s="5"/>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s="160" customFormat="1" ht="15.75" x14ac:dyDescent="0.25">
      <c r="A173" s="24"/>
      <c r="B173" s="159" t="s">
        <v>232</v>
      </c>
      <c r="C173" s="159"/>
      <c r="D173" s="159"/>
      <c r="E173" s="159"/>
      <c r="F173" s="159"/>
      <c r="G173" s="159"/>
      <c r="H173" s="159"/>
      <c r="I173" s="159"/>
      <c r="J173" s="159"/>
      <c r="K173" s="159"/>
      <c r="L173" s="159"/>
      <c r="M173" s="159"/>
      <c r="N173" s="159"/>
      <c r="O173" s="159"/>
      <c r="P173" s="159"/>
      <c r="Q173" s="159"/>
      <c r="R173" s="159"/>
      <c r="S173" s="159"/>
      <c r="T173" s="159"/>
      <c r="U173" s="159"/>
      <c r="V173" s="166">
        <f>+V171-V172</f>
        <v>656</v>
      </c>
      <c r="W173" s="159"/>
      <c r="X173" s="5"/>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s="163" customFormat="1" ht="16.5" thickBot="1" x14ac:dyDescent="0.3">
      <c r="A174" s="167"/>
      <c r="B174" s="161"/>
      <c r="C174" s="161"/>
      <c r="D174" s="161"/>
      <c r="E174" s="161"/>
      <c r="F174" s="161"/>
      <c r="G174" s="161"/>
      <c r="H174" s="161"/>
      <c r="I174" s="161"/>
      <c r="J174" s="161"/>
      <c r="K174" s="161"/>
      <c r="L174" s="161"/>
      <c r="M174" s="161"/>
      <c r="N174" s="161"/>
      <c r="O174" s="161"/>
      <c r="P174" s="161"/>
      <c r="Q174" s="161"/>
      <c r="R174" s="161"/>
      <c r="S174" s="161"/>
      <c r="T174" s="161"/>
      <c r="U174" s="161"/>
      <c r="V174" s="162"/>
      <c r="W174" s="161"/>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4" customFormat="1" ht="15.75" x14ac:dyDescent="0.25">
      <c r="A175" s="2"/>
      <c r="B175" s="4"/>
      <c r="C175" s="4"/>
      <c r="D175" s="4"/>
      <c r="E175" s="4"/>
      <c r="F175" s="4"/>
      <c r="G175" s="4"/>
      <c r="H175" s="4"/>
      <c r="I175" s="4"/>
      <c r="J175" s="4"/>
      <c r="K175" s="4"/>
      <c r="L175" s="4"/>
      <c r="M175" s="4"/>
      <c r="N175" s="4"/>
      <c r="O175" s="4"/>
      <c r="P175" s="4"/>
      <c r="Q175" s="4"/>
      <c r="R175" s="4"/>
      <c r="S175" s="4"/>
      <c r="T175" s="4"/>
      <c r="U175" s="4"/>
      <c r="V175" s="50"/>
      <c r="W175" s="4"/>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ht="15.75" x14ac:dyDescent="0.25">
      <c r="A176" s="6"/>
      <c r="B176" s="119" t="s">
        <v>56</v>
      </c>
      <c r="C176" s="8"/>
      <c r="D176" s="8"/>
      <c r="E176" s="8"/>
      <c r="F176" s="8"/>
      <c r="G176" s="8"/>
      <c r="H176" s="8"/>
      <c r="I176" s="8"/>
      <c r="J176" s="8"/>
      <c r="K176" s="8"/>
      <c r="L176" s="8"/>
      <c r="M176" s="8"/>
      <c r="N176" s="8"/>
      <c r="O176" s="8"/>
      <c r="P176" s="8"/>
      <c r="Q176" s="8"/>
      <c r="R176" s="8"/>
      <c r="S176" s="8"/>
      <c r="T176" s="8"/>
      <c r="U176" s="8"/>
      <c r="V176" s="52"/>
      <c r="W176" s="8"/>
      <c r="X176" s="5"/>
    </row>
    <row r="177" spans="1:24" ht="15.75" x14ac:dyDescent="0.25">
      <c r="A177" s="6"/>
      <c r="B177" s="21"/>
      <c r="C177" s="8"/>
      <c r="D177" s="8"/>
      <c r="E177" s="8"/>
      <c r="F177" s="8"/>
      <c r="G177" s="8"/>
      <c r="H177" s="8"/>
      <c r="I177" s="8"/>
      <c r="J177" s="8"/>
      <c r="K177" s="8"/>
      <c r="L177" s="8"/>
      <c r="M177" s="8"/>
      <c r="N177" s="8"/>
      <c r="O177" s="8"/>
      <c r="P177" s="8"/>
      <c r="Q177" s="8"/>
      <c r="R177" s="8"/>
      <c r="S177" s="8"/>
      <c r="T177" s="8"/>
      <c r="U177" s="8"/>
      <c r="V177" s="52"/>
      <c r="W177" s="8"/>
      <c r="X177" s="5"/>
    </row>
    <row r="178" spans="1:24" ht="15.75" x14ac:dyDescent="0.25">
      <c r="A178" s="24"/>
      <c r="B178" s="25" t="s">
        <v>57</v>
      </c>
      <c r="C178" s="25"/>
      <c r="D178" s="25"/>
      <c r="E178" s="25"/>
      <c r="F178" s="25"/>
      <c r="G178" s="25"/>
      <c r="H178" s="25"/>
      <c r="I178" s="25"/>
      <c r="J178" s="25"/>
      <c r="K178" s="25"/>
      <c r="L178" s="25"/>
      <c r="M178" s="25"/>
      <c r="N178" s="25"/>
      <c r="O178" s="25"/>
      <c r="P178" s="25"/>
      <c r="Q178" s="25"/>
      <c r="R178" s="25"/>
      <c r="S178" s="25"/>
      <c r="T178" s="25"/>
      <c r="U178" s="25"/>
      <c r="V178" s="53">
        <f>V72</f>
        <v>977183</v>
      </c>
      <c r="W178" s="25"/>
      <c r="X178" s="5"/>
    </row>
    <row r="179" spans="1:24" ht="15.75" x14ac:dyDescent="0.25">
      <c r="A179" s="24"/>
      <c r="B179" s="25" t="s">
        <v>58</v>
      </c>
      <c r="C179" s="25"/>
      <c r="D179" s="25"/>
      <c r="E179" s="25"/>
      <c r="F179" s="25"/>
      <c r="G179" s="25"/>
      <c r="H179" s="25"/>
      <c r="I179" s="25"/>
      <c r="J179" s="25"/>
      <c r="K179" s="25"/>
      <c r="L179" s="25"/>
      <c r="M179" s="25"/>
      <c r="N179" s="25"/>
      <c r="O179" s="25"/>
      <c r="P179" s="25"/>
      <c r="Q179" s="25"/>
      <c r="R179" s="25"/>
      <c r="S179" s="25"/>
      <c r="T179" s="25"/>
      <c r="U179" s="25"/>
      <c r="V179" s="53">
        <f>V85</f>
        <v>977183</v>
      </c>
      <c r="W179" s="25"/>
      <c r="X179" s="5"/>
    </row>
    <row r="180" spans="1:24" ht="16.5" thickBot="1" x14ac:dyDescent="0.3">
      <c r="A180" s="24"/>
      <c r="B180" s="25"/>
      <c r="C180" s="25"/>
      <c r="D180" s="25"/>
      <c r="E180" s="25"/>
      <c r="F180" s="25"/>
      <c r="G180" s="25"/>
      <c r="H180" s="25"/>
      <c r="I180" s="25"/>
      <c r="J180" s="25"/>
      <c r="K180" s="25"/>
      <c r="L180" s="25"/>
      <c r="M180" s="25"/>
      <c r="N180" s="25"/>
      <c r="O180" s="25"/>
      <c r="P180" s="25"/>
      <c r="Q180" s="25"/>
      <c r="R180" s="25"/>
      <c r="S180" s="25"/>
      <c r="T180" s="25"/>
      <c r="U180" s="25"/>
      <c r="V180" s="61"/>
      <c r="W180" s="25"/>
      <c r="X180" s="5"/>
    </row>
    <row r="181" spans="1:24" ht="15.75" x14ac:dyDescent="0.25">
      <c r="A181" s="2"/>
      <c r="B181" s="4"/>
      <c r="C181" s="4"/>
      <c r="D181" s="4"/>
      <c r="E181" s="4"/>
      <c r="F181" s="4"/>
      <c r="G181" s="4"/>
      <c r="H181" s="4"/>
      <c r="I181" s="4"/>
      <c r="J181" s="4"/>
      <c r="K181" s="4"/>
      <c r="L181" s="4"/>
      <c r="M181" s="4"/>
      <c r="N181" s="4"/>
      <c r="O181" s="4"/>
      <c r="P181" s="4"/>
      <c r="Q181" s="4"/>
      <c r="R181" s="4"/>
      <c r="S181" s="4"/>
      <c r="T181" s="4"/>
      <c r="U181" s="4"/>
      <c r="V181" s="50"/>
      <c r="W181" s="4"/>
      <c r="X181" s="5"/>
    </row>
    <row r="182" spans="1:24" ht="15.75" x14ac:dyDescent="0.25">
      <c r="A182" s="6"/>
      <c r="B182" s="119" t="s">
        <v>59</v>
      </c>
      <c r="C182" s="117"/>
      <c r="D182" s="117"/>
      <c r="E182" s="117"/>
      <c r="F182" s="117"/>
      <c r="G182" s="117"/>
      <c r="H182" s="120"/>
      <c r="I182" s="120"/>
      <c r="J182" s="120"/>
      <c r="K182" s="120"/>
      <c r="L182" s="120"/>
      <c r="M182" s="120"/>
      <c r="N182" s="120"/>
      <c r="O182" s="120"/>
      <c r="P182" s="120"/>
      <c r="Q182" s="120"/>
      <c r="R182" s="120"/>
      <c r="S182" s="120" t="s">
        <v>101</v>
      </c>
      <c r="T182" s="120" t="s">
        <v>176</v>
      </c>
      <c r="U182" s="111"/>
      <c r="V182" s="121" t="s">
        <v>114</v>
      </c>
      <c r="W182" s="10"/>
      <c r="X182" s="5"/>
    </row>
    <row r="183" spans="1:24" ht="15.75" x14ac:dyDescent="0.25">
      <c r="A183" s="24"/>
      <c r="B183" s="25" t="s">
        <v>60</v>
      </c>
      <c r="C183" s="25"/>
      <c r="D183" s="25"/>
      <c r="E183" s="25"/>
      <c r="F183" s="25"/>
      <c r="G183" s="25"/>
      <c r="H183" s="25"/>
      <c r="I183" s="25"/>
      <c r="J183" s="25"/>
      <c r="K183" s="25"/>
      <c r="L183" s="25"/>
      <c r="M183" s="25"/>
      <c r="N183" s="25"/>
      <c r="O183" s="25"/>
      <c r="P183" s="25"/>
      <c r="Q183" s="25"/>
      <c r="R183" s="25"/>
      <c r="S183" s="53">
        <f>+V34*0.16</f>
        <v>160181.28</v>
      </c>
      <c r="T183" s="40"/>
      <c r="U183" s="25"/>
      <c r="V183" s="53"/>
      <c r="W183" s="25"/>
      <c r="X183" s="5"/>
    </row>
    <row r="184" spans="1:24" ht="15.75" x14ac:dyDescent="0.25">
      <c r="A184" s="24"/>
      <c r="B184" s="25" t="s">
        <v>61</v>
      </c>
      <c r="C184" s="25"/>
      <c r="D184" s="25"/>
      <c r="E184" s="25"/>
      <c r="F184" s="25"/>
      <c r="G184" s="25"/>
      <c r="H184" s="25"/>
      <c r="I184" s="25"/>
      <c r="J184" s="25"/>
      <c r="K184" s="25"/>
      <c r="L184" s="25"/>
      <c r="M184" s="25"/>
      <c r="N184" s="25"/>
      <c r="O184" s="25"/>
      <c r="P184" s="25"/>
      <c r="Q184" s="25"/>
      <c r="R184" s="25"/>
      <c r="S184" s="53">
        <f>+'Feb 08'!S186</f>
        <v>4040</v>
      </c>
      <c r="T184" s="53">
        <f>+'Feb 08'!T186</f>
        <v>5002</v>
      </c>
      <c r="U184" s="25"/>
      <c r="V184" s="53">
        <f>S184+T184</f>
        <v>9042</v>
      </c>
      <c r="W184" s="25"/>
      <c r="X184" s="5"/>
    </row>
    <row r="185" spans="1:24" ht="15.75" x14ac:dyDescent="0.25">
      <c r="A185" s="24"/>
      <c r="B185" s="25" t="s">
        <v>62</v>
      </c>
      <c r="C185" s="25"/>
      <c r="D185" s="25"/>
      <c r="E185" s="25"/>
      <c r="F185" s="25"/>
      <c r="G185" s="25"/>
      <c r="H185" s="25"/>
      <c r="I185" s="25"/>
      <c r="J185" s="25"/>
      <c r="K185" s="25"/>
      <c r="L185" s="25"/>
      <c r="M185" s="25"/>
      <c r="N185" s="25"/>
      <c r="O185" s="25"/>
      <c r="P185" s="25"/>
      <c r="Q185" s="25"/>
      <c r="R185" s="25"/>
      <c r="S185" s="34">
        <v>2580</v>
      </c>
      <c r="T185" s="34">
        <v>385</v>
      </c>
      <c r="U185" s="25"/>
      <c r="V185" s="53">
        <f>S185+T185</f>
        <v>2965</v>
      </c>
      <c r="W185" s="25"/>
      <c r="X185" s="5"/>
    </row>
    <row r="186" spans="1:24" ht="15.75" x14ac:dyDescent="0.25">
      <c r="A186" s="24"/>
      <c r="B186" s="25" t="s">
        <v>63</v>
      </c>
      <c r="C186" s="25"/>
      <c r="D186" s="25"/>
      <c r="E186" s="25"/>
      <c r="F186" s="25"/>
      <c r="G186" s="25"/>
      <c r="H186" s="25"/>
      <c r="I186" s="25"/>
      <c r="J186" s="25"/>
      <c r="K186" s="25"/>
      <c r="L186" s="25"/>
      <c r="M186" s="25"/>
      <c r="N186" s="25"/>
      <c r="O186" s="25"/>
      <c r="P186" s="25"/>
      <c r="Q186" s="25"/>
      <c r="R186" s="25"/>
      <c r="S186" s="53">
        <f>S184+S185</f>
        <v>6620</v>
      </c>
      <c r="T186" s="53">
        <f>T185+T184</f>
        <v>5387</v>
      </c>
      <c r="U186" s="25"/>
      <c r="V186" s="53">
        <f>S186+T186</f>
        <v>12007</v>
      </c>
      <c r="W186" s="25"/>
      <c r="X186" s="5"/>
    </row>
    <row r="187" spans="1:24" ht="15.75" x14ac:dyDescent="0.25">
      <c r="A187" s="24"/>
      <c r="B187" s="25" t="s">
        <v>64</v>
      </c>
      <c r="C187" s="25"/>
      <c r="D187" s="25"/>
      <c r="E187" s="25"/>
      <c r="F187" s="25"/>
      <c r="G187" s="25"/>
      <c r="H187" s="25"/>
      <c r="I187" s="25"/>
      <c r="J187" s="25"/>
      <c r="K187" s="25"/>
      <c r="L187" s="25"/>
      <c r="M187" s="25"/>
      <c r="N187" s="25"/>
      <c r="O187" s="25"/>
      <c r="P187" s="25"/>
      <c r="Q187" s="25"/>
      <c r="R187" s="25"/>
      <c r="S187" s="53">
        <f>S183-S186-T186</f>
        <v>148174.28</v>
      </c>
      <c r="T187" s="40"/>
      <c r="U187" s="25"/>
      <c r="V187" s="53"/>
      <c r="W187" s="25"/>
      <c r="X187" s="5"/>
    </row>
    <row r="188" spans="1:24" ht="16.5" thickBot="1" x14ac:dyDescent="0.3">
      <c r="A188" s="24"/>
      <c r="B188" s="25"/>
      <c r="C188" s="25"/>
      <c r="D188" s="25"/>
      <c r="E188" s="25"/>
      <c r="F188" s="25"/>
      <c r="G188" s="25"/>
      <c r="H188" s="25"/>
      <c r="I188" s="25"/>
      <c r="J188" s="25"/>
      <c r="K188" s="25"/>
      <c r="L188" s="25"/>
      <c r="M188" s="25"/>
      <c r="N188" s="25"/>
      <c r="O188" s="25"/>
      <c r="P188" s="25"/>
      <c r="Q188" s="25"/>
      <c r="R188" s="25"/>
      <c r="S188" s="25"/>
      <c r="T188" s="25"/>
      <c r="U188" s="25"/>
      <c r="V188" s="61"/>
      <c r="W188" s="25"/>
      <c r="X188" s="5"/>
    </row>
    <row r="189" spans="1:24" ht="15.75" x14ac:dyDescent="0.25">
      <c r="A189" s="2"/>
      <c r="B189" s="4"/>
      <c r="C189" s="4"/>
      <c r="D189" s="4"/>
      <c r="E189" s="4"/>
      <c r="F189" s="4"/>
      <c r="G189" s="4"/>
      <c r="H189" s="4"/>
      <c r="I189" s="4"/>
      <c r="J189" s="4"/>
      <c r="K189" s="4"/>
      <c r="L189" s="4"/>
      <c r="M189" s="4"/>
      <c r="N189" s="4"/>
      <c r="O189" s="4"/>
      <c r="P189" s="4"/>
      <c r="Q189" s="4"/>
      <c r="R189" s="4"/>
      <c r="S189" s="4"/>
      <c r="T189" s="4"/>
      <c r="U189" s="4"/>
      <c r="V189" s="50"/>
      <c r="W189" s="4"/>
      <c r="X189" s="5"/>
    </row>
    <row r="190" spans="1:24" ht="15.75" x14ac:dyDescent="0.25">
      <c r="A190" s="6"/>
      <c r="B190" s="119" t="s">
        <v>65</v>
      </c>
      <c r="C190" s="8"/>
      <c r="D190" s="8"/>
      <c r="E190" s="8"/>
      <c r="F190" s="8"/>
      <c r="G190" s="8"/>
      <c r="H190" s="8"/>
      <c r="I190" s="8"/>
      <c r="J190" s="8"/>
      <c r="K190" s="8"/>
      <c r="L190" s="8"/>
      <c r="M190" s="8"/>
      <c r="N190" s="8"/>
      <c r="O190" s="8"/>
      <c r="P190" s="8"/>
      <c r="Q190" s="8"/>
      <c r="R190" s="8"/>
      <c r="S190" s="8"/>
      <c r="T190" s="8"/>
      <c r="U190" s="8"/>
      <c r="V190" s="65"/>
      <c r="W190" s="8"/>
      <c r="X190" s="5"/>
    </row>
    <row r="191" spans="1:24" ht="15.75" x14ac:dyDescent="0.25">
      <c r="A191" s="24"/>
      <c r="B191" s="25" t="s">
        <v>66</v>
      </c>
      <c r="C191" s="25"/>
      <c r="D191" s="25"/>
      <c r="E191" s="25"/>
      <c r="F191" s="25"/>
      <c r="G191" s="25"/>
      <c r="H191" s="25"/>
      <c r="I191" s="25"/>
      <c r="J191" s="25"/>
      <c r="K191" s="25"/>
      <c r="L191" s="25"/>
      <c r="M191" s="25"/>
      <c r="N191" s="25"/>
      <c r="O191" s="25"/>
      <c r="P191" s="25"/>
      <c r="Q191" s="25"/>
      <c r="R191" s="25"/>
      <c r="S191" s="25"/>
      <c r="T191" s="25"/>
      <c r="U191" s="25"/>
      <c r="V191" s="59">
        <f>(V102+V104+V105+V106+V107)/-(V108+V109)</f>
        <v>1.4317728686498126</v>
      </c>
      <c r="W191" s="25" t="s">
        <v>115</v>
      </c>
      <c r="X191" s="5"/>
    </row>
    <row r="192" spans="1:24" ht="15.75" x14ac:dyDescent="0.25">
      <c r="A192" s="24"/>
      <c r="B192" s="25" t="s">
        <v>67</v>
      </c>
      <c r="C192" s="25"/>
      <c r="D192" s="25"/>
      <c r="E192" s="25"/>
      <c r="F192" s="25"/>
      <c r="G192" s="25"/>
      <c r="H192" s="25"/>
      <c r="I192" s="25"/>
      <c r="J192" s="25"/>
      <c r="K192" s="25"/>
      <c r="L192" s="25"/>
      <c r="M192" s="25"/>
      <c r="N192" s="25"/>
      <c r="O192" s="25"/>
      <c r="P192" s="25"/>
      <c r="Q192" s="25"/>
      <c r="R192" s="25"/>
      <c r="S192" s="25"/>
      <c r="T192" s="25"/>
      <c r="U192" s="25"/>
      <c r="V192" s="66">
        <v>1.32</v>
      </c>
      <c r="W192" s="25" t="s">
        <v>115</v>
      </c>
      <c r="X192" s="5"/>
    </row>
    <row r="193" spans="1:24" ht="15.75" x14ac:dyDescent="0.25">
      <c r="A193" s="24"/>
      <c r="B193" s="25" t="s">
        <v>68</v>
      </c>
      <c r="C193" s="25"/>
      <c r="D193" s="25"/>
      <c r="E193" s="25"/>
      <c r="F193" s="25"/>
      <c r="G193" s="25"/>
      <c r="H193" s="25"/>
      <c r="I193" s="25"/>
      <c r="J193" s="25"/>
      <c r="K193" s="25"/>
      <c r="L193" s="25"/>
      <c r="M193" s="25"/>
      <c r="N193" s="25"/>
      <c r="O193" s="25"/>
      <c r="P193" s="25"/>
      <c r="Q193" s="25"/>
      <c r="R193" s="25"/>
      <c r="S193" s="25"/>
      <c r="T193" s="25"/>
      <c r="U193" s="25"/>
      <c r="V193" s="59">
        <f>(V102+V104+V105+V106+V107+V108+V109)/-(V110+V111)</f>
        <v>4.6233988044406491</v>
      </c>
      <c r="W193" s="25" t="s">
        <v>115</v>
      </c>
      <c r="X193" s="5"/>
    </row>
    <row r="194" spans="1:24" ht="15.75" x14ac:dyDescent="0.25">
      <c r="A194" s="24"/>
      <c r="B194" s="25" t="s">
        <v>69</v>
      </c>
      <c r="C194" s="25"/>
      <c r="D194" s="25"/>
      <c r="E194" s="25"/>
      <c r="F194" s="25"/>
      <c r="G194" s="25"/>
      <c r="H194" s="25"/>
      <c r="I194" s="25"/>
      <c r="J194" s="25"/>
      <c r="K194" s="25"/>
      <c r="L194" s="25"/>
      <c r="M194" s="25"/>
      <c r="N194" s="25"/>
      <c r="O194" s="25"/>
      <c r="P194" s="25"/>
      <c r="Q194" s="25"/>
      <c r="R194" s="25"/>
      <c r="S194" s="25"/>
      <c r="T194" s="25"/>
      <c r="U194" s="25"/>
      <c r="V194" s="66">
        <v>3.44</v>
      </c>
      <c r="W194" s="25" t="s">
        <v>115</v>
      </c>
      <c r="X194" s="5"/>
    </row>
    <row r="195" spans="1:24" ht="15.75" x14ac:dyDescent="0.25">
      <c r="A195" s="24"/>
      <c r="B195" s="25" t="s">
        <v>198</v>
      </c>
      <c r="C195" s="25"/>
      <c r="D195" s="25"/>
      <c r="E195" s="25"/>
      <c r="F195" s="25"/>
      <c r="G195" s="25"/>
      <c r="H195" s="25"/>
      <c r="I195" s="25"/>
      <c r="J195" s="25"/>
      <c r="K195" s="25"/>
      <c r="L195" s="25"/>
      <c r="M195" s="25"/>
      <c r="N195" s="25"/>
      <c r="O195" s="25"/>
      <c r="P195" s="25"/>
      <c r="Q195" s="25"/>
      <c r="R195" s="25"/>
      <c r="S195" s="25"/>
      <c r="T195" s="25"/>
      <c r="U195" s="25"/>
      <c r="V195" s="59">
        <f>(V102+V104+V105+V106+V107+V108+V109+V110+V111)/-(V112)</f>
        <v>3.4524003254678601</v>
      </c>
      <c r="W195" s="25" t="s">
        <v>115</v>
      </c>
      <c r="X195" s="5"/>
    </row>
    <row r="196" spans="1:24" ht="15.75" x14ac:dyDescent="0.25">
      <c r="A196" s="24"/>
      <c r="B196" s="25" t="s">
        <v>199</v>
      </c>
      <c r="C196" s="25"/>
      <c r="D196" s="25"/>
      <c r="E196" s="25"/>
      <c r="F196" s="25"/>
      <c r="G196" s="25"/>
      <c r="H196" s="25"/>
      <c r="I196" s="25"/>
      <c r="J196" s="25"/>
      <c r="K196" s="25"/>
      <c r="L196" s="25"/>
      <c r="M196" s="25"/>
      <c r="N196" s="25"/>
      <c r="O196" s="25"/>
      <c r="P196" s="25"/>
      <c r="Q196" s="25"/>
      <c r="R196" s="25"/>
      <c r="S196" s="25"/>
      <c r="T196" s="25"/>
      <c r="U196" s="25"/>
      <c r="V196" s="66">
        <v>2.3199999999999998</v>
      </c>
      <c r="W196" s="25" t="s">
        <v>115</v>
      </c>
      <c r="X196" s="5"/>
    </row>
    <row r="197" spans="1:24" ht="15.75" x14ac:dyDescent="0.25">
      <c r="A197" s="24"/>
      <c r="B197" s="25"/>
      <c r="C197" s="25"/>
      <c r="D197" s="25"/>
      <c r="E197" s="25"/>
      <c r="F197" s="25"/>
      <c r="G197" s="25"/>
      <c r="H197" s="25"/>
      <c r="I197" s="25"/>
      <c r="J197" s="25"/>
      <c r="K197" s="25"/>
      <c r="L197" s="25"/>
      <c r="M197" s="25"/>
      <c r="N197" s="25"/>
      <c r="O197" s="25"/>
      <c r="P197" s="25"/>
      <c r="Q197" s="25"/>
      <c r="R197" s="25"/>
      <c r="S197" s="25"/>
      <c r="T197" s="25"/>
      <c r="U197" s="25"/>
      <c r="V197" s="25"/>
      <c r="W197" s="25"/>
      <c r="X197" s="5"/>
    </row>
    <row r="198" spans="1:24" ht="15.75" x14ac:dyDescent="0.25">
      <c r="A198" s="24"/>
      <c r="B198" s="25"/>
      <c r="C198" s="25"/>
      <c r="D198" s="25"/>
      <c r="E198" s="25"/>
      <c r="F198" s="25"/>
      <c r="G198" s="25"/>
      <c r="H198" s="25"/>
      <c r="I198" s="25"/>
      <c r="J198" s="25"/>
      <c r="K198" s="25"/>
      <c r="L198" s="25"/>
      <c r="M198" s="25"/>
      <c r="N198" s="25"/>
      <c r="O198" s="25"/>
      <c r="P198" s="25"/>
      <c r="Q198" s="25"/>
      <c r="R198" s="25"/>
      <c r="S198" s="25"/>
      <c r="T198" s="25"/>
      <c r="U198" s="25"/>
      <c r="V198" s="25"/>
      <c r="W198" s="25"/>
      <c r="X198" s="5"/>
    </row>
    <row r="199" spans="1:24" ht="15.75" x14ac:dyDescent="0.25">
      <c r="A199" s="6"/>
      <c r="B199" s="8"/>
      <c r="C199" s="8"/>
      <c r="D199" s="8"/>
      <c r="E199" s="8"/>
      <c r="F199" s="8"/>
      <c r="G199" s="8"/>
      <c r="H199" s="8"/>
      <c r="I199" s="8"/>
      <c r="J199" s="8"/>
      <c r="K199" s="8"/>
      <c r="L199" s="8"/>
      <c r="M199" s="8"/>
      <c r="N199" s="8"/>
      <c r="O199" s="8"/>
      <c r="P199" s="8"/>
      <c r="Q199" s="8"/>
      <c r="R199" s="8"/>
      <c r="S199" s="8"/>
      <c r="T199" s="8"/>
      <c r="U199" s="8"/>
      <c r="V199" s="8"/>
      <c r="W199" s="8"/>
      <c r="X199" s="5"/>
    </row>
    <row r="200" spans="1:24" ht="19.5" thickBot="1" x14ac:dyDescent="0.35">
      <c r="A200" s="101"/>
      <c r="B200" s="102" t="str">
        <f>B135</f>
        <v>PM15 INVESTOR REPORT QUARTER ENDING MAY 2008</v>
      </c>
      <c r="C200" s="176"/>
      <c r="D200" s="176"/>
      <c r="E200" s="176"/>
      <c r="F200" s="176"/>
      <c r="G200" s="176"/>
      <c r="H200" s="176"/>
      <c r="I200" s="176"/>
      <c r="J200" s="176"/>
      <c r="K200" s="176"/>
      <c r="L200" s="176"/>
      <c r="M200" s="176"/>
      <c r="N200" s="176"/>
      <c r="O200" s="176"/>
      <c r="P200" s="176"/>
      <c r="Q200" s="176"/>
      <c r="R200" s="176"/>
      <c r="S200" s="176"/>
      <c r="T200" s="176"/>
      <c r="U200" s="176"/>
      <c r="V200" s="176"/>
      <c r="W200" s="177"/>
      <c r="X200" s="5"/>
    </row>
    <row r="201" spans="1:24" ht="15.75" x14ac:dyDescent="0.25">
      <c r="A201" s="67"/>
      <c r="B201" s="60" t="s">
        <v>70</v>
      </c>
      <c r="C201" s="68"/>
      <c r="D201" s="68"/>
      <c r="E201" s="68"/>
      <c r="F201" s="68"/>
      <c r="G201" s="69"/>
      <c r="H201" s="69"/>
      <c r="I201" s="69"/>
      <c r="J201" s="69"/>
      <c r="K201" s="69"/>
      <c r="L201" s="69"/>
      <c r="M201" s="69"/>
      <c r="N201" s="69"/>
      <c r="O201" s="69"/>
      <c r="P201" s="69"/>
      <c r="Q201" s="69"/>
      <c r="R201" s="69"/>
      <c r="S201" s="69"/>
      <c r="T201" s="70">
        <v>39598</v>
      </c>
      <c r="U201" s="4"/>
      <c r="V201" s="4"/>
      <c r="W201" s="4"/>
      <c r="X201" s="5"/>
    </row>
    <row r="202" spans="1:24" ht="15.75" x14ac:dyDescent="0.25">
      <c r="A202" s="71"/>
      <c r="B202" s="72"/>
      <c r="C202" s="73"/>
      <c r="D202" s="73"/>
      <c r="E202" s="73"/>
      <c r="F202" s="73"/>
      <c r="G202" s="74"/>
      <c r="H202" s="74"/>
      <c r="I202" s="74"/>
      <c r="J202" s="74"/>
      <c r="K202" s="74"/>
      <c r="L202" s="74"/>
      <c r="M202" s="74"/>
      <c r="N202" s="74"/>
      <c r="O202" s="74"/>
      <c r="P202" s="74"/>
      <c r="Q202" s="74"/>
      <c r="R202" s="74"/>
      <c r="S202" s="74"/>
      <c r="T202" s="74"/>
      <c r="U202" s="8"/>
      <c r="V202" s="8"/>
      <c r="W202" s="8"/>
      <c r="X202" s="5"/>
    </row>
    <row r="203" spans="1:24" ht="15.75" x14ac:dyDescent="0.25">
      <c r="A203" s="75"/>
      <c r="B203" s="76" t="s">
        <v>71</v>
      </c>
      <c r="C203" s="77"/>
      <c r="D203" s="77"/>
      <c r="E203" s="77"/>
      <c r="F203" s="77"/>
      <c r="G203" s="64"/>
      <c r="H203" s="64"/>
      <c r="I203" s="64"/>
      <c r="J203" s="64"/>
      <c r="K203" s="64"/>
      <c r="L203" s="64"/>
      <c r="M203" s="64"/>
      <c r="N203" s="64"/>
      <c r="O203" s="64"/>
      <c r="P203" s="64"/>
      <c r="Q203" s="64"/>
      <c r="R203" s="64"/>
      <c r="S203" s="64"/>
      <c r="T203" s="78">
        <v>5.3830000000000003E-2</v>
      </c>
      <c r="U203" s="25"/>
      <c r="V203" s="25"/>
      <c r="W203" s="25"/>
      <c r="X203" s="5"/>
    </row>
    <row r="204" spans="1:24" ht="15.75" x14ac:dyDescent="0.25">
      <c r="A204" s="75"/>
      <c r="B204" s="76" t="s">
        <v>151</v>
      </c>
      <c r="C204" s="77"/>
      <c r="D204" s="77"/>
      <c r="E204" s="77"/>
      <c r="F204" s="77"/>
      <c r="G204" s="64"/>
      <c r="H204" s="64"/>
      <c r="I204" s="64"/>
      <c r="J204" s="64"/>
      <c r="K204" s="64"/>
      <c r="L204" s="64"/>
      <c r="M204" s="64"/>
      <c r="N204" s="64"/>
      <c r="O204" s="64"/>
      <c r="P204" s="64"/>
      <c r="Q204" s="64"/>
      <c r="R204" s="64"/>
      <c r="S204" s="64"/>
      <c r="T204" s="39">
        <v>6.25E-2</v>
      </c>
      <c r="U204" s="25"/>
      <c r="V204" s="25"/>
      <c r="W204" s="25"/>
      <c r="X204" s="5"/>
    </row>
    <row r="205" spans="1:24" ht="15.75" x14ac:dyDescent="0.25">
      <c r="A205" s="75"/>
      <c r="B205" s="76" t="s">
        <v>72</v>
      </c>
      <c r="C205" s="77"/>
      <c r="D205" s="77"/>
      <c r="E205" s="77"/>
      <c r="F205" s="77"/>
      <c r="G205" s="64"/>
      <c r="H205" s="64"/>
      <c r="I205" s="64"/>
      <c r="J205" s="64"/>
      <c r="K205" s="64"/>
      <c r="L205" s="64"/>
      <c r="M205" s="64"/>
      <c r="N205" s="64"/>
      <c r="O205" s="64"/>
      <c r="P205" s="64"/>
      <c r="Q205" s="64"/>
      <c r="R205" s="64"/>
      <c r="S205" s="64"/>
      <c r="T205" s="78">
        <f>T203-T204</f>
        <v>-8.6699999999999972E-3</v>
      </c>
      <c r="U205" s="25"/>
      <c r="V205" s="25"/>
      <c r="W205" s="25"/>
      <c r="X205" s="5"/>
    </row>
    <row r="206" spans="1:24" ht="15.75" x14ac:dyDescent="0.25">
      <c r="A206" s="75"/>
      <c r="B206" s="76" t="s">
        <v>73</v>
      </c>
      <c r="C206" s="77"/>
      <c r="D206" s="77"/>
      <c r="E206" s="77"/>
      <c r="F206" s="77"/>
      <c r="G206" s="64"/>
      <c r="H206" s="64"/>
      <c r="I206" s="64"/>
      <c r="J206" s="64"/>
      <c r="K206" s="64"/>
      <c r="L206" s="64"/>
      <c r="M206" s="64"/>
      <c r="N206" s="64"/>
      <c r="O206" s="64"/>
      <c r="P206" s="64"/>
      <c r="Q206" s="64"/>
      <c r="R206" s="64"/>
      <c r="S206" s="64"/>
      <c r="T206" s="78">
        <v>5.305E-2</v>
      </c>
      <c r="U206" s="25"/>
      <c r="V206" s="25"/>
      <c r="W206" s="25"/>
      <c r="X206" s="5"/>
    </row>
    <row r="207" spans="1:24" ht="15.75" x14ac:dyDescent="0.25">
      <c r="A207" s="75"/>
      <c r="B207" s="76" t="s">
        <v>218</v>
      </c>
      <c r="C207" s="77"/>
      <c r="D207" s="77"/>
      <c r="E207" s="77"/>
      <c r="F207" s="77"/>
      <c r="G207" s="64"/>
      <c r="H207" s="64"/>
      <c r="I207" s="64"/>
      <c r="J207" s="64"/>
      <c r="K207" s="64"/>
      <c r="L207" s="64"/>
      <c r="M207" s="64"/>
      <c r="N207" s="64"/>
      <c r="O207" s="64"/>
      <c r="P207" s="64"/>
      <c r="Q207" s="64"/>
      <c r="R207" s="64"/>
      <c r="S207" s="64"/>
      <c r="T207" s="78">
        <f>V43</f>
        <v>6.0850838975676363E-2</v>
      </c>
      <c r="U207" s="25"/>
      <c r="V207" s="25"/>
      <c r="W207" s="25"/>
      <c r="X207" s="5"/>
    </row>
    <row r="208" spans="1:24" ht="15.75" x14ac:dyDescent="0.25">
      <c r="A208" s="75"/>
      <c r="B208" s="76" t="s">
        <v>74</v>
      </c>
      <c r="C208" s="77"/>
      <c r="D208" s="77"/>
      <c r="E208" s="77"/>
      <c r="F208" s="77"/>
      <c r="G208" s="64"/>
      <c r="H208" s="64"/>
      <c r="I208" s="64"/>
      <c r="J208" s="64"/>
      <c r="K208" s="64"/>
      <c r="L208" s="64"/>
      <c r="M208" s="64"/>
      <c r="N208" s="64"/>
      <c r="O208" s="64"/>
      <c r="P208" s="64"/>
      <c r="Q208" s="64"/>
      <c r="R208" s="64"/>
      <c r="S208" s="64"/>
      <c r="T208" s="78">
        <f>T206-T207</f>
        <v>-7.8008389756763635E-3</v>
      </c>
      <c r="U208" s="25"/>
      <c r="V208" s="25"/>
      <c r="W208" s="25"/>
      <c r="X208" s="5"/>
    </row>
    <row r="209" spans="1:24" ht="15.75" x14ac:dyDescent="0.25">
      <c r="A209" s="75"/>
      <c r="B209" s="76" t="s">
        <v>227</v>
      </c>
      <c r="C209" s="77"/>
      <c r="D209" s="77"/>
      <c r="E209" s="77"/>
      <c r="F209" s="77"/>
      <c r="G209" s="64"/>
      <c r="H209" s="64"/>
      <c r="I209" s="64"/>
      <c r="J209" s="64"/>
      <c r="K209" s="64"/>
      <c r="L209" s="64"/>
      <c r="M209" s="64"/>
      <c r="N209" s="64"/>
      <c r="O209" s="64"/>
      <c r="P209" s="64"/>
      <c r="Q209" s="64"/>
      <c r="R209" s="64"/>
      <c r="S209" s="64"/>
      <c r="T209" s="78">
        <f>V102/N72</f>
        <v>1.8643253688996123E-2</v>
      </c>
      <c r="U209" s="25"/>
      <c r="V209" s="25"/>
      <c r="W209" s="25"/>
      <c r="X209" s="5"/>
    </row>
    <row r="210" spans="1:24" ht="15.75" x14ac:dyDescent="0.25">
      <c r="A210" s="75"/>
      <c r="B210" s="76" t="s">
        <v>207</v>
      </c>
      <c r="C210" s="77"/>
      <c r="D210" s="77"/>
      <c r="E210" s="77"/>
      <c r="F210" s="77"/>
      <c r="G210" s="64"/>
      <c r="H210" s="64"/>
      <c r="I210" s="64"/>
      <c r="J210" s="64"/>
      <c r="K210" s="64"/>
      <c r="L210" s="64"/>
      <c r="M210" s="64"/>
      <c r="N210" s="64"/>
      <c r="O210" s="64"/>
      <c r="P210" s="64"/>
      <c r="Q210" s="64"/>
      <c r="R210" s="64"/>
      <c r="S210" s="64"/>
      <c r="T210" s="172">
        <v>51105</v>
      </c>
      <c r="U210" s="25"/>
      <c r="V210" s="25"/>
      <c r="W210" s="25"/>
      <c r="X210" s="5"/>
    </row>
    <row r="211" spans="1:24" ht="15.75" x14ac:dyDescent="0.25">
      <c r="A211" s="75"/>
      <c r="B211" s="76" t="s">
        <v>208</v>
      </c>
      <c r="C211" s="77"/>
      <c r="D211" s="77"/>
      <c r="E211" s="77"/>
      <c r="F211" s="77"/>
      <c r="G211" s="64"/>
      <c r="H211" s="64"/>
      <c r="I211" s="64"/>
      <c r="J211" s="64"/>
      <c r="K211" s="64"/>
      <c r="L211" s="64"/>
      <c r="M211" s="64"/>
      <c r="N211" s="64"/>
      <c r="O211" s="64"/>
      <c r="P211" s="64"/>
      <c r="Q211" s="64"/>
      <c r="R211" s="64"/>
      <c r="S211" s="64"/>
      <c r="T211" s="172">
        <v>51105</v>
      </c>
      <c r="U211" s="25"/>
      <c r="V211" s="25"/>
      <c r="W211" s="25"/>
      <c r="X211" s="5"/>
    </row>
    <row r="212" spans="1:24" ht="15.75" x14ac:dyDescent="0.25">
      <c r="A212" s="75"/>
      <c r="B212" s="76" t="s">
        <v>209</v>
      </c>
      <c r="C212" s="77"/>
      <c r="D212" s="77"/>
      <c r="E212" s="77"/>
      <c r="F212" s="77"/>
      <c r="G212" s="64"/>
      <c r="H212" s="64"/>
      <c r="I212" s="64"/>
      <c r="J212" s="64"/>
      <c r="K212" s="64"/>
      <c r="L212" s="64"/>
      <c r="M212" s="64"/>
      <c r="N212" s="64"/>
      <c r="O212" s="64"/>
      <c r="P212" s="64"/>
      <c r="Q212" s="64"/>
      <c r="R212" s="64"/>
      <c r="S212" s="64"/>
      <c r="T212" s="172">
        <v>51105</v>
      </c>
      <c r="U212" s="25"/>
      <c r="V212" s="25"/>
      <c r="W212" s="25"/>
      <c r="X212" s="5"/>
    </row>
    <row r="213" spans="1:24" ht="15.75" x14ac:dyDescent="0.25">
      <c r="A213" s="75"/>
      <c r="B213" s="76" t="s">
        <v>75</v>
      </c>
      <c r="C213" s="77"/>
      <c r="D213" s="77"/>
      <c r="E213" s="77"/>
      <c r="F213" s="77"/>
      <c r="G213" s="64"/>
      <c r="H213" s="64"/>
      <c r="I213" s="64"/>
      <c r="J213" s="64"/>
      <c r="K213" s="64"/>
      <c r="L213" s="64"/>
      <c r="M213" s="64"/>
      <c r="N213" s="64"/>
      <c r="O213" s="64"/>
      <c r="P213" s="64"/>
      <c r="Q213" s="64"/>
      <c r="R213" s="64"/>
      <c r="S213" s="64"/>
      <c r="T213" s="132">
        <v>21.06</v>
      </c>
      <c r="U213" s="25" t="s">
        <v>110</v>
      </c>
      <c r="V213" s="25"/>
      <c r="W213" s="25"/>
      <c r="X213" s="5"/>
    </row>
    <row r="214" spans="1:24" ht="15.75" x14ac:dyDescent="0.25">
      <c r="A214" s="75"/>
      <c r="B214" s="76" t="s">
        <v>76</v>
      </c>
      <c r="C214" s="77"/>
      <c r="D214" s="77"/>
      <c r="E214" s="77"/>
      <c r="F214" s="77"/>
      <c r="G214" s="64"/>
      <c r="H214" s="64"/>
      <c r="I214" s="64"/>
      <c r="J214" s="64"/>
      <c r="K214" s="64"/>
      <c r="L214" s="64"/>
      <c r="M214" s="64"/>
      <c r="N214" s="64"/>
      <c r="O214" s="64"/>
      <c r="P214" s="64"/>
      <c r="Q214" s="64"/>
      <c r="R214" s="64"/>
      <c r="S214" s="64"/>
      <c r="T214" s="132">
        <v>20.260000000000002</v>
      </c>
      <c r="U214" s="25" t="s">
        <v>110</v>
      </c>
      <c r="V214" s="25"/>
      <c r="W214" s="25"/>
      <c r="X214" s="5"/>
    </row>
    <row r="215" spans="1:24" ht="15.75" x14ac:dyDescent="0.25">
      <c r="A215" s="75"/>
      <c r="B215" s="76" t="s">
        <v>77</v>
      </c>
      <c r="C215" s="77"/>
      <c r="D215" s="77"/>
      <c r="E215" s="77"/>
      <c r="F215" s="77"/>
      <c r="G215" s="64"/>
      <c r="H215" s="64"/>
      <c r="I215" s="64"/>
      <c r="J215" s="64"/>
      <c r="K215" s="64"/>
      <c r="L215" s="64"/>
      <c r="M215" s="64"/>
      <c r="N215" s="64"/>
      <c r="O215" s="64"/>
      <c r="P215" s="64"/>
      <c r="Q215" s="64"/>
      <c r="R215" s="64"/>
      <c r="S215" s="64"/>
      <c r="T215" s="78">
        <f>+P69/N69</f>
        <v>1.0722485740078985E-2</v>
      </c>
      <c r="U215" s="25"/>
      <c r="V215" s="25"/>
      <c r="W215" s="25"/>
      <c r="X215" s="5"/>
    </row>
    <row r="216" spans="1:24" ht="15.75" x14ac:dyDescent="0.25">
      <c r="A216" s="75"/>
      <c r="B216" s="76" t="s">
        <v>78</v>
      </c>
      <c r="C216" s="77"/>
      <c r="D216" s="77"/>
      <c r="E216" s="77"/>
      <c r="F216" s="77"/>
      <c r="G216" s="64"/>
      <c r="H216" s="64"/>
      <c r="I216" s="64"/>
      <c r="J216" s="64"/>
      <c r="K216" s="64"/>
      <c r="L216" s="64"/>
      <c r="M216" s="64"/>
      <c r="N216" s="64"/>
      <c r="O216" s="64"/>
      <c r="P216" s="64"/>
      <c r="Q216" s="64"/>
      <c r="R216" s="64"/>
      <c r="S216" s="64"/>
      <c r="T216" s="78">
        <v>3.7999999999999999E-2</v>
      </c>
      <c r="U216" s="25"/>
      <c r="V216" s="25"/>
      <c r="W216" s="25"/>
      <c r="X216" s="5"/>
    </row>
    <row r="217" spans="1:24" ht="15.75" x14ac:dyDescent="0.25">
      <c r="A217" s="75"/>
      <c r="B217" s="76"/>
      <c r="C217" s="76"/>
      <c r="D217" s="76"/>
      <c r="E217" s="76"/>
      <c r="F217" s="76"/>
      <c r="G217" s="25"/>
      <c r="H217" s="25"/>
      <c r="I217" s="25"/>
      <c r="J217" s="25"/>
      <c r="K217" s="25"/>
      <c r="L217" s="25"/>
      <c r="M217" s="25"/>
      <c r="N217" s="25"/>
      <c r="O217" s="25"/>
      <c r="P217" s="25"/>
      <c r="Q217" s="25"/>
      <c r="R217" s="25"/>
      <c r="S217" s="25"/>
      <c r="T217" s="61"/>
      <c r="U217" s="25"/>
      <c r="V217" s="79"/>
      <c r="W217" s="25"/>
      <c r="X217" s="5"/>
    </row>
    <row r="218" spans="1:24" ht="15.75" x14ac:dyDescent="0.25">
      <c r="A218" s="80"/>
      <c r="B218" s="14" t="s">
        <v>79</v>
      </c>
      <c r="C218" s="81"/>
      <c r="D218" s="81"/>
      <c r="E218" s="81"/>
      <c r="F218" s="82"/>
      <c r="G218" s="81"/>
      <c r="H218" s="17"/>
      <c r="I218" s="17"/>
      <c r="J218" s="17"/>
      <c r="K218" s="17"/>
      <c r="L218" s="17"/>
      <c r="M218" s="17"/>
      <c r="N218" s="17"/>
      <c r="O218" s="17"/>
      <c r="P218" s="17"/>
      <c r="Q218" s="17"/>
      <c r="R218" s="17"/>
      <c r="S218" s="17" t="s">
        <v>102</v>
      </c>
      <c r="T218" s="83" t="s">
        <v>108</v>
      </c>
      <c r="U218" s="8"/>
      <c r="V218" s="8"/>
      <c r="W218" s="8"/>
      <c r="X218" s="5"/>
    </row>
    <row r="219" spans="1:24" ht="15.75" x14ac:dyDescent="0.25">
      <c r="A219" s="84"/>
      <c r="B219" s="76" t="s">
        <v>80</v>
      </c>
      <c r="C219" s="54"/>
      <c r="D219" s="54"/>
      <c r="E219" s="54"/>
      <c r="F219" s="25"/>
      <c r="G219" s="25"/>
      <c r="H219" s="30"/>
      <c r="I219" s="30"/>
      <c r="J219" s="30"/>
      <c r="K219" s="30"/>
      <c r="L219" s="30"/>
      <c r="M219" s="30"/>
      <c r="N219" s="30"/>
      <c r="O219" s="30"/>
      <c r="P219" s="30"/>
      <c r="Q219" s="30"/>
      <c r="R219" s="30"/>
      <c r="S219" s="30">
        <v>0</v>
      </c>
      <c r="T219" s="85">
        <v>0</v>
      </c>
      <c r="U219" s="25"/>
      <c r="V219" s="79"/>
      <c r="W219" s="86"/>
      <c r="X219" s="5"/>
    </row>
    <row r="220" spans="1:24" ht="15.75" x14ac:dyDescent="0.25">
      <c r="A220" s="84"/>
      <c r="B220" s="76" t="s">
        <v>145</v>
      </c>
      <c r="C220" s="54"/>
      <c r="D220" s="54"/>
      <c r="E220" s="54"/>
      <c r="F220" s="25"/>
      <c r="G220" s="25"/>
      <c r="H220" s="30"/>
      <c r="I220" s="30"/>
      <c r="J220" s="30"/>
      <c r="K220" s="30"/>
      <c r="L220" s="30"/>
      <c r="M220" s="30"/>
      <c r="N220" s="30"/>
      <c r="O220" s="30"/>
      <c r="P220" s="30"/>
      <c r="Q220" s="30"/>
      <c r="R220" s="30"/>
      <c r="S220" s="148">
        <f>+R260</f>
        <v>18</v>
      </c>
      <c r="T220" s="85">
        <f>+T260</f>
        <v>2783</v>
      </c>
      <c r="U220" s="25"/>
      <c r="V220" s="79"/>
      <c r="W220" s="86"/>
      <c r="X220" s="5"/>
    </row>
    <row r="221" spans="1:24" ht="15.75" x14ac:dyDescent="0.25">
      <c r="A221" s="84"/>
      <c r="B221" s="76" t="s">
        <v>81</v>
      </c>
      <c r="C221" s="54"/>
      <c r="D221" s="54"/>
      <c r="E221" s="54"/>
      <c r="F221" s="25"/>
      <c r="G221" s="25"/>
      <c r="H221" s="30"/>
      <c r="I221" s="30"/>
      <c r="J221" s="30"/>
      <c r="K221" s="30"/>
      <c r="L221" s="30"/>
      <c r="M221" s="30"/>
      <c r="N221" s="30"/>
      <c r="O221" s="30"/>
      <c r="P221" s="30"/>
      <c r="Q221" s="30"/>
      <c r="R221" s="30"/>
      <c r="S221" s="30">
        <v>0</v>
      </c>
      <c r="T221" s="85">
        <v>0</v>
      </c>
      <c r="U221" s="25"/>
      <c r="V221" s="79"/>
      <c r="W221" s="86"/>
      <c r="X221" s="5"/>
    </row>
    <row r="222" spans="1:24" ht="15.75" x14ac:dyDescent="0.25">
      <c r="A222" s="84"/>
      <c r="B222" s="122" t="s">
        <v>82</v>
      </c>
      <c r="C222" s="54"/>
      <c r="D222" s="54"/>
      <c r="E222" s="54"/>
      <c r="F222" s="25"/>
      <c r="G222" s="25"/>
      <c r="H222" s="25"/>
      <c r="I222" s="25"/>
      <c r="J222" s="25"/>
      <c r="K222" s="25"/>
      <c r="L222" s="25"/>
      <c r="M222" s="25"/>
      <c r="N222" s="25"/>
      <c r="O222" s="25"/>
      <c r="P222" s="25"/>
      <c r="Q222" s="25"/>
      <c r="R222" s="25"/>
      <c r="S222" s="25"/>
      <c r="T222" s="85">
        <v>0</v>
      </c>
      <c r="U222" s="25"/>
      <c r="V222" s="79"/>
      <c r="W222" s="86"/>
      <c r="X222" s="5"/>
    </row>
    <row r="223" spans="1:24" ht="15.75" x14ac:dyDescent="0.25">
      <c r="A223" s="84"/>
      <c r="B223" s="122" t="s">
        <v>228</v>
      </c>
      <c r="C223" s="54"/>
      <c r="D223" s="54"/>
      <c r="E223" s="54"/>
      <c r="F223" s="25"/>
      <c r="G223" s="25"/>
      <c r="H223" s="25"/>
      <c r="I223" s="25"/>
      <c r="J223" s="25"/>
      <c r="K223" s="25"/>
      <c r="L223" s="25"/>
      <c r="M223" s="25"/>
      <c r="N223" s="25"/>
      <c r="O223" s="25"/>
      <c r="P223" s="25"/>
      <c r="Q223" s="25"/>
      <c r="R223" s="25"/>
      <c r="S223" s="25"/>
      <c r="T223" s="85">
        <f>+N82</f>
        <v>0</v>
      </c>
      <c r="U223" s="25"/>
      <c r="V223" s="79"/>
      <c r="W223" s="86"/>
      <c r="X223" s="5"/>
    </row>
    <row r="224" spans="1:24" ht="15.75" x14ac:dyDescent="0.25">
      <c r="A224" s="87"/>
      <c r="B224" s="122" t="s">
        <v>83</v>
      </c>
      <c r="C224" s="76"/>
      <c r="D224" s="76"/>
      <c r="E224" s="76"/>
      <c r="F224" s="76"/>
      <c r="G224" s="25"/>
      <c r="H224" s="25"/>
      <c r="I224" s="25"/>
      <c r="J224" s="25"/>
      <c r="K224" s="25"/>
      <c r="L224" s="25"/>
      <c r="M224" s="25"/>
      <c r="N224" s="25"/>
      <c r="O224" s="25"/>
      <c r="P224" s="25"/>
      <c r="Q224" s="25"/>
      <c r="R224" s="25"/>
      <c r="S224" s="25"/>
      <c r="T224" s="85"/>
      <c r="U224" s="25"/>
      <c r="V224" s="79"/>
      <c r="W224" s="88"/>
      <c r="X224" s="5"/>
    </row>
    <row r="225" spans="1:25" ht="15.75" x14ac:dyDescent="0.25">
      <c r="A225" s="87"/>
      <c r="B225" s="130" t="s">
        <v>84</v>
      </c>
      <c r="C225" s="76"/>
      <c r="D225" s="76"/>
      <c r="E225" s="76"/>
      <c r="F225" s="76"/>
      <c r="G225" s="25"/>
      <c r="H225" s="25"/>
      <c r="I225" s="25"/>
      <c r="J225" s="25"/>
      <c r="K225" s="25"/>
      <c r="L225" s="25"/>
      <c r="M225" s="25"/>
      <c r="N225" s="25"/>
      <c r="O225" s="25"/>
      <c r="P225" s="25"/>
      <c r="Q225" s="25"/>
      <c r="R225" s="25"/>
      <c r="S225" s="30"/>
      <c r="T225" s="85">
        <f>V164</f>
        <v>0</v>
      </c>
      <c r="U225" s="25"/>
      <c r="V225" s="79"/>
      <c r="W225" s="88"/>
      <c r="X225" s="5"/>
    </row>
    <row r="226" spans="1:25" ht="15.75" x14ac:dyDescent="0.25">
      <c r="A226" s="84"/>
      <c r="B226" s="76" t="s">
        <v>85</v>
      </c>
      <c r="C226" s="54"/>
      <c r="D226" s="54"/>
      <c r="E226" s="54"/>
      <c r="F226" s="54"/>
      <c r="G226" s="25"/>
      <c r="H226" s="25"/>
      <c r="I226" s="25"/>
      <c r="J226" s="25"/>
      <c r="K226" s="25"/>
      <c r="L226" s="25"/>
      <c r="M226" s="25"/>
      <c r="N226" s="25"/>
      <c r="O226" s="25"/>
      <c r="P226" s="25"/>
      <c r="Q226" s="25"/>
      <c r="R226" s="25"/>
      <c r="S226" s="30"/>
      <c r="T226" s="85">
        <f>+'Feb 08'!T226+T225</f>
        <v>0</v>
      </c>
      <c r="U226" s="25"/>
      <c r="V226" s="79"/>
      <c r="W226" s="88"/>
      <c r="X226" s="5"/>
    </row>
    <row r="227" spans="1:25" ht="15.75" x14ac:dyDescent="0.25">
      <c r="A227" s="87"/>
      <c r="B227" s="122" t="s">
        <v>285</v>
      </c>
      <c r="C227" s="76"/>
      <c r="D227" s="76"/>
      <c r="E227" s="76"/>
      <c r="F227" s="76"/>
      <c r="G227" s="25"/>
      <c r="H227" s="25"/>
      <c r="I227" s="25"/>
      <c r="J227" s="25"/>
      <c r="K227" s="25"/>
      <c r="L227" s="25"/>
      <c r="M227" s="25"/>
      <c r="N227" s="25"/>
      <c r="O227" s="25"/>
      <c r="P227" s="25"/>
      <c r="Q227" s="25"/>
      <c r="R227" s="25"/>
      <c r="S227" s="30"/>
      <c r="T227" s="85"/>
      <c r="U227" s="25"/>
      <c r="V227" s="79"/>
      <c r="W227" s="88"/>
      <c r="X227" s="5"/>
    </row>
    <row r="228" spans="1:25" ht="15.75" x14ac:dyDescent="0.25">
      <c r="A228" s="87"/>
      <c r="B228" s="76" t="s">
        <v>282</v>
      </c>
      <c r="C228" s="76"/>
      <c r="D228" s="76"/>
      <c r="E228" s="76"/>
      <c r="F228" s="76"/>
      <c r="G228" s="25"/>
      <c r="H228" s="25"/>
      <c r="I228" s="25"/>
      <c r="J228" s="25"/>
      <c r="K228" s="25"/>
      <c r="L228" s="25"/>
      <c r="M228" s="25"/>
      <c r="N228" s="25"/>
      <c r="O228" s="25"/>
      <c r="P228" s="25"/>
      <c r="Q228" s="25"/>
      <c r="R228" s="25"/>
      <c r="S228" s="30">
        <v>0</v>
      </c>
      <c r="T228" s="85">
        <v>0</v>
      </c>
      <c r="U228" s="25"/>
      <c r="V228" s="79"/>
      <c r="W228" s="88"/>
      <c r="X228" s="5"/>
    </row>
    <row r="229" spans="1:25" ht="15.75" x14ac:dyDescent="0.25">
      <c r="A229" s="84"/>
      <c r="B229" s="76" t="s">
        <v>86</v>
      </c>
      <c r="C229" s="89"/>
      <c r="D229" s="89"/>
      <c r="E229" s="89"/>
      <c r="F229" s="90"/>
      <c r="G229" s="25"/>
      <c r="H229" s="25"/>
      <c r="I229" s="25"/>
      <c r="J229" s="25"/>
      <c r="K229" s="25"/>
      <c r="L229" s="25"/>
      <c r="M229" s="25"/>
      <c r="N229" s="25"/>
      <c r="O229" s="25"/>
      <c r="P229" s="25"/>
      <c r="Q229" s="25"/>
      <c r="R229" s="25"/>
      <c r="S229" s="25"/>
      <c r="T229" s="62">
        <v>0</v>
      </c>
      <c r="U229" s="25"/>
      <c r="V229" s="79"/>
      <c r="W229" s="88"/>
      <c r="X229" s="5"/>
    </row>
    <row r="230" spans="1:25" ht="15.75" x14ac:dyDescent="0.25">
      <c r="A230" s="84"/>
      <c r="B230" s="76" t="s">
        <v>87</v>
      </c>
      <c r="C230" s="89"/>
      <c r="D230" s="89"/>
      <c r="E230" s="89"/>
      <c r="F230" s="90"/>
      <c r="G230" s="25"/>
      <c r="H230" s="25"/>
      <c r="I230" s="25"/>
      <c r="J230" s="25"/>
      <c r="K230" s="25"/>
      <c r="L230" s="25"/>
      <c r="M230" s="25"/>
      <c r="N230" s="25"/>
      <c r="O230" s="25"/>
      <c r="P230" s="25"/>
      <c r="Q230" s="25"/>
      <c r="R230" s="25"/>
      <c r="S230" s="25"/>
      <c r="T230" s="62">
        <v>0</v>
      </c>
      <c r="U230" s="25"/>
      <c r="V230" s="79"/>
      <c r="W230" s="88"/>
      <c r="X230" s="5"/>
    </row>
    <row r="231" spans="1:25" ht="15.75" x14ac:dyDescent="0.25">
      <c r="A231" s="84"/>
      <c r="B231" s="122" t="s">
        <v>216</v>
      </c>
      <c r="C231" s="89"/>
      <c r="D231" s="89"/>
      <c r="E231" s="89"/>
      <c r="F231" s="90"/>
      <c r="G231" s="25"/>
      <c r="H231" s="25"/>
      <c r="I231" s="25"/>
      <c r="J231" s="25"/>
      <c r="K231" s="25"/>
      <c r="L231" s="25"/>
      <c r="M231" s="25"/>
      <c r="N231" s="25"/>
      <c r="O231" s="25"/>
      <c r="P231" s="25"/>
      <c r="Q231" s="25"/>
      <c r="R231" s="25"/>
      <c r="S231" s="25"/>
      <c r="T231" s="91"/>
      <c r="U231" s="25"/>
      <c r="V231" s="79"/>
      <c r="W231" s="88"/>
      <c r="X231" s="5"/>
    </row>
    <row r="232" spans="1:25" ht="15.75" x14ac:dyDescent="0.25">
      <c r="A232" s="84"/>
      <c r="B232" s="76" t="s">
        <v>282</v>
      </c>
      <c r="C232" s="89"/>
      <c r="D232" s="89"/>
      <c r="E232" s="89"/>
      <c r="F232" s="90"/>
      <c r="G232" s="25"/>
      <c r="H232" s="25"/>
      <c r="I232" s="25"/>
      <c r="J232" s="25"/>
      <c r="K232" s="25"/>
      <c r="L232" s="25"/>
      <c r="M232" s="25"/>
      <c r="N232" s="25"/>
      <c r="O232" s="25"/>
      <c r="P232" s="25"/>
      <c r="Q232" s="25"/>
      <c r="R232" s="25"/>
      <c r="S232" s="30">
        <v>0</v>
      </c>
      <c r="T232" s="85">
        <v>0</v>
      </c>
      <c r="U232" s="25"/>
      <c r="V232" s="79"/>
      <c r="W232" s="88"/>
      <c r="X232" s="5"/>
    </row>
    <row r="233" spans="1:25" ht="15.75" x14ac:dyDescent="0.25">
      <c r="A233" s="84"/>
      <c r="B233" s="76" t="s">
        <v>217</v>
      </c>
      <c r="C233" s="89"/>
      <c r="D233" s="89"/>
      <c r="E233" s="89"/>
      <c r="F233" s="90"/>
      <c r="G233" s="25"/>
      <c r="H233" s="25"/>
      <c r="I233" s="25"/>
      <c r="J233" s="25"/>
      <c r="K233" s="25"/>
      <c r="L233" s="25"/>
      <c r="M233" s="25"/>
      <c r="N233" s="25"/>
      <c r="O233" s="25"/>
      <c r="P233" s="25"/>
      <c r="Q233" s="25"/>
      <c r="R233" s="25"/>
      <c r="S233" s="25"/>
      <c r="T233" s="62">
        <v>0</v>
      </c>
      <c r="U233" s="25"/>
      <c r="V233" s="79"/>
      <c r="W233" s="88"/>
      <c r="X233" s="5"/>
    </row>
    <row r="234" spans="1:25" ht="15.75" x14ac:dyDescent="0.25">
      <c r="A234" s="84"/>
      <c r="B234" s="76"/>
      <c r="C234" s="89"/>
      <c r="D234" s="89"/>
      <c r="E234" s="89"/>
      <c r="F234" s="90"/>
      <c r="G234" s="25"/>
      <c r="H234" s="25"/>
      <c r="I234" s="25"/>
      <c r="J234" s="25"/>
      <c r="K234" s="25"/>
      <c r="L234" s="25"/>
      <c r="M234" s="25"/>
      <c r="N234" s="25"/>
      <c r="O234" s="25"/>
      <c r="P234" s="25"/>
      <c r="Q234" s="25"/>
      <c r="R234" s="25"/>
      <c r="S234" s="25"/>
      <c r="T234" s="91"/>
      <c r="U234" s="25"/>
      <c r="V234" s="79"/>
      <c r="W234" s="88"/>
      <c r="X234" s="5"/>
    </row>
    <row r="235" spans="1:25" ht="15.75" x14ac:dyDescent="0.25">
      <c r="A235" s="84"/>
      <c r="B235" s="76"/>
      <c r="C235" s="89"/>
      <c r="D235" s="89"/>
      <c r="E235" s="89"/>
      <c r="F235" s="90"/>
      <c r="G235" s="25"/>
      <c r="H235" s="25"/>
      <c r="I235" s="25"/>
      <c r="J235" s="25"/>
      <c r="K235" s="25"/>
      <c r="L235" s="25"/>
      <c r="M235" s="25"/>
      <c r="N235" s="25"/>
      <c r="O235" s="25"/>
      <c r="P235" s="25"/>
      <c r="Q235" s="25"/>
      <c r="R235" s="25"/>
      <c r="S235" s="25"/>
      <c r="T235" s="91"/>
      <c r="U235" s="25"/>
      <c r="V235" s="79"/>
      <c r="W235" s="88"/>
      <c r="X235" s="5"/>
    </row>
    <row r="236" spans="1:25" ht="18.75" x14ac:dyDescent="0.3">
      <c r="A236" s="84"/>
      <c r="B236" s="146" t="s">
        <v>168</v>
      </c>
      <c r="C236" s="89"/>
      <c r="D236" s="89"/>
      <c r="E236" s="89"/>
      <c r="F236" s="90"/>
      <c r="G236" s="25"/>
      <c r="H236" s="25"/>
      <c r="I236" s="25"/>
      <c r="J236" s="25"/>
      <c r="K236" s="25"/>
      <c r="L236" s="25"/>
      <c r="M236" s="25"/>
      <c r="N236" s="25"/>
      <c r="O236" s="25"/>
      <c r="P236" s="147" t="s">
        <v>167</v>
      </c>
      <c r="Q236" s="25"/>
      <c r="R236" s="25"/>
      <c r="S236" s="25"/>
      <c r="T236" s="91"/>
      <c r="U236" s="25"/>
      <c r="V236" s="79"/>
      <c r="W236" s="88"/>
      <c r="X236" s="5"/>
    </row>
    <row r="237" spans="1:25" ht="15.75" x14ac:dyDescent="0.25">
      <c r="A237" s="84"/>
      <c r="B237" s="76"/>
      <c r="C237" s="89"/>
      <c r="D237" s="89"/>
      <c r="E237" s="89"/>
      <c r="F237" s="90"/>
      <c r="G237" s="25"/>
      <c r="H237" s="25"/>
      <c r="I237" s="25"/>
      <c r="J237" s="25"/>
      <c r="K237" s="25"/>
      <c r="L237" s="25"/>
      <c r="M237" s="25"/>
      <c r="N237" s="25"/>
      <c r="O237" s="25"/>
      <c r="P237" s="25"/>
      <c r="Q237" s="25"/>
      <c r="R237" s="25"/>
      <c r="S237" s="25"/>
      <c r="T237" s="91"/>
      <c r="U237" s="25"/>
      <c r="V237" s="79"/>
      <c r="W237" s="88"/>
      <c r="X237" s="5"/>
    </row>
    <row r="238" spans="1:25" ht="15.75" x14ac:dyDescent="0.25">
      <c r="A238" s="6"/>
      <c r="B238" s="14" t="s">
        <v>162</v>
      </c>
      <c r="C238" s="81"/>
      <c r="D238" s="81"/>
      <c r="E238" s="81"/>
      <c r="F238" s="82"/>
      <c r="G238" s="81"/>
      <c r="H238" s="17"/>
      <c r="I238" s="17"/>
      <c r="J238" s="17"/>
      <c r="K238" s="17"/>
      <c r="L238" s="17"/>
      <c r="M238" s="17"/>
      <c r="N238" s="17"/>
      <c r="O238" s="17"/>
      <c r="P238" s="17"/>
      <c r="Q238" s="17"/>
      <c r="R238" s="83" t="s">
        <v>102</v>
      </c>
      <c r="S238" s="17" t="s">
        <v>103</v>
      </c>
      <c r="T238" s="83" t="s">
        <v>109</v>
      </c>
      <c r="U238" s="17" t="s">
        <v>103</v>
      </c>
      <c r="V238" s="8"/>
      <c r="W238" s="92"/>
      <c r="X238" s="5"/>
    </row>
    <row r="239" spans="1:25" ht="15.75" x14ac:dyDescent="0.25">
      <c r="A239" s="24"/>
      <c r="B239" s="54" t="s">
        <v>88</v>
      </c>
      <c r="C239" s="93"/>
      <c r="D239" s="93"/>
      <c r="E239" s="93"/>
      <c r="F239" s="25"/>
      <c r="G239" s="93"/>
      <c r="H239" s="93"/>
      <c r="I239" s="93"/>
      <c r="J239" s="93"/>
      <c r="K239" s="93"/>
      <c r="L239" s="93"/>
      <c r="M239" s="93"/>
      <c r="N239" s="93"/>
      <c r="O239" s="93"/>
      <c r="P239" s="93"/>
      <c r="Q239" s="93"/>
      <c r="R239" s="54">
        <v>6599</v>
      </c>
      <c r="S239" s="94">
        <f t="shared" ref="S239:S246" si="1">R239/$R$248</f>
        <v>0.99367565125734081</v>
      </c>
      <c r="T239" s="53">
        <v>968296</v>
      </c>
      <c r="U239" s="131">
        <f t="shared" ref="U239:U246" si="2">T239/$T$248</f>
        <v>0.99373563218390804</v>
      </c>
      <c r="V239" s="79"/>
      <c r="W239" s="88"/>
      <c r="X239" s="5"/>
    </row>
    <row r="240" spans="1:25" ht="15.75" x14ac:dyDescent="0.25">
      <c r="A240" s="24"/>
      <c r="B240" s="54" t="s">
        <v>89</v>
      </c>
      <c r="C240" s="93"/>
      <c r="D240" s="93"/>
      <c r="E240" s="93"/>
      <c r="F240" s="25"/>
      <c r="G240" s="94"/>
      <c r="H240" s="93"/>
      <c r="I240" s="93"/>
      <c r="J240" s="93"/>
      <c r="K240" s="93"/>
      <c r="L240" s="93"/>
      <c r="M240" s="93"/>
      <c r="N240" s="93"/>
      <c r="O240" s="93"/>
      <c r="P240" s="93"/>
      <c r="Q240" s="93"/>
      <c r="R240" s="54">
        <v>31</v>
      </c>
      <c r="S240" s="94">
        <f t="shared" si="1"/>
        <v>4.6679716910103903E-3</v>
      </c>
      <c r="T240" s="53">
        <v>4667</v>
      </c>
      <c r="U240" s="131">
        <f t="shared" si="2"/>
        <v>4.7896141215106732E-3</v>
      </c>
      <c r="V240" s="79"/>
      <c r="W240" s="88"/>
      <c r="X240" s="5"/>
      <c r="Y240" s="109"/>
    </row>
    <row r="241" spans="1:25" ht="15.75" x14ac:dyDescent="0.25">
      <c r="A241" s="24"/>
      <c r="B241" s="54" t="s">
        <v>90</v>
      </c>
      <c r="C241" s="93"/>
      <c r="D241" s="93"/>
      <c r="E241" s="93"/>
      <c r="F241" s="25"/>
      <c r="G241" s="94"/>
      <c r="H241" s="93"/>
      <c r="I241" s="93"/>
      <c r="J241" s="93"/>
      <c r="K241" s="93"/>
      <c r="L241" s="93"/>
      <c r="M241" s="93"/>
      <c r="N241" s="93"/>
      <c r="O241" s="93"/>
      <c r="P241" s="93"/>
      <c r="Q241" s="93"/>
      <c r="R241" s="54">
        <v>9</v>
      </c>
      <c r="S241" s="94">
        <f t="shared" si="1"/>
        <v>1.355217587712694E-3</v>
      </c>
      <c r="T241" s="53">
        <v>1222</v>
      </c>
      <c r="U241" s="131">
        <f t="shared" si="2"/>
        <v>1.2541050903119868E-3</v>
      </c>
      <c r="V241" s="79"/>
      <c r="W241" s="88"/>
      <c r="X241" s="5"/>
    </row>
    <row r="242" spans="1:25" ht="15.75" x14ac:dyDescent="0.25">
      <c r="A242" s="24"/>
      <c r="B242" s="54" t="s">
        <v>156</v>
      </c>
      <c r="C242" s="93"/>
      <c r="D242" s="93"/>
      <c r="E242" s="93"/>
      <c r="F242" s="25"/>
      <c r="G242" s="94"/>
      <c r="H242" s="93"/>
      <c r="I242" s="93"/>
      <c r="J242" s="93"/>
      <c r="K242" s="93"/>
      <c r="L242" s="93"/>
      <c r="M242" s="93"/>
      <c r="N242" s="93"/>
      <c r="O242" s="93"/>
      <c r="P242" s="93"/>
      <c r="Q242" s="93"/>
      <c r="R242" s="54">
        <v>2</v>
      </c>
      <c r="S242" s="94">
        <f t="shared" si="1"/>
        <v>3.011594639361542E-4</v>
      </c>
      <c r="T242" s="53">
        <v>215</v>
      </c>
      <c r="U242" s="131">
        <f t="shared" si="2"/>
        <v>2.2064860426929394E-4</v>
      </c>
      <c r="V242" s="79"/>
      <c r="W242" s="88"/>
      <c r="X242" s="5"/>
      <c r="Y242" s="109"/>
    </row>
    <row r="243" spans="1:25" ht="15.75" x14ac:dyDescent="0.25">
      <c r="A243" s="24"/>
      <c r="B243" s="54" t="s">
        <v>157</v>
      </c>
      <c r="C243" s="93"/>
      <c r="D243" s="93"/>
      <c r="E243" s="93"/>
      <c r="F243" s="25"/>
      <c r="G243" s="94"/>
      <c r="H243" s="93"/>
      <c r="I243" s="93"/>
      <c r="J243" s="93"/>
      <c r="K243" s="93"/>
      <c r="L243" s="93"/>
      <c r="M243" s="93"/>
      <c r="N243" s="93"/>
      <c r="O243" s="93"/>
      <c r="P243" s="93"/>
      <c r="Q243" s="93"/>
      <c r="R243" s="54">
        <v>0</v>
      </c>
      <c r="S243" s="94">
        <f t="shared" si="1"/>
        <v>0</v>
      </c>
      <c r="T243" s="53">
        <v>0</v>
      </c>
      <c r="U243" s="131">
        <f t="shared" si="2"/>
        <v>0</v>
      </c>
      <c r="V243" s="79"/>
      <c r="W243" s="88"/>
      <c r="X243" s="5"/>
    </row>
    <row r="244" spans="1:25" ht="15.75" x14ac:dyDescent="0.25">
      <c r="A244" s="24"/>
      <c r="B244" s="54" t="s">
        <v>158</v>
      </c>
      <c r="C244" s="93"/>
      <c r="D244" s="93"/>
      <c r="E244" s="93"/>
      <c r="F244" s="25"/>
      <c r="G244" s="94"/>
      <c r="H244" s="93"/>
      <c r="I244" s="93"/>
      <c r="J244" s="93"/>
      <c r="K244" s="93"/>
      <c r="L244" s="93"/>
      <c r="M244" s="93"/>
      <c r="N244" s="93"/>
      <c r="O244" s="93"/>
      <c r="P244" s="93"/>
      <c r="Q244" s="93"/>
      <c r="R244" s="54">
        <v>0</v>
      </c>
      <c r="S244" s="94">
        <f t="shared" si="1"/>
        <v>0</v>
      </c>
      <c r="T244" s="53">
        <v>0</v>
      </c>
      <c r="U244" s="131">
        <f t="shared" si="2"/>
        <v>0</v>
      </c>
      <c r="V244" s="79"/>
      <c r="W244" s="88"/>
      <c r="X244" s="5"/>
      <c r="Y244" s="109"/>
    </row>
    <row r="245" spans="1:25" ht="15.75" x14ac:dyDescent="0.25">
      <c r="A245" s="24"/>
      <c r="B245" s="54" t="s">
        <v>159</v>
      </c>
      <c r="C245" s="93"/>
      <c r="D245" s="93"/>
      <c r="E245" s="93"/>
      <c r="F245" s="25"/>
      <c r="G245" s="94"/>
      <c r="H245" s="93"/>
      <c r="I245" s="93"/>
      <c r="J245" s="93"/>
      <c r="K245" s="93"/>
      <c r="L245" s="93"/>
      <c r="M245" s="93"/>
      <c r="N245" s="93"/>
      <c r="O245" s="93"/>
      <c r="P245" s="93"/>
      <c r="Q245" s="93"/>
      <c r="R245" s="54">
        <v>0</v>
      </c>
      <c r="S245" s="94">
        <f t="shared" si="1"/>
        <v>0</v>
      </c>
      <c r="T245" s="53">
        <v>0</v>
      </c>
      <c r="U245" s="131">
        <f t="shared" si="2"/>
        <v>0</v>
      </c>
      <c r="V245" s="79"/>
      <c r="W245" s="88"/>
      <c r="X245" s="5"/>
    </row>
    <row r="246" spans="1:25" ht="15.75" x14ac:dyDescent="0.25">
      <c r="A246" s="24"/>
      <c r="B246" s="54" t="s">
        <v>160</v>
      </c>
      <c r="C246" s="93"/>
      <c r="D246" s="93"/>
      <c r="E246" s="93"/>
      <c r="F246" s="25"/>
      <c r="G246" s="94"/>
      <c r="H246" s="93"/>
      <c r="I246" s="93"/>
      <c r="J246" s="93"/>
      <c r="K246" s="93"/>
      <c r="L246" s="93"/>
      <c r="M246" s="93"/>
      <c r="N246" s="93"/>
      <c r="O246" s="93"/>
      <c r="P246" s="93"/>
      <c r="Q246" s="93"/>
      <c r="R246" s="54">
        <v>0</v>
      </c>
      <c r="S246" s="94">
        <f t="shared" si="1"/>
        <v>0</v>
      </c>
      <c r="T246" s="53">
        <v>0</v>
      </c>
      <c r="U246" s="131">
        <f t="shared" si="2"/>
        <v>0</v>
      </c>
      <c r="V246" s="79"/>
      <c r="W246" s="88"/>
      <c r="X246" s="5"/>
      <c r="Y246" s="109"/>
    </row>
    <row r="247" spans="1:25" ht="15.75" x14ac:dyDescent="0.25">
      <c r="A247" s="24"/>
      <c r="B247" s="54"/>
      <c r="C247" s="93"/>
      <c r="D247" s="93"/>
      <c r="E247" s="93"/>
      <c r="F247" s="25"/>
      <c r="G247" s="94"/>
      <c r="H247" s="93"/>
      <c r="I247" s="93"/>
      <c r="J247" s="93"/>
      <c r="K247" s="93"/>
      <c r="L247" s="93"/>
      <c r="M247" s="93"/>
      <c r="N247" s="93"/>
      <c r="O247" s="93"/>
      <c r="P247" s="93"/>
      <c r="Q247" s="93"/>
      <c r="R247" s="54"/>
      <c r="S247" s="94"/>
      <c r="T247" s="53"/>
      <c r="U247" s="131"/>
      <c r="V247" s="79"/>
      <c r="W247" s="88"/>
      <c r="X247" s="5"/>
    </row>
    <row r="248" spans="1:25" ht="15.75" x14ac:dyDescent="0.25">
      <c r="A248" s="24"/>
      <c r="B248" s="25"/>
      <c r="C248" s="25"/>
      <c r="D248" s="25"/>
      <c r="E248" s="25"/>
      <c r="F248" s="25"/>
      <c r="G248" s="25"/>
      <c r="H248" s="95"/>
      <c r="I248" s="95"/>
      <c r="J248" s="95"/>
      <c r="K248" s="95"/>
      <c r="L248" s="95"/>
      <c r="M248" s="95"/>
      <c r="N248" s="95"/>
      <c r="O248" s="95"/>
      <c r="P248" s="95"/>
      <c r="Q248" s="95"/>
      <c r="R248" s="34">
        <f>SUM(R239:R247)</f>
        <v>6641</v>
      </c>
      <c r="S248" s="131">
        <f>SUM(S239:S247)</f>
        <v>1</v>
      </c>
      <c r="T248" s="53">
        <f>SUM(T239:T247)</f>
        <v>974400</v>
      </c>
      <c r="U248" s="131">
        <f>SUM(U239:U247)</f>
        <v>1</v>
      </c>
      <c r="V248" s="25"/>
      <c r="W248" s="25"/>
      <c r="X248" s="5"/>
    </row>
    <row r="249" spans="1:25" ht="15.75" x14ac:dyDescent="0.25">
      <c r="A249" s="24"/>
      <c r="B249" s="25"/>
      <c r="C249" s="25"/>
      <c r="D249" s="25"/>
      <c r="E249" s="25"/>
      <c r="F249" s="25"/>
      <c r="G249" s="25"/>
      <c r="H249" s="95"/>
      <c r="I249" s="95"/>
      <c r="J249" s="95"/>
      <c r="K249" s="95"/>
      <c r="L249" s="95"/>
      <c r="M249" s="95"/>
      <c r="N249" s="95"/>
      <c r="O249" s="95"/>
      <c r="P249" s="95"/>
      <c r="Q249" s="95"/>
      <c r="R249" s="34"/>
      <c r="S249" s="131"/>
      <c r="T249" s="53"/>
      <c r="U249" s="131"/>
      <c r="V249" s="25"/>
      <c r="W249" s="25"/>
      <c r="X249" s="5"/>
    </row>
    <row r="250" spans="1:25" ht="15.75" x14ac:dyDescent="0.25">
      <c r="A250" s="138"/>
      <c r="B250" s="14" t="s">
        <v>236</v>
      </c>
      <c r="C250" s="81"/>
      <c r="D250" s="81"/>
      <c r="E250" s="81"/>
      <c r="F250" s="82"/>
      <c r="G250" s="81"/>
      <c r="H250" s="17"/>
      <c r="I250" s="17"/>
      <c r="J250" s="17"/>
      <c r="K250" s="17"/>
      <c r="L250" s="17"/>
      <c r="M250" s="17"/>
      <c r="N250" s="17"/>
      <c r="O250" s="17"/>
      <c r="P250" s="17"/>
      <c r="Q250" s="17"/>
      <c r="R250" s="83" t="s">
        <v>102</v>
      </c>
      <c r="S250" s="17" t="s">
        <v>103</v>
      </c>
      <c r="T250" s="83" t="s">
        <v>109</v>
      </c>
      <c r="U250" s="17" t="s">
        <v>103</v>
      </c>
      <c r="V250" s="136"/>
      <c r="W250" s="137"/>
      <c r="X250" s="5"/>
    </row>
    <row r="251" spans="1:25" ht="15.75" x14ac:dyDescent="0.25">
      <c r="A251" s="24"/>
      <c r="B251" s="54" t="s">
        <v>88</v>
      </c>
      <c r="C251" s="93"/>
      <c r="D251" s="93"/>
      <c r="E251" s="93"/>
      <c r="F251" s="25"/>
      <c r="G251" s="93"/>
      <c r="H251" s="93"/>
      <c r="I251" s="93"/>
      <c r="J251" s="93"/>
      <c r="K251" s="93"/>
      <c r="L251" s="93"/>
      <c r="M251" s="93"/>
      <c r="N251" s="93"/>
      <c r="O251" s="93"/>
      <c r="P251" s="93"/>
      <c r="Q251" s="93"/>
      <c r="R251" s="54">
        <v>1</v>
      </c>
      <c r="S251" s="94">
        <f t="shared" ref="S251:S258" si="3">R251/$R$260</f>
        <v>5.5555555555555552E-2</v>
      </c>
      <c r="T251" s="53">
        <v>272</v>
      </c>
      <c r="U251" s="131">
        <f t="shared" ref="U251:U258" si="4">T251/$T$260</f>
        <v>9.7736255839022637E-2</v>
      </c>
      <c r="V251" s="25"/>
      <c r="W251" s="25"/>
      <c r="X251" s="5"/>
    </row>
    <row r="252" spans="1:25" ht="15.75" x14ac:dyDescent="0.25">
      <c r="A252" s="24"/>
      <c r="B252" s="54" t="s">
        <v>89</v>
      </c>
      <c r="C252" s="93"/>
      <c r="D252" s="93"/>
      <c r="E252" s="93"/>
      <c r="F252" s="25"/>
      <c r="G252" s="94"/>
      <c r="H252" s="93"/>
      <c r="I252" s="93"/>
      <c r="J252" s="93"/>
      <c r="K252" s="93"/>
      <c r="L252" s="93"/>
      <c r="M252" s="93"/>
      <c r="N252" s="93"/>
      <c r="O252" s="93"/>
      <c r="P252" s="93"/>
      <c r="Q252" s="93"/>
      <c r="R252" s="54">
        <v>3</v>
      </c>
      <c r="S252" s="94">
        <f t="shared" si="3"/>
        <v>0.16666666666666666</v>
      </c>
      <c r="T252" s="53">
        <v>571</v>
      </c>
      <c r="U252" s="131">
        <f t="shared" si="4"/>
        <v>0.20517427236794825</v>
      </c>
      <c r="V252" s="25"/>
      <c r="W252" s="25"/>
      <c r="X252" s="5"/>
    </row>
    <row r="253" spans="1:25" ht="15.75" x14ac:dyDescent="0.25">
      <c r="A253" s="24"/>
      <c r="B253" s="54" t="s">
        <v>90</v>
      </c>
      <c r="C253" s="93"/>
      <c r="D253" s="93"/>
      <c r="E253" s="93"/>
      <c r="F253" s="25"/>
      <c r="G253" s="94"/>
      <c r="H253" s="93"/>
      <c r="I253" s="93"/>
      <c r="J253" s="93"/>
      <c r="K253" s="93"/>
      <c r="L253" s="93"/>
      <c r="M253" s="93"/>
      <c r="N253" s="93"/>
      <c r="O253" s="93"/>
      <c r="P253" s="93"/>
      <c r="Q253" s="93"/>
      <c r="R253" s="54">
        <v>2</v>
      </c>
      <c r="S253" s="94">
        <f t="shared" si="3"/>
        <v>0.1111111111111111</v>
      </c>
      <c r="T253" s="53">
        <v>379</v>
      </c>
      <c r="U253" s="131">
        <f t="shared" si="4"/>
        <v>0.13618397412863817</v>
      </c>
      <c r="V253" s="25"/>
      <c r="W253" s="25"/>
      <c r="X253" s="5"/>
    </row>
    <row r="254" spans="1:25" ht="15.75" x14ac:dyDescent="0.25">
      <c r="A254" s="24"/>
      <c r="B254" s="54" t="s">
        <v>156</v>
      </c>
      <c r="C254" s="93"/>
      <c r="D254" s="93"/>
      <c r="E254" s="93"/>
      <c r="F254" s="25"/>
      <c r="G254" s="94"/>
      <c r="H254" s="93"/>
      <c r="I254" s="93"/>
      <c r="J254" s="93"/>
      <c r="K254" s="93"/>
      <c r="L254" s="93"/>
      <c r="M254" s="93"/>
      <c r="N254" s="93"/>
      <c r="O254" s="93"/>
      <c r="P254" s="93"/>
      <c r="Q254" s="93"/>
      <c r="R254" s="54">
        <v>3</v>
      </c>
      <c r="S254" s="94">
        <f t="shared" si="3"/>
        <v>0.16666666666666666</v>
      </c>
      <c r="T254" s="53">
        <v>325</v>
      </c>
      <c r="U254" s="131">
        <f t="shared" si="4"/>
        <v>0.1167804527488322</v>
      </c>
      <c r="V254" s="25"/>
      <c r="W254" s="25"/>
      <c r="X254" s="5"/>
    </row>
    <row r="255" spans="1:25" ht="15.75" x14ac:dyDescent="0.25">
      <c r="A255" s="24"/>
      <c r="B255" s="54" t="s">
        <v>157</v>
      </c>
      <c r="C255" s="93"/>
      <c r="D255" s="93"/>
      <c r="E255" s="93"/>
      <c r="F255" s="25"/>
      <c r="G255" s="94"/>
      <c r="H255" s="93"/>
      <c r="I255" s="93"/>
      <c r="J255" s="93"/>
      <c r="K255" s="93"/>
      <c r="L255" s="93"/>
      <c r="M255" s="93"/>
      <c r="N255" s="93"/>
      <c r="O255" s="93"/>
      <c r="P255" s="93"/>
      <c r="Q255" s="93"/>
      <c r="R255" s="54">
        <v>1</v>
      </c>
      <c r="S255" s="94">
        <f t="shared" si="3"/>
        <v>5.5555555555555552E-2</v>
      </c>
      <c r="T255" s="53">
        <v>86</v>
      </c>
      <c r="U255" s="131">
        <f t="shared" si="4"/>
        <v>3.0901904419690981E-2</v>
      </c>
      <c r="V255" s="25"/>
      <c r="W255" s="25"/>
      <c r="X255" s="5"/>
    </row>
    <row r="256" spans="1:25" ht="15.75" x14ac:dyDescent="0.25">
      <c r="A256" s="24"/>
      <c r="B256" s="54" t="s">
        <v>158</v>
      </c>
      <c r="C256" s="93"/>
      <c r="D256" s="93"/>
      <c r="E256" s="93"/>
      <c r="F256" s="25"/>
      <c r="G256" s="94"/>
      <c r="H256" s="93"/>
      <c r="I256" s="93"/>
      <c r="J256" s="93"/>
      <c r="K256" s="93"/>
      <c r="L256" s="93"/>
      <c r="M256" s="93"/>
      <c r="N256" s="93"/>
      <c r="O256" s="93"/>
      <c r="P256" s="93"/>
      <c r="Q256" s="93"/>
      <c r="R256" s="54">
        <v>1</v>
      </c>
      <c r="S256" s="94">
        <f t="shared" si="3"/>
        <v>5.5555555555555552E-2</v>
      </c>
      <c r="T256" s="53">
        <v>107</v>
      </c>
      <c r="U256" s="131">
        <f t="shared" si="4"/>
        <v>3.8447718289615525E-2</v>
      </c>
      <c r="V256" s="25"/>
      <c r="W256" s="25"/>
      <c r="X256" s="5"/>
    </row>
    <row r="257" spans="1:24" ht="15.75" x14ac:dyDescent="0.25">
      <c r="A257" s="24"/>
      <c r="B257" s="54" t="s">
        <v>159</v>
      </c>
      <c r="C257" s="93"/>
      <c r="D257" s="93"/>
      <c r="E257" s="93"/>
      <c r="F257" s="25"/>
      <c r="G257" s="94"/>
      <c r="H257" s="93"/>
      <c r="I257" s="93"/>
      <c r="J257" s="93"/>
      <c r="K257" s="93"/>
      <c r="L257" s="93"/>
      <c r="M257" s="93"/>
      <c r="N257" s="93"/>
      <c r="O257" s="93"/>
      <c r="P257" s="93"/>
      <c r="Q257" s="93"/>
      <c r="R257" s="54">
        <v>6</v>
      </c>
      <c r="S257" s="94">
        <f t="shared" si="3"/>
        <v>0.33333333333333331</v>
      </c>
      <c r="T257" s="53">
        <v>861</v>
      </c>
      <c r="U257" s="131">
        <f t="shared" si="4"/>
        <v>0.30937836866690621</v>
      </c>
      <c r="V257" s="25"/>
      <c r="W257" s="25"/>
      <c r="X257" s="5"/>
    </row>
    <row r="258" spans="1:24" ht="15.75" x14ac:dyDescent="0.25">
      <c r="A258" s="24"/>
      <c r="B258" s="54" t="s">
        <v>160</v>
      </c>
      <c r="C258" s="93"/>
      <c r="D258" s="93"/>
      <c r="E258" s="93"/>
      <c r="F258" s="25"/>
      <c r="G258" s="94"/>
      <c r="H258" s="93"/>
      <c r="I258" s="93"/>
      <c r="J258" s="93"/>
      <c r="K258" s="93"/>
      <c r="L258" s="93"/>
      <c r="M258" s="93"/>
      <c r="N258" s="93"/>
      <c r="O258" s="93"/>
      <c r="P258" s="93"/>
      <c r="Q258" s="93"/>
      <c r="R258" s="54">
        <v>1</v>
      </c>
      <c r="S258" s="94">
        <f t="shared" si="3"/>
        <v>5.5555555555555552E-2</v>
      </c>
      <c r="T258" s="53">
        <v>182</v>
      </c>
      <c r="U258" s="131">
        <f t="shared" si="4"/>
        <v>6.5397053539346023E-2</v>
      </c>
      <c r="V258" s="25"/>
      <c r="W258" s="25"/>
      <c r="X258" s="5"/>
    </row>
    <row r="259" spans="1:24" ht="15.75" x14ac:dyDescent="0.25">
      <c r="A259" s="24"/>
      <c r="B259" s="54"/>
      <c r="C259" s="93"/>
      <c r="D259" s="93"/>
      <c r="E259" s="93"/>
      <c r="F259" s="25"/>
      <c r="G259" s="94"/>
      <c r="H259" s="93"/>
      <c r="I259" s="93"/>
      <c r="J259" s="93"/>
      <c r="K259" s="93"/>
      <c r="L259" s="93"/>
      <c r="M259" s="93"/>
      <c r="N259" s="93"/>
      <c r="O259" s="93"/>
      <c r="P259" s="93"/>
      <c r="Q259" s="93"/>
      <c r="R259" s="54"/>
      <c r="S259" s="94"/>
      <c r="T259" s="53"/>
      <c r="U259" s="131"/>
      <c r="V259" s="25"/>
      <c r="W259" s="25"/>
      <c r="X259" s="5"/>
    </row>
    <row r="260" spans="1:24" ht="15.75" x14ac:dyDescent="0.25">
      <c r="A260" s="24"/>
      <c r="B260" s="25"/>
      <c r="C260" s="25"/>
      <c r="D260" s="25"/>
      <c r="E260" s="25"/>
      <c r="F260" s="25"/>
      <c r="G260" s="25"/>
      <c r="H260" s="95"/>
      <c r="I260" s="95"/>
      <c r="J260" s="95"/>
      <c r="K260" s="95"/>
      <c r="L260" s="95"/>
      <c r="M260" s="95"/>
      <c r="N260" s="95"/>
      <c r="O260" s="95"/>
      <c r="P260" s="95"/>
      <c r="Q260" s="95"/>
      <c r="R260" s="34">
        <f>SUM(R251:R259)</f>
        <v>18</v>
      </c>
      <c r="S260" s="131">
        <f>SUM(S251:S259)</f>
        <v>1</v>
      </c>
      <c r="T260" s="53">
        <f>SUM(T251:T259)</f>
        <v>2783</v>
      </c>
      <c r="U260" s="131">
        <f>SUM(U251:U259)</f>
        <v>1</v>
      </c>
      <c r="V260" s="25"/>
      <c r="W260" s="25"/>
      <c r="X260" s="5"/>
    </row>
    <row r="261" spans="1:24" ht="15.75" x14ac:dyDescent="0.25">
      <c r="A261" s="24"/>
      <c r="B261" s="25"/>
      <c r="C261" s="25"/>
      <c r="D261" s="25"/>
      <c r="E261" s="25"/>
      <c r="F261" s="25"/>
      <c r="G261" s="25"/>
      <c r="H261" s="95"/>
      <c r="I261" s="95"/>
      <c r="J261" s="95"/>
      <c r="K261" s="95"/>
      <c r="L261" s="95"/>
      <c r="M261" s="95"/>
      <c r="N261" s="95"/>
      <c r="O261" s="95"/>
      <c r="P261" s="95"/>
      <c r="Q261" s="95"/>
      <c r="R261" s="34"/>
      <c r="S261" s="131"/>
      <c r="T261" s="53"/>
      <c r="U261" s="131"/>
      <c r="V261" s="25"/>
      <c r="W261" s="25"/>
      <c r="X261" s="5"/>
    </row>
    <row r="262" spans="1:24" ht="15.75" x14ac:dyDescent="0.25">
      <c r="A262" s="138"/>
      <c r="B262" s="14" t="s">
        <v>163</v>
      </c>
      <c r="C262" s="136"/>
      <c r="D262" s="136"/>
      <c r="E262" s="136"/>
      <c r="F262" s="136"/>
      <c r="G262" s="136"/>
      <c r="H262" s="142"/>
      <c r="I262" s="142"/>
      <c r="J262" s="142"/>
      <c r="K262" s="142"/>
      <c r="L262" s="142"/>
      <c r="M262" s="142"/>
      <c r="N262" s="142"/>
      <c r="O262" s="142"/>
      <c r="P262" s="142"/>
      <c r="Q262" s="142"/>
      <c r="R262" s="83" t="s">
        <v>102</v>
      </c>
      <c r="S262" s="17" t="s">
        <v>103</v>
      </c>
      <c r="T262" s="83" t="s">
        <v>109</v>
      </c>
      <c r="U262" s="17" t="s">
        <v>103</v>
      </c>
      <c r="V262" s="136"/>
      <c r="W262" s="137"/>
      <c r="X262" s="5"/>
    </row>
    <row r="263" spans="1:24" ht="15.75" x14ac:dyDescent="0.25">
      <c r="A263" s="24"/>
      <c r="B263" s="54" t="s">
        <v>88</v>
      </c>
      <c r="C263" s="25"/>
      <c r="D263" s="25"/>
      <c r="E263" s="25"/>
      <c r="F263" s="25"/>
      <c r="G263" s="25"/>
      <c r="H263" s="95"/>
      <c r="I263" s="95"/>
      <c r="J263" s="95"/>
      <c r="K263" s="95"/>
      <c r="L263" s="95"/>
      <c r="M263" s="95"/>
      <c r="N263" s="95"/>
      <c r="O263" s="95"/>
      <c r="P263" s="95"/>
      <c r="Q263" s="95"/>
      <c r="R263" s="54">
        <v>0</v>
      </c>
      <c r="S263" s="94">
        <v>0</v>
      </c>
      <c r="T263" s="53">
        <v>0</v>
      </c>
      <c r="U263" s="131">
        <v>0</v>
      </c>
      <c r="V263" s="25"/>
      <c r="W263" s="25"/>
      <c r="X263" s="5"/>
    </row>
    <row r="264" spans="1:24" ht="15.75" x14ac:dyDescent="0.25">
      <c r="A264" s="24"/>
      <c r="B264" s="54" t="s">
        <v>89</v>
      </c>
      <c r="C264" s="25"/>
      <c r="D264" s="25"/>
      <c r="E264" s="25"/>
      <c r="F264" s="25"/>
      <c r="G264" s="25"/>
      <c r="H264" s="95"/>
      <c r="I264" s="95"/>
      <c r="J264" s="95"/>
      <c r="K264" s="95"/>
      <c r="L264" s="95"/>
      <c r="M264" s="95"/>
      <c r="N264" s="95"/>
      <c r="O264" s="95"/>
      <c r="P264" s="95"/>
      <c r="Q264" s="95"/>
      <c r="R264" s="54">
        <v>0</v>
      </c>
      <c r="S264" s="94">
        <v>0</v>
      </c>
      <c r="T264" s="53">
        <v>0</v>
      </c>
      <c r="U264" s="131">
        <v>0</v>
      </c>
      <c r="V264" s="25"/>
      <c r="W264" s="25"/>
      <c r="X264" s="5"/>
    </row>
    <row r="265" spans="1:24" ht="15.75" x14ac:dyDescent="0.25">
      <c r="A265" s="24"/>
      <c r="B265" s="54" t="s">
        <v>90</v>
      </c>
      <c r="C265" s="25"/>
      <c r="D265" s="25"/>
      <c r="E265" s="25"/>
      <c r="F265" s="25"/>
      <c r="G265" s="25"/>
      <c r="H265" s="95"/>
      <c r="I265" s="95"/>
      <c r="J265" s="95"/>
      <c r="K265" s="95"/>
      <c r="L265" s="95"/>
      <c r="M265" s="95"/>
      <c r="N265" s="95"/>
      <c r="O265" s="95"/>
      <c r="P265" s="95"/>
      <c r="Q265" s="95"/>
      <c r="R265" s="54">
        <v>0</v>
      </c>
      <c r="S265" s="94">
        <v>0</v>
      </c>
      <c r="T265" s="53">
        <v>0</v>
      </c>
      <c r="U265" s="131">
        <v>0</v>
      </c>
      <c r="V265" s="25"/>
      <c r="W265" s="25"/>
      <c r="X265" s="5"/>
    </row>
    <row r="266" spans="1:24" ht="15.75" x14ac:dyDescent="0.25">
      <c r="A266" s="24"/>
      <c r="B266" s="54" t="s">
        <v>156</v>
      </c>
      <c r="C266" s="25"/>
      <c r="D266" s="25"/>
      <c r="E266" s="25"/>
      <c r="F266" s="25"/>
      <c r="G266" s="25"/>
      <c r="H266" s="95"/>
      <c r="I266" s="95"/>
      <c r="J266" s="95"/>
      <c r="K266" s="95"/>
      <c r="L266" s="95"/>
      <c r="M266" s="95"/>
      <c r="N266" s="95"/>
      <c r="O266" s="95"/>
      <c r="P266" s="95"/>
      <c r="Q266" s="95"/>
      <c r="R266" s="54">
        <v>0</v>
      </c>
      <c r="S266" s="94">
        <v>0</v>
      </c>
      <c r="T266" s="53">
        <v>0</v>
      </c>
      <c r="U266" s="131">
        <v>0</v>
      </c>
      <c r="V266" s="25"/>
      <c r="W266" s="25"/>
      <c r="X266" s="5"/>
    </row>
    <row r="267" spans="1:24" ht="15.75" x14ac:dyDescent="0.25">
      <c r="A267" s="24"/>
      <c r="B267" s="54" t="s">
        <v>157</v>
      </c>
      <c r="C267" s="25"/>
      <c r="D267" s="25"/>
      <c r="E267" s="25"/>
      <c r="F267" s="25"/>
      <c r="G267" s="25"/>
      <c r="H267" s="95"/>
      <c r="I267" s="95"/>
      <c r="J267" s="95"/>
      <c r="K267" s="95"/>
      <c r="L267" s="95"/>
      <c r="M267" s="95"/>
      <c r="N267" s="95"/>
      <c r="O267" s="95"/>
      <c r="P267" s="95"/>
      <c r="Q267" s="95"/>
      <c r="R267" s="54">
        <v>0</v>
      </c>
      <c r="S267" s="94">
        <v>0</v>
      </c>
      <c r="T267" s="53">
        <v>0</v>
      </c>
      <c r="U267" s="131">
        <v>0</v>
      </c>
      <c r="V267" s="25"/>
      <c r="W267" s="25"/>
      <c r="X267" s="5"/>
    </row>
    <row r="268" spans="1:24" ht="15.75" x14ac:dyDescent="0.25">
      <c r="A268" s="24"/>
      <c r="B268" s="54" t="s">
        <v>158</v>
      </c>
      <c r="C268" s="25"/>
      <c r="D268" s="25"/>
      <c r="E268" s="25"/>
      <c r="F268" s="25"/>
      <c r="G268" s="25"/>
      <c r="H268" s="95"/>
      <c r="I268" s="95"/>
      <c r="J268" s="95"/>
      <c r="K268" s="95"/>
      <c r="L268" s="95"/>
      <c r="M268" s="95"/>
      <c r="N268" s="95"/>
      <c r="O268" s="95"/>
      <c r="P268" s="95"/>
      <c r="Q268" s="95"/>
      <c r="R268" s="54">
        <v>0</v>
      </c>
      <c r="S268" s="94">
        <v>0</v>
      </c>
      <c r="T268" s="53">
        <v>0</v>
      </c>
      <c r="U268" s="131">
        <v>0</v>
      </c>
      <c r="V268" s="25"/>
      <c r="W268" s="25"/>
      <c r="X268" s="5"/>
    </row>
    <row r="269" spans="1:24" ht="15.75" x14ac:dyDescent="0.25">
      <c r="A269" s="24"/>
      <c r="B269" s="54" t="s">
        <v>159</v>
      </c>
      <c r="C269" s="25"/>
      <c r="D269" s="25"/>
      <c r="E269" s="25"/>
      <c r="F269" s="25"/>
      <c r="G269" s="25"/>
      <c r="H269" s="95"/>
      <c r="I269" s="95"/>
      <c r="J269" s="95"/>
      <c r="K269" s="95"/>
      <c r="L269" s="95"/>
      <c r="M269" s="95"/>
      <c r="N269" s="95"/>
      <c r="O269" s="95"/>
      <c r="P269" s="95"/>
      <c r="Q269" s="95"/>
      <c r="R269" s="54">
        <v>0</v>
      </c>
      <c r="S269" s="94">
        <v>0</v>
      </c>
      <c r="T269" s="53">
        <v>0</v>
      </c>
      <c r="U269" s="131">
        <v>0</v>
      </c>
      <c r="V269" s="25"/>
      <c r="W269" s="25"/>
      <c r="X269" s="5"/>
    </row>
    <row r="270" spans="1:24" ht="15.75" x14ac:dyDescent="0.25">
      <c r="A270" s="24"/>
      <c r="B270" s="54" t="s">
        <v>160</v>
      </c>
      <c r="C270" s="25"/>
      <c r="D270" s="25"/>
      <c r="E270" s="25"/>
      <c r="F270" s="25"/>
      <c r="G270" s="25"/>
      <c r="H270" s="95"/>
      <c r="I270" s="95"/>
      <c r="J270" s="95"/>
      <c r="K270" s="95"/>
      <c r="L270" s="95"/>
      <c r="M270" s="95"/>
      <c r="N270" s="95"/>
      <c r="O270" s="95"/>
      <c r="P270" s="95"/>
      <c r="Q270" s="95"/>
      <c r="R270" s="54">
        <v>0</v>
      </c>
      <c r="S270" s="94">
        <v>0</v>
      </c>
      <c r="T270" s="53">
        <v>0</v>
      </c>
      <c r="U270" s="131">
        <v>0</v>
      </c>
      <c r="V270" s="25"/>
      <c r="W270" s="25"/>
      <c r="X270" s="5"/>
    </row>
    <row r="271" spans="1:24" ht="15.75" x14ac:dyDescent="0.25">
      <c r="A271" s="24"/>
      <c r="B271" s="54"/>
      <c r="C271" s="25"/>
      <c r="D271" s="25"/>
      <c r="E271" s="25"/>
      <c r="F271" s="25"/>
      <c r="G271" s="25"/>
      <c r="H271" s="95"/>
      <c r="I271" s="95"/>
      <c r="J271" s="95"/>
      <c r="K271" s="95"/>
      <c r="L271" s="95"/>
      <c r="M271" s="95"/>
      <c r="N271" s="95"/>
      <c r="O271" s="95"/>
      <c r="P271" s="95"/>
      <c r="Q271" s="95"/>
      <c r="R271" s="54"/>
      <c r="S271" s="94"/>
      <c r="T271" s="53"/>
      <c r="U271" s="131"/>
      <c r="V271" s="25"/>
      <c r="W271" s="25"/>
      <c r="X271" s="5"/>
    </row>
    <row r="272" spans="1:24" ht="15.75" x14ac:dyDescent="0.25">
      <c r="A272" s="24"/>
      <c r="B272" s="25" t="s">
        <v>114</v>
      </c>
      <c r="C272" s="25"/>
      <c r="D272" s="25"/>
      <c r="E272" s="25"/>
      <c r="F272" s="25"/>
      <c r="G272" s="25"/>
      <c r="H272" s="95"/>
      <c r="I272" s="95"/>
      <c r="J272" s="95"/>
      <c r="K272" s="95"/>
      <c r="L272" s="95"/>
      <c r="M272" s="95"/>
      <c r="N272" s="95"/>
      <c r="O272" s="95"/>
      <c r="P272" s="95"/>
      <c r="Q272" s="95"/>
      <c r="R272" s="34">
        <f>SUM(R263:R270)</f>
        <v>0</v>
      </c>
      <c r="S272" s="94">
        <f>SUM(S263:S270)</f>
        <v>0</v>
      </c>
      <c r="T272" s="53">
        <f>SUM(T263:T270)</f>
        <v>0</v>
      </c>
      <c r="U272" s="131">
        <f>SUM(U263:U270)</f>
        <v>0</v>
      </c>
      <c r="V272" s="25"/>
      <c r="W272" s="25"/>
      <c r="X272" s="5"/>
    </row>
    <row r="273" spans="1:24" ht="15.75" x14ac:dyDescent="0.25">
      <c r="A273" s="24"/>
      <c r="B273" s="25"/>
      <c r="C273" s="25"/>
      <c r="D273" s="25"/>
      <c r="E273" s="25"/>
      <c r="F273" s="25"/>
      <c r="G273" s="25"/>
      <c r="H273" s="95"/>
      <c r="I273" s="95"/>
      <c r="J273" s="95"/>
      <c r="K273" s="95"/>
      <c r="L273" s="95"/>
      <c r="M273" s="95"/>
      <c r="N273" s="95"/>
      <c r="O273" s="95"/>
      <c r="P273" s="95"/>
      <c r="Q273" s="95"/>
      <c r="R273" s="34"/>
      <c r="S273" s="131"/>
      <c r="T273" s="53"/>
      <c r="U273" s="131"/>
      <c r="V273" s="25"/>
      <c r="W273" s="25"/>
      <c r="X273" s="5"/>
    </row>
    <row r="274" spans="1:24" ht="15.75" x14ac:dyDescent="0.25">
      <c r="A274" s="24"/>
      <c r="B274" s="139" t="s">
        <v>164</v>
      </c>
      <c r="C274" s="25"/>
      <c r="D274" s="25"/>
      <c r="E274" s="25"/>
      <c r="F274" s="25"/>
      <c r="G274" s="25"/>
      <c r="H274" s="95"/>
      <c r="I274" s="95"/>
      <c r="J274" s="95"/>
      <c r="K274" s="95"/>
      <c r="L274" s="95"/>
      <c r="M274" s="95"/>
      <c r="N274" s="95"/>
      <c r="O274" s="95"/>
      <c r="P274" s="95"/>
      <c r="Q274" s="95"/>
      <c r="R274" s="156">
        <f>R272+R260+R248</f>
        <v>6659</v>
      </c>
      <c r="S274" s="140"/>
      <c r="T274" s="141">
        <f>+T272+T260+T248</f>
        <v>977183</v>
      </c>
      <c r="U274" s="140"/>
      <c r="V274" s="25"/>
      <c r="W274" s="25"/>
      <c r="X274" s="5"/>
    </row>
    <row r="275" spans="1:24" ht="15.75" x14ac:dyDescent="0.25">
      <c r="A275" s="24"/>
      <c r="B275" s="25"/>
      <c r="C275" s="25"/>
      <c r="D275" s="25"/>
      <c r="E275" s="25"/>
      <c r="F275" s="25"/>
      <c r="G275" s="25"/>
      <c r="H275" s="95"/>
      <c r="I275" s="95"/>
      <c r="J275" s="95"/>
      <c r="K275" s="95"/>
      <c r="L275" s="95"/>
      <c r="M275" s="95"/>
      <c r="N275" s="95"/>
      <c r="O275" s="95"/>
      <c r="P275" s="95"/>
      <c r="Q275" s="95"/>
      <c r="R275" s="95"/>
      <c r="S275" s="95"/>
      <c r="T275" s="53"/>
      <c r="U275" s="95"/>
      <c r="V275" s="25"/>
      <c r="W275" s="25"/>
      <c r="X275" s="5"/>
    </row>
    <row r="276" spans="1:24" ht="15.75" x14ac:dyDescent="0.25">
      <c r="A276" s="6"/>
      <c r="B276" s="8"/>
      <c r="C276" s="8"/>
      <c r="D276" s="8"/>
      <c r="E276" s="8"/>
      <c r="F276" s="8"/>
      <c r="G276" s="8"/>
      <c r="H276" s="96"/>
      <c r="I276" s="96"/>
      <c r="J276" s="96"/>
      <c r="K276" s="96"/>
      <c r="L276" s="96"/>
      <c r="M276" s="96"/>
      <c r="N276" s="96"/>
      <c r="O276" s="96"/>
      <c r="P276" s="96"/>
      <c r="Q276" s="96"/>
      <c r="R276" s="96"/>
      <c r="S276" s="96"/>
      <c r="T276" s="97"/>
      <c r="U276" s="96"/>
      <c r="V276" s="8"/>
      <c r="W276" s="8"/>
      <c r="X276" s="5"/>
    </row>
    <row r="277" spans="1:24" ht="15.75" x14ac:dyDescent="0.25">
      <c r="A277" s="178"/>
      <c r="B277" s="14" t="s">
        <v>91</v>
      </c>
      <c r="C277" s="15"/>
      <c r="D277" s="15"/>
      <c r="E277" s="15"/>
      <c r="F277" s="17" t="s">
        <v>97</v>
      </c>
      <c r="G277" s="15"/>
      <c r="H277" s="14" t="s">
        <v>99</v>
      </c>
      <c r="I277" s="14"/>
      <c r="J277" s="14"/>
      <c r="K277" s="173"/>
      <c r="L277" s="173"/>
      <c r="M277" s="173"/>
      <c r="N277" s="173"/>
      <c r="O277" s="173"/>
      <c r="P277" s="173"/>
      <c r="Q277" s="173"/>
      <c r="R277" s="173"/>
      <c r="S277" s="173"/>
      <c r="T277" s="173"/>
      <c r="U277" s="173"/>
      <c r="V277" s="173"/>
      <c r="W277" s="173"/>
      <c r="X277" s="5"/>
    </row>
    <row r="278" spans="1:24" ht="15.75" x14ac:dyDescent="0.25">
      <c r="A278" s="178"/>
      <c r="B278" s="173"/>
      <c r="C278" s="8"/>
      <c r="D278" s="8"/>
      <c r="E278" s="8"/>
      <c r="F278" s="8"/>
      <c r="G278" s="8"/>
      <c r="H278" s="8"/>
      <c r="I278" s="8"/>
      <c r="J278" s="8"/>
      <c r="K278" s="173"/>
      <c r="L278" s="173"/>
      <c r="M278" s="173"/>
      <c r="N278" s="173"/>
      <c r="O278" s="173"/>
      <c r="P278" s="173"/>
      <c r="Q278" s="173"/>
      <c r="R278" s="173"/>
      <c r="S278" s="173"/>
      <c r="T278" s="173"/>
      <c r="U278" s="173"/>
      <c r="V278" s="173"/>
      <c r="W278" s="173"/>
      <c r="X278" s="5"/>
    </row>
    <row r="279" spans="1:24" ht="15.75" x14ac:dyDescent="0.25">
      <c r="A279" s="178"/>
      <c r="B279" s="13" t="s">
        <v>92</v>
      </c>
      <c r="C279" s="13"/>
      <c r="D279" s="13"/>
      <c r="E279" s="13"/>
      <c r="F279" s="129" t="s">
        <v>148</v>
      </c>
      <c r="G279" s="13"/>
      <c r="H279" s="13" t="s">
        <v>152</v>
      </c>
      <c r="I279" s="13"/>
      <c r="J279" s="13"/>
      <c r="K279" s="173"/>
      <c r="L279" s="173"/>
      <c r="M279" s="173"/>
      <c r="N279" s="173"/>
      <c r="O279" s="173"/>
      <c r="P279" s="173"/>
      <c r="Q279" s="173"/>
      <c r="R279" s="173"/>
      <c r="S279" s="173"/>
      <c r="T279" s="173"/>
      <c r="U279" s="173"/>
      <c r="V279" s="173"/>
      <c r="W279" s="173"/>
      <c r="X279" s="5"/>
    </row>
    <row r="280" spans="1:24" ht="15.75" x14ac:dyDescent="0.25">
      <c r="A280" s="178"/>
      <c r="B280" s="13" t="s">
        <v>265</v>
      </c>
      <c r="C280" s="13"/>
      <c r="D280" s="13"/>
      <c r="E280" s="13"/>
      <c r="F280" s="129" t="s">
        <v>266</v>
      </c>
      <c r="G280" s="13"/>
      <c r="H280" s="13" t="s">
        <v>267</v>
      </c>
      <c r="I280" s="13"/>
      <c r="J280" s="13"/>
      <c r="K280" s="173"/>
      <c r="L280" s="173"/>
      <c r="M280" s="173"/>
      <c r="N280" s="173"/>
      <c r="O280" s="173"/>
      <c r="P280" s="173"/>
      <c r="Q280" s="173"/>
      <c r="R280" s="173"/>
      <c r="S280" s="173"/>
      <c r="T280" s="173"/>
      <c r="U280" s="173"/>
      <c r="V280" s="173"/>
      <c r="W280" s="173"/>
      <c r="X280" s="5"/>
    </row>
    <row r="281" spans="1:24" ht="15.75" x14ac:dyDescent="0.25">
      <c r="A281" s="178"/>
      <c r="B281" s="13" t="s">
        <v>93</v>
      </c>
      <c r="C281" s="13"/>
      <c r="D281" s="13"/>
      <c r="E281" s="13"/>
      <c r="F281" s="129" t="s">
        <v>147</v>
      </c>
      <c r="G281" s="13"/>
      <c r="H281" s="13" t="s">
        <v>153</v>
      </c>
      <c r="I281" s="13"/>
      <c r="J281" s="13"/>
      <c r="K281" s="173"/>
      <c r="L281" s="173"/>
      <c r="M281" s="173"/>
      <c r="N281" s="173"/>
      <c r="O281" s="173"/>
      <c r="P281" s="173"/>
      <c r="Q281" s="173"/>
      <c r="R281" s="173"/>
      <c r="S281" s="173"/>
      <c r="T281" s="173"/>
      <c r="U281" s="173"/>
      <c r="V281" s="173"/>
      <c r="W281" s="173"/>
      <c r="X281" s="5"/>
    </row>
    <row r="282" spans="1:24" ht="15.75" x14ac:dyDescent="0.25">
      <c r="A282" s="178"/>
      <c r="B282" s="13"/>
      <c r="C282" s="13"/>
      <c r="D282" s="13"/>
      <c r="E282" s="13"/>
      <c r="F282" s="13"/>
      <c r="G282" s="99"/>
      <c r="H282" s="173"/>
      <c r="I282" s="173"/>
      <c r="J282" s="173"/>
      <c r="K282" s="173"/>
      <c r="L282" s="173"/>
      <c r="M282" s="173"/>
      <c r="N282" s="173"/>
      <c r="O282" s="173"/>
      <c r="P282" s="173"/>
      <c r="Q282" s="173"/>
      <c r="R282" s="173"/>
      <c r="S282" s="173"/>
      <c r="T282" s="173"/>
      <c r="U282" s="173"/>
      <c r="V282" s="173"/>
      <c r="W282" s="173"/>
      <c r="X282" s="5"/>
    </row>
    <row r="283" spans="1:24" ht="15.75" x14ac:dyDescent="0.25">
      <c r="A283" s="178"/>
      <c r="B283" s="13"/>
      <c r="C283" s="13"/>
      <c r="D283" s="13"/>
      <c r="E283" s="13"/>
      <c r="F283" s="13"/>
      <c r="G283" s="99"/>
      <c r="H283" s="173"/>
      <c r="I283" s="173"/>
      <c r="J283" s="173"/>
      <c r="K283" s="173"/>
      <c r="L283" s="173"/>
      <c r="M283" s="173"/>
      <c r="N283" s="173"/>
      <c r="O283" s="173"/>
      <c r="P283" s="173"/>
      <c r="Q283" s="173"/>
      <c r="R283" s="173"/>
      <c r="S283" s="173"/>
      <c r="T283" s="173"/>
      <c r="U283" s="173"/>
      <c r="V283" s="173"/>
      <c r="W283" s="173"/>
      <c r="X283" s="5"/>
    </row>
    <row r="284" spans="1:24" ht="19.5" thickBot="1" x14ac:dyDescent="0.35">
      <c r="A284" s="178"/>
      <c r="B284" s="49" t="str">
        <f>B200</f>
        <v>PM15 INVESTOR REPORT QUARTER ENDING MAY 2008</v>
      </c>
      <c r="C284" s="13"/>
      <c r="D284" s="13"/>
      <c r="E284" s="13"/>
      <c r="F284" s="13"/>
      <c r="G284" s="99"/>
      <c r="H284" s="173"/>
      <c r="I284" s="173"/>
      <c r="J284" s="173"/>
      <c r="K284" s="173"/>
      <c r="L284" s="173"/>
      <c r="M284" s="173"/>
      <c r="N284" s="173"/>
      <c r="O284" s="173"/>
      <c r="P284" s="173"/>
      <c r="Q284" s="173"/>
      <c r="R284" s="173"/>
      <c r="S284" s="173"/>
      <c r="T284" s="173"/>
      <c r="U284" s="173"/>
      <c r="V284" s="173"/>
      <c r="W284" s="173"/>
      <c r="X284" s="5"/>
    </row>
    <row r="285" spans="1:24" x14ac:dyDescent="0.2">
      <c r="A285" s="100"/>
      <c r="B285" s="100"/>
      <c r="C285" s="100"/>
      <c r="D285" s="100"/>
      <c r="E285" s="100"/>
      <c r="F285" s="100"/>
      <c r="G285" s="100"/>
      <c r="H285" s="100"/>
      <c r="I285" s="100"/>
      <c r="J285" s="100"/>
      <c r="K285" s="100"/>
      <c r="L285" s="100"/>
      <c r="M285" s="100"/>
      <c r="N285" s="100"/>
      <c r="O285" s="100"/>
      <c r="P285" s="100"/>
      <c r="Q285" s="100"/>
      <c r="R285" s="100"/>
      <c r="S285" s="100"/>
      <c r="T285" s="100"/>
      <c r="U285" s="100"/>
      <c r="V285" s="100"/>
      <c r="W285" s="100"/>
    </row>
  </sheetData>
  <phoneticPr fontId="0" type="noConversion"/>
  <hyperlinks>
    <hyperlink ref="P236" r:id="rId1" xr:uid="{00000000-0004-0000-0200-000000000000}"/>
    <hyperlink ref="I9" r:id="rId2" xr:uid="{00000000-0004-0000-02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5" max="14" man="1"/>
    <brk id="200" max="14" man="1"/>
  </rowBreaks>
  <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sheetPr>
  <dimension ref="A1:IV298"/>
  <sheetViews>
    <sheetView showGridLines="0" showOutlineSymbols="0" zoomScale="70" zoomScaleNormal="70" workbookViewId="0"/>
  </sheetViews>
  <sheetFormatPr defaultColWidth="9.6640625" defaultRowHeight="15" x14ac:dyDescent="0.2"/>
  <cols>
    <col min="1" max="1" width="4" style="1" customWidth="1"/>
    <col min="2" max="2" width="71.21875" style="1" customWidth="1"/>
    <col min="3" max="3" width="2.21875" style="1" customWidth="1"/>
    <col min="4" max="4" width="19.33203125" style="1" customWidth="1"/>
    <col min="5" max="5" width="2.21875" style="1" customWidth="1"/>
    <col min="6" max="6" width="25.109375" style="1" customWidth="1"/>
    <col min="7" max="7" width="2.21875" style="1" customWidth="1"/>
    <col min="8" max="8" width="16.21875" style="1" customWidth="1"/>
    <col min="9" max="9" width="2.88671875" style="1" customWidth="1"/>
    <col min="10" max="10" width="16.21875" style="1" customWidth="1"/>
    <col min="11" max="11" width="2.21875" style="1" customWidth="1"/>
    <col min="12" max="12" width="17.88671875" style="1" customWidth="1"/>
    <col min="13" max="13" width="2.33203125" style="1" customWidth="1"/>
    <col min="14" max="14" width="14.88671875" style="1" customWidth="1"/>
    <col min="15" max="15" width="2.33203125" style="1" customWidth="1"/>
    <col min="16" max="16" width="15.5546875" style="1" customWidth="1"/>
    <col min="17" max="17" width="2.21875" style="1" customWidth="1"/>
    <col min="18" max="18" width="15.5546875" style="1" customWidth="1"/>
    <col min="19" max="20" width="12.6640625" style="1" customWidth="1"/>
    <col min="21" max="21" width="7.77734375" style="1" customWidth="1"/>
    <col min="22" max="22" width="14.6640625" style="1" customWidth="1"/>
    <col min="23" max="23" width="11.77734375" style="1" customWidth="1"/>
    <col min="24" max="16384" width="9.6640625" style="1"/>
  </cols>
  <sheetData>
    <row r="1" spans="1:24" ht="20.25" x14ac:dyDescent="0.3">
      <c r="A1" s="179"/>
      <c r="B1" s="274" t="s">
        <v>237</v>
      </c>
      <c r="C1" s="180"/>
      <c r="D1" s="180"/>
      <c r="E1" s="180"/>
      <c r="F1" s="180"/>
      <c r="G1" s="180"/>
      <c r="H1" s="180"/>
      <c r="I1" s="180"/>
      <c r="J1" s="180"/>
      <c r="K1" s="180"/>
      <c r="L1" s="180"/>
      <c r="M1" s="180"/>
      <c r="N1" s="180"/>
      <c r="O1" s="180"/>
      <c r="P1" s="180"/>
      <c r="Q1" s="180"/>
      <c r="R1" s="180"/>
      <c r="S1" s="180"/>
      <c r="T1" s="180"/>
      <c r="U1" s="180"/>
      <c r="V1" s="180"/>
      <c r="W1" s="180"/>
      <c r="X1" s="5"/>
    </row>
    <row r="2" spans="1:24" ht="15.75" x14ac:dyDescent="0.25">
      <c r="A2" s="181"/>
      <c r="B2" s="182"/>
      <c r="C2" s="183"/>
      <c r="D2" s="183"/>
      <c r="E2" s="183"/>
      <c r="F2" s="183"/>
      <c r="G2" s="183"/>
      <c r="H2" s="183"/>
      <c r="I2" s="183"/>
      <c r="J2" s="183"/>
      <c r="K2" s="183"/>
      <c r="L2" s="183"/>
      <c r="M2" s="183"/>
      <c r="N2" s="183"/>
      <c r="O2" s="183"/>
      <c r="P2" s="183"/>
      <c r="Q2" s="183"/>
      <c r="R2" s="183"/>
      <c r="S2" s="183"/>
      <c r="T2" s="183"/>
      <c r="U2" s="183"/>
      <c r="V2" s="183"/>
      <c r="W2" s="183"/>
      <c r="X2" s="5"/>
    </row>
    <row r="3" spans="1:24" ht="15.75" x14ac:dyDescent="0.25">
      <c r="A3" s="184"/>
      <c r="B3" s="185" t="s">
        <v>238</v>
      </c>
      <c r="C3" s="183"/>
      <c r="D3" s="183"/>
      <c r="E3" s="183"/>
      <c r="F3" s="183"/>
      <c r="G3" s="183"/>
      <c r="H3" s="183"/>
      <c r="I3" s="183"/>
      <c r="J3" s="183"/>
      <c r="K3" s="183"/>
      <c r="L3" s="183"/>
      <c r="M3" s="183"/>
      <c r="N3" s="183"/>
      <c r="O3" s="183"/>
      <c r="P3" s="183"/>
      <c r="Q3" s="183"/>
      <c r="R3" s="183"/>
      <c r="S3" s="183"/>
      <c r="T3" s="183"/>
      <c r="U3" s="183"/>
      <c r="V3" s="183"/>
      <c r="W3" s="183"/>
      <c r="X3" s="5"/>
    </row>
    <row r="4" spans="1:24" ht="15.75" x14ac:dyDescent="0.25">
      <c r="A4" s="181"/>
      <c r="B4" s="182"/>
      <c r="C4" s="183"/>
      <c r="D4" s="183"/>
      <c r="E4" s="183"/>
      <c r="F4" s="183"/>
      <c r="G4" s="183"/>
      <c r="H4" s="183"/>
      <c r="I4" s="183"/>
      <c r="J4" s="183"/>
      <c r="K4" s="183"/>
      <c r="L4" s="183"/>
      <c r="M4" s="183"/>
      <c r="N4" s="183"/>
      <c r="O4" s="183"/>
      <c r="P4" s="183"/>
      <c r="Q4" s="183"/>
      <c r="R4" s="183"/>
      <c r="S4" s="183"/>
      <c r="T4" s="183"/>
      <c r="U4" s="183"/>
      <c r="V4" s="183"/>
      <c r="W4" s="183"/>
      <c r="X4" s="5"/>
    </row>
    <row r="5" spans="1:24" ht="15.75" x14ac:dyDescent="0.25">
      <c r="A5" s="181"/>
      <c r="B5" s="275" t="s">
        <v>137</v>
      </c>
      <c r="C5" s="183"/>
      <c r="D5" s="183"/>
      <c r="E5" s="183"/>
      <c r="F5" s="183"/>
      <c r="G5" s="183"/>
      <c r="H5" s="183"/>
      <c r="I5" s="183"/>
      <c r="J5" s="183"/>
      <c r="K5" s="183"/>
      <c r="L5" s="183"/>
      <c r="M5" s="183"/>
      <c r="N5" s="183"/>
      <c r="O5" s="183"/>
      <c r="P5" s="183"/>
      <c r="Q5" s="183"/>
      <c r="R5" s="183"/>
      <c r="S5" s="183"/>
      <c r="T5" s="183"/>
      <c r="U5" s="183"/>
      <c r="V5" s="183"/>
      <c r="W5" s="183"/>
      <c r="X5" s="5"/>
    </row>
    <row r="6" spans="1:24" ht="15.75" x14ac:dyDescent="0.25">
      <c r="A6" s="181"/>
      <c r="B6" s="275" t="s">
        <v>139</v>
      </c>
      <c r="C6" s="183"/>
      <c r="D6" s="183"/>
      <c r="E6" s="183"/>
      <c r="F6" s="183"/>
      <c r="G6" s="183"/>
      <c r="H6" s="183"/>
      <c r="I6" s="183"/>
      <c r="J6" s="183"/>
      <c r="K6" s="183"/>
      <c r="L6" s="183"/>
      <c r="M6" s="183"/>
      <c r="N6" s="183"/>
      <c r="O6" s="183"/>
      <c r="P6" s="183"/>
      <c r="Q6" s="183"/>
      <c r="R6" s="183"/>
      <c r="S6" s="183"/>
      <c r="T6" s="183"/>
      <c r="U6" s="183"/>
      <c r="V6" s="183"/>
      <c r="W6" s="183"/>
      <c r="X6" s="5"/>
    </row>
    <row r="7" spans="1:24" ht="15.75" x14ac:dyDescent="0.25">
      <c r="A7" s="181"/>
      <c r="B7" s="275" t="s">
        <v>138</v>
      </c>
      <c r="C7" s="183"/>
      <c r="D7" s="183"/>
      <c r="E7" s="183"/>
      <c r="F7" s="183"/>
      <c r="G7" s="183"/>
      <c r="H7" s="183"/>
      <c r="I7" s="183"/>
      <c r="J7" s="183"/>
      <c r="K7" s="183"/>
      <c r="L7" s="183"/>
      <c r="M7" s="183"/>
      <c r="N7" s="183"/>
      <c r="O7" s="183"/>
      <c r="P7" s="183"/>
      <c r="Q7" s="183"/>
      <c r="R7" s="183"/>
      <c r="S7" s="183"/>
      <c r="T7" s="183"/>
      <c r="U7" s="183"/>
      <c r="V7" s="183"/>
      <c r="W7" s="183"/>
      <c r="X7" s="5"/>
    </row>
    <row r="8" spans="1:24" ht="15.75" x14ac:dyDescent="0.25">
      <c r="A8" s="181"/>
      <c r="B8" s="186"/>
      <c r="C8" s="183"/>
      <c r="D8" s="183"/>
      <c r="E8" s="183"/>
      <c r="F8" s="183"/>
      <c r="G8" s="183"/>
      <c r="H8" s="183"/>
      <c r="I8" s="183"/>
      <c r="J8" s="183"/>
      <c r="K8" s="183"/>
      <c r="L8" s="183"/>
      <c r="M8" s="183"/>
      <c r="N8" s="183"/>
      <c r="O8" s="183"/>
      <c r="P8" s="183"/>
      <c r="Q8" s="183"/>
      <c r="R8" s="183"/>
      <c r="S8" s="183"/>
      <c r="T8" s="183"/>
      <c r="U8" s="183"/>
      <c r="V8" s="183"/>
      <c r="W8" s="183"/>
      <c r="X8" s="5"/>
    </row>
    <row r="9" spans="1:24" ht="18.75" x14ac:dyDescent="0.3">
      <c r="A9" s="181"/>
      <c r="B9" s="187" t="s">
        <v>166</v>
      </c>
      <c r="C9" s="183"/>
      <c r="D9" s="183"/>
      <c r="E9" s="183"/>
      <c r="F9" s="183"/>
      <c r="G9" s="183"/>
      <c r="H9" s="183"/>
      <c r="I9" s="188" t="s">
        <v>167</v>
      </c>
      <c r="J9" s="183"/>
      <c r="K9" s="183"/>
      <c r="L9" s="188"/>
      <c r="M9" s="183"/>
      <c r="N9" s="188"/>
      <c r="O9" s="183"/>
      <c r="P9" s="183"/>
      <c r="Q9" s="183"/>
      <c r="R9" s="183"/>
      <c r="S9" s="183"/>
      <c r="T9" s="183"/>
      <c r="U9" s="183"/>
      <c r="V9" s="183"/>
      <c r="W9" s="183"/>
      <c r="X9" s="5"/>
    </row>
    <row r="10" spans="1:24" ht="15.75" x14ac:dyDescent="0.25">
      <c r="A10" s="181"/>
      <c r="B10" s="186"/>
      <c r="C10" s="189"/>
      <c r="D10" s="189"/>
      <c r="E10" s="189"/>
      <c r="F10" s="183"/>
      <c r="G10" s="183"/>
      <c r="H10" s="183"/>
      <c r="I10" s="183"/>
      <c r="J10" s="183"/>
      <c r="K10" s="183"/>
      <c r="L10" s="183"/>
      <c r="M10" s="183"/>
      <c r="N10" s="183"/>
      <c r="O10" s="183"/>
      <c r="P10" s="183"/>
      <c r="Q10" s="183"/>
      <c r="R10" s="183"/>
      <c r="S10" s="183"/>
      <c r="T10" s="183"/>
      <c r="U10" s="183"/>
      <c r="V10" s="183"/>
      <c r="W10" s="183"/>
      <c r="X10" s="5"/>
    </row>
    <row r="11" spans="1:24" ht="15.75" x14ac:dyDescent="0.25">
      <c r="A11" s="181"/>
      <c r="B11" s="388" t="s">
        <v>0</v>
      </c>
      <c r="C11" s="183"/>
      <c r="D11" s="183"/>
      <c r="E11" s="183"/>
      <c r="F11" s="183"/>
      <c r="G11" s="183"/>
      <c r="H11" s="183"/>
      <c r="I11" s="183"/>
      <c r="J11" s="183"/>
      <c r="K11" s="183"/>
      <c r="L11" s="183"/>
      <c r="M11" s="183"/>
      <c r="N11" s="183"/>
      <c r="O11" s="183"/>
      <c r="P11" s="183"/>
      <c r="Q11" s="183"/>
      <c r="R11" s="183"/>
      <c r="S11" s="183"/>
      <c r="T11" s="183"/>
      <c r="U11" s="183"/>
      <c r="V11" s="183"/>
      <c r="W11" s="183"/>
      <c r="X11" s="5"/>
    </row>
    <row r="12" spans="1:24" ht="16.5" thickBot="1" x14ac:dyDescent="0.3">
      <c r="A12" s="181"/>
      <c r="B12" s="189"/>
      <c r="C12" s="183"/>
      <c r="D12" s="183"/>
      <c r="E12" s="183"/>
      <c r="F12" s="183"/>
      <c r="G12" s="183"/>
      <c r="H12" s="183"/>
      <c r="I12" s="183"/>
      <c r="J12" s="183"/>
      <c r="K12" s="183"/>
      <c r="L12" s="183"/>
      <c r="M12" s="183"/>
      <c r="N12" s="183"/>
      <c r="O12" s="183"/>
      <c r="P12" s="183"/>
      <c r="Q12" s="183"/>
      <c r="R12" s="183"/>
      <c r="S12" s="183"/>
      <c r="T12" s="183"/>
      <c r="U12" s="183"/>
      <c r="V12" s="183"/>
      <c r="W12" s="183"/>
      <c r="X12" s="5"/>
    </row>
    <row r="13" spans="1:24" ht="15.75" x14ac:dyDescent="0.25">
      <c r="A13" s="179"/>
      <c r="B13" s="180"/>
      <c r="C13" s="180"/>
      <c r="D13" s="180"/>
      <c r="E13" s="180"/>
      <c r="F13" s="180"/>
      <c r="G13" s="180"/>
      <c r="H13" s="180"/>
      <c r="I13" s="180"/>
      <c r="J13" s="180"/>
      <c r="K13" s="180"/>
      <c r="L13" s="180"/>
      <c r="M13" s="180"/>
      <c r="N13" s="180"/>
      <c r="O13" s="180"/>
      <c r="P13" s="180"/>
      <c r="Q13" s="180"/>
      <c r="R13" s="180"/>
      <c r="S13" s="180"/>
      <c r="T13" s="180"/>
      <c r="U13" s="180"/>
      <c r="V13" s="180"/>
      <c r="W13" s="180"/>
      <c r="X13" s="5"/>
    </row>
    <row r="14" spans="1:24" ht="15.75" x14ac:dyDescent="0.25">
      <c r="A14" s="181"/>
      <c r="B14" s="388" t="s">
        <v>1</v>
      </c>
      <c r="C14" s="255"/>
      <c r="D14" s="255"/>
      <c r="E14" s="255"/>
      <c r="F14" s="255"/>
      <c r="G14" s="255"/>
      <c r="H14" s="255"/>
      <c r="I14" s="255"/>
      <c r="J14" s="255"/>
      <c r="K14" s="255"/>
      <c r="L14" s="255"/>
      <c r="M14" s="255"/>
      <c r="N14" s="255"/>
      <c r="O14" s="255"/>
      <c r="P14" s="255"/>
      <c r="Q14" s="255"/>
      <c r="R14" s="255"/>
      <c r="S14" s="255"/>
      <c r="T14" s="255"/>
      <c r="U14" s="255"/>
      <c r="V14" s="276" t="s">
        <v>239</v>
      </c>
      <c r="W14" s="255"/>
      <c r="X14" s="5"/>
    </row>
    <row r="15" spans="1:24" ht="15.75" x14ac:dyDescent="0.25">
      <c r="A15" s="181"/>
      <c r="B15" s="388" t="s">
        <v>2</v>
      </c>
      <c r="C15" s="255"/>
      <c r="D15" s="255"/>
      <c r="E15" s="255"/>
      <c r="F15" s="255"/>
      <c r="G15" s="255"/>
      <c r="H15" s="389"/>
      <c r="I15" s="389"/>
      <c r="J15" s="389"/>
      <c r="K15" s="389"/>
      <c r="L15" s="389"/>
      <c r="M15" s="389"/>
      <c r="N15" s="389"/>
      <c r="O15" s="389"/>
      <c r="P15" s="389"/>
      <c r="Q15" s="389"/>
      <c r="R15" s="389" t="s">
        <v>104</v>
      </c>
      <c r="S15" s="390">
        <v>0.47189999999999999</v>
      </c>
      <c r="T15" s="391" t="s">
        <v>140</v>
      </c>
      <c r="U15" s="390">
        <v>0.52810000000000001</v>
      </c>
      <c r="V15" s="276"/>
      <c r="W15" s="255"/>
      <c r="X15" s="5"/>
    </row>
    <row r="16" spans="1:24" ht="15.75" x14ac:dyDescent="0.25">
      <c r="A16" s="181"/>
      <c r="B16" s="388" t="s">
        <v>3</v>
      </c>
      <c r="C16" s="255"/>
      <c r="D16" s="255"/>
      <c r="E16" s="255"/>
      <c r="F16" s="255"/>
      <c r="G16" s="255"/>
      <c r="H16" s="389"/>
      <c r="I16" s="389"/>
      <c r="J16" s="389"/>
      <c r="K16" s="389"/>
      <c r="L16" s="389"/>
      <c r="M16" s="389"/>
      <c r="N16" s="389"/>
      <c r="O16" s="389"/>
      <c r="P16" s="389"/>
      <c r="Q16" s="389"/>
      <c r="R16" s="389" t="s">
        <v>104</v>
      </c>
      <c r="S16" s="390">
        <v>0.54910000000000003</v>
      </c>
      <c r="T16" s="391" t="s">
        <v>140</v>
      </c>
      <c r="U16" s="390">
        <v>0.45090000000000002</v>
      </c>
      <c r="V16" s="276"/>
      <c r="W16" s="255"/>
      <c r="X16" s="5"/>
    </row>
    <row r="17" spans="1:24" ht="15.75" x14ac:dyDescent="0.25">
      <c r="A17" s="181"/>
      <c r="B17" s="388" t="s">
        <v>4</v>
      </c>
      <c r="C17" s="255"/>
      <c r="D17" s="255"/>
      <c r="E17" s="255"/>
      <c r="F17" s="255"/>
      <c r="G17" s="255"/>
      <c r="H17" s="255"/>
      <c r="I17" s="255"/>
      <c r="J17" s="255"/>
      <c r="K17" s="255"/>
      <c r="L17" s="255"/>
      <c r="M17" s="255"/>
      <c r="N17" s="255"/>
      <c r="O17" s="255"/>
      <c r="P17" s="255"/>
      <c r="Q17" s="255"/>
      <c r="R17" s="255"/>
      <c r="S17" s="255"/>
      <c r="T17" s="255"/>
      <c r="U17" s="255"/>
      <c r="V17" s="392">
        <v>39282</v>
      </c>
      <c r="W17" s="255"/>
      <c r="X17" s="5"/>
    </row>
    <row r="18" spans="1:24" ht="15.75" x14ac:dyDescent="0.25">
      <c r="A18" s="181"/>
      <c r="B18" s="388" t="s">
        <v>5</v>
      </c>
      <c r="C18" s="255"/>
      <c r="D18" s="255"/>
      <c r="E18" s="255"/>
      <c r="F18" s="255"/>
      <c r="G18" s="255"/>
      <c r="H18" s="255"/>
      <c r="I18" s="255"/>
      <c r="J18" s="255"/>
      <c r="K18" s="255"/>
      <c r="L18" s="255"/>
      <c r="M18" s="255"/>
      <c r="N18" s="255"/>
      <c r="O18" s="255"/>
      <c r="P18" s="255"/>
      <c r="Q18" s="255"/>
      <c r="R18" s="255"/>
      <c r="S18" s="255"/>
      <c r="T18" s="255"/>
      <c r="U18" s="255"/>
      <c r="V18" s="392">
        <v>42086</v>
      </c>
      <c r="W18" s="255"/>
      <c r="X18" s="5"/>
    </row>
    <row r="19" spans="1:24" ht="15.75" x14ac:dyDescent="0.25">
      <c r="A19" s="181"/>
      <c r="B19" s="183"/>
      <c r="C19" s="183"/>
      <c r="D19" s="183"/>
      <c r="E19" s="183"/>
      <c r="F19" s="183"/>
      <c r="G19" s="183"/>
      <c r="H19" s="183"/>
      <c r="I19" s="183"/>
      <c r="J19" s="183"/>
      <c r="K19" s="183"/>
      <c r="L19" s="183"/>
      <c r="M19" s="183"/>
      <c r="N19" s="183"/>
      <c r="O19" s="183"/>
      <c r="P19" s="183"/>
      <c r="Q19" s="183"/>
      <c r="R19" s="183"/>
      <c r="S19" s="183"/>
      <c r="T19" s="183"/>
      <c r="U19" s="183"/>
      <c r="V19" s="190"/>
      <c r="W19" s="183"/>
      <c r="X19" s="5"/>
    </row>
    <row r="20" spans="1:24" ht="15.75" x14ac:dyDescent="0.25">
      <c r="A20" s="181"/>
      <c r="B20" s="280" t="s">
        <v>6</v>
      </c>
      <c r="C20" s="255"/>
      <c r="D20" s="255"/>
      <c r="E20" s="255"/>
      <c r="F20" s="255"/>
      <c r="G20" s="255"/>
      <c r="H20" s="255"/>
      <c r="I20" s="255"/>
      <c r="J20" s="255"/>
      <c r="K20" s="255"/>
      <c r="L20" s="255"/>
      <c r="M20" s="255"/>
      <c r="N20" s="255"/>
      <c r="O20" s="255"/>
      <c r="P20" s="255"/>
      <c r="Q20" s="255"/>
      <c r="R20" s="255"/>
      <c r="S20" s="255"/>
      <c r="T20" s="281" t="s">
        <v>105</v>
      </c>
      <c r="U20" s="255"/>
      <c r="V20" s="261"/>
      <c r="W20" s="183"/>
      <c r="X20" s="5"/>
    </row>
    <row r="21" spans="1:24" ht="15.75" x14ac:dyDescent="0.25">
      <c r="A21" s="181"/>
      <c r="B21" s="183"/>
      <c r="C21" s="183"/>
      <c r="D21" s="183"/>
      <c r="E21" s="183"/>
      <c r="F21" s="183"/>
      <c r="G21" s="183"/>
      <c r="H21" s="183"/>
      <c r="I21" s="183"/>
      <c r="J21" s="183"/>
      <c r="K21" s="183"/>
      <c r="L21" s="183"/>
      <c r="M21" s="183"/>
      <c r="N21" s="183"/>
      <c r="O21" s="183"/>
      <c r="P21" s="183"/>
      <c r="Q21" s="183"/>
      <c r="R21" s="183"/>
      <c r="S21" s="183"/>
      <c r="T21" s="183"/>
      <c r="U21" s="183"/>
      <c r="V21" s="192"/>
      <c r="W21" s="183"/>
      <c r="X21" s="5"/>
    </row>
    <row r="22" spans="1:24" ht="15.75" x14ac:dyDescent="0.25">
      <c r="A22" s="224"/>
      <c r="B22" s="225"/>
      <c r="C22" s="226"/>
      <c r="D22" s="226" t="s">
        <v>177</v>
      </c>
      <c r="E22" s="226"/>
      <c r="F22" s="226" t="s">
        <v>178</v>
      </c>
      <c r="G22" s="226"/>
      <c r="H22" s="226" t="s">
        <v>179</v>
      </c>
      <c r="I22" s="226"/>
      <c r="J22" s="226" t="s">
        <v>219</v>
      </c>
      <c r="K22" s="226"/>
      <c r="L22" s="226" t="s">
        <v>180</v>
      </c>
      <c r="M22" s="226"/>
      <c r="N22" s="226" t="s">
        <v>181</v>
      </c>
      <c r="O22" s="226"/>
      <c r="P22" s="226" t="s">
        <v>182</v>
      </c>
      <c r="Q22" s="226"/>
      <c r="R22" s="226"/>
      <c r="S22" s="228"/>
      <c r="T22" s="228"/>
      <c r="U22" s="229"/>
      <c r="V22" s="229"/>
      <c r="W22" s="225"/>
      <c r="X22" s="5"/>
    </row>
    <row r="23" spans="1:24" ht="15.75" x14ac:dyDescent="0.25">
      <c r="A23" s="193"/>
      <c r="B23" s="250" t="s">
        <v>7</v>
      </c>
      <c r="C23" s="282"/>
      <c r="D23" s="282" t="s">
        <v>212</v>
      </c>
      <c r="E23" s="282"/>
      <c r="F23" s="282" t="s">
        <v>141</v>
      </c>
      <c r="G23" s="282"/>
      <c r="H23" s="282" t="s">
        <v>141</v>
      </c>
      <c r="I23" s="282"/>
      <c r="J23" s="282" t="s">
        <v>141</v>
      </c>
      <c r="K23" s="282"/>
      <c r="L23" s="282" t="s">
        <v>183</v>
      </c>
      <c r="M23" s="282"/>
      <c r="N23" s="282" t="s">
        <v>183</v>
      </c>
      <c r="O23" s="282"/>
      <c r="P23" s="282" t="s">
        <v>142</v>
      </c>
      <c r="Q23" s="282"/>
      <c r="R23" s="282"/>
      <c r="S23" s="282"/>
      <c r="T23" s="282"/>
      <c r="U23" s="273"/>
      <c r="V23" s="273"/>
      <c r="W23" s="250"/>
      <c r="X23" s="5"/>
    </row>
    <row r="24" spans="1:24" ht="15.75" x14ac:dyDescent="0.25">
      <c r="A24" s="285"/>
      <c r="B24" s="286" t="s">
        <v>8</v>
      </c>
      <c r="C24" s="287"/>
      <c r="D24" s="287" t="s">
        <v>213</v>
      </c>
      <c r="E24" s="287"/>
      <c r="F24" s="287" t="s">
        <v>143</v>
      </c>
      <c r="G24" s="287"/>
      <c r="H24" s="287" t="s">
        <v>143</v>
      </c>
      <c r="I24" s="287"/>
      <c r="J24" s="287" t="s">
        <v>143</v>
      </c>
      <c r="K24" s="287"/>
      <c r="L24" s="287" t="s">
        <v>165</v>
      </c>
      <c r="M24" s="287"/>
      <c r="N24" s="287" t="s">
        <v>165</v>
      </c>
      <c r="O24" s="287"/>
      <c r="P24" s="287" t="s">
        <v>144</v>
      </c>
      <c r="Q24" s="287"/>
      <c r="R24" s="287"/>
      <c r="S24" s="287"/>
      <c r="T24" s="287"/>
      <c r="U24" s="288"/>
      <c r="V24" s="288"/>
      <c r="W24" s="289"/>
      <c r="X24" s="5"/>
    </row>
    <row r="25" spans="1:24" ht="15.75" x14ac:dyDescent="0.25">
      <c r="A25" s="290"/>
      <c r="B25" s="286" t="s">
        <v>190</v>
      </c>
      <c r="C25" s="292"/>
      <c r="D25" s="287" t="s">
        <v>214</v>
      </c>
      <c r="E25" s="287"/>
      <c r="F25" s="287" t="s">
        <v>143</v>
      </c>
      <c r="G25" s="287"/>
      <c r="H25" s="287" t="s">
        <v>143</v>
      </c>
      <c r="I25" s="287"/>
      <c r="J25" s="287" t="s">
        <v>143</v>
      </c>
      <c r="K25" s="287"/>
      <c r="L25" s="287" t="s">
        <v>165</v>
      </c>
      <c r="M25" s="287"/>
      <c r="N25" s="287" t="s">
        <v>165</v>
      </c>
      <c r="O25" s="287"/>
      <c r="P25" s="287" t="s">
        <v>144</v>
      </c>
      <c r="Q25" s="287"/>
      <c r="R25" s="287"/>
      <c r="S25" s="292"/>
      <c r="T25" s="287"/>
      <c r="U25" s="288"/>
      <c r="V25" s="288"/>
      <c r="W25" s="289"/>
      <c r="X25" s="5"/>
    </row>
    <row r="26" spans="1:24" ht="15.75" x14ac:dyDescent="0.25">
      <c r="A26" s="393"/>
      <c r="B26" s="297" t="s">
        <v>9</v>
      </c>
      <c r="C26" s="292"/>
      <c r="D26" s="292" t="s">
        <v>141</v>
      </c>
      <c r="E26" s="292"/>
      <c r="F26" s="292" t="s">
        <v>141</v>
      </c>
      <c r="G26" s="292"/>
      <c r="H26" s="292" t="s">
        <v>141</v>
      </c>
      <c r="I26" s="292"/>
      <c r="J26" s="292" t="s">
        <v>141</v>
      </c>
      <c r="K26" s="292"/>
      <c r="L26" s="292" t="s">
        <v>183</v>
      </c>
      <c r="M26" s="292"/>
      <c r="N26" s="292" t="s">
        <v>183</v>
      </c>
      <c r="O26" s="292"/>
      <c r="P26" s="292" t="s">
        <v>142</v>
      </c>
      <c r="Q26" s="292"/>
      <c r="R26" s="292"/>
      <c r="S26" s="292"/>
      <c r="T26" s="287"/>
      <c r="U26" s="288"/>
      <c r="V26" s="288"/>
      <c r="W26" s="289"/>
      <c r="X26" s="5"/>
    </row>
    <row r="27" spans="1:24" ht="15.75" x14ac:dyDescent="0.25">
      <c r="A27" s="295"/>
      <c r="B27" s="297" t="s">
        <v>191</v>
      </c>
      <c r="C27" s="287"/>
      <c r="D27" s="292" t="s">
        <v>143</v>
      </c>
      <c r="E27" s="292"/>
      <c r="F27" s="292" t="s">
        <v>143</v>
      </c>
      <c r="G27" s="292"/>
      <c r="H27" s="292" t="s">
        <v>143</v>
      </c>
      <c r="I27" s="292"/>
      <c r="J27" s="292" t="s">
        <v>143</v>
      </c>
      <c r="K27" s="292"/>
      <c r="L27" s="292" t="s">
        <v>307</v>
      </c>
      <c r="M27" s="292"/>
      <c r="N27" s="292" t="s">
        <v>307</v>
      </c>
      <c r="O27" s="292"/>
      <c r="P27" s="292" t="s">
        <v>308</v>
      </c>
      <c r="Q27" s="292"/>
      <c r="R27" s="292"/>
      <c r="S27" s="287"/>
      <c r="T27" s="296"/>
      <c r="U27" s="288"/>
      <c r="V27" s="288"/>
      <c r="W27" s="289"/>
      <c r="X27" s="5"/>
    </row>
    <row r="28" spans="1:24" ht="15.75" x14ac:dyDescent="0.25">
      <c r="A28" s="295"/>
      <c r="B28" s="297" t="s">
        <v>192</v>
      </c>
      <c r="C28" s="287"/>
      <c r="D28" s="292" t="s">
        <v>143</v>
      </c>
      <c r="E28" s="292"/>
      <c r="F28" s="292" t="s">
        <v>143</v>
      </c>
      <c r="G28" s="292"/>
      <c r="H28" s="292" t="s">
        <v>143</v>
      </c>
      <c r="I28" s="292"/>
      <c r="J28" s="292" t="s">
        <v>143</v>
      </c>
      <c r="K28" s="292"/>
      <c r="L28" s="292" t="s">
        <v>165</v>
      </c>
      <c r="M28" s="292"/>
      <c r="N28" s="292" t="s">
        <v>165</v>
      </c>
      <c r="O28" s="292"/>
      <c r="P28" s="292" t="s">
        <v>309</v>
      </c>
      <c r="Q28" s="292"/>
      <c r="R28" s="292"/>
      <c r="S28" s="287"/>
      <c r="T28" s="296"/>
      <c r="U28" s="288"/>
      <c r="V28" s="288"/>
      <c r="W28" s="289"/>
      <c r="X28" s="5"/>
    </row>
    <row r="29" spans="1:24" ht="15.75" x14ac:dyDescent="0.25">
      <c r="A29" s="295"/>
      <c r="B29" s="286" t="s">
        <v>10</v>
      </c>
      <c r="C29" s="298"/>
      <c r="D29" s="287" t="s">
        <v>242</v>
      </c>
      <c r="E29" s="287"/>
      <c r="F29" s="296" t="s">
        <v>244</v>
      </c>
      <c r="G29" s="287"/>
      <c r="H29" s="287" t="s">
        <v>245</v>
      </c>
      <c r="I29" s="287"/>
      <c r="J29" s="287" t="s">
        <v>247</v>
      </c>
      <c r="K29" s="287"/>
      <c r="L29" s="287" t="s">
        <v>248</v>
      </c>
      <c r="M29" s="287"/>
      <c r="N29" s="287" t="s">
        <v>249</v>
      </c>
      <c r="O29" s="287"/>
      <c r="P29" s="287" t="s">
        <v>250</v>
      </c>
      <c r="Q29" s="287"/>
      <c r="R29" s="287"/>
      <c r="S29" s="299"/>
      <c r="T29" s="299"/>
      <c r="U29" s="300"/>
      <c r="V29" s="299"/>
      <c r="W29" s="301"/>
      <c r="X29" s="5"/>
    </row>
    <row r="30" spans="1:24" ht="15.75" x14ac:dyDescent="0.25">
      <c r="A30" s="295"/>
      <c r="B30" s="286" t="s">
        <v>10</v>
      </c>
      <c r="C30" s="298"/>
      <c r="D30" s="287" t="s">
        <v>243</v>
      </c>
      <c r="E30" s="287"/>
      <c r="F30" s="296" t="s">
        <v>118</v>
      </c>
      <c r="G30" s="287"/>
      <c r="H30" s="287" t="s">
        <v>118</v>
      </c>
      <c r="I30" s="287"/>
      <c r="J30" s="287" t="s">
        <v>246</v>
      </c>
      <c r="K30" s="287"/>
      <c r="L30" s="287" t="s">
        <v>118</v>
      </c>
      <c r="M30" s="287"/>
      <c r="N30" s="287" t="s">
        <v>118</v>
      </c>
      <c r="O30" s="287"/>
      <c r="P30" s="287" t="s">
        <v>118</v>
      </c>
      <c r="Q30" s="287"/>
      <c r="R30" s="287"/>
      <c r="S30" s="299"/>
      <c r="T30" s="299"/>
      <c r="U30" s="300"/>
      <c r="V30" s="299"/>
      <c r="W30" s="301"/>
      <c r="X30" s="5"/>
    </row>
    <row r="31" spans="1:24" ht="15.75" x14ac:dyDescent="0.25">
      <c r="A31" s="393"/>
      <c r="B31" s="286" t="s">
        <v>133</v>
      </c>
      <c r="C31" s="310"/>
      <c r="D31" s="303">
        <v>1000000</v>
      </c>
      <c r="E31" s="298"/>
      <c r="F31" s="299">
        <v>209500</v>
      </c>
      <c r="G31" s="299"/>
      <c r="H31" s="304">
        <v>110000</v>
      </c>
      <c r="I31" s="304"/>
      <c r="J31" s="303">
        <v>150000</v>
      </c>
      <c r="K31" s="299"/>
      <c r="L31" s="299">
        <v>17000</v>
      </c>
      <c r="M31" s="299"/>
      <c r="N31" s="304">
        <v>85500</v>
      </c>
      <c r="O31" s="299"/>
      <c r="P31" s="304">
        <v>110500</v>
      </c>
      <c r="Q31" s="299"/>
      <c r="R31" s="304"/>
      <c r="S31" s="312"/>
      <c r="T31" s="312"/>
      <c r="U31" s="306"/>
      <c r="V31" s="312"/>
      <c r="W31" s="301"/>
      <c r="X31" s="5"/>
    </row>
    <row r="32" spans="1:24" ht="15.75" x14ac:dyDescent="0.25">
      <c r="A32" s="295"/>
      <c r="B32" s="286" t="s">
        <v>132</v>
      </c>
      <c r="C32" s="298"/>
      <c r="D32" s="303">
        <f>D31*D38</f>
        <v>718031.4</v>
      </c>
      <c r="E32" s="298"/>
      <c r="F32" s="299">
        <f>F31*F38</f>
        <v>150427.9135</v>
      </c>
      <c r="G32" s="299"/>
      <c r="H32" s="304">
        <f>H31*H38</f>
        <v>78984.245999999999</v>
      </c>
      <c r="I32" s="304"/>
      <c r="J32" s="303">
        <f>J31*J38</f>
        <v>107704.70999999999</v>
      </c>
      <c r="K32" s="299"/>
      <c r="L32" s="299">
        <f>L31*L38</f>
        <v>17000</v>
      </c>
      <c r="M32" s="299"/>
      <c r="N32" s="304">
        <f>N31*N38</f>
        <v>85500</v>
      </c>
      <c r="O32" s="299"/>
      <c r="P32" s="304">
        <f>P31*P38</f>
        <v>110500</v>
      </c>
      <c r="Q32" s="299"/>
      <c r="R32" s="304"/>
      <c r="S32" s="299"/>
      <c r="T32" s="299"/>
      <c r="U32" s="300"/>
      <c r="V32" s="299"/>
      <c r="W32" s="301"/>
      <c r="X32" s="5"/>
    </row>
    <row r="33" spans="1:27" ht="15.75" x14ac:dyDescent="0.25">
      <c r="A33" s="295"/>
      <c r="B33" s="297" t="s">
        <v>134</v>
      </c>
      <c r="C33" s="298"/>
      <c r="D33" s="394">
        <f>D37*D31</f>
        <v>708711.6</v>
      </c>
      <c r="E33" s="310"/>
      <c r="F33" s="312">
        <f>F37*F31</f>
        <v>148475.4154</v>
      </c>
      <c r="G33" s="312"/>
      <c r="H33" s="395">
        <f>H31*H37</f>
        <v>77959.09</v>
      </c>
      <c r="I33" s="395"/>
      <c r="J33" s="394">
        <f>J37*J31</f>
        <v>106306.74</v>
      </c>
      <c r="K33" s="312"/>
      <c r="L33" s="312">
        <f>L31*L37</f>
        <v>17000</v>
      </c>
      <c r="M33" s="312"/>
      <c r="N33" s="395">
        <f>N31*N37</f>
        <v>85500</v>
      </c>
      <c r="O33" s="312"/>
      <c r="P33" s="395">
        <f>P31*P37</f>
        <v>110500</v>
      </c>
      <c r="Q33" s="312"/>
      <c r="R33" s="395"/>
      <c r="S33" s="299"/>
      <c r="T33" s="299"/>
      <c r="U33" s="300"/>
      <c r="V33" s="299"/>
      <c r="W33" s="301"/>
      <c r="X33" s="5"/>
    </row>
    <row r="34" spans="1:27" ht="15.75" x14ac:dyDescent="0.25">
      <c r="A34" s="393"/>
      <c r="B34" s="286" t="s">
        <v>286</v>
      </c>
      <c r="C34" s="310"/>
      <c r="D34" s="299">
        <v>492951</v>
      </c>
      <c r="E34" s="298"/>
      <c r="F34" s="299">
        <v>209500</v>
      </c>
      <c r="G34" s="299"/>
      <c r="H34" s="299">
        <v>74677</v>
      </c>
      <c r="I34" s="299"/>
      <c r="J34" s="299">
        <v>73943</v>
      </c>
      <c r="K34" s="299"/>
      <c r="L34" s="299">
        <v>17000</v>
      </c>
      <c r="M34" s="299"/>
      <c r="N34" s="299">
        <v>58045</v>
      </c>
      <c r="O34" s="299"/>
      <c r="P34" s="299">
        <v>75017</v>
      </c>
      <c r="Q34" s="299"/>
      <c r="R34" s="299"/>
      <c r="S34" s="312"/>
      <c r="T34" s="312"/>
      <c r="U34" s="306"/>
      <c r="V34" s="299">
        <f>SUM(C34:R34)</f>
        <v>1001133</v>
      </c>
      <c r="W34" s="301"/>
      <c r="X34" s="5"/>
    </row>
    <row r="35" spans="1:27" ht="15.75" x14ac:dyDescent="0.25">
      <c r="A35" s="393"/>
      <c r="B35" s="286" t="s">
        <v>287</v>
      </c>
      <c r="C35" s="310"/>
      <c r="D35" s="299">
        <f>D34*D38</f>
        <v>353954.2966614</v>
      </c>
      <c r="E35" s="298"/>
      <c r="F35" s="299">
        <f>F34*F38</f>
        <v>150427.9135</v>
      </c>
      <c r="G35" s="299"/>
      <c r="H35" s="299">
        <f>H34*H38</f>
        <v>53620.9685322</v>
      </c>
      <c r="I35" s="299"/>
      <c r="J35" s="299">
        <f>J34*J38</f>
        <v>53093.395810199996</v>
      </c>
      <c r="K35" s="299"/>
      <c r="L35" s="299">
        <f>L34*L38</f>
        <v>17000</v>
      </c>
      <c r="M35" s="299"/>
      <c r="N35" s="299">
        <f>N34*N38</f>
        <v>58045</v>
      </c>
      <c r="O35" s="299"/>
      <c r="P35" s="299">
        <f>P34*P38</f>
        <v>75017</v>
      </c>
      <c r="Q35" s="299"/>
      <c r="R35" s="299"/>
      <c r="S35" s="299"/>
      <c r="T35" s="299"/>
      <c r="U35" s="300"/>
      <c r="V35" s="299">
        <f>SUM(C35:R35)-1</f>
        <v>761157.57450380002</v>
      </c>
      <c r="W35" s="301"/>
      <c r="X35" s="5"/>
    </row>
    <row r="36" spans="1:27" ht="15.75" x14ac:dyDescent="0.25">
      <c r="A36" s="393"/>
      <c r="B36" s="297" t="s">
        <v>288</v>
      </c>
      <c r="C36" s="310"/>
      <c r="D36" s="312">
        <f>D34*D37</f>
        <v>349360.09193160001</v>
      </c>
      <c r="E36" s="310"/>
      <c r="F36" s="312">
        <f>F34*F37</f>
        <v>148475.4154</v>
      </c>
      <c r="G36" s="312"/>
      <c r="H36" s="312">
        <f>H34*H37</f>
        <v>52925.008762999998</v>
      </c>
      <c r="I36" s="312"/>
      <c r="J36" s="312">
        <f>J34*J37</f>
        <v>52404.261838799997</v>
      </c>
      <c r="K36" s="312"/>
      <c r="L36" s="312">
        <f>L34*L37</f>
        <v>17000</v>
      </c>
      <c r="M36" s="312"/>
      <c r="N36" s="312">
        <f>N34*N37</f>
        <v>58045</v>
      </c>
      <c r="O36" s="312"/>
      <c r="P36" s="312">
        <f>P34*P37</f>
        <v>75017</v>
      </c>
      <c r="Q36" s="312"/>
      <c r="R36" s="312"/>
      <c r="S36" s="311"/>
      <c r="T36" s="311"/>
      <c r="U36" s="300"/>
      <c r="V36" s="312">
        <f>SUM(C36:R36)-1</f>
        <v>753225.77793340001</v>
      </c>
      <c r="W36" s="301"/>
      <c r="X36" s="5"/>
    </row>
    <row r="37" spans="1:27" ht="15.75" x14ac:dyDescent="0.25">
      <c r="A37" s="285"/>
      <c r="B37" s="313" t="s">
        <v>130</v>
      </c>
      <c r="C37" s="314"/>
      <c r="D37" s="315">
        <v>0.7087116</v>
      </c>
      <c r="E37" s="315"/>
      <c r="F37" s="315">
        <v>0.70871320000000004</v>
      </c>
      <c r="G37" s="315"/>
      <c r="H37" s="315">
        <v>0.70871899999999999</v>
      </c>
      <c r="I37" s="315"/>
      <c r="J37" s="315">
        <v>0.7087116</v>
      </c>
      <c r="K37" s="315"/>
      <c r="L37" s="315">
        <v>1</v>
      </c>
      <c r="M37" s="315"/>
      <c r="N37" s="315">
        <v>1</v>
      </c>
      <c r="O37" s="315"/>
      <c r="P37" s="315">
        <v>1</v>
      </c>
      <c r="Q37" s="315"/>
      <c r="R37" s="315"/>
      <c r="S37" s="316"/>
      <c r="T37" s="316"/>
      <c r="U37" s="317"/>
      <c r="V37" s="317"/>
      <c r="W37" s="318"/>
      <c r="X37" s="5"/>
    </row>
    <row r="38" spans="1:27" ht="15.75" x14ac:dyDescent="0.25">
      <c r="A38" s="285"/>
      <c r="B38" s="313" t="s">
        <v>131</v>
      </c>
      <c r="C38" s="314"/>
      <c r="D38" s="315">
        <v>0.71803139999999999</v>
      </c>
      <c r="E38" s="315"/>
      <c r="F38" s="315">
        <v>0.71803300000000003</v>
      </c>
      <c r="G38" s="315"/>
      <c r="H38" s="315">
        <v>0.71803859999999997</v>
      </c>
      <c r="I38" s="315"/>
      <c r="J38" s="315">
        <v>0.71803139999999999</v>
      </c>
      <c r="K38" s="315"/>
      <c r="L38" s="315">
        <v>1</v>
      </c>
      <c r="M38" s="315"/>
      <c r="N38" s="315">
        <v>1</v>
      </c>
      <c r="O38" s="315"/>
      <c r="P38" s="315">
        <v>1</v>
      </c>
      <c r="Q38" s="315"/>
      <c r="R38" s="315"/>
      <c r="S38" s="319"/>
      <c r="T38" s="320"/>
      <c r="U38" s="317"/>
      <c r="V38" s="319"/>
      <c r="W38" s="318"/>
      <c r="X38" s="5"/>
    </row>
    <row r="39" spans="1:27" ht="15.75" x14ac:dyDescent="0.25">
      <c r="A39" s="285"/>
      <c r="B39" s="286" t="s">
        <v>11</v>
      </c>
      <c r="C39" s="286"/>
      <c r="D39" s="296" t="s">
        <v>304</v>
      </c>
      <c r="E39" s="286"/>
      <c r="F39" s="296" t="s">
        <v>256</v>
      </c>
      <c r="G39" s="296"/>
      <c r="H39" s="296" t="s">
        <v>257</v>
      </c>
      <c r="I39" s="296"/>
      <c r="J39" s="296" t="s">
        <v>258</v>
      </c>
      <c r="K39" s="296"/>
      <c r="L39" s="296" t="s">
        <v>259</v>
      </c>
      <c r="M39" s="296"/>
      <c r="N39" s="296" t="s">
        <v>259</v>
      </c>
      <c r="O39" s="296"/>
      <c r="P39" s="296" t="s">
        <v>260</v>
      </c>
      <c r="Q39" s="296"/>
      <c r="R39" s="296"/>
      <c r="S39" s="321"/>
      <c r="T39" s="322"/>
      <c r="U39" s="288"/>
      <c r="V39" s="288"/>
      <c r="W39" s="289"/>
      <c r="X39" s="5"/>
    </row>
    <row r="40" spans="1:27" ht="15.75" x14ac:dyDescent="0.25">
      <c r="A40" s="285"/>
      <c r="B40" s="286" t="s">
        <v>12</v>
      </c>
      <c r="C40" s="286"/>
      <c r="D40" s="322">
        <v>3.5300000000000002E-3</v>
      </c>
      <c r="E40" s="286"/>
      <c r="F40" s="322">
        <v>8.2024999999999997E-3</v>
      </c>
      <c r="G40" s="321"/>
      <c r="H40" s="322">
        <v>3.2200000000000002E-3</v>
      </c>
      <c r="I40" s="322"/>
      <c r="J40" s="322">
        <v>4.6059999999999999E-3</v>
      </c>
      <c r="K40" s="321"/>
      <c r="L40" s="322">
        <v>1.10025E-2</v>
      </c>
      <c r="M40" s="321"/>
      <c r="N40" s="322">
        <v>6.2199999999999998E-3</v>
      </c>
      <c r="O40" s="321"/>
      <c r="P40" s="322">
        <v>1.1820000000000001E-2</v>
      </c>
      <c r="Q40" s="321"/>
      <c r="R40" s="322"/>
      <c r="S40" s="321"/>
      <c r="T40" s="322"/>
      <c r="U40" s="288"/>
      <c r="V40" s="296"/>
      <c r="W40" s="289"/>
      <c r="X40" s="5"/>
      <c r="AA40" s="1" t="s">
        <v>193</v>
      </c>
    </row>
    <row r="41" spans="1:27" ht="15.75" x14ac:dyDescent="0.25">
      <c r="A41" s="285"/>
      <c r="B41" s="286" t="s">
        <v>13</v>
      </c>
      <c r="C41" s="286"/>
      <c r="D41" s="322">
        <v>3.3470000000000001E-3</v>
      </c>
      <c r="E41" s="286"/>
      <c r="F41" s="322">
        <v>8.2337999999999995E-3</v>
      </c>
      <c r="G41" s="321"/>
      <c r="H41" s="322">
        <v>3.2399999999999998E-3</v>
      </c>
      <c r="I41" s="322"/>
      <c r="J41" s="322">
        <v>4.5409999999999999E-3</v>
      </c>
      <c r="K41" s="321"/>
      <c r="L41" s="322">
        <v>1.10338E-2</v>
      </c>
      <c r="M41" s="321"/>
      <c r="N41" s="322">
        <v>6.2399999999999999E-3</v>
      </c>
      <c r="O41" s="321"/>
      <c r="P41" s="322">
        <v>1.184E-2</v>
      </c>
      <c r="Q41" s="321"/>
      <c r="R41" s="322"/>
      <c r="S41" s="321"/>
      <c r="T41" s="322"/>
      <c r="U41" s="288"/>
      <c r="V41" s="321" t="s">
        <v>193</v>
      </c>
      <c r="W41" s="289"/>
      <c r="X41" s="5"/>
    </row>
    <row r="42" spans="1:27" ht="15.75" x14ac:dyDescent="0.25">
      <c r="A42" s="285"/>
      <c r="B42" s="286" t="s">
        <v>289</v>
      </c>
      <c r="C42" s="286"/>
      <c r="D42" s="296" t="s">
        <v>311</v>
      </c>
      <c r="E42" s="286"/>
      <c r="F42" s="296" t="s">
        <v>256</v>
      </c>
      <c r="G42" s="296"/>
      <c r="H42" s="296" t="s">
        <v>261</v>
      </c>
      <c r="I42" s="296"/>
      <c r="J42" s="296" t="s">
        <v>261</v>
      </c>
      <c r="K42" s="296"/>
      <c r="L42" s="296" t="s">
        <v>259</v>
      </c>
      <c r="M42" s="296"/>
      <c r="N42" s="296" t="s">
        <v>263</v>
      </c>
      <c r="O42" s="296"/>
      <c r="P42" s="296" t="s">
        <v>264</v>
      </c>
      <c r="Q42" s="296"/>
      <c r="R42" s="296"/>
      <c r="S42" s="321"/>
      <c r="T42" s="322"/>
      <c r="U42" s="288"/>
      <c r="V42" s="288"/>
      <c r="W42" s="289"/>
      <c r="X42" s="5"/>
    </row>
    <row r="43" spans="1:27" ht="15.75" x14ac:dyDescent="0.25">
      <c r="A43" s="285"/>
      <c r="B43" s="286" t="s">
        <v>290</v>
      </c>
      <c r="C43" s="323"/>
      <c r="D43" s="322">
        <v>7.5994000000000001E-3</v>
      </c>
      <c r="E43" s="322"/>
      <c r="F43" s="322">
        <f>+F40</f>
        <v>8.2024999999999997E-3</v>
      </c>
      <c r="G43" s="322"/>
      <c r="H43" s="322">
        <v>8.3525000000000005E-3</v>
      </c>
      <c r="I43" s="322"/>
      <c r="J43" s="322">
        <v>8.3824999999999993E-3</v>
      </c>
      <c r="K43" s="322"/>
      <c r="L43" s="322">
        <f>+L40</f>
        <v>1.10025E-2</v>
      </c>
      <c r="M43" s="322"/>
      <c r="N43" s="322">
        <v>1.17365E-2</v>
      </c>
      <c r="O43" s="322"/>
      <c r="P43" s="322">
        <v>1.7896499999999999E-2</v>
      </c>
      <c r="Q43" s="321"/>
      <c r="R43" s="322"/>
      <c r="S43" s="296"/>
      <c r="T43" s="296"/>
      <c r="U43" s="288"/>
      <c r="V43" s="321">
        <f>SUMPRODUCT(D43:R43,D35:R35)/V35</f>
        <v>9.2326206701126515E-3</v>
      </c>
      <c r="W43" s="289"/>
      <c r="X43" s="5"/>
    </row>
    <row r="44" spans="1:27" ht="15.75" x14ac:dyDescent="0.25">
      <c r="A44" s="285"/>
      <c r="B44" s="286" t="s">
        <v>291</v>
      </c>
      <c r="C44" s="323"/>
      <c r="D44" s="322">
        <v>7.6306999999999998E-3</v>
      </c>
      <c r="E44" s="322"/>
      <c r="F44" s="322">
        <f>+F41</f>
        <v>8.2337999999999995E-3</v>
      </c>
      <c r="G44" s="322"/>
      <c r="H44" s="322">
        <v>8.3838000000000003E-3</v>
      </c>
      <c r="I44" s="322"/>
      <c r="J44" s="322">
        <v>8.4138000000000008E-3</v>
      </c>
      <c r="K44" s="322"/>
      <c r="L44" s="322">
        <f>+L41</f>
        <v>1.10338E-2</v>
      </c>
      <c r="M44" s="322"/>
      <c r="N44" s="322">
        <v>1.17678E-2</v>
      </c>
      <c r="O44" s="322"/>
      <c r="P44" s="322">
        <v>1.7927800000000001E-2</v>
      </c>
      <c r="Q44" s="321"/>
      <c r="R44" s="322"/>
      <c r="S44" s="296"/>
      <c r="T44" s="296"/>
      <c r="U44" s="288"/>
      <c r="V44" s="288"/>
      <c r="W44" s="289"/>
      <c r="X44" s="5"/>
    </row>
    <row r="45" spans="1:27" ht="15.75" x14ac:dyDescent="0.25">
      <c r="A45" s="285"/>
      <c r="B45" s="286" t="s">
        <v>14</v>
      </c>
      <c r="C45" s="286"/>
      <c r="D45" s="323">
        <v>40709</v>
      </c>
      <c r="E45" s="323"/>
      <c r="F45" s="323">
        <v>40709</v>
      </c>
      <c r="G45" s="323"/>
      <c r="H45" s="323">
        <v>40709</v>
      </c>
      <c r="I45" s="323"/>
      <c r="J45" s="323">
        <v>40709</v>
      </c>
      <c r="K45" s="323"/>
      <c r="L45" s="323">
        <v>40709</v>
      </c>
      <c r="M45" s="323"/>
      <c r="N45" s="323">
        <v>40709</v>
      </c>
      <c r="O45" s="323"/>
      <c r="P45" s="323">
        <v>40709</v>
      </c>
      <c r="Q45" s="323"/>
      <c r="R45" s="323"/>
      <c r="S45" s="296"/>
      <c r="T45" s="296"/>
      <c r="U45" s="288"/>
      <c r="V45" s="288"/>
      <c r="W45" s="289"/>
      <c r="X45" s="5"/>
    </row>
    <row r="46" spans="1:27" ht="15.75" x14ac:dyDescent="0.25">
      <c r="A46" s="285"/>
      <c r="B46" s="286" t="s">
        <v>15</v>
      </c>
      <c r="C46" s="286"/>
      <c r="D46" s="323">
        <v>41075</v>
      </c>
      <c r="E46" s="323"/>
      <c r="F46" s="323">
        <v>41075</v>
      </c>
      <c r="G46" s="323"/>
      <c r="H46" s="323">
        <v>41075</v>
      </c>
      <c r="I46" s="323"/>
      <c r="J46" s="323">
        <v>41075</v>
      </c>
      <c r="K46" s="296"/>
      <c r="L46" s="323">
        <v>41075</v>
      </c>
      <c r="M46" s="296"/>
      <c r="N46" s="323">
        <v>41075</v>
      </c>
      <c r="O46" s="296"/>
      <c r="P46" s="323">
        <v>41075</v>
      </c>
      <c r="Q46" s="296"/>
      <c r="R46" s="323"/>
      <c r="S46" s="296"/>
      <c r="T46" s="296"/>
      <c r="U46" s="288"/>
      <c r="V46" s="288"/>
      <c r="W46" s="289"/>
      <c r="X46" s="5"/>
    </row>
    <row r="47" spans="1:27" ht="15.75" x14ac:dyDescent="0.25">
      <c r="A47" s="285"/>
      <c r="B47" s="286" t="s">
        <v>119</v>
      </c>
      <c r="C47" s="286"/>
      <c r="D47" s="296" t="s">
        <v>304</v>
      </c>
      <c r="E47" s="286"/>
      <c r="F47" s="296" t="s">
        <v>256</v>
      </c>
      <c r="G47" s="296"/>
      <c r="H47" s="296" t="s">
        <v>257</v>
      </c>
      <c r="I47" s="296"/>
      <c r="J47" s="296" t="s">
        <v>258</v>
      </c>
      <c r="K47" s="296"/>
      <c r="L47" s="296" t="s">
        <v>259</v>
      </c>
      <c r="M47" s="296"/>
      <c r="N47" s="296" t="s">
        <v>259</v>
      </c>
      <c r="O47" s="296"/>
      <c r="P47" s="296" t="s">
        <v>260</v>
      </c>
      <c r="Q47" s="296"/>
      <c r="R47" s="296"/>
      <c r="S47" s="325"/>
      <c r="T47" s="325"/>
      <c r="U47" s="325"/>
      <c r="V47" s="325"/>
      <c r="W47" s="289"/>
      <c r="X47" s="5"/>
    </row>
    <row r="48" spans="1:27" ht="15.75" x14ac:dyDescent="0.25">
      <c r="A48" s="285"/>
      <c r="B48" s="286" t="s">
        <v>292</v>
      </c>
      <c r="C48" s="286"/>
      <c r="D48" s="296" t="s">
        <v>311</v>
      </c>
      <c r="E48" s="286"/>
      <c r="F48" s="296" t="s">
        <v>256</v>
      </c>
      <c r="G48" s="296"/>
      <c r="H48" s="296" t="s">
        <v>261</v>
      </c>
      <c r="I48" s="296"/>
      <c r="J48" s="296" t="s">
        <v>261</v>
      </c>
      <c r="K48" s="296"/>
      <c r="L48" s="296" t="s">
        <v>259</v>
      </c>
      <c r="M48" s="296"/>
      <c r="N48" s="296" t="s">
        <v>263</v>
      </c>
      <c r="O48" s="296"/>
      <c r="P48" s="296" t="s">
        <v>264</v>
      </c>
      <c r="Q48" s="296"/>
      <c r="R48" s="296"/>
      <c r="S48" s="286"/>
      <c r="T48" s="286"/>
      <c r="U48" s="286"/>
      <c r="V48" s="321"/>
      <c r="W48" s="289"/>
      <c r="X48" s="5"/>
    </row>
    <row r="49" spans="1:25" ht="15.75" x14ac:dyDescent="0.25">
      <c r="A49" s="285"/>
      <c r="B49" s="286"/>
      <c r="C49" s="286"/>
      <c r="D49" s="296"/>
      <c r="E49" s="286"/>
      <c r="F49" s="296"/>
      <c r="G49" s="296"/>
      <c r="H49" s="296"/>
      <c r="I49" s="296"/>
      <c r="J49" s="296"/>
      <c r="K49" s="296"/>
      <c r="L49" s="296"/>
      <c r="M49" s="296"/>
      <c r="N49" s="296"/>
      <c r="O49" s="296"/>
      <c r="P49" s="296"/>
      <c r="Q49" s="296"/>
      <c r="R49" s="296"/>
      <c r="S49" s="286"/>
      <c r="T49" s="286"/>
      <c r="U49" s="286"/>
      <c r="V49" s="321" t="s">
        <v>193</v>
      </c>
      <c r="W49" s="289"/>
      <c r="X49" s="5"/>
    </row>
    <row r="50" spans="1:25" ht="15.75" x14ac:dyDescent="0.25">
      <c r="A50" s="285"/>
      <c r="B50" s="286" t="s">
        <v>169</v>
      </c>
      <c r="C50" s="286"/>
      <c r="D50" s="296"/>
      <c r="E50" s="286"/>
      <c r="F50" s="296"/>
      <c r="G50" s="296"/>
      <c r="H50" s="296"/>
      <c r="I50" s="296"/>
      <c r="J50" s="296"/>
      <c r="K50" s="296"/>
      <c r="L50" s="296"/>
      <c r="M50" s="296"/>
      <c r="N50" s="296"/>
      <c r="O50" s="296"/>
      <c r="P50" s="296"/>
      <c r="Q50" s="296"/>
      <c r="R50" s="296"/>
      <c r="S50" s="286"/>
      <c r="T50" s="286"/>
      <c r="U50" s="286"/>
      <c r="V50" s="321">
        <f>SUM(L34:R34)/SUM(D34:J34)</f>
        <v>0.17632136449250416</v>
      </c>
      <c r="W50" s="289"/>
      <c r="X50" s="5"/>
    </row>
    <row r="51" spans="1:25" ht="15.75" x14ac:dyDescent="0.25">
      <c r="A51" s="285"/>
      <c r="B51" s="286" t="s">
        <v>170</v>
      </c>
      <c r="C51" s="286"/>
      <c r="D51" s="286"/>
      <c r="E51" s="286"/>
      <c r="F51" s="326"/>
      <c r="G51" s="286"/>
      <c r="H51" s="286"/>
      <c r="I51" s="286"/>
      <c r="J51" s="286"/>
      <c r="K51" s="286"/>
      <c r="L51" s="286"/>
      <c r="M51" s="286"/>
      <c r="N51" s="286"/>
      <c r="O51" s="286"/>
      <c r="P51" s="286"/>
      <c r="Q51" s="286"/>
      <c r="R51" s="286"/>
      <c r="S51" s="286"/>
      <c r="T51" s="286"/>
      <c r="U51" s="286"/>
      <c r="V51" s="321">
        <f>SUM(L36:R36)/SUM(D36:J36)</f>
        <v>0.24879105261111498</v>
      </c>
      <c r="W51" s="289"/>
      <c r="X51" s="5"/>
    </row>
    <row r="52" spans="1:25" ht="15.75" x14ac:dyDescent="0.25">
      <c r="A52" s="285"/>
      <c r="B52" s="286" t="s">
        <v>171</v>
      </c>
      <c r="C52" s="286"/>
      <c r="D52" s="286"/>
      <c r="E52" s="286"/>
      <c r="F52" s="286"/>
      <c r="G52" s="286"/>
      <c r="H52" s="286"/>
      <c r="I52" s="286"/>
      <c r="J52" s="286"/>
      <c r="K52" s="286"/>
      <c r="L52" s="286"/>
      <c r="M52" s="286"/>
      <c r="N52" s="286"/>
      <c r="O52" s="286"/>
      <c r="P52" s="286"/>
      <c r="Q52" s="286"/>
      <c r="R52" s="286"/>
      <c r="S52" s="286"/>
      <c r="T52" s="296"/>
      <c r="U52" s="296"/>
      <c r="V52" s="299" t="s">
        <v>268</v>
      </c>
      <c r="W52" s="289"/>
      <c r="X52" s="5"/>
    </row>
    <row r="53" spans="1:25" ht="15.75" x14ac:dyDescent="0.25">
      <c r="A53" s="285"/>
      <c r="B53" s="286"/>
      <c r="C53" s="286"/>
      <c r="D53" s="286"/>
      <c r="E53" s="286"/>
      <c r="F53" s="286"/>
      <c r="G53" s="286"/>
      <c r="H53" s="286"/>
      <c r="I53" s="286"/>
      <c r="J53" s="286"/>
      <c r="K53" s="286"/>
      <c r="L53" s="286"/>
      <c r="M53" s="286"/>
      <c r="N53" s="286"/>
      <c r="O53" s="286"/>
      <c r="P53" s="286"/>
      <c r="Q53" s="286"/>
      <c r="R53" s="286"/>
      <c r="S53" s="286"/>
      <c r="T53" s="286"/>
      <c r="U53" s="286"/>
      <c r="V53" s="327"/>
      <c r="W53" s="289"/>
      <c r="X53" s="5"/>
    </row>
    <row r="54" spans="1:25" ht="15.75" x14ac:dyDescent="0.25">
      <c r="A54" s="285"/>
      <c r="B54" s="286" t="s">
        <v>202</v>
      </c>
      <c r="C54" s="286"/>
      <c r="D54" s="286"/>
      <c r="E54" s="286"/>
      <c r="F54" s="286"/>
      <c r="G54" s="286"/>
      <c r="H54" s="286"/>
      <c r="I54" s="286"/>
      <c r="J54" s="286"/>
      <c r="K54" s="286"/>
      <c r="L54" s="286"/>
      <c r="M54" s="286"/>
      <c r="N54" s="286"/>
      <c r="O54" s="286"/>
      <c r="P54" s="286"/>
      <c r="Q54" s="286"/>
      <c r="R54" s="286"/>
      <c r="S54" s="286"/>
      <c r="T54" s="286"/>
      <c r="U54" s="286"/>
      <c r="V54" s="311" t="s">
        <v>203</v>
      </c>
      <c r="W54" s="289"/>
      <c r="X54" s="5"/>
    </row>
    <row r="55" spans="1:25" ht="15.75" x14ac:dyDescent="0.25">
      <c r="A55" s="285"/>
      <c r="B55" s="286" t="s">
        <v>270</v>
      </c>
      <c r="C55" s="286"/>
      <c r="D55" s="286"/>
      <c r="E55" s="286"/>
      <c r="F55" s="286"/>
      <c r="G55" s="286"/>
      <c r="H55" s="286"/>
      <c r="I55" s="286"/>
      <c r="J55" s="286"/>
      <c r="K55" s="286"/>
      <c r="L55" s="286"/>
      <c r="M55" s="286"/>
      <c r="N55" s="286"/>
      <c r="O55" s="286"/>
      <c r="P55" s="286"/>
      <c r="Q55" s="286"/>
      <c r="R55" s="286"/>
      <c r="S55" s="286"/>
      <c r="T55" s="296"/>
      <c r="U55" s="296"/>
      <c r="V55" s="396" t="s">
        <v>111</v>
      </c>
      <c r="W55" s="289"/>
      <c r="X55" s="5"/>
    </row>
    <row r="56" spans="1:25" ht="15.75" x14ac:dyDescent="0.25">
      <c r="A56" s="285"/>
      <c r="B56" s="297" t="s">
        <v>201</v>
      </c>
      <c r="C56" s="297"/>
      <c r="D56" s="297"/>
      <c r="E56" s="297"/>
      <c r="F56" s="297"/>
      <c r="G56" s="297"/>
      <c r="H56" s="297"/>
      <c r="I56" s="297"/>
      <c r="J56" s="297"/>
      <c r="K56" s="297"/>
      <c r="L56" s="297"/>
      <c r="M56" s="297"/>
      <c r="N56" s="297"/>
      <c r="O56" s="297"/>
      <c r="P56" s="297"/>
      <c r="Q56" s="297"/>
      <c r="R56" s="297"/>
      <c r="S56" s="297"/>
      <c r="T56" s="397"/>
      <c r="U56" s="397"/>
      <c r="V56" s="398">
        <v>42079</v>
      </c>
      <c r="W56" s="289"/>
      <c r="X56" s="5"/>
    </row>
    <row r="57" spans="1:25" ht="15.75" x14ac:dyDescent="0.25">
      <c r="A57" s="285"/>
      <c r="B57" s="286" t="s">
        <v>121</v>
      </c>
      <c r="C57" s="286"/>
      <c r="D57" s="286"/>
      <c r="E57" s="286"/>
      <c r="F57" s="286"/>
      <c r="G57" s="286"/>
      <c r="H57" s="332"/>
      <c r="I57" s="332"/>
      <c r="J57" s="332"/>
      <c r="K57" s="332"/>
      <c r="L57" s="332"/>
      <c r="M57" s="332"/>
      <c r="N57" s="332"/>
      <c r="O57" s="332"/>
      <c r="P57" s="332"/>
      <c r="Q57" s="332"/>
      <c r="R57" s="286">
        <f>+V57-T57+1</f>
        <v>91</v>
      </c>
      <c r="S57" s="332"/>
      <c r="T57" s="333">
        <v>41897</v>
      </c>
      <c r="U57" s="334"/>
      <c r="V57" s="333">
        <v>41987</v>
      </c>
      <c r="W57" s="289"/>
      <c r="X57" s="5"/>
    </row>
    <row r="58" spans="1:25" ht="15.75" x14ac:dyDescent="0.25">
      <c r="A58" s="285"/>
      <c r="B58" s="286" t="s">
        <v>122</v>
      </c>
      <c r="C58" s="286"/>
      <c r="D58" s="286"/>
      <c r="E58" s="286"/>
      <c r="F58" s="286"/>
      <c r="G58" s="286"/>
      <c r="H58" s="286"/>
      <c r="I58" s="286"/>
      <c r="J58" s="286"/>
      <c r="K58" s="286"/>
      <c r="L58" s="286"/>
      <c r="M58" s="286"/>
      <c r="N58" s="286"/>
      <c r="O58" s="286"/>
      <c r="P58" s="286"/>
      <c r="Q58" s="286"/>
      <c r="R58" s="286">
        <f>+V58-T58+1</f>
        <v>91</v>
      </c>
      <c r="S58" s="286"/>
      <c r="T58" s="333">
        <v>41988</v>
      </c>
      <c r="U58" s="334"/>
      <c r="V58" s="333">
        <v>42078</v>
      </c>
      <c r="W58" s="289"/>
      <c r="X58" s="5"/>
    </row>
    <row r="59" spans="1:25" ht="15.75" x14ac:dyDescent="0.25">
      <c r="A59" s="285"/>
      <c r="B59" s="286" t="s">
        <v>223</v>
      </c>
      <c r="C59" s="286"/>
      <c r="D59" s="286"/>
      <c r="E59" s="286"/>
      <c r="F59" s="286"/>
      <c r="G59" s="286"/>
      <c r="H59" s="286"/>
      <c r="I59" s="286"/>
      <c r="J59" s="286"/>
      <c r="K59" s="286"/>
      <c r="L59" s="286"/>
      <c r="M59" s="286"/>
      <c r="N59" s="286"/>
      <c r="O59" s="286"/>
      <c r="P59" s="286"/>
      <c r="Q59" s="286"/>
      <c r="R59" s="286"/>
      <c r="S59" s="286"/>
      <c r="T59" s="333"/>
      <c r="U59" s="334"/>
      <c r="V59" s="333" t="s">
        <v>120</v>
      </c>
      <c r="W59" s="289"/>
      <c r="X59" s="5"/>
    </row>
    <row r="60" spans="1:25" ht="15.75" x14ac:dyDescent="0.25">
      <c r="A60" s="285"/>
      <c r="B60" s="286" t="s">
        <v>271</v>
      </c>
      <c r="C60" s="286"/>
      <c r="D60" s="286"/>
      <c r="E60" s="286"/>
      <c r="F60" s="286"/>
      <c r="G60" s="286"/>
      <c r="H60" s="286"/>
      <c r="I60" s="286"/>
      <c r="J60" s="286"/>
      <c r="K60" s="286"/>
      <c r="L60" s="286"/>
      <c r="M60" s="286"/>
      <c r="N60" s="286"/>
      <c r="O60" s="286"/>
      <c r="P60" s="286"/>
      <c r="Q60" s="286"/>
      <c r="R60" s="286"/>
      <c r="S60" s="286"/>
      <c r="T60" s="333"/>
      <c r="U60" s="334"/>
      <c r="V60" s="333" t="s">
        <v>154</v>
      </c>
      <c r="W60" s="289"/>
      <c r="X60" s="5"/>
      <c r="Y60" s="133"/>
    </row>
    <row r="61" spans="1:25" ht="15.75" x14ac:dyDescent="0.25">
      <c r="A61" s="285"/>
      <c r="B61" s="286" t="s">
        <v>16</v>
      </c>
      <c r="C61" s="286"/>
      <c r="D61" s="286"/>
      <c r="E61" s="286"/>
      <c r="F61" s="286"/>
      <c r="G61" s="286"/>
      <c r="H61" s="286"/>
      <c r="I61" s="286"/>
      <c r="J61" s="286"/>
      <c r="K61" s="286"/>
      <c r="L61" s="286"/>
      <c r="M61" s="286"/>
      <c r="N61" s="286"/>
      <c r="O61" s="286"/>
      <c r="P61" s="286"/>
      <c r="Q61" s="286"/>
      <c r="R61" s="286"/>
      <c r="S61" s="286"/>
      <c r="T61" s="333"/>
      <c r="U61" s="334"/>
      <c r="V61" s="333">
        <v>42065</v>
      </c>
      <c r="W61" s="289"/>
      <c r="X61" s="5"/>
    </row>
    <row r="62" spans="1:25" ht="15.75" x14ac:dyDescent="0.25">
      <c r="A62" s="181"/>
      <c r="B62" s="212"/>
      <c r="C62" s="212"/>
      <c r="D62" s="212"/>
      <c r="E62" s="212"/>
      <c r="F62" s="212"/>
      <c r="G62" s="212"/>
      <c r="H62" s="212"/>
      <c r="I62" s="212"/>
      <c r="J62" s="212"/>
      <c r="K62" s="212"/>
      <c r="L62" s="212"/>
      <c r="M62" s="212"/>
      <c r="N62" s="212"/>
      <c r="O62" s="212"/>
      <c r="P62" s="212"/>
      <c r="Q62" s="212"/>
      <c r="R62" s="212"/>
      <c r="S62" s="212"/>
      <c r="T62" s="283"/>
      <c r="U62" s="284"/>
      <c r="V62" s="283"/>
      <c r="W62" s="212"/>
      <c r="X62" s="5"/>
    </row>
    <row r="63" spans="1:25" ht="15.75" x14ac:dyDescent="0.25">
      <c r="A63" s="181"/>
      <c r="B63" s="183"/>
      <c r="C63" s="183"/>
      <c r="D63" s="183"/>
      <c r="E63" s="183"/>
      <c r="F63" s="183"/>
      <c r="G63" s="183"/>
      <c r="H63" s="183"/>
      <c r="I63" s="183"/>
      <c r="J63" s="183"/>
      <c r="K63" s="183"/>
      <c r="L63" s="183"/>
      <c r="M63" s="183"/>
      <c r="N63" s="183"/>
      <c r="O63" s="183"/>
      <c r="P63" s="183"/>
      <c r="Q63" s="183"/>
      <c r="R63" s="183"/>
      <c r="S63" s="183"/>
      <c r="T63" s="195"/>
      <c r="U63" s="196"/>
      <c r="V63" s="195"/>
      <c r="W63" s="183"/>
      <c r="X63" s="5"/>
    </row>
    <row r="64" spans="1:25" ht="19.5" thickBot="1" x14ac:dyDescent="0.35">
      <c r="A64" s="197"/>
      <c r="B64" s="270" t="s">
        <v>327</v>
      </c>
      <c r="C64" s="198"/>
      <c r="D64" s="198"/>
      <c r="E64" s="198"/>
      <c r="F64" s="198"/>
      <c r="G64" s="198"/>
      <c r="H64" s="198"/>
      <c r="I64" s="198"/>
      <c r="J64" s="198"/>
      <c r="K64" s="198"/>
      <c r="L64" s="198"/>
      <c r="M64" s="198"/>
      <c r="N64" s="198"/>
      <c r="O64" s="198"/>
      <c r="P64" s="198"/>
      <c r="Q64" s="198"/>
      <c r="R64" s="198"/>
      <c r="S64" s="198"/>
      <c r="T64" s="198"/>
      <c r="U64" s="198"/>
      <c r="V64" s="199"/>
      <c r="W64" s="200"/>
      <c r="X64" s="5"/>
    </row>
    <row r="65" spans="1:24" ht="15.75" x14ac:dyDescent="0.25">
      <c r="A65" s="224"/>
      <c r="B65" s="230" t="s">
        <v>17</v>
      </c>
      <c r="C65" s="225"/>
      <c r="D65" s="225"/>
      <c r="E65" s="225"/>
      <c r="F65" s="225"/>
      <c r="G65" s="225"/>
      <c r="H65" s="225"/>
      <c r="I65" s="225"/>
      <c r="J65" s="225"/>
      <c r="K65" s="225"/>
      <c r="L65" s="225"/>
      <c r="M65" s="225"/>
      <c r="N65" s="225"/>
      <c r="O65" s="225"/>
      <c r="P65" s="225"/>
      <c r="Q65" s="225"/>
      <c r="R65" s="225"/>
      <c r="S65" s="225"/>
      <c r="T65" s="225"/>
      <c r="U65" s="225"/>
      <c r="V65" s="231"/>
      <c r="W65" s="225"/>
      <c r="X65" s="5"/>
    </row>
    <row r="66" spans="1:24" ht="15.75" x14ac:dyDescent="0.25">
      <c r="A66" s="181"/>
      <c r="B66" s="189"/>
      <c r="C66" s="183"/>
      <c r="D66" s="183"/>
      <c r="E66" s="183"/>
      <c r="F66" s="183"/>
      <c r="G66" s="183"/>
      <c r="H66" s="183"/>
      <c r="I66" s="183"/>
      <c r="J66" s="183"/>
      <c r="K66" s="183"/>
      <c r="L66" s="183"/>
      <c r="M66" s="183"/>
      <c r="N66" s="183"/>
      <c r="O66" s="183"/>
      <c r="P66" s="183"/>
      <c r="Q66" s="183"/>
      <c r="R66" s="183"/>
      <c r="S66" s="183"/>
      <c r="T66" s="183"/>
      <c r="U66" s="183"/>
      <c r="V66" s="202"/>
      <c r="W66" s="183"/>
      <c r="X66" s="5"/>
    </row>
    <row r="67" spans="1:24" ht="47.25" x14ac:dyDescent="0.25">
      <c r="A67" s="181"/>
      <c r="B67" s="203" t="s">
        <v>18</v>
      </c>
      <c r="C67" s="204"/>
      <c r="D67" s="204"/>
      <c r="E67" s="204"/>
      <c r="F67" s="204"/>
      <c r="G67" s="204"/>
      <c r="H67" s="204"/>
      <c r="I67" s="204"/>
      <c r="J67" s="204"/>
      <c r="K67" s="204"/>
      <c r="L67" s="204" t="s">
        <v>94</v>
      </c>
      <c r="M67" s="204"/>
      <c r="N67" s="204" t="s">
        <v>96</v>
      </c>
      <c r="O67" s="204"/>
      <c r="P67" s="204" t="s">
        <v>98</v>
      </c>
      <c r="Q67" s="204"/>
      <c r="R67" s="204" t="s">
        <v>100</v>
      </c>
      <c r="S67" s="204"/>
      <c r="T67" s="204" t="s">
        <v>106</v>
      </c>
      <c r="U67" s="204"/>
      <c r="V67" s="205" t="s">
        <v>112</v>
      </c>
      <c r="W67" s="206"/>
      <c r="X67" s="5"/>
    </row>
    <row r="68" spans="1:24" ht="15.75" x14ac:dyDescent="0.25">
      <c r="A68" s="285"/>
      <c r="B68" s="286" t="s">
        <v>19</v>
      </c>
      <c r="C68" s="337"/>
      <c r="D68" s="337"/>
      <c r="E68" s="337"/>
      <c r="F68" s="337"/>
      <c r="G68" s="337"/>
      <c r="H68" s="337"/>
      <c r="I68" s="337"/>
      <c r="J68" s="337"/>
      <c r="K68" s="337"/>
      <c r="L68" s="337">
        <v>812446</v>
      </c>
      <c r="M68" s="337"/>
      <c r="N68" s="338">
        <v>761158</v>
      </c>
      <c r="O68" s="337"/>
      <c r="P68" s="337">
        <f>7932+50+97</f>
        <v>8079</v>
      </c>
      <c r="Q68" s="337"/>
      <c r="R68" s="337">
        <f>50+97</f>
        <v>147</v>
      </c>
      <c r="S68" s="337"/>
      <c r="T68" s="337">
        <v>0</v>
      </c>
      <c r="U68" s="337"/>
      <c r="V68" s="338">
        <f>+N68-P68+R68-T68</f>
        <v>753226</v>
      </c>
      <c r="W68" s="289"/>
      <c r="X68" s="5"/>
    </row>
    <row r="69" spans="1:24" ht="15.75" x14ac:dyDescent="0.25">
      <c r="A69" s="285"/>
      <c r="B69" s="286" t="s">
        <v>20</v>
      </c>
      <c r="C69" s="337"/>
      <c r="D69" s="337"/>
      <c r="E69" s="337"/>
      <c r="F69" s="337"/>
      <c r="G69" s="337"/>
      <c r="H69" s="337"/>
      <c r="I69" s="337"/>
      <c r="J69" s="337"/>
      <c r="K69" s="337"/>
      <c r="L69" s="337">
        <v>0</v>
      </c>
      <c r="M69" s="337"/>
      <c r="N69" s="338">
        <v>0</v>
      </c>
      <c r="O69" s="337"/>
      <c r="P69" s="337">
        <v>0</v>
      </c>
      <c r="Q69" s="337"/>
      <c r="R69" s="337">
        <v>0</v>
      </c>
      <c r="S69" s="337"/>
      <c r="T69" s="337">
        <v>0</v>
      </c>
      <c r="U69" s="337"/>
      <c r="V69" s="338">
        <f>+L69-P69</f>
        <v>0</v>
      </c>
      <c r="W69" s="289"/>
      <c r="X69" s="5"/>
    </row>
    <row r="70" spans="1:24" ht="15.75" x14ac:dyDescent="0.25">
      <c r="A70" s="285"/>
      <c r="B70" s="286"/>
      <c r="C70" s="337"/>
      <c r="D70" s="337"/>
      <c r="E70" s="337"/>
      <c r="F70" s="337"/>
      <c r="G70" s="337"/>
      <c r="H70" s="337"/>
      <c r="I70" s="337"/>
      <c r="J70" s="337"/>
      <c r="K70" s="337"/>
      <c r="L70" s="337"/>
      <c r="M70" s="337"/>
      <c r="N70" s="338"/>
      <c r="O70" s="337"/>
      <c r="P70" s="337"/>
      <c r="Q70" s="337"/>
      <c r="R70" s="337"/>
      <c r="S70" s="337"/>
      <c r="T70" s="337"/>
      <c r="U70" s="337"/>
      <c r="V70" s="338"/>
      <c r="W70" s="289"/>
      <c r="X70" s="5"/>
    </row>
    <row r="71" spans="1:24" ht="15.75" x14ac:dyDescent="0.25">
      <c r="A71" s="285"/>
      <c r="B71" s="286" t="s">
        <v>21</v>
      </c>
      <c r="C71" s="337"/>
      <c r="D71" s="337"/>
      <c r="E71" s="337"/>
      <c r="F71" s="337"/>
      <c r="G71" s="337"/>
      <c r="H71" s="337"/>
      <c r="I71" s="337"/>
      <c r="J71" s="337"/>
      <c r="K71" s="337"/>
      <c r="L71" s="337">
        <f>SUM(L68:L70)</f>
        <v>812446</v>
      </c>
      <c r="M71" s="337"/>
      <c r="N71" s="337">
        <f>N68+N69</f>
        <v>761158</v>
      </c>
      <c r="O71" s="337"/>
      <c r="P71" s="337">
        <f>SUM(P68:P70)</f>
        <v>8079</v>
      </c>
      <c r="Q71" s="337"/>
      <c r="R71" s="337">
        <f>SUM(R68:R70)</f>
        <v>147</v>
      </c>
      <c r="S71" s="337"/>
      <c r="T71" s="337">
        <f>SUM(T68:T70)</f>
        <v>0</v>
      </c>
      <c r="U71" s="337"/>
      <c r="V71" s="337">
        <f>SUM(V68:V70)</f>
        <v>753226</v>
      </c>
      <c r="W71" s="289"/>
      <c r="X71" s="5"/>
    </row>
    <row r="72" spans="1:24" ht="15.75" x14ac:dyDescent="0.25">
      <c r="A72" s="181"/>
      <c r="B72" s="212"/>
      <c r="C72" s="335"/>
      <c r="D72" s="335"/>
      <c r="E72" s="335"/>
      <c r="F72" s="335"/>
      <c r="G72" s="335"/>
      <c r="H72" s="335"/>
      <c r="I72" s="335"/>
      <c r="J72" s="335"/>
      <c r="K72" s="335"/>
      <c r="L72" s="335"/>
      <c r="M72" s="335"/>
      <c r="N72" s="335"/>
      <c r="O72" s="335"/>
      <c r="P72" s="335"/>
      <c r="Q72" s="335"/>
      <c r="R72" s="335"/>
      <c r="S72" s="335"/>
      <c r="T72" s="335"/>
      <c r="U72" s="335"/>
      <c r="V72" s="336"/>
      <c r="W72" s="212"/>
      <c r="X72" s="5"/>
    </row>
    <row r="73" spans="1:24" ht="15.75" x14ac:dyDescent="0.25">
      <c r="A73" s="181"/>
      <c r="B73" s="185" t="s">
        <v>22</v>
      </c>
      <c r="C73" s="207"/>
      <c r="D73" s="207"/>
      <c r="E73" s="207"/>
      <c r="F73" s="207"/>
      <c r="G73" s="207"/>
      <c r="H73" s="207"/>
      <c r="I73" s="207"/>
      <c r="J73" s="207"/>
      <c r="K73" s="207"/>
      <c r="L73" s="207"/>
      <c r="M73" s="207"/>
      <c r="N73" s="207"/>
      <c r="O73" s="207"/>
      <c r="P73" s="207"/>
      <c r="Q73" s="207"/>
      <c r="R73" s="207"/>
      <c r="S73" s="207"/>
      <c r="T73" s="207"/>
      <c r="U73" s="207"/>
      <c r="V73" s="208"/>
      <c r="W73" s="183"/>
      <c r="X73" s="5"/>
    </row>
    <row r="74" spans="1:24" ht="15.75" x14ac:dyDescent="0.25">
      <c r="A74" s="181"/>
      <c r="B74" s="183"/>
      <c r="C74" s="207"/>
      <c r="D74" s="207"/>
      <c r="E74" s="207"/>
      <c r="F74" s="207"/>
      <c r="G74" s="207"/>
      <c r="H74" s="207"/>
      <c r="I74" s="207"/>
      <c r="J74" s="207"/>
      <c r="K74" s="207"/>
      <c r="L74" s="207"/>
      <c r="M74" s="207"/>
      <c r="N74" s="207"/>
      <c r="O74" s="207"/>
      <c r="P74" s="207"/>
      <c r="Q74" s="207"/>
      <c r="R74" s="207"/>
      <c r="S74" s="207"/>
      <c r="T74" s="207"/>
      <c r="U74" s="207"/>
      <c r="V74" s="208"/>
      <c r="W74" s="183"/>
      <c r="X74" s="5"/>
    </row>
    <row r="75" spans="1:24" ht="15.75" x14ac:dyDescent="0.25">
      <c r="A75" s="285"/>
      <c r="B75" s="286" t="s">
        <v>19</v>
      </c>
      <c r="C75" s="337"/>
      <c r="D75" s="337"/>
      <c r="E75" s="337"/>
      <c r="F75" s="337"/>
      <c r="G75" s="337"/>
      <c r="H75" s="337"/>
      <c r="I75" s="337"/>
      <c r="J75" s="337"/>
      <c r="K75" s="337"/>
      <c r="L75" s="337"/>
      <c r="M75" s="337"/>
      <c r="N75" s="337"/>
      <c r="O75" s="337"/>
      <c r="P75" s="337"/>
      <c r="Q75" s="337"/>
      <c r="R75" s="337"/>
      <c r="S75" s="337"/>
      <c r="T75" s="337"/>
      <c r="U75" s="337"/>
      <c r="V75" s="337"/>
      <c r="W75" s="289"/>
      <c r="X75" s="5"/>
    </row>
    <row r="76" spans="1:24" ht="15.75" x14ac:dyDescent="0.25">
      <c r="A76" s="285"/>
      <c r="B76" s="286" t="s">
        <v>20</v>
      </c>
      <c r="C76" s="337"/>
      <c r="D76" s="337"/>
      <c r="E76" s="337"/>
      <c r="F76" s="337"/>
      <c r="G76" s="337"/>
      <c r="H76" s="337"/>
      <c r="I76" s="337"/>
      <c r="J76" s="337"/>
      <c r="K76" s="337"/>
      <c r="L76" s="337"/>
      <c r="M76" s="337"/>
      <c r="N76" s="337"/>
      <c r="O76" s="337"/>
      <c r="P76" s="337"/>
      <c r="Q76" s="337"/>
      <c r="R76" s="337"/>
      <c r="S76" s="337"/>
      <c r="T76" s="337"/>
      <c r="U76" s="337"/>
      <c r="V76" s="337"/>
      <c r="W76" s="289"/>
      <c r="X76" s="5"/>
    </row>
    <row r="77" spans="1:24" ht="15.75" x14ac:dyDescent="0.25">
      <c r="A77" s="285"/>
      <c r="B77" s="286"/>
      <c r="C77" s="337"/>
      <c r="D77" s="337"/>
      <c r="E77" s="337"/>
      <c r="F77" s="337"/>
      <c r="G77" s="337"/>
      <c r="H77" s="337"/>
      <c r="I77" s="337"/>
      <c r="J77" s="337"/>
      <c r="K77" s="337"/>
      <c r="L77" s="337"/>
      <c r="M77" s="337"/>
      <c r="N77" s="337"/>
      <c r="O77" s="337"/>
      <c r="P77" s="337"/>
      <c r="Q77" s="337"/>
      <c r="R77" s="337"/>
      <c r="S77" s="337"/>
      <c r="T77" s="337"/>
      <c r="U77" s="337"/>
      <c r="V77" s="337"/>
      <c r="W77" s="289"/>
      <c r="X77" s="5"/>
    </row>
    <row r="78" spans="1:24" ht="15.75" x14ac:dyDescent="0.25">
      <c r="A78" s="285"/>
      <c r="B78" s="286" t="s">
        <v>21</v>
      </c>
      <c r="C78" s="337"/>
      <c r="D78" s="337"/>
      <c r="E78" s="337"/>
      <c r="F78" s="337"/>
      <c r="G78" s="337"/>
      <c r="H78" s="337"/>
      <c r="I78" s="337"/>
      <c r="J78" s="337"/>
      <c r="K78" s="337"/>
      <c r="L78" s="337"/>
      <c r="M78" s="337"/>
      <c r="N78" s="337"/>
      <c r="O78" s="337"/>
      <c r="P78" s="337"/>
      <c r="Q78" s="337"/>
      <c r="R78" s="337"/>
      <c r="S78" s="337"/>
      <c r="T78" s="337"/>
      <c r="U78" s="337"/>
      <c r="V78" s="337"/>
      <c r="W78" s="289"/>
      <c r="X78" s="5"/>
    </row>
    <row r="79" spans="1:24" ht="15.75" x14ac:dyDescent="0.25">
      <c r="A79" s="285"/>
      <c r="B79" s="286"/>
      <c r="C79" s="337"/>
      <c r="D79" s="337"/>
      <c r="E79" s="337"/>
      <c r="F79" s="337"/>
      <c r="G79" s="337"/>
      <c r="H79" s="337"/>
      <c r="I79" s="337"/>
      <c r="J79" s="337"/>
      <c r="K79" s="337"/>
      <c r="L79" s="337"/>
      <c r="M79" s="337"/>
      <c r="N79" s="337"/>
      <c r="O79" s="337"/>
      <c r="P79" s="337"/>
      <c r="Q79" s="337"/>
      <c r="R79" s="337"/>
      <c r="S79" s="337"/>
      <c r="T79" s="337"/>
      <c r="U79" s="337"/>
      <c r="V79" s="337"/>
      <c r="W79" s="289"/>
      <c r="X79" s="5"/>
    </row>
    <row r="80" spans="1:24" ht="15.75" x14ac:dyDescent="0.25">
      <c r="A80" s="285"/>
      <c r="B80" s="286" t="s">
        <v>23</v>
      </c>
      <c r="C80" s="337"/>
      <c r="D80" s="337"/>
      <c r="E80" s="337"/>
      <c r="F80" s="337"/>
      <c r="G80" s="337"/>
      <c r="H80" s="337"/>
      <c r="I80" s="337"/>
      <c r="J80" s="337"/>
      <c r="K80" s="337"/>
      <c r="L80" s="337">
        <v>0</v>
      </c>
      <c r="M80" s="337"/>
      <c r="N80" s="337">
        <v>0</v>
      </c>
      <c r="O80" s="337"/>
      <c r="P80" s="337"/>
      <c r="Q80" s="337"/>
      <c r="R80" s="337"/>
      <c r="S80" s="337"/>
      <c r="T80" s="337"/>
      <c r="U80" s="337"/>
      <c r="V80" s="338">
        <v>0</v>
      </c>
      <c r="W80" s="289"/>
      <c r="X80" s="5"/>
    </row>
    <row r="81" spans="1:24" ht="15.75" x14ac:dyDescent="0.25">
      <c r="A81" s="285"/>
      <c r="B81" s="286" t="s">
        <v>117</v>
      </c>
      <c r="C81" s="337"/>
      <c r="D81" s="337"/>
      <c r="E81" s="337"/>
      <c r="F81" s="337"/>
      <c r="G81" s="337"/>
      <c r="H81" s="337"/>
      <c r="I81" s="337"/>
      <c r="J81" s="337"/>
      <c r="K81" s="337"/>
      <c r="L81" s="337">
        <v>188687</v>
      </c>
      <c r="M81" s="337"/>
      <c r="N81" s="337">
        <v>0</v>
      </c>
      <c r="O81" s="337"/>
      <c r="P81" s="337">
        <v>0</v>
      </c>
      <c r="Q81" s="337"/>
      <c r="R81" s="337"/>
      <c r="S81" s="337"/>
      <c r="T81" s="337"/>
      <c r="U81" s="337"/>
      <c r="V81" s="337">
        <f>SUM(N81:R81)</f>
        <v>0</v>
      </c>
      <c r="W81" s="289"/>
      <c r="X81" s="5"/>
    </row>
    <row r="82" spans="1:24" ht="15.75" x14ac:dyDescent="0.25">
      <c r="A82" s="285"/>
      <c r="B82" s="286"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89"/>
      <c r="X82" s="5"/>
    </row>
    <row r="83" spans="1:24" ht="15.75" x14ac:dyDescent="0.25">
      <c r="A83" s="285"/>
      <c r="B83" s="286" t="s">
        <v>25</v>
      </c>
      <c r="C83" s="337"/>
      <c r="D83" s="337"/>
      <c r="E83" s="337"/>
      <c r="F83" s="337"/>
      <c r="G83" s="337"/>
      <c r="H83" s="337"/>
      <c r="I83" s="337"/>
      <c r="J83" s="337"/>
      <c r="K83" s="337"/>
      <c r="L83" s="337">
        <v>0</v>
      </c>
      <c r="M83" s="337"/>
      <c r="N83" s="337">
        <v>0</v>
      </c>
      <c r="O83" s="337"/>
      <c r="P83" s="337"/>
      <c r="Q83" s="337"/>
      <c r="R83" s="337"/>
      <c r="S83" s="337"/>
      <c r="T83" s="337"/>
      <c r="U83" s="337"/>
      <c r="V83" s="337">
        <v>0</v>
      </c>
      <c r="W83" s="289"/>
      <c r="X83" s="5"/>
    </row>
    <row r="84" spans="1:24" ht="15.75" x14ac:dyDescent="0.25">
      <c r="A84" s="285"/>
      <c r="B84" s="286" t="s">
        <v>26</v>
      </c>
      <c r="C84" s="337"/>
      <c r="D84" s="337"/>
      <c r="E84" s="337"/>
      <c r="F84" s="337"/>
      <c r="G84" s="337"/>
      <c r="H84" s="337"/>
      <c r="I84" s="337"/>
      <c r="J84" s="337"/>
      <c r="K84" s="337"/>
      <c r="L84" s="337">
        <f>SUM(L71:L83)</f>
        <v>1001133</v>
      </c>
      <c r="M84" s="337"/>
      <c r="N84" s="337">
        <f>SUM(N71:N83)</f>
        <v>761158</v>
      </c>
      <c r="O84" s="337"/>
      <c r="P84" s="337"/>
      <c r="Q84" s="337"/>
      <c r="R84" s="337"/>
      <c r="S84" s="337"/>
      <c r="T84" s="337"/>
      <c r="U84" s="337"/>
      <c r="V84" s="337">
        <f>SUM(V71:V83)</f>
        <v>753226</v>
      </c>
      <c r="W84" s="289"/>
      <c r="X84" s="5"/>
    </row>
    <row r="85" spans="1:24" ht="15.75" x14ac:dyDescent="0.25">
      <c r="A85" s="181"/>
      <c r="B85" s="212"/>
      <c r="C85" s="335"/>
      <c r="D85" s="335"/>
      <c r="E85" s="335"/>
      <c r="F85" s="335"/>
      <c r="G85" s="335"/>
      <c r="H85" s="335"/>
      <c r="I85" s="335"/>
      <c r="J85" s="335"/>
      <c r="K85" s="335"/>
      <c r="L85" s="335"/>
      <c r="M85" s="335"/>
      <c r="N85" s="335"/>
      <c r="O85" s="335"/>
      <c r="P85" s="335"/>
      <c r="Q85" s="335"/>
      <c r="R85" s="335"/>
      <c r="S85" s="335"/>
      <c r="T85" s="335"/>
      <c r="U85" s="335"/>
      <c r="V85" s="336"/>
      <c r="W85" s="212"/>
      <c r="X85" s="5"/>
    </row>
    <row r="86" spans="1:24" ht="15.75" x14ac:dyDescent="0.25">
      <c r="A86" s="181"/>
      <c r="B86" s="183"/>
      <c r="C86" s="183"/>
      <c r="D86" s="183"/>
      <c r="E86" s="183"/>
      <c r="F86" s="183"/>
      <c r="G86" s="183"/>
      <c r="H86" s="183"/>
      <c r="I86" s="183"/>
      <c r="J86" s="183"/>
      <c r="K86" s="183"/>
      <c r="L86" s="183"/>
      <c r="M86" s="183"/>
      <c r="N86" s="183"/>
      <c r="O86" s="183"/>
      <c r="P86" s="183"/>
      <c r="Q86" s="183"/>
      <c r="R86" s="183"/>
      <c r="S86" s="183"/>
      <c r="T86" s="183"/>
      <c r="U86" s="183"/>
      <c r="V86" s="183"/>
      <c r="W86" s="183"/>
      <c r="X86" s="5"/>
    </row>
    <row r="87" spans="1:24" ht="15.75" x14ac:dyDescent="0.25">
      <c r="A87" s="224"/>
      <c r="B87" s="399" t="s">
        <v>27</v>
      </c>
      <c r="C87" s="399"/>
      <c r="D87" s="399"/>
      <c r="E87" s="399"/>
      <c r="F87" s="399"/>
      <c r="G87" s="399"/>
      <c r="H87" s="400"/>
      <c r="I87" s="400"/>
      <c r="J87" s="400"/>
      <c r="K87" s="400"/>
      <c r="L87" s="401" t="s">
        <v>95</v>
      </c>
      <c r="M87" s="400"/>
      <c r="N87" s="402">
        <f>+T202</f>
        <v>42062</v>
      </c>
      <c r="O87" s="400"/>
      <c r="P87" s="400"/>
      <c r="Q87" s="400"/>
      <c r="R87" s="400"/>
      <c r="S87" s="400"/>
      <c r="T87" s="400" t="s">
        <v>107</v>
      </c>
      <c r="U87" s="400"/>
      <c r="V87" s="400" t="s">
        <v>113</v>
      </c>
      <c r="W87" s="225"/>
      <c r="X87" s="5"/>
    </row>
    <row r="88" spans="1:24" ht="15.75" x14ac:dyDescent="0.25">
      <c r="A88" s="248"/>
      <c r="B88" s="250" t="s">
        <v>28</v>
      </c>
      <c r="C88" s="194"/>
      <c r="D88" s="194"/>
      <c r="E88" s="194"/>
      <c r="F88" s="194"/>
      <c r="G88" s="194"/>
      <c r="H88" s="194"/>
      <c r="I88" s="194"/>
      <c r="J88" s="194"/>
      <c r="K88" s="194"/>
      <c r="L88" s="194"/>
      <c r="M88" s="194"/>
      <c r="N88" s="194"/>
      <c r="O88" s="194"/>
      <c r="P88" s="194"/>
      <c r="Q88" s="194"/>
      <c r="R88" s="194"/>
      <c r="S88" s="194"/>
      <c r="T88" s="249">
        <v>0</v>
      </c>
      <c r="U88" s="250"/>
      <c r="V88" s="253">
        <v>0</v>
      </c>
      <c r="W88" s="194"/>
      <c r="X88" s="5"/>
    </row>
    <row r="89" spans="1:24" ht="15.75" x14ac:dyDescent="0.25">
      <c r="A89" s="295"/>
      <c r="B89" s="286" t="s">
        <v>29</v>
      </c>
      <c r="C89" s="314"/>
      <c r="D89" s="314"/>
      <c r="E89" s="314"/>
      <c r="F89" s="314"/>
      <c r="G89" s="314"/>
      <c r="H89" s="339"/>
      <c r="I89" s="339"/>
      <c r="J89" s="339"/>
      <c r="K89" s="340"/>
      <c r="L89" s="339"/>
      <c r="M89" s="314"/>
      <c r="N89" s="341"/>
      <c r="O89" s="314"/>
      <c r="P89" s="314"/>
      <c r="Q89" s="314"/>
      <c r="R89" s="314"/>
      <c r="S89" s="314"/>
      <c r="T89" s="337">
        <f>8079-223</f>
        <v>7856</v>
      </c>
      <c r="U89" s="286"/>
      <c r="V89" s="338"/>
      <c r="W89" s="318"/>
      <c r="X89" s="5"/>
    </row>
    <row r="90" spans="1:24" ht="15.75" x14ac:dyDescent="0.25">
      <c r="A90" s="295"/>
      <c r="B90" s="286" t="s">
        <v>215</v>
      </c>
      <c r="C90" s="314"/>
      <c r="D90" s="314"/>
      <c r="E90" s="314"/>
      <c r="F90" s="314"/>
      <c r="G90" s="314"/>
      <c r="H90" s="339"/>
      <c r="I90" s="339"/>
      <c r="J90" s="339"/>
      <c r="K90" s="340"/>
      <c r="L90" s="339"/>
      <c r="M90" s="314"/>
      <c r="N90" s="341"/>
      <c r="O90" s="314"/>
      <c r="P90" s="314"/>
      <c r="Q90" s="314"/>
      <c r="R90" s="314"/>
      <c r="S90" s="314"/>
      <c r="T90" s="337"/>
      <c r="U90" s="286"/>
      <c r="V90" s="338">
        <f>3290+2831-650-659</f>
        <v>4812</v>
      </c>
      <c r="W90" s="318"/>
      <c r="X90" s="5"/>
    </row>
    <row r="91" spans="1:24" ht="15.75" x14ac:dyDescent="0.25">
      <c r="A91" s="295"/>
      <c r="B91" s="286" t="s">
        <v>210</v>
      </c>
      <c r="C91" s="314"/>
      <c r="D91" s="314"/>
      <c r="E91" s="314"/>
      <c r="F91" s="314"/>
      <c r="G91" s="314"/>
      <c r="H91" s="339"/>
      <c r="I91" s="339"/>
      <c r="J91" s="339"/>
      <c r="K91" s="340"/>
      <c r="L91" s="339"/>
      <c r="M91" s="314"/>
      <c r="N91" s="341"/>
      <c r="O91" s="314"/>
      <c r="P91" s="314"/>
      <c r="Q91" s="314"/>
      <c r="R91" s="314"/>
      <c r="S91" s="314"/>
      <c r="T91" s="337"/>
      <c r="U91" s="286"/>
      <c r="V91" s="338">
        <f>66+105</f>
        <v>171</v>
      </c>
      <c r="W91" s="318"/>
      <c r="X91" s="5"/>
    </row>
    <row r="92" spans="1:24" ht="15.75" x14ac:dyDescent="0.25">
      <c r="A92" s="295"/>
      <c r="B92" s="286" t="s">
        <v>211</v>
      </c>
      <c r="C92" s="314"/>
      <c r="D92" s="314"/>
      <c r="E92" s="314"/>
      <c r="F92" s="314"/>
      <c r="G92" s="314"/>
      <c r="H92" s="339"/>
      <c r="I92" s="339"/>
      <c r="J92" s="339"/>
      <c r="K92" s="340"/>
      <c r="L92" s="339"/>
      <c r="M92" s="314"/>
      <c r="N92" s="341"/>
      <c r="O92" s="314"/>
      <c r="P92" s="314"/>
      <c r="Q92" s="314"/>
      <c r="R92" s="314"/>
      <c r="S92" s="314"/>
      <c r="T92" s="337"/>
      <c r="U92" s="286"/>
      <c r="V92" s="338">
        <v>29</v>
      </c>
      <c r="W92" s="318"/>
      <c r="X92" s="5"/>
    </row>
    <row r="93" spans="1:24" ht="15.75" x14ac:dyDescent="0.25">
      <c r="A93" s="295"/>
      <c r="B93" s="286" t="s">
        <v>233</v>
      </c>
      <c r="C93" s="314"/>
      <c r="D93" s="314"/>
      <c r="E93" s="314"/>
      <c r="F93" s="314"/>
      <c r="G93" s="314"/>
      <c r="H93" s="339"/>
      <c r="I93" s="339"/>
      <c r="J93" s="339"/>
      <c r="K93" s="340"/>
      <c r="L93" s="339"/>
      <c r="M93" s="314"/>
      <c r="N93" s="341"/>
      <c r="O93" s="314"/>
      <c r="P93" s="314"/>
      <c r="Q93" s="314"/>
      <c r="R93" s="314"/>
      <c r="S93" s="314"/>
      <c r="T93" s="337"/>
      <c r="U93" s="286"/>
      <c r="V93" s="338">
        <v>0</v>
      </c>
      <c r="W93" s="318"/>
      <c r="X93" s="5"/>
    </row>
    <row r="94" spans="1:24" ht="15.75" x14ac:dyDescent="0.25">
      <c r="A94" s="295"/>
      <c r="B94" s="286" t="s">
        <v>235</v>
      </c>
      <c r="C94" s="314"/>
      <c r="D94" s="314"/>
      <c r="E94" s="314"/>
      <c r="F94" s="314"/>
      <c r="G94" s="314"/>
      <c r="H94" s="339"/>
      <c r="I94" s="339"/>
      <c r="J94" s="339"/>
      <c r="K94" s="340"/>
      <c r="L94" s="339"/>
      <c r="M94" s="314"/>
      <c r="N94" s="341"/>
      <c r="O94" s="314"/>
      <c r="P94" s="314"/>
      <c r="Q94" s="314"/>
      <c r="R94" s="314"/>
      <c r="S94" s="314"/>
      <c r="T94" s="337"/>
      <c r="U94" s="286"/>
      <c r="V94" s="338">
        <v>0</v>
      </c>
      <c r="W94" s="318"/>
      <c r="X94" s="5"/>
    </row>
    <row r="95" spans="1:24" ht="15.75" x14ac:dyDescent="0.25">
      <c r="A95" s="295"/>
      <c r="B95" s="286" t="s">
        <v>135</v>
      </c>
      <c r="C95" s="314"/>
      <c r="D95" s="314"/>
      <c r="E95" s="314"/>
      <c r="F95" s="314"/>
      <c r="G95" s="314"/>
      <c r="H95" s="314"/>
      <c r="I95" s="314"/>
      <c r="J95" s="314"/>
      <c r="K95" s="314"/>
      <c r="L95" s="314"/>
      <c r="M95" s="314"/>
      <c r="N95" s="314"/>
      <c r="O95" s="314"/>
      <c r="P95" s="314"/>
      <c r="Q95" s="314"/>
      <c r="R95" s="314"/>
      <c r="S95" s="314"/>
      <c r="T95" s="337"/>
      <c r="U95" s="286"/>
      <c r="V95" s="338">
        <v>0</v>
      </c>
      <c r="W95" s="318"/>
      <c r="X95" s="5"/>
    </row>
    <row r="96" spans="1:24" ht="15.75" x14ac:dyDescent="0.25">
      <c r="A96" s="295"/>
      <c r="B96" s="286" t="s">
        <v>272</v>
      </c>
      <c r="C96" s="314"/>
      <c r="D96" s="314"/>
      <c r="E96" s="314"/>
      <c r="F96" s="314"/>
      <c r="G96" s="314"/>
      <c r="H96" s="314"/>
      <c r="I96" s="314"/>
      <c r="J96" s="314"/>
      <c r="K96" s="314"/>
      <c r="L96" s="314"/>
      <c r="M96" s="314"/>
      <c r="N96" s="314"/>
      <c r="O96" s="314"/>
      <c r="P96" s="314"/>
      <c r="Q96" s="314"/>
      <c r="R96" s="314"/>
      <c r="S96" s="314"/>
      <c r="T96" s="337"/>
      <c r="U96" s="286"/>
      <c r="V96" s="338">
        <v>0</v>
      </c>
      <c r="W96" s="318"/>
      <c r="X96" s="5"/>
    </row>
    <row r="97" spans="1:25" ht="15.75" x14ac:dyDescent="0.25">
      <c r="A97" s="295"/>
      <c r="B97" s="286" t="s">
        <v>30</v>
      </c>
      <c r="C97" s="314"/>
      <c r="D97" s="314"/>
      <c r="E97" s="314"/>
      <c r="F97" s="314"/>
      <c r="G97" s="314"/>
      <c r="H97" s="314"/>
      <c r="I97" s="314"/>
      <c r="J97" s="314"/>
      <c r="K97" s="314"/>
      <c r="L97" s="314"/>
      <c r="M97" s="314"/>
      <c r="N97" s="314"/>
      <c r="O97" s="314"/>
      <c r="P97" s="314"/>
      <c r="Q97" s="314"/>
      <c r="R97" s="314"/>
      <c r="S97" s="314"/>
      <c r="T97" s="337">
        <f>SUM(T88:T96)</f>
        <v>7856</v>
      </c>
      <c r="U97" s="286"/>
      <c r="V97" s="337">
        <f>SUM(V88:V96)</f>
        <v>5012</v>
      </c>
      <c r="W97" s="318"/>
      <c r="X97" s="5"/>
    </row>
    <row r="98" spans="1:25" ht="15.75" x14ac:dyDescent="0.25">
      <c r="A98" s="295"/>
      <c r="B98" s="286" t="s">
        <v>161</v>
      </c>
      <c r="C98" s="314"/>
      <c r="D98" s="314"/>
      <c r="E98" s="314"/>
      <c r="F98" s="314"/>
      <c r="G98" s="314"/>
      <c r="H98" s="314"/>
      <c r="I98" s="314"/>
      <c r="J98" s="314"/>
      <c r="K98" s="314"/>
      <c r="L98" s="314"/>
      <c r="M98" s="314"/>
      <c r="N98" s="314"/>
      <c r="O98" s="314"/>
      <c r="P98" s="314"/>
      <c r="Q98" s="314"/>
      <c r="R98" s="314"/>
      <c r="S98" s="314"/>
      <c r="T98" s="337">
        <f>-V98</f>
        <v>0</v>
      </c>
      <c r="U98" s="286"/>
      <c r="V98" s="337">
        <v>0</v>
      </c>
      <c r="W98" s="318"/>
      <c r="X98" s="5"/>
    </row>
    <row r="99" spans="1:25" ht="15.75" x14ac:dyDescent="0.25">
      <c r="A99" s="295"/>
      <c r="B99" s="286" t="s">
        <v>31</v>
      </c>
      <c r="C99" s="314"/>
      <c r="D99" s="314"/>
      <c r="E99" s="314"/>
      <c r="F99" s="314"/>
      <c r="G99" s="314"/>
      <c r="H99" s="314"/>
      <c r="I99" s="314"/>
      <c r="J99" s="314"/>
      <c r="K99" s="314"/>
      <c r="L99" s="314"/>
      <c r="M99" s="314"/>
      <c r="N99" s="314"/>
      <c r="O99" s="314"/>
      <c r="P99" s="314"/>
      <c r="Q99" s="314"/>
      <c r="R99" s="314"/>
      <c r="S99" s="314"/>
      <c r="T99" s="337">
        <f>-V99</f>
        <v>0</v>
      </c>
      <c r="U99" s="286"/>
      <c r="V99" s="338">
        <v>0</v>
      </c>
      <c r="W99" s="318"/>
      <c r="X99" s="5"/>
    </row>
    <row r="100" spans="1:25" ht="15.75" x14ac:dyDescent="0.25">
      <c r="A100" s="295"/>
      <c r="B100" s="286" t="s">
        <v>274</v>
      </c>
      <c r="C100" s="314"/>
      <c r="D100" s="314"/>
      <c r="E100" s="314"/>
      <c r="F100" s="314"/>
      <c r="G100" s="314"/>
      <c r="H100" s="314"/>
      <c r="I100" s="314"/>
      <c r="J100" s="314"/>
      <c r="K100" s="314"/>
      <c r="L100" s="314"/>
      <c r="M100" s="314"/>
      <c r="N100" s="314"/>
      <c r="O100" s="314"/>
      <c r="P100" s="314"/>
      <c r="Q100" s="314"/>
      <c r="R100" s="314"/>
      <c r="S100" s="314"/>
      <c r="T100" s="337"/>
      <c r="U100" s="286"/>
      <c r="V100" s="338">
        <v>60</v>
      </c>
      <c r="W100" s="318"/>
      <c r="X100" s="5"/>
    </row>
    <row r="101" spans="1:25" ht="15.75" x14ac:dyDescent="0.25">
      <c r="A101" s="295"/>
      <c r="B101" s="286" t="s">
        <v>32</v>
      </c>
      <c r="C101" s="314"/>
      <c r="D101" s="314"/>
      <c r="E101" s="314"/>
      <c r="F101" s="314"/>
      <c r="G101" s="314"/>
      <c r="H101" s="314"/>
      <c r="I101" s="314"/>
      <c r="J101" s="314"/>
      <c r="K101" s="314"/>
      <c r="L101" s="314"/>
      <c r="M101" s="314"/>
      <c r="N101" s="314"/>
      <c r="O101" s="314"/>
      <c r="P101" s="314"/>
      <c r="Q101" s="314"/>
      <c r="R101" s="314"/>
      <c r="S101" s="314"/>
      <c r="T101" s="337">
        <f>T97+T99+T98</f>
        <v>7856</v>
      </c>
      <c r="U101" s="286"/>
      <c r="V101" s="337">
        <f>V97+V99+V98+V100</f>
        <v>5072</v>
      </c>
      <c r="W101" s="318"/>
      <c r="X101" s="5"/>
    </row>
    <row r="102" spans="1:25" ht="15.75" x14ac:dyDescent="0.25">
      <c r="A102" s="285"/>
      <c r="B102" s="342" t="s">
        <v>33</v>
      </c>
      <c r="C102" s="314"/>
      <c r="D102" s="314"/>
      <c r="E102" s="314"/>
      <c r="F102" s="314"/>
      <c r="G102" s="314"/>
      <c r="H102" s="314"/>
      <c r="I102" s="314"/>
      <c r="J102" s="314"/>
      <c r="K102" s="314"/>
      <c r="L102" s="314"/>
      <c r="M102" s="314"/>
      <c r="N102" s="314"/>
      <c r="O102" s="314"/>
      <c r="P102" s="314"/>
      <c r="Q102" s="314"/>
      <c r="R102" s="314"/>
      <c r="S102" s="314"/>
      <c r="T102" s="337"/>
      <c r="U102" s="286"/>
      <c r="V102" s="338"/>
      <c r="W102" s="318"/>
      <c r="X102" s="5"/>
    </row>
    <row r="103" spans="1:25" ht="15.75" x14ac:dyDescent="0.25">
      <c r="A103" s="295">
        <v>1</v>
      </c>
      <c r="B103" s="286" t="s">
        <v>34</v>
      </c>
      <c r="C103" s="286"/>
      <c r="D103" s="286"/>
      <c r="E103" s="314"/>
      <c r="F103" s="314"/>
      <c r="G103" s="314"/>
      <c r="H103" s="314"/>
      <c r="I103" s="314"/>
      <c r="J103" s="314"/>
      <c r="K103" s="314"/>
      <c r="L103" s="314"/>
      <c r="M103" s="314"/>
      <c r="N103" s="314"/>
      <c r="O103" s="314"/>
      <c r="P103" s="314"/>
      <c r="Q103" s="314"/>
      <c r="R103" s="314"/>
      <c r="S103" s="314"/>
      <c r="T103" s="286"/>
      <c r="U103" s="286"/>
      <c r="V103" s="338">
        <v>0</v>
      </c>
      <c r="W103" s="318"/>
      <c r="X103" s="5"/>
    </row>
    <row r="104" spans="1:25" ht="15.75" x14ac:dyDescent="0.25">
      <c r="A104" s="295">
        <f>+A103+1</f>
        <v>2</v>
      </c>
      <c r="B104" s="286" t="s">
        <v>314</v>
      </c>
      <c r="C104" s="286"/>
      <c r="D104" s="286"/>
      <c r="E104" s="314"/>
      <c r="F104" s="314"/>
      <c r="G104" s="314"/>
      <c r="H104" s="314"/>
      <c r="I104" s="314"/>
      <c r="J104" s="314"/>
      <c r="K104" s="314"/>
      <c r="L104" s="314"/>
      <c r="M104" s="314"/>
      <c r="N104" s="314"/>
      <c r="O104" s="314"/>
      <c r="P104" s="314"/>
      <c r="Q104" s="314"/>
      <c r="R104" s="314"/>
      <c r="S104" s="314"/>
      <c r="T104" s="286"/>
      <c r="U104" s="286"/>
      <c r="V104" s="338">
        <v>-2</v>
      </c>
      <c r="W104" s="318"/>
      <c r="X104" s="5"/>
    </row>
    <row r="105" spans="1:25" ht="15.75" x14ac:dyDescent="0.25">
      <c r="A105" s="295">
        <f>+A104+1</f>
        <v>3</v>
      </c>
      <c r="B105" s="412" t="s">
        <v>316</v>
      </c>
      <c r="C105" s="286"/>
      <c r="D105" s="286"/>
      <c r="E105" s="314"/>
      <c r="F105" s="314"/>
      <c r="G105" s="314"/>
      <c r="H105" s="314"/>
      <c r="I105" s="314"/>
      <c r="J105" s="314"/>
      <c r="K105" s="314"/>
      <c r="L105" s="314"/>
      <c r="M105" s="314"/>
      <c r="N105" s="314"/>
      <c r="O105" s="314"/>
      <c r="P105" s="314"/>
      <c r="Q105" s="314"/>
      <c r="R105" s="314"/>
      <c r="S105" s="314"/>
      <c r="T105" s="286"/>
      <c r="U105" s="286"/>
      <c r="V105" s="338">
        <f>-285-149-10</f>
        <v>-444</v>
      </c>
      <c r="W105" s="318"/>
      <c r="X105" s="5"/>
    </row>
    <row r="106" spans="1:25" ht="15.75" x14ac:dyDescent="0.25">
      <c r="A106" s="295" t="s">
        <v>127</v>
      </c>
      <c r="B106" s="286" t="s">
        <v>116</v>
      </c>
      <c r="C106" s="286"/>
      <c r="D106" s="286"/>
      <c r="E106" s="314"/>
      <c r="F106" s="314"/>
      <c r="G106" s="314"/>
      <c r="H106" s="314"/>
      <c r="I106" s="314"/>
      <c r="J106" s="314"/>
      <c r="K106" s="314"/>
      <c r="L106" s="314"/>
      <c r="M106" s="314"/>
      <c r="N106" s="314"/>
      <c r="O106" s="314"/>
      <c r="P106" s="314"/>
      <c r="Q106" s="314"/>
      <c r="R106" s="314"/>
      <c r="S106" s="314"/>
      <c r="T106" s="286"/>
      <c r="U106" s="286"/>
      <c r="V106" s="338">
        <v>0</v>
      </c>
      <c r="W106" s="318"/>
      <c r="X106" s="5"/>
    </row>
    <row r="107" spans="1:25" ht="15.75" x14ac:dyDescent="0.25">
      <c r="A107" s="295" t="s">
        <v>128</v>
      </c>
      <c r="B107" s="286" t="s">
        <v>220</v>
      </c>
      <c r="C107" s="286"/>
      <c r="D107" s="286"/>
      <c r="E107" s="314"/>
      <c r="F107" s="314"/>
      <c r="G107" s="314"/>
      <c r="H107" s="314"/>
      <c r="I107" s="314"/>
      <c r="J107" s="314"/>
      <c r="K107" s="314"/>
      <c r="L107" s="314"/>
      <c r="M107" s="314"/>
      <c r="N107" s="314"/>
      <c r="O107" s="314"/>
      <c r="P107" s="314"/>
      <c r="Q107" s="314"/>
      <c r="R107" s="314"/>
      <c r="S107" s="314"/>
      <c r="T107" s="286"/>
      <c r="U107" s="286"/>
      <c r="V107" s="338">
        <f>-1201+307</f>
        <v>-894</v>
      </c>
      <c r="W107" s="318"/>
      <c r="X107" s="5"/>
      <c r="Y107" s="109"/>
    </row>
    <row r="108" spans="1:25" ht="15.75" x14ac:dyDescent="0.25">
      <c r="A108" s="295" t="s">
        <v>150</v>
      </c>
      <c r="B108" s="286" t="s">
        <v>184</v>
      </c>
      <c r="C108" s="286"/>
      <c r="D108" s="286"/>
      <c r="E108" s="314"/>
      <c r="F108" s="314"/>
      <c r="G108" s="314"/>
      <c r="H108" s="314"/>
      <c r="I108" s="314"/>
      <c r="J108" s="314"/>
      <c r="K108" s="314"/>
      <c r="L108" s="314"/>
      <c r="M108" s="314"/>
      <c r="N108" s="314"/>
      <c r="O108" s="314"/>
      <c r="P108" s="314"/>
      <c r="Q108" s="314"/>
      <c r="R108" s="314"/>
      <c r="S108" s="314"/>
      <c r="T108" s="286"/>
      <c r="U108" s="286"/>
      <c r="V108" s="338">
        <v>-307</v>
      </c>
      <c r="W108" s="318"/>
      <c r="X108" s="5"/>
      <c r="Y108" s="109"/>
    </row>
    <row r="109" spans="1:25" ht="15.75" x14ac:dyDescent="0.25">
      <c r="A109" s="295" t="s">
        <v>205</v>
      </c>
      <c r="B109" s="286" t="s">
        <v>185</v>
      </c>
      <c r="C109" s="286"/>
      <c r="D109" s="286"/>
      <c r="E109" s="314"/>
      <c r="F109" s="314"/>
      <c r="G109" s="314"/>
      <c r="H109" s="314"/>
      <c r="I109" s="314"/>
      <c r="J109" s="314"/>
      <c r="K109" s="314"/>
      <c r="L109" s="314"/>
      <c r="M109" s="314"/>
      <c r="N109" s="314"/>
      <c r="O109" s="314"/>
      <c r="P109" s="314"/>
      <c r="Q109" s="314"/>
      <c r="R109" s="314"/>
      <c r="S109" s="314"/>
      <c r="T109" s="286"/>
      <c r="U109" s="286"/>
      <c r="V109" s="338">
        <v>-170</v>
      </c>
      <c r="W109" s="318"/>
      <c r="X109" s="5"/>
      <c r="Y109" s="109"/>
    </row>
    <row r="110" spans="1:25" ht="15.75" x14ac:dyDescent="0.25">
      <c r="A110" s="295" t="s">
        <v>206</v>
      </c>
      <c r="B110" s="286" t="s">
        <v>186</v>
      </c>
      <c r="C110" s="286"/>
      <c r="D110" s="286"/>
      <c r="E110" s="314"/>
      <c r="F110" s="314"/>
      <c r="G110" s="314"/>
      <c r="H110" s="314"/>
      <c r="I110" s="314"/>
      <c r="J110" s="314"/>
      <c r="K110" s="314"/>
      <c r="L110" s="314"/>
      <c r="M110" s="314"/>
      <c r="N110" s="314"/>
      <c r="O110" s="314"/>
      <c r="P110" s="314"/>
      <c r="Q110" s="314"/>
      <c r="R110" s="314"/>
      <c r="S110" s="314"/>
      <c r="T110" s="286"/>
      <c r="U110" s="286"/>
      <c r="V110" s="338">
        <v>-46</v>
      </c>
      <c r="W110" s="318"/>
      <c r="X110" s="5"/>
      <c r="Y110" s="109"/>
    </row>
    <row r="111" spans="1:25" ht="15.75" x14ac:dyDescent="0.25">
      <c r="A111" s="295">
        <v>6</v>
      </c>
      <c r="B111" s="286" t="s">
        <v>196</v>
      </c>
      <c r="C111" s="286"/>
      <c r="D111" s="286"/>
      <c r="E111" s="314"/>
      <c r="F111" s="314"/>
      <c r="G111" s="314"/>
      <c r="H111" s="314"/>
      <c r="I111" s="314"/>
      <c r="J111" s="314"/>
      <c r="K111" s="314"/>
      <c r="L111" s="314"/>
      <c r="M111" s="314"/>
      <c r="N111" s="314"/>
      <c r="O111" s="314"/>
      <c r="P111" s="314"/>
      <c r="Q111" s="314"/>
      <c r="R111" s="314"/>
      <c r="S111" s="314"/>
      <c r="T111" s="286"/>
      <c r="U111" s="286"/>
      <c r="V111" s="338">
        <v>-335</v>
      </c>
      <c r="W111" s="318"/>
      <c r="X111" s="5"/>
      <c r="Y111" s="109"/>
    </row>
    <row r="112" spans="1:25" ht="15.75" x14ac:dyDescent="0.25">
      <c r="A112" s="295">
        <v>7</v>
      </c>
      <c r="B112" s="412" t="s">
        <v>315</v>
      </c>
      <c r="C112" s="286"/>
      <c r="D112" s="286"/>
      <c r="E112" s="314"/>
      <c r="F112" s="314"/>
      <c r="G112" s="314"/>
      <c r="H112" s="314"/>
      <c r="I112" s="314"/>
      <c r="J112" s="314"/>
      <c r="K112" s="314"/>
      <c r="L112" s="314"/>
      <c r="M112" s="314"/>
      <c r="N112" s="314"/>
      <c r="O112" s="314"/>
      <c r="P112" s="314"/>
      <c r="Q112" s="314"/>
      <c r="R112" s="314"/>
      <c r="S112" s="314"/>
      <c r="T112" s="286"/>
      <c r="U112" s="286"/>
      <c r="V112" s="338">
        <v>0</v>
      </c>
      <c r="W112" s="318"/>
      <c r="X112" s="5"/>
      <c r="Y112" s="109"/>
    </row>
    <row r="113" spans="1:24" ht="15.75" x14ac:dyDescent="0.25">
      <c r="A113" s="295">
        <v>8</v>
      </c>
      <c r="B113" s="286" t="s">
        <v>35</v>
      </c>
      <c r="C113" s="286"/>
      <c r="D113" s="286"/>
      <c r="E113" s="314"/>
      <c r="F113" s="314"/>
      <c r="G113" s="314"/>
      <c r="H113" s="314"/>
      <c r="I113" s="314"/>
      <c r="J113" s="314"/>
      <c r="K113" s="314"/>
      <c r="L113" s="314"/>
      <c r="M113" s="314"/>
      <c r="N113" s="314"/>
      <c r="O113" s="314"/>
      <c r="P113" s="314"/>
      <c r="Q113" s="314"/>
      <c r="R113" s="314"/>
      <c r="S113" s="314"/>
      <c r="T113" s="286"/>
      <c r="U113" s="286"/>
      <c r="V113" s="338">
        <v>-9</v>
      </c>
      <c r="W113" s="318"/>
      <c r="X113" s="5"/>
    </row>
    <row r="114" spans="1:24" ht="15.75" x14ac:dyDescent="0.25">
      <c r="A114" s="295">
        <f t="shared" ref="A114:A119" si="0">+A113+1</f>
        <v>9</v>
      </c>
      <c r="B114" s="286" t="s">
        <v>45</v>
      </c>
      <c r="C114" s="286"/>
      <c r="D114" s="286"/>
      <c r="E114" s="314"/>
      <c r="F114" s="314"/>
      <c r="G114" s="314"/>
      <c r="H114" s="314"/>
      <c r="I114" s="314"/>
      <c r="J114" s="314"/>
      <c r="K114" s="314"/>
      <c r="L114" s="314"/>
      <c r="M114" s="314"/>
      <c r="N114" s="314"/>
      <c r="O114" s="314"/>
      <c r="P114" s="314"/>
      <c r="Q114" s="314"/>
      <c r="R114" s="314"/>
      <c r="S114" s="314"/>
      <c r="T114" s="337">
        <f>-V114</f>
        <v>223</v>
      </c>
      <c r="U114" s="286"/>
      <c r="V114" s="338">
        <v>-223</v>
      </c>
      <c r="W114" s="318"/>
      <c r="X114" s="5"/>
    </row>
    <row r="115" spans="1:24" ht="15.75" x14ac:dyDescent="0.25">
      <c r="A115" s="295">
        <f t="shared" si="0"/>
        <v>10</v>
      </c>
      <c r="B115" s="286" t="s">
        <v>125</v>
      </c>
      <c r="C115" s="286"/>
      <c r="D115" s="286"/>
      <c r="E115" s="314"/>
      <c r="F115" s="314"/>
      <c r="G115" s="314"/>
      <c r="H115" s="314"/>
      <c r="I115" s="314"/>
      <c r="J115" s="314"/>
      <c r="K115" s="314"/>
      <c r="L115" s="314"/>
      <c r="M115" s="314"/>
      <c r="N115" s="314"/>
      <c r="O115" s="314"/>
      <c r="P115" s="314"/>
      <c r="Q115" s="314"/>
      <c r="R115" s="314"/>
      <c r="S115" s="314"/>
      <c r="T115" s="286"/>
      <c r="U115" s="286"/>
      <c r="V115" s="338">
        <v>0</v>
      </c>
      <c r="W115" s="318"/>
      <c r="X115" s="5"/>
    </row>
    <row r="116" spans="1:24" ht="15.75" x14ac:dyDescent="0.25">
      <c r="A116" s="295">
        <f t="shared" si="0"/>
        <v>11</v>
      </c>
      <c r="B116" s="286" t="s">
        <v>225</v>
      </c>
      <c r="C116" s="286"/>
      <c r="D116" s="286"/>
      <c r="E116" s="314"/>
      <c r="F116" s="314"/>
      <c r="G116" s="314"/>
      <c r="H116" s="314"/>
      <c r="I116" s="314"/>
      <c r="J116" s="314"/>
      <c r="K116" s="314"/>
      <c r="L116" s="314"/>
      <c r="M116" s="314"/>
      <c r="N116" s="314"/>
      <c r="O116" s="314"/>
      <c r="P116" s="314"/>
      <c r="Q116" s="314"/>
      <c r="R116" s="314"/>
      <c r="S116" s="314"/>
      <c r="T116" s="286"/>
      <c r="U116" s="286"/>
      <c r="V116" s="338">
        <v>0</v>
      </c>
      <c r="W116" s="318"/>
      <c r="X116" s="5"/>
    </row>
    <row r="117" spans="1:24" ht="15.75" x14ac:dyDescent="0.25">
      <c r="A117" s="295">
        <f t="shared" si="0"/>
        <v>12</v>
      </c>
      <c r="B117" s="286" t="s">
        <v>36</v>
      </c>
      <c r="C117" s="286"/>
      <c r="D117" s="286"/>
      <c r="E117" s="314"/>
      <c r="F117" s="314"/>
      <c r="G117" s="314"/>
      <c r="H117" s="314"/>
      <c r="I117" s="314"/>
      <c r="J117" s="314"/>
      <c r="K117" s="314"/>
      <c r="L117" s="314"/>
      <c r="M117" s="314"/>
      <c r="N117" s="314"/>
      <c r="O117" s="314"/>
      <c r="P117" s="314"/>
      <c r="Q117" s="314"/>
      <c r="R117" s="314"/>
      <c r="S117" s="314"/>
      <c r="T117" s="286"/>
      <c r="U117" s="286"/>
      <c r="V117" s="338">
        <v>0</v>
      </c>
      <c r="W117" s="318"/>
      <c r="X117" s="5"/>
    </row>
    <row r="118" spans="1:24" ht="15.75" x14ac:dyDescent="0.25">
      <c r="A118" s="295">
        <f t="shared" si="0"/>
        <v>13</v>
      </c>
      <c r="B118" s="286" t="s">
        <v>149</v>
      </c>
      <c r="C118" s="286"/>
      <c r="D118" s="286"/>
      <c r="E118" s="314"/>
      <c r="F118" s="314"/>
      <c r="G118" s="314"/>
      <c r="H118" s="314"/>
      <c r="I118" s="314"/>
      <c r="J118" s="314"/>
      <c r="K118" s="314"/>
      <c r="L118" s="314"/>
      <c r="M118" s="314"/>
      <c r="N118" s="314"/>
      <c r="O118" s="314"/>
      <c r="P118" s="314"/>
      <c r="Q118" s="314"/>
      <c r="R118" s="314"/>
      <c r="S118" s="314"/>
      <c r="T118" s="286"/>
      <c r="U118" s="286"/>
      <c r="V118" s="338">
        <v>-285</v>
      </c>
      <c r="W118" s="318"/>
      <c r="X118" s="5"/>
    </row>
    <row r="119" spans="1:24" ht="15.75" x14ac:dyDescent="0.25">
      <c r="A119" s="295">
        <f t="shared" si="0"/>
        <v>14</v>
      </c>
      <c r="B119" s="286" t="s">
        <v>126</v>
      </c>
      <c r="C119" s="286"/>
      <c r="D119" s="286"/>
      <c r="E119" s="314"/>
      <c r="F119" s="314"/>
      <c r="G119" s="314"/>
      <c r="H119" s="314"/>
      <c r="I119" s="314"/>
      <c r="J119" s="314"/>
      <c r="K119" s="314"/>
      <c r="L119" s="314"/>
      <c r="M119" s="314"/>
      <c r="N119" s="314"/>
      <c r="O119" s="314"/>
      <c r="P119" s="314"/>
      <c r="Q119" s="314"/>
      <c r="R119" s="314"/>
      <c r="S119" s="314"/>
      <c r="T119" s="286"/>
      <c r="U119" s="286"/>
      <c r="V119" s="338">
        <f>-V101-SUM(V103:V118)</f>
        <v>-2357</v>
      </c>
      <c r="W119" s="318"/>
      <c r="X119" s="5"/>
    </row>
    <row r="120" spans="1:24" ht="15.75" x14ac:dyDescent="0.25">
      <c r="A120" s="285"/>
      <c r="B120" s="342" t="s">
        <v>37</v>
      </c>
      <c r="C120" s="314"/>
      <c r="D120" s="314"/>
      <c r="E120" s="314"/>
      <c r="F120" s="314"/>
      <c r="G120" s="314"/>
      <c r="H120" s="314"/>
      <c r="I120" s="314"/>
      <c r="J120" s="314"/>
      <c r="K120" s="314"/>
      <c r="L120" s="314"/>
      <c r="M120" s="314"/>
      <c r="N120" s="314"/>
      <c r="O120" s="314"/>
      <c r="P120" s="314"/>
      <c r="Q120" s="314"/>
      <c r="R120" s="314"/>
      <c r="S120" s="314"/>
      <c r="T120" s="286"/>
      <c r="U120" s="286"/>
      <c r="V120" s="343"/>
      <c r="W120" s="318"/>
      <c r="X120" s="5"/>
    </row>
    <row r="121" spans="1:24" ht="15.75" x14ac:dyDescent="0.25">
      <c r="A121" s="285"/>
      <c r="B121" s="286" t="s">
        <v>173</v>
      </c>
      <c r="C121" s="314"/>
      <c r="D121" s="314"/>
      <c r="E121" s="314"/>
      <c r="F121" s="314"/>
      <c r="G121" s="314"/>
      <c r="H121" s="314"/>
      <c r="I121" s="314"/>
      <c r="J121" s="314"/>
      <c r="K121" s="314"/>
      <c r="L121" s="314"/>
      <c r="M121" s="314"/>
      <c r="N121" s="314"/>
      <c r="O121" s="314"/>
      <c r="P121" s="314"/>
      <c r="Q121" s="314"/>
      <c r="R121" s="314"/>
      <c r="S121" s="314"/>
      <c r="T121" s="337">
        <f>-T186</f>
        <v>0</v>
      </c>
      <c r="U121" s="337"/>
      <c r="V121" s="338"/>
      <c r="W121" s="318"/>
      <c r="X121" s="5"/>
    </row>
    <row r="122" spans="1:24" ht="15.75" x14ac:dyDescent="0.25">
      <c r="A122" s="285"/>
      <c r="B122" s="286" t="s">
        <v>174</v>
      </c>
      <c r="C122" s="314"/>
      <c r="D122" s="314"/>
      <c r="E122" s="314"/>
      <c r="F122" s="314"/>
      <c r="G122" s="314"/>
      <c r="H122" s="314"/>
      <c r="I122" s="314"/>
      <c r="J122" s="314"/>
      <c r="K122" s="314"/>
      <c r="L122" s="314"/>
      <c r="M122" s="314"/>
      <c r="N122" s="314"/>
      <c r="O122" s="314"/>
      <c r="P122" s="314"/>
      <c r="Q122" s="314"/>
      <c r="R122" s="314"/>
      <c r="S122" s="314"/>
      <c r="T122" s="337">
        <v>0</v>
      </c>
      <c r="U122" s="337"/>
      <c r="V122" s="338"/>
      <c r="W122" s="318"/>
      <c r="X122" s="5"/>
    </row>
    <row r="123" spans="1:24" ht="15.75" x14ac:dyDescent="0.25">
      <c r="A123" s="285"/>
      <c r="B123" s="286" t="s">
        <v>38</v>
      </c>
      <c r="C123" s="314"/>
      <c r="D123" s="314"/>
      <c r="E123" s="314"/>
      <c r="F123" s="314"/>
      <c r="G123" s="314"/>
      <c r="H123" s="314"/>
      <c r="I123" s="314"/>
      <c r="J123" s="314"/>
      <c r="K123" s="314"/>
      <c r="L123" s="314"/>
      <c r="M123" s="314"/>
      <c r="N123" s="314"/>
      <c r="O123" s="314"/>
      <c r="P123" s="314"/>
      <c r="Q123" s="314"/>
      <c r="R123" s="314"/>
      <c r="S123" s="314"/>
      <c r="T123" s="337">
        <f>-S186</f>
        <v>-147</v>
      </c>
      <c r="U123" s="337"/>
      <c r="V123" s="338"/>
      <c r="W123" s="318"/>
      <c r="X123" s="5"/>
    </row>
    <row r="124" spans="1:24" ht="15.75" x14ac:dyDescent="0.25">
      <c r="A124" s="285"/>
      <c r="B124" s="286" t="s">
        <v>197</v>
      </c>
      <c r="C124" s="314"/>
      <c r="D124" s="314"/>
      <c r="E124" s="314"/>
      <c r="F124" s="314"/>
      <c r="G124" s="314"/>
      <c r="H124" s="314"/>
      <c r="I124" s="314"/>
      <c r="J124" s="314"/>
      <c r="K124" s="314"/>
      <c r="L124" s="314"/>
      <c r="M124" s="314"/>
      <c r="N124" s="314"/>
      <c r="O124" s="314"/>
      <c r="P124" s="314"/>
      <c r="Q124" s="314"/>
      <c r="R124" s="314"/>
      <c r="S124" s="314"/>
      <c r="T124" s="337">
        <v>-4594</v>
      </c>
      <c r="U124" s="337"/>
      <c r="V124" s="338"/>
      <c r="W124" s="318"/>
      <c r="X124" s="5"/>
    </row>
    <row r="125" spans="1:24" ht="15.75" x14ac:dyDescent="0.25">
      <c r="A125" s="285"/>
      <c r="B125" s="286" t="s">
        <v>195</v>
      </c>
      <c r="C125" s="314"/>
      <c r="D125" s="314"/>
      <c r="E125" s="314"/>
      <c r="F125" s="314"/>
      <c r="G125" s="314"/>
      <c r="H125" s="314"/>
      <c r="I125" s="314"/>
      <c r="J125" s="314"/>
      <c r="K125" s="314"/>
      <c r="L125" s="314"/>
      <c r="M125" s="314"/>
      <c r="N125" s="314"/>
      <c r="O125" s="314"/>
      <c r="P125" s="314"/>
      <c r="Q125" s="314"/>
      <c r="R125" s="314"/>
      <c r="S125" s="314"/>
      <c r="T125" s="337">
        <v>-1953</v>
      </c>
      <c r="U125" s="337"/>
      <c r="V125" s="338"/>
      <c r="W125" s="318"/>
      <c r="X125" s="5"/>
    </row>
    <row r="126" spans="1:24" ht="15.75" x14ac:dyDescent="0.25">
      <c r="A126" s="285"/>
      <c r="B126" s="286" t="s">
        <v>194</v>
      </c>
      <c r="C126" s="314"/>
      <c r="D126" s="314"/>
      <c r="E126" s="314"/>
      <c r="F126" s="314"/>
      <c r="G126" s="314"/>
      <c r="H126" s="314"/>
      <c r="I126" s="314"/>
      <c r="J126" s="314"/>
      <c r="K126" s="314"/>
      <c r="L126" s="314"/>
      <c r="M126" s="314"/>
      <c r="N126" s="314"/>
      <c r="O126" s="314"/>
      <c r="P126" s="314"/>
      <c r="Q126" s="314"/>
      <c r="R126" s="314"/>
      <c r="S126" s="314"/>
      <c r="T126" s="337">
        <v>-696</v>
      </c>
      <c r="U126" s="337"/>
      <c r="V126" s="338"/>
      <c r="W126" s="318"/>
      <c r="X126" s="5"/>
    </row>
    <row r="127" spans="1:24" ht="15.75" x14ac:dyDescent="0.25">
      <c r="A127" s="285"/>
      <c r="B127" s="286" t="s">
        <v>222</v>
      </c>
      <c r="C127" s="314"/>
      <c r="D127" s="314"/>
      <c r="E127" s="314"/>
      <c r="F127" s="314"/>
      <c r="G127" s="314"/>
      <c r="H127" s="314"/>
      <c r="I127" s="314"/>
      <c r="J127" s="314"/>
      <c r="K127" s="314"/>
      <c r="L127" s="314"/>
      <c r="M127" s="314"/>
      <c r="N127" s="314"/>
      <c r="O127" s="314"/>
      <c r="P127" s="314"/>
      <c r="Q127" s="314"/>
      <c r="R127" s="314"/>
      <c r="S127" s="314"/>
      <c r="T127" s="337">
        <v>-689</v>
      </c>
      <c r="U127" s="337"/>
      <c r="V127" s="338"/>
      <c r="W127" s="318"/>
      <c r="X127" s="5"/>
    </row>
    <row r="128" spans="1:24" ht="15.75" x14ac:dyDescent="0.25">
      <c r="A128" s="285"/>
      <c r="B128" s="286" t="s">
        <v>189</v>
      </c>
      <c r="C128" s="314"/>
      <c r="D128" s="314"/>
      <c r="E128" s="314"/>
      <c r="F128" s="314"/>
      <c r="G128" s="314"/>
      <c r="H128" s="314"/>
      <c r="I128" s="314"/>
      <c r="J128" s="314"/>
      <c r="K128" s="314"/>
      <c r="L128" s="314"/>
      <c r="M128" s="314"/>
      <c r="N128" s="314"/>
      <c r="O128" s="314"/>
      <c r="P128" s="314"/>
      <c r="Q128" s="314"/>
      <c r="R128" s="314"/>
      <c r="S128" s="314"/>
      <c r="T128" s="337">
        <v>0</v>
      </c>
      <c r="U128" s="337"/>
      <c r="V128" s="338"/>
      <c r="W128" s="318"/>
      <c r="X128" s="5"/>
    </row>
    <row r="129" spans="1:24" ht="15.75" x14ac:dyDescent="0.25">
      <c r="A129" s="285"/>
      <c r="B129" s="286" t="s">
        <v>188</v>
      </c>
      <c r="C129" s="314"/>
      <c r="D129" s="314"/>
      <c r="E129" s="314"/>
      <c r="F129" s="314"/>
      <c r="G129" s="314"/>
      <c r="H129" s="314"/>
      <c r="I129" s="314"/>
      <c r="J129" s="314"/>
      <c r="K129" s="314"/>
      <c r="L129" s="314"/>
      <c r="M129" s="314"/>
      <c r="N129" s="314"/>
      <c r="O129" s="314"/>
      <c r="P129" s="314"/>
      <c r="Q129" s="314"/>
      <c r="R129" s="314"/>
      <c r="S129" s="314"/>
      <c r="T129" s="337">
        <v>0</v>
      </c>
      <c r="U129" s="337"/>
      <c r="V129" s="338"/>
      <c r="W129" s="318"/>
      <c r="X129" s="5"/>
    </row>
    <row r="130" spans="1:24" ht="15.75" x14ac:dyDescent="0.25">
      <c r="A130" s="285"/>
      <c r="B130" s="286" t="s">
        <v>187</v>
      </c>
      <c r="C130" s="314"/>
      <c r="D130" s="314"/>
      <c r="E130" s="314"/>
      <c r="F130" s="314"/>
      <c r="G130" s="314"/>
      <c r="H130" s="314"/>
      <c r="I130" s="314"/>
      <c r="J130" s="314"/>
      <c r="K130" s="314"/>
      <c r="L130" s="314"/>
      <c r="M130" s="314"/>
      <c r="N130" s="314"/>
      <c r="O130" s="314"/>
      <c r="P130" s="314"/>
      <c r="Q130" s="314"/>
      <c r="R130" s="314"/>
      <c r="S130" s="314"/>
      <c r="T130" s="337">
        <v>0</v>
      </c>
      <c r="U130" s="337"/>
      <c r="V130" s="338"/>
      <c r="W130" s="318"/>
      <c r="X130" s="5"/>
    </row>
    <row r="131" spans="1:24" ht="15.75" x14ac:dyDescent="0.25">
      <c r="A131" s="285"/>
      <c r="B131" s="286" t="s">
        <v>39</v>
      </c>
      <c r="C131" s="314"/>
      <c r="D131" s="314"/>
      <c r="E131" s="314"/>
      <c r="F131" s="314"/>
      <c r="G131" s="314"/>
      <c r="H131" s="314"/>
      <c r="I131" s="314"/>
      <c r="J131" s="314"/>
      <c r="K131" s="314"/>
      <c r="L131" s="314"/>
      <c r="M131" s="314"/>
      <c r="N131" s="314"/>
      <c r="O131" s="314"/>
      <c r="P131" s="314"/>
      <c r="Q131" s="314"/>
      <c r="R131" s="314"/>
      <c r="S131" s="314"/>
      <c r="T131" s="337">
        <f>SUM(T121:T130)</f>
        <v>-8079</v>
      </c>
      <c r="U131" s="337"/>
      <c r="V131" s="337">
        <f>SUM(V102:V129)</f>
        <v>-5072</v>
      </c>
      <c r="W131" s="318"/>
      <c r="X131" s="5"/>
    </row>
    <row r="132" spans="1:24" ht="15.75" x14ac:dyDescent="0.25">
      <c r="A132" s="285"/>
      <c r="B132" s="286" t="s">
        <v>40</v>
      </c>
      <c r="C132" s="314"/>
      <c r="D132" s="314"/>
      <c r="E132" s="314"/>
      <c r="F132" s="314"/>
      <c r="G132" s="314"/>
      <c r="H132" s="314"/>
      <c r="I132" s="314"/>
      <c r="J132" s="314"/>
      <c r="K132" s="314"/>
      <c r="L132" s="314"/>
      <c r="M132" s="314"/>
      <c r="N132" s="314"/>
      <c r="O132" s="314"/>
      <c r="P132" s="314"/>
      <c r="Q132" s="314"/>
      <c r="R132" s="314"/>
      <c r="S132" s="314"/>
      <c r="T132" s="337">
        <f>T101+T131+T114</f>
        <v>0</v>
      </c>
      <c r="U132" s="337"/>
      <c r="V132" s="337">
        <f>V101+V131</f>
        <v>0</v>
      </c>
      <c r="W132" s="318"/>
      <c r="X132" s="5"/>
    </row>
    <row r="133" spans="1:24" ht="15.75" x14ac:dyDescent="0.25">
      <c r="A133" s="181"/>
      <c r="B133" s="212"/>
      <c r="C133" s="212"/>
      <c r="D133" s="212"/>
      <c r="E133" s="212"/>
      <c r="F133" s="212"/>
      <c r="G133" s="212"/>
      <c r="H133" s="212"/>
      <c r="I133" s="212"/>
      <c r="J133" s="212"/>
      <c r="K133" s="212"/>
      <c r="L133" s="212"/>
      <c r="M133" s="212"/>
      <c r="N133" s="212"/>
      <c r="O133" s="212"/>
      <c r="P133" s="212"/>
      <c r="Q133" s="212"/>
      <c r="R133" s="212"/>
      <c r="S133" s="212"/>
      <c r="T133" s="335"/>
      <c r="U133" s="335"/>
      <c r="V133" s="335"/>
      <c r="W133" s="212"/>
      <c r="X133" s="5"/>
    </row>
    <row r="134" spans="1:24" ht="15.75" x14ac:dyDescent="0.25">
      <c r="A134" s="181"/>
      <c r="B134" s="183"/>
      <c r="C134" s="183"/>
      <c r="D134" s="183"/>
      <c r="E134" s="183"/>
      <c r="F134" s="183"/>
      <c r="G134" s="183"/>
      <c r="H134" s="183"/>
      <c r="I134" s="183"/>
      <c r="J134" s="183"/>
      <c r="K134" s="183"/>
      <c r="L134" s="183"/>
      <c r="M134" s="183"/>
      <c r="N134" s="183"/>
      <c r="O134" s="183"/>
      <c r="P134" s="183"/>
      <c r="Q134" s="183"/>
      <c r="R134" s="183"/>
      <c r="S134" s="183"/>
      <c r="T134" s="183"/>
      <c r="U134" s="183"/>
      <c r="V134" s="202"/>
      <c r="W134" s="183"/>
      <c r="X134" s="5"/>
    </row>
    <row r="135" spans="1:24" ht="19.5" thickBot="1" x14ac:dyDescent="0.35">
      <c r="A135" s="197"/>
      <c r="B135" s="270" t="str">
        <f>B64</f>
        <v>PM15 INVESTOR REPORT QUARTER ENDING FEBRUARY 2015</v>
      </c>
      <c r="C135" s="198"/>
      <c r="D135" s="198"/>
      <c r="E135" s="198"/>
      <c r="F135" s="198"/>
      <c r="G135" s="198"/>
      <c r="H135" s="198"/>
      <c r="I135" s="198"/>
      <c r="J135" s="198"/>
      <c r="K135" s="198"/>
      <c r="L135" s="198"/>
      <c r="M135" s="198"/>
      <c r="N135" s="198"/>
      <c r="O135" s="198"/>
      <c r="P135" s="198"/>
      <c r="Q135" s="198"/>
      <c r="R135" s="198"/>
      <c r="S135" s="198"/>
      <c r="T135" s="198"/>
      <c r="U135" s="198"/>
      <c r="V135" s="209"/>
      <c r="W135" s="200"/>
      <c r="X135" s="5"/>
    </row>
    <row r="136" spans="1:24" ht="15.75" x14ac:dyDescent="0.25">
      <c r="A136" s="236"/>
      <c r="B136" s="403" t="s">
        <v>41</v>
      </c>
      <c r="C136" s="238"/>
      <c r="D136" s="238"/>
      <c r="E136" s="238"/>
      <c r="F136" s="238"/>
      <c r="G136" s="238"/>
      <c r="H136" s="238"/>
      <c r="I136" s="238"/>
      <c r="J136" s="238"/>
      <c r="K136" s="238"/>
      <c r="L136" s="238"/>
      <c r="M136" s="238"/>
      <c r="N136" s="238"/>
      <c r="O136" s="238"/>
      <c r="P136" s="238"/>
      <c r="Q136" s="238"/>
      <c r="R136" s="238"/>
      <c r="S136" s="238"/>
      <c r="T136" s="238"/>
      <c r="U136" s="238"/>
      <c r="V136" s="239"/>
      <c r="W136" s="238"/>
      <c r="X136" s="5"/>
    </row>
    <row r="137" spans="1:24" ht="15.75" x14ac:dyDescent="0.25">
      <c r="A137" s="181"/>
      <c r="B137" s="191"/>
      <c r="C137" s="183"/>
      <c r="D137" s="183"/>
      <c r="E137" s="183"/>
      <c r="F137" s="183"/>
      <c r="G137" s="183"/>
      <c r="H137" s="183"/>
      <c r="I137" s="183"/>
      <c r="J137" s="183"/>
      <c r="K137" s="183"/>
      <c r="L137" s="183"/>
      <c r="M137" s="183"/>
      <c r="N137" s="183"/>
      <c r="O137" s="183"/>
      <c r="P137" s="183"/>
      <c r="Q137" s="183"/>
      <c r="R137" s="183"/>
      <c r="S137" s="183"/>
      <c r="T137" s="183"/>
      <c r="U137" s="183"/>
      <c r="V137" s="202"/>
      <c r="W137" s="183"/>
      <c r="X137" s="5"/>
    </row>
    <row r="138" spans="1:24" ht="15.75" x14ac:dyDescent="0.25">
      <c r="A138" s="181"/>
      <c r="B138" s="210" t="s">
        <v>42</v>
      </c>
      <c r="C138" s="183"/>
      <c r="D138" s="183"/>
      <c r="E138" s="183"/>
      <c r="F138" s="183"/>
      <c r="G138" s="183"/>
      <c r="H138" s="183"/>
      <c r="I138" s="183"/>
      <c r="J138" s="183"/>
      <c r="K138" s="183"/>
      <c r="L138" s="183"/>
      <c r="M138" s="183"/>
      <c r="N138" s="183"/>
      <c r="O138" s="183"/>
      <c r="P138" s="183"/>
      <c r="Q138" s="183"/>
      <c r="R138" s="183"/>
      <c r="S138" s="183"/>
      <c r="T138" s="183"/>
      <c r="U138" s="183"/>
      <c r="V138" s="202"/>
      <c r="W138" s="183"/>
      <c r="X138" s="5"/>
    </row>
    <row r="139" spans="1:24" ht="15.75" x14ac:dyDescent="0.25">
      <c r="A139" s="285"/>
      <c r="B139" s="286" t="s">
        <v>43</v>
      </c>
      <c r="C139" s="286"/>
      <c r="D139" s="286"/>
      <c r="E139" s="286"/>
      <c r="F139" s="286"/>
      <c r="G139" s="286"/>
      <c r="H139" s="286"/>
      <c r="I139" s="286"/>
      <c r="J139" s="286"/>
      <c r="K139" s="286"/>
      <c r="L139" s="286"/>
      <c r="M139" s="286"/>
      <c r="N139" s="286"/>
      <c r="O139" s="286"/>
      <c r="P139" s="286"/>
      <c r="Q139" s="286"/>
      <c r="R139" s="286"/>
      <c r="S139" s="286"/>
      <c r="T139" s="286"/>
      <c r="U139" s="286"/>
      <c r="V139" s="338">
        <f>+V34*0.019</f>
        <v>19021.526999999998</v>
      </c>
      <c r="W139" s="289"/>
      <c r="X139" s="5"/>
    </row>
    <row r="140" spans="1:24" ht="15.75" x14ac:dyDescent="0.25">
      <c r="A140" s="285"/>
      <c r="B140" s="286" t="s">
        <v>44</v>
      </c>
      <c r="C140" s="286"/>
      <c r="D140" s="286"/>
      <c r="E140" s="286"/>
      <c r="F140" s="286"/>
      <c r="G140" s="286"/>
      <c r="H140" s="286"/>
      <c r="I140" s="286"/>
      <c r="J140" s="286"/>
      <c r="K140" s="286"/>
      <c r="L140" s="286"/>
      <c r="M140" s="286"/>
      <c r="N140" s="286"/>
      <c r="O140" s="286"/>
      <c r="P140" s="286"/>
      <c r="Q140" s="286"/>
      <c r="R140" s="286"/>
      <c r="S140" s="286"/>
      <c r="T140" s="286"/>
      <c r="U140" s="286"/>
      <c r="V140" s="338">
        <v>19022</v>
      </c>
      <c r="W140" s="289"/>
      <c r="X140" s="5"/>
    </row>
    <row r="141" spans="1:24" ht="15.75" x14ac:dyDescent="0.25">
      <c r="A141" s="285"/>
      <c r="B141" s="286" t="s">
        <v>136</v>
      </c>
      <c r="C141" s="286"/>
      <c r="D141" s="286"/>
      <c r="E141" s="286"/>
      <c r="F141" s="286"/>
      <c r="G141" s="286"/>
      <c r="H141" s="286"/>
      <c r="I141" s="286"/>
      <c r="J141" s="286"/>
      <c r="K141" s="286"/>
      <c r="L141" s="286"/>
      <c r="M141" s="286"/>
      <c r="N141" s="286"/>
      <c r="O141" s="286"/>
      <c r="P141" s="286"/>
      <c r="Q141" s="286"/>
      <c r="R141" s="286"/>
      <c r="S141" s="286"/>
      <c r="T141" s="286"/>
      <c r="U141" s="286"/>
      <c r="V141" s="338"/>
      <c r="W141" s="289"/>
      <c r="X141" s="5"/>
    </row>
    <row r="142" spans="1:24" ht="15.75" x14ac:dyDescent="0.25">
      <c r="A142" s="285"/>
      <c r="B142" s="286" t="s">
        <v>123</v>
      </c>
      <c r="C142" s="286"/>
      <c r="D142" s="286"/>
      <c r="E142" s="286"/>
      <c r="F142" s="286"/>
      <c r="G142" s="286"/>
      <c r="H142" s="286"/>
      <c r="I142" s="286"/>
      <c r="J142" s="286"/>
      <c r="K142" s="286"/>
      <c r="L142" s="286"/>
      <c r="M142" s="286"/>
      <c r="N142" s="286"/>
      <c r="O142" s="286"/>
      <c r="P142" s="286"/>
      <c r="Q142" s="286"/>
      <c r="R142" s="286"/>
      <c r="S142" s="286"/>
      <c r="T142" s="286"/>
      <c r="U142" s="286"/>
      <c r="V142" s="338">
        <v>0</v>
      </c>
      <c r="W142" s="289"/>
      <c r="X142" s="5"/>
    </row>
    <row r="143" spans="1:24" ht="15.75" x14ac:dyDescent="0.25">
      <c r="A143" s="285"/>
      <c r="B143" s="286" t="s">
        <v>124</v>
      </c>
      <c r="C143" s="286"/>
      <c r="D143" s="286"/>
      <c r="E143" s="286"/>
      <c r="F143" s="286"/>
      <c r="G143" s="286"/>
      <c r="H143" s="286"/>
      <c r="I143" s="286"/>
      <c r="J143" s="286"/>
      <c r="K143" s="286"/>
      <c r="L143" s="286"/>
      <c r="M143" s="286"/>
      <c r="N143" s="286"/>
      <c r="O143" s="286"/>
      <c r="P143" s="286"/>
      <c r="Q143" s="286"/>
      <c r="R143" s="286"/>
      <c r="S143" s="286"/>
      <c r="T143" s="286"/>
      <c r="U143" s="286"/>
      <c r="V143" s="338">
        <v>0</v>
      </c>
      <c r="W143" s="289"/>
      <c r="X143" s="5"/>
    </row>
    <row r="144" spans="1:24" ht="15.75" x14ac:dyDescent="0.25">
      <c r="A144" s="285"/>
      <c r="B144" s="286" t="s">
        <v>175</v>
      </c>
      <c r="C144" s="286"/>
      <c r="D144" s="286"/>
      <c r="E144" s="286"/>
      <c r="F144" s="286"/>
      <c r="G144" s="286"/>
      <c r="H144" s="286"/>
      <c r="I144" s="286"/>
      <c r="J144" s="286"/>
      <c r="K144" s="286"/>
      <c r="L144" s="286"/>
      <c r="M144" s="286"/>
      <c r="N144" s="286"/>
      <c r="O144" s="286"/>
      <c r="P144" s="286"/>
      <c r="Q144" s="286"/>
      <c r="R144" s="286"/>
      <c r="S144" s="286"/>
      <c r="T144" s="286"/>
      <c r="U144" s="286"/>
      <c r="V144" s="338">
        <v>0</v>
      </c>
      <c r="W144" s="289"/>
      <c r="X144" s="5"/>
    </row>
    <row r="145" spans="1:25" ht="15.75" x14ac:dyDescent="0.25">
      <c r="A145" s="285"/>
      <c r="B145" s="286" t="s">
        <v>45</v>
      </c>
      <c r="C145" s="286"/>
      <c r="D145" s="286"/>
      <c r="E145" s="286"/>
      <c r="F145" s="286"/>
      <c r="G145" s="286"/>
      <c r="H145" s="286"/>
      <c r="I145" s="286"/>
      <c r="J145" s="286"/>
      <c r="K145" s="286"/>
      <c r="L145" s="286"/>
      <c r="M145" s="286"/>
      <c r="N145" s="286"/>
      <c r="O145" s="286"/>
      <c r="P145" s="286"/>
      <c r="Q145" s="286"/>
      <c r="R145" s="286"/>
      <c r="S145" s="286"/>
      <c r="T145" s="286"/>
      <c r="U145" s="286"/>
      <c r="V145" s="338">
        <v>0</v>
      </c>
      <c r="W145" s="289"/>
      <c r="X145" s="5"/>
    </row>
    <row r="146" spans="1:25" ht="15.75" x14ac:dyDescent="0.25">
      <c r="A146" s="285"/>
      <c r="B146" s="286" t="s">
        <v>129</v>
      </c>
      <c r="C146" s="286"/>
      <c r="D146" s="286"/>
      <c r="E146" s="286"/>
      <c r="F146" s="286"/>
      <c r="G146" s="286"/>
      <c r="H146" s="286"/>
      <c r="I146" s="286"/>
      <c r="J146" s="286"/>
      <c r="K146" s="286"/>
      <c r="L146" s="286"/>
      <c r="M146" s="286"/>
      <c r="N146" s="286"/>
      <c r="O146" s="286"/>
      <c r="P146" s="286"/>
      <c r="Q146" s="286"/>
      <c r="R146" s="286"/>
      <c r="S146" s="286"/>
      <c r="T146" s="286"/>
      <c r="U146" s="286"/>
      <c r="V146" s="338">
        <v>0</v>
      </c>
      <c r="W146" s="289"/>
      <c r="X146" s="5"/>
    </row>
    <row r="147" spans="1:25" ht="15.75" x14ac:dyDescent="0.25">
      <c r="A147" s="285"/>
      <c r="B147" s="286" t="s">
        <v>241</v>
      </c>
      <c r="C147" s="286"/>
      <c r="D147" s="286"/>
      <c r="E147" s="286"/>
      <c r="F147" s="286"/>
      <c r="G147" s="286"/>
      <c r="H147" s="286"/>
      <c r="I147" s="286"/>
      <c r="J147" s="286"/>
      <c r="K147" s="286"/>
      <c r="L147" s="286"/>
      <c r="M147" s="286"/>
      <c r="N147" s="286"/>
      <c r="O147" s="286"/>
      <c r="P147" s="286"/>
      <c r="Q147" s="286"/>
      <c r="R147" s="286"/>
      <c r="S147" s="286"/>
      <c r="T147" s="286"/>
      <c r="U147" s="286"/>
      <c r="V147" s="338">
        <v>0</v>
      </c>
      <c r="W147" s="289"/>
      <c r="X147" s="5"/>
      <c r="Y147" s="109"/>
    </row>
    <row r="148" spans="1:25" ht="15.75" x14ac:dyDescent="0.25">
      <c r="A148" s="285"/>
      <c r="B148" s="286" t="s">
        <v>46</v>
      </c>
      <c r="C148" s="286"/>
      <c r="D148" s="286"/>
      <c r="E148" s="286"/>
      <c r="F148" s="286"/>
      <c r="G148" s="286"/>
      <c r="H148" s="286"/>
      <c r="I148" s="286"/>
      <c r="J148" s="286"/>
      <c r="K148" s="286"/>
      <c r="L148" s="286"/>
      <c r="M148" s="286"/>
      <c r="N148" s="286"/>
      <c r="O148" s="286"/>
      <c r="P148" s="286"/>
      <c r="Q148" s="286"/>
      <c r="R148" s="286"/>
      <c r="S148" s="286"/>
      <c r="T148" s="286"/>
      <c r="U148" s="286"/>
      <c r="V148" s="338">
        <f>SUM(V140:V147)</f>
        <v>19022</v>
      </c>
      <c r="W148" s="289"/>
      <c r="X148" s="5"/>
    </row>
    <row r="149" spans="1:25" ht="15.75" x14ac:dyDescent="0.25">
      <c r="A149" s="285"/>
      <c r="B149" s="314"/>
      <c r="C149" s="314"/>
      <c r="D149" s="314"/>
      <c r="E149" s="314"/>
      <c r="F149" s="314"/>
      <c r="G149" s="314"/>
      <c r="H149" s="314"/>
      <c r="I149" s="314"/>
      <c r="J149" s="314"/>
      <c r="K149" s="314"/>
      <c r="L149" s="314"/>
      <c r="M149" s="314"/>
      <c r="N149" s="314"/>
      <c r="O149" s="314"/>
      <c r="P149" s="314"/>
      <c r="Q149" s="314"/>
      <c r="R149" s="314"/>
      <c r="S149" s="314"/>
      <c r="T149" s="314"/>
      <c r="U149" s="314"/>
      <c r="V149" s="345"/>
      <c r="W149" s="318"/>
      <c r="X149" s="5"/>
    </row>
    <row r="150" spans="1:25" ht="15.75" x14ac:dyDescent="0.25">
      <c r="A150" s="285"/>
      <c r="B150" s="342" t="s">
        <v>269</v>
      </c>
      <c r="C150" s="314"/>
      <c r="D150" s="314"/>
      <c r="E150" s="314"/>
      <c r="F150" s="314"/>
      <c r="G150" s="314"/>
      <c r="H150" s="314"/>
      <c r="I150" s="314"/>
      <c r="J150" s="314"/>
      <c r="K150" s="314"/>
      <c r="L150" s="314"/>
      <c r="M150" s="314"/>
      <c r="N150" s="314"/>
      <c r="O150" s="314"/>
      <c r="P150" s="314"/>
      <c r="Q150" s="314"/>
      <c r="R150" s="314"/>
      <c r="S150" s="314"/>
      <c r="T150" s="314"/>
      <c r="U150" s="314"/>
      <c r="V150" s="345"/>
      <c r="W150" s="318"/>
      <c r="X150" s="5"/>
    </row>
    <row r="151" spans="1:25" ht="15.75" x14ac:dyDescent="0.25">
      <c r="A151" s="285"/>
      <c r="B151" s="286" t="s">
        <v>155</v>
      </c>
      <c r="C151" s="286"/>
      <c r="D151" s="286"/>
      <c r="E151" s="286"/>
      <c r="F151" s="286"/>
      <c r="G151" s="286"/>
      <c r="H151" s="286"/>
      <c r="I151" s="286"/>
      <c r="J151" s="286"/>
      <c r="K151" s="286"/>
      <c r="L151" s="286"/>
      <c r="M151" s="286"/>
      <c r="N151" s="286"/>
      <c r="O151" s="286"/>
      <c r="P151" s="286"/>
      <c r="Q151" s="286"/>
      <c r="R151" s="286"/>
      <c r="S151" s="286"/>
      <c r="T151" s="286"/>
      <c r="U151" s="286"/>
      <c r="V151" s="338">
        <v>0</v>
      </c>
      <c r="W151" s="289"/>
      <c r="X151" s="5"/>
    </row>
    <row r="152" spans="1:25" ht="15.75" x14ac:dyDescent="0.25">
      <c r="A152" s="285"/>
      <c r="B152" s="286" t="s">
        <v>172</v>
      </c>
      <c r="C152" s="286"/>
      <c r="D152" s="286"/>
      <c r="E152" s="286"/>
      <c r="F152" s="286"/>
      <c r="G152" s="286"/>
      <c r="H152" s="286"/>
      <c r="I152" s="286"/>
      <c r="J152" s="286"/>
      <c r="K152" s="286"/>
      <c r="L152" s="286"/>
      <c r="M152" s="286"/>
      <c r="N152" s="286"/>
      <c r="O152" s="286"/>
      <c r="P152" s="286"/>
      <c r="Q152" s="286"/>
      <c r="R152" s="286"/>
      <c r="S152" s="286"/>
      <c r="T152" s="286"/>
      <c r="U152" s="286"/>
      <c r="V152" s="338">
        <v>0</v>
      </c>
      <c r="W152" s="289"/>
      <c r="X152" s="5"/>
    </row>
    <row r="153" spans="1:25" ht="15.75" x14ac:dyDescent="0.25">
      <c r="A153" s="285"/>
      <c r="B153" s="286" t="s">
        <v>226</v>
      </c>
      <c r="C153" s="286"/>
      <c r="D153" s="286"/>
      <c r="E153" s="286"/>
      <c r="F153" s="286"/>
      <c r="G153" s="286"/>
      <c r="H153" s="286"/>
      <c r="I153" s="286"/>
      <c r="J153" s="286"/>
      <c r="K153" s="286"/>
      <c r="L153" s="286"/>
      <c r="M153" s="286"/>
      <c r="N153" s="286"/>
      <c r="O153" s="286"/>
      <c r="P153" s="286"/>
      <c r="Q153" s="286"/>
      <c r="R153" s="286"/>
      <c r="S153" s="286"/>
      <c r="T153" s="286"/>
      <c r="U153" s="286"/>
      <c r="V153" s="338">
        <v>0</v>
      </c>
      <c r="W153" s="289"/>
      <c r="X153" s="5"/>
    </row>
    <row r="154" spans="1:25" ht="15.75" x14ac:dyDescent="0.25">
      <c r="A154" s="285"/>
      <c r="B154" s="314"/>
      <c r="C154" s="314"/>
      <c r="D154" s="314"/>
      <c r="E154" s="314"/>
      <c r="F154" s="314"/>
      <c r="G154" s="314"/>
      <c r="H154" s="314"/>
      <c r="I154" s="314"/>
      <c r="J154" s="314"/>
      <c r="K154" s="314"/>
      <c r="L154" s="314"/>
      <c r="M154" s="314"/>
      <c r="N154" s="314"/>
      <c r="O154" s="314"/>
      <c r="P154" s="314"/>
      <c r="Q154" s="314"/>
      <c r="R154" s="314"/>
      <c r="S154" s="314"/>
      <c r="T154" s="314"/>
      <c r="U154" s="314"/>
      <c r="V154" s="345"/>
      <c r="W154" s="318"/>
      <c r="X154" s="5"/>
    </row>
    <row r="155" spans="1:25" ht="15.75" x14ac:dyDescent="0.25">
      <c r="A155" s="181"/>
      <c r="B155" s="212"/>
      <c r="C155" s="212"/>
      <c r="D155" s="212"/>
      <c r="E155" s="212"/>
      <c r="F155" s="212"/>
      <c r="G155" s="212"/>
      <c r="H155" s="212"/>
      <c r="I155" s="212"/>
      <c r="J155" s="212"/>
      <c r="K155" s="212"/>
      <c r="L155" s="212"/>
      <c r="M155" s="212"/>
      <c r="N155" s="212"/>
      <c r="O155" s="212"/>
      <c r="P155" s="212"/>
      <c r="Q155" s="212"/>
      <c r="R155" s="212"/>
      <c r="S155" s="212"/>
      <c r="T155" s="212"/>
      <c r="U155" s="212"/>
      <c r="V155" s="344"/>
      <c r="W155" s="212"/>
      <c r="X155" s="5"/>
    </row>
    <row r="156" spans="1:25" ht="15.75" x14ac:dyDescent="0.25">
      <c r="A156" s="181"/>
      <c r="B156" s="210" t="s">
        <v>24</v>
      </c>
      <c r="C156" s="183"/>
      <c r="D156" s="183"/>
      <c r="E156" s="183"/>
      <c r="F156" s="183"/>
      <c r="G156" s="183"/>
      <c r="H156" s="183"/>
      <c r="I156" s="183"/>
      <c r="J156" s="183"/>
      <c r="K156" s="183"/>
      <c r="L156" s="183"/>
      <c r="M156" s="183"/>
      <c r="N156" s="183"/>
      <c r="O156" s="183"/>
      <c r="P156" s="183"/>
      <c r="Q156" s="183"/>
      <c r="R156" s="183"/>
      <c r="S156" s="183"/>
      <c r="T156" s="183"/>
      <c r="U156" s="183"/>
      <c r="V156" s="202"/>
      <c r="W156" s="183"/>
      <c r="X156" s="5"/>
    </row>
    <row r="157" spans="1:25" ht="15.75" x14ac:dyDescent="0.25">
      <c r="A157" s="285"/>
      <c r="B157" s="286" t="s">
        <v>47</v>
      </c>
      <c r="C157" s="286"/>
      <c r="D157" s="286"/>
      <c r="E157" s="286"/>
      <c r="F157" s="286"/>
      <c r="G157" s="286"/>
      <c r="H157" s="286"/>
      <c r="I157" s="286"/>
      <c r="J157" s="286"/>
      <c r="K157" s="286"/>
      <c r="L157" s="286"/>
      <c r="M157" s="286"/>
      <c r="N157" s="286"/>
      <c r="O157" s="286"/>
      <c r="P157" s="286"/>
      <c r="Q157" s="286"/>
      <c r="R157" s="286"/>
      <c r="S157" s="286"/>
      <c r="T157" s="286"/>
      <c r="U157" s="286"/>
      <c r="V157" s="343" t="s">
        <v>118</v>
      </c>
      <c r="W157" s="318"/>
      <c r="X157" s="5"/>
    </row>
    <row r="158" spans="1:25" ht="15.75" x14ac:dyDescent="0.25">
      <c r="A158" s="285"/>
      <c r="B158" s="286" t="s">
        <v>48</v>
      </c>
      <c r="C158" s="288"/>
      <c r="D158" s="288"/>
      <c r="E158" s="288"/>
      <c r="F158" s="288"/>
      <c r="G158" s="288"/>
      <c r="H158" s="288"/>
      <c r="I158" s="288"/>
      <c r="J158" s="288"/>
      <c r="K158" s="288"/>
      <c r="L158" s="288"/>
      <c r="M158" s="288"/>
      <c r="N158" s="288"/>
      <c r="O158" s="288"/>
      <c r="P158" s="288"/>
      <c r="Q158" s="288"/>
      <c r="R158" s="288"/>
      <c r="S158" s="288"/>
      <c r="T158" s="288"/>
      <c r="U158" s="288"/>
      <c r="V158" s="343" t="s">
        <v>118</v>
      </c>
      <c r="W158" s="318"/>
      <c r="X158" s="5"/>
    </row>
    <row r="159" spans="1:25" ht="15.75" x14ac:dyDescent="0.25">
      <c r="A159" s="285"/>
      <c r="B159" s="286" t="s">
        <v>49</v>
      </c>
      <c r="C159" s="286"/>
      <c r="D159" s="286"/>
      <c r="E159" s="286"/>
      <c r="F159" s="286"/>
      <c r="G159" s="286"/>
      <c r="H159" s="286"/>
      <c r="I159" s="286"/>
      <c r="J159" s="286"/>
      <c r="K159" s="286"/>
      <c r="L159" s="286"/>
      <c r="M159" s="286"/>
      <c r="N159" s="286"/>
      <c r="O159" s="286"/>
      <c r="P159" s="286"/>
      <c r="Q159" s="286"/>
      <c r="R159" s="286"/>
      <c r="S159" s="286"/>
      <c r="T159" s="286"/>
      <c r="U159" s="286"/>
      <c r="V159" s="343" t="s">
        <v>118</v>
      </c>
      <c r="W159" s="318"/>
      <c r="X159" s="5"/>
    </row>
    <row r="160" spans="1:25" ht="15.75" x14ac:dyDescent="0.25">
      <c r="A160" s="285"/>
      <c r="B160" s="286" t="s">
        <v>50</v>
      </c>
      <c r="C160" s="286"/>
      <c r="D160" s="286"/>
      <c r="E160" s="286"/>
      <c r="F160" s="286"/>
      <c r="G160" s="286"/>
      <c r="H160" s="286"/>
      <c r="I160" s="286"/>
      <c r="J160" s="286"/>
      <c r="K160" s="286"/>
      <c r="L160" s="286"/>
      <c r="M160" s="286"/>
      <c r="N160" s="286"/>
      <c r="O160" s="286"/>
      <c r="P160" s="286"/>
      <c r="Q160" s="286"/>
      <c r="R160" s="286"/>
      <c r="S160" s="286"/>
      <c r="T160" s="286"/>
      <c r="U160" s="286"/>
      <c r="V160" s="343" t="s">
        <v>118</v>
      </c>
      <c r="W160" s="318"/>
      <c r="X160" s="5"/>
    </row>
    <row r="161" spans="1:256" ht="15.75" x14ac:dyDescent="0.25">
      <c r="A161" s="181"/>
      <c r="B161" s="212"/>
      <c r="C161" s="212"/>
      <c r="D161" s="212"/>
      <c r="E161" s="212"/>
      <c r="F161" s="212"/>
      <c r="G161" s="212"/>
      <c r="H161" s="212"/>
      <c r="I161" s="212"/>
      <c r="J161" s="212"/>
      <c r="K161" s="212"/>
      <c r="L161" s="212"/>
      <c r="M161" s="212"/>
      <c r="N161" s="212"/>
      <c r="O161" s="212"/>
      <c r="P161" s="212"/>
      <c r="Q161" s="212"/>
      <c r="R161" s="212"/>
      <c r="S161" s="212"/>
      <c r="T161" s="212"/>
      <c r="U161" s="212"/>
      <c r="V161" s="344"/>
      <c r="W161" s="212"/>
      <c r="X161" s="5"/>
    </row>
    <row r="162" spans="1:256" ht="15.75" x14ac:dyDescent="0.25">
      <c r="A162" s="181"/>
      <c r="B162" s="210" t="s">
        <v>51</v>
      </c>
      <c r="C162" s="183"/>
      <c r="D162" s="183"/>
      <c r="E162" s="183"/>
      <c r="F162" s="183"/>
      <c r="G162" s="183"/>
      <c r="H162" s="183"/>
      <c r="I162" s="183"/>
      <c r="J162" s="183"/>
      <c r="K162" s="183"/>
      <c r="L162" s="183"/>
      <c r="M162" s="183"/>
      <c r="N162" s="183"/>
      <c r="O162" s="183"/>
      <c r="P162" s="183"/>
      <c r="Q162" s="183"/>
      <c r="R162" s="183"/>
      <c r="S162" s="183"/>
      <c r="T162" s="183"/>
      <c r="U162" s="183"/>
      <c r="V162" s="211"/>
      <c r="W162" s="183"/>
      <c r="X162" s="5"/>
    </row>
    <row r="163" spans="1:256" ht="15.75" x14ac:dyDescent="0.25">
      <c r="A163" s="285"/>
      <c r="B163" s="286" t="s">
        <v>52</v>
      </c>
      <c r="C163" s="286"/>
      <c r="D163" s="286"/>
      <c r="E163" s="286"/>
      <c r="F163" s="286"/>
      <c r="G163" s="286"/>
      <c r="H163" s="286"/>
      <c r="I163" s="286"/>
      <c r="J163" s="286"/>
      <c r="K163" s="286"/>
      <c r="L163" s="286"/>
      <c r="M163" s="286"/>
      <c r="N163" s="286"/>
      <c r="O163" s="286"/>
      <c r="P163" s="286"/>
      <c r="Q163" s="286"/>
      <c r="R163" s="286"/>
      <c r="S163" s="286"/>
      <c r="T163" s="286"/>
      <c r="U163" s="286"/>
      <c r="V163" s="338">
        <v>0</v>
      </c>
      <c r="W163" s="289"/>
      <c r="X163" s="5"/>
    </row>
    <row r="164" spans="1:256" ht="15.75" x14ac:dyDescent="0.25">
      <c r="A164" s="285"/>
      <c r="B164" s="286" t="s">
        <v>53</v>
      </c>
      <c r="C164" s="286"/>
      <c r="D164" s="286"/>
      <c r="E164" s="286"/>
      <c r="F164" s="286"/>
      <c r="G164" s="286"/>
      <c r="H164" s="286"/>
      <c r="I164" s="286"/>
      <c r="J164" s="286"/>
      <c r="K164" s="286"/>
      <c r="L164" s="286"/>
      <c r="M164" s="286"/>
      <c r="N164" s="286"/>
      <c r="O164" s="286"/>
      <c r="P164" s="286"/>
      <c r="Q164" s="286"/>
      <c r="R164" s="286"/>
      <c r="S164" s="286"/>
      <c r="T164" s="286"/>
      <c r="U164" s="286"/>
      <c r="V164" s="338">
        <v>223</v>
      </c>
      <c r="W164" s="289"/>
      <c r="X164" s="5"/>
    </row>
    <row r="165" spans="1:256" ht="15.75" x14ac:dyDescent="0.25">
      <c r="A165" s="285"/>
      <c r="B165" s="286" t="s">
        <v>54</v>
      </c>
      <c r="C165" s="286"/>
      <c r="D165" s="286"/>
      <c r="E165" s="286"/>
      <c r="F165" s="286"/>
      <c r="G165" s="286"/>
      <c r="H165" s="286"/>
      <c r="I165" s="286"/>
      <c r="J165" s="286"/>
      <c r="K165" s="286"/>
      <c r="L165" s="286"/>
      <c r="M165" s="286"/>
      <c r="N165" s="286"/>
      <c r="O165" s="286"/>
      <c r="P165" s="286"/>
      <c r="Q165" s="286"/>
      <c r="R165" s="286"/>
      <c r="S165" s="286"/>
      <c r="T165" s="286"/>
      <c r="U165" s="286"/>
      <c r="V165" s="338">
        <f>V164+V163</f>
        <v>223</v>
      </c>
      <c r="W165" s="289"/>
      <c r="X165" s="5"/>
    </row>
    <row r="166" spans="1:256" ht="15.75" x14ac:dyDescent="0.25">
      <c r="A166" s="285"/>
      <c r="B166" s="286" t="s">
        <v>303</v>
      </c>
      <c r="C166" s="286"/>
      <c r="D166" s="286"/>
      <c r="E166" s="286"/>
      <c r="F166" s="286"/>
      <c r="G166" s="286"/>
      <c r="H166" s="286"/>
      <c r="I166" s="286"/>
      <c r="J166" s="286"/>
      <c r="K166" s="286"/>
      <c r="L166" s="286"/>
      <c r="M166" s="286"/>
      <c r="N166" s="286"/>
      <c r="O166" s="286"/>
      <c r="P166" s="286"/>
      <c r="Q166" s="286"/>
      <c r="R166" s="286"/>
      <c r="S166" s="286"/>
      <c r="T166" s="286"/>
      <c r="U166" s="286"/>
      <c r="V166" s="338">
        <f>V114</f>
        <v>-223</v>
      </c>
      <c r="W166" s="289"/>
      <c r="X166" s="5"/>
    </row>
    <row r="167" spans="1:256" ht="15.75" x14ac:dyDescent="0.25">
      <c r="A167" s="285"/>
      <c r="B167" s="286" t="s">
        <v>55</v>
      </c>
      <c r="C167" s="286"/>
      <c r="D167" s="286"/>
      <c r="E167" s="286"/>
      <c r="F167" s="286"/>
      <c r="G167" s="286"/>
      <c r="H167" s="286"/>
      <c r="I167" s="286"/>
      <c r="J167" s="286"/>
      <c r="K167" s="286"/>
      <c r="L167" s="286"/>
      <c r="M167" s="286"/>
      <c r="N167" s="286"/>
      <c r="O167" s="286"/>
      <c r="P167" s="286"/>
      <c r="Q167" s="286"/>
      <c r="R167" s="286"/>
      <c r="S167" s="286"/>
      <c r="T167" s="286"/>
      <c r="U167" s="286"/>
      <c r="V167" s="338">
        <f>V165+V166</f>
        <v>0</v>
      </c>
      <c r="W167" s="289"/>
      <c r="X167" s="5"/>
    </row>
    <row r="168" spans="1:256" ht="15.75" x14ac:dyDescent="0.25">
      <c r="A168" s="285"/>
      <c r="B168" s="286" t="s">
        <v>274</v>
      </c>
      <c r="C168" s="286"/>
      <c r="D168" s="286"/>
      <c r="E168" s="286"/>
      <c r="F168" s="286"/>
      <c r="G168" s="286"/>
      <c r="H168" s="286"/>
      <c r="I168" s="286"/>
      <c r="J168" s="286"/>
      <c r="K168" s="286"/>
      <c r="L168" s="286"/>
      <c r="M168" s="286"/>
      <c r="N168" s="286"/>
      <c r="O168" s="286"/>
      <c r="P168" s="286"/>
      <c r="Q168" s="286"/>
      <c r="R168" s="286"/>
      <c r="S168" s="286"/>
      <c r="T168" s="286"/>
      <c r="U168" s="286"/>
      <c r="V168" s="338">
        <v>0</v>
      </c>
      <c r="W168" s="289"/>
      <c r="X168" s="5"/>
    </row>
    <row r="169" spans="1:256" ht="16.5" thickBot="1" x14ac:dyDescent="0.3">
      <c r="A169" s="181"/>
      <c r="B169" s="212"/>
      <c r="C169" s="212"/>
      <c r="D169" s="212"/>
      <c r="E169" s="212"/>
      <c r="F169" s="212"/>
      <c r="G169" s="212"/>
      <c r="H169" s="212"/>
      <c r="I169" s="212"/>
      <c r="J169" s="212"/>
      <c r="K169" s="212"/>
      <c r="L169" s="212"/>
      <c r="M169" s="212"/>
      <c r="N169" s="212"/>
      <c r="O169" s="212"/>
      <c r="P169" s="212"/>
      <c r="Q169" s="212"/>
      <c r="R169" s="212"/>
      <c r="S169" s="212"/>
      <c r="T169" s="212"/>
      <c r="U169" s="212"/>
      <c r="V169" s="344"/>
      <c r="W169" s="212"/>
      <c r="X169" s="5"/>
    </row>
    <row r="170" spans="1:256" ht="15.75" x14ac:dyDescent="0.25">
      <c r="A170" s="179"/>
      <c r="B170" s="180"/>
      <c r="C170" s="180"/>
      <c r="D170" s="180"/>
      <c r="E170" s="180"/>
      <c r="F170" s="180"/>
      <c r="G170" s="180"/>
      <c r="H170" s="180"/>
      <c r="I170" s="180"/>
      <c r="J170" s="180"/>
      <c r="K170" s="180"/>
      <c r="L170" s="180"/>
      <c r="M170" s="180"/>
      <c r="N170" s="180"/>
      <c r="O170" s="180"/>
      <c r="P170" s="180"/>
      <c r="Q170" s="180"/>
      <c r="R170" s="180"/>
      <c r="S170" s="180"/>
      <c r="T170" s="180"/>
      <c r="U170" s="180"/>
      <c r="V170" s="201"/>
      <c r="W170" s="180"/>
      <c r="X170" s="5"/>
    </row>
    <row r="171" spans="1:256" s="158" customFormat="1" ht="15.75" x14ac:dyDescent="0.25">
      <c r="A171" s="181"/>
      <c r="B171" s="210" t="s">
        <v>230</v>
      </c>
      <c r="C171" s="212"/>
      <c r="D171" s="212"/>
      <c r="E171" s="212"/>
      <c r="F171" s="212"/>
      <c r="G171" s="212"/>
      <c r="H171" s="212"/>
      <c r="I171" s="212"/>
      <c r="J171" s="212"/>
      <c r="K171" s="212"/>
      <c r="L171" s="212"/>
      <c r="M171" s="212"/>
      <c r="N171" s="212"/>
      <c r="O171" s="212"/>
      <c r="P171" s="212"/>
      <c r="Q171" s="212"/>
      <c r="R171" s="212"/>
      <c r="S171" s="212"/>
      <c r="T171" s="212"/>
      <c r="U171" s="212"/>
      <c r="V171" s="213"/>
      <c r="W171" s="212"/>
      <c r="X171" s="5"/>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s="160" customFormat="1" ht="15.75" x14ac:dyDescent="0.25">
      <c r="A172" s="285"/>
      <c r="B172" s="286" t="s">
        <v>231</v>
      </c>
      <c r="C172" s="286"/>
      <c r="D172" s="286"/>
      <c r="E172" s="286"/>
      <c r="F172" s="286"/>
      <c r="G172" s="286"/>
      <c r="H172" s="286"/>
      <c r="I172" s="286"/>
      <c r="J172" s="286"/>
      <c r="K172" s="286"/>
      <c r="L172" s="286"/>
      <c r="M172" s="286"/>
      <c r="N172" s="286"/>
      <c r="O172" s="286"/>
      <c r="P172" s="286"/>
      <c r="Q172" s="286"/>
      <c r="R172" s="286"/>
      <c r="S172" s="286"/>
      <c r="T172" s="286"/>
      <c r="U172" s="286"/>
      <c r="V172" s="338">
        <f>+'Aug 08'!V173</f>
        <v>0</v>
      </c>
      <c r="W172" s="289"/>
      <c r="X172" s="5"/>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s="160" customFormat="1" ht="15.75" x14ac:dyDescent="0.25">
      <c r="A173" s="285"/>
      <c r="B173" s="286" t="s">
        <v>234</v>
      </c>
      <c r="C173" s="286"/>
      <c r="D173" s="286"/>
      <c r="E173" s="286"/>
      <c r="F173" s="286"/>
      <c r="G173" s="286"/>
      <c r="H173" s="286"/>
      <c r="I173" s="286"/>
      <c r="J173" s="286"/>
      <c r="K173" s="286"/>
      <c r="L173" s="286"/>
      <c r="M173" s="286"/>
      <c r="N173" s="286"/>
      <c r="O173" s="286"/>
      <c r="P173" s="286"/>
      <c r="Q173" s="286"/>
      <c r="R173" s="286"/>
      <c r="S173" s="286"/>
      <c r="T173" s="286"/>
      <c r="U173" s="286"/>
      <c r="V173" s="338">
        <f>+V94</f>
        <v>0</v>
      </c>
      <c r="W173" s="289"/>
      <c r="X173" s="5"/>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s="160" customFormat="1" ht="15.75" x14ac:dyDescent="0.25">
      <c r="A174" s="285"/>
      <c r="B174" s="286" t="s">
        <v>232</v>
      </c>
      <c r="C174" s="286"/>
      <c r="D174" s="286"/>
      <c r="E174" s="286"/>
      <c r="F174" s="286"/>
      <c r="G174" s="286"/>
      <c r="H174" s="286"/>
      <c r="I174" s="286"/>
      <c r="J174" s="286"/>
      <c r="K174" s="286"/>
      <c r="L174" s="286"/>
      <c r="M174" s="286"/>
      <c r="N174" s="286"/>
      <c r="O174" s="286"/>
      <c r="P174" s="286"/>
      <c r="Q174" s="286"/>
      <c r="R174" s="286"/>
      <c r="S174" s="286"/>
      <c r="T174" s="286"/>
      <c r="U174" s="286"/>
      <c r="V174" s="338">
        <f>+V172-V173</f>
        <v>0</v>
      </c>
      <c r="W174" s="289"/>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6.5" thickBot="1" x14ac:dyDescent="0.3">
      <c r="A175" s="197"/>
      <c r="B175" s="212"/>
      <c r="C175" s="212"/>
      <c r="D175" s="212"/>
      <c r="E175" s="212"/>
      <c r="F175" s="212"/>
      <c r="G175" s="212"/>
      <c r="H175" s="212"/>
      <c r="I175" s="212"/>
      <c r="J175" s="212"/>
      <c r="K175" s="212"/>
      <c r="L175" s="212"/>
      <c r="M175" s="212"/>
      <c r="N175" s="212"/>
      <c r="O175" s="212"/>
      <c r="P175" s="212"/>
      <c r="Q175" s="212"/>
      <c r="R175" s="212"/>
      <c r="S175" s="212"/>
      <c r="T175" s="212"/>
      <c r="U175" s="212"/>
      <c r="V175" s="344"/>
      <c r="W175" s="212"/>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4" customFormat="1" ht="15.75" x14ac:dyDescent="0.25">
      <c r="A176" s="179"/>
      <c r="B176" s="180"/>
      <c r="C176" s="180"/>
      <c r="D176" s="180"/>
      <c r="E176" s="180"/>
      <c r="F176" s="180"/>
      <c r="G176" s="180"/>
      <c r="H176" s="180"/>
      <c r="I176" s="180"/>
      <c r="J176" s="180"/>
      <c r="K176" s="180"/>
      <c r="L176" s="180"/>
      <c r="M176" s="180"/>
      <c r="N176" s="180"/>
      <c r="O176" s="180"/>
      <c r="P176" s="180"/>
      <c r="Q176" s="180"/>
      <c r="R176" s="180"/>
      <c r="S176" s="180"/>
      <c r="T176" s="180"/>
      <c r="U176" s="180"/>
      <c r="V176" s="201"/>
      <c r="W176" s="180"/>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4" ht="15.75" x14ac:dyDescent="0.25">
      <c r="A177" s="181"/>
      <c r="B177" s="210" t="s">
        <v>56</v>
      </c>
      <c r="C177" s="183"/>
      <c r="D177" s="183"/>
      <c r="E177" s="183"/>
      <c r="F177" s="183"/>
      <c r="G177" s="183"/>
      <c r="H177" s="183"/>
      <c r="I177" s="183"/>
      <c r="J177" s="183"/>
      <c r="K177" s="183"/>
      <c r="L177" s="183"/>
      <c r="M177" s="183"/>
      <c r="N177" s="183"/>
      <c r="O177" s="183"/>
      <c r="P177" s="183"/>
      <c r="Q177" s="183"/>
      <c r="R177" s="183"/>
      <c r="S177" s="183"/>
      <c r="T177" s="183"/>
      <c r="U177" s="183"/>
      <c r="V177" s="202"/>
      <c r="W177" s="183"/>
      <c r="X177" s="5"/>
    </row>
    <row r="178" spans="1:24" ht="15.75" x14ac:dyDescent="0.25">
      <c r="A178" s="181"/>
      <c r="B178" s="191"/>
      <c r="C178" s="183"/>
      <c r="D178" s="183"/>
      <c r="E178" s="183"/>
      <c r="F178" s="183"/>
      <c r="G178" s="183"/>
      <c r="H178" s="183"/>
      <c r="I178" s="183"/>
      <c r="J178" s="183"/>
      <c r="K178" s="183"/>
      <c r="L178" s="183"/>
      <c r="M178" s="183"/>
      <c r="N178" s="183"/>
      <c r="O178" s="183"/>
      <c r="P178" s="183"/>
      <c r="Q178" s="183"/>
      <c r="R178" s="183"/>
      <c r="S178" s="183"/>
      <c r="T178" s="183"/>
      <c r="U178" s="183"/>
      <c r="V178" s="202"/>
      <c r="W178" s="183"/>
      <c r="X178" s="5"/>
    </row>
    <row r="179" spans="1:24" ht="15.75" x14ac:dyDescent="0.25">
      <c r="A179" s="285"/>
      <c r="B179" s="286" t="s">
        <v>57</v>
      </c>
      <c r="C179" s="286"/>
      <c r="D179" s="286"/>
      <c r="E179" s="286"/>
      <c r="F179" s="286"/>
      <c r="G179" s="286"/>
      <c r="H179" s="286"/>
      <c r="I179" s="286"/>
      <c r="J179" s="286"/>
      <c r="K179" s="286"/>
      <c r="L179" s="286"/>
      <c r="M179" s="286"/>
      <c r="N179" s="286"/>
      <c r="O179" s="286"/>
      <c r="P179" s="286"/>
      <c r="Q179" s="286"/>
      <c r="R179" s="286"/>
      <c r="S179" s="286"/>
      <c r="T179" s="286"/>
      <c r="U179" s="286"/>
      <c r="V179" s="338">
        <f>V71</f>
        <v>753226</v>
      </c>
      <c r="W179" s="289"/>
      <c r="X179" s="5"/>
    </row>
    <row r="180" spans="1:24" ht="15.75" x14ac:dyDescent="0.25">
      <c r="A180" s="285"/>
      <c r="B180" s="286" t="s">
        <v>58</v>
      </c>
      <c r="C180" s="286"/>
      <c r="D180" s="286"/>
      <c r="E180" s="286"/>
      <c r="F180" s="286"/>
      <c r="G180" s="286"/>
      <c r="H180" s="286"/>
      <c r="I180" s="286"/>
      <c r="J180" s="286"/>
      <c r="K180" s="286"/>
      <c r="L180" s="286"/>
      <c r="M180" s="286"/>
      <c r="N180" s="286"/>
      <c r="O180" s="286"/>
      <c r="P180" s="286"/>
      <c r="Q180" s="286"/>
      <c r="R180" s="286"/>
      <c r="S180" s="286"/>
      <c r="T180" s="286"/>
      <c r="U180" s="286"/>
      <c r="V180" s="338">
        <f>V84</f>
        <v>753226</v>
      </c>
      <c r="W180" s="289"/>
      <c r="X180" s="5"/>
    </row>
    <row r="181" spans="1:24" ht="16.5" thickBot="1" x14ac:dyDescent="0.3">
      <c r="A181" s="181"/>
      <c r="B181" s="212"/>
      <c r="C181" s="212"/>
      <c r="D181" s="212"/>
      <c r="E181" s="212"/>
      <c r="F181" s="212"/>
      <c r="G181" s="212"/>
      <c r="H181" s="212"/>
      <c r="I181" s="212"/>
      <c r="J181" s="212"/>
      <c r="K181" s="212"/>
      <c r="L181" s="212"/>
      <c r="M181" s="212"/>
      <c r="N181" s="212"/>
      <c r="O181" s="212"/>
      <c r="P181" s="212"/>
      <c r="Q181" s="212"/>
      <c r="R181" s="212"/>
      <c r="S181" s="212"/>
      <c r="T181" s="212"/>
      <c r="U181" s="212"/>
      <c r="V181" s="344"/>
      <c r="W181" s="212"/>
      <c r="X181" s="5"/>
    </row>
    <row r="182" spans="1:24" ht="15.75" x14ac:dyDescent="0.25">
      <c r="A182" s="179"/>
      <c r="B182" s="180"/>
      <c r="C182" s="180"/>
      <c r="D182" s="180"/>
      <c r="E182" s="180"/>
      <c r="F182" s="180"/>
      <c r="G182" s="180"/>
      <c r="H182" s="180"/>
      <c r="I182" s="180"/>
      <c r="J182" s="180"/>
      <c r="K182" s="180"/>
      <c r="L182" s="180"/>
      <c r="M182" s="180"/>
      <c r="N182" s="180"/>
      <c r="O182" s="180"/>
      <c r="P182" s="180"/>
      <c r="Q182" s="180"/>
      <c r="R182" s="180"/>
      <c r="S182" s="180"/>
      <c r="T182" s="180"/>
      <c r="U182" s="180"/>
      <c r="V182" s="201"/>
      <c r="W182" s="180"/>
      <c r="X182" s="5"/>
    </row>
    <row r="183" spans="1:24" ht="15.75" x14ac:dyDescent="0.25">
      <c r="A183" s="181"/>
      <c r="B183" s="210" t="s">
        <v>59</v>
      </c>
      <c r="C183" s="206"/>
      <c r="D183" s="206"/>
      <c r="E183" s="206"/>
      <c r="F183" s="206"/>
      <c r="G183" s="206"/>
      <c r="H183" s="214"/>
      <c r="I183" s="214"/>
      <c r="J183" s="214"/>
      <c r="K183" s="214"/>
      <c r="L183" s="214"/>
      <c r="M183" s="214"/>
      <c r="N183" s="214"/>
      <c r="O183" s="214"/>
      <c r="P183" s="214"/>
      <c r="Q183" s="214"/>
      <c r="R183" s="214"/>
      <c r="S183" s="214" t="s">
        <v>101</v>
      </c>
      <c r="T183" s="214" t="s">
        <v>176</v>
      </c>
      <c r="U183" s="185"/>
      <c r="V183" s="215" t="s">
        <v>114</v>
      </c>
      <c r="W183" s="216"/>
      <c r="X183" s="5"/>
    </row>
    <row r="184" spans="1:24" ht="15.75" x14ac:dyDescent="0.25">
      <c r="A184" s="285"/>
      <c r="B184" s="286" t="s">
        <v>60</v>
      </c>
      <c r="C184" s="286"/>
      <c r="D184" s="286"/>
      <c r="E184" s="286"/>
      <c r="F184" s="286"/>
      <c r="G184" s="286"/>
      <c r="H184" s="286"/>
      <c r="I184" s="286"/>
      <c r="J184" s="286"/>
      <c r="K184" s="286"/>
      <c r="L184" s="286"/>
      <c r="M184" s="286"/>
      <c r="N184" s="286"/>
      <c r="O184" s="286"/>
      <c r="P184" s="286"/>
      <c r="Q184" s="286"/>
      <c r="R184" s="286"/>
      <c r="S184" s="338">
        <f>+V34*0.16</f>
        <v>160181.28</v>
      </c>
      <c r="T184" s="325"/>
      <c r="U184" s="286"/>
      <c r="V184" s="338"/>
      <c r="W184" s="289"/>
      <c r="X184" s="5"/>
    </row>
    <row r="185" spans="1:24" ht="15.75" x14ac:dyDescent="0.25">
      <c r="A185" s="285"/>
      <c r="B185" s="286" t="s">
        <v>61</v>
      </c>
      <c r="C185" s="286"/>
      <c r="D185" s="286"/>
      <c r="E185" s="286"/>
      <c r="F185" s="286"/>
      <c r="G185" s="286"/>
      <c r="H185" s="286"/>
      <c r="I185" s="286"/>
      <c r="J185" s="286"/>
      <c r="K185" s="286"/>
      <c r="L185" s="286"/>
      <c r="M185" s="286"/>
      <c r="N185" s="286"/>
      <c r="O185" s="286"/>
      <c r="P185" s="286"/>
      <c r="Q185" s="286"/>
      <c r="R185" s="286"/>
      <c r="S185" s="338">
        <f>+'Nov 14'!S187</f>
        <v>11727</v>
      </c>
      <c r="T185" s="338">
        <f>+'Nov 14'!T187</f>
        <v>6095</v>
      </c>
      <c r="U185" s="286"/>
      <c r="V185" s="338">
        <f>S185+T185</f>
        <v>17822</v>
      </c>
      <c r="W185" s="289"/>
      <c r="X185" s="5"/>
    </row>
    <row r="186" spans="1:24" ht="15.75" x14ac:dyDescent="0.25">
      <c r="A186" s="285"/>
      <c r="B186" s="286" t="s">
        <v>62</v>
      </c>
      <c r="C186" s="286"/>
      <c r="D186" s="286"/>
      <c r="E186" s="286"/>
      <c r="F186" s="286"/>
      <c r="G186" s="286"/>
      <c r="H186" s="286"/>
      <c r="I186" s="286"/>
      <c r="J186" s="286"/>
      <c r="K186" s="286"/>
      <c r="L186" s="286"/>
      <c r="M186" s="286"/>
      <c r="N186" s="286"/>
      <c r="O186" s="286"/>
      <c r="P186" s="286"/>
      <c r="Q186" s="286"/>
      <c r="R186" s="286"/>
      <c r="S186" s="337">
        <f>50+97</f>
        <v>147</v>
      </c>
      <c r="T186" s="337">
        <v>0</v>
      </c>
      <c r="U186" s="286"/>
      <c r="V186" s="338">
        <f>S186+T186</f>
        <v>147</v>
      </c>
      <c r="W186" s="289"/>
      <c r="X186" s="5"/>
    </row>
    <row r="187" spans="1:24" ht="15.75" x14ac:dyDescent="0.25">
      <c r="A187" s="285"/>
      <c r="B187" s="286" t="s">
        <v>63</v>
      </c>
      <c r="C187" s="286"/>
      <c r="D187" s="286"/>
      <c r="E187" s="286"/>
      <c r="F187" s="286"/>
      <c r="G187" s="286"/>
      <c r="H187" s="286"/>
      <c r="I187" s="286"/>
      <c r="J187" s="286"/>
      <c r="K187" s="286"/>
      <c r="L187" s="286"/>
      <c r="M187" s="286"/>
      <c r="N187" s="286"/>
      <c r="O187" s="286"/>
      <c r="P187" s="286"/>
      <c r="Q187" s="286"/>
      <c r="R187" s="286"/>
      <c r="S187" s="338">
        <f>S185+S186</f>
        <v>11874</v>
      </c>
      <c r="T187" s="338">
        <f>T186+T185</f>
        <v>6095</v>
      </c>
      <c r="U187" s="286"/>
      <c r="V187" s="338">
        <f>S187+T187</f>
        <v>17969</v>
      </c>
      <c r="W187" s="289"/>
      <c r="X187" s="5"/>
    </row>
    <row r="188" spans="1:24" ht="15.75" x14ac:dyDescent="0.25">
      <c r="A188" s="285"/>
      <c r="B188" s="286" t="s">
        <v>64</v>
      </c>
      <c r="C188" s="286"/>
      <c r="D188" s="286"/>
      <c r="E188" s="286"/>
      <c r="F188" s="286"/>
      <c r="G188" s="286"/>
      <c r="H188" s="286"/>
      <c r="I188" s="286"/>
      <c r="J188" s="286"/>
      <c r="K188" s="286"/>
      <c r="L188" s="286"/>
      <c r="M188" s="286"/>
      <c r="N188" s="286"/>
      <c r="O188" s="286"/>
      <c r="P188" s="286"/>
      <c r="Q188" s="286"/>
      <c r="R188" s="286"/>
      <c r="S188" s="338">
        <f>S184-S187-T187</f>
        <v>142212.28</v>
      </c>
      <c r="T188" s="325"/>
      <c r="U188" s="286"/>
      <c r="V188" s="338"/>
      <c r="W188" s="289"/>
      <c r="X188" s="5"/>
    </row>
    <row r="189" spans="1:24" ht="16.5" thickBot="1" x14ac:dyDescent="0.3">
      <c r="A189" s="181"/>
      <c r="B189" s="212"/>
      <c r="C189" s="212"/>
      <c r="D189" s="212"/>
      <c r="E189" s="212"/>
      <c r="F189" s="212"/>
      <c r="G189" s="212"/>
      <c r="H189" s="212"/>
      <c r="I189" s="212"/>
      <c r="J189" s="212"/>
      <c r="K189" s="212"/>
      <c r="L189" s="212"/>
      <c r="M189" s="212"/>
      <c r="N189" s="212"/>
      <c r="O189" s="212"/>
      <c r="P189" s="212"/>
      <c r="Q189" s="212"/>
      <c r="R189" s="212"/>
      <c r="S189" s="212"/>
      <c r="T189" s="212"/>
      <c r="U189" s="212"/>
      <c r="V189" s="344"/>
      <c r="W189" s="212"/>
      <c r="X189" s="5"/>
    </row>
    <row r="190" spans="1:24" ht="15.75" x14ac:dyDescent="0.25">
      <c r="A190" s="179"/>
      <c r="B190" s="180"/>
      <c r="C190" s="180"/>
      <c r="D190" s="180"/>
      <c r="E190" s="180"/>
      <c r="F190" s="180"/>
      <c r="G190" s="180"/>
      <c r="H190" s="180"/>
      <c r="I190" s="180"/>
      <c r="J190" s="180"/>
      <c r="K190" s="180"/>
      <c r="L190" s="180"/>
      <c r="M190" s="180"/>
      <c r="N190" s="180"/>
      <c r="O190" s="180"/>
      <c r="P190" s="180"/>
      <c r="Q190" s="180"/>
      <c r="R190" s="180"/>
      <c r="S190" s="180"/>
      <c r="T190" s="180"/>
      <c r="U190" s="180"/>
      <c r="V190" s="201"/>
      <c r="W190" s="180"/>
      <c r="X190" s="5"/>
    </row>
    <row r="191" spans="1:24" ht="15.75" x14ac:dyDescent="0.25">
      <c r="A191" s="181"/>
      <c r="B191" s="210" t="s">
        <v>65</v>
      </c>
      <c r="C191" s="183"/>
      <c r="D191" s="183"/>
      <c r="E191" s="183"/>
      <c r="F191" s="183"/>
      <c r="G191" s="183"/>
      <c r="H191" s="183"/>
      <c r="I191" s="183"/>
      <c r="J191" s="183"/>
      <c r="K191" s="183"/>
      <c r="L191" s="183"/>
      <c r="M191" s="183"/>
      <c r="N191" s="183"/>
      <c r="O191" s="183"/>
      <c r="P191" s="183"/>
      <c r="Q191" s="183"/>
      <c r="R191" s="183"/>
      <c r="S191" s="183"/>
      <c r="T191" s="183"/>
      <c r="U191" s="183"/>
      <c r="V191" s="217"/>
      <c r="W191" s="183"/>
      <c r="X191" s="5"/>
    </row>
    <row r="192" spans="1:24" ht="15.75" x14ac:dyDescent="0.25">
      <c r="A192" s="285"/>
      <c r="B192" s="286" t="s">
        <v>66</v>
      </c>
      <c r="C192" s="286"/>
      <c r="D192" s="286"/>
      <c r="E192" s="286"/>
      <c r="F192" s="286"/>
      <c r="G192" s="286"/>
      <c r="H192" s="286"/>
      <c r="I192" s="286"/>
      <c r="J192" s="286"/>
      <c r="K192" s="286"/>
      <c r="L192" s="286"/>
      <c r="M192" s="286"/>
      <c r="N192" s="286"/>
      <c r="O192" s="286"/>
      <c r="P192" s="286"/>
      <c r="Q192" s="286"/>
      <c r="R192" s="286"/>
      <c r="S192" s="286"/>
      <c r="T192" s="286"/>
      <c r="U192" s="286"/>
      <c r="V192" s="343">
        <f>(V101+V103+V104+V105+V106)/-(V107+V108)</f>
        <v>3.8517901748542882</v>
      </c>
      <c r="W192" s="289" t="s">
        <v>115</v>
      </c>
      <c r="X192" s="5"/>
    </row>
    <row r="193" spans="1:24" ht="15.75" x14ac:dyDescent="0.25">
      <c r="A193" s="285"/>
      <c r="B193" s="286" t="s">
        <v>67</v>
      </c>
      <c r="C193" s="286"/>
      <c r="D193" s="286"/>
      <c r="E193" s="286"/>
      <c r="F193" s="286"/>
      <c r="G193" s="286"/>
      <c r="H193" s="286"/>
      <c r="I193" s="286"/>
      <c r="J193" s="286"/>
      <c r="K193" s="286"/>
      <c r="L193" s="286"/>
      <c r="M193" s="286"/>
      <c r="N193" s="286"/>
      <c r="O193" s="286"/>
      <c r="P193" s="286"/>
      <c r="Q193" s="286"/>
      <c r="R193" s="286"/>
      <c r="S193" s="286"/>
      <c r="T193" s="286"/>
      <c r="U193" s="286"/>
      <c r="V193" s="347">
        <v>1.98</v>
      </c>
      <c r="W193" s="289" t="s">
        <v>115</v>
      </c>
      <c r="X193" s="5"/>
    </row>
    <row r="194" spans="1:24" ht="15.75" x14ac:dyDescent="0.25">
      <c r="A194" s="285"/>
      <c r="B194" s="286" t="s">
        <v>68</v>
      </c>
      <c r="C194" s="286"/>
      <c r="D194" s="286"/>
      <c r="E194" s="286"/>
      <c r="F194" s="286"/>
      <c r="G194" s="286"/>
      <c r="H194" s="286"/>
      <c r="I194" s="286"/>
      <c r="J194" s="286"/>
      <c r="K194" s="286"/>
      <c r="L194" s="286"/>
      <c r="M194" s="286"/>
      <c r="N194" s="286"/>
      <c r="O194" s="286"/>
      <c r="P194" s="286"/>
      <c r="Q194" s="286"/>
      <c r="R194" s="286"/>
      <c r="S194" s="286"/>
      <c r="T194" s="286"/>
      <c r="U194" s="286"/>
      <c r="V194" s="343">
        <f>(V101+V103+V104+V105+V106+V107+V108)/-(V109+V110)</f>
        <v>15.856481481481481</v>
      </c>
      <c r="W194" s="289" t="s">
        <v>115</v>
      </c>
      <c r="X194" s="5"/>
    </row>
    <row r="195" spans="1:24" ht="15.75" x14ac:dyDescent="0.25">
      <c r="A195" s="285"/>
      <c r="B195" s="286" t="s">
        <v>69</v>
      </c>
      <c r="C195" s="286"/>
      <c r="D195" s="286"/>
      <c r="E195" s="286"/>
      <c r="F195" s="286"/>
      <c r="G195" s="286"/>
      <c r="H195" s="286"/>
      <c r="I195" s="286"/>
      <c r="J195" s="286"/>
      <c r="K195" s="286"/>
      <c r="L195" s="286"/>
      <c r="M195" s="286"/>
      <c r="N195" s="286"/>
      <c r="O195" s="286"/>
      <c r="P195" s="286"/>
      <c r="Q195" s="286"/>
      <c r="R195" s="286"/>
      <c r="S195" s="286"/>
      <c r="T195" s="286"/>
      <c r="U195" s="286"/>
      <c r="V195" s="347">
        <v>8.93</v>
      </c>
      <c r="W195" s="289" t="s">
        <v>115</v>
      </c>
      <c r="X195" s="5"/>
    </row>
    <row r="196" spans="1:24" ht="15.75" x14ac:dyDescent="0.25">
      <c r="A196" s="285"/>
      <c r="B196" s="286" t="s">
        <v>198</v>
      </c>
      <c r="C196" s="286"/>
      <c r="D196" s="286"/>
      <c r="E196" s="286"/>
      <c r="F196" s="286"/>
      <c r="G196" s="286"/>
      <c r="H196" s="286"/>
      <c r="I196" s="286"/>
      <c r="J196" s="286"/>
      <c r="K196" s="286"/>
      <c r="L196" s="286"/>
      <c r="M196" s="286"/>
      <c r="N196" s="286"/>
      <c r="O196" s="286"/>
      <c r="P196" s="286"/>
      <c r="Q196" s="286"/>
      <c r="R196" s="286"/>
      <c r="S196" s="286"/>
      <c r="T196" s="286"/>
      <c r="U196" s="286"/>
      <c r="V196" s="343">
        <f>(V101+V103+V104+V105+V106+V107+V108+V109+V110)/-(V111)</f>
        <v>9.5791044776119403</v>
      </c>
      <c r="W196" s="289" t="s">
        <v>115</v>
      </c>
      <c r="X196" s="5"/>
    </row>
    <row r="197" spans="1:24" ht="15.75" x14ac:dyDescent="0.25">
      <c r="A197" s="285"/>
      <c r="B197" s="286" t="s">
        <v>199</v>
      </c>
      <c r="C197" s="286"/>
      <c r="D197" s="286"/>
      <c r="E197" s="286"/>
      <c r="F197" s="286"/>
      <c r="G197" s="286"/>
      <c r="H197" s="286"/>
      <c r="I197" s="286"/>
      <c r="J197" s="286"/>
      <c r="K197" s="286"/>
      <c r="L197" s="286"/>
      <c r="M197" s="286"/>
      <c r="N197" s="286"/>
      <c r="O197" s="286"/>
      <c r="P197" s="286"/>
      <c r="Q197" s="286"/>
      <c r="R197" s="286"/>
      <c r="S197" s="286"/>
      <c r="T197" s="286"/>
      <c r="U197" s="286"/>
      <c r="V197" s="347">
        <v>6.65</v>
      </c>
      <c r="W197" s="289" t="s">
        <v>115</v>
      </c>
      <c r="X197" s="5"/>
    </row>
    <row r="198" spans="1:24" ht="15.75" x14ac:dyDescent="0.25">
      <c r="A198" s="285"/>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9"/>
      <c r="X198" s="5"/>
    </row>
    <row r="199" spans="1:24" ht="15.75" x14ac:dyDescent="0.25">
      <c r="A199" s="181"/>
      <c r="B199" s="346"/>
      <c r="C199" s="346"/>
      <c r="D199" s="346"/>
      <c r="E199" s="346"/>
      <c r="F199" s="346"/>
      <c r="G199" s="346"/>
      <c r="H199" s="346"/>
      <c r="I199" s="346"/>
      <c r="J199" s="346"/>
      <c r="K199" s="346"/>
      <c r="L199" s="346"/>
      <c r="M199" s="346"/>
      <c r="N199" s="346"/>
      <c r="O199" s="346"/>
      <c r="P199" s="346"/>
      <c r="Q199" s="346"/>
      <c r="R199" s="346"/>
      <c r="S199" s="346"/>
      <c r="T199" s="346"/>
      <c r="U199" s="346"/>
      <c r="V199" s="346"/>
      <c r="W199" s="346"/>
      <c r="X199" s="5"/>
    </row>
    <row r="200" spans="1:24" ht="15.75" x14ac:dyDescent="0.25">
      <c r="A200" s="181"/>
      <c r="B200" s="255"/>
      <c r="C200" s="255"/>
      <c r="D200" s="255"/>
      <c r="E200" s="255"/>
      <c r="F200" s="255"/>
      <c r="G200" s="255"/>
      <c r="H200" s="255"/>
      <c r="I200" s="255"/>
      <c r="J200" s="255"/>
      <c r="K200" s="255"/>
      <c r="L200" s="255"/>
      <c r="M200" s="255"/>
      <c r="N200" s="255"/>
      <c r="O200" s="255"/>
      <c r="P200" s="255"/>
      <c r="Q200" s="255"/>
      <c r="R200" s="255"/>
      <c r="S200" s="255"/>
      <c r="T200" s="255"/>
      <c r="U200" s="255"/>
      <c r="V200" s="255"/>
      <c r="W200" s="255"/>
      <c r="X200" s="5"/>
    </row>
    <row r="201" spans="1:24" ht="19.5" thickBot="1" x14ac:dyDescent="0.35">
      <c r="A201" s="197"/>
      <c r="B201" s="270" t="str">
        <f>B135</f>
        <v>PM15 INVESTOR REPORT QUARTER ENDING FEBRUARY 2015</v>
      </c>
      <c r="C201" s="271"/>
      <c r="D201" s="271"/>
      <c r="E201" s="271"/>
      <c r="F201" s="271"/>
      <c r="G201" s="271"/>
      <c r="H201" s="271"/>
      <c r="I201" s="271"/>
      <c r="J201" s="271"/>
      <c r="K201" s="271"/>
      <c r="L201" s="271"/>
      <c r="M201" s="271"/>
      <c r="N201" s="271"/>
      <c r="O201" s="271"/>
      <c r="P201" s="271"/>
      <c r="Q201" s="271"/>
      <c r="R201" s="271"/>
      <c r="S201" s="271"/>
      <c r="T201" s="271"/>
      <c r="U201" s="271"/>
      <c r="V201" s="271"/>
      <c r="W201" s="272"/>
      <c r="X201" s="5"/>
    </row>
    <row r="202" spans="1:24" ht="15.75" x14ac:dyDescent="0.25">
      <c r="A202" s="236"/>
      <c r="B202" s="403" t="s">
        <v>70</v>
      </c>
      <c r="C202" s="404"/>
      <c r="D202" s="404"/>
      <c r="E202" s="404"/>
      <c r="F202" s="404"/>
      <c r="G202" s="405"/>
      <c r="H202" s="405"/>
      <c r="I202" s="405"/>
      <c r="J202" s="405"/>
      <c r="K202" s="405"/>
      <c r="L202" s="405"/>
      <c r="M202" s="405"/>
      <c r="N202" s="405"/>
      <c r="O202" s="405"/>
      <c r="P202" s="405"/>
      <c r="Q202" s="405"/>
      <c r="R202" s="405"/>
      <c r="S202" s="405"/>
      <c r="T202" s="405">
        <v>42062</v>
      </c>
      <c r="U202" s="238"/>
      <c r="V202" s="238"/>
      <c r="W202" s="238"/>
      <c r="X202" s="5"/>
    </row>
    <row r="203" spans="1:24" ht="15.75" x14ac:dyDescent="0.25">
      <c r="A203" s="218"/>
      <c r="B203" s="219"/>
      <c r="C203" s="220"/>
      <c r="D203" s="220"/>
      <c r="E203" s="220"/>
      <c r="F203" s="220"/>
      <c r="G203" s="221"/>
      <c r="H203" s="221"/>
      <c r="I203" s="221"/>
      <c r="J203" s="221"/>
      <c r="K203" s="221"/>
      <c r="L203" s="221"/>
      <c r="M203" s="221"/>
      <c r="N203" s="221"/>
      <c r="O203" s="221"/>
      <c r="P203" s="221"/>
      <c r="Q203" s="221"/>
      <c r="R203" s="221"/>
      <c r="S203" s="221"/>
      <c r="T203" s="221"/>
      <c r="U203" s="183"/>
      <c r="V203" s="183"/>
      <c r="W203" s="183"/>
      <c r="X203" s="5"/>
    </row>
    <row r="204" spans="1:24" ht="15.75" x14ac:dyDescent="0.25">
      <c r="A204" s="350"/>
      <c r="B204" s="286" t="s">
        <v>71</v>
      </c>
      <c r="C204" s="406"/>
      <c r="D204" s="406"/>
      <c r="E204" s="406"/>
      <c r="F204" s="406"/>
      <c r="G204" s="397"/>
      <c r="H204" s="397"/>
      <c r="I204" s="397"/>
      <c r="J204" s="397"/>
      <c r="K204" s="397"/>
      <c r="L204" s="397"/>
      <c r="M204" s="397"/>
      <c r="N204" s="397"/>
      <c r="O204" s="397"/>
      <c r="P204" s="397"/>
      <c r="Q204" s="397"/>
      <c r="R204" s="397"/>
      <c r="S204" s="397"/>
      <c r="T204" s="321">
        <v>5.3830000000000003E-2</v>
      </c>
      <c r="U204" s="286"/>
      <c r="V204" s="286"/>
      <c r="W204" s="289"/>
      <c r="X204" s="5"/>
    </row>
    <row r="205" spans="1:24" ht="15.75" x14ac:dyDescent="0.25">
      <c r="A205" s="350"/>
      <c r="B205" s="286" t="s">
        <v>151</v>
      </c>
      <c r="C205" s="406"/>
      <c r="D205" s="406"/>
      <c r="E205" s="406"/>
      <c r="F205" s="406"/>
      <c r="G205" s="397"/>
      <c r="H205" s="397"/>
      <c r="I205" s="397"/>
      <c r="J205" s="397"/>
      <c r="K205" s="397"/>
      <c r="L205" s="397"/>
      <c r="M205" s="397"/>
      <c r="N205" s="397"/>
      <c r="O205" s="397"/>
      <c r="P205" s="397"/>
      <c r="Q205" s="397"/>
      <c r="R205" s="397"/>
      <c r="S205" s="397"/>
      <c r="T205" s="321">
        <v>6.25E-2</v>
      </c>
      <c r="U205" s="286"/>
      <c r="V205" s="286"/>
      <c r="W205" s="289"/>
      <c r="X205" s="5"/>
    </row>
    <row r="206" spans="1:24" ht="15.75" x14ac:dyDescent="0.25">
      <c r="A206" s="350"/>
      <c r="B206" s="286" t="s">
        <v>72</v>
      </c>
      <c r="C206" s="406"/>
      <c r="D206" s="406"/>
      <c r="E206" s="406"/>
      <c r="F206" s="406"/>
      <c r="G206" s="397"/>
      <c r="H206" s="397"/>
      <c r="I206" s="397"/>
      <c r="J206" s="397"/>
      <c r="K206" s="397"/>
      <c r="L206" s="397"/>
      <c r="M206" s="397"/>
      <c r="N206" s="397"/>
      <c r="O206" s="397"/>
      <c r="P206" s="397"/>
      <c r="Q206" s="397"/>
      <c r="R206" s="397"/>
      <c r="S206" s="397"/>
      <c r="T206" s="321">
        <f>T204-T205</f>
        <v>-8.6699999999999972E-3</v>
      </c>
      <c r="U206" s="286"/>
      <c r="V206" s="286"/>
      <c r="W206" s="289"/>
      <c r="X206" s="5"/>
    </row>
    <row r="207" spans="1:24" ht="15.75" x14ac:dyDescent="0.25">
      <c r="A207" s="350"/>
      <c r="B207" s="286" t="s">
        <v>73</v>
      </c>
      <c r="C207" s="406"/>
      <c r="D207" s="406"/>
      <c r="E207" s="406"/>
      <c r="F207" s="406"/>
      <c r="G207" s="397"/>
      <c r="H207" s="397"/>
      <c r="I207" s="397"/>
      <c r="J207" s="397"/>
      <c r="K207" s="397"/>
      <c r="L207" s="397"/>
      <c r="M207" s="397"/>
      <c r="N207" s="397"/>
      <c r="O207" s="397"/>
      <c r="P207" s="397"/>
      <c r="Q207" s="397"/>
      <c r="R207" s="397"/>
      <c r="S207" s="397"/>
      <c r="T207" s="321">
        <v>2.5020000000000001E-2</v>
      </c>
      <c r="U207" s="286"/>
      <c r="V207" s="286"/>
      <c r="W207" s="289"/>
      <c r="X207" s="5"/>
    </row>
    <row r="208" spans="1:24" ht="15.75" x14ac:dyDescent="0.25">
      <c r="A208" s="350"/>
      <c r="B208" s="286" t="s">
        <v>218</v>
      </c>
      <c r="C208" s="406"/>
      <c r="D208" s="406"/>
      <c r="E208" s="406"/>
      <c r="F208" s="406"/>
      <c r="G208" s="397"/>
      <c r="H208" s="397"/>
      <c r="I208" s="397"/>
      <c r="J208" s="397"/>
      <c r="K208" s="397"/>
      <c r="L208" s="397"/>
      <c r="M208" s="397"/>
      <c r="N208" s="397"/>
      <c r="O208" s="397"/>
      <c r="P208" s="397"/>
      <c r="Q208" s="397"/>
      <c r="R208" s="397"/>
      <c r="S208" s="397"/>
      <c r="T208" s="321">
        <f>V43</f>
        <v>9.2326206701126515E-3</v>
      </c>
      <c r="U208" s="286"/>
      <c r="V208" s="286"/>
      <c r="W208" s="289"/>
      <c r="X208" s="5"/>
    </row>
    <row r="209" spans="1:24" ht="15.75" x14ac:dyDescent="0.25">
      <c r="A209" s="350"/>
      <c r="B209" s="286" t="s">
        <v>74</v>
      </c>
      <c r="C209" s="406"/>
      <c r="D209" s="406"/>
      <c r="E209" s="406"/>
      <c r="F209" s="406"/>
      <c r="G209" s="397"/>
      <c r="H209" s="397"/>
      <c r="I209" s="397"/>
      <c r="J209" s="397"/>
      <c r="K209" s="397"/>
      <c r="L209" s="397"/>
      <c r="M209" s="397"/>
      <c r="N209" s="397"/>
      <c r="O209" s="397"/>
      <c r="P209" s="397"/>
      <c r="Q209" s="397"/>
      <c r="R209" s="397"/>
      <c r="S209" s="397"/>
      <c r="T209" s="321">
        <f>T207-T208</f>
        <v>1.5787379329887351E-2</v>
      </c>
      <c r="U209" s="286"/>
      <c r="V209" s="286"/>
      <c r="W209" s="289"/>
      <c r="X209" s="5"/>
    </row>
    <row r="210" spans="1:24" ht="15.75" x14ac:dyDescent="0.25">
      <c r="A210" s="350"/>
      <c r="B210" s="286" t="s">
        <v>227</v>
      </c>
      <c r="C210" s="406"/>
      <c r="D210" s="406"/>
      <c r="E210" s="406"/>
      <c r="F210" s="406"/>
      <c r="G210" s="397"/>
      <c r="H210" s="397"/>
      <c r="I210" s="397"/>
      <c r="J210" s="397"/>
      <c r="K210" s="397"/>
      <c r="L210" s="397"/>
      <c r="M210" s="397"/>
      <c r="N210" s="397"/>
      <c r="O210" s="397"/>
      <c r="P210" s="397"/>
      <c r="Q210" s="397"/>
      <c r="R210" s="397"/>
      <c r="S210" s="397"/>
      <c r="T210" s="321">
        <f>V101/N71</f>
        <v>6.6635310934129314E-3</v>
      </c>
      <c r="U210" s="286"/>
      <c r="V210" s="286"/>
      <c r="W210" s="289"/>
      <c r="X210" s="5"/>
    </row>
    <row r="211" spans="1:24" ht="15.75" x14ac:dyDescent="0.25">
      <c r="A211" s="350"/>
      <c r="B211" s="286" t="s">
        <v>207</v>
      </c>
      <c r="C211" s="406"/>
      <c r="D211" s="406"/>
      <c r="E211" s="406"/>
      <c r="F211" s="406"/>
      <c r="G211" s="397"/>
      <c r="H211" s="397"/>
      <c r="I211" s="397"/>
      <c r="J211" s="397"/>
      <c r="K211" s="397"/>
      <c r="L211" s="397"/>
      <c r="M211" s="397"/>
      <c r="N211" s="397"/>
      <c r="O211" s="397"/>
      <c r="P211" s="397"/>
      <c r="Q211" s="397"/>
      <c r="R211" s="397"/>
      <c r="S211" s="397"/>
      <c r="T211" s="352">
        <v>51105</v>
      </c>
      <c r="U211" s="286"/>
      <c r="V211" s="286"/>
      <c r="W211" s="289"/>
      <c r="X211" s="5"/>
    </row>
    <row r="212" spans="1:24" ht="15.75" x14ac:dyDescent="0.25">
      <c r="A212" s="350"/>
      <c r="B212" s="286" t="s">
        <v>208</v>
      </c>
      <c r="C212" s="406"/>
      <c r="D212" s="406"/>
      <c r="E212" s="406"/>
      <c r="F212" s="406"/>
      <c r="G212" s="397"/>
      <c r="H212" s="397"/>
      <c r="I212" s="397"/>
      <c r="J212" s="397"/>
      <c r="K212" s="397"/>
      <c r="L212" s="397"/>
      <c r="M212" s="397"/>
      <c r="N212" s="397"/>
      <c r="O212" s="397"/>
      <c r="P212" s="397"/>
      <c r="Q212" s="397"/>
      <c r="R212" s="397"/>
      <c r="S212" s="397"/>
      <c r="T212" s="352">
        <v>51105</v>
      </c>
      <c r="U212" s="286"/>
      <c r="V212" s="286"/>
      <c r="W212" s="289"/>
      <c r="X212" s="5"/>
    </row>
    <row r="213" spans="1:24" ht="15.75" x14ac:dyDescent="0.25">
      <c r="A213" s="350"/>
      <c r="B213" s="286" t="s">
        <v>209</v>
      </c>
      <c r="C213" s="406"/>
      <c r="D213" s="406"/>
      <c r="E213" s="406"/>
      <c r="F213" s="406"/>
      <c r="G213" s="397"/>
      <c r="H213" s="397"/>
      <c r="I213" s="397"/>
      <c r="J213" s="397"/>
      <c r="K213" s="397"/>
      <c r="L213" s="397"/>
      <c r="M213" s="397"/>
      <c r="N213" s="397"/>
      <c r="O213" s="397"/>
      <c r="P213" s="397"/>
      <c r="Q213" s="397"/>
      <c r="R213" s="397"/>
      <c r="S213" s="397"/>
      <c r="T213" s="352">
        <v>51105</v>
      </c>
      <c r="U213" s="286"/>
      <c r="V213" s="286"/>
      <c r="W213" s="289"/>
      <c r="X213" s="5"/>
    </row>
    <row r="214" spans="1:24" ht="15.75" x14ac:dyDescent="0.25">
      <c r="A214" s="350"/>
      <c r="B214" s="286" t="s">
        <v>75</v>
      </c>
      <c r="C214" s="406"/>
      <c r="D214" s="406"/>
      <c r="E214" s="406"/>
      <c r="F214" s="406"/>
      <c r="G214" s="397"/>
      <c r="H214" s="397"/>
      <c r="I214" s="397"/>
      <c r="J214" s="397"/>
      <c r="K214" s="397"/>
      <c r="L214" s="397"/>
      <c r="M214" s="397"/>
      <c r="N214" s="397"/>
      <c r="O214" s="397"/>
      <c r="P214" s="397"/>
      <c r="Q214" s="397"/>
      <c r="R214" s="397"/>
      <c r="S214" s="397"/>
      <c r="T214" s="327">
        <v>21.06</v>
      </c>
      <c r="U214" s="286" t="s">
        <v>110</v>
      </c>
      <c r="V214" s="286"/>
      <c r="W214" s="289"/>
      <c r="X214" s="5"/>
    </row>
    <row r="215" spans="1:24" ht="15.75" x14ac:dyDescent="0.25">
      <c r="A215" s="350"/>
      <c r="B215" s="286" t="s">
        <v>76</v>
      </c>
      <c r="C215" s="406"/>
      <c r="D215" s="406"/>
      <c r="E215" s="406"/>
      <c r="F215" s="406"/>
      <c r="G215" s="397"/>
      <c r="H215" s="397"/>
      <c r="I215" s="397"/>
      <c r="J215" s="397"/>
      <c r="K215" s="397"/>
      <c r="L215" s="397"/>
      <c r="M215" s="397"/>
      <c r="N215" s="397"/>
      <c r="O215" s="397"/>
      <c r="P215" s="397"/>
      <c r="Q215" s="397"/>
      <c r="R215" s="397"/>
      <c r="S215" s="397"/>
      <c r="T215" s="327">
        <v>13.72</v>
      </c>
      <c r="U215" s="286" t="s">
        <v>110</v>
      </c>
      <c r="V215" s="286"/>
      <c r="W215" s="289"/>
      <c r="X215" s="5"/>
    </row>
    <row r="216" spans="1:24" ht="15.75" x14ac:dyDescent="0.25">
      <c r="A216" s="350"/>
      <c r="B216" s="286" t="s">
        <v>77</v>
      </c>
      <c r="C216" s="406"/>
      <c r="D216" s="406"/>
      <c r="E216" s="406"/>
      <c r="F216" s="406"/>
      <c r="G216" s="397"/>
      <c r="H216" s="397"/>
      <c r="I216" s="397"/>
      <c r="J216" s="397"/>
      <c r="K216" s="397"/>
      <c r="L216" s="397"/>
      <c r="M216" s="397"/>
      <c r="N216" s="397"/>
      <c r="O216" s="397"/>
      <c r="P216" s="397"/>
      <c r="Q216" s="397"/>
      <c r="R216" s="397"/>
      <c r="S216" s="397"/>
      <c r="T216" s="321">
        <f>+P68/N68</f>
        <v>1.0614090635584201E-2</v>
      </c>
      <c r="U216" s="286"/>
      <c r="V216" s="286"/>
      <c r="W216" s="289"/>
      <c r="X216" s="5"/>
    </row>
    <row r="217" spans="1:24" ht="15.75" x14ac:dyDescent="0.25">
      <c r="A217" s="350"/>
      <c r="B217" s="286" t="s">
        <v>78</v>
      </c>
      <c r="C217" s="406"/>
      <c r="D217" s="406"/>
      <c r="E217" s="406"/>
      <c r="F217" s="406"/>
      <c r="G217" s="397"/>
      <c r="H217" s="397"/>
      <c r="I217" s="397"/>
      <c r="J217" s="397"/>
      <c r="K217" s="397"/>
      <c r="L217" s="397"/>
      <c r="M217" s="397"/>
      <c r="N217" s="397"/>
      <c r="O217" s="397"/>
      <c r="P217" s="397"/>
      <c r="Q217" s="397"/>
      <c r="R217" s="397"/>
      <c r="S217" s="397"/>
      <c r="T217" s="321">
        <v>3.85E-2</v>
      </c>
      <c r="U217" s="286"/>
      <c r="V217" s="286"/>
      <c r="W217" s="289"/>
      <c r="X217" s="5"/>
    </row>
    <row r="218" spans="1:24" ht="15.75" x14ac:dyDescent="0.25">
      <c r="A218" s="218"/>
      <c r="B218" s="348"/>
      <c r="C218" s="348"/>
      <c r="D218" s="348"/>
      <c r="E218" s="348"/>
      <c r="F218" s="348"/>
      <c r="G218" s="212"/>
      <c r="H218" s="212"/>
      <c r="I218" s="212"/>
      <c r="J218" s="212"/>
      <c r="K218" s="212"/>
      <c r="L218" s="212"/>
      <c r="M218" s="212"/>
      <c r="N218" s="212"/>
      <c r="O218" s="212"/>
      <c r="P218" s="212"/>
      <c r="Q218" s="212"/>
      <c r="R218" s="212"/>
      <c r="S218" s="212"/>
      <c r="T218" s="344"/>
      <c r="U218" s="212"/>
      <c r="V218" s="349"/>
      <c r="W218" s="212"/>
      <c r="X218" s="5"/>
    </row>
    <row r="219" spans="1:24" ht="15.75" x14ac:dyDescent="0.25">
      <c r="A219" s="242"/>
      <c r="B219" s="399" t="s">
        <v>79</v>
      </c>
      <c r="C219" s="400"/>
      <c r="D219" s="400"/>
      <c r="E219" s="400"/>
      <c r="F219" s="407"/>
      <c r="G219" s="400"/>
      <c r="H219" s="400"/>
      <c r="I219" s="400"/>
      <c r="J219" s="400"/>
      <c r="K219" s="400"/>
      <c r="L219" s="400"/>
      <c r="M219" s="400"/>
      <c r="N219" s="400"/>
      <c r="O219" s="400"/>
      <c r="P219" s="400"/>
      <c r="Q219" s="400"/>
      <c r="R219" s="400"/>
      <c r="S219" s="400" t="s">
        <v>102</v>
      </c>
      <c r="T219" s="407" t="s">
        <v>108</v>
      </c>
      <c r="U219" s="225"/>
      <c r="V219" s="225"/>
      <c r="W219" s="225"/>
      <c r="X219" s="5"/>
    </row>
    <row r="220" spans="1:24" ht="15.75" x14ac:dyDescent="0.25">
      <c r="A220" s="222"/>
      <c r="B220" s="250" t="s">
        <v>80</v>
      </c>
      <c r="C220" s="249"/>
      <c r="D220" s="249"/>
      <c r="E220" s="249"/>
      <c r="F220" s="250"/>
      <c r="G220" s="250"/>
      <c r="H220" s="268"/>
      <c r="I220" s="268"/>
      <c r="J220" s="268"/>
      <c r="K220" s="268"/>
      <c r="L220" s="268"/>
      <c r="M220" s="268"/>
      <c r="N220" s="268"/>
      <c r="O220" s="268"/>
      <c r="P220" s="268"/>
      <c r="Q220" s="268"/>
      <c r="R220" s="268"/>
      <c r="S220" s="268">
        <v>1</v>
      </c>
      <c r="T220" s="269">
        <v>231</v>
      </c>
      <c r="U220" s="250"/>
      <c r="V220" s="266"/>
      <c r="W220" s="223"/>
      <c r="X220" s="5"/>
    </row>
    <row r="221" spans="1:24" ht="15.75" x14ac:dyDescent="0.25">
      <c r="A221" s="358"/>
      <c r="B221" s="286" t="s">
        <v>145</v>
      </c>
      <c r="C221" s="337"/>
      <c r="D221" s="337"/>
      <c r="E221" s="337"/>
      <c r="F221" s="286"/>
      <c r="G221" s="286"/>
      <c r="H221" s="296"/>
      <c r="I221" s="296"/>
      <c r="J221" s="296"/>
      <c r="K221" s="296"/>
      <c r="L221" s="296"/>
      <c r="M221" s="296"/>
      <c r="N221" s="296"/>
      <c r="O221" s="296"/>
      <c r="P221" s="296"/>
      <c r="Q221" s="296"/>
      <c r="R221" s="296"/>
      <c r="S221" s="359">
        <f>+R273</f>
        <v>98</v>
      </c>
      <c r="T221" s="360">
        <f>+T273</f>
        <v>14002</v>
      </c>
      <c r="U221" s="286"/>
      <c r="V221" s="361"/>
      <c r="W221" s="362"/>
      <c r="X221" s="5"/>
    </row>
    <row r="222" spans="1:24" ht="15.75" x14ac:dyDescent="0.25">
      <c r="A222" s="358"/>
      <c r="B222" s="286" t="s">
        <v>81</v>
      </c>
      <c r="C222" s="337"/>
      <c r="D222" s="337"/>
      <c r="E222" s="337"/>
      <c r="F222" s="286"/>
      <c r="G222" s="286"/>
      <c r="H222" s="296"/>
      <c r="I222" s="296"/>
      <c r="J222" s="296"/>
      <c r="K222" s="296"/>
      <c r="L222" s="296"/>
      <c r="M222" s="296"/>
      <c r="N222" s="296"/>
      <c r="O222" s="296"/>
      <c r="P222" s="296"/>
      <c r="Q222" s="296"/>
      <c r="R222" s="296"/>
      <c r="S222" s="359">
        <f>+R285</f>
        <v>0</v>
      </c>
      <c r="T222" s="360">
        <f>+T285</f>
        <v>0</v>
      </c>
      <c r="U222" s="286"/>
      <c r="V222" s="361"/>
      <c r="W222" s="362"/>
      <c r="X222" s="5"/>
    </row>
    <row r="223" spans="1:24" ht="15.75" x14ac:dyDescent="0.25">
      <c r="A223" s="358"/>
      <c r="B223" s="313" t="s">
        <v>82</v>
      </c>
      <c r="C223" s="363"/>
      <c r="D223" s="363"/>
      <c r="E223" s="363"/>
      <c r="F223" s="314"/>
      <c r="G223" s="314"/>
      <c r="H223" s="314"/>
      <c r="I223" s="314"/>
      <c r="J223" s="314"/>
      <c r="K223" s="314"/>
      <c r="L223" s="314"/>
      <c r="M223" s="314"/>
      <c r="N223" s="314"/>
      <c r="O223" s="314"/>
      <c r="P223" s="314"/>
      <c r="Q223" s="314"/>
      <c r="R223" s="314"/>
      <c r="S223" s="286"/>
      <c r="T223" s="360">
        <v>0</v>
      </c>
      <c r="U223" s="314"/>
      <c r="V223" s="364"/>
      <c r="W223" s="362"/>
      <c r="X223" s="5"/>
    </row>
    <row r="224" spans="1:24" ht="15.75" x14ac:dyDescent="0.25">
      <c r="A224" s="358"/>
      <c r="B224" s="313" t="s">
        <v>228</v>
      </c>
      <c r="C224" s="363"/>
      <c r="D224" s="363"/>
      <c r="E224" s="363"/>
      <c r="F224" s="314"/>
      <c r="G224" s="314"/>
      <c r="H224" s="314"/>
      <c r="I224" s="314"/>
      <c r="J224" s="314"/>
      <c r="K224" s="314"/>
      <c r="L224" s="314"/>
      <c r="M224" s="314"/>
      <c r="N224" s="314"/>
      <c r="O224" s="314"/>
      <c r="P224" s="314"/>
      <c r="Q224" s="314"/>
      <c r="R224" s="314"/>
      <c r="S224" s="286"/>
      <c r="T224" s="360">
        <f>+N81</f>
        <v>0</v>
      </c>
      <c r="U224" s="314"/>
      <c r="V224" s="364"/>
      <c r="W224" s="362"/>
      <c r="X224" s="5"/>
    </row>
    <row r="225" spans="1:24" ht="15.75" x14ac:dyDescent="0.25">
      <c r="A225" s="365"/>
      <c r="B225" s="313" t="s">
        <v>83</v>
      </c>
      <c r="C225" s="366"/>
      <c r="D225" s="366"/>
      <c r="E225" s="366"/>
      <c r="F225" s="366"/>
      <c r="G225" s="314"/>
      <c r="H225" s="314"/>
      <c r="I225" s="314"/>
      <c r="J225" s="314"/>
      <c r="K225" s="314"/>
      <c r="L225" s="314"/>
      <c r="M225" s="314"/>
      <c r="N225" s="314"/>
      <c r="O225" s="314"/>
      <c r="P225" s="314"/>
      <c r="Q225" s="314"/>
      <c r="R225" s="314"/>
      <c r="S225" s="286"/>
      <c r="T225" s="360"/>
      <c r="U225" s="314"/>
      <c r="V225" s="364"/>
      <c r="W225" s="367"/>
      <c r="X225" s="5"/>
    </row>
    <row r="226" spans="1:24" ht="15.75" x14ac:dyDescent="0.25">
      <c r="A226" s="365"/>
      <c r="B226" s="286" t="s">
        <v>84</v>
      </c>
      <c r="C226" s="366"/>
      <c r="D226" s="366"/>
      <c r="E226" s="366"/>
      <c r="F226" s="366"/>
      <c r="G226" s="314"/>
      <c r="H226" s="314"/>
      <c r="I226" s="314"/>
      <c r="J226" s="314"/>
      <c r="K226" s="314"/>
      <c r="L226" s="314"/>
      <c r="M226" s="314"/>
      <c r="N226" s="314"/>
      <c r="O226" s="314"/>
      <c r="P226" s="314"/>
      <c r="Q226" s="314"/>
      <c r="R226" s="314"/>
      <c r="S226" s="296"/>
      <c r="T226" s="360">
        <f>V164</f>
        <v>223</v>
      </c>
      <c r="U226" s="314"/>
      <c r="V226" s="364"/>
      <c r="W226" s="367"/>
      <c r="X226" s="5"/>
    </row>
    <row r="227" spans="1:24" ht="15.75" x14ac:dyDescent="0.25">
      <c r="A227" s="358"/>
      <c r="B227" s="286" t="s">
        <v>85</v>
      </c>
      <c r="C227" s="363"/>
      <c r="D227" s="363"/>
      <c r="E227" s="363"/>
      <c r="F227" s="363"/>
      <c r="G227" s="314"/>
      <c r="H227" s="314"/>
      <c r="I227" s="314"/>
      <c r="J227" s="314"/>
      <c r="K227" s="314"/>
      <c r="L227" s="314"/>
      <c r="M227" s="314"/>
      <c r="N227" s="314"/>
      <c r="O227" s="314"/>
      <c r="P227" s="314"/>
      <c r="Q227" s="314"/>
      <c r="R227" s="314"/>
      <c r="S227" s="296"/>
      <c r="T227" s="360">
        <f>'Nov 14'!T227+T226</f>
        <v>7645</v>
      </c>
      <c r="U227" s="314"/>
      <c r="V227" s="364"/>
      <c r="W227" s="367"/>
      <c r="X227" s="5"/>
    </row>
    <row r="228" spans="1:24" ht="15.75" x14ac:dyDescent="0.25">
      <c r="A228" s="365"/>
      <c r="B228" s="313" t="s">
        <v>285</v>
      </c>
      <c r="C228" s="366"/>
      <c r="D228" s="366"/>
      <c r="E228" s="366"/>
      <c r="F228" s="366"/>
      <c r="G228" s="314"/>
      <c r="H228" s="314"/>
      <c r="I228" s="314"/>
      <c r="J228" s="314"/>
      <c r="K228" s="314"/>
      <c r="L228" s="314"/>
      <c r="M228" s="314"/>
      <c r="N228" s="314"/>
      <c r="O228" s="314"/>
      <c r="P228" s="314"/>
      <c r="Q228" s="314"/>
      <c r="R228" s="314"/>
      <c r="S228" s="296"/>
      <c r="T228" s="360"/>
      <c r="U228" s="314"/>
      <c r="V228" s="364"/>
      <c r="W228" s="367"/>
      <c r="X228" s="5"/>
    </row>
    <row r="229" spans="1:24" ht="15.75" x14ac:dyDescent="0.25">
      <c r="A229" s="365"/>
      <c r="B229" s="286" t="s">
        <v>282</v>
      </c>
      <c r="C229" s="366"/>
      <c r="D229" s="366"/>
      <c r="E229" s="366"/>
      <c r="F229" s="366"/>
      <c r="G229" s="314"/>
      <c r="H229" s="314"/>
      <c r="I229" s="314"/>
      <c r="J229" s="314"/>
      <c r="K229" s="314"/>
      <c r="L229" s="314"/>
      <c r="M229" s="314"/>
      <c r="N229" s="314"/>
      <c r="O229" s="314"/>
      <c r="P229" s="314"/>
      <c r="Q229" s="314"/>
      <c r="R229" s="314"/>
      <c r="S229" s="296">
        <v>0</v>
      </c>
      <c r="T229" s="360">
        <v>0</v>
      </c>
      <c r="U229" s="314"/>
      <c r="V229" s="364"/>
      <c r="W229" s="367"/>
      <c r="X229" s="5"/>
    </row>
    <row r="230" spans="1:24" ht="15.75" x14ac:dyDescent="0.25">
      <c r="A230" s="358"/>
      <c r="B230" s="286" t="s">
        <v>86</v>
      </c>
      <c r="C230" s="368"/>
      <c r="D230" s="368"/>
      <c r="E230" s="368"/>
      <c r="F230" s="369"/>
      <c r="G230" s="314"/>
      <c r="H230" s="314"/>
      <c r="I230" s="314"/>
      <c r="J230" s="314"/>
      <c r="K230" s="314"/>
      <c r="L230" s="314"/>
      <c r="M230" s="314"/>
      <c r="N230" s="314"/>
      <c r="O230" s="314"/>
      <c r="P230" s="314"/>
      <c r="Q230" s="314"/>
      <c r="R230" s="314"/>
      <c r="S230" s="286"/>
      <c r="T230" s="370">
        <v>0</v>
      </c>
      <c r="U230" s="314"/>
      <c r="V230" s="364"/>
      <c r="W230" s="367"/>
      <c r="X230" s="5"/>
    </row>
    <row r="231" spans="1:24" ht="15.75" x14ac:dyDescent="0.25">
      <c r="A231" s="358"/>
      <c r="B231" s="286" t="s">
        <v>87</v>
      </c>
      <c r="C231" s="368"/>
      <c r="D231" s="368"/>
      <c r="E231" s="368"/>
      <c r="F231" s="369"/>
      <c r="G231" s="314"/>
      <c r="H231" s="314"/>
      <c r="I231" s="314"/>
      <c r="J231" s="314"/>
      <c r="K231" s="314"/>
      <c r="L231" s="314"/>
      <c r="M231" s="314"/>
      <c r="N231" s="314"/>
      <c r="O231" s="314"/>
      <c r="P231" s="314"/>
      <c r="Q231" s="314"/>
      <c r="R231" s="314"/>
      <c r="S231" s="286"/>
      <c r="T231" s="370">
        <v>0</v>
      </c>
      <c r="U231" s="314"/>
      <c r="V231" s="364"/>
      <c r="W231" s="367"/>
      <c r="X231" s="5"/>
    </row>
    <row r="232" spans="1:24" ht="15.75" x14ac:dyDescent="0.25">
      <c r="A232" s="358"/>
      <c r="B232" s="313" t="s">
        <v>216</v>
      </c>
      <c r="C232" s="368"/>
      <c r="D232" s="368"/>
      <c r="E232" s="368"/>
      <c r="F232" s="369"/>
      <c r="G232" s="314"/>
      <c r="H232" s="314"/>
      <c r="I232" s="314"/>
      <c r="J232" s="314"/>
      <c r="K232" s="314"/>
      <c r="L232" s="314"/>
      <c r="M232" s="314"/>
      <c r="N232" s="314"/>
      <c r="O232" s="314"/>
      <c r="P232" s="314"/>
      <c r="Q232" s="314"/>
      <c r="R232" s="314"/>
      <c r="S232" s="286"/>
      <c r="T232" s="371"/>
      <c r="U232" s="314"/>
      <c r="V232" s="364"/>
      <c r="W232" s="367"/>
      <c r="X232" s="5"/>
    </row>
    <row r="233" spans="1:24" ht="15.75" x14ac:dyDescent="0.25">
      <c r="A233" s="358"/>
      <c r="B233" s="286" t="s">
        <v>282</v>
      </c>
      <c r="C233" s="368"/>
      <c r="D233" s="368"/>
      <c r="E233" s="368"/>
      <c r="F233" s="369"/>
      <c r="G233" s="314"/>
      <c r="H233" s="314"/>
      <c r="I233" s="314"/>
      <c r="J233" s="314"/>
      <c r="K233" s="314"/>
      <c r="L233" s="314"/>
      <c r="M233" s="314"/>
      <c r="N233" s="314"/>
      <c r="O233" s="314"/>
      <c r="P233" s="314"/>
      <c r="Q233" s="314"/>
      <c r="R233" s="314"/>
      <c r="S233" s="296">
        <v>8</v>
      </c>
      <c r="T233" s="360">
        <v>972</v>
      </c>
      <c r="U233" s="314"/>
      <c r="V233" s="364"/>
      <c r="W233" s="367"/>
      <c r="X233" s="5"/>
    </row>
    <row r="234" spans="1:24" ht="15.75" x14ac:dyDescent="0.25">
      <c r="A234" s="358"/>
      <c r="B234" s="286" t="s">
        <v>217</v>
      </c>
      <c r="C234" s="368"/>
      <c r="D234" s="368"/>
      <c r="E234" s="368"/>
      <c r="F234" s="369"/>
      <c r="G234" s="314"/>
      <c r="H234" s="314"/>
      <c r="I234" s="314"/>
      <c r="J234" s="314"/>
      <c r="K234" s="314"/>
      <c r="L234" s="314"/>
      <c r="M234" s="314"/>
      <c r="N234" s="314"/>
      <c r="O234" s="314"/>
      <c r="P234" s="314"/>
      <c r="Q234" s="314"/>
      <c r="R234" s="314"/>
      <c r="S234" s="286"/>
      <c r="T234" s="370">
        <v>0.64</v>
      </c>
      <c r="U234" s="314"/>
      <c r="V234" s="364"/>
      <c r="W234" s="367"/>
      <c r="X234" s="5"/>
    </row>
    <row r="235" spans="1:24" ht="15.75" x14ac:dyDescent="0.25">
      <c r="A235" s="358"/>
      <c r="B235" s="366"/>
      <c r="C235" s="368"/>
      <c r="D235" s="368"/>
      <c r="E235" s="368"/>
      <c r="F235" s="369"/>
      <c r="G235" s="314"/>
      <c r="H235" s="314"/>
      <c r="I235" s="314"/>
      <c r="J235" s="314"/>
      <c r="K235" s="314"/>
      <c r="L235" s="314"/>
      <c r="M235" s="314"/>
      <c r="N235" s="314"/>
      <c r="O235" s="314"/>
      <c r="P235" s="314"/>
      <c r="Q235" s="314"/>
      <c r="R235" s="314"/>
      <c r="S235" s="286"/>
      <c r="T235" s="371"/>
      <c r="U235" s="314"/>
      <c r="V235" s="364"/>
      <c r="W235" s="367"/>
      <c r="X235" s="5"/>
    </row>
    <row r="236" spans="1:24" ht="15.75" x14ac:dyDescent="0.25">
      <c r="A236" s="358"/>
      <c r="B236" s="366"/>
      <c r="C236" s="368"/>
      <c r="D236" s="368"/>
      <c r="E236" s="368"/>
      <c r="F236" s="369"/>
      <c r="G236" s="314"/>
      <c r="H236" s="314"/>
      <c r="I236" s="314"/>
      <c r="J236" s="314"/>
      <c r="K236" s="314"/>
      <c r="L236" s="314"/>
      <c r="M236" s="314"/>
      <c r="N236" s="314"/>
      <c r="O236" s="314"/>
      <c r="P236" s="314"/>
      <c r="Q236" s="314"/>
      <c r="R236" s="314"/>
      <c r="S236" s="314"/>
      <c r="T236" s="372"/>
      <c r="U236" s="314"/>
      <c r="V236" s="364"/>
      <c r="W236" s="367"/>
      <c r="X236" s="5"/>
    </row>
    <row r="237" spans="1:24" ht="18.75" x14ac:dyDescent="0.3">
      <c r="A237" s="358"/>
      <c r="B237" s="373" t="s">
        <v>168</v>
      </c>
      <c r="C237" s="368"/>
      <c r="D237" s="368"/>
      <c r="E237" s="368"/>
      <c r="F237" s="369"/>
      <c r="G237" s="314"/>
      <c r="H237" s="314"/>
      <c r="I237" s="314"/>
      <c r="J237" s="314"/>
      <c r="K237" s="314"/>
      <c r="L237" s="314"/>
      <c r="M237" s="314"/>
      <c r="N237" s="314"/>
      <c r="O237" s="314"/>
      <c r="P237" s="374" t="s">
        <v>167</v>
      </c>
      <c r="Q237" s="314"/>
      <c r="R237" s="314"/>
      <c r="S237" s="314"/>
      <c r="T237" s="372"/>
      <c r="U237" s="314"/>
      <c r="V237" s="364"/>
      <c r="W237" s="367"/>
      <c r="X237" s="5"/>
    </row>
    <row r="238" spans="1:24" ht="15.75" x14ac:dyDescent="0.25">
      <c r="A238" s="353"/>
      <c r="B238" s="348"/>
      <c r="C238" s="354"/>
      <c r="D238" s="354"/>
      <c r="E238" s="354"/>
      <c r="F238" s="355"/>
      <c r="G238" s="212"/>
      <c r="H238" s="212"/>
      <c r="I238" s="212"/>
      <c r="J238" s="212"/>
      <c r="K238" s="212"/>
      <c r="L238" s="212"/>
      <c r="M238" s="212"/>
      <c r="N238" s="212"/>
      <c r="O238" s="212"/>
      <c r="P238" s="212"/>
      <c r="Q238" s="212"/>
      <c r="R238" s="212"/>
      <c r="S238" s="212"/>
      <c r="T238" s="356"/>
      <c r="U238" s="212"/>
      <c r="V238" s="349"/>
      <c r="W238" s="357"/>
      <c r="X238" s="5"/>
    </row>
    <row r="239" spans="1:24" ht="15.75" x14ac:dyDescent="0.25">
      <c r="A239" s="224"/>
      <c r="B239" s="399" t="s">
        <v>297</v>
      </c>
      <c r="C239" s="400"/>
      <c r="D239" s="400"/>
      <c r="E239" s="400"/>
      <c r="F239" s="407"/>
      <c r="G239" s="400"/>
      <c r="H239" s="400"/>
      <c r="I239" s="400"/>
      <c r="J239" s="400"/>
      <c r="K239" s="400"/>
      <c r="L239" s="400"/>
      <c r="M239" s="400"/>
      <c r="N239" s="400"/>
      <c r="O239" s="400"/>
      <c r="P239" s="400"/>
      <c r="Q239" s="400"/>
      <c r="R239" s="407" t="s">
        <v>102</v>
      </c>
      <c r="S239" s="400" t="s">
        <v>103</v>
      </c>
      <c r="T239" s="407" t="s">
        <v>109</v>
      </c>
      <c r="U239" s="400" t="s">
        <v>103</v>
      </c>
      <c r="V239" s="225"/>
      <c r="W239" s="399"/>
      <c r="X239" s="5"/>
    </row>
    <row r="240" spans="1:24" ht="15.75" x14ac:dyDescent="0.25">
      <c r="A240" s="193"/>
      <c r="B240" s="249" t="s">
        <v>88</v>
      </c>
      <c r="C240" s="265"/>
      <c r="D240" s="265"/>
      <c r="E240" s="265"/>
      <c r="F240" s="250"/>
      <c r="G240" s="265"/>
      <c r="H240" s="265"/>
      <c r="I240" s="265"/>
      <c r="J240" s="265"/>
      <c r="K240" s="265"/>
      <c r="L240" s="265"/>
      <c r="M240" s="265"/>
      <c r="N240" s="265"/>
      <c r="O240" s="265"/>
      <c r="P240" s="265"/>
      <c r="Q240" s="265"/>
      <c r="R240" s="249">
        <f t="shared" ref="R240:R247" si="1">+R252+R264+R276</f>
        <v>5341</v>
      </c>
      <c r="S240" s="252">
        <f t="shared" ref="S240:S247" si="2">R240/$R$249</f>
        <v>0.99459962756052145</v>
      </c>
      <c r="T240" s="253">
        <f t="shared" ref="T240:T247" si="3">+T252+T264+T276</f>
        <v>749649</v>
      </c>
      <c r="U240" s="252">
        <f t="shared" ref="U240:U247" si="4">T240/$T$249</f>
        <v>0.99525109329736361</v>
      </c>
      <c r="V240" s="266"/>
      <c r="W240" s="408"/>
      <c r="X240" s="5"/>
    </row>
    <row r="241" spans="1:25" ht="15.75" x14ac:dyDescent="0.25">
      <c r="A241" s="285"/>
      <c r="B241" s="337" t="s">
        <v>89</v>
      </c>
      <c r="C241" s="378"/>
      <c r="D241" s="378"/>
      <c r="E241" s="378"/>
      <c r="F241" s="286"/>
      <c r="G241" s="379"/>
      <c r="H241" s="378"/>
      <c r="I241" s="378"/>
      <c r="J241" s="378"/>
      <c r="K241" s="378"/>
      <c r="L241" s="378"/>
      <c r="M241" s="378"/>
      <c r="N241" s="378"/>
      <c r="O241" s="378"/>
      <c r="P241" s="378"/>
      <c r="Q241" s="378"/>
      <c r="R241" s="337">
        <f t="shared" si="1"/>
        <v>9</v>
      </c>
      <c r="S241" s="379">
        <f t="shared" si="2"/>
        <v>1.6759776536312849E-3</v>
      </c>
      <c r="T241" s="338">
        <f t="shared" si="3"/>
        <v>1363</v>
      </c>
      <c r="U241" s="379">
        <f t="shared" si="4"/>
        <v>1.8095498562184524E-3</v>
      </c>
      <c r="V241" s="361"/>
      <c r="W241" s="409"/>
      <c r="X241" s="5"/>
      <c r="Y241" s="109"/>
    </row>
    <row r="242" spans="1:25" ht="15.75" x14ac:dyDescent="0.25">
      <c r="A242" s="285"/>
      <c r="B242" s="337" t="s">
        <v>90</v>
      </c>
      <c r="C242" s="378"/>
      <c r="D242" s="378"/>
      <c r="E242" s="378"/>
      <c r="F242" s="286"/>
      <c r="G242" s="379"/>
      <c r="H242" s="378"/>
      <c r="I242" s="378"/>
      <c r="J242" s="378"/>
      <c r="K242" s="378"/>
      <c r="L242" s="378"/>
      <c r="M242" s="378"/>
      <c r="N242" s="378"/>
      <c r="O242" s="378"/>
      <c r="P242" s="378"/>
      <c r="Q242" s="378"/>
      <c r="R242" s="337">
        <f t="shared" si="1"/>
        <v>12</v>
      </c>
      <c r="S242" s="379">
        <f t="shared" si="2"/>
        <v>2.2346368715083797E-3</v>
      </c>
      <c r="T242" s="338">
        <f t="shared" si="3"/>
        <v>979</v>
      </c>
      <c r="U242" s="379">
        <f t="shared" si="4"/>
        <v>1.2997427067042296E-3</v>
      </c>
      <c r="V242" s="361"/>
      <c r="W242" s="409"/>
      <c r="X242" s="5"/>
    </row>
    <row r="243" spans="1:25" ht="15.75" x14ac:dyDescent="0.25">
      <c r="A243" s="285"/>
      <c r="B243" s="337" t="s">
        <v>156</v>
      </c>
      <c r="C243" s="378"/>
      <c r="D243" s="378"/>
      <c r="E243" s="378"/>
      <c r="F243" s="286"/>
      <c r="G243" s="379"/>
      <c r="H243" s="378"/>
      <c r="I243" s="378"/>
      <c r="J243" s="378"/>
      <c r="K243" s="378"/>
      <c r="L243" s="378"/>
      <c r="M243" s="378"/>
      <c r="N243" s="378"/>
      <c r="O243" s="378"/>
      <c r="P243" s="378"/>
      <c r="Q243" s="378"/>
      <c r="R243" s="337">
        <f t="shared" si="1"/>
        <v>0</v>
      </c>
      <c r="S243" s="379">
        <f t="shared" si="2"/>
        <v>0</v>
      </c>
      <c r="T243" s="338">
        <f t="shared" si="3"/>
        <v>0</v>
      </c>
      <c r="U243" s="379">
        <f t="shared" si="4"/>
        <v>0</v>
      </c>
      <c r="V243" s="361"/>
      <c r="W243" s="409"/>
      <c r="X243" s="5"/>
      <c r="Y243" s="109"/>
    </row>
    <row r="244" spans="1:25" ht="15.75" x14ac:dyDescent="0.25">
      <c r="A244" s="285"/>
      <c r="B244" s="337" t="s">
        <v>157</v>
      </c>
      <c r="C244" s="378"/>
      <c r="D244" s="378"/>
      <c r="E244" s="378"/>
      <c r="F244" s="286"/>
      <c r="G244" s="379"/>
      <c r="H244" s="378"/>
      <c r="I244" s="378"/>
      <c r="J244" s="378"/>
      <c r="K244" s="378"/>
      <c r="L244" s="378"/>
      <c r="M244" s="378"/>
      <c r="N244" s="378"/>
      <c r="O244" s="378"/>
      <c r="P244" s="378"/>
      <c r="Q244" s="378"/>
      <c r="R244" s="337">
        <f t="shared" si="1"/>
        <v>0</v>
      </c>
      <c r="S244" s="379">
        <f t="shared" si="2"/>
        <v>0</v>
      </c>
      <c r="T244" s="338">
        <f t="shared" si="3"/>
        <v>0</v>
      </c>
      <c r="U244" s="379">
        <f t="shared" si="4"/>
        <v>0</v>
      </c>
      <c r="V244" s="361"/>
      <c r="W244" s="409"/>
      <c r="X244" s="5"/>
    </row>
    <row r="245" spans="1:25" ht="15.75" x14ac:dyDescent="0.25">
      <c r="A245" s="285"/>
      <c r="B245" s="337" t="s">
        <v>158</v>
      </c>
      <c r="C245" s="378"/>
      <c r="D245" s="378"/>
      <c r="E245" s="378"/>
      <c r="F245" s="286"/>
      <c r="G245" s="379"/>
      <c r="H245" s="378"/>
      <c r="I245" s="378"/>
      <c r="J245" s="378"/>
      <c r="K245" s="378"/>
      <c r="L245" s="378"/>
      <c r="M245" s="378"/>
      <c r="N245" s="378"/>
      <c r="O245" s="378"/>
      <c r="P245" s="378"/>
      <c r="Q245" s="378"/>
      <c r="R245" s="337">
        <f t="shared" si="1"/>
        <v>1</v>
      </c>
      <c r="S245" s="379">
        <f t="shared" si="2"/>
        <v>1.8621973929236498E-4</v>
      </c>
      <c r="T245" s="338">
        <f t="shared" si="3"/>
        <v>69</v>
      </c>
      <c r="U245" s="379">
        <f t="shared" si="4"/>
        <v>9.1605972178336912E-5</v>
      </c>
      <c r="V245" s="361"/>
      <c r="W245" s="409"/>
      <c r="X245" s="5"/>
      <c r="Y245" s="109"/>
    </row>
    <row r="246" spans="1:25" ht="15.75" x14ac:dyDescent="0.25">
      <c r="A246" s="285"/>
      <c r="B246" s="337" t="s">
        <v>159</v>
      </c>
      <c r="C246" s="378"/>
      <c r="D246" s="378"/>
      <c r="E246" s="378"/>
      <c r="F246" s="286"/>
      <c r="G246" s="379"/>
      <c r="H246" s="378"/>
      <c r="I246" s="378"/>
      <c r="J246" s="378"/>
      <c r="K246" s="378"/>
      <c r="L246" s="378"/>
      <c r="M246" s="378"/>
      <c r="N246" s="378"/>
      <c r="O246" s="378"/>
      <c r="P246" s="378"/>
      <c r="Q246" s="378"/>
      <c r="R246" s="337">
        <f t="shared" si="1"/>
        <v>2</v>
      </c>
      <c r="S246" s="379">
        <f t="shared" si="2"/>
        <v>3.7243947858472997E-4</v>
      </c>
      <c r="T246" s="338">
        <f t="shared" si="3"/>
        <v>279</v>
      </c>
      <c r="U246" s="379">
        <f t="shared" si="4"/>
        <v>3.704067570689275E-4</v>
      </c>
      <c r="V246" s="361"/>
      <c r="W246" s="409"/>
      <c r="X246" s="5"/>
    </row>
    <row r="247" spans="1:25" ht="15.75" x14ac:dyDescent="0.25">
      <c r="A247" s="285"/>
      <c r="B247" s="337" t="s">
        <v>160</v>
      </c>
      <c r="C247" s="378"/>
      <c r="D247" s="378"/>
      <c r="E247" s="378"/>
      <c r="F247" s="286"/>
      <c r="G247" s="379"/>
      <c r="H247" s="378"/>
      <c r="I247" s="378"/>
      <c r="J247" s="378"/>
      <c r="K247" s="378"/>
      <c r="L247" s="378"/>
      <c r="M247" s="378"/>
      <c r="N247" s="378"/>
      <c r="O247" s="378"/>
      <c r="P247" s="378"/>
      <c r="Q247" s="378"/>
      <c r="R247" s="386">
        <f t="shared" si="1"/>
        <v>5</v>
      </c>
      <c r="S247" s="379">
        <f t="shared" si="2"/>
        <v>9.3109869646182495E-4</v>
      </c>
      <c r="T247" s="383">
        <f t="shared" si="3"/>
        <v>887</v>
      </c>
      <c r="U247" s="387">
        <f t="shared" si="4"/>
        <v>1.177601410466447E-3</v>
      </c>
      <c r="V247" s="361"/>
      <c r="W247" s="409"/>
      <c r="X247" s="5"/>
      <c r="Y247" s="109"/>
    </row>
    <row r="248" spans="1:25" ht="15.75" x14ac:dyDescent="0.25">
      <c r="A248" s="285"/>
      <c r="B248" s="337"/>
      <c r="C248" s="378"/>
      <c r="D248" s="378"/>
      <c r="E248" s="378"/>
      <c r="F248" s="286"/>
      <c r="G248" s="379"/>
      <c r="H248" s="378"/>
      <c r="I248" s="378"/>
      <c r="J248" s="378"/>
      <c r="K248" s="378"/>
      <c r="L248" s="378"/>
      <c r="M248" s="378"/>
      <c r="N248" s="378"/>
      <c r="O248" s="378"/>
      <c r="P248" s="378"/>
      <c r="Q248" s="378"/>
      <c r="R248" s="337"/>
      <c r="S248" s="379"/>
      <c r="T248" s="338"/>
      <c r="U248" s="379"/>
      <c r="V248" s="361"/>
      <c r="W248" s="409"/>
      <c r="X248" s="5"/>
    </row>
    <row r="249" spans="1:25" ht="15.75" x14ac:dyDescent="0.25">
      <c r="A249" s="285"/>
      <c r="B249" s="286"/>
      <c r="C249" s="286"/>
      <c r="D249" s="286"/>
      <c r="E249" s="286"/>
      <c r="F249" s="286"/>
      <c r="G249" s="286"/>
      <c r="H249" s="381"/>
      <c r="I249" s="381"/>
      <c r="J249" s="381"/>
      <c r="K249" s="381"/>
      <c r="L249" s="381"/>
      <c r="M249" s="381"/>
      <c r="N249" s="381"/>
      <c r="O249" s="381"/>
      <c r="P249" s="381"/>
      <c r="Q249" s="381"/>
      <c r="R249" s="337">
        <f>SUM(R240:R248)</f>
        <v>5370</v>
      </c>
      <c r="S249" s="379">
        <f>SUM(S240:S248)</f>
        <v>1</v>
      </c>
      <c r="T249" s="338">
        <f>SUM(T240:T248)</f>
        <v>753226</v>
      </c>
      <c r="U249" s="379">
        <f>SUM(U240:U248)</f>
        <v>1</v>
      </c>
      <c r="V249" s="286"/>
      <c r="W249" s="289"/>
      <c r="X249" s="5"/>
    </row>
    <row r="250" spans="1:25" ht="15.75" x14ac:dyDescent="0.25">
      <c r="A250" s="181"/>
      <c r="B250" s="212"/>
      <c r="C250" s="212"/>
      <c r="D250" s="212"/>
      <c r="E250" s="212"/>
      <c r="F250" s="212"/>
      <c r="G250" s="212"/>
      <c r="H250" s="375"/>
      <c r="I250" s="375"/>
      <c r="J250" s="375"/>
      <c r="K250" s="375"/>
      <c r="L250" s="375"/>
      <c r="M250" s="375"/>
      <c r="N250" s="375"/>
      <c r="O250" s="375"/>
      <c r="P250" s="375"/>
      <c r="Q250" s="375"/>
      <c r="R250" s="335"/>
      <c r="S250" s="376"/>
      <c r="T250" s="377"/>
      <c r="U250" s="376"/>
      <c r="V250" s="212"/>
      <c r="W250" s="212"/>
      <c r="X250" s="5"/>
    </row>
    <row r="251" spans="1:25" ht="15.75" x14ac:dyDescent="0.25">
      <c r="A251" s="224"/>
      <c r="B251" s="399" t="s">
        <v>162</v>
      </c>
      <c r="C251" s="400"/>
      <c r="D251" s="400"/>
      <c r="E251" s="400"/>
      <c r="F251" s="407"/>
      <c r="G251" s="400"/>
      <c r="H251" s="400"/>
      <c r="I251" s="400"/>
      <c r="J251" s="400"/>
      <c r="K251" s="400"/>
      <c r="L251" s="400"/>
      <c r="M251" s="400"/>
      <c r="N251" s="400"/>
      <c r="O251" s="400"/>
      <c r="P251" s="400"/>
      <c r="Q251" s="400"/>
      <c r="R251" s="407" t="s">
        <v>102</v>
      </c>
      <c r="S251" s="400" t="s">
        <v>103</v>
      </c>
      <c r="T251" s="407" t="s">
        <v>109</v>
      </c>
      <c r="U251" s="400" t="s">
        <v>103</v>
      </c>
      <c r="V251" s="225"/>
      <c r="W251" s="399"/>
      <c r="X251" s="5"/>
    </row>
    <row r="252" spans="1:25" ht="15.75" x14ac:dyDescent="0.25">
      <c r="A252" s="193"/>
      <c r="B252" s="249" t="s">
        <v>88</v>
      </c>
      <c r="C252" s="265"/>
      <c r="D252" s="265"/>
      <c r="E252" s="265"/>
      <c r="F252" s="250"/>
      <c r="G252" s="265"/>
      <c r="H252" s="265"/>
      <c r="I252" s="265"/>
      <c r="J252" s="265"/>
      <c r="K252" s="265"/>
      <c r="L252" s="265"/>
      <c r="M252" s="265"/>
      <c r="N252" s="265"/>
      <c r="O252" s="265"/>
      <c r="P252" s="265"/>
      <c r="Q252" s="265"/>
      <c r="R252" s="249">
        <v>5261</v>
      </c>
      <c r="S252" s="252">
        <f t="shared" ref="S252:S259" si="5">R252/$R$261</f>
        <v>0.99791350531107736</v>
      </c>
      <c r="T252" s="253">
        <v>737431</v>
      </c>
      <c r="U252" s="252">
        <f t="shared" ref="U252:U259" si="6">T252/$T$261</f>
        <v>0.99757448351244005</v>
      </c>
      <c r="V252" s="266"/>
      <c r="W252" s="408"/>
      <c r="X252" s="5"/>
    </row>
    <row r="253" spans="1:25" ht="15.75" x14ac:dyDescent="0.25">
      <c r="A253" s="285"/>
      <c r="B253" s="337" t="s">
        <v>89</v>
      </c>
      <c r="C253" s="378"/>
      <c r="D253" s="378"/>
      <c r="E253" s="378"/>
      <c r="F253" s="286"/>
      <c r="G253" s="379"/>
      <c r="H253" s="378"/>
      <c r="I253" s="378"/>
      <c r="J253" s="378"/>
      <c r="K253" s="378"/>
      <c r="L253" s="378"/>
      <c r="M253" s="378"/>
      <c r="N253" s="378"/>
      <c r="O253" s="378"/>
      <c r="P253" s="378"/>
      <c r="Q253" s="378"/>
      <c r="R253" s="337">
        <v>7</v>
      </c>
      <c r="S253" s="379">
        <f t="shared" si="5"/>
        <v>1.3277693474962064E-3</v>
      </c>
      <c r="T253" s="338">
        <v>1184</v>
      </c>
      <c r="U253" s="379">
        <f t="shared" si="6"/>
        <v>1.6016795991472138E-3</v>
      </c>
      <c r="V253" s="361"/>
      <c r="W253" s="409"/>
      <c r="X253" s="5"/>
      <c r="Y253" s="109"/>
    </row>
    <row r="254" spans="1:25" ht="15.75" x14ac:dyDescent="0.25">
      <c r="A254" s="285"/>
      <c r="B254" s="337" t="s">
        <v>90</v>
      </c>
      <c r="C254" s="378"/>
      <c r="D254" s="378"/>
      <c r="E254" s="378"/>
      <c r="F254" s="286"/>
      <c r="G254" s="379"/>
      <c r="H254" s="378"/>
      <c r="I254" s="378"/>
      <c r="J254" s="378"/>
      <c r="K254" s="378"/>
      <c r="L254" s="378"/>
      <c r="M254" s="378"/>
      <c r="N254" s="378"/>
      <c r="O254" s="378"/>
      <c r="P254" s="378"/>
      <c r="Q254" s="378"/>
      <c r="R254" s="337">
        <v>2</v>
      </c>
      <c r="S254" s="379">
        <f t="shared" si="5"/>
        <v>3.7936267071320183E-4</v>
      </c>
      <c r="T254" s="338">
        <v>178</v>
      </c>
      <c r="U254" s="379">
        <f t="shared" si="6"/>
        <v>2.4079304784476694E-4</v>
      </c>
      <c r="V254" s="361"/>
      <c r="W254" s="409"/>
      <c r="X254" s="5"/>
    </row>
    <row r="255" spans="1:25" ht="15.75" x14ac:dyDescent="0.25">
      <c r="A255" s="285"/>
      <c r="B255" s="337" t="s">
        <v>156</v>
      </c>
      <c r="C255" s="378"/>
      <c r="D255" s="378"/>
      <c r="E255" s="378"/>
      <c r="F255" s="286"/>
      <c r="G255" s="379"/>
      <c r="H255" s="378"/>
      <c r="I255" s="378"/>
      <c r="J255" s="378"/>
      <c r="K255" s="378"/>
      <c r="L255" s="378"/>
      <c r="M255" s="378"/>
      <c r="N255" s="378"/>
      <c r="O255" s="378"/>
      <c r="P255" s="378"/>
      <c r="Q255" s="378"/>
      <c r="R255" s="337">
        <v>0</v>
      </c>
      <c r="S255" s="379">
        <f t="shared" si="5"/>
        <v>0</v>
      </c>
      <c r="T255" s="338">
        <v>0</v>
      </c>
      <c r="U255" s="379">
        <f t="shared" si="6"/>
        <v>0</v>
      </c>
      <c r="V255" s="361"/>
      <c r="W255" s="409"/>
      <c r="X255" s="5"/>
      <c r="Y255" s="109"/>
    </row>
    <row r="256" spans="1:25" ht="15.75" x14ac:dyDescent="0.25">
      <c r="A256" s="285"/>
      <c r="B256" s="337" t="s">
        <v>157</v>
      </c>
      <c r="C256" s="378"/>
      <c r="D256" s="378"/>
      <c r="E256" s="378"/>
      <c r="F256" s="286"/>
      <c r="G256" s="379"/>
      <c r="H256" s="378"/>
      <c r="I256" s="378"/>
      <c r="J256" s="378"/>
      <c r="K256" s="378"/>
      <c r="L256" s="378"/>
      <c r="M256" s="378"/>
      <c r="N256" s="378"/>
      <c r="O256" s="378"/>
      <c r="P256" s="378"/>
      <c r="Q256" s="378"/>
      <c r="R256" s="337">
        <v>0</v>
      </c>
      <c r="S256" s="379">
        <f t="shared" si="5"/>
        <v>0</v>
      </c>
      <c r="T256" s="338">
        <v>0</v>
      </c>
      <c r="U256" s="379">
        <f t="shared" si="6"/>
        <v>0</v>
      </c>
      <c r="V256" s="361"/>
      <c r="W256" s="409"/>
      <c r="X256" s="5"/>
    </row>
    <row r="257" spans="1:25" ht="15.75" x14ac:dyDescent="0.25">
      <c r="A257" s="285"/>
      <c r="B257" s="337" t="s">
        <v>158</v>
      </c>
      <c r="C257" s="378"/>
      <c r="D257" s="378"/>
      <c r="E257" s="378"/>
      <c r="F257" s="286"/>
      <c r="G257" s="379"/>
      <c r="H257" s="378"/>
      <c r="I257" s="378"/>
      <c r="J257" s="378"/>
      <c r="K257" s="378"/>
      <c r="L257" s="378"/>
      <c r="M257" s="378"/>
      <c r="N257" s="378"/>
      <c r="O257" s="378"/>
      <c r="P257" s="378"/>
      <c r="Q257" s="378"/>
      <c r="R257" s="337">
        <v>0</v>
      </c>
      <c r="S257" s="379">
        <f t="shared" si="5"/>
        <v>0</v>
      </c>
      <c r="T257" s="338">
        <v>0</v>
      </c>
      <c r="U257" s="379">
        <f t="shared" si="6"/>
        <v>0</v>
      </c>
      <c r="V257" s="361"/>
      <c r="W257" s="409"/>
      <c r="X257" s="5"/>
      <c r="Y257" s="109"/>
    </row>
    <row r="258" spans="1:25" ht="15.75" x14ac:dyDescent="0.25">
      <c r="A258" s="285"/>
      <c r="B258" s="337" t="s">
        <v>159</v>
      </c>
      <c r="C258" s="378"/>
      <c r="D258" s="378"/>
      <c r="E258" s="378"/>
      <c r="F258" s="286"/>
      <c r="G258" s="379"/>
      <c r="H258" s="378"/>
      <c r="I258" s="378"/>
      <c r="J258" s="378"/>
      <c r="K258" s="378"/>
      <c r="L258" s="378"/>
      <c r="M258" s="378"/>
      <c r="N258" s="378"/>
      <c r="O258" s="378"/>
      <c r="P258" s="378"/>
      <c r="Q258" s="378"/>
      <c r="R258" s="337">
        <v>1</v>
      </c>
      <c r="S258" s="379">
        <f t="shared" si="5"/>
        <v>1.8968133535660092E-4</v>
      </c>
      <c r="T258" s="338">
        <v>102</v>
      </c>
      <c r="U258" s="379">
        <f t="shared" si="6"/>
        <v>1.3798253303464174E-4</v>
      </c>
      <c r="V258" s="361"/>
      <c r="W258" s="409"/>
      <c r="X258" s="5"/>
    </row>
    <row r="259" spans="1:25" ht="15.75" x14ac:dyDescent="0.25">
      <c r="A259" s="285"/>
      <c r="B259" s="337" t="s">
        <v>160</v>
      </c>
      <c r="C259" s="378"/>
      <c r="D259" s="378"/>
      <c r="E259" s="378"/>
      <c r="F259" s="286"/>
      <c r="G259" s="379"/>
      <c r="H259" s="378"/>
      <c r="I259" s="378"/>
      <c r="J259" s="378"/>
      <c r="K259" s="378"/>
      <c r="L259" s="378"/>
      <c r="M259" s="378"/>
      <c r="N259" s="378"/>
      <c r="O259" s="378"/>
      <c r="P259" s="378"/>
      <c r="Q259" s="378"/>
      <c r="R259" s="337">
        <v>1</v>
      </c>
      <c r="S259" s="379">
        <f t="shared" si="5"/>
        <v>1.8968133535660092E-4</v>
      </c>
      <c r="T259" s="338">
        <v>329</v>
      </c>
      <c r="U259" s="379">
        <f t="shared" si="6"/>
        <v>4.450613075333052E-4</v>
      </c>
      <c r="V259" s="361"/>
      <c r="W259" s="409"/>
      <c r="X259" s="5"/>
      <c r="Y259" s="109"/>
    </row>
    <row r="260" spans="1:25" ht="15.75" x14ac:dyDescent="0.25">
      <c r="A260" s="285"/>
      <c r="B260" s="337"/>
      <c r="C260" s="378"/>
      <c r="D260" s="378"/>
      <c r="E260" s="378"/>
      <c r="F260" s="286"/>
      <c r="G260" s="379"/>
      <c r="H260" s="378"/>
      <c r="I260" s="378"/>
      <c r="J260" s="378"/>
      <c r="K260" s="378"/>
      <c r="L260" s="378"/>
      <c r="M260" s="378"/>
      <c r="N260" s="378"/>
      <c r="O260" s="378"/>
      <c r="P260" s="378"/>
      <c r="Q260" s="378"/>
      <c r="R260" s="337"/>
      <c r="S260" s="379"/>
      <c r="T260" s="338"/>
      <c r="U260" s="379"/>
      <c r="V260" s="361"/>
      <c r="W260" s="409"/>
      <c r="X260" s="5"/>
    </row>
    <row r="261" spans="1:25" ht="15.75" x14ac:dyDescent="0.25">
      <c r="A261" s="285"/>
      <c r="B261" s="286"/>
      <c r="C261" s="286"/>
      <c r="D261" s="286"/>
      <c r="E261" s="286"/>
      <c r="F261" s="286"/>
      <c r="G261" s="286"/>
      <c r="H261" s="381"/>
      <c r="I261" s="381"/>
      <c r="J261" s="381"/>
      <c r="K261" s="381"/>
      <c r="L261" s="381"/>
      <c r="M261" s="381"/>
      <c r="N261" s="381"/>
      <c r="O261" s="381"/>
      <c r="P261" s="381"/>
      <c r="Q261" s="381"/>
      <c r="R261" s="337">
        <f>SUM(R252:R260)</f>
        <v>5272</v>
      </c>
      <c r="S261" s="379">
        <f>SUM(S252:S260)</f>
        <v>1</v>
      </c>
      <c r="T261" s="338">
        <f>SUM(T252:T260)</f>
        <v>739224</v>
      </c>
      <c r="U261" s="379">
        <f>SUM(U252:U260)</f>
        <v>1</v>
      </c>
      <c r="V261" s="286"/>
      <c r="W261" s="289"/>
      <c r="X261" s="5"/>
    </row>
    <row r="262" spans="1:25" ht="15.75" x14ac:dyDescent="0.25">
      <c r="A262" s="181"/>
      <c r="B262" s="212"/>
      <c r="C262" s="212"/>
      <c r="D262" s="212"/>
      <c r="E262" s="212"/>
      <c r="F262" s="212"/>
      <c r="G262" s="212"/>
      <c r="H262" s="375"/>
      <c r="I262" s="375"/>
      <c r="J262" s="375"/>
      <c r="K262" s="375"/>
      <c r="L262" s="375"/>
      <c r="M262" s="375"/>
      <c r="N262" s="375"/>
      <c r="O262" s="375"/>
      <c r="P262" s="375"/>
      <c r="Q262" s="375"/>
      <c r="R262" s="335"/>
      <c r="S262" s="376"/>
      <c r="T262" s="377"/>
      <c r="U262" s="376"/>
      <c r="V262" s="212"/>
      <c r="W262" s="212"/>
      <c r="X262" s="5"/>
    </row>
    <row r="263" spans="1:25" ht="15.75" x14ac:dyDescent="0.25">
      <c r="A263" s="244"/>
      <c r="B263" s="399" t="s">
        <v>236</v>
      </c>
      <c r="C263" s="400"/>
      <c r="D263" s="400"/>
      <c r="E263" s="400"/>
      <c r="F263" s="407"/>
      <c r="G263" s="400"/>
      <c r="H263" s="400"/>
      <c r="I263" s="400"/>
      <c r="J263" s="400"/>
      <c r="K263" s="400"/>
      <c r="L263" s="400"/>
      <c r="M263" s="400"/>
      <c r="N263" s="400"/>
      <c r="O263" s="400"/>
      <c r="P263" s="400"/>
      <c r="Q263" s="400"/>
      <c r="R263" s="407" t="s">
        <v>102</v>
      </c>
      <c r="S263" s="400" t="s">
        <v>103</v>
      </c>
      <c r="T263" s="407" t="s">
        <v>109</v>
      </c>
      <c r="U263" s="400" t="s">
        <v>103</v>
      </c>
      <c r="V263" s="245"/>
      <c r="W263" s="246"/>
      <c r="X263" s="5"/>
    </row>
    <row r="264" spans="1:25" ht="15.75" x14ac:dyDescent="0.25">
      <c r="A264" s="193"/>
      <c r="B264" s="249" t="s">
        <v>88</v>
      </c>
      <c r="C264" s="265"/>
      <c r="D264" s="265"/>
      <c r="E264" s="265"/>
      <c r="F264" s="250"/>
      <c r="G264" s="265"/>
      <c r="H264" s="265"/>
      <c r="I264" s="265"/>
      <c r="J264" s="265"/>
      <c r="K264" s="265"/>
      <c r="L264" s="265"/>
      <c r="M264" s="265"/>
      <c r="N264" s="265"/>
      <c r="O264" s="265"/>
      <c r="P264" s="265"/>
      <c r="Q264" s="265"/>
      <c r="R264" s="249">
        <v>80</v>
      </c>
      <c r="S264" s="252">
        <f t="shared" ref="S264:S270" si="7">R264/$R$273</f>
        <v>0.81632653061224492</v>
      </c>
      <c r="T264" s="253">
        <v>12218</v>
      </c>
      <c r="U264" s="252">
        <f t="shared" ref="U264:U271" si="8">T264/$T$273</f>
        <v>0.87258963005284962</v>
      </c>
      <c r="V264" s="250"/>
      <c r="W264" s="250"/>
      <c r="X264" s="5"/>
    </row>
    <row r="265" spans="1:25" ht="15.75" x14ac:dyDescent="0.25">
      <c r="A265" s="285"/>
      <c r="B265" s="337" t="s">
        <v>89</v>
      </c>
      <c r="C265" s="378"/>
      <c r="D265" s="378"/>
      <c r="E265" s="378"/>
      <c r="F265" s="286"/>
      <c r="G265" s="379"/>
      <c r="H265" s="378"/>
      <c r="I265" s="378"/>
      <c r="J265" s="378"/>
      <c r="K265" s="378"/>
      <c r="L265" s="378"/>
      <c r="M265" s="378"/>
      <c r="N265" s="378"/>
      <c r="O265" s="378"/>
      <c r="P265" s="378"/>
      <c r="Q265" s="378"/>
      <c r="R265" s="337">
        <v>2</v>
      </c>
      <c r="S265" s="379">
        <f t="shared" si="7"/>
        <v>2.0408163265306121E-2</v>
      </c>
      <c r="T265" s="338">
        <v>179</v>
      </c>
      <c r="U265" s="379">
        <f t="shared" si="8"/>
        <v>1.2783888015997714E-2</v>
      </c>
      <c r="V265" s="286"/>
      <c r="W265" s="289"/>
      <c r="X265" s="5"/>
    </row>
    <row r="266" spans="1:25" ht="15.75" x14ac:dyDescent="0.25">
      <c r="A266" s="285"/>
      <c r="B266" s="337" t="s">
        <v>90</v>
      </c>
      <c r="C266" s="378"/>
      <c r="D266" s="378"/>
      <c r="E266" s="378"/>
      <c r="F266" s="286"/>
      <c r="G266" s="379"/>
      <c r="H266" s="378"/>
      <c r="I266" s="378"/>
      <c r="J266" s="378"/>
      <c r="K266" s="378"/>
      <c r="L266" s="378"/>
      <c r="M266" s="378"/>
      <c r="N266" s="378"/>
      <c r="O266" s="378"/>
      <c r="P266" s="378"/>
      <c r="Q266" s="378"/>
      <c r="R266" s="337">
        <v>10</v>
      </c>
      <c r="S266" s="379">
        <f t="shared" si="7"/>
        <v>0.10204081632653061</v>
      </c>
      <c r="T266" s="338">
        <v>801</v>
      </c>
      <c r="U266" s="379">
        <f t="shared" si="8"/>
        <v>5.7206113412369662E-2</v>
      </c>
      <c r="V266" s="286"/>
      <c r="W266" s="289"/>
      <c r="X266" s="5"/>
    </row>
    <row r="267" spans="1:25" ht="15.75" x14ac:dyDescent="0.25">
      <c r="A267" s="285"/>
      <c r="B267" s="337" t="s">
        <v>156</v>
      </c>
      <c r="C267" s="378"/>
      <c r="D267" s="378"/>
      <c r="E267" s="378"/>
      <c r="F267" s="286"/>
      <c r="G267" s="379"/>
      <c r="H267" s="378"/>
      <c r="I267" s="378"/>
      <c r="J267" s="378"/>
      <c r="K267" s="378"/>
      <c r="L267" s="378"/>
      <c r="M267" s="378"/>
      <c r="N267" s="378"/>
      <c r="O267" s="378"/>
      <c r="P267" s="378"/>
      <c r="Q267" s="378"/>
      <c r="R267" s="337">
        <v>0</v>
      </c>
      <c r="S267" s="379">
        <f t="shared" si="7"/>
        <v>0</v>
      </c>
      <c r="T267" s="338">
        <v>0</v>
      </c>
      <c r="U267" s="379">
        <f t="shared" si="8"/>
        <v>0</v>
      </c>
      <c r="V267" s="286"/>
      <c r="W267" s="289"/>
      <c r="X267" s="5"/>
    </row>
    <row r="268" spans="1:25" ht="15.75" x14ac:dyDescent="0.25">
      <c r="A268" s="285"/>
      <c r="B268" s="337" t="s">
        <v>157</v>
      </c>
      <c r="C268" s="378"/>
      <c r="D268" s="378"/>
      <c r="E268" s="378"/>
      <c r="F268" s="286"/>
      <c r="G268" s="379"/>
      <c r="H268" s="378"/>
      <c r="I268" s="378"/>
      <c r="J268" s="378"/>
      <c r="K268" s="378"/>
      <c r="L268" s="378"/>
      <c r="M268" s="378"/>
      <c r="N268" s="378"/>
      <c r="O268" s="378"/>
      <c r="P268" s="378"/>
      <c r="Q268" s="378"/>
      <c r="R268" s="337">
        <v>0</v>
      </c>
      <c r="S268" s="379">
        <f t="shared" si="7"/>
        <v>0</v>
      </c>
      <c r="T268" s="338">
        <v>0</v>
      </c>
      <c r="U268" s="379">
        <f t="shared" si="8"/>
        <v>0</v>
      </c>
      <c r="V268" s="286"/>
      <c r="W268" s="289"/>
      <c r="X268" s="5"/>
    </row>
    <row r="269" spans="1:25" ht="15.75" x14ac:dyDescent="0.25">
      <c r="A269" s="285"/>
      <c r="B269" s="337" t="s">
        <v>158</v>
      </c>
      <c r="C269" s="378"/>
      <c r="D269" s="378"/>
      <c r="E269" s="378"/>
      <c r="F269" s="286"/>
      <c r="G269" s="379"/>
      <c r="H269" s="378"/>
      <c r="I269" s="378"/>
      <c r="J269" s="378"/>
      <c r="K269" s="378"/>
      <c r="L269" s="378"/>
      <c r="M269" s="378"/>
      <c r="N269" s="378"/>
      <c r="O269" s="378"/>
      <c r="P269" s="378"/>
      <c r="Q269" s="378"/>
      <c r="R269" s="337">
        <v>1</v>
      </c>
      <c r="S269" s="379">
        <f t="shared" si="7"/>
        <v>1.020408163265306E-2</v>
      </c>
      <c r="T269" s="338">
        <v>69</v>
      </c>
      <c r="U269" s="379">
        <f t="shared" si="8"/>
        <v>4.9278674475074988E-3</v>
      </c>
      <c r="V269" s="286"/>
      <c r="W269" s="289"/>
      <c r="X269" s="5"/>
    </row>
    <row r="270" spans="1:25" ht="15.75" x14ac:dyDescent="0.25">
      <c r="A270" s="285"/>
      <c r="B270" s="337" t="s">
        <v>159</v>
      </c>
      <c r="C270" s="378"/>
      <c r="D270" s="378"/>
      <c r="E270" s="378"/>
      <c r="F270" s="286"/>
      <c r="G270" s="379"/>
      <c r="H270" s="378"/>
      <c r="I270" s="378"/>
      <c r="J270" s="378"/>
      <c r="K270" s="378"/>
      <c r="L270" s="378"/>
      <c r="M270" s="378"/>
      <c r="N270" s="378"/>
      <c r="O270" s="378"/>
      <c r="P270" s="378"/>
      <c r="Q270" s="378"/>
      <c r="R270" s="337">
        <v>1</v>
      </c>
      <c r="S270" s="379">
        <f t="shared" si="7"/>
        <v>1.020408163265306E-2</v>
      </c>
      <c r="T270" s="338">
        <v>177</v>
      </c>
      <c r="U270" s="379">
        <f t="shared" si="8"/>
        <v>1.2641051278388802E-2</v>
      </c>
      <c r="V270" s="286"/>
      <c r="W270" s="289"/>
      <c r="X270" s="5"/>
    </row>
    <row r="271" spans="1:25" ht="15.75" x14ac:dyDescent="0.25">
      <c r="A271" s="285"/>
      <c r="B271" s="337" t="s">
        <v>160</v>
      </c>
      <c r="C271" s="378"/>
      <c r="D271" s="378"/>
      <c r="E271" s="378"/>
      <c r="F271" s="286"/>
      <c r="G271" s="379"/>
      <c r="H271" s="378"/>
      <c r="I271" s="378"/>
      <c r="J271" s="378"/>
      <c r="K271" s="378"/>
      <c r="L271" s="378"/>
      <c r="M271" s="378"/>
      <c r="N271" s="378"/>
      <c r="O271" s="378"/>
      <c r="P271" s="378"/>
      <c r="Q271" s="378"/>
      <c r="R271" s="337">
        <v>4</v>
      </c>
      <c r="S271" s="379">
        <f>R271/$R$273</f>
        <v>4.0816326530612242E-2</v>
      </c>
      <c r="T271" s="338">
        <v>558</v>
      </c>
      <c r="U271" s="379">
        <f t="shared" si="8"/>
        <v>3.9851449792886733E-2</v>
      </c>
      <c r="V271" s="286"/>
      <c r="W271" s="289"/>
      <c r="X271" s="5"/>
    </row>
    <row r="272" spans="1:25" ht="15.75" x14ac:dyDescent="0.25">
      <c r="A272" s="285"/>
      <c r="B272" s="337"/>
      <c r="C272" s="378"/>
      <c r="D272" s="378"/>
      <c r="E272" s="378"/>
      <c r="F272" s="286"/>
      <c r="G272" s="379"/>
      <c r="H272" s="378"/>
      <c r="I272" s="378"/>
      <c r="J272" s="378"/>
      <c r="K272" s="378"/>
      <c r="L272" s="378"/>
      <c r="M272" s="378"/>
      <c r="N272" s="378"/>
      <c r="O272" s="378"/>
      <c r="P272" s="378"/>
      <c r="Q272" s="378"/>
      <c r="R272" s="337"/>
      <c r="S272" s="379"/>
      <c r="T272" s="338"/>
      <c r="U272" s="379"/>
      <c r="V272" s="286"/>
      <c r="W272" s="289"/>
      <c r="X272" s="5"/>
    </row>
    <row r="273" spans="1:24" ht="15.75" x14ac:dyDescent="0.25">
      <c r="A273" s="285"/>
      <c r="B273" s="286"/>
      <c r="C273" s="286"/>
      <c r="D273" s="286"/>
      <c r="E273" s="286"/>
      <c r="F273" s="286"/>
      <c r="G273" s="286"/>
      <c r="H273" s="381"/>
      <c r="I273" s="381"/>
      <c r="J273" s="381"/>
      <c r="K273" s="381"/>
      <c r="L273" s="381"/>
      <c r="M273" s="381"/>
      <c r="N273" s="381"/>
      <c r="O273" s="381"/>
      <c r="P273" s="381"/>
      <c r="Q273" s="381"/>
      <c r="R273" s="337">
        <f>SUM(R264:R272)</f>
        <v>98</v>
      </c>
      <c r="S273" s="379">
        <f>SUM(S264:S272)</f>
        <v>1</v>
      </c>
      <c r="T273" s="338">
        <f>SUM(T264:T272)</f>
        <v>14002</v>
      </c>
      <c r="U273" s="379">
        <f>SUM(U264:U272)</f>
        <v>1</v>
      </c>
      <c r="V273" s="286"/>
      <c r="W273" s="289"/>
      <c r="X273" s="5"/>
    </row>
    <row r="274" spans="1:24" ht="15.75" x14ac:dyDescent="0.25">
      <c r="A274" s="181"/>
      <c r="B274" s="212"/>
      <c r="C274" s="212"/>
      <c r="D274" s="212"/>
      <c r="E274" s="212"/>
      <c r="F274" s="212"/>
      <c r="G274" s="212"/>
      <c r="H274" s="375"/>
      <c r="I274" s="375"/>
      <c r="J274" s="375"/>
      <c r="K274" s="375"/>
      <c r="L274" s="375"/>
      <c r="M274" s="375"/>
      <c r="N274" s="375"/>
      <c r="O274" s="375"/>
      <c r="P274" s="375"/>
      <c r="Q274" s="375"/>
      <c r="R274" s="335"/>
      <c r="S274" s="376"/>
      <c r="T274" s="377"/>
      <c r="U274" s="376"/>
      <c r="V274" s="212"/>
      <c r="W274" s="212"/>
      <c r="X274" s="5"/>
    </row>
    <row r="275" spans="1:24" ht="15.75" x14ac:dyDescent="0.25">
      <c r="A275" s="244"/>
      <c r="B275" s="399" t="s">
        <v>163</v>
      </c>
      <c r="C275" s="245"/>
      <c r="D275" s="245"/>
      <c r="E275" s="245"/>
      <c r="F275" s="245"/>
      <c r="G275" s="245"/>
      <c r="H275" s="247"/>
      <c r="I275" s="247"/>
      <c r="J275" s="247"/>
      <c r="K275" s="247"/>
      <c r="L275" s="247"/>
      <c r="M275" s="247"/>
      <c r="N275" s="247"/>
      <c r="O275" s="247"/>
      <c r="P275" s="247"/>
      <c r="Q275" s="247"/>
      <c r="R275" s="407" t="s">
        <v>102</v>
      </c>
      <c r="S275" s="400" t="s">
        <v>103</v>
      </c>
      <c r="T275" s="407" t="s">
        <v>109</v>
      </c>
      <c r="U275" s="400" t="s">
        <v>103</v>
      </c>
      <c r="V275" s="245"/>
      <c r="W275" s="246"/>
      <c r="X275" s="5"/>
    </row>
    <row r="276" spans="1:24" ht="15.75" x14ac:dyDescent="0.25">
      <c r="A276" s="248"/>
      <c r="B276" s="249" t="s">
        <v>88</v>
      </c>
      <c r="C276" s="250"/>
      <c r="D276" s="250"/>
      <c r="E276" s="250"/>
      <c r="F276" s="250"/>
      <c r="G276" s="250"/>
      <c r="H276" s="251"/>
      <c r="I276" s="251"/>
      <c r="J276" s="251"/>
      <c r="K276" s="251"/>
      <c r="L276" s="251"/>
      <c r="M276" s="251"/>
      <c r="N276" s="251"/>
      <c r="O276" s="251"/>
      <c r="P276" s="251"/>
      <c r="Q276" s="251"/>
      <c r="R276" s="249">
        <v>0</v>
      </c>
      <c r="S276" s="252">
        <v>0</v>
      </c>
      <c r="T276" s="253">
        <v>0</v>
      </c>
      <c r="U276" s="252">
        <v>0</v>
      </c>
      <c r="V276" s="250"/>
      <c r="W276" s="250"/>
      <c r="X276" s="5"/>
    </row>
    <row r="277" spans="1:24" ht="15.75" x14ac:dyDescent="0.25">
      <c r="A277" s="295"/>
      <c r="B277" s="337" t="s">
        <v>89</v>
      </c>
      <c r="C277" s="286"/>
      <c r="D277" s="286"/>
      <c r="E277" s="286"/>
      <c r="F277" s="286"/>
      <c r="G277" s="286"/>
      <c r="H277" s="381"/>
      <c r="I277" s="381"/>
      <c r="J277" s="381"/>
      <c r="K277" s="381"/>
      <c r="L277" s="381"/>
      <c r="M277" s="381"/>
      <c r="N277" s="381"/>
      <c r="O277" s="381"/>
      <c r="P277" s="381"/>
      <c r="Q277" s="381"/>
      <c r="R277" s="337">
        <v>0</v>
      </c>
      <c r="S277" s="379">
        <v>0</v>
      </c>
      <c r="T277" s="338">
        <v>0</v>
      </c>
      <c r="U277" s="379">
        <v>0</v>
      </c>
      <c r="V277" s="286"/>
      <c r="W277" s="289"/>
      <c r="X277" s="5"/>
    </row>
    <row r="278" spans="1:24" ht="15.75" x14ac:dyDescent="0.25">
      <c r="A278" s="295"/>
      <c r="B278" s="337" t="s">
        <v>90</v>
      </c>
      <c r="C278" s="286"/>
      <c r="D278" s="286"/>
      <c r="E278" s="286"/>
      <c r="F278" s="286"/>
      <c r="G278" s="286"/>
      <c r="H278" s="381"/>
      <c r="I278" s="381"/>
      <c r="J278" s="381"/>
      <c r="K278" s="381"/>
      <c r="L278" s="381"/>
      <c r="M278" s="381"/>
      <c r="N278" s="381"/>
      <c r="O278" s="381"/>
      <c r="P278" s="381"/>
      <c r="Q278" s="381"/>
      <c r="R278" s="337">
        <v>0</v>
      </c>
      <c r="S278" s="379">
        <v>0</v>
      </c>
      <c r="T278" s="338">
        <v>0</v>
      </c>
      <c r="U278" s="379">
        <v>0</v>
      </c>
      <c r="V278" s="286"/>
      <c r="W278" s="289"/>
      <c r="X278" s="5"/>
    </row>
    <row r="279" spans="1:24" ht="15.75" x14ac:dyDescent="0.25">
      <c r="A279" s="295"/>
      <c r="B279" s="337" t="s">
        <v>156</v>
      </c>
      <c r="C279" s="286"/>
      <c r="D279" s="286"/>
      <c r="E279" s="286"/>
      <c r="F279" s="286"/>
      <c r="G279" s="286"/>
      <c r="H279" s="381"/>
      <c r="I279" s="381"/>
      <c r="J279" s="381"/>
      <c r="K279" s="381"/>
      <c r="L279" s="381"/>
      <c r="M279" s="381"/>
      <c r="N279" s="381"/>
      <c r="O279" s="381"/>
      <c r="P279" s="381"/>
      <c r="Q279" s="381"/>
      <c r="R279" s="337">
        <v>0</v>
      </c>
      <c r="S279" s="379">
        <v>0</v>
      </c>
      <c r="T279" s="338">
        <v>0</v>
      </c>
      <c r="U279" s="379">
        <v>0</v>
      </c>
      <c r="V279" s="286"/>
      <c r="W279" s="289"/>
      <c r="X279" s="5"/>
    </row>
    <row r="280" spans="1:24" ht="15.75" x14ac:dyDescent="0.25">
      <c r="A280" s="295"/>
      <c r="B280" s="337" t="s">
        <v>157</v>
      </c>
      <c r="C280" s="286"/>
      <c r="D280" s="286"/>
      <c r="E280" s="286"/>
      <c r="F280" s="286"/>
      <c r="G280" s="286"/>
      <c r="H280" s="381"/>
      <c r="I280" s="381"/>
      <c r="J280" s="381"/>
      <c r="K280" s="381"/>
      <c r="L280" s="381"/>
      <c r="M280" s="381"/>
      <c r="N280" s="381"/>
      <c r="O280" s="381"/>
      <c r="P280" s="381"/>
      <c r="Q280" s="381"/>
      <c r="R280" s="337">
        <v>0</v>
      </c>
      <c r="S280" s="379">
        <v>0</v>
      </c>
      <c r="T280" s="338">
        <v>0</v>
      </c>
      <c r="U280" s="379">
        <v>0</v>
      </c>
      <c r="V280" s="286"/>
      <c r="W280" s="289"/>
      <c r="X280" s="5"/>
    </row>
    <row r="281" spans="1:24" ht="15.75" x14ac:dyDescent="0.25">
      <c r="A281" s="295"/>
      <c r="B281" s="337" t="s">
        <v>158</v>
      </c>
      <c r="C281" s="286"/>
      <c r="D281" s="286"/>
      <c r="E281" s="286"/>
      <c r="F281" s="286"/>
      <c r="G281" s="286"/>
      <c r="H281" s="381"/>
      <c r="I281" s="381"/>
      <c r="J281" s="381"/>
      <c r="K281" s="381"/>
      <c r="L281" s="381"/>
      <c r="M281" s="381"/>
      <c r="N281" s="381"/>
      <c r="O281" s="381"/>
      <c r="P281" s="381"/>
      <c r="Q281" s="381"/>
      <c r="R281" s="337">
        <v>0</v>
      </c>
      <c r="S281" s="379">
        <v>0</v>
      </c>
      <c r="T281" s="338">
        <v>0</v>
      </c>
      <c r="U281" s="379">
        <v>0</v>
      </c>
      <c r="V281" s="286"/>
      <c r="W281" s="289"/>
      <c r="X281" s="5"/>
    </row>
    <row r="282" spans="1:24" ht="15.75" x14ac:dyDescent="0.25">
      <c r="A282" s="295"/>
      <c r="B282" s="337" t="s">
        <v>159</v>
      </c>
      <c r="C282" s="286"/>
      <c r="D282" s="286"/>
      <c r="E282" s="286"/>
      <c r="F282" s="286"/>
      <c r="G282" s="286"/>
      <c r="H282" s="381"/>
      <c r="I282" s="381"/>
      <c r="J282" s="381"/>
      <c r="K282" s="381"/>
      <c r="L282" s="381"/>
      <c r="M282" s="381"/>
      <c r="N282" s="381"/>
      <c r="O282" s="381"/>
      <c r="P282" s="381"/>
      <c r="Q282" s="381"/>
      <c r="R282" s="337">
        <v>0</v>
      </c>
      <c r="S282" s="379">
        <v>0</v>
      </c>
      <c r="T282" s="338">
        <v>0</v>
      </c>
      <c r="U282" s="379">
        <v>0</v>
      </c>
      <c r="V282" s="286"/>
      <c r="W282" s="289"/>
      <c r="X282" s="5"/>
    </row>
    <row r="283" spans="1:24" ht="15.75" x14ac:dyDescent="0.25">
      <c r="A283" s="295"/>
      <c r="B283" s="337" t="s">
        <v>160</v>
      </c>
      <c r="C283" s="286"/>
      <c r="D283" s="286"/>
      <c r="E283" s="286"/>
      <c r="F283" s="286"/>
      <c r="G283" s="286"/>
      <c r="H283" s="381"/>
      <c r="I283" s="381"/>
      <c r="J283" s="381"/>
      <c r="K283" s="381"/>
      <c r="L283" s="381"/>
      <c r="M283" s="381"/>
      <c r="N283" s="381"/>
      <c r="O283" s="381"/>
      <c r="P283" s="381"/>
      <c r="Q283" s="381"/>
      <c r="R283" s="337">
        <v>0</v>
      </c>
      <c r="S283" s="379">
        <v>0</v>
      </c>
      <c r="T283" s="338">
        <v>0</v>
      </c>
      <c r="U283" s="379">
        <v>0</v>
      </c>
      <c r="V283" s="286"/>
      <c r="W283" s="289"/>
      <c r="X283" s="5"/>
    </row>
    <row r="284" spans="1:24" ht="15.75" x14ac:dyDescent="0.25">
      <c r="A284" s="295"/>
      <c r="B284" s="337"/>
      <c r="C284" s="286"/>
      <c r="D284" s="286"/>
      <c r="E284" s="286"/>
      <c r="F284" s="286"/>
      <c r="G284" s="286"/>
      <c r="H284" s="381"/>
      <c r="I284" s="381"/>
      <c r="J284" s="381"/>
      <c r="K284" s="381"/>
      <c r="L284" s="381"/>
      <c r="M284" s="381"/>
      <c r="N284" s="381"/>
      <c r="O284" s="381"/>
      <c r="P284" s="381"/>
      <c r="Q284" s="381"/>
      <c r="R284" s="337"/>
      <c r="S284" s="379"/>
      <c r="T284" s="338"/>
      <c r="U284" s="379"/>
      <c r="V284" s="286"/>
      <c r="W284" s="289"/>
      <c r="X284" s="5"/>
    </row>
    <row r="285" spans="1:24" ht="15.75" x14ac:dyDescent="0.25">
      <c r="A285" s="295"/>
      <c r="B285" s="286" t="s">
        <v>114</v>
      </c>
      <c r="C285" s="286"/>
      <c r="D285" s="286"/>
      <c r="E285" s="286"/>
      <c r="F285" s="286"/>
      <c r="G285" s="286"/>
      <c r="H285" s="381"/>
      <c r="I285" s="381"/>
      <c r="J285" s="381"/>
      <c r="K285" s="381"/>
      <c r="L285" s="381"/>
      <c r="M285" s="381"/>
      <c r="N285" s="381"/>
      <c r="O285" s="381"/>
      <c r="P285" s="381"/>
      <c r="Q285" s="381"/>
      <c r="R285" s="337">
        <f>SUM(R276:R283)</f>
        <v>0</v>
      </c>
      <c r="S285" s="379">
        <f>SUM(S276:S283)</f>
        <v>0</v>
      </c>
      <c r="T285" s="338">
        <f>SUM(T276:T283)</f>
        <v>0</v>
      </c>
      <c r="U285" s="379">
        <f>SUM(U276:U283)</f>
        <v>0</v>
      </c>
      <c r="V285" s="286"/>
      <c r="W285" s="289"/>
      <c r="X285" s="5"/>
    </row>
    <row r="286" spans="1:24" ht="15.75" x14ac:dyDescent="0.25">
      <c r="A286" s="295"/>
      <c r="B286" s="286"/>
      <c r="C286" s="286"/>
      <c r="D286" s="286"/>
      <c r="E286" s="286"/>
      <c r="F286" s="286"/>
      <c r="G286" s="286"/>
      <c r="H286" s="381"/>
      <c r="I286" s="381"/>
      <c r="J286" s="381"/>
      <c r="K286" s="381"/>
      <c r="L286" s="381"/>
      <c r="M286" s="381"/>
      <c r="N286" s="381"/>
      <c r="O286" s="381"/>
      <c r="P286" s="381"/>
      <c r="Q286" s="381"/>
      <c r="R286" s="337"/>
      <c r="S286" s="379"/>
      <c r="T286" s="338"/>
      <c r="U286" s="379"/>
      <c r="V286" s="286"/>
      <c r="W286" s="289"/>
      <c r="X286" s="5"/>
    </row>
    <row r="287" spans="1:24" ht="15.75" x14ac:dyDescent="0.25">
      <c r="A287" s="295"/>
      <c r="B287" s="297" t="s">
        <v>164</v>
      </c>
      <c r="C287" s="286"/>
      <c r="D287" s="286"/>
      <c r="E287" s="286"/>
      <c r="F287" s="286"/>
      <c r="G287" s="286"/>
      <c r="H287" s="381"/>
      <c r="I287" s="381"/>
      <c r="J287" s="381"/>
      <c r="K287" s="381"/>
      <c r="L287" s="381"/>
      <c r="M287" s="381"/>
      <c r="N287" s="381"/>
      <c r="O287" s="381"/>
      <c r="P287" s="381"/>
      <c r="Q287" s="381"/>
      <c r="R287" s="384">
        <f>R285+R273+R261</f>
        <v>5370</v>
      </c>
      <c r="S287" s="379"/>
      <c r="T287" s="410">
        <f>+T285+T273+T261</f>
        <v>753226</v>
      </c>
      <c r="U287" s="379"/>
      <c r="V287" s="286"/>
      <c r="W287" s="289"/>
      <c r="X287" s="5"/>
    </row>
    <row r="288" spans="1:24" ht="15.75" x14ac:dyDescent="0.25">
      <c r="A288" s="254"/>
      <c r="B288" s="346"/>
      <c r="C288" s="346"/>
      <c r="D288" s="346"/>
      <c r="E288" s="346"/>
      <c r="F288" s="346"/>
      <c r="G288" s="346"/>
      <c r="H288" s="382"/>
      <c r="I288" s="382"/>
      <c r="J288" s="382"/>
      <c r="K288" s="382"/>
      <c r="L288" s="382"/>
      <c r="M288" s="382"/>
      <c r="N288" s="382"/>
      <c r="O288" s="382"/>
      <c r="P288" s="382"/>
      <c r="Q288" s="382"/>
      <c r="R288" s="382"/>
      <c r="S288" s="382"/>
      <c r="T288" s="383"/>
      <c r="U288" s="382"/>
      <c r="V288" s="346"/>
      <c r="W288" s="346"/>
      <c r="X288" s="5"/>
    </row>
    <row r="289" spans="1:24" ht="15.75" x14ac:dyDescent="0.25">
      <c r="A289" s="254"/>
      <c r="B289" s="255"/>
      <c r="C289" s="255"/>
      <c r="D289" s="255"/>
      <c r="E289" s="255"/>
      <c r="F289" s="255"/>
      <c r="G289" s="255"/>
      <c r="H289" s="256"/>
      <c r="I289" s="256"/>
      <c r="J289" s="256"/>
      <c r="K289" s="256"/>
      <c r="L289" s="256"/>
      <c r="M289" s="256"/>
      <c r="N289" s="256"/>
      <c r="O289" s="256"/>
      <c r="P289" s="256"/>
      <c r="Q289" s="256"/>
      <c r="R289" s="256"/>
      <c r="S289" s="256"/>
      <c r="T289" s="257"/>
      <c r="U289" s="256"/>
      <c r="V289" s="255"/>
      <c r="W289" s="255"/>
      <c r="X289" s="5"/>
    </row>
    <row r="290" spans="1:24" ht="15.75" x14ac:dyDescent="0.25">
      <c r="A290" s="258"/>
      <c r="B290" s="388" t="s">
        <v>91</v>
      </c>
      <c r="C290" s="255"/>
      <c r="D290" s="255"/>
      <c r="E290" s="255"/>
      <c r="F290" s="391" t="s">
        <v>97</v>
      </c>
      <c r="G290" s="255"/>
      <c r="H290" s="388" t="s">
        <v>99</v>
      </c>
      <c r="I290" s="388"/>
      <c r="J290" s="388"/>
      <c r="K290" s="261"/>
      <c r="L290" s="261"/>
      <c r="M290" s="261"/>
      <c r="N290" s="261"/>
      <c r="O290" s="261"/>
      <c r="P290" s="261"/>
      <c r="Q290" s="261"/>
      <c r="R290" s="261"/>
      <c r="S290" s="261"/>
      <c r="T290" s="261"/>
      <c r="U290" s="261"/>
      <c r="V290" s="261"/>
      <c r="W290" s="261"/>
      <c r="X290" s="5"/>
    </row>
    <row r="291" spans="1:24" ht="15.75" x14ac:dyDescent="0.25">
      <c r="A291" s="258"/>
      <c r="B291" s="261"/>
      <c r="C291" s="255"/>
      <c r="D291" s="255"/>
      <c r="E291" s="255"/>
      <c r="F291" s="255"/>
      <c r="G291" s="255"/>
      <c r="H291" s="255"/>
      <c r="I291" s="255"/>
      <c r="J291" s="255"/>
      <c r="K291" s="261"/>
      <c r="L291" s="261"/>
      <c r="M291" s="261"/>
      <c r="N291" s="261"/>
      <c r="O291" s="261"/>
      <c r="P291" s="261"/>
      <c r="Q291" s="261"/>
      <c r="R291" s="261"/>
      <c r="S291" s="261"/>
      <c r="T291" s="261"/>
      <c r="U291" s="261"/>
      <c r="V291" s="261"/>
      <c r="W291" s="261"/>
      <c r="X291" s="5"/>
    </row>
    <row r="292" spans="1:24" ht="15.75" x14ac:dyDescent="0.25">
      <c r="A292" s="258"/>
      <c r="B292" s="388" t="s">
        <v>318</v>
      </c>
      <c r="C292" s="388"/>
      <c r="D292" s="388"/>
      <c r="E292" s="388"/>
      <c r="F292" s="411" t="s">
        <v>148</v>
      </c>
      <c r="G292" s="388"/>
      <c r="H292" s="388" t="s">
        <v>152</v>
      </c>
      <c r="I292" s="388"/>
      <c r="J292" s="388"/>
      <c r="K292" s="261"/>
      <c r="L292" s="261"/>
      <c r="M292" s="261"/>
      <c r="N292" s="261"/>
      <c r="O292" s="261"/>
      <c r="P292" s="261"/>
      <c r="Q292" s="261"/>
      <c r="R292" s="261"/>
      <c r="S292" s="261"/>
      <c r="T292" s="261"/>
      <c r="U292" s="261"/>
      <c r="V292" s="261"/>
      <c r="W292" s="261"/>
      <c r="X292" s="5"/>
    </row>
    <row r="293" spans="1:24" ht="15.75" x14ac:dyDescent="0.25">
      <c r="A293" s="258"/>
      <c r="B293" s="388" t="s">
        <v>319</v>
      </c>
      <c r="C293" s="388"/>
      <c r="D293" s="388"/>
      <c r="E293" s="388"/>
      <c r="F293" s="411" t="s">
        <v>266</v>
      </c>
      <c r="G293" s="388"/>
      <c r="H293" s="388" t="s">
        <v>267</v>
      </c>
      <c r="I293" s="388"/>
      <c r="J293" s="388"/>
      <c r="K293" s="261"/>
      <c r="L293" s="261"/>
      <c r="M293" s="261"/>
      <c r="N293" s="261"/>
      <c r="O293" s="261"/>
      <c r="P293" s="261"/>
      <c r="Q293" s="261"/>
      <c r="R293" s="261"/>
      <c r="S293" s="261"/>
      <c r="T293" s="261"/>
      <c r="U293" s="261"/>
      <c r="V293" s="261"/>
      <c r="W293" s="261"/>
      <c r="X293" s="5"/>
    </row>
    <row r="294" spans="1:24" ht="15.75" x14ac:dyDescent="0.25">
      <c r="A294" s="258"/>
      <c r="B294" s="388" t="s">
        <v>320</v>
      </c>
      <c r="C294" s="388"/>
      <c r="D294" s="388"/>
      <c r="E294" s="388"/>
      <c r="F294" s="411" t="s">
        <v>147</v>
      </c>
      <c r="G294" s="388"/>
      <c r="H294" s="388" t="s">
        <v>153</v>
      </c>
      <c r="I294" s="388"/>
      <c r="J294" s="388"/>
      <c r="K294" s="261"/>
      <c r="L294" s="261"/>
      <c r="M294" s="261"/>
      <c r="N294" s="261"/>
      <c r="O294" s="261"/>
      <c r="P294" s="261"/>
      <c r="Q294" s="261"/>
      <c r="R294" s="261"/>
      <c r="S294" s="261"/>
      <c r="T294" s="261"/>
      <c r="U294" s="261"/>
      <c r="V294" s="261"/>
      <c r="W294" s="261"/>
      <c r="X294" s="5"/>
    </row>
    <row r="295" spans="1:24" ht="15.75" x14ac:dyDescent="0.25">
      <c r="A295" s="258"/>
      <c r="B295" s="388"/>
      <c r="C295" s="388"/>
      <c r="D295" s="388"/>
      <c r="E295" s="388"/>
      <c r="F295" s="388"/>
      <c r="G295" s="263"/>
      <c r="H295" s="261"/>
      <c r="I295" s="261"/>
      <c r="J295" s="261"/>
      <c r="K295" s="261"/>
      <c r="L295" s="261"/>
      <c r="M295" s="261"/>
      <c r="N295" s="261"/>
      <c r="O295" s="261"/>
      <c r="P295" s="261"/>
      <c r="Q295" s="261"/>
      <c r="R295" s="261"/>
      <c r="S295" s="261"/>
      <c r="T295" s="261"/>
      <c r="U295" s="261"/>
      <c r="V295" s="261"/>
      <c r="W295" s="261"/>
      <c r="X295" s="5"/>
    </row>
    <row r="296" spans="1:24" ht="15.75" x14ac:dyDescent="0.25">
      <c r="A296" s="258"/>
      <c r="B296" s="388"/>
      <c r="C296" s="388"/>
      <c r="D296" s="388"/>
      <c r="E296" s="388"/>
      <c r="F296" s="388"/>
      <c r="G296" s="263"/>
      <c r="H296" s="261"/>
      <c r="I296" s="261"/>
      <c r="J296" s="261"/>
      <c r="K296" s="261"/>
      <c r="L296" s="261"/>
      <c r="M296" s="261"/>
      <c r="N296" s="261"/>
      <c r="O296" s="261"/>
      <c r="P296" s="261"/>
      <c r="Q296" s="261"/>
      <c r="R296" s="261"/>
      <c r="S296" s="261"/>
      <c r="T296" s="261"/>
      <c r="U296" s="261"/>
      <c r="V296" s="261"/>
      <c r="W296" s="261"/>
      <c r="X296" s="5"/>
    </row>
    <row r="297" spans="1:24" ht="19.5" thickBot="1" x14ac:dyDescent="0.35">
      <c r="A297" s="258"/>
      <c r="B297" s="264" t="str">
        <f>B201</f>
        <v>PM15 INVESTOR REPORT QUARTER ENDING FEBRUARY 2015</v>
      </c>
      <c r="C297" s="388"/>
      <c r="D297" s="388"/>
      <c r="E297" s="388"/>
      <c r="F297" s="388"/>
      <c r="G297" s="263"/>
      <c r="H297" s="261"/>
      <c r="I297" s="261"/>
      <c r="J297" s="261"/>
      <c r="K297" s="261"/>
      <c r="L297" s="261"/>
      <c r="M297" s="261"/>
      <c r="N297" s="261"/>
      <c r="O297" s="261"/>
      <c r="P297" s="261"/>
      <c r="Q297" s="261"/>
      <c r="R297" s="261"/>
      <c r="S297" s="261"/>
      <c r="T297" s="261"/>
      <c r="U297" s="261"/>
      <c r="V297" s="261"/>
      <c r="W297" s="261"/>
      <c r="X297" s="5"/>
    </row>
    <row r="298" spans="1:24" x14ac:dyDescent="0.2">
      <c r="A298" s="100"/>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00"/>
    </row>
  </sheetData>
  <hyperlinks>
    <hyperlink ref="P237" r:id="rId1" xr:uid="{00000000-0004-0000-1D00-000000000000}"/>
    <hyperlink ref="I9" r:id="rId2" xr:uid="{00000000-0004-0000-1D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5" max="14" man="1"/>
    <brk id="201" max="14" man="1"/>
  </rowBreaks>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4"/>
  </sheetPr>
  <dimension ref="A1:IV298"/>
  <sheetViews>
    <sheetView showGridLines="0" showOutlineSymbols="0" zoomScale="70" zoomScaleNormal="70" workbookViewId="0"/>
  </sheetViews>
  <sheetFormatPr defaultColWidth="9.6640625" defaultRowHeight="15" x14ac:dyDescent="0.2"/>
  <cols>
    <col min="1" max="1" width="4" style="1" customWidth="1"/>
    <col min="2" max="2" width="71.21875" style="1" customWidth="1"/>
    <col min="3" max="3" width="2.21875" style="1" customWidth="1"/>
    <col min="4" max="4" width="19.33203125" style="1" customWidth="1"/>
    <col min="5" max="5" width="2.21875" style="1" customWidth="1"/>
    <col min="6" max="6" width="25.109375" style="1" customWidth="1"/>
    <col min="7" max="7" width="2.21875" style="1" customWidth="1"/>
    <col min="8" max="8" width="16.21875" style="1" customWidth="1"/>
    <col min="9" max="9" width="2.88671875" style="1" customWidth="1"/>
    <col min="10" max="10" width="16.21875" style="1" customWidth="1"/>
    <col min="11" max="11" width="2.21875" style="1" customWidth="1"/>
    <col min="12" max="12" width="17.88671875" style="1" customWidth="1"/>
    <col min="13" max="13" width="2.33203125" style="1" customWidth="1"/>
    <col min="14" max="14" width="14.88671875" style="1" customWidth="1"/>
    <col min="15" max="15" width="2.33203125" style="1" customWidth="1"/>
    <col min="16" max="16" width="15.5546875" style="1" customWidth="1"/>
    <col min="17" max="17" width="2.21875" style="1" customWidth="1"/>
    <col min="18" max="18" width="15.5546875" style="1" customWidth="1"/>
    <col min="19" max="20" width="12.6640625" style="1" customWidth="1"/>
    <col min="21" max="21" width="7.77734375" style="1" customWidth="1"/>
    <col min="22" max="22" width="14.6640625" style="1" customWidth="1"/>
    <col min="23" max="23" width="11.77734375" style="1" customWidth="1"/>
    <col min="24" max="16384" width="9.6640625" style="1"/>
  </cols>
  <sheetData>
    <row r="1" spans="1:24" ht="20.25" x14ac:dyDescent="0.3">
      <c r="A1" s="179"/>
      <c r="B1" s="274" t="s">
        <v>237</v>
      </c>
      <c r="C1" s="180"/>
      <c r="D1" s="180"/>
      <c r="E1" s="180"/>
      <c r="F1" s="180"/>
      <c r="G1" s="180"/>
      <c r="H1" s="180"/>
      <c r="I1" s="180"/>
      <c r="J1" s="180"/>
      <c r="K1" s="180"/>
      <c r="L1" s="180"/>
      <c r="M1" s="180"/>
      <c r="N1" s="180"/>
      <c r="O1" s="180"/>
      <c r="P1" s="180"/>
      <c r="Q1" s="180"/>
      <c r="R1" s="180"/>
      <c r="S1" s="180"/>
      <c r="T1" s="180"/>
      <c r="U1" s="180"/>
      <c r="V1" s="180"/>
      <c r="W1" s="180"/>
      <c r="X1" s="5"/>
    </row>
    <row r="2" spans="1:24" ht="15.75" x14ac:dyDescent="0.25">
      <c r="A2" s="181"/>
      <c r="B2" s="182"/>
      <c r="C2" s="183"/>
      <c r="D2" s="183"/>
      <c r="E2" s="183"/>
      <c r="F2" s="183"/>
      <c r="G2" s="183"/>
      <c r="H2" s="183"/>
      <c r="I2" s="183"/>
      <c r="J2" s="183"/>
      <c r="K2" s="183"/>
      <c r="L2" s="183"/>
      <c r="M2" s="183"/>
      <c r="N2" s="183"/>
      <c r="O2" s="183"/>
      <c r="P2" s="183"/>
      <c r="Q2" s="183"/>
      <c r="R2" s="183"/>
      <c r="S2" s="183"/>
      <c r="T2" s="183"/>
      <c r="U2" s="183"/>
      <c r="V2" s="183"/>
      <c r="W2" s="183"/>
      <c r="X2" s="5"/>
    </row>
    <row r="3" spans="1:24" ht="15.75" x14ac:dyDescent="0.25">
      <c r="A3" s="184"/>
      <c r="B3" s="185" t="s">
        <v>238</v>
      </c>
      <c r="C3" s="183"/>
      <c r="D3" s="183"/>
      <c r="E3" s="183"/>
      <c r="F3" s="183"/>
      <c r="G3" s="183"/>
      <c r="H3" s="183"/>
      <c r="I3" s="183"/>
      <c r="J3" s="183"/>
      <c r="K3" s="183"/>
      <c r="L3" s="183"/>
      <c r="M3" s="183"/>
      <c r="N3" s="183"/>
      <c r="O3" s="183"/>
      <c r="P3" s="183"/>
      <c r="Q3" s="183"/>
      <c r="R3" s="183"/>
      <c r="S3" s="183"/>
      <c r="T3" s="183"/>
      <c r="U3" s="183"/>
      <c r="V3" s="183"/>
      <c r="W3" s="183"/>
      <c r="X3" s="5"/>
    </row>
    <row r="4" spans="1:24" ht="15.75" x14ac:dyDescent="0.25">
      <c r="A4" s="181"/>
      <c r="B4" s="182"/>
      <c r="C4" s="183"/>
      <c r="D4" s="183"/>
      <c r="E4" s="183"/>
      <c r="F4" s="183"/>
      <c r="G4" s="183"/>
      <c r="H4" s="183"/>
      <c r="I4" s="183"/>
      <c r="J4" s="183"/>
      <c r="K4" s="183"/>
      <c r="L4" s="183"/>
      <c r="M4" s="183"/>
      <c r="N4" s="183"/>
      <c r="O4" s="183"/>
      <c r="P4" s="183"/>
      <c r="Q4" s="183"/>
      <c r="R4" s="183"/>
      <c r="S4" s="183"/>
      <c r="T4" s="183"/>
      <c r="U4" s="183"/>
      <c r="V4" s="183"/>
      <c r="W4" s="183"/>
      <c r="X4" s="5"/>
    </row>
    <row r="5" spans="1:24" ht="15.75" x14ac:dyDescent="0.25">
      <c r="A5" s="181"/>
      <c r="B5" s="275" t="s">
        <v>137</v>
      </c>
      <c r="C5" s="183"/>
      <c r="D5" s="183"/>
      <c r="E5" s="183"/>
      <c r="F5" s="183"/>
      <c r="G5" s="183"/>
      <c r="H5" s="183"/>
      <c r="I5" s="183"/>
      <c r="J5" s="183"/>
      <c r="K5" s="183"/>
      <c r="L5" s="183"/>
      <c r="M5" s="183"/>
      <c r="N5" s="183"/>
      <c r="O5" s="183"/>
      <c r="P5" s="183"/>
      <c r="Q5" s="183"/>
      <c r="R5" s="183"/>
      <c r="S5" s="183"/>
      <c r="T5" s="183"/>
      <c r="U5" s="183"/>
      <c r="V5" s="183"/>
      <c r="W5" s="183"/>
      <c r="X5" s="5"/>
    </row>
    <row r="6" spans="1:24" ht="15.75" x14ac:dyDescent="0.25">
      <c r="A6" s="181"/>
      <c r="B6" s="275" t="s">
        <v>139</v>
      </c>
      <c r="C6" s="183"/>
      <c r="D6" s="183"/>
      <c r="E6" s="183"/>
      <c r="F6" s="183"/>
      <c r="G6" s="183"/>
      <c r="H6" s="183"/>
      <c r="I6" s="183"/>
      <c r="J6" s="183"/>
      <c r="K6" s="183"/>
      <c r="L6" s="183"/>
      <c r="M6" s="183"/>
      <c r="N6" s="183"/>
      <c r="O6" s="183"/>
      <c r="P6" s="183"/>
      <c r="Q6" s="183"/>
      <c r="R6" s="183"/>
      <c r="S6" s="183"/>
      <c r="T6" s="183"/>
      <c r="U6" s="183"/>
      <c r="V6" s="183"/>
      <c r="W6" s="183"/>
      <c r="X6" s="5"/>
    </row>
    <row r="7" spans="1:24" ht="15.75" x14ac:dyDescent="0.25">
      <c r="A7" s="181"/>
      <c r="B7" s="275" t="s">
        <v>138</v>
      </c>
      <c r="C7" s="183"/>
      <c r="D7" s="183"/>
      <c r="E7" s="183"/>
      <c r="F7" s="183"/>
      <c r="G7" s="183"/>
      <c r="H7" s="183"/>
      <c r="I7" s="183"/>
      <c r="J7" s="183"/>
      <c r="K7" s="183"/>
      <c r="L7" s="183"/>
      <c r="M7" s="183"/>
      <c r="N7" s="183"/>
      <c r="O7" s="183"/>
      <c r="P7" s="183"/>
      <c r="Q7" s="183"/>
      <c r="R7" s="183"/>
      <c r="S7" s="183"/>
      <c r="T7" s="183"/>
      <c r="U7" s="183"/>
      <c r="V7" s="183"/>
      <c r="W7" s="183"/>
      <c r="X7" s="5"/>
    </row>
    <row r="8" spans="1:24" ht="15.75" x14ac:dyDescent="0.25">
      <c r="A8" s="181"/>
      <c r="B8" s="186"/>
      <c r="C8" s="183"/>
      <c r="D8" s="183"/>
      <c r="E8" s="183"/>
      <c r="F8" s="183"/>
      <c r="G8" s="183"/>
      <c r="H8" s="183"/>
      <c r="I8" s="183"/>
      <c r="J8" s="183"/>
      <c r="K8" s="183"/>
      <c r="L8" s="183"/>
      <c r="M8" s="183"/>
      <c r="N8" s="183"/>
      <c r="O8" s="183"/>
      <c r="P8" s="183"/>
      <c r="Q8" s="183"/>
      <c r="R8" s="183"/>
      <c r="S8" s="183"/>
      <c r="T8" s="183"/>
      <c r="U8" s="183"/>
      <c r="V8" s="183"/>
      <c r="W8" s="183"/>
      <c r="X8" s="5"/>
    </row>
    <row r="9" spans="1:24" ht="18.75" x14ac:dyDescent="0.3">
      <c r="A9" s="181"/>
      <c r="B9" s="187" t="s">
        <v>166</v>
      </c>
      <c r="C9" s="183"/>
      <c r="D9" s="183"/>
      <c r="E9" s="183"/>
      <c r="F9" s="183"/>
      <c r="G9" s="183"/>
      <c r="H9" s="183"/>
      <c r="I9" s="188" t="s">
        <v>167</v>
      </c>
      <c r="J9" s="183"/>
      <c r="K9" s="183"/>
      <c r="L9" s="188"/>
      <c r="M9" s="183"/>
      <c r="N9" s="188"/>
      <c r="O9" s="183"/>
      <c r="P9" s="183"/>
      <c r="Q9" s="183"/>
      <c r="R9" s="183"/>
      <c r="S9" s="183"/>
      <c r="T9" s="183"/>
      <c r="U9" s="183"/>
      <c r="V9" s="183"/>
      <c r="W9" s="183"/>
      <c r="X9" s="5"/>
    </row>
    <row r="10" spans="1:24" ht="15.75" x14ac:dyDescent="0.25">
      <c r="A10" s="181"/>
      <c r="B10" s="186"/>
      <c r="C10" s="189"/>
      <c r="D10" s="189"/>
      <c r="E10" s="189"/>
      <c r="F10" s="183"/>
      <c r="G10" s="183"/>
      <c r="H10" s="183"/>
      <c r="I10" s="183"/>
      <c r="J10" s="183"/>
      <c r="K10" s="183"/>
      <c r="L10" s="183"/>
      <c r="M10" s="183"/>
      <c r="N10" s="183"/>
      <c r="O10" s="183"/>
      <c r="P10" s="183"/>
      <c r="Q10" s="183"/>
      <c r="R10" s="183"/>
      <c r="S10" s="183"/>
      <c r="T10" s="183"/>
      <c r="U10" s="183"/>
      <c r="V10" s="183"/>
      <c r="W10" s="183"/>
      <c r="X10" s="5"/>
    </row>
    <row r="11" spans="1:24" ht="15.75" x14ac:dyDescent="0.25">
      <c r="A11" s="181"/>
      <c r="B11" s="388" t="s">
        <v>0</v>
      </c>
      <c r="C11" s="183"/>
      <c r="D11" s="183"/>
      <c r="E11" s="183"/>
      <c r="F11" s="183"/>
      <c r="G11" s="183"/>
      <c r="H11" s="183"/>
      <c r="I11" s="183"/>
      <c r="J11" s="183"/>
      <c r="K11" s="183"/>
      <c r="L11" s="183"/>
      <c r="M11" s="183"/>
      <c r="N11" s="183"/>
      <c r="O11" s="183"/>
      <c r="P11" s="183"/>
      <c r="Q11" s="183"/>
      <c r="R11" s="183"/>
      <c r="S11" s="183"/>
      <c r="T11" s="183"/>
      <c r="U11" s="183"/>
      <c r="V11" s="183"/>
      <c r="W11" s="183"/>
      <c r="X11" s="5"/>
    </row>
    <row r="12" spans="1:24" ht="16.5" thickBot="1" x14ac:dyDescent="0.3">
      <c r="A12" s="181"/>
      <c r="B12" s="189"/>
      <c r="C12" s="183"/>
      <c r="D12" s="183"/>
      <c r="E12" s="183"/>
      <c r="F12" s="183"/>
      <c r="G12" s="183"/>
      <c r="H12" s="183"/>
      <c r="I12" s="183"/>
      <c r="J12" s="183"/>
      <c r="K12" s="183"/>
      <c r="L12" s="183"/>
      <c r="M12" s="183"/>
      <c r="N12" s="183"/>
      <c r="O12" s="183"/>
      <c r="P12" s="183"/>
      <c r="Q12" s="183"/>
      <c r="R12" s="183"/>
      <c r="S12" s="183"/>
      <c r="T12" s="183"/>
      <c r="U12" s="183"/>
      <c r="V12" s="183"/>
      <c r="W12" s="183"/>
      <c r="X12" s="5"/>
    </row>
    <row r="13" spans="1:24" ht="15.75" x14ac:dyDescent="0.25">
      <c r="A13" s="179"/>
      <c r="B13" s="180"/>
      <c r="C13" s="180"/>
      <c r="D13" s="180"/>
      <c r="E13" s="180"/>
      <c r="F13" s="180"/>
      <c r="G13" s="180"/>
      <c r="H13" s="180"/>
      <c r="I13" s="180"/>
      <c r="J13" s="180"/>
      <c r="K13" s="180"/>
      <c r="L13" s="180"/>
      <c r="M13" s="180"/>
      <c r="N13" s="180"/>
      <c r="O13" s="180"/>
      <c r="P13" s="180"/>
      <c r="Q13" s="180"/>
      <c r="R13" s="180"/>
      <c r="S13" s="180"/>
      <c r="T13" s="180"/>
      <c r="U13" s="180"/>
      <c r="V13" s="180"/>
      <c r="W13" s="180"/>
      <c r="X13" s="5"/>
    </row>
    <row r="14" spans="1:24" ht="15.75" x14ac:dyDescent="0.25">
      <c r="A14" s="181"/>
      <c r="B14" s="388" t="s">
        <v>1</v>
      </c>
      <c r="C14" s="255"/>
      <c r="D14" s="255"/>
      <c r="E14" s="255"/>
      <c r="F14" s="255"/>
      <c r="G14" s="255"/>
      <c r="H14" s="255"/>
      <c r="I14" s="255"/>
      <c r="J14" s="255"/>
      <c r="K14" s="255"/>
      <c r="L14" s="255"/>
      <c r="M14" s="255"/>
      <c r="N14" s="255"/>
      <c r="O14" s="255"/>
      <c r="P14" s="255"/>
      <c r="Q14" s="255"/>
      <c r="R14" s="255"/>
      <c r="S14" s="255"/>
      <c r="T14" s="255"/>
      <c r="U14" s="255"/>
      <c r="V14" s="276" t="s">
        <v>239</v>
      </c>
      <c r="W14" s="255"/>
      <c r="X14" s="5"/>
    </row>
    <row r="15" spans="1:24" ht="15.75" x14ac:dyDescent="0.25">
      <c r="A15" s="181"/>
      <c r="B15" s="388" t="s">
        <v>2</v>
      </c>
      <c r="C15" s="255"/>
      <c r="D15" s="255"/>
      <c r="E15" s="255"/>
      <c r="F15" s="255"/>
      <c r="G15" s="255"/>
      <c r="H15" s="389"/>
      <c r="I15" s="389"/>
      <c r="J15" s="389"/>
      <c r="K15" s="389"/>
      <c r="L15" s="389"/>
      <c r="M15" s="389"/>
      <c r="N15" s="389"/>
      <c r="O15" s="389"/>
      <c r="P15" s="389"/>
      <c r="Q15" s="389"/>
      <c r="R15" s="389" t="s">
        <v>104</v>
      </c>
      <c r="S15" s="390">
        <v>0.47189999999999999</v>
      </c>
      <c r="T15" s="391" t="s">
        <v>140</v>
      </c>
      <c r="U15" s="390">
        <v>0.52810000000000001</v>
      </c>
      <c r="V15" s="276"/>
      <c r="W15" s="255"/>
      <c r="X15" s="5"/>
    </row>
    <row r="16" spans="1:24" ht="15.75" x14ac:dyDescent="0.25">
      <c r="A16" s="181"/>
      <c r="B16" s="388" t="s">
        <v>3</v>
      </c>
      <c r="C16" s="255"/>
      <c r="D16" s="255"/>
      <c r="E16" s="255"/>
      <c r="F16" s="255"/>
      <c r="G16" s="255"/>
      <c r="H16" s="389"/>
      <c r="I16" s="389"/>
      <c r="J16" s="389"/>
      <c r="K16" s="389"/>
      <c r="L16" s="389"/>
      <c r="M16" s="389"/>
      <c r="N16" s="389"/>
      <c r="O16" s="389"/>
      <c r="P16" s="389"/>
      <c r="Q16" s="389"/>
      <c r="R16" s="389" t="s">
        <v>104</v>
      </c>
      <c r="S16" s="390">
        <v>0.54959999999999998</v>
      </c>
      <c r="T16" s="391" t="s">
        <v>140</v>
      </c>
      <c r="U16" s="390">
        <v>0.45040000000000002</v>
      </c>
      <c r="V16" s="276"/>
      <c r="W16" s="255"/>
      <c r="X16" s="5"/>
    </row>
    <row r="17" spans="1:24" ht="15.75" x14ac:dyDescent="0.25">
      <c r="A17" s="181"/>
      <c r="B17" s="388" t="s">
        <v>4</v>
      </c>
      <c r="C17" s="255"/>
      <c r="D17" s="255"/>
      <c r="E17" s="255"/>
      <c r="F17" s="255"/>
      <c r="G17" s="255"/>
      <c r="H17" s="255"/>
      <c r="I17" s="255"/>
      <c r="J17" s="255"/>
      <c r="K17" s="255"/>
      <c r="L17" s="255"/>
      <c r="M17" s="255"/>
      <c r="N17" s="255"/>
      <c r="O17" s="255"/>
      <c r="P17" s="255"/>
      <c r="Q17" s="255"/>
      <c r="R17" s="255"/>
      <c r="S17" s="255"/>
      <c r="T17" s="255"/>
      <c r="U17" s="255"/>
      <c r="V17" s="392">
        <v>39282</v>
      </c>
      <c r="W17" s="255"/>
      <c r="X17" s="5"/>
    </row>
    <row r="18" spans="1:24" ht="15.75" x14ac:dyDescent="0.25">
      <c r="A18" s="181"/>
      <c r="B18" s="388" t="s">
        <v>5</v>
      </c>
      <c r="C18" s="255"/>
      <c r="D18" s="255"/>
      <c r="E18" s="255"/>
      <c r="F18" s="255"/>
      <c r="G18" s="255"/>
      <c r="H18" s="255"/>
      <c r="I18" s="255"/>
      <c r="J18" s="255"/>
      <c r="K18" s="255"/>
      <c r="L18" s="255"/>
      <c r="M18" s="255"/>
      <c r="N18" s="255"/>
      <c r="O18" s="255"/>
      <c r="P18" s="255"/>
      <c r="Q18" s="255"/>
      <c r="R18" s="255"/>
      <c r="S18" s="255"/>
      <c r="T18" s="255"/>
      <c r="U18" s="255"/>
      <c r="V18" s="392">
        <v>42177</v>
      </c>
      <c r="W18" s="255"/>
      <c r="X18" s="5"/>
    </row>
    <row r="19" spans="1:24" ht="15.75" x14ac:dyDescent="0.25">
      <c r="A19" s="181"/>
      <c r="B19" s="183"/>
      <c r="C19" s="183"/>
      <c r="D19" s="183"/>
      <c r="E19" s="183"/>
      <c r="F19" s="183"/>
      <c r="G19" s="183"/>
      <c r="H19" s="183"/>
      <c r="I19" s="183"/>
      <c r="J19" s="183"/>
      <c r="K19" s="183"/>
      <c r="L19" s="183"/>
      <c r="M19" s="183"/>
      <c r="N19" s="183"/>
      <c r="O19" s="183"/>
      <c r="P19" s="183"/>
      <c r="Q19" s="183"/>
      <c r="R19" s="183"/>
      <c r="S19" s="183"/>
      <c r="T19" s="183"/>
      <c r="U19" s="183"/>
      <c r="V19" s="190"/>
      <c r="W19" s="183"/>
      <c r="X19" s="5"/>
    </row>
    <row r="20" spans="1:24" ht="15.75" x14ac:dyDescent="0.25">
      <c r="A20" s="181"/>
      <c r="B20" s="280" t="s">
        <v>6</v>
      </c>
      <c r="C20" s="255"/>
      <c r="D20" s="255"/>
      <c r="E20" s="255"/>
      <c r="F20" s="255"/>
      <c r="G20" s="255"/>
      <c r="H20" s="255"/>
      <c r="I20" s="255"/>
      <c r="J20" s="255"/>
      <c r="K20" s="255"/>
      <c r="L20" s="255"/>
      <c r="M20" s="255"/>
      <c r="N20" s="255"/>
      <c r="O20" s="255"/>
      <c r="P20" s="255"/>
      <c r="Q20" s="255"/>
      <c r="R20" s="255"/>
      <c r="S20" s="255"/>
      <c r="T20" s="281" t="s">
        <v>105</v>
      </c>
      <c r="U20" s="255"/>
      <c r="V20" s="261"/>
      <c r="W20" s="183"/>
      <c r="X20" s="5"/>
    </row>
    <row r="21" spans="1:24" ht="15.75" x14ac:dyDescent="0.25">
      <c r="A21" s="181"/>
      <c r="B21" s="183"/>
      <c r="C21" s="183"/>
      <c r="D21" s="183"/>
      <c r="E21" s="183"/>
      <c r="F21" s="183"/>
      <c r="G21" s="183"/>
      <c r="H21" s="183"/>
      <c r="I21" s="183"/>
      <c r="J21" s="183"/>
      <c r="K21" s="183"/>
      <c r="L21" s="183"/>
      <c r="M21" s="183"/>
      <c r="N21" s="183"/>
      <c r="O21" s="183"/>
      <c r="P21" s="183"/>
      <c r="Q21" s="183"/>
      <c r="R21" s="183"/>
      <c r="S21" s="183"/>
      <c r="T21" s="183"/>
      <c r="U21" s="183"/>
      <c r="V21" s="192"/>
      <c r="W21" s="183"/>
      <c r="X21" s="5"/>
    </row>
    <row r="22" spans="1:24" ht="15.75" x14ac:dyDescent="0.25">
      <c r="A22" s="224"/>
      <c r="B22" s="225"/>
      <c r="C22" s="226"/>
      <c r="D22" s="226" t="s">
        <v>177</v>
      </c>
      <c r="E22" s="226"/>
      <c r="F22" s="226" t="s">
        <v>178</v>
      </c>
      <c r="G22" s="226"/>
      <c r="H22" s="226" t="s">
        <v>179</v>
      </c>
      <c r="I22" s="226"/>
      <c r="J22" s="226" t="s">
        <v>219</v>
      </c>
      <c r="K22" s="226"/>
      <c r="L22" s="226" t="s">
        <v>180</v>
      </c>
      <c r="M22" s="226"/>
      <c r="N22" s="226" t="s">
        <v>181</v>
      </c>
      <c r="O22" s="226"/>
      <c r="P22" s="226" t="s">
        <v>182</v>
      </c>
      <c r="Q22" s="226"/>
      <c r="R22" s="226"/>
      <c r="S22" s="228"/>
      <c r="T22" s="228"/>
      <c r="U22" s="229"/>
      <c r="V22" s="229"/>
      <c r="W22" s="225"/>
      <c r="X22" s="5"/>
    </row>
    <row r="23" spans="1:24" ht="15.75" x14ac:dyDescent="0.25">
      <c r="A23" s="193"/>
      <c r="B23" s="250" t="s">
        <v>7</v>
      </c>
      <c r="C23" s="282"/>
      <c r="D23" s="282" t="s">
        <v>212</v>
      </c>
      <c r="E23" s="282"/>
      <c r="F23" s="282" t="s">
        <v>141</v>
      </c>
      <c r="G23" s="282"/>
      <c r="H23" s="282" t="s">
        <v>141</v>
      </c>
      <c r="I23" s="282"/>
      <c r="J23" s="282" t="s">
        <v>141</v>
      </c>
      <c r="K23" s="282"/>
      <c r="L23" s="282" t="s">
        <v>183</v>
      </c>
      <c r="M23" s="282"/>
      <c r="N23" s="282" t="s">
        <v>183</v>
      </c>
      <c r="O23" s="282"/>
      <c r="P23" s="282" t="s">
        <v>142</v>
      </c>
      <c r="Q23" s="282"/>
      <c r="R23" s="282"/>
      <c r="S23" s="282"/>
      <c r="T23" s="282"/>
      <c r="U23" s="273"/>
      <c r="V23" s="273"/>
      <c r="W23" s="250"/>
      <c r="X23" s="5"/>
    </row>
    <row r="24" spans="1:24" ht="15.75" x14ac:dyDescent="0.25">
      <c r="A24" s="285"/>
      <c r="B24" s="286" t="s">
        <v>8</v>
      </c>
      <c r="C24" s="287"/>
      <c r="D24" s="287" t="s">
        <v>213</v>
      </c>
      <c r="E24" s="287"/>
      <c r="F24" s="287" t="s">
        <v>143</v>
      </c>
      <c r="G24" s="287"/>
      <c r="H24" s="287" t="s">
        <v>143</v>
      </c>
      <c r="I24" s="287"/>
      <c r="J24" s="287" t="s">
        <v>143</v>
      </c>
      <c r="K24" s="287"/>
      <c r="L24" s="287" t="s">
        <v>165</v>
      </c>
      <c r="M24" s="287"/>
      <c r="N24" s="287" t="s">
        <v>165</v>
      </c>
      <c r="O24" s="287"/>
      <c r="P24" s="287" t="s">
        <v>144</v>
      </c>
      <c r="Q24" s="287"/>
      <c r="R24" s="287"/>
      <c r="S24" s="287"/>
      <c r="T24" s="287"/>
      <c r="U24" s="288"/>
      <c r="V24" s="288"/>
      <c r="W24" s="289"/>
      <c r="X24" s="5"/>
    </row>
    <row r="25" spans="1:24" ht="15.75" x14ac:dyDescent="0.25">
      <c r="A25" s="290"/>
      <c r="B25" s="286" t="s">
        <v>190</v>
      </c>
      <c r="C25" s="292"/>
      <c r="D25" s="287" t="s">
        <v>214</v>
      </c>
      <c r="E25" s="287"/>
      <c r="F25" s="287" t="s">
        <v>143</v>
      </c>
      <c r="G25" s="287"/>
      <c r="H25" s="287" t="s">
        <v>143</v>
      </c>
      <c r="I25" s="287"/>
      <c r="J25" s="287" t="s">
        <v>143</v>
      </c>
      <c r="K25" s="287"/>
      <c r="L25" s="287" t="s">
        <v>165</v>
      </c>
      <c r="M25" s="287"/>
      <c r="N25" s="287" t="s">
        <v>165</v>
      </c>
      <c r="O25" s="287"/>
      <c r="P25" s="287" t="s">
        <v>144</v>
      </c>
      <c r="Q25" s="287"/>
      <c r="R25" s="287"/>
      <c r="S25" s="292"/>
      <c r="T25" s="287"/>
      <c r="U25" s="288"/>
      <c r="V25" s="288"/>
      <c r="W25" s="289"/>
      <c r="X25" s="5"/>
    </row>
    <row r="26" spans="1:24" ht="15.75" x14ac:dyDescent="0.25">
      <c r="A26" s="393"/>
      <c r="B26" s="297" t="s">
        <v>9</v>
      </c>
      <c r="C26" s="292"/>
      <c r="D26" s="292" t="s">
        <v>141</v>
      </c>
      <c r="E26" s="292"/>
      <c r="F26" s="292" t="s">
        <v>141</v>
      </c>
      <c r="G26" s="292"/>
      <c r="H26" s="292" t="s">
        <v>141</v>
      </c>
      <c r="I26" s="292"/>
      <c r="J26" s="292" t="s">
        <v>141</v>
      </c>
      <c r="K26" s="292"/>
      <c r="L26" s="292" t="s">
        <v>183</v>
      </c>
      <c r="M26" s="292"/>
      <c r="N26" s="292" t="s">
        <v>183</v>
      </c>
      <c r="O26" s="292"/>
      <c r="P26" s="292" t="s">
        <v>142</v>
      </c>
      <c r="Q26" s="292"/>
      <c r="R26" s="292"/>
      <c r="S26" s="292"/>
      <c r="T26" s="287"/>
      <c r="U26" s="288"/>
      <c r="V26" s="288"/>
      <c r="W26" s="289"/>
      <c r="X26" s="5"/>
    </row>
    <row r="27" spans="1:24" ht="15.75" x14ac:dyDescent="0.25">
      <c r="A27" s="295"/>
      <c r="B27" s="297" t="s">
        <v>191</v>
      </c>
      <c r="C27" s="287"/>
      <c r="D27" s="292" t="s">
        <v>143</v>
      </c>
      <c r="E27" s="292"/>
      <c r="F27" s="292" t="s">
        <v>143</v>
      </c>
      <c r="G27" s="292"/>
      <c r="H27" s="292" t="s">
        <v>143</v>
      </c>
      <c r="I27" s="292"/>
      <c r="J27" s="292" t="s">
        <v>143</v>
      </c>
      <c r="K27" s="292"/>
      <c r="L27" s="292" t="s">
        <v>307</v>
      </c>
      <c r="M27" s="292"/>
      <c r="N27" s="292" t="s">
        <v>307</v>
      </c>
      <c r="O27" s="292"/>
      <c r="P27" s="292" t="s">
        <v>308</v>
      </c>
      <c r="Q27" s="292"/>
      <c r="R27" s="292"/>
      <c r="S27" s="287"/>
      <c r="T27" s="296"/>
      <c r="U27" s="288"/>
      <c r="V27" s="288"/>
      <c r="W27" s="289"/>
      <c r="X27" s="5"/>
    </row>
    <row r="28" spans="1:24" ht="15.75" x14ac:dyDescent="0.25">
      <c r="A28" s="295"/>
      <c r="B28" s="297" t="s">
        <v>192</v>
      </c>
      <c r="C28" s="287"/>
      <c r="D28" s="292" t="s">
        <v>143</v>
      </c>
      <c r="E28" s="292"/>
      <c r="F28" s="292" t="s">
        <v>143</v>
      </c>
      <c r="G28" s="292"/>
      <c r="H28" s="292" t="s">
        <v>143</v>
      </c>
      <c r="I28" s="292"/>
      <c r="J28" s="292" t="s">
        <v>143</v>
      </c>
      <c r="K28" s="292"/>
      <c r="L28" s="292" t="s">
        <v>329</v>
      </c>
      <c r="M28" s="292"/>
      <c r="N28" s="292" t="s">
        <v>329</v>
      </c>
      <c r="O28" s="292"/>
      <c r="P28" s="292" t="s">
        <v>330</v>
      </c>
      <c r="Q28" s="292"/>
      <c r="R28" s="292"/>
      <c r="S28" s="287"/>
      <c r="T28" s="296"/>
      <c r="U28" s="288"/>
      <c r="V28" s="288"/>
      <c r="W28" s="289"/>
      <c r="X28" s="5"/>
    </row>
    <row r="29" spans="1:24" ht="15.75" x14ac:dyDescent="0.25">
      <c r="A29" s="295"/>
      <c r="B29" s="286" t="s">
        <v>10</v>
      </c>
      <c r="C29" s="298"/>
      <c r="D29" s="287" t="s">
        <v>242</v>
      </c>
      <c r="E29" s="287"/>
      <c r="F29" s="296" t="s">
        <v>244</v>
      </c>
      <c r="G29" s="287"/>
      <c r="H29" s="287" t="s">
        <v>245</v>
      </c>
      <c r="I29" s="287"/>
      <c r="J29" s="287" t="s">
        <v>247</v>
      </c>
      <c r="K29" s="287"/>
      <c r="L29" s="287" t="s">
        <v>248</v>
      </c>
      <c r="M29" s="287"/>
      <c r="N29" s="287" t="s">
        <v>249</v>
      </c>
      <c r="O29" s="287"/>
      <c r="P29" s="287" t="s">
        <v>250</v>
      </c>
      <c r="Q29" s="287"/>
      <c r="R29" s="287"/>
      <c r="S29" s="299"/>
      <c r="T29" s="299"/>
      <c r="U29" s="300"/>
      <c r="V29" s="299"/>
      <c r="W29" s="301"/>
      <c r="X29" s="5"/>
    </row>
    <row r="30" spans="1:24" ht="15.75" x14ac:dyDescent="0.25">
      <c r="A30" s="295"/>
      <c r="B30" s="286" t="s">
        <v>10</v>
      </c>
      <c r="C30" s="298"/>
      <c r="D30" s="287" t="s">
        <v>243</v>
      </c>
      <c r="E30" s="287"/>
      <c r="F30" s="296" t="s">
        <v>118</v>
      </c>
      <c r="G30" s="287"/>
      <c r="H30" s="287" t="s">
        <v>118</v>
      </c>
      <c r="I30" s="287"/>
      <c r="J30" s="287" t="s">
        <v>246</v>
      </c>
      <c r="K30" s="287"/>
      <c r="L30" s="287" t="s">
        <v>118</v>
      </c>
      <c r="M30" s="287"/>
      <c r="N30" s="287" t="s">
        <v>118</v>
      </c>
      <c r="O30" s="287"/>
      <c r="P30" s="287" t="s">
        <v>118</v>
      </c>
      <c r="Q30" s="287"/>
      <c r="R30" s="287"/>
      <c r="S30" s="299"/>
      <c r="T30" s="299"/>
      <c r="U30" s="300"/>
      <c r="V30" s="299"/>
      <c r="W30" s="301"/>
      <c r="X30" s="5"/>
    </row>
    <row r="31" spans="1:24" ht="15.75" x14ac:dyDescent="0.25">
      <c r="A31" s="393"/>
      <c r="B31" s="286" t="s">
        <v>133</v>
      </c>
      <c r="C31" s="310"/>
      <c r="D31" s="303">
        <v>1000000</v>
      </c>
      <c r="E31" s="298"/>
      <c r="F31" s="299">
        <v>209500</v>
      </c>
      <c r="G31" s="299"/>
      <c r="H31" s="304">
        <v>110000</v>
      </c>
      <c r="I31" s="304"/>
      <c r="J31" s="303">
        <v>150000</v>
      </c>
      <c r="K31" s="299"/>
      <c r="L31" s="299">
        <v>17000</v>
      </c>
      <c r="M31" s="299"/>
      <c r="N31" s="304">
        <v>85500</v>
      </c>
      <c r="O31" s="299"/>
      <c r="P31" s="304">
        <v>110500</v>
      </c>
      <c r="Q31" s="299"/>
      <c r="R31" s="304"/>
      <c r="S31" s="312"/>
      <c r="T31" s="312"/>
      <c r="U31" s="306"/>
      <c r="V31" s="312"/>
      <c r="W31" s="301"/>
      <c r="X31" s="5"/>
    </row>
    <row r="32" spans="1:24" ht="15.75" x14ac:dyDescent="0.25">
      <c r="A32" s="295"/>
      <c r="B32" s="286" t="s">
        <v>132</v>
      </c>
      <c r="C32" s="298"/>
      <c r="D32" s="303">
        <f>D31*D38</f>
        <v>708711.6</v>
      </c>
      <c r="E32" s="298"/>
      <c r="F32" s="299">
        <f>F31*F38</f>
        <v>148475.4154</v>
      </c>
      <c r="G32" s="299"/>
      <c r="H32" s="304">
        <f>H31*H38</f>
        <v>77959.09</v>
      </c>
      <c r="I32" s="304"/>
      <c r="J32" s="303">
        <f>J31*J38</f>
        <v>106306.74</v>
      </c>
      <c r="K32" s="299"/>
      <c r="L32" s="299">
        <f>L31*L38</f>
        <v>17000</v>
      </c>
      <c r="M32" s="299"/>
      <c r="N32" s="304">
        <f>N31*N38</f>
        <v>85500</v>
      </c>
      <c r="O32" s="299"/>
      <c r="P32" s="304">
        <f>P31*P38</f>
        <v>110500</v>
      </c>
      <c r="Q32" s="299"/>
      <c r="R32" s="304"/>
      <c r="S32" s="299"/>
      <c r="T32" s="299"/>
      <c r="U32" s="300"/>
      <c r="V32" s="299"/>
      <c r="W32" s="301"/>
      <c r="X32" s="5"/>
    </row>
    <row r="33" spans="1:27" ht="15.75" x14ac:dyDescent="0.25">
      <c r="A33" s="295"/>
      <c r="B33" s="297" t="s">
        <v>134</v>
      </c>
      <c r="C33" s="298"/>
      <c r="D33" s="394">
        <f>D37*D31</f>
        <v>699468.89999999991</v>
      </c>
      <c r="E33" s="310"/>
      <c r="F33" s="312">
        <f>F37*F31</f>
        <v>146539.0907</v>
      </c>
      <c r="G33" s="312"/>
      <c r="H33" s="395">
        <f>H31*H37</f>
        <v>76942.426000000007</v>
      </c>
      <c r="I33" s="395"/>
      <c r="J33" s="394">
        <f>J37*J31</f>
        <v>104920.33499999999</v>
      </c>
      <c r="K33" s="312"/>
      <c r="L33" s="312">
        <f>L31*L37</f>
        <v>17000</v>
      </c>
      <c r="M33" s="312"/>
      <c r="N33" s="395">
        <f>N31*N37</f>
        <v>85500</v>
      </c>
      <c r="O33" s="312"/>
      <c r="P33" s="395">
        <f>P31*P37</f>
        <v>110500</v>
      </c>
      <c r="Q33" s="312"/>
      <c r="R33" s="395"/>
      <c r="S33" s="299"/>
      <c r="T33" s="299"/>
      <c r="U33" s="300"/>
      <c r="V33" s="299"/>
      <c r="W33" s="301"/>
      <c r="X33" s="5"/>
    </row>
    <row r="34" spans="1:27" ht="15.75" x14ac:dyDescent="0.25">
      <c r="A34" s="393"/>
      <c r="B34" s="286" t="s">
        <v>286</v>
      </c>
      <c r="C34" s="310"/>
      <c r="D34" s="299">
        <v>492951</v>
      </c>
      <c r="E34" s="298"/>
      <c r="F34" s="299">
        <v>209500</v>
      </c>
      <c r="G34" s="299"/>
      <c r="H34" s="299">
        <v>74677</v>
      </c>
      <c r="I34" s="299"/>
      <c r="J34" s="299">
        <v>73943</v>
      </c>
      <c r="K34" s="299"/>
      <c r="L34" s="299">
        <v>17000</v>
      </c>
      <c r="M34" s="299"/>
      <c r="N34" s="299">
        <v>58045</v>
      </c>
      <c r="O34" s="299"/>
      <c r="P34" s="299">
        <v>75017</v>
      </c>
      <c r="Q34" s="299"/>
      <c r="R34" s="299"/>
      <c r="S34" s="312"/>
      <c r="T34" s="312"/>
      <c r="U34" s="306"/>
      <c r="V34" s="299">
        <f>SUM(C34:R34)</f>
        <v>1001133</v>
      </c>
      <c r="W34" s="301"/>
      <c r="X34" s="5"/>
    </row>
    <row r="35" spans="1:27" ht="15.75" x14ac:dyDescent="0.25">
      <c r="A35" s="393"/>
      <c r="B35" s="286" t="s">
        <v>287</v>
      </c>
      <c r="C35" s="310"/>
      <c r="D35" s="299">
        <f>D34*D38</f>
        <v>349360.09193160001</v>
      </c>
      <c r="E35" s="298"/>
      <c r="F35" s="299">
        <f>F34*F38</f>
        <v>148475.4154</v>
      </c>
      <c r="G35" s="299"/>
      <c r="H35" s="299">
        <f>H34*H38</f>
        <v>52925.008762999998</v>
      </c>
      <c r="I35" s="299"/>
      <c r="J35" s="299">
        <f>J34*J38</f>
        <v>52404.261838799997</v>
      </c>
      <c r="K35" s="299"/>
      <c r="L35" s="299">
        <f>L34*L38</f>
        <v>17000</v>
      </c>
      <c r="M35" s="299"/>
      <c r="N35" s="299">
        <f>N34*N38</f>
        <v>58045</v>
      </c>
      <c r="O35" s="299"/>
      <c r="P35" s="299">
        <f>P34*P38</f>
        <v>75017</v>
      </c>
      <c r="Q35" s="299"/>
      <c r="R35" s="299"/>
      <c r="S35" s="299"/>
      <c r="T35" s="299"/>
      <c r="U35" s="300"/>
      <c r="V35" s="299">
        <f>SUM(C35:R35)-1</f>
        <v>753225.77793340001</v>
      </c>
      <c r="W35" s="301"/>
      <c r="X35" s="5"/>
    </row>
    <row r="36" spans="1:27" ht="15.75" x14ac:dyDescent="0.25">
      <c r="A36" s="393"/>
      <c r="B36" s="297" t="s">
        <v>288</v>
      </c>
      <c r="C36" s="310"/>
      <c r="D36" s="312">
        <f>D34*D37</f>
        <v>344803.89372389996</v>
      </c>
      <c r="E36" s="310"/>
      <c r="F36" s="312">
        <f>F34*F37</f>
        <v>146539.0907</v>
      </c>
      <c r="G36" s="312"/>
      <c r="H36" s="312">
        <f>H34*H37</f>
        <v>52234.814058199998</v>
      </c>
      <c r="I36" s="312"/>
      <c r="J36" s="312">
        <f>J34*J37</f>
        <v>51720.828872699996</v>
      </c>
      <c r="K36" s="312"/>
      <c r="L36" s="312">
        <f>L34*L37</f>
        <v>17000</v>
      </c>
      <c r="M36" s="312"/>
      <c r="N36" s="312">
        <f>N34*N37</f>
        <v>58045</v>
      </c>
      <c r="O36" s="312"/>
      <c r="P36" s="312">
        <f>P34*P37</f>
        <v>75017</v>
      </c>
      <c r="Q36" s="312"/>
      <c r="R36" s="312"/>
      <c r="S36" s="311"/>
      <c r="T36" s="311"/>
      <c r="U36" s="300"/>
      <c r="V36" s="312">
        <f>SUM(C36:R36)-1</f>
        <v>745359.6273548</v>
      </c>
      <c r="W36" s="301"/>
      <c r="X36" s="5"/>
    </row>
    <row r="37" spans="1:27" ht="15.75" x14ac:dyDescent="0.25">
      <c r="A37" s="285"/>
      <c r="B37" s="313" t="s">
        <v>130</v>
      </c>
      <c r="C37" s="314"/>
      <c r="D37" s="315">
        <v>0.69946889999999995</v>
      </c>
      <c r="E37" s="315"/>
      <c r="F37" s="315">
        <v>0.69947060000000005</v>
      </c>
      <c r="G37" s="315"/>
      <c r="H37" s="315">
        <v>0.6994766</v>
      </c>
      <c r="I37" s="315"/>
      <c r="J37" s="315">
        <v>0.69946889999999995</v>
      </c>
      <c r="K37" s="315"/>
      <c r="L37" s="315">
        <v>1</v>
      </c>
      <c r="M37" s="315"/>
      <c r="N37" s="315">
        <v>1</v>
      </c>
      <c r="O37" s="315"/>
      <c r="P37" s="315">
        <v>1</v>
      </c>
      <c r="Q37" s="315"/>
      <c r="R37" s="315"/>
      <c r="S37" s="316"/>
      <c r="T37" s="316"/>
      <c r="U37" s="317"/>
      <c r="V37" s="317"/>
      <c r="W37" s="318"/>
      <c r="X37" s="5"/>
    </row>
    <row r="38" spans="1:27" ht="15.75" x14ac:dyDescent="0.25">
      <c r="A38" s="285"/>
      <c r="B38" s="313" t="s">
        <v>131</v>
      </c>
      <c r="C38" s="314"/>
      <c r="D38" s="315">
        <v>0.7087116</v>
      </c>
      <c r="E38" s="315"/>
      <c r="F38" s="315">
        <v>0.70871320000000004</v>
      </c>
      <c r="G38" s="315"/>
      <c r="H38" s="315">
        <v>0.70871899999999999</v>
      </c>
      <c r="I38" s="315"/>
      <c r="J38" s="315">
        <v>0.7087116</v>
      </c>
      <c r="K38" s="315"/>
      <c r="L38" s="315">
        <v>1</v>
      </c>
      <c r="M38" s="315"/>
      <c r="N38" s="315">
        <v>1</v>
      </c>
      <c r="O38" s="315"/>
      <c r="P38" s="315">
        <v>1</v>
      </c>
      <c r="Q38" s="315"/>
      <c r="R38" s="315"/>
      <c r="S38" s="319"/>
      <c r="T38" s="320"/>
      <c r="U38" s="317"/>
      <c r="V38" s="319"/>
      <c r="W38" s="318"/>
      <c r="X38" s="5"/>
    </row>
    <row r="39" spans="1:27" ht="15.75" x14ac:dyDescent="0.25">
      <c r="A39" s="285"/>
      <c r="B39" s="286" t="s">
        <v>11</v>
      </c>
      <c r="C39" s="286"/>
      <c r="D39" s="296" t="s">
        <v>304</v>
      </c>
      <c r="E39" s="286"/>
      <c r="F39" s="296" t="s">
        <v>256</v>
      </c>
      <c r="G39" s="296"/>
      <c r="H39" s="296" t="s">
        <v>257</v>
      </c>
      <c r="I39" s="296"/>
      <c r="J39" s="296" t="s">
        <v>258</v>
      </c>
      <c r="K39" s="296"/>
      <c r="L39" s="296" t="s">
        <v>259</v>
      </c>
      <c r="M39" s="296"/>
      <c r="N39" s="296" t="s">
        <v>259</v>
      </c>
      <c r="O39" s="296"/>
      <c r="P39" s="296" t="s">
        <v>260</v>
      </c>
      <c r="Q39" s="296"/>
      <c r="R39" s="296"/>
      <c r="S39" s="321"/>
      <c r="T39" s="322"/>
      <c r="U39" s="288"/>
      <c r="V39" s="288"/>
      <c r="W39" s="289"/>
      <c r="X39" s="5"/>
    </row>
    <row r="40" spans="1:27" ht="15.75" x14ac:dyDescent="0.25">
      <c r="A40" s="285"/>
      <c r="B40" s="286" t="s">
        <v>12</v>
      </c>
      <c r="C40" s="286"/>
      <c r="D40" s="322">
        <v>3.656E-3</v>
      </c>
      <c r="E40" s="286"/>
      <c r="F40" s="322">
        <v>8.2400000000000008E-3</v>
      </c>
      <c r="G40" s="321"/>
      <c r="H40" s="322">
        <v>2.6700000000000001E-3</v>
      </c>
      <c r="I40" s="322"/>
      <c r="J40" s="322">
        <v>4.9059999999999998E-3</v>
      </c>
      <c r="K40" s="321"/>
      <c r="L40" s="322">
        <v>1.1039999999999999E-2</v>
      </c>
      <c r="M40" s="321"/>
      <c r="N40" s="322">
        <v>5.6699999999999997E-3</v>
      </c>
      <c r="O40" s="321"/>
      <c r="P40" s="322">
        <v>1.1270000000000001E-2</v>
      </c>
      <c r="Q40" s="321"/>
      <c r="R40" s="322"/>
      <c r="S40" s="321"/>
      <c r="T40" s="322"/>
      <c r="U40" s="288"/>
      <c r="V40" s="296"/>
      <c r="W40" s="289"/>
      <c r="X40" s="5"/>
      <c r="AA40" s="1" t="s">
        <v>193</v>
      </c>
    </row>
    <row r="41" spans="1:27" ht="15.75" x14ac:dyDescent="0.25">
      <c r="A41" s="285"/>
      <c r="B41" s="286" t="s">
        <v>13</v>
      </c>
      <c r="C41" s="286"/>
      <c r="D41" s="322">
        <v>3.5300000000000002E-3</v>
      </c>
      <c r="E41" s="286"/>
      <c r="F41" s="322">
        <v>8.2024999999999997E-3</v>
      </c>
      <c r="G41" s="321"/>
      <c r="H41" s="322">
        <v>3.2200000000000002E-3</v>
      </c>
      <c r="I41" s="322"/>
      <c r="J41" s="322">
        <v>4.6059999999999999E-3</v>
      </c>
      <c r="K41" s="321"/>
      <c r="L41" s="322">
        <v>1.10025E-2</v>
      </c>
      <c r="M41" s="321"/>
      <c r="N41" s="322">
        <v>6.2199999999999998E-3</v>
      </c>
      <c r="O41" s="321"/>
      <c r="P41" s="322">
        <v>1.1820000000000001E-2</v>
      </c>
      <c r="Q41" s="321"/>
      <c r="R41" s="322"/>
      <c r="S41" s="321"/>
      <c r="T41" s="322"/>
      <c r="U41" s="288"/>
      <c r="V41" s="321" t="s">
        <v>193</v>
      </c>
      <c r="W41" s="289"/>
      <c r="X41" s="5"/>
    </row>
    <row r="42" spans="1:27" ht="15.75" x14ac:dyDescent="0.25">
      <c r="A42" s="285"/>
      <c r="B42" s="286" t="s">
        <v>289</v>
      </c>
      <c r="C42" s="286"/>
      <c r="D42" s="296" t="s">
        <v>311</v>
      </c>
      <c r="E42" s="286"/>
      <c r="F42" s="296" t="s">
        <v>256</v>
      </c>
      <c r="G42" s="296"/>
      <c r="H42" s="296" t="s">
        <v>261</v>
      </c>
      <c r="I42" s="296"/>
      <c r="J42" s="296" t="s">
        <v>261</v>
      </c>
      <c r="K42" s="296"/>
      <c r="L42" s="296" t="s">
        <v>259</v>
      </c>
      <c r="M42" s="296"/>
      <c r="N42" s="296" t="s">
        <v>263</v>
      </c>
      <c r="O42" s="296"/>
      <c r="P42" s="296" t="s">
        <v>264</v>
      </c>
      <c r="Q42" s="296"/>
      <c r="R42" s="296"/>
      <c r="S42" s="321"/>
      <c r="T42" s="322"/>
      <c r="U42" s="288"/>
      <c r="V42" s="288"/>
      <c r="W42" s="289"/>
      <c r="X42" s="5"/>
    </row>
    <row r="43" spans="1:27" ht="15.75" x14ac:dyDescent="0.25">
      <c r="A43" s="285"/>
      <c r="B43" s="286" t="s">
        <v>290</v>
      </c>
      <c r="C43" s="323"/>
      <c r="D43" s="322">
        <v>7.6369000000000003E-3</v>
      </c>
      <c r="E43" s="322"/>
      <c r="F43" s="322">
        <f>+F40</f>
        <v>8.2400000000000008E-3</v>
      </c>
      <c r="G43" s="322"/>
      <c r="H43" s="322">
        <v>8.3899999999999999E-3</v>
      </c>
      <c r="I43" s="322"/>
      <c r="J43" s="322">
        <v>8.4200000000000004E-3</v>
      </c>
      <c r="K43" s="322"/>
      <c r="L43" s="322">
        <f>+L40</f>
        <v>1.1039999999999999E-2</v>
      </c>
      <c r="M43" s="322"/>
      <c r="N43" s="322">
        <v>1.1774E-2</v>
      </c>
      <c r="O43" s="322"/>
      <c r="P43" s="322">
        <v>1.7933999999999999E-2</v>
      </c>
      <c r="Q43" s="321"/>
      <c r="R43" s="322"/>
      <c r="S43" s="296"/>
      <c r="T43" s="296"/>
      <c r="U43" s="288"/>
      <c r="V43" s="321">
        <f>SUMPRODUCT(D43:R43,D35:R35)/V35</f>
        <v>9.2843435926472494E-3</v>
      </c>
      <c r="W43" s="289"/>
      <c r="X43" s="5"/>
    </row>
    <row r="44" spans="1:27" ht="15.75" x14ac:dyDescent="0.25">
      <c r="A44" s="285"/>
      <c r="B44" s="286" t="s">
        <v>291</v>
      </c>
      <c r="C44" s="323"/>
      <c r="D44" s="322">
        <v>7.5994000000000001E-3</v>
      </c>
      <c r="E44" s="322"/>
      <c r="F44" s="322">
        <f>+F41</f>
        <v>8.2024999999999997E-3</v>
      </c>
      <c r="G44" s="322"/>
      <c r="H44" s="322">
        <v>8.3525000000000005E-3</v>
      </c>
      <c r="I44" s="322"/>
      <c r="J44" s="322">
        <v>8.3824999999999993E-3</v>
      </c>
      <c r="K44" s="322"/>
      <c r="L44" s="322">
        <f>+L41</f>
        <v>1.10025E-2</v>
      </c>
      <c r="M44" s="322"/>
      <c r="N44" s="322">
        <v>1.17365E-2</v>
      </c>
      <c r="O44" s="322"/>
      <c r="P44" s="322">
        <v>1.7896499999999999E-2</v>
      </c>
      <c r="Q44" s="321"/>
      <c r="R44" s="322"/>
      <c r="S44" s="296"/>
      <c r="T44" s="296"/>
      <c r="U44" s="288"/>
      <c r="V44" s="288"/>
      <c r="W44" s="289"/>
      <c r="X44" s="5"/>
    </row>
    <row r="45" spans="1:27" ht="15.75" x14ac:dyDescent="0.25">
      <c r="A45" s="285"/>
      <c r="B45" s="286" t="s">
        <v>14</v>
      </c>
      <c r="C45" s="286"/>
      <c r="D45" s="323">
        <v>40709</v>
      </c>
      <c r="E45" s="323"/>
      <c r="F45" s="323">
        <v>40709</v>
      </c>
      <c r="G45" s="323"/>
      <c r="H45" s="323">
        <v>40709</v>
      </c>
      <c r="I45" s="323"/>
      <c r="J45" s="323">
        <v>40709</v>
      </c>
      <c r="K45" s="323"/>
      <c r="L45" s="323">
        <v>40709</v>
      </c>
      <c r="M45" s="323"/>
      <c r="N45" s="323">
        <v>40709</v>
      </c>
      <c r="O45" s="323"/>
      <c r="P45" s="323">
        <v>40709</v>
      </c>
      <c r="Q45" s="323"/>
      <c r="R45" s="323"/>
      <c r="S45" s="296"/>
      <c r="T45" s="296"/>
      <c r="U45" s="288"/>
      <c r="V45" s="288"/>
      <c r="W45" s="289"/>
      <c r="X45" s="5"/>
    </row>
    <row r="46" spans="1:27" ht="15.75" x14ac:dyDescent="0.25">
      <c r="A46" s="285"/>
      <c r="B46" s="286" t="s">
        <v>15</v>
      </c>
      <c r="C46" s="286"/>
      <c r="D46" s="323">
        <v>41075</v>
      </c>
      <c r="E46" s="323"/>
      <c r="F46" s="323">
        <v>41075</v>
      </c>
      <c r="G46" s="323"/>
      <c r="H46" s="323">
        <v>41075</v>
      </c>
      <c r="I46" s="323"/>
      <c r="J46" s="323">
        <v>41075</v>
      </c>
      <c r="K46" s="296"/>
      <c r="L46" s="323">
        <v>41075</v>
      </c>
      <c r="M46" s="296"/>
      <c r="N46" s="323">
        <v>41075</v>
      </c>
      <c r="O46" s="296"/>
      <c r="P46" s="323">
        <v>41075</v>
      </c>
      <c r="Q46" s="296"/>
      <c r="R46" s="323"/>
      <c r="S46" s="296"/>
      <c r="T46" s="296"/>
      <c r="U46" s="288"/>
      <c r="V46" s="288"/>
      <c r="W46" s="289"/>
      <c r="X46" s="5"/>
    </row>
    <row r="47" spans="1:27" ht="15.75" x14ac:dyDescent="0.25">
      <c r="A47" s="285"/>
      <c r="B47" s="286" t="s">
        <v>119</v>
      </c>
      <c r="C47" s="286"/>
      <c r="D47" s="296" t="s">
        <v>304</v>
      </c>
      <c r="E47" s="286"/>
      <c r="F47" s="296" t="s">
        <v>256</v>
      </c>
      <c r="G47" s="296"/>
      <c r="H47" s="296" t="s">
        <v>257</v>
      </c>
      <c r="I47" s="296"/>
      <c r="J47" s="296" t="s">
        <v>258</v>
      </c>
      <c r="K47" s="296"/>
      <c r="L47" s="296" t="s">
        <v>259</v>
      </c>
      <c r="M47" s="296"/>
      <c r="N47" s="296" t="s">
        <v>259</v>
      </c>
      <c r="O47" s="296"/>
      <c r="P47" s="296" t="s">
        <v>260</v>
      </c>
      <c r="Q47" s="296"/>
      <c r="R47" s="296"/>
      <c r="S47" s="325"/>
      <c r="T47" s="325"/>
      <c r="U47" s="325"/>
      <c r="V47" s="325"/>
      <c r="W47" s="289"/>
      <c r="X47" s="5"/>
    </row>
    <row r="48" spans="1:27" ht="15.75" x14ac:dyDescent="0.25">
      <c r="A48" s="285"/>
      <c r="B48" s="286" t="s">
        <v>292</v>
      </c>
      <c r="C48" s="286"/>
      <c r="D48" s="296" t="s">
        <v>311</v>
      </c>
      <c r="E48" s="286"/>
      <c r="F48" s="296" t="s">
        <v>256</v>
      </c>
      <c r="G48" s="296"/>
      <c r="H48" s="296" t="s">
        <v>261</v>
      </c>
      <c r="I48" s="296"/>
      <c r="J48" s="296" t="s">
        <v>261</v>
      </c>
      <c r="K48" s="296"/>
      <c r="L48" s="296" t="s">
        <v>259</v>
      </c>
      <c r="M48" s="296"/>
      <c r="N48" s="296" t="s">
        <v>263</v>
      </c>
      <c r="O48" s="296"/>
      <c r="P48" s="296" t="s">
        <v>264</v>
      </c>
      <c r="Q48" s="296"/>
      <c r="R48" s="296"/>
      <c r="S48" s="286"/>
      <c r="T48" s="286"/>
      <c r="U48" s="286"/>
      <c r="V48" s="321"/>
      <c r="W48" s="289"/>
      <c r="X48" s="5"/>
    </row>
    <row r="49" spans="1:25" ht="15.75" x14ac:dyDescent="0.25">
      <c r="A49" s="285"/>
      <c r="B49" s="286"/>
      <c r="C49" s="286"/>
      <c r="D49" s="296"/>
      <c r="E49" s="286"/>
      <c r="F49" s="296"/>
      <c r="G49" s="296"/>
      <c r="H49" s="296"/>
      <c r="I49" s="296"/>
      <c r="J49" s="296"/>
      <c r="K49" s="296"/>
      <c r="L49" s="296"/>
      <c r="M49" s="296"/>
      <c r="N49" s="296"/>
      <c r="O49" s="296"/>
      <c r="P49" s="296"/>
      <c r="Q49" s="296"/>
      <c r="R49" s="296"/>
      <c r="S49" s="286"/>
      <c r="T49" s="286"/>
      <c r="U49" s="286"/>
      <c r="V49" s="321" t="s">
        <v>193</v>
      </c>
      <c r="W49" s="289"/>
      <c r="X49" s="5"/>
    </row>
    <row r="50" spans="1:25" ht="15.75" x14ac:dyDescent="0.25">
      <c r="A50" s="285"/>
      <c r="B50" s="286" t="s">
        <v>169</v>
      </c>
      <c r="C50" s="286"/>
      <c r="D50" s="296"/>
      <c r="E50" s="286"/>
      <c r="F50" s="296"/>
      <c r="G50" s="296"/>
      <c r="H50" s="296"/>
      <c r="I50" s="296"/>
      <c r="J50" s="296"/>
      <c r="K50" s="296"/>
      <c r="L50" s="296"/>
      <c r="M50" s="296"/>
      <c r="N50" s="296"/>
      <c r="O50" s="296"/>
      <c r="P50" s="296"/>
      <c r="Q50" s="296"/>
      <c r="R50" s="296"/>
      <c r="S50" s="286"/>
      <c r="T50" s="286"/>
      <c r="U50" s="286"/>
      <c r="V50" s="321">
        <f>SUM(L34:R34)/SUM(D34:J34)</f>
        <v>0.17632136449250416</v>
      </c>
      <c r="W50" s="289"/>
      <c r="X50" s="5"/>
    </row>
    <row r="51" spans="1:25" ht="15.75" x14ac:dyDescent="0.25">
      <c r="A51" s="285"/>
      <c r="B51" s="286" t="s">
        <v>170</v>
      </c>
      <c r="C51" s="286"/>
      <c r="D51" s="286"/>
      <c r="E51" s="286"/>
      <c r="F51" s="326"/>
      <c r="G51" s="286"/>
      <c r="H51" s="286"/>
      <c r="I51" s="286"/>
      <c r="J51" s="286"/>
      <c r="K51" s="286"/>
      <c r="L51" s="286"/>
      <c r="M51" s="286"/>
      <c r="N51" s="286"/>
      <c r="O51" s="286"/>
      <c r="P51" s="286"/>
      <c r="Q51" s="286"/>
      <c r="R51" s="286"/>
      <c r="S51" s="286"/>
      <c r="T51" s="286"/>
      <c r="U51" s="286"/>
      <c r="V51" s="321">
        <f>SUM(L36:R36)/SUM(D36:J36)</f>
        <v>0.25207852513753998</v>
      </c>
      <c r="W51" s="289"/>
      <c r="X51" s="5"/>
    </row>
    <row r="52" spans="1:25" ht="15.75" x14ac:dyDescent="0.25">
      <c r="A52" s="285"/>
      <c r="B52" s="286" t="s">
        <v>171</v>
      </c>
      <c r="C52" s="286"/>
      <c r="D52" s="286"/>
      <c r="E52" s="286"/>
      <c r="F52" s="286"/>
      <c r="G52" s="286"/>
      <c r="H52" s="286"/>
      <c r="I52" s="286"/>
      <c r="J52" s="286"/>
      <c r="K52" s="286"/>
      <c r="L52" s="286"/>
      <c r="M52" s="286"/>
      <c r="N52" s="286"/>
      <c r="O52" s="286"/>
      <c r="P52" s="286"/>
      <c r="Q52" s="286"/>
      <c r="R52" s="286"/>
      <c r="S52" s="286"/>
      <c r="T52" s="296"/>
      <c r="U52" s="296"/>
      <c r="V52" s="299" t="s">
        <v>268</v>
      </c>
      <c r="W52" s="289"/>
      <c r="X52" s="5"/>
    </row>
    <row r="53" spans="1:25" ht="15.75" x14ac:dyDescent="0.25">
      <c r="A53" s="285"/>
      <c r="B53" s="286"/>
      <c r="C53" s="286"/>
      <c r="D53" s="286"/>
      <c r="E53" s="286"/>
      <c r="F53" s="286"/>
      <c r="G53" s="286"/>
      <c r="H53" s="286"/>
      <c r="I53" s="286"/>
      <c r="J53" s="286"/>
      <c r="K53" s="286"/>
      <c r="L53" s="286"/>
      <c r="M53" s="286"/>
      <c r="N53" s="286"/>
      <c r="O53" s="286"/>
      <c r="P53" s="286"/>
      <c r="Q53" s="286"/>
      <c r="R53" s="286"/>
      <c r="S53" s="286"/>
      <c r="T53" s="286"/>
      <c r="U53" s="286"/>
      <c r="V53" s="327"/>
      <c r="W53" s="289"/>
      <c r="X53" s="5"/>
    </row>
    <row r="54" spans="1:25" ht="15.75" x14ac:dyDescent="0.25">
      <c r="A54" s="285"/>
      <c r="B54" s="286" t="s">
        <v>202</v>
      </c>
      <c r="C54" s="286"/>
      <c r="D54" s="286"/>
      <c r="E54" s="286"/>
      <c r="F54" s="286"/>
      <c r="G54" s="286"/>
      <c r="H54" s="286"/>
      <c r="I54" s="286"/>
      <c r="J54" s="286"/>
      <c r="K54" s="286"/>
      <c r="L54" s="286"/>
      <c r="M54" s="286"/>
      <c r="N54" s="286"/>
      <c r="O54" s="286"/>
      <c r="P54" s="286"/>
      <c r="Q54" s="286"/>
      <c r="R54" s="286"/>
      <c r="S54" s="286"/>
      <c r="T54" s="286"/>
      <c r="U54" s="286"/>
      <c r="V54" s="311" t="s">
        <v>203</v>
      </c>
      <c r="W54" s="289"/>
      <c r="X54" s="5"/>
    </row>
    <row r="55" spans="1:25" ht="15.75" x14ac:dyDescent="0.25">
      <c r="A55" s="285"/>
      <c r="B55" s="286" t="s">
        <v>270</v>
      </c>
      <c r="C55" s="286"/>
      <c r="D55" s="286"/>
      <c r="E55" s="286"/>
      <c r="F55" s="286"/>
      <c r="G55" s="286"/>
      <c r="H55" s="286"/>
      <c r="I55" s="286"/>
      <c r="J55" s="286"/>
      <c r="K55" s="286"/>
      <c r="L55" s="286"/>
      <c r="M55" s="286"/>
      <c r="N55" s="286"/>
      <c r="O55" s="286"/>
      <c r="P55" s="286"/>
      <c r="Q55" s="286"/>
      <c r="R55" s="286"/>
      <c r="S55" s="286"/>
      <c r="T55" s="296"/>
      <c r="U55" s="296"/>
      <c r="V55" s="396" t="s">
        <v>111</v>
      </c>
      <c r="W55" s="289"/>
      <c r="X55" s="5"/>
    </row>
    <row r="56" spans="1:25" ht="15.75" x14ac:dyDescent="0.25">
      <c r="A56" s="285"/>
      <c r="B56" s="297" t="s">
        <v>201</v>
      </c>
      <c r="C56" s="297"/>
      <c r="D56" s="297"/>
      <c r="E56" s="297"/>
      <c r="F56" s="297"/>
      <c r="G56" s="297"/>
      <c r="H56" s="297"/>
      <c r="I56" s="297"/>
      <c r="J56" s="297"/>
      <c r="K56" s="297"/>
      <c r="L56" s="297"/>
      <c r="M56" s="297"/>
      <c r="N56" s="297"/>
      <c r="O56" s="297"/>
      <c r="P56" s="297"/>
      <c r="Q56" s="297"/>
      <c r="R56" s="297"/>
      <c r="S56" s="297"/>
      <c r="T56" s="397"/>
      <c r="U56" s="397"/>
      <c r="V56" s="398">
        <v>42170</v>
      </c>
      <c r="W56" s="289"/>
      <c r="X56" s="5"/>
    </row>
    <row r="57" spans="1:25" ht="15.75" x14ac:dyDescent="0.25">
      <c r="A57" s="285"/>
      <c r="B57" s="286" t="s">
        <v>121</v>
      </c>
      <c r="C57" s="286"/>
      <c r="D57" s="286"/>
      <c r="E57" s="286"/>
      <c r="F57" s="286"/>
      <c r="G57" s="286"/>
      <c r="H57" s="332"/>
      <c r="I57" s="332"/>
      <c r="J57" s="332"/>
      <c r="K57" s="332"/>
      <c r="L57" s="332"/>
      <c r="M57" s="332"/>
      <c r="N57" s="332"/>
      <c r="O57" s="332"/>
      <c r="P57" s="332"/>
      <c r="Q57" s="332"/>
      <c r="R57" s="286">
        <f>+V57-T57+1</f>
        <v>91</v>
      </c>
      <c r="S57" s="332"/>
      <c r="T57" s="333">
        <v>41988</v>
      </c>
      <c r="U57" s="334"/>
      <c r="V57" s="333">
        <v>42078</v>
      </c>
      <c r="W57" s="289"/>
      <c r="X57" s="5"/>
    </row>
    <row r="58" spans="1:25" ht="15.75" x14ac:dyDescent="0.25">
      <c r="A58" s="285"/>
      <c r="B58" s="286" t="s">
        <v>122</v>
      </c>
      <c r="C58" s="286"/>
      <c r="D58" s="286"/>
      <c r="E58" s="286"/>
      <c r="F58" s="286"/>
      <c r="G58" s="286"/>
      <c r="H58" s="286"/>
      <c r="I58" s="286"/>
      <c r="J58" s="286"/>
      <c r="K58" s="286"/>
      <c r="L58" s="286"/>
      <c r="M58" s="286"/>
      <c r="N58" s="286"/>
      <c r="O58" s="286"/>
      <c r="P58" s="286"/>
      <c r="Q58" s="286"/>
      <c r="R58" s="286">
        <f>+V58-T58+1</f>
        <v>91</v>
      </c>
      <c r="S58" s="286"/>
      <c r="T58" s="333">
        <v>42079</v>
      </c>
      <c r="U58" s="334"/>
      <c r="V58" s="333">
        <v>42169</v>
      </c>
      <c r="W58" s="289"/>
      <c r="X58" s="5"/>
    </row>
    <row r="59" spans="1:25" ht="15.75" x14ac:dyDescent="0.25">
      <c r="A59" s="285"/>
      <c r="B59" s="286" t="s">
        <v>223</v>
      </c>
      <c r="C59" s="286"/>
      <c r="D59" s="286"/>
      <c r="E59" s="286"/>
      <c r="F59" s="286"/>
      <c r="G59" s="286"/>
      <c r="H59" s="286"/>
      <c r="I59" s="286"/>
      <c r="J59" s="286"/>
      <c r="K59" s="286"/>
      <c r="L59" s="286"/>
      <c r="M59" s="286"/>
      <c r="N59" s="286"/>
      <c r="O59" s="286"/>
      <c r="P59" s="286"/>
      <c r="Q59" s="286"/>
      <c r="R59" s="286"/>
      <c r="S59" s="286"/>
      <c r="T59" s="333"/>
      <c r="U59" s="334"/>
      <c r="V59" s="333" t="s">
        <v>120</v>
      </c>
      <c r="W59" s="289"/>
      <c r="X59" s="5"/>
    </row>
    <row r="60" spans="1:25" ht="15.75" x14ac:dyDescent="0.25">
      <c r="A60" s="285"/>
      <c r="B60" s="286" t="s">
        <v>271</v>
      </c>
      <c r="C60" s="286"/>
      <c r="D60" s="286"/>
      <c r="E60" s="286"/>
      <c r="F60" s="286"/>
      <c r="G60" s="286"/>
      <c r="H60" s="286"/>
      <c r="I60" s="286"/>
      <c r="J60" s="286"/>
      <c r="K60" s="286"/>
      <c r="L60" s="286"/>
      <c r="M60" s="286"/>
      <c r="N60" s="286"/>
      <c r="O60" s="286"/>
      <c r="P60" s="286"/>
      <c r="Q60" s="286"/>
      <c r="R60" s="286"/>
      <c r="S60" s="286"/>
      <c r="T60" s="333"/>
      <c r="U60" s="334"/>
      <c r="V60" s="333" t="s">
        <v>154</v>
      </c>
      <c r="W60" s="289"/>
      <c r="X60" s="5"/>
      <c r="Y60" s="133"/>
    </row>
    <row r="61" spans="1:25" ht="15.75" x14ac:dyDescent="0.25">
      <c r="A61" s="285"/>
      <c r="B61" s="286" t="s">
        <v>16</v>
      </c>
      <c r="C61" s="286"/>
      <c r="D61" s="286"/>
      <c r="E61" s="286"/>
      <c r="F61" s="286"/>
      <c r="G61" s="286"/>
      <c r="H61" s="286"/>
      <c r="I61" s="286"/>
      <c r="J61" s="286"/>
      <c r="K61" s="286"/>
      <c r="L61" s="286"/>
      <c r="M61" s="286"/>
      <c r="N61" s="286"/>
      <c r="O61" s="286"/>
      <c r="P61" s="286"/>
      <c r="Q61" s="286"/>
      <c r="R61" s="286"/>
      <c r="S61" s="286"/>
      <c r="T61" s="333"/>
      <c r="U61" s="334"/>
      <c r="V61" s="333">
        <v>42156</v>
      </c>
      <c r="W61" s="289"/>
      <c r="X61" s="5"/>
    </row>
    <row r="62" spans="1:25" ht="15.75" x14ac:dyDescent="0.25">
      <c r="A62" s="181"/>
      <c r="B62" s="212"/>
      <c r="C62" s="212"/>
      <c r="D62" s="212"/>
      <c r="E62" s="212"/>
      <c r="F62" s="212"/>
      <c r="G62" s="212"/>
      <c r="H62" s="212"/>
      <c r="I62" s="212"/>
      <c r="J62" s="212"/>
      <c r="K62" s="212"/>
      <c r="L62" s="212"/>
      <c r="M62" s="212"/>
      <c r="N62" s="212"/>
      <c r="O62" s="212"/>
      <c r="P62" s="212"/>
      <c r="Q62" s="212"/>
      <c r="R62" s="212"/>
      <c r="S62" s="212"/>
      <c r="T62" s="283"/>
      <c r="U62" s="284"/>
      <c r="V62" s="283"/>
      <c r="W62" s="212"/>
      <c r="X62" s="5"/>
    </row>
    <row r="63" spans="1:25" ht="15.75" x14ac:dyDescent="0.25">
      <c r="A63" s="181"/>
      <c r="B63" s="183"/>
      <c r="C63" s="183"/>
      <c r="D63" s="183"/>
      <c r="E63" s="183"/>
      <c r="F63" s="183"/>
      <c r="G63" s="183"/>
      <c r="H63" s="183"/>
      <c r="I63" s="183"/>
      <c r="J63" s="183"/>
      <c r="K63" s="183"/>
      <c r="L63" s="183"/>
      <c r="M63" s="183"/>
      <c r="N63" s="183"/>
      <c r="O63" s="183"/>
      <c r="P63" s="183"/>
      <c r="Q63" s="183"/>
      <c r="R63" s="183"/>
      <c r="S63" s="183"/>
      <c r="T63" s="195"/>
      <c r="U63" s="196"/>
      <c r="V63" s="195"/>
      <c r="W63" s="183"/>
      <c r="X63" s="5"/>
    </row>
    <row r="64" spans="1:25" ht="19.5" thickBot="1" x14ac:dyDescent="0.35">
      <c r="A64" s="197"/>
      <c r="B64" s="270" t="s">
        <v>328</v>
      </c>
      <c r="C64" s="198"/>
      <c r="D64" s="198"/>
      <c r="E64" s="198"/>
      <c r="F64" s="198"/>
      <c r="G64" s="198"/>
      <c r="H64" s="198"/>
      <c r="I64" s="198"/>
      <c r="J64" s="198"/>
      <c r="K64" s="198"/>
      <c r="L64" s="198"/>
      <c r="M64" s="198"/>
      <c r="N64" s="198"/>
      <c r="O64" s="198"/>
      <c r="P64" s="198"/>
      <c r="Q64" s="198"/>
      <c r="R64" s="198"/>
      <c r="S64" s="198"/>
      <c r="T64" s="198"/>
      <c r="U64" s="198"/>
      <c r="V64" s="199"/>
      <c r="W64" s="200"/>
      <c r="X64" s="5"/>
    </row>
    <row r="65" spans="1:24" ht="15.75" x14ac:dyDescent="0.25">
      <c r="A65" s="224"/>
      <c r="B65" s="230" t="s">
        <v>17</v>
      </c>
      <c r="C65" s="225"/>
      <c r="D65" s="225"/>
      <c r="E65" s="225"/>
      <c r="F65" s="225"/>
      <c r="G65" s="225"/>
      <c r="H65" s="225"/>
      <c r="I65" s="225"/>
      <c r="J65" s="225"/>
      <c r="K65" s="225"/>
      <c r="L65" s="225"/>
      <c r="M65" s="225"/>
      <c r="N65" s="225"/>
      <c r="O65" s="225"/>
      <c r="P65" s="225"/>
      <c r="Q65" s="225"/>
      <c r="R65" s="225"/>
      <c r="S65" s="225"/>
      <c r="T65" s="225"/>
      <c r="U65" s="225"/>
      <c r="V65" s="231"/>
      <c r="W65" s="225"/>
      <c r="X65" s="5"/>
    </row>
    <row r="66" spans="1:24" ht="15.75" x14ac:dyDescent="0.25">
      <c r="A66" s="181"/>
      <c r="B66" s="189"/>
      <c r="C66" s="183"/>
      <c r="D66" s="183"/>
      <c r="E66" s="183"/>
      <c r="F66" s="183"/>
      <c r="G66" s="183"/>
      <c r="H66" s="183"/>
      <c r="I66" s="183"/>
      <c r="J66" s="183"/>
      <c r="K66" s="183"/>
      <c r="L66" s="183"/>
      <c r="M66" s="183"/>
      <c r="N66" s="183"/>
      <c r="O66" s="183"/>
      <c r="P66" s="183"/>
      <c r="Q66" s="183"/>
      <c r="R66" s="183"/>
      <c r="S66" s="183"/>
      <c r="T66" s="183"/>
      <c r="U66" s="183"/>
      <c r="V66" s="202"/>
      <c r="W66" s="183"/>
      <c r="X66" s="5"/>
    </row>
    <row r="67" spans="1:24" ht="47.25" x14ac:dyDescent="0.25">
      <c r="A67" s="181"/>
      <c r="B67" s="203" t="s">
        <v>18</v>
      </c>
      <c r="C67" s="204"/>
      <c r="D67" s="204"/>
      <c r="E67" s="204"/>
      <c r="F67" s="204"/>
      <c r="G67" s="204"/>
      <c r="H67" s="204"/>
      <c r="I67" s="204"/>
      <c r="J67" s="204"/>
      <c r="K67" s="204"/>
      <c r="L67" s="204" t="s">
        <v>94</v>
      </c>
      <c r="M67" s="204"/>
      <c r="N67" s="204" t="s">
        <v>96</v>
      </c>
      <c r="O67" s="204"/>
      <c r="P67" s="204" t="s">
        <v>98</v>
      </c>
      <c r="Q67" s="204"/>
      <c r="R67" s="204" t="s">
        <v>100</v>
      </c>
      <c r="S67" s="204"/>
      <c r="T67" s="204" t="s">
        <v>106</v>
      </c>
      <c r="U67" s="204"/>
      <c r="V67" s="205" t="s">
        <v>112</v>
      </c>
      <c r="W67" s="206"/>
      <c r="X67" s="5"/>
    </row>
    <row r="68" spans="1:24" ht="15.75" x14ac:dyDescent="0.25">
      <c r="A68" s="285"/>
      <c r="B68" s="286" t="s">
        <v>19</v>
      </c>
      <c r="C68" s="337"/>
      <c r="D68" s="337"/>
      <c r="E68" s="337"/>
      <c r="F68" s="337"/>
      <c r="G68" s="337"/>
      <c r="H68" s="337"/>
      <c r="I68" s="337"/>
      <c r="J68" s="337"/>
      <c r="K68" s="337"/>
      <c r="L68" s="337">
        <v>812446</v>
      </c>
      <c r="M68" s="337"/>
      <c r="N68" s="338">
        <v>753226</v>
      </c>
      <c r="O68" s="337"/>
      <c r="P68" s="337">
        <f>7866+55+243</f>
        <v>8164</v>
      </c>
      <c r="Q68" s="337"/>
      <c r="R68" s="337">
        <f>55+243</f>
        <v>298</v>
      </c>
      <c r="S68" s="337"/>
      <c r="T68" s="337">
        <v>0</v>
      </c>
      <c r="U68" s="337"/>
      <c r="V68" s="338">
        <f>+N68-P68+R68-T68</f>
        <v>745360</v>
      </c>
      <c r="W68" s="289"/>
      <c r="X68" s="5"/>
    </row>
    <row r="69" spans="1:24" ht="15.75" x14ac:dyDescent="0.25">
      <c r="A69" s="285"/>
      <c r="B69" s="286" t="s">
        <v>20</v>
      </c>
      <c r="C69" s="337"/>
      <c r="D69" s="337"/>
      <c r="E69" s="337"/>
      <c r="F69" s="337"/>
      <c r="G69" s="337"/>
      <c r="H69" s="337"/>
      <c r="I69" s="337"/>
      <c r="J69" s="337"/>
      <c r="K69" s="337"/>
      <c r="L69" s="337">
        <v>0</v>
      </c>
      <c r="M69" s="337"/>
      <c r="N69" s="338">
        <v>0</v>
      </c>
      <c r="O69" s="337"/>
      <c r="P69" s="337">
        <v>0</v>
      </c>
      <c r="Q69" s="337"/>
      <c r="R69" s="337">
        <v>0</v>
      </c>
      <c r="S69" s="337"/>
      <c r="T69" s="337">
        <v>0</v>
      </c>
      <c r="U69" s="337"/>
      <c r="V69" s="338">
        <f>+L69-P69</f>
        <v>0</v>
      </c>
      <c r="W69" s="289"/>
      <c r="X69" s="5"/>
    </row>
    <row r="70" spans="1:24" ht="15.75" x14ac:dyDescent="0.25">
      <c r="A70" s="285"/>
      <c r="B70" s="286"/>
      <c r="C70" s="337"/>
      <c r="D70" s="337"/>
      <c r="E70" s="337"/>
      <c r="F70" s="337"/>
      <c r="G70" s="337"/>
      <c r="H70" s="337"/>
      <c r="I70" s="337"/>
      <c r="J70" s="337"/>
      <c r="K70" s="337"/>
      <c r="L70" s="337"/>
      <c r="M70" s="337"/>
      <c r="N70" s="338"/>
      <c r="O70" s="337"/>
      <c r="P70" s="337"/>
      <c r="Q70" s="337"/>
      <c r="R70" s="337"/>
      <c r="S70" s="337"/>
      <c r="T70" s="337"/>
      <c r="U70" s="337"/>
      <c r="V70" s="338"/>
      <c r="W70" s="289"/>
      <c r="X70" s="5"/>
    </row>
    <row r="71" spans="1:24" ht="15.75" x14ac:dyDescent="0.25">
      <c r="A71" s="285"/>
      <c r="B71" s="286" t="s">
        <v>21</v>
      </c>
      <c r="C71" s="337"/>
      <c r="D71" s="337"/>
      <c r="E71" s="337"/>
      <c r="F71" s="337"/>
      <c r="G71" s="337"/>
      <c r="H71" s="337"/>
      <c r="I71" s="337"/>
      <c r="J71" s="337"/>
      <c r="K71" s="337"/>
      <c r="L71" s="337">
        <f>SUM(L68:L70)</f>
        <v>812446</v>
      </c>
      <c r="M71" s="337"/>
      <c r="N71" s="337">
        <f>N68+N69</f>
        <v>753226</v>
      </c>
      <c r="O71" s="337"/>
      <c r="P71" s="337">
        <f>SUM(P68:P70)</f>
        <v>8164</v>
      </c>
      <c r="Q71" s="337"/>
      <c r="R71" s="337">
        <f>SUM(R68:R70)</f>
        <v>298</v>
      </c>
      <c r="S71" s="337"/>
      <c r="T71" s="337">
        <f>SUM(T68:T70)</f>
        <v>0</v>
      </c>
      <c r="U71" s="337"/>
      <c r="V71" s="337">
        <f>SUM(V68:V70)</f>
        <v>745360</v>
      </c>
      <c r="W71" s="289"/>
      <c r="X71" s="5"/>
    </row>
    <row r="72" spans="1:24" ht="15.75" x14ac:dyDescent="0.25">
      <c r="A72" s="181"/>
      <c r="B72" s="212"/>
      <c r="C72" s="335"/>
      <c r="D72" s="335"/>
      <c r="E72" s="335"/>
      <c r="F72" s="335"/>
      <c r="G72" s="335"/>
      <c r="H72" s="335"/>
      <c r="I72" s="335"/>
      <c r="J72" s="335"/>
      <c r="K72" s="335"/>
      <c r="L72" s="335"/>
      <c r="M72" s="335"/>
      <c r="N72" s="335"/>
      <c r="O72" s="335"/>
      <c r="P72" s="335"/>
      <c r="Q72" s="335"/>
      <c r="R72" s="335"/>
      <c r="S72" s="335"/>
      <c r="T72" s="335"/>
      <c r="U72" s="335"/>
      <c r="V72" s="336"/>
      <c r="W72" s="212"/>
      <c r="X72" s="5"/>
    </row>
    <row r="73" spans="1:24" ht="15.75" x14ac:dyDescent="0.25">
      <c r="A73" s="181"/>
      <c r="B73" s="185" t="s">
        <v>22</v>
      </c>
      <c r="C73" s="207"/>
      <c r="D73" s="207"/>
      <c r="E73" s="207"/>
      <c r="F73" s="207"/>
      <c r="G73" s="207"/>
      <c r="H73" s="207"/>
      <c r="I73" s="207"/>
      <c r="J73" s="207"/>
      <c r="K73" s="207"/>
      <c r="L73" s="207"/>
      <c r="M73" s="207"/>
      <c r="N73" s="207"/>
      <c r="O73" s="207"/>
      <c r="P73" s="207"/>
      <c r="Q73" s="207"/>
      <c r="R73" s="207"/>
      <c r="S73" s="207"/>
      <c r="T73" s="207"/>
      <c r="U73" s="207"/>
      <c r="V73" s="208"/>
      <c r="W73" s="183"/>
      <c r="X73" s="5"/>
    </row>
    <row r="74" spans="1:24" ht="15.75" x14ac:dyDescent="0.25">
      <c r="A74" s="181"/>
      <c r="B74" s="183"/>
      <c r="C74" s="207"/>
      <c r="D74" s="207"/>
      <c r="E74" s="207"/>
      <c r="F74" s="207"/>
      <c r="G74" s="207"/>
      <c r="H74" s="207"/>
      <c r="I74" s="207"/>
      <c r="J74" s="207"/>
      <c r="K74" s="207"/>
      <c r="L74" s="207"/>
      <c r="M74" s="207"/>
      <c r="N74" s="207"/>
      <c r="O74" s="207"/>
      <c r="P74" s="207"/>
      <c r="Q74" s="207"/>
      <c r="R74" s="207"/>
      <c r="S74" s="207"/>
      <c r="T74" s="207"/>
      <c r="U74" s="207"/>
      <c r="V74" s="208"/>
      <c r="W74" s="183"/>
      <c r="X74" s="5"/>
    </row>
    <row r="75" spans="1:24" ht="15.75" x14ac:dyDescent="0.25">
      <c r="A75" s="285"/>
      <c r="B75" s="286" t="s">
        <v>19</v>
      </c>
      <c r="C75" s="337"/>
      <c r="D75" s="337"/>
      <c r="E75" s="337"/>
      <c r="F75" s="337"/>
      <c r="G75" s="337"/>
      <c r="H75" s="337"/>
      <c r="I75" s="337"/>
      <c r="J75" s="337"/>
      <c r="K75" s="337"/>
      <c r="L75" s="337"/>
      <c r="M75" s="337"/>
      <c r="N75" s="337"/>
      <c r="O75" s="337"/>
      <c r="P75" s="337"/>
      <c r="Q75" s="337"/>
      <c r="R75" s="337"/>
      <c r="S75" s="337"/>
      <c r="T75" s="337"/>
      <c r="U75" s="337"/>
      <c r="V75" s="337"/>
      <c r="W75" s="289"/>
      <c r="X75" s="5"/>
    </row>
    <row r="76" spans="1:24" ht="15.75" x14ac:dyDescent="0.25">
      <c r="A76" s="285"/>
      <c r="B76" s="286" t="s">
        <v>20</v>
      </c>
      <c r="C76" s="337"/>
      <c r="D76" s="337"/>
      <c r="E76" s="337"/>
      <c r="F76" s="337"/>
      <c r="G76" s="337"/>
      <c r="H76" s="337"/>
      <c r="I76" s="337"/>
      <c r="J76" s="337"/>
      <c r="K76" s="337"/>
      <c r="L76" s="337"/>
      <c r="M76" s="337"/>
      <c r="N76" s="337"/>
      <c r="O76" s="337"/>
      <c r="P76" s="337"/>
      <c r="Q76" s="337"/>
      <c r="R76" s="337"/>
      <c r="S76" s="337"/>
      <c r="T76" s="337"/>
      <c r="U76" s="337"/>
      <c r="V76" s="337"/>
      <c r="W76" s="289"/>
      <c r="X76" s="5"/>
    </row>
    <row r="77" spans="1:24" ht="15.75" x14ac:dyDescent="0.25">
      <c r="A77" s="285"/>
      <c r="B77" s="286"/>
      <c r="C77" s="337"/>
      <c r="D77" s="337"/>
      <c r="E77" s="337"/>
      <c r="F77" s="337"/>
      <c r="G77" s="337"/>
      <c r="H77" s="337"/>
      <c r="I77" s="337"/>
      <c r="J77" s="337"/>
      <c r="K77" s="337"/>
      <c r="L77" s="337"/>
      <c r="M77" s="337"/>
      <c r="N77" s="337"/>
      <c r="O77" s="337"/>
      <c r="P77" s="337"/>
      <c r="Q77" s="337"/>
      <c r="R77" s="337"/>
      <c r="S77" s="337"/>
      <c r="T77" s="337"/>
      <c r="U77" s="337"/>
      <c r="V77" s="337"/>
      <c r="W77" s="289"/>
      <c r="X77" s="5"/>
    </row>
    <row r="78" spans="1:24" ht="15.75" x14ac:dyDescent="0.25">
      <c r="A78" s="285"/>
      <c r="B78" s="286" t="s">
        <v>21</v>
      </c>
      <c r="C78" s="337"/>
      <c r="D78" s="337"/>
      <c r="E78" s="337"/>
      <c r="F78" s="337"/>
      <c r="G78" s="337"/>
      <c r="H78" s="337"/>
      <c r="I78" s="337"/>
      <c r="J78" s="337"/>
      <c r="K78" s="337"/>
      <c r="L78" s="337"/>
      <c r="M78" s="337"/>
      <c r="N78" s="337"/>
      <c r="O78" s="337"/>
      <c r="P78" s="337"/>
      <c r="Q78" s="337"/>
      <c r="R78" s="337"/>
      <c r="S78" s="337"/>
      <c r="T78" s="337"/>
      <c r="U78" s="337"/>
      <c r="V78" s="337"/>
      <c r="W78" s="289"/>
      <c r="X78" s="5"/>
    </row>
    <row r="79" spans="1:24" ht="15.75" x14ac:dyDescent="0.25">
      <c r="A79" s="285"/>
      <c r="B79" s="286"/>
      <c r="C79" s="337"/>
      <c r="D79" s="337"/>
      <c r="E79" s="337"/>
      <c r="F79" s="337"/>
      <c r="G79" s="337"/>
      <c r="H79" s="337"/>
      <c r="I79" s="337"/>
      <c r="J79" s="337"/>
      <c r="K79" s="337"/>
      <c r="L79" s="337"/>
      <c r="M79" s="337"/>
      <c r="N79" s="337"/>
      <c r="O79" s="337"/>
      <c r="P79" s="337"/>
      <c r="Q79" s="337"/>
      <c r="R79" s="337"/>
      <c r="S79" s="337"/>
      <c r="T79" s="337"/>
      <c r="U79" s="337"/>
      <c r="V79" s="337"/>
      <c r="W79" s="289"/>
      <c r="X79" s="5"/>
    </row>
    <row r="80" spans="1:24" ht="15.75" x14ac:dyDescent="0.25">
      <c r="A80" s="285"/>
      <c r="B80" s="286" t="s">
        <v>23</v>
      </c>
      <c r="C80" s="337"/>
      <c r="D80" s="337"/>
      <c r="E80" s="337"/>
      <c r="F80" s="337"/>
      <c r="G80" s="337"/>
      <c r="H80" s="337"/>
      <c r="I80" s="337"/>
      <c r="J80" s="337"/>
      <c r="K80" s="337"/>
      <c r="L80" s="337">
        <v>0</v>
      </c>
      <c r="M80" s="337"/>
      <c r="N80" s="337">
        <v>0</v>
      </c>
      <c r="O80" s="337"/>
      <c r="P80" s="337"/>
      <c r="Q80" s="337"/>
      <c r="R80" s="337"/>
      <c r="S80" s="337"/>
      <c r="T80" s="337"/>
      <c r="U80" s="337"/>
      <c r="V80" s="338">
        <v>0</v>
      </c>
      <c r="W80" s="289"/>
      <c r="X80" s="5"/>
    </row>
    <row r="81" spans="1:24" ht="15.75" x14ac:dyDescent="0.25">
      <c r="A81" s="285"/>
      <c r="B81" s="286" t="s">
        <v>117</v>
      </c>
      <c r="C81" s="337"/>
      <c r="D81" s="337"/>
      <c r="E81" s="337"/>
      <c r="F81" s="337"/>
      <c r="G81" s="337"/>
      <c r="H81" s="337"/>
      <c r="I81" s="337"/>
      <c r="J81" s="337"/>
      <c r="K81" s="337"/>
      <c r="L81" s="337">
        <v>188687</v>
      </c>
      <c r="M81" s="337"/>
      <c r="N81" s="337">
        <v>0</v>
      </c>
      <c r="O81" s="337"/>
      <c r="P81" s="337">
        <v>0</v>
      </c>
      <c r="Q81" s="337"/>
      <c r="R81" s="337"/>
      <c r="S81" s="337"/>
      <c r="T81" s="337"/>
      <c r="U81" s="337"/>
      <c r="V81" s="337">
        <f>SUM(N81:R81)</f>
        <v>0</v>
      </c>
      <c r="W81" s="289"/>
      <c r="X81" s="5"/>
    </row>
    <row r="82" spans="1:24" ht="15.75" x14ac:dyDescent="0.25">
      <c r="A82" s="285"/>
      <c r="B82" s="286"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89"/>
      <c r="X82" s="5"/>
    </row>
    <row r="83" spans="1:24" ht="15.75" x14ac:dyDescent="0.25">
      <c r="A83" s="285"/>
      <c r="B83" s="286" t="s">
        <v>25</v>
      </c>
      <c r="C83" s="337"/>
      <c r="D83" s="337"/>
      <c r="E83" s="337"/>
      <c r="F83" s="337"/>
      <c r="G83" s="337"/>
      <c r="H83" s="337"/>
      <c r="I83" s="337"/>
      <c r="J83" s="337"/>
      <c r="K83" s="337"/>
      <c r="L83" s="337">
        <v>0</v>
      </c>
      <c r="M83" s="337"/>
      <c r="N83" s="337">
        <v>0</v>
      </c>
      <c r="O83" s="337"/>
      <c r="P83" s="337"/>
      <c r="Q83" s="337"/>
      <c r="R83" s="337"/>
      <c r="S83" s="337"/>
      <c r="T83" s="337"/>
      <c r="U83" s="337"/>
      <c r="V83" s="337">
        <v>0</v>
      </c>
      <c r="W83" s="289"/>
      <c r="X83" s="5"/>
    </row>
    <row r="84" spans="1:24" ht="15.75" x14ac:dyDescent="0.25">
      <c r="A84" s="285"/>
      <c r="B84" s="286" t="s">
        <v>26</v>
      </c>
      <c r="C84" s="337"/>
      <c r="D84" s="337"/>
      <c r="E84" s="337"/>
      <c r="F84" s="337"/>
      <c r="G84" s="337"/>
      <c r="H84" s="337"/>
      <c r="I84" s="337"/>
      <c r="J84" s="337"/>
      <c r="K84" s="337"/>
      <c r="L84" s="337">
        <f>SUM(L71:L83)</f>
        <v>1001133</v>
      </c>
      <c r="M84" s="337"/>
      <c r="N84" s="337">
        <f>SUM(N71:N83)</f>
        <v>753226</v>
      </c>
      <c r="O84" s="337"/>
      <c r="P84" s="337"/>
      <c r="Q84" s="337"/>
      <c r="R84" s="337"/>
      <c r="S84" s="337"/>
      <c r="T84" s="337"/>
      <c r="U84" s="337"/>
      <c r="V84" s="337">
        <f>SUM(V71:V83)</f>
        <v>745360</v>
      </c>
      <c r="W84" s="289"/>
      <c r="X84" s="5"/>
    </row>
    <row r="85" spans="1:24" ht="15.75" x14ac:dyDescent="0.25">
      <c r="A85" s="181"/>
      <c r="B85" s="212"/>
      <c r="C85" s="335"/>
      <c r="D85" s="335"/>
      <c r="E85" s="335"/>
      <c r="F85" s="335"/>
      <c r="G85" s="335"/>
      <c r="H85" s="335"/>
      <c r="I85" s="335"/>
      <c r="J85" s="335"/>
      <c r="K85" s="335"/>
      <c r="L85" s="335"/>
      <c r="M85" s="335"/>
      <c r="N85" s="335"/>
      <c r="O85" s="335"/>
      <c r="P85" s="335"/>
      <c r="Q85" s="335"/>
      <c r="R85" s="335"/>
      <c r="S85" s="335"/>
      <c r="T85" s="335"/>
      <c r="U85" s="335"/>
      <c r="V85" s="336"/>
      <c r="W85" s="212"/>
      <c r="X85" s="5"/>
    </row>
    <row r="86" spans="1:24" ht="15.75" x14ac:dyDescent="0.25">
      <c r="A86" s="181"/>
      <c r="B86" s="183"/>
      <c r="C86" s="183"/>
      <c r="D86" s="183"/>
      <c r="E86" s="183"/>
      <c r="F86" s="183"/>
      <c r="G86" s="183"/>
      <c r="H86" s="183"/>
      <c r="I86" s="183"/>
      <c r="J86" s="183"/>
      <c r="K86" s="183"/>
      <c r="L86" s="183"/>
      <c r="M86" s="183"/>
      <c r="N86" s="183"/>
      <c r="O86" s="183"/>
      <c r="P86" s="183"/>
      <c r="Q86" s="183"/>
      <c r="R86" s="183"/>
      <c r="S86" s="183"/>
      <c r="T86" s="183"/>
      <c r="U86" s="183"/>
      <c r="V86" s="183"/>
      <c r="W86" s="183"/>
      <c r="X86" s="5"/>
    </row>
    <row r="87" spans="1:24" ht="15.75" x14ac:dyDescent="0.25">
      <c r="A87" s="224"/>
      <c r="B87" s="399" t="s">
        <v>27</v>
      </c>
      <c r="C87" s="399"/>
      <c r="D87" s="399"/>
      <c r="E87" s="399"/>
      <c r="F87" s="399"/>
      <c r="G87" s="399"/>
      <c r="H87" s="400"/>
      <c r="I87" s="400"/>
      <c r="J87" s="400"/>
      <c r="K87" s="400"/>
      <c r="L87" s="401" t="s">
        <v>95</v>
      </c>
      <c r="M87" s="400"/>
      <c r="N87" s="402">
        <f>+T202</f>
        <v>42153</v>
      </c>
      <c r="O87" s="400"/>
      <c r="P87" s="400"/>
      <c r="Q87" s="400"/>
      <c r="R87" s="400"/>
      <c r="S87" s="400"/>
      <c r="T87" s="400" t="s">
        <v>107</v>
      </c>
      <c r="U87" s="400"/>
      <c r="V87" s="400" t="s">
        <v>113</v>
      </c>
      <c r="W87" s="225"/>
      <c r="X87" s="5"/>
    </row>
    <row r="88" spans="1:24" ht="15.75" x14ac:dyDescent="0.25">
      <c r="A88" s="248"/>
      <c r="B88" s="250" t="s">
        <v>28</v>
      </c>
      <c r="C88" s="194"/>
      <c r="D88" s="194"/>
      <c r="E88" s="194"/>
      <c r="F88" s="194"/>
      <c r="G88" s="194"/>
      <c r="H88" s="194"/>
      <c r="I88" s="194"/>
      <c r="J88" s="194"/>
      <c r="K88" s="194"/>
      <c r="L88" s="194"/>
      <c r="M88" s="194"/>
      <c r="N88" s="194"/>
      <c r="O88" s="194"/>
      <c r="P88" s="194"/>
      <c r="Q88" s="194"/>
      <c r="R88" s="194"/>
      <c r="S88" s="194"/>
      <c r="T88" s="249">
        <v>0</v>
      </c>
      <c r="U88" s="250"/>
      <c r="V88" s="253">
        <v>0</v>
      </c>
      <c r="W88" s="194"/>
      <c r="X88" s="5"/>
    </row>
    <row r="89" spans="1:24" ht="15.75" x14ac:dyDescent="0.25">
      <c r="A89" s="295"/>
      <c r="B89" s="286" t="s">
        <v>29</v>
      </c>
      <c r="C89" s="314"/>
      <c r="D89" s="314"/>
      <c r="E89" s="314"/>
      <c r="F89" s="314"/>
      <c r="G89" s="314"/>
      <c r="H89" s="339"/>
      <c r="I89" s="339"/>
      <c r="J89" s="339"/>
      <c r="K89" s="340"/>
      <c r="L89" s="339"/>
      <c r="M89" s="314"/>
      <c r="N89" s="341"/>
      <c r="O89" s="314"/>
      <c r="P89" s="314"/>
      <c r="Q89" s="314"/>
      <c r="R89" s="314"/>
      <c r="S89" s="314"/>
      <c r="T89" s="337">
        <f>8164-152</f>
        <v>8012</v>
      </c>
      <c r="U89" s="286"/>
      <c r="V89" s="338"/>
      <c r="W89" s="318"/>
      <c r="X89" s="5"/>
    </row>
    <row r="90" spans="1:24" ht="15.75" x14ac:dyDescent="0.25">
      <c r="A90" s="295"/>
      <c r="B90" s="286" t="s">
        <v>215</v>
      </c>
      <c r="C90" s="314"/>
      <c r="D90" s="314"/>
      <c r="E90" s="314"/>
      <c r="F90" s="314"/>
      <c r="G90" s="314"/>
      <c r="H90" s="339"/>
      <c r="I90" s="339"/>
      <c r="J90" s="339"/>
      <c r="K90" s="340"/>
      <c r="L90" s="339"/>
      <c r="M90" s="314"/>
      <c r="N90" s="341"/>
      <c r="O90" s="314"/>
      <c r="P90" s="314"/>
      <c r="Q90" s="314"/>
      <c r="R90" s="314"/>
      <c r="S90" s="314"/>
      <c r="T90" s="337"/>
      <c r="U90" s="286"/>
      <c r="V90" s="338">
        <f>3053+2560-452-408</f>
        <v>4753</v>
      </c>
      <c r="W90" s="318"/>
      <c r="X90" s="5"/>
    </row>
    <row r="91" spans="1:24" ht="15.75" x14ac:dyDescent="0.25">
      <c r="A91" s="295"/>
      <c r="B91" s="286" t="s">
        <v>210</v>
      </c>
      <c r="C91" s="314"/>
      <c r="D91" s="314"/>
      <c r="E91" s="314"/>
      <c r="F91" s="314"/>
      <c r="G91" s="314"/>
      <c r="H91" s="339"/>
      <c r="I91" s="339"/>
      <c r="J91" s="339"/>
      <c r="K91" s="340"/>
      <c r="L91" s="339"/>
      <c r="M91" s="314"/>
      <c r="N91" s="341"/>
      <c r="O91" s="314"/>
      <c r="P91" s="314"/>
      <c r="Q91" s="314"/>
      <c r="R91" s="314"/>
      <c r="S91" s="314"/>
      <c r="T91" s="337"/>
      <c r="U91" s="286"/>
      <c r="V91" s="338">
        <f>81+67</f>
        <v>148</v>
      </c>
      <c r="W91" s="318"/>
      <c r="X91" s="5"/>
    </row>
    <row r="92" spans="1:24" ht="15.75" x14ac:dyDescent="0.25">
      <c r="A92" s="295"/>
      <c r="B92" s="286" t="s">
        <v>211</v>
      </c>
      <c r="C92" s="314"/>
      <c r="D92" s="314"/>
      <c r="E92" s="314"/>
      <c r="F92" s="314"/>
      <c r="G92" s="314"/>
      <c r="H92" s="339"/>
      <c r="I92" s="339"/>
      <c r="J92" s="339"/>
      <c r="K92" s="340"/>
      <c r="L92" s="339"/>
      <c r="M92" s="314"/>
      <c r="N92" s="341"/>
      <c r="O92" s="314"/>
      <c r="P92" s="314"/>
      <c r="Q92" s="314"/>
      <c r="R92" s="314"/>
      <c r="S92" s="314"/>
      <c r="T92" s="337"/>
      <c r="U92" s="286"/>
      <c r="V92" s="338">
        <v>29</v>
      </c>
      <c r="W92" s="318"/>
      <c r="X92" s="5"/>
    </row>
    <row r="93" spans="1:24" ht="15.75" x14ac:dyDescent="0.25">
      <c r="A93" s="295"/>
      <c r="B93" s="286" t="s">
        <v>233</v>
      </c>
      <c r="C93" s="314"/>
      <c r="D93" s="314"/>
      <c r="E93" s="314"/>
      <c r="F93" s="314"/>
      <c r="G93" s="314"/>
      <c r="H93" s="339"/>
      <c r="I93" s="339"/>
      <c r="J93" s="339"/>
      <c r="K93" s="340"/>
      <c r="L93" s="339"/>
      <c r="M93" s="314"/>
      <c r="N93" s="341"/>
      <c r="O93" s="314"/>
      <c r="P93" s="314"/>
      <c r="Q93" s="314"/>
      <c r="R93" s="314"/>
      <c r="S93" s="314"/>
      <c r="T93" s="337"/>
      <c r="U93" s="286"/>
      <c r="V93" s="338">
        <v>0</v>
      </c>
      <c r="W93" s="318"/>
      <c r="X93" s="5"/>
    </row>
    <row r="94" spans="1:24" ht="15.75" x14ac:dyDescent="0.25">
      <c r="A94" s="295"/>
      <c r="B94" s="286" t="s">
        <v>235</v>
      </c>
      <c r="C94" s="314"/>
      <c r="D94" s="314"/>
      <c r="E94" s="314"/>
      <c r="F94" s="314"/>
      <c r="G94" s="314"/>
      <c r="H94" s="339"/>
      <c r="I94" s="339"/>
      <c r="J94" s="339"/>
      <c r="K94" s="340"/>
      <c r="L94" s="339"/>
      <c r="M94" s="314"/>
      <c r="N94" s="341"/>
      <c r="O94" s="314"/>
      <c r="P94" s="314"/>
      <c r="Q94" s="314"/>
      <c r="R94" s="314"/>
      <c r="S94" s="314"/>
      <c r="T94" s="337"/>
      <c r="U94" s="286"/>
      <c r="V94" s="338">
        <v>0</v>
      </c>
      <c r="W94" s="318"/>
      <c r="X94" s="5"/>
    </row>
    <row r="95" spans="1:24" ht="15.75" x14ac:dyDescent="0.25">
      <c r="A95" s="295"/>
      <c r="B95" s="286" t="s">
        <v>135</v>
      </c>
      <c r="C95" s="314"/>
      <c r="D95" s="314"/>
      <c r="E95" s="314"/>
      <c r="F95" s="314"/>
      <c r="G95" s="314"/>
      <c r="H95" s="314"/>
      <c r="I95" s="314"/>
      <c r="J95" s="314"/>
      <c r="K95" s="314"/>
      <c r="L95" s="314"/>
      <c r="M95" s="314"/>
      <c r="N95" s="314"/>
      <c r="O95" s="314"/>
      <c r="P95" s="314"/>
      <c r="Q95" s="314"/>
      <c r="R95" s="314"/>
      <c r="S95" s="314"/>
      <c r="T95" s="337"/>
      <c r="U95" s="286"/>
      <c r="V95" s="338">
        <v>0</v>
      </c>
      <c r="W95" s="318"/>
      <c r="X95" s="5"/>
    </row>
    <row r="96" spans="1:24" ht="15.75" x14ac:dyDescent="0.25">
      <c r="A96" s="295"/>
      <c r="B96" s="286" t="s">
        <v>272</v>
      </c>
      <c r="C96" s="314"/>
      <c r="D96" s="314"/>
      <c r="E96" s="314"/>
      <c r="F96" s="314"/>
      <c r="G96" s="314"/>
      <c r="H96" s="314"/>
      <c r="I96" s="314"/>
      <c r="J96" s="314"/>
      <c r="K96" s="314"/>
      <c r="L96" s="314"/>
      <c r="M96" s="314"/>
      <c r="N96" s="314"/>
      <c r="O96" s="314"/>
      <c r="P96" s="314"/>
      <c r="Q96" s="314"/>
      <c r="R96" s="314"/>
      <c r="S96" s="314"/>
      <c r="T96" s="337"/>
      <c r="U96" s="286"/>
      <c r="V96" s="338">
        <v>0</v>
      </c>
      <c r="W96" s="318"/>
      <c r="X96" s="5"/>
    </row>
    <row r="97" spans="1:25" ht="15.75" x14ac:dyDescent="0.25">
      <c r="A97" s="295"/>
      <c r="B97" s="286" t="s">
        <v>30</v>
      </c>
      <c r="C97" s="314"/>
      <c r="D97" s="314"/>
      <c r="E97" s="314"/>
      <c r="F97" s="314"/>
      <c r="G97" s="314"/>
      <c r="H97" s="314"/>
      <c r="I97" s="314"/>
      <c r="J97" s="314"/>
      <c r="K97" s="314"/>
      <c r="L97" s="314"/>
      <c r="M97" s="314"/>
      <c r="N97" s="314"/>
      <c r="O97" s="314"/>
      <c r="P97" s="314"/>
      <c r="Q97" s="314"/>
      <c r="R97" s="314"/>
      <c r="S97" s="314"/>
      <c r="T97" s="337">
        <f>SUM(T88:T96)</f>
        <v>8012</v>
      </c>
      <c r="U97" s="286"/>
      <c r="V97" s="337">
        <f>SUM(V88:V96)</f>
        <v>4930</v>
      </c>
      <c r="W97" s="318"/>
      <c r="X97" s="5"/>
    </row>
    <row r="98" spans="1:25" ht="15.75" x14ac:dyDescent="0.25">
      <c r="A98" s="295"/>
      <c r="B98" s="286" t="s">
        <v>161</v>
      </c>
      <c r="C98" s="314"/>
      <c r="D98" s="314"/>
      <c r="E98" s="314"/>
      <c r="F98" s="314"/>
      <c r="G98" s="314"/>
      <c r="H98" s="314"/>
      <c r="I98" s="314"/>
      <c r="J98" s="314"/>
      <c r="K98" s="314"/>
      <c r="L98" s="314"/>
      <c r="M98" s="314"/>
      <c r="N98" s="314"/>
      <c r="O98" s="314"/>
      <c r="P98" s="314"/>
      <c r="Q98" s="314"/>
      <c r="R98" s="314"/>
      <c r="S98" s="314"/>
      <c r="T98" s="337">
        <f>-V98</f>
        <v>0</v>
      </c>
      <c r="U98" s="286"/>
      <c r="V98" s="337">
        <v>0</v>
      </c>
      <c r="W98" s="318"/>
      <c r="X98" s="5"/>
    </row>
    <row r="99" spans="1:25" ht="15.75" x14ac:dyDescent="0.25">
      <c r="A99" s="295"/>
      <c r="B99" s="286" t="s">
        <v>31</v>
      </c>
      <c r="C99" s="314"/>
      <c r="D99" s="314"/>
      <c r="E99" s="314"/>
      <c r="F99" s="314"/>
      <c r="G99" s="314"/>
      <c r="H99" s="314"/>
      <c r="I99" s="314"/>
      <c r="J99" s="314"/>
      <c r="K99" s="314"/>
      <c r="L99" s="314"/>
      <c r="M99" s="314"/>
      <c r="N99" s="314"/>
      <c r="O99" s="314"/>
      <c r="P99" s="314"/>
      <c r="Q99" s="314"/>
      <c r="R99" s="314"/>
      <c r="S99" s="314"/>
      <c r="T99" s="337">
        <f>-V99</f>
        <v>0</v>
      </c>
      <c r="U99" s="286"/>
      <c r="V99" s="338">
        <v>0</v>
      </c>
      <c r="W99" s="318"/>
      <c r="X99" s="5"/>
    </row>
    <row r="100" spans="1:25" ht="15.75" x14ac:dyDescent="0.25">
      <c r="A100" s="295"/>
      <c r="B100" s="286" t="s">
        <v>274</v>
      </c>
      <c r="C100" s="314"/>
      <c r="D100" s="314"/>
      <c r="E100" s="314"/>
      <c r="F100" s="314"/>
      <c r="G100" s="314"/>
      <c r="H100" s="314"/>
      <c r="I100" s="314"/>
      <c r="J100" s="314"/>
      <c r="K100" s="314"/>
      <c r="L100" s="314"/>
      <c r="M100" s="314"/>
      <c r="N100" s="314"/>
      <c r="O100" s="314"/>
      <c r="P100" s="314"/>
      <c r="Q100" s="314"/>
      <c r="R100" s="314"/>
      <c r="S100" s="314"/>
      <c r="T100" s="337"/>
      <c r="U100" s="286"/>
      <c r="V100" s="338">
        <v>112</v>
      </c>
      <c r="W100" s="318"/>
      <c r="X100" s="5"/>
    </row>
    <row r="101" spans="1:25" ht="15.75" x14ac:dyDescent="0.25">
      <c r="A101" s="295"/>
      <c r="B101" s="286" t="s">
        <v>32</v>
      </c>
      <c r="C101" s="314"/>
      <c r="D101" s="314"/>
      <c r="E101" s="314"/>
      <c r="F101" s="314"/>
      <c r="G101" s="314"/>
      <c r="H101" s="314"/>
      <c r="I101" s="314"/>
      <c r="J101" s="314"/>
      <c r="K101" s="314"/>
      <c r="L101" s="314"/>
      <c r="M101" s="314"/>
      <c r="N101" s="314"/>
      <c r="O101" s="314"/>
      <c r="P101" s="314"/>
      <c r="Q101" s="314"/>
      <c r="R101" s="314"/>
      <c r="S101" s="314"/>
      <c r="T101" s="337">
        <f>T97+T99+T98</f>
        <v>8012</v>
      </c>
      <c r="U101" s="286"/>
      <c r="V101" s="337">
        <f>V97+V99+V98+V100</f>
        <v>5042</v>
      </c>
      <c r="W101" s="318"/>
      <c r="X101" s="5"/>
    </row>
    <row r="102" spans="1:25" ht="15.75" x14ac:dyDescent="0.25">
      <c r="A102" s="285"/>
      <c r="B102" s="342" t="s">
        <v>33</v>
      </c>
      <c r="C102" s="314"/>
      <c r="D102" s="314"/>
      <c r="E102" s="314"/>
      <c r="F102" s="314"/>
      <c r="G102" s="314"/>
      <c r="H102" s="314"/>
      <c r="I102" s="314"/>
      <c r="J102" s="314"/>
      <c r="K102" s="314"/>
      <c r="L102" s="314"/>
      <c r="M102" s="314"/>
      <c r="N102" s="314"/>
      <c r="O102" s="314"/>
      <c r="P102" s="314"/>
      <c r="Q102" s="314"/>
      <c r="R102" s="314"/>
      <c r="S102" s="314"/>
      <c r="T102" s="337"/>
      <c r="U102" s="286"/>
      <c r="V102" s="338"/>
      <c r="W102" s="318"/>
      <c r="X102" s="5"/>
    </row>
    <row r="103" spans="1:25" ht="15.75" x14ac:dyDescent="0.25">
      <c r="A103" s="295">
        <v>1</v>
      </c>
      <c r="B103" s="286" t="s">
        <v>34</v>
      </c>
      <c r="C103" s="286"/>
      <c r="D103" s="286"/>
      <c r="E103" s="314"/>
      <c r="F103" s="314"/>
      <c r="G103" s="314"/>
      <c r="H103" s="314"/>
      <c r="I103" s="314"/>
      <c r="J103" s="314"/>
      <c r="K103" s="314"/>
      <c r="L103" s="314"/>
      <c r="M103" s="314"/>
      <c r="N103" s="314"/>
      <c r="O103" s="314"/>
      <c r="P103" s="314"/>
      <c r="Q103" s="314"/>
      <c r="R103" s="314"/>
      <c r="S103" s="314"/>
      <c r="T103" s="286"/>
      <c r="U103" s="286"/>
      <c r="V103" s="338">
        <v>0</v>
      </c>
      <c r="W103" s="318"/>
      <c r="X103" s="5"/>
    </row>
    <row r="104" spans="1:25" ht="15.75" x14ac:dyDescent="0.25">
      <c r="A104" s="295">
        <f>+A103+1</f>
        <v>2</v>
      </c>
      <c r="B104" s="286" t="s">
        <v>314</v>
      </c>
      <c r="C104" s="286"/>
      <c r="D104" s="286"/>
      <c r="E104" s="314"/>
      <c r="F104" s="314"/>
      <c r="G104" s="314"/>
      <c r="H104" s="314"/>
      <c r="I104" s="314"/>
      <c r="J104" s="314"/>
      <c r="K104" s="314"/>
      <c r="L104" s="314"/>
      <c r="M104" s="314"/>
      <c r="N104" s="314"/>
      <c r="O104" s="314"/>
      <c r="P104" s="314"/>
      <c r="Q104" s="314"/>
      <c r="R104" s="314"/>
      <c r="S104" s="314"/>
      <c r="T104" s="286"/>
      <c r="U104" s="286"/>
      <c r="V104" s="338">
        <v>-2</v>
      </c>
      <c r="W104" s="318"/>
      <c r="X104" s="5"/>
    </row>
    <row r="105" spans="1:25" ht="15.75" x14ac:dyDescent="0.25">
      <c r="A105" s="295">
        <f>+A104+1</f>
        <v>3</v>
      </c>
      <c r="B105" s="412" t="s">
        <v>316</v>
      </c>
      <c r="C105" s="286"/>
      <c r="D105" s="286"/>
      <c r="E105" s="314"/>
      <c r="F105" s="314"/>
      <c r="G105" s="314"/>
      <c r="H105" s="314"/>
      <c r="I105" s="314"/>
      <c r="J105" s="314"/>
      <c r="K105" s="314"/>
      <c r="L105" s="314"/>
      <c r="M105" s="314"/>
      <c r="N105" s="314"/>
      <c r="O105" s="314"/>
      <c r="P105" s="314"/>
      <c r="Q105" s="314"/>
      <c r="R105" s="314"/>
      <c r="S105" s="314"/>
      <c r="T105" s="286"/>
      <c r="U105" s="286"/>
      <c r="V105" s="338">
        <f>-288-137-10</f>
        <v>-435</v>
      </c>
      <c r="W105" s="318"/>
      <c r="X105" s="5"/>
    </row>
    <row r="106" spans="1:25" ht="15.75" x14ac:dyDescent="0.25">
      <c r="A106" s="295" t="s">
        <v>127</v>
      </c>
      <c r="B106" s="286" t="s">
        <v>116</v>
      </c>
      <c r="C106" s="286"/>
      <c r="D106" s="286"/>
      <c r="E106" s="314"/>
      <c r="F106" s="314"/>
      <c r="G106" s="314"/>
      <c r="H106" s="314"/>
      <c r="I106" s="314"/>
      <c r="J106" s="314"/>
      <c r="K106" s="314"/>
      <c r="L106" s="314"/>
      <c r="M106" s="314"/>
      <c r="N106" s="314"/>
      <c r="O106" s="314"/>
      <c r="P106" s="314"/>
      <c r="Q106" s="314"/>
      <c r="R106" s="314"/>
      <c r="S106" s="314"/>
      <c r="T106" s="286"/>
      <c r="U106" s="286"/>
      <c r="V106" s="338">
        <v>0</v>
      </c>
      <c r="W106" s="318"/>
      <c r="X106" s="5"/>
    </row>
    <row r="107" spans="1:25" ht="15.75" x14ac:dyDescent="0.25">
      <c r="A107" s="295" t="s">
        <v>128</v>
      </c>
      <c r="B107" s="286" t="s">
        <v>220</v>
      </c>
      <c r="C107" s="286"/>
      <c r="D107" s="286"/>
      <c r="E107" s="314"/>
      <c r="F107" s="314"/>
      <c r="G107" s="314"/>
      <c r="H107" s="314"/>
      <c r="I107" s="314"/>
      <c r="J107" s="314"/>
      <c r="K107" s="314"/>
      <c r="L107" s="314"/>
      <c r="M107" s="314"/>
      <c r="N107" s="314"/>
      <c r="O107" s="314"/>
      <c r="P107" s="314"/>
      <c r="Q107" s="314"/>
      <c r="R107" s="314"/>
      <c r="S107" s="314"/>
      <c r="T107" s="286"/>
      <c r="U107" s="286"/>
      <c r="V107" s="338">
        <f>-1191+305</f>
        <v>-886</v>
      </c>
      <c r="W107" s="318"/>
      <c r="X107" s="5"/>
      <c r="Y107" s="109"/>
    </row>
    <row r="108" spans="1:25" ht="15.75" x14ac:dyDescent="0.25">
      <c r="A108" s="295" t="s">
        <v>150</v>
      </c>
      <c r="B108" s="286" t="s">
        <v>184</v>
      </c>
      <c r="C108" s="286"/>
      <c r="D108" s="286"/>
      <c r="E108" s="314"/>
      <c r="F108" s="314"/>
      <c r="G108" s="314"/>
      <c r="H108" s="314"/>
      <c r="I108" s="314"/>
      <c r="J108" s="314"/>
      <c r="K108" s="314"/>
      <c r="L108" s="314"/>
      <c r="M108" s="314"/>
      <c r="N108" s="314"/>
      <c r="O108" s="314"/>
      <c r="P108" s="314"/>
      <c r="Q108" s="314"/>
      <c r="R108" s="314"/>
      <c r="S108" s="314"/>
      <c r="T108" s="286"/>
      <c r="U108" s="286"/>
      <c r="V108" s="338">
        <v>-305</v>
      </c>
      <c r="W108" s="318"/>
      <c r="X108" s="5"/>
      <c r="Y108" s="109"/>
    </row>
    <row r="109" spans="1:25" ht="15.75" x14ac:dyDescent="0.25">
      <c r="A109" s="295" t="s">
        <v>205</v>
      </c>
      <c r="B109" s="286" t="s">
        <v>185</v>
      </c>
      <c r="C109" s="286"/>
      <c r="D109" s="286"/>
      <c r="E109" s="314"/>
      <c r="F109" s="314"/>
      <c r="G109" s="314"/>
      <c r="H109" s="314"/>
      <c r="I109" s="314"/>
      <c r="J109" s="314"/>
      <c r="K109" s="314"/>
      <c r="L109" s="314"/>
      <c r="M109" s="314"/>
      <c r="N109" s="314"/>
      <c r="O109" s="314"/>
      <c r="P109" s="314"/>
      <c r="Q109" s="314"/>
      <c r="R109" s="314"/>
      <c r="S109" s="314"/>
      <c r="T109" s="286"/>
      <c r="U109" s="286"/>
      <c r="V109" s="338">
        <v>-170</v>
      </c>
      <c r="W109" s="318"/>
      <c r="X109" s="5"/>
      <c r="Y109" s="109"/>
    </row>
    <row r="110" spans="1:25" ht="15.75" x14ac:dyDescent="0.25">
      <c r="A110" s="295" t="s">
        <v>206</v>
      </c>
      <c r="B110" s="286" t="s">
        <v>186</v>
      </c>
      <c r="C110" s="286"/>
      <c r="D110" s="286"/>
      <c r="E110" s="314"/>
      <c r="F110" s="314"/>
      <c r="G110" s="314"/>
      <c r="H110" s="314"/>
      <c r="I110" s="314"/>
      <c r="J110" s="314"/>
      <c r="K110" s="314"/>
      <c r="L110" s="314"/>
      <c r="M110" s="314"/>
      <c r="N110" s="314"/>
      <c r="O110" s="314"/>
      <c r="P110" s="314"/>
      <c r="Q110" s="314"/>
      <c r="R110" s="314"/>
      <c r="S110" s="314"/>
      <c r="T110" s="286"/>
      <c r="U110" s="286"/>
      <c r="V110" s="338">
        <v>-47</v>
      </c>
      <c r="W110" s="318"/>
      <c r="X110" s="5"/>
      <c r="Y110" s="109"/>
    </row>
    <row r="111" spans="1:25" ht="15.75" x14ac:dyDescent="0.25">
      <c r="A111" s="295">
        <v>6</v>
      </c>
      <c r="B111" s="286" t="s">
        <v>196</v>
      </c>
      <c r="C111" s="286"/>
      <c r="D111" s="286"/>
      <c r="E111" s="314"/>
      <c r="F111" s="314"/>
      <c r="G111" s="314"/>
      <c r="H111" s="314"/>
      <c r="I111" s="314"/>
      <c r="J111" s="314"/>
      <c r="K111" s="314"/>
      <c r="L111" s="314"/>
      <c r="M111" s="314"/>
      <c r="N111" s="314"/>
      <c r="O111" s="314"/>
      <c r="P111" s="314"/>
      <c r="Q111" s="314"/>
      <c r="R111" s="314"/>
      <c r="S111" s="314"/>
      <c r="T111" s="286"/>
      <c r="U111" s="286"/>
      <c r="V111" s="338">
        <v>-335</v>
      </c>
      <c r="W111" s="318"/>
      <c r="X111" s="5"/>
      <c r="Y111" s="109"/>
    </row>
    <row r="112" spans="1:25" ht="15.75" x14ac:dyDescent="0.25">
      <c r="A112" s="295">
        <v>7</v>
      </c>
      <c r="B112" s="412" t="s">
        <v>315</v>
      </c>
      <c r="C112" s="286"/>
      <c r="D112" s="286"/>
      <c r="E112" s="314"/>
      <c r="F112" s="314"/>
      <c r="G112" s="314"/>
      <c r="H112" s="314"/>
      <c r="I112" s="314"/>
      <c r="J112" s="314"/>
      <c r="K112" s="314"/>
      <c r="L112" s="314"/>
      <c r="M112" s="314"/>
      <c r="N112" s="314"/>
      <c r="O112" s="314"/>
      <c r="P112" s="314"/>
      <c r="Q112" s="314"/>
      <c r="R112" s="314"/>
      <c r="S112" s="314"/>
      <c r="T112" s="286"/>
      <c r="U112" s="286"/>
      <c r="V112" s="338">
        <v>0</v>
      </c>
      <c r="W112" s="318"/>
      <c r="X112" s="5"/>
      <c r="Y112" s="109"/>
    </row>
    <row r="113" spans="1:24" ht="15.75" x14ac:dyDescent="0.25">
      <c r="A113" s="295">
        <v>8</v>
      </c>
      <c r="B113" s="286" t="s">
        <v>35</v>
      </c>
      <c r="C113" s="286"/>
      <c r="D113" s="286"/>
      <c r="E113" s="314"/>
      <c r="F113" s="314"/>
      <c r="G113" s="314"/>
      <c r="H113" s="314"/>
      <c r="I113" s="314"/>
      <c r="J113" s="314"/>
      <c r="K113" s="314"/>
      <c r="L113" s="314"/>
      <c r="M113" s="314"/>
      <c r="N113" s="314"/>
      <c r="O113" s="314"/>
      <c r="P113" s="314"/>
      <c r="Q113" s="314"/>
      <c r="R113" s="314"/>
      <c r="S113" s="314"/>
      <c r="T113" s="286"/>
      <c r="U113" s="286"/>
      <c r="V113" s="338">
        <v>-9</v>
      </c>
      <c r="W113" s="318"/>
      <c r="X113" s="5"/>
    </row>
    <row r="114" spans="1:24" ht="15.75" x14ac:dyDescent="0.25">
      <c r="A114" s="295">
        <f t="shared" ref="A114:A119" si="0">+A113+1</f>
        <v>9</v>
      </c>
      <c r="B114" s="286" t="s">
        <v>45</v>
      </c>
      <c r="C114" s="286"/>
      <c r="D114" s="286"/>
      <c r="E114" s="314"/>
      <c r="F114" s="314"/>
      <c r="G114" s="314"/>
      <c r="H114" s="314"/>
      <c r="I114" s="314"/>
      <c r="J114" s="314"/>
      <c r="K114" s="314"/>
      <c r="L114" s="314"/>
      <c r="M114" s="314"/>
      <c r="N114" s="314"/>
      <c r="O114" s="314"/>
      <c r="P114" s="314"/>
      <c r="Q114" s="314"/>
      <c r="R114" s="314"/>
      <c r="S114" s="314"/>
      <c r="T114" s="337">
        <f>-V114</f>
        <v>152</v>
      </c>
      <c r="U114" s="286"/>
      <c r="V114" s="338">
        <v>-152</v>
      </c>
      <c r="W114" s="318"/>
      <c r="X114" s="5"/>
    </row>
    <row r="115" spans="1:24" ht="15.75" x14ac:dyDescent="0.25">
      <c r="A115" s="295">
        <f t="shared" si="0"/>
        <v>10</v>
      </c>
      <c r="B115" s="286" t="s">
        <v>125</v>
      </c>
      <c r="C115" s="286"/>
      <c r="D115" s="286"/>
      <c r="E115" s="314"/>
      <c r="F115" s="314"/>
      <c r="G115" s="314"/>
      <c r="H115" s="314"/>
      <c r="I115" s="314"/>
      <c r="J115" s="314"/>
      <c r="K115" s="314"/>
      <c r="L115" s="314"/>
      <c r="M115" s="314"/>
      <c r="N115" s="314"/>
      <c r="O115" s="314"/>
      <c r="P115" s="314"/>
      <c r="Q115" s="314"/>
      <c r="R115" s="314"/>
      <c r="S115" s="314"/>
      <c r="T115" s="286"/>
      <c r="U115" s="286"/>
      <c r="V115" s="338">
        <v>0</v>
      </c>
      <c r="W115" s="318"/>
      <c r="X115" s="5"/>
    </row>
    <row r="116" spans="1:24" ht="15.75" x14ac:dyDescent="0.25">
      <c r="A116" s="295">
        <f t="shared" si="0"/>
        <v>11</v>
      </c>
      <c r="B116" s="286" t="s">
        <v>225</v>
      </c>
      <c r="C116" s="286"/>
      <c r="D116" s="286"/>
      <c r="E116" s="314"/>
      <c r="F116" s="314"/>
      <c r="G116" s="314"/>
      <c r="H116" s="314"/>
      <c r="I116" s="314"/>
      <c r="J116" s="314"/>
      <c r="K116" s="314"/>
      <c r="L116" s="314"/>
      <c r="M116" s="314"/>
      <c r="N116" s="314"/>
      <c r="O116" s="314"/>
      <c r="P116" s="314"/>
      <c r="Q116" s="314"/>
      <c r="R116" s="314"/>
      <c r="S116" s="314"/>
      <c r="T116" s="286"/>
      <c r="U116" s="286"/>
      <c r="V116" s="338">
        <v>0</v>
      </c>
      <c r="W116" s="318"/>
      <c r="X116" s="5"/>
    </row>
    <row r="117" spans="1:24" ht="15.75" x14ac:dyDescent="0.25">
      <c r="A117" s="295">
        <f t="shared" si="0"/>
        <v>12</v>
      </c>
      <c r="B117" s="286" t="s">
        <v>36</v>
      </c>
      <c r="C117" s="286"/>
      <c r="D117" s="286"/>
      <c r="E117" s="314"/>
      <c r="F117" s="314"/>
      <c r="G117" s="314"/>
      <c r="H117" s="314"/>
      <c r="I117" s="314"/>
      <c r="J117" s="314"/>
      <c r="K117" s="314"/>
      <c r="L117" s="314"/>
      <c r="M117" s="314"/>
      <c r="N117" s="314"/>
      <c r="O117" s="314"/>
      <c r="P117" s="314"/>
      <c r="Q117" s="314"/>
      <c r="R117" s="314"/>
      <c r="S117" s="314"/>
      <c r="T117" s="286"/>
      <c r="U117" s="286"/>
      <c r="V117" s="338">
        <v>0</v>
      </c>
      <c r="W117" s="318"/>
      <c r="X117" s="5"/>
    </row>
    <row r="118" spans="1:24" ht="15.75" x14ac:dyDescent="0.25">
      <c r="A118" s="295">
        <f t="shared" si="0"/>
        <v>13</v>
      </c>
      <c r="B118" s="286" t="s">
        <v>149</v>
      </c>
      <c r="C118" s="286"/>
      <c r="D118" s="286"/>
      <c r="E118" s="314"/>
      <c r="F118" s="314"/>
      <c r="G118" s="314"/>
      <c r="H118" s="314"/>
      <c r="I118" s="314"/>
      <c r="J118" s="314"/>
      <c r="K118" s="314"/>
      <c r="L118" s="314"/>
      <c r="M118" s="314"/>
      <c r="N118" s="314"/>
      <c r="O118" s="314"/>
      <c r="P118" s="314"/>
      <c r="Q118" s="314"/>
      <c r="R118" s="314"/>
      <c r="S118" s="314"/>
      <c r="T118" s="286"/>
      <c r="U118" s="286"/>
      <c r="V118" s="338">
        <v>-289</v>
      </c>
      <c r="W118" s="318"/>
      <c r="X118" s="5"/>
    </row>
    <row r="119" spans="1:24" ht="15.75" x14ac:dyDescent="0.25">
      <c r="A119" s="295">
        <f t="shared" si="0"/>
        <v>14</v>
      </c>
      <c r="B119" s="286" t="s">
        <v>126</v>
      </c>
      <c r="C119" s="286"/>
      <c r="D119" s="286"/>
      <c r="E119" s="314"/>
      <c r="F119" s="314"/>
      <c r="G119" s="314"/>
      <c r="H119" s="314"/>
      <c r="I119" s="314"/>
      <c r="J119" s="314"/>
      <c r="K119" s="314"/>
      <c r="L119" s="314"/>
      <c r="M119" s="314"/>
      <c r="N119" s="314"/>
      <c r="O119" s="314"/>
      <c r="P119" s="314"/>
      <c r="Q119" s="314"/>
      <c r="R119" s="314"/>
      <c r="S119" s="314"/>
      <c r="T119" s="286"/>
      <c r="U119" s="286"/>
      <c r="V119" s="338">
        <f>-V101-SUM(V103:V118)</f>
        <v>-2412</v>
      </c>
      <c r="W119" s="318"/>
      <c r="X119" s="5"/>
    </row>
    <row r="120" spans="1:24" ht="15.75" x14ac:dyDescent="0.25">
      <c r="A120" s="285"/>
      <c r="B120" s="342" t="s">
        <v>37</v>
      </c>
      <c r="C120" s="314"/>
      <c r="D120" s="314"/>
      <c r="E120" s="314"/>
      <c r="F120" s="314"/>
      <c r="G120" s="314"/>
      <c r="H120" s="314"/>
      <c r="I120" s="314"/>
      <c r="J120" s="314"/>
      <c r="K120" s="314"/>
      <c r="L120" s="314"/>
      <c r="M120" s="314"/>
      <c r="N120" s="314"/>
      <c r="O120" s="314"/>
      <c r="P120" s="314"/>
      <c r="Q120" s="314"/>
      <c r="R120" s="314"/>
      <c r="S120" s="314"/>
      <c r="T120" s="286"/>
      <c r="U120" s="286"/>
      <c r="V120" s="343"/>
      <c r="W120" s="318"/>
      <c r="X120" s="5"/>
    </row>
    <row r="121" spans="1:24" ht="15.75" x14ac:dyDescent="0.25">
      <c r="A121" s="285"/>
      <c r="B121" s="286" t="s">
        <v>173</v>
      </c>
      <c r="C121" s="314"/>
      <c r="D121" s="314"/>
      <c r="E121" s="314"/>
      <c r="F121" s="314"/>
      <c r="G121" s="314"/>
      <c r="H121" s="314"/>
      <c r="I121" s="314"/>
      <c r="J121" s="314"/>
      <c r="K121" s="314"/>
      <c r="L121" s="314"/>
      <c r="M121" s="314"/>
      <c r="N121" s="314"/>
      <c r="O121" s="314"/>
      <c r="P121" s="314"/>
      <c r="Q121" s="314"/>
      <c r="R121" s="314"/>
      <c r="S121" s="314"/>
      <c r="T121" s="337">
        <f>-T186</f>
        <v>0</v>
      </c>
      <c r="U121" s="337"/>
      <c r="V121" s="338"/>
      <c r="W121" s="318"/>
      <c r="X121" s="5"/>
    </row>
    <row r="122" spans="1:24" ht="15.75" x14ac:dyDescent="0.25">
      <c r="A122" s="285"/>
      <c r="B122" s="286" t="s">
        <v>174</v>
      </c>
      <c r="C122" s="314"/>
      <c r="D122" s="314"/>
      <c r="E122" s="314"/>
      <c r="F122" s="314"/>
      <c r="G122" s="314"/>
      <c r="H122" s="314"/>
      <c r="I122" s="314"/>
      <c r="J122" s="314"/>
      <c r="K122" s="314"/>
      <c r="L122" s="314"/>
      <c r="M122" s="314"/>
      <c r="N122" s="314"/>
      <c r="O122" s="314"/>
      <c r="P122" s="314"/>
      <c r="Q122" s="314"/>
      <c r="R122" s="314"/>
      <c r="S122" s="314"/>
      <c r="T122" s="337">
        <v>0</v>
      </c>
      <c r="U122" s="337"/>
      <c r="V122" s="338"/>
      <c r="W122" s="318"/>
      <c r="X122" s="5"/>
    </row>
    <row r="123" spans="1:24" ht="15.75" x14ac:dyDescent="0.25">
      <c r="A123" s="285"/>
      <c r="B123" s="286" t="s">
        <v>38</v>
      </c>
      <c r="C123" s="314"/>
      <c r="D123" s="314"/>
      <c r="E123" s="314"/>
      <c r="F123" s="314"/>
      <c r="G123" s="314"/>
      <c r="H123" s="314"/>
      <c r="I123" s="314"/>
      <c r="J123" s="314"/>
      <c r="K123" s="314"/>
      <c r="L123" s="314"/>
      <c r="M123" s="314"/>
      <c r="N123" s="314"/>
      <c r="O123" s="314"/>
      <c r="P123" s="314"/>
      <c r="Q123" s="314"/>
      <c r="R123" s="314"/>
      <c r="S123" s="314"/>
      <c r="T123" s="337">
        <f>-S186</f>
        <v>-298</v>
      </c>
      <c r="U123" s="337"/>
      <c r="V123" s="338"/>
      <c r="W123" s="318"/>
      <c r="X123" s="5"/>
    </row>
    <row r="124" spans="1:24" ht="15.75" x14ac:dyDescent="0.25">
      <c r="A124" s="285"/>
      <c r="B124" s="286" t="s">
        <v>197</v>
      </c>
      <c r="C124" s="314"/>
      <c r="D124" s="314"/>
      <c r="E124" s="314"/>
      <c r="F124" s="314"/>
      <c r="G124" s="314"/>
      <c r="H124" s="314"/>
      <c r="I124" s="314"/>
      <c r="J124" s="314"/>
      <c r="K124" s="314"/>
      <c r="L124" s="314"/>
      <c r="M124" s="314"/>
      <c r="N124" s="314"/>
      <c r="O124" s="314"/>
      <c r="P124" s="314"/>
      <c r="Q124" s="314"/>
      <c r="R124" s="314"/>
      <c r="S124" s="314"/>
      <c r="T124" s="337">
        <v>-4556</v>
      </c>
      <c r="U124" s="337"/>
      <c r="V124" s="338"/>
      <c r="W124" s="318"/>
      <c r="X124" s="5"/>
    </row>
    <row r="125" spans="1:24" ht="15.75" x14ac:dyDescent="0.25">
      <c r="A125" s="285"/>
      <c r="B125" s="286" t="s">
        <v>195</v>
      </c>
      <c r="C125" s="314"/>
      <c r="D125" s="314"/>
      <c r="E125" s="314"/>
      <c r="F125" s="314"/>
      <c r="G125" s="314"/>
      <c r="H125" s="314"/>
      <c r="I125" s="314"/>
      <c r="J125" s="314"/>
      <c r="K125" s="314"/>
      <c r="L125" s="314"/>
      <c r="M125" s="314"/>
      <c r="N125" s="314"/>
      <c r="O125" s="314"/>
      <c r="P125" s="314"/>
      <c r="Q125" s="314"/>
      <c r="R125" s="314"/>
      <c r="S125" s="314"/>
      <c r="T125" s="337">
        <v>-1936</v>
      </c>
      <c r="U125" s="337"/>
      <c r="V125" s="338"/>
      <c r="W125" s="318"/>
      <c r="X125" s="5"/>
    </row>
    <row r="126" spans="1:24" ht="15.75" x14ac:dyDescent="0.25">
      <c r="A126" s="285"/>
      <c r="B126" s="286" t="s">
        <v>194</v>
      </c>
      <c r="C126" s="314"/>
      <c r="D126" s="314"/>
      <c r="E126" s="314"/>
      <c r="F126" s="314"/>
      <c r="G126" s="314"/>
      <c r="H126" s="314"/>
      <c r="I126" s="314"/>
      <c r="J126" s="314"/>
      <c r="K126" s="314"/>
      <c r="L126" s="314"/>
      <c r="M126" s="314"/>
      <c r="N126" s="314"/>
      <c r="O126" s="314"/>
      <c r="P126" s="314"/>
      <c r="Q126" s="314"/>
      <c r="R126" s="314"/>
      <c r="S126" s="314"/>
      <c r="T126" s="337">
        <v>-690</v>
      </c>
      <c r="U126" s="337"/>
      <c r="V126" s="338"/>
      <c r="W126" s="318"/>
      <c r="X126" s="5"/>
    </row>
    <row r="127" spans="1:24" ht="15.75" x14ac:dyDescent="0.25">
      <c r="A127" s="285"/>
      <c r="B127" s="286" t="s">
        <v>222</v>
      </c>
      <c r="C127" s="314"/>
      <c r="D127" s="314"/>
      <c r="E127" s="314"/>
      <c r="F127" s="314"/>
      <c r="G127" s="314"/>
      <c r="H127" s="314"/>
      <c r="I127" s="314"/>
      <c r="J127" s="314"/>
      <c r="K127" s="314"/>
      <c r="L127" s="314"/>
      <c r="M127" s="314"/>
      <c r="N127" s="314"/>
      <c r="O127" s="314"/>
      <c r="P127" s="314"/>
      <c r="Q127" s="314"/>
      <c r="R127" s="314"/>
      <c r="S127" s="314"/>
      <c r="T127" s="337">
        <v>-684</v>
      </c>
      <c r="U127" s="337"/>
      <c r="V127" s="338"/>
      <c r="W127" s="318"/>
      <c r="X127" s="5"/>
    </row>
    <row r="128" spans="1:24" ht="15.75" x14ac:dyDescent="0.25">
      <c r="A128" s="285"/>
      <c r="B128" s="286" t="s">
        <v>189</v>
      </c>
      <c r="C128" s="314"/>
      <c r="D128" s="314"/>
      <c r="E128" s="314"/>
      <c r="F128" s="314"/>
      <c r="G128" s="314"/>
      <c r="H128" s="314"/>
      <c r="I128" s="314"/>
      <c r="J128" s="314"/>
      <c r="K128" s="314"/>
      <c r="L128" s="314"/>
      <c r="M128" s="314"/>
      <c r="N128" s="314"/>
      <c r="O128" s="314"/>
      <c r="P128" s="314"/>
      <c r="Q128" s="314"/>
      <c r="R128" s="314"/>
      <c r="S128" s="314"/>
      <c r="T128" s="337">
        <v>0</v>
      </c>
      <c r="U128" s="337"/>
      <c r="V128" s="338"/>
      <c r="W128" s="318"/>
      <c r="X128" s="5"/>
    </row>
    <row r="129" spans="1:24" ht="15.75" x14ac:dyDescent="0.25">
      <c r="A129" s="285"/>
      <c r="B129" s="286" t="s">
        <v>188</v>
      </c>
      <c r="C129" s="314"/>
      <c r="D129" s="314"/>
      <c r="E129" s="314"/>
      <c r="F129" s="314"/>
      <c r="G129" s="314"/>
      <c r="H129" s="314"/>
      <c r="I129" s="314"/>
      <c r="J129" s="314"/>
      <c r="K129" s="314"/>
      <c r="L129" s="314"/>
      <c r="M129" s="314"/>
      <c r="N129" s="314"/>
      <c r="O129" s="314"/>
      <c r="P129" s="314"/>
      <c r="Q129" s="314"/>
      <c r="R129" s="314"/>
      <c r="S129" s="314"/>
      <c r="T129" s="337">
        <v>0</v>
      </c>
      <c r="U129" s="337"/>
      <c r="V129" s="338"/>
      <c r="W129" s="318"/>
      <c r="X129" s="5"/>
    </row>
    <row r="130" spans="1:24" ht="15.75" x14ac:dyDescent="0.25">
      <c r="A130" s="285"/>
      <c r="B130" s="286" t="s">
        <v>187</v>
      </c>
      <c r="C130" s="314"/>
      <c r="D130" s="314"/>
      <c r="E130" s="314"/>
      <c r="F130" s="314"/>
      <c r="G130" s="314"/>
      <c r="H130" s="314"/>
      <c r="I130" s="314"/>
      <c r="J130" s="314"/>
      <c r="K130" s="314"/>
      <c r="L130" s="314"/>
      <c r="M130" s="314"/>
      <c r="N130" s="314"/>
      <c r="O130" s="314"/>
      <c r="P130" s="314"/>
      <c r="Q130" s="314"/>
      <c r="R130" s="314"/>
      <c r="S130" s="314"/>
      <c r="T130" s="337">
        <v>0</v>
      </c>
      <c r="U130" s="337"/>
      <c r="V130" s="338"/>
      <c r="W130" s="318"/>
      <c r="X130" s="5"/>
    </row>
    <row r="131" spans="1:24" ht="15.75" x14ac:dyDescent="0.25">
      <c r="A131" s="285"/>
      <c r="B131" s="286" t="s">
        <v>39</v>
      </c>
      <c r="C131" s="314"/>
      <c r="D131" s="314"/>
      <c r="E131" s="314"/>
      <c r="F131" s="314"/>
      <c r="G131" s="314"/>
      <c r="H131" s="314"/>
      <c r="I131" s="314"/>
      <c r="J131" s="314"/>
      <c r="K131" s="314"/>
      <c r="L131" s="314"/>
      <c r="M131" s="314"/>
      <c r="N131" s="314"/>
      <c r="O131" s="314"/>
      <c r="P131" s="314"/>
      <c r="Q131" s="314"/>
      <c r="R131" s="314"/>
      <c r="S131" s="314"/>
      <c r="T131" s="337">
        <f>SUM(T121:T130)</f>
        <v>-8164</v>
      </c>
      <c r="U131" s="337"/>
      <c r="V131" s="337">
        <f>SUM(V102:V129)</f>
        <v>-5042</v>
      </c>
      <c r="W131" s="318"/>
      <c r="X131" s="5"/>
    </row>
    <row r="132" spans="1:24" ht="15.75" x14ac:dyDescent="0.25">
      <c r="A132" s="285"/>
      <c r="B132" s="286" t="s">
        <v>40</v>
      </c>
      <c r="C132" s="314"/>
      <c r="D132" s="314"/>
      <c r="E132" s="314"/>
      <c r="F132" s="314"/>
      <c r="G132" s="314"/>
      <c r="H132" s="314"/>
      <c r="I132" s="314"/>
      <c r="J132" s="314"/>
      <c r="K132" s="314"/>
      <c r="L132" s="314"/>
      <c r="M132" s="314"/>
      <c r="N132" s="314"/>
      <c r="O132" s="314"/>
      <c r="P132" s="314"/>
      <c r="Q132" s="314"/>
      <c r="R132" s="314"/>
      <c r="S132" s="314"/>
      <c r="T132" s="337">
        <f>T101+T131+T114</f>
        <v>0</v>
      </c>
      <c r="U132" s="337"/>
      <c r="V132" s="337">
        <f>V101+V131</f>
        <v>0</v>
      </c>
      <c r="W132" s="318"/>
      <c r="X132" s="5"/>
    </row>
    <row r="133" spans="1:24" ht="15.75" x14ac:dyDescent="0.25">
      <c r="A133" s="181"/>
      <c r="B133" s="212"/>
      <c r="C133" s="212"/>
      <c r="D133" s="212"/>
      <c r="E133" s="212"/>
      <c r="F133" s="212"/>
      <c r="G133" s="212"/>
      <c r="H133" s="212"/>
      <c r="I133" s="212"/>
      <c r="J133" s="212"/>
      <c r="K133" s="212"/>
      <c r="L133" s="212"/>
      <c r="M133" s="212"/>
      <c r="N133" s="212"/>
      <c r="O133" s="212"/>
      <c r="P133" s="212"/>
      <c r="Q133" s="212"/>
      <c r="R133" s="212"/>
      <c r="S133" s="212"/>
      <c r="T133" s="335"/>
      <c r="U133" s="335"/>
      <c r="V133" s="335"/>
      <c r="W133" s="212"/>
      <c r="X133" s="5"/>
    </row>
    <row r="134" spans="1:24" ht="15.75" x14ac:dyDescent="0.25">
      <c r="A134" s="181"/>
      <c r="B134" s="183"/>
      <c r="C134" s="183"/>
      <c r="D134" s="183"/>
      <c r="E134" s="183"/>
      <c r="F134" s="183"/>
      <c r="G134" s="183"/>
      <c r="H134" s="183"/>
      <c r="I134" s="183"/>
      <c r="J134" s="183"/>
      <c r="K134" s="183"/>
      <c r="L134" s="183"/>
      <c r="M134" s="183"/>
      <c r="N134" s="183"/>
      <c r="O134" s="183"/>
      <c r="P134" s="183"/>
      <c r="Q134" s="183"/>
      <c r="R134" s="183"/>
      <c r="S134" s="183"/>
      <c r="T134" s="183"/>
      <c r="U134" s="183"/>
      <c r="V134" s="202"/>
      <c r="W134" s="183"/>
      <c r="X134" s="5"/>
    </row>
    <row r="135" spans="1:24" ht="19.5" thickBot="1" x14ac:dyDescent="0.35">
      <c r="A135" s="197"/>
      <c r="B135" s="270" t="str">
        <f>B64</f>
        <v>PM15 INVESTOR REPORT QUARTER ENDING MAY 2015</v>
      </c>
      <c r="C135" s="198"/>
      <c r="D135" s="198"/>
      <c r="E135" s="198"/>
      <c r="F135" s="198"/>
      <c r="G135" s="198"/>
      <c r="H135" s="198"/>
      <c r="I135" s="198"/>
      <c r="J135" s="198"/>
      <c r="K135" s="198"/>
      <c r="L135" s="198"/>
      <c r="M135" s="198"/>
      <c r="N135" s="198"/>
      <c r="O135" s="198"/>
      <c r="P135" s="198"/>
      <c r="Q135" s="198"/>
      <c r="R135" s="198"/>
      <c r="S135" s="198"/>
      <c r="T135" s="198"/>
      <c r="U135" s="198"/>
      <c r="V135" s="209"/>
      <c r="W135" s="200"/>
      <c r="X135" s="5"/>
    </row>
    <row r="136" spans="1:24" ht="15.75" x14ac:dyDescent="0.25">
      <c r="A136" s="236"/>
      <c r="B136" s="403" t="s">
        <v>41</v>
      </c>
      <c r="C136" s="238"/>
      <c r="D136" s="238"/>
      <c r="E136" s="238"/>
      <c r="F136" s="238"/>
      <c r="G136" s="238"/>
      <c r="H136" s="238"/>
      <c r="I136" s="238"/>
      <c r="J136" s="238"/>
      <c r="K136" s="238"/>
      <c r="L136" s="238"/>
      <c r="M136" s="238"/>
      <c r="N136" s="238"/>
      <c r="O136" s="238"/>
      <c r="P136" s="238"/>
      <c r="Q136" s="238"/>
      <c r="R136" s="238"/>
      <c r="S136" s="238"/>
      <c r="T136" s="238"/>
      <c r="U136" s="238"/>
      <c r="V136" s="239"/>
      <c r="W136" s="238"/>
      <c r="X136" s="5"/>
    </row>
    <row r="137" spans="1:24" ht="15.75" x14ac:dyDescent="0.25">
      <c r="A137" s="181"/>
      <c r="B137" s="191"/>
      <c r="C137" s="183"/>
      <c r="D137" s="183"/>
      <c r="E137" s="183"/>
      <c r="F137" s="183"/>
      <c r="G137" s="183"/>
      <c r="H137" s="183"/>
      <c r="I137" s="183"/>
      <c r="J137" s="183"/>
      <c r="K137" s="183"/>
      <c r="L137" s="183"/>
      <c r="M137" s="183"/>
      <c r="N137" s="183"/>
      <c r="O137" s="183"/>
      <c r="P137" s="183"/>
      <c r="Q137" s="183"/>
      <c r="R137" s="183"/>
      <c r="S137" s="183"/>
      <c r="T137" s="183"/>
      <c r="U137" s="183"/>
      <c r="V137" s="202"/>
      <c r="W137" s="183"/>
      <c r="X137" s="5"/>
    </row>
    <row r="138" spans="1:24" ht="15.75" x14ac:dyDescent="0.25">
      <c r="A138" s="181"/>
      <c r="B138" s="210" t="s">
        <v>42</v>
      </c>
      <c r="C138" s="183"/>
      <c r="D138" s="183"/>
      <c r="E138" s="183"/>
      <c r="F138" s="183"/>
      <c r="G138" s="183"/>
      <c r="H138" s="183"/>
      <c r="I138" s="183"/>
      <c r="J138" s="183"/>
      <c r="K138" s="183"/>
      <c r="L138" s="183"/>
      <c r="M138" s="183"/>
      <c r="N138" s="183"/>
      <c r="O138" s="183"/>
      <c r="P138" s="183"/>
      <c r="Q138" s="183"/>
      <c r="R138" s="183"/>
      <c r="S138" s="183"/>
      <c r="T138" s="183"/>
      <c r="U138" s="183"/>
      <c r="V138" s="202"/>
      <c r="W138" s="183"/>
      <c r="X138" s="5"/>
    </row>
    <row r="139" spans="1:24" ht="15.75" x14ac:dyDescent="0.25">
      <c r="A139" s="285"/>
      <c r="B139" s="286" t="s">
        <v>43</v>
      </c>
      <c r="C139" s="286"/>
      <c r="D139" s="286"/>
      <c r="E139" s="286"/>
      <c r="F139" s="286"/>
      <c r="G139" s="286"/>
      <c r="H139" s="286"/>
      <c r="I139" s="286"/>
      <c r="J139" s="286"/>
      <c r="K139" s="286"/>
      <c r="L139" s="286"/>
      <c r="M139" s="286"/>
      <c r="N139" s="286"/>
      <c r="O139" s="286"/>
      <c r="P139" s="286"/>
      <c r="Q139" s="286"/>
      <c r="R139" s="286"/>
      <c r="S139" s="286"/>
      <c r="T139" s="286"/>
      <c r="U139" s="286"/>
      <c r="V139" s="338">
        <f>+V34*0.019</f>
        <v>19021.526999999998</v>
      </c>
      <c r="W139" s="289"/>
      <c r="X139" s="5"/>
    </row>
    <row r="140" spans="1:24" ht="15.75" x14ac:dyDescent="0.25">
      <c r="A140" s="285"/>
      <c r="B140" s="286" t="s">
        <v>44</v>
      </c>
      <c r="C140" s="286"/>
      <c r="D140" s="286"/>
      <c r="E140" s="286"/>
      <c r="F140" s="286"/>
      <c r="G140" s="286"/>
      <c r="H140" s="286"/>
      <c r="I140" s="286"/>
      <c r="J140" s="286"/>
      <c r="K140" s="286"/>
      <c r="L140" s="286"/>
      <c r="M140" s="286"/>
      <c r="N140" s="286"/>
      <c r="O140" s="286"/>
      <c r="P140" s="286"/>
      <c r="Q140" s="286"/>
      <c r="R140" s="286"/>
      <c r="S140" s="286"/>
      <c r="T140" s="286"/>
      <c r="U140" s="286"/>
      <c r="V140" s="338">
        <v>19022</v>
      </c>
      <c r="W140" s="289"/>
      <c r="X140" s="5"/>
    </row>
    <row r="141" spans="1:24" ht="15.75" x14ac:dyDescent="0.25">
      <c r="A141" s="285"/>
      <c r="B141" s="286" t="s">
        <v>136</v>
      </c>
      <c r="C141" s="286"/>
      <c r="D141" s="286"/>
      <c r="E141" s="286"/>
      <c r="F141" s="286"/>
      <c r="G141" s="286"/>
      <c r="H141" s="286"/>
      <c r="I141" s="286"/>
      <c r="J141" s="286"/>
      <c r="K141" s="286"/>
      <c r="L141" s="286"/>
      <c r="M141" s="286"/>
      <c r="N141" s="286"/>
      <c r="O141" s="286"/>
      <c r="P141" s="286"/>
      <c r="Q141" s="286"/>
      <c r="R141" s="286"/>
      <c r="S141" s="286"/>
      <c r="T141" s="286"/>
      <c r="U141" s="286"/>
      <c r="V141" s="338"/>
      <c r="W141" s="289"/>
      <c r="X141" s="5"/>
    </row>
    <row r="142" spans="1:24" ht="15.75" x14ac:dyDescent="0.25">
      <c r="A142" s="285"/>
      <c r="B142" s="286" t="s">
        <v>123</v>
      </c>
      <c r="C142" s="286"/>
      <c r="D142" s="286"/>
      <c r="E142" s="286"/>
      <c r="F142" s="286"/>
      <c r="G142" s="286"/>
      <c r="H142" s="286"/>
      <c r="I142" s="286"/>
      <c r="J142" s="286"/>
      <c r="K142" s="286"/>
      <c r="L142" s="286"/>
      <c r="M142" s="286"/>
      <c r="N142" s="286"/>
      <c r="O142" s="286"/>
      <c r="P142" s="286"/>
      <c r="Q142" s="286"/>
      <c r="R142" s="286"/>
      <c r="S142" s="286"/>
      <c r="T142" s="286"/>
      <c r="U142" s="286"/>
      <c r="V142" s="338">
        <v>0</v>
      </c>
      <c r="W142" s="289"/>
      <c r="X142" s="5"/>
    </row>
    <row r="143" spans="1:24" ht="15.75" x14ac:dyDescent="0.25">
      <c r="A143" s="285"/>
      <c r="B143" s="286" t="s">
        <v>124</v>
      </c>
      <c r="C143" s="286"/>
      <c r="D143" s="286"/>
      <c r="E143" s="286"/>
      <c r="F143" s="286"/>
      <c r="G143" s="286"/>
      <c r="H143" s="286"/>
      <c r="I143" s="286"/>
      <c r="J143" s="286"/>
      <c r="K143" s="286"/>
      <c r="L143" s="286"/>
      <c r="M143" s="286"/>
      <c r="N143" s="286"/>
      <c r="O143" s="286"/>
      <c r="P143" s="286"/>
      <c r="Q143" s="286"/>
      <c r="R143" s="286"/>
      <c r="S143" s="286"/>
      <c r="T143" s="286"/>
      <c r="U143" s="286"/>
      <c r="V143" s="338">
        <v>0</v>
      </c>
      <c r="W143" s="289"/>
      <c r="X143" s="5"/>
    </row>
    <row r="144" spans="1:24" ht="15.75" x14ac:dyDescent="0.25">
      <c r="A144" s="285"/>
      <c r="B144" s="286" t="s">
        <v>175</v>
      </c>
      <c r="C144" s="286"/>
      <c r="D144" s="286"/>
      <c r="E144" s="286"/>
      <c r="F144" s="286"/>
      <c r="G144" s="286"/>
      <c r="H144" s="286"/>
      <c r="I144" s="286"/>
      <c r="J144" s="286"/>
      <c r="K144" s="286"/>
      <c r="L144" s="286"/>
      <c r="M144" s="286"/>
      <c r="N144" s="286"/>
      <c r="O144" s="286"/>
      <c r="P144" s="286"/>
      <c r="Q144" s="286"/>
      <c r="R144" s="286"/>
      <c r="S144" s="286"/>
      <c r="T144" s="286"/>
      <c r="U144" s="286"/>
      <c r="V144" s="338">
        <v>0</v>
      </c>
      <c r="W144" s="289"/>
      <c r="X144" s="5"/>
    </row>
    <row r="145" spans="1:25" ht="15.75" x14ac:dyDescent="0.25">
      <c r="A145" s="285"/>
      <c r="B145" s="286" t="s">
        <v>45</v>
      </c>
      <c r="C145" s="286"/>
      <c r="D145" s="286"/>
      <c r="E145" s="286"/>
      <c r="F145" s="286"/>
      <c r="G145" s="286"/>
      <c r="H145" s="286"/>
      <c r="I145" s="286"/>
      <c r="J145" s="286"/>
      <c r="K145" s="286"/>
      <c r="L145" s="286"/>
      <c r="M145" s="286"/>
      <c r="N145" s="286"/>
      <c r="O145" s="286"/>
      <c r="P145" s="286"/>
      <c r="Q145" s="286"/>
      <c r="R145" s="286"/>
      <c r="S145" s="286"/>
      <c r="T145" s="286"/>
      <c r="U145" s="286"/>
      <c r="V145" s="338">
        <v>0</v>
      </c>
      <c r="W145" s="289"/>
      <c r="X145" s="5"/>
    </row>
    <row r="146" spans="1:25" ht="15.75" x14ac:dyDescent="0.25">
      <c r="A146" s="285"/>
      <c r="B146" s="286" t="s">
        <v>129</v>
      </c>
      <c r="C146" s="286"/>
      <c r="D146" s="286"/>
      <c r="E146" s="286"/>
      <c r="F146" s="286"/>
      <c r="G146" s="286"/>
      <c r="H146" s="286"/>
      <c r="I146" s="286"/>
      <c r="J146" s="286"/>
      <c r="K146" s="286"/>
      <c r="L146" s="286"/>
      <c r="M146" s="286"/>
      <c r="N146" s="286"/>
      <c r="O146" s="286"/>
      <c r="P146" s="286"/>
      <c r="Q146" s="286"/>
      <c r="R146" s="286"/>
      <c r="S146" s="286"/>
      <c r="T146" s="286"/>
      <c r="U146" s="286"/>
      <c r="V146" s="338">
        <v>0</v>
      </c>
      <c r="W146" s="289"/>
      <c r="X146" s="5"/>
    </row>
    <row r="147" spans="1:25" ht="15.75" x14ac:dyDescent="0.25">
      <c r="A147" s="285"/>
      <c r="B147" s="286" t="s">
        <v>241</v>
      </c>
      <c r="C147" s="286"/>
      <c r="D147" s="286"/>
      <c r="E147" s="286"/>
      <c r="F147" s="286"/>
      <c r="G147" s="286"/>
      <c r="H147" s="286"/>
      <c r="I147" s="286"/>
      <c r="J147" s="286"/>
      <c r="K147" s="286"/>
      <c r="L147" s="286"/>
      <c r="M147" s="286"/>
      <c r="N147" s="286"/>
      <c r="O147" s="286"/>
      <c r="P147" s="286"/>
      <c r="Q147" s="286"/>
      <c r="R147" s="286"/>
      <c r="S147" s="286"/>
      <c r="T147" s="286"/>
      <c r="U147" s="286"/>
      <c r="V147" s="338">
        <v>0</v>
      </c>
      <c r="W147" s="289"/>
      <c r="X147" s="5"/>
      <c r="Y147" s="109"/>
    </row>
    <row r="148" spans="1:25" ht="15.75" x14ac:dyDescent="0.25">
      <c r="A148" s="285"/>
      <c r="B148" s="286" t="s">
        <v>46</v>
      </c>
      <c r="C148" s="286"/>
      <c r="D148" s="286"/>
      <c r="E148" s="286"/>
      <c r="F148" s="286"/>
      <c r="G148" s="286"/>
      <c r="H148" s="286"/>
      <c r="I148" s="286"/>
      <c r="J148" s="286"/>
      <c r="K148" s="286"/>
      <c r="L148" s="286"/>
      <c r="M148" s="286"/>
      <c r="N148" s="286"/>
      <c r="O148" s="286"/>
      <c r="P148" s="286"/>
      <c r="Q148" s="286"/>
      <c r="R148" s="286"/>
      <c r="S148" s="286"/>
      <c r="T148" s="286"/>
      <c r="U148" s="286"/>
      <c r="V148" s="338">
        <f>SUM(V140:V147)</f>
        <v>19022</v>
      </c>
      <c r="W148" s="289"/>
      <c r="X148" s="5"/>
    </row>
    <row r="149" spans="1:25" ht="15.75" x14ac:dyDescent="0.25">
      <c r="A149" s="285"/>
      <c r="B149" s="314"/>
      <c r="C149" s="314"/>
      <c r="D149" s="314"/>
      <c r="E149" s="314"/>
      <c r="F149" s="314"/>
      <c r="G149" s="314"/>
      <c r="H149" s="314"/>
      <c r="I149" s="314"/>
      <c r="J149" s="314"/>
      <c r="K149" s="314"/>
      <c r="L149" s="314"/>
      <c r="M149" s="314"/>
      <c r="N149" s="314"/>
      <c r="O149" s="314"/>
      <c r="P149" s="314"/>
      <c r="Q149" s="314"/>
      <c r="R149" s="314"/>
      <c r="S149" s="314"/>
      <c r="T149" s="314"/>
      <c r="U149" s="314"/>
      <c r="V149" s="345"/>
      <c r="W149" s="318"/>
      <c r="X149" s="5"/>
    </row>
    <row r="150" spans="1:25" ht="15.75" x14ac:dyDescent="0.25">
      <c r="A150" s="285"/>
      <c r="B150" s="342" t="s">
        <v>269</v>
      </c>
      <c r="C150" s="314"/>
      <c r="D150" s="314"/>
      <c r="E150" s="314"/>
      <c r="F150" s="314"/>
      <c r="G150" s="314"/>
      <c r="H150" s="314"/>
      <c r="I150" s="314"/>
      <c r="J150" s="314"/>
      <c r="K150" s="314"/>
      <c r="L150" s="314"/>
      <c r="M150" s="314"/>
      <c r="N150" s="314"/>
      <c r="O150" s="314"/>
      <c r="P150" s="314"/>
      <c r="Q150" s="314"/>
      <c r="R150" s="314"/>
      <c r="S150" s="314"/>
      <c r="T150" s="314"/>
      <c r="U150" s="314"/>
      <c r="V150" s="345"/>
      <c r="W150" s="318"/>
      <c r="X150" s="5"/>
    </row>
    <row r="151" spans="1:25" ht="15.75" x14ac:dyDescent="0.25">
      <c r="A151" s="285"/>
      <c r="B151" s="286" t="s">
        <v>155</v>
      </c>
      <c r="C151" s="286"/>
      <c r="D151" s="286"/>
      <c r="E151" s="286"/>
      <c r="F151" s="286"/>
      <c r="G151" s="286"/>
      <c r="H151" s="286"/>
      <c r="I151" s="286"/>
      <c r="J151" s="286"/>
      <c r="K151" s="286"/>
      <c r="L151" s="286"/>
      <c r="M151" s="286"/>
      <c r="N151" s="286"/>
      <c r="O151" s="286"/>
      <c r="P151" s="286"/>
      <c r="Q151" s="286"/>
      <c r="R151" s="286"/>
      <c r="S151" s="286"/>
      <c r="T151" s="286"/>
      <c r="U151" s="286"/>
      <c r="V151" s="338">
        <v>0</v>
      </c>
      <c r="W151" s="289"/>
      <c r="X151" s="5"/>
    </row>
    <row r="152" spans="1:25" ht="15.75" x14ac:dyDescent="0.25">
      <c r="A152" s="285"/>
      <c r="B152" s="286" t="s">
        <v>172</v>
      </c>
      <c r="C152" s="286"/>
      <c r="D152" s="286"/>
      <c r="E152" s="286"/>
      <c r="F152" s="286"/>
      <c r="G152" s="286"/>
      <c r="H152" s="286"/>
      <c r="I152" s="286"/>
      <c r="J152" s="286"/>
      <c r="K152" s="286"/>
      <c r="L152" s="286"/>
      <c r="M152" s="286"/>
      <c r="N152" s="286"/>
      <c r="O152" s="286"/>
      <c r="P152" s="286"/>
      <c r="Q152" s="286"/>
      <c r="R152" s="286"/>
      <c r="S152" s="286"/>
      <c r="T152" s="286"/>
      <c r="U152" s="286"/>
      <c r="V152" s="338">
        <v>0</v>
      </c>
      <c r="W152" s="289"/>
      <c r="X152" s="5"/>
    </row>
    <row r="153" spans="1:25" ht="15.75" x14ac:dyDescent="0.25">
      <c r="A153" s="285"/>
      <c r="B153" s="286" t="s">
        <v>226</v>
      </c>
      <c r="C153" s="286"/>
      <c r="D153" s="286"/>
      <c r="E153" s="286"/>
      <c r="F153" s="286"/>
      <c r="G153" s="286"/>
      <c r="H153" s="286"/>
      <c r="I153" s="286"/>
      <c r="J153" s="286"/>
      <c r="K153" s="286"/>
      <c r="L153" s="286"/>
      <c r="M153" s="286"/>
      <c r="N153" s="286"/>
      <c r="O153" s="286"/>
      <c r="P153" s="286"/>
      <c r="Q153" s="286"/>
      <c r="R153" s="286"/>
      <c r="S153" s="286"/>
      <c r="T153" s="286"/>
      <c r="U153" s="286"/>
      <c r="V153" s="338">
        <v>0</v>
      </c>
      <c r="W153" s="289"/>
      <c r="X153" s="5"/>
    </row>
    <row r="154" spans="1:25" ht="15.75" x14ac:dyDescent="0.25">
      <c r="A154" s="285"/>
      <c r="B154" s="314"/>
      <c r="C154" s="314"/>
      <c r="D154" s="314"/>
      <c r="E154" s="314"/>
      <c r="F154" s="314"/>
      <c r="G154" s="314"/>
      <c r="H154" s="314"/>
      <c r="I154" s="314"/>
      <c r="J154" s="314"/>
      <c r="K154" s="314"/>
      <c r="L154" s="314"/>
      <c r="M154" s="314"/>
      <c r="N154" s="314"/>
      <c r="O154" s="314"/>
      <c r="P154" s="314"/>
      <c r="Q154" s="314"/>
      <c r="R154" s="314"/>
      <c r="S154" s="314"/>
      <c r="T154" s="314"/>
      <c r="U154" s="314"/>
      <c r="V154" s="345"/>
      <c r="W154" s="318"/>
      <c r="X154" s="5"/>
    </row>
    <row r="155" spans="1:25" ht="15.75" x14ac:dyDescent="0.25">
      <c r="A155" s="181"/>
      <c r="B155" s="212"/>
      <c r="C155" s="212"/>
      <c r="D155" s="212"/>
      <c r="E155" s="212"/>
      <c r="F155" s="212"/>
      <c r="G155" s="212"/>
      <c r="H155" s="212"/>
      <c r="I155" s="212"/>
      <c r="J155" s="212"/>
      <c r="K155" s="212"/>
      <c r="L155" s="212"/>
      <c r="M155" s="212"/>
      <c r="N155" s="212"/>
      <c r="O155" s="212"/>
      <c r="P155" s="212"/>
      <c r="Q155" s="212"/>
      <c r="R155" s="212"/>
      <c r="S155" s="212"/>
      <c r="T155" s="212"/>
      <c r="U155" s="212"/>
      <c r="V155" s="344"/>
      <c r="W155" s="212"/>
      <c r="X155" s="5"/>
    </row>
    <row r="156" spans="1:25" ht="15.75" x14ac:dyDescent="0.25">
      <c r="A156" s="181"/>
      <c r="B156" s="210" t="s">
        <v>24</v>
      </c>
      <c r="C156" s="183"/>
      <c r="D156" s="183"/>
      <c r="E156" s="183"/>
      <c r="F156" s="183"/>
      <c r="G156" s="183"/>
      <c r="H156" s="183"/>
      <c r="I156" s="183"/>
      <c r="J156" s="183"/>
      <c r="K156" s="183"/>
      <c r="L156" s="183"/>
      <c r="M156" s="183"/>
      <c r="N156" s="183"/>
      <c r="O156" s="183"/>
      <c r="P156" s="183"/>
      <c r="Q156" s="183"/>
      <c r="R156" s="183"/>
      <c r="S156" s="183"/>
      <c r="T156" s="183"/>
      <c r="U156" s="183"/>
      <c r="V156" s="202"/>
      <c r="W156" s="183"/>
      <c r="X156" s="5"/>
    </row>
    <row r="157" spans="1:25" ht="15.75" x14ac:dyDescent="0.25">
      <c r="A157" s="285"/>
      <c r="B157" s="286" t="s">
        <v>47</v>
      </c>
      <c r="C157" s="286"/>
      <c r="D157" s="286"/>
      <c r="E157" s="286"/>
      <c r="F157" s="286"/>
      <c r="G157" s="286"/>
      <c r="H157" s="286"/>
      <c r="I157" s="286"/>
      <c r="J157" s="286"/>
      <c r="K157" s="286"/>
      <c r="L157" s="286"/>
      <c r="M157" s="286"/>
      <c r="N157" s="286"/>
      <c r="O157" s="286"/>
      <c r="P157" s="286"/>
      <c r="Q157" s="286"/>
      <c r="R157" s="286"/>
      <c r="S157" s="286"/>
      <c r="T157" s="286"/>
      <c r="U157" s="286"/>
      <c r="V157" s="343" t="s">
        <v>118</v>
      </c>
      <c r="W157" s="318"/>
      <c r="X157" s="5"/>
    </row>
    <row r="158" spans="1:25" ht="15.75" x14ac:dyDescent="0.25">
      <c r="A158" s="285"/>
      <c r="B158" s="286" t="s">
        <v>48</v>
      </c>
      <c r="C158" s="288"/>
      <c r="D158" s="288"/>
      <c r="E158" s="288"/>
      <c r="F158" s="288"/>
      <c r="G158" s="288"/>
      <c r="H158" s="288"/>
      <c r="I158" s="288"/>
      <c r="J158" s="288"/>
      <c r="K158" s="288"/>
      <c r="L158" s="288"/>
      <c r="M158" s="288"/>
      <c r="N158" s="288"/>
      <c r="O158" s="288"/>
      <c r="P158" s="288"/>
      <c r="Q158" s="288"/>
      <c r="R158" s="288"/>
      <c r="S158" s="288"/>
      <c r="T158" s="288"/>
      <c r="U158" s="288"/>
      <c r="V158" s="343" t="s">
        <v>118</v>
      </c>
      <c r="W158" s="318"/>
      <c r="X158" s="5"/>
    </row>
    <row r="159" spans="1:25" ht="15.75" x14ac:dyDescent="0.25">
      <c r="A159" s="285"/>
      <c r="B159" s="286" t="s">
        <v>49</v>
      </c>
      <c r="C159" s="286"/>
      <c r="D159" s="286"/>
      <c r="E159" s="286"/>
      <c r="F159" s="286"/>
      <c r="G159" s="286"/>
      <c r="H159" s="286"/>
      <c r="I159" s="286"/>
      <c r="J159" s="286"/>
      <c r="K159" s="286"/>
      <c r="L159" s="286"/>
      <c r="M159" s="286"/>
      <c r="N159" s="286"/>
      <c r="O159" s="286"/>
      <c r="P159" s="286"/>
      <c r="Q159" s="286"/>
      <c r="R159" s="286"/>
      <c r="S159" s="286"/>
      <c r="T159" s="286"/>
      <c r="U159" s="286"/>
      <c r="V159" s="343" t="s">
        <v>118</v>
      </c>
      <c r="W159" s="318"/>
      <c r="X159" s="5"/>
    </row>
    <row r="160" spans="1:25" ht="15.75" x14ac:dyDescent="0.25">
      <c r="A160" s="285"/>
      <c r="B160" s="286" t="s">
        <v>50</v>
      </c>
      <c r="C160" s="286"/>
      <c r="D160" s="286"/>
      <c r="E160" s="286"/>
      <c r="F160" s="286"/>
      <c r="G160" s="286"/>
      <c r="H160" s="286"/>
      <c r="I160" s="286"/>
      <c r="J160" s="286"/>
      <c r="K160" s="286"/>
      <c r="L160" s="286"/>
      <c r="M160" s="286"/>
      <c r="N160" s="286"/>
      <c r="O160" s="286"/>
      <c r="P160" s="286"/>
      <c r="Q160" s="286"/>
      <c r="R160" s="286"/>
      <c r="S160" s="286"/>
      <c r="T160" s="286"/>
      <c r="U160" s="286"/>
      <c r="V160" s="343" t="s">
        <v>118</v>
      </c>
      <c r="W160" s="318"/>
      <c r="X160" s="5"/>
    </row>
    <row r="161" spans="1:256" ht="15.75" x14ac:dyDescent="0.25">
      <c r="A161" s="181"/>
      <c r="B161" s="212"/>
      <c r="C161" s="212"/>
      <c r="D161" s="212"/>
      <c r="E161" s="212"/>
      <c r="F161" s="212"/>
      <c r="G161" s="212"/>
      <c r="H161" s="212"/>
      <c r="I161" s="212"/>
      <c r="J161" s="212"/>
      <c r="K161" s="212"/>
      <c r="L161" s="212"/>
      <c r="M161" s="212"/>
      <c r="N161" s="212"/>
      <c r="O161" s="212"/>
      <c r="P161" s="212"/>
      <c r="Q161" s="212"/>
      <c r="R161" s="212"/>
      <c r="S161" s="212"/>
      <c r="T161" s="212"/>
      <c r="U161" s="212"/>
      <c r="V161" s="344"/>
      <c r="W161" s="212"/>
      <c r="X161" s="5"/>
    </row>
    <row r="162" spans="1:256" ht="15.75" x14ac:dyDescent="0.25">
      <c r="A162" s="181"/>
      <c r="B162" s="210" t="s">
        <v>51</v>
      </c>
      <c r="C162" s="183"/>
      <c r="D162" s="183"/>
      <c r="E162" s="183"/>
      <c r="F162" s="183"/>
      <c r="G162" s="183"/>
      <c r="H162" s="183"/>
      <c r="I162" s="183"/>
      <c r="J162" s="183"/>
      <c r="K162" s="183"/>
      <c r="L162" s="183"/>
      <c r="M162" s="183"/>
      <c r="N162" s="183"/>
      <c r="O162" s="183"/>
      <c r="P162" s="183"/>
      <c r="Q162" s="183"/>
      <c r="R162" s="183"/>
      <c r="S162" s="183"/>
      <c r="T162" s="183"/>
      <c r="U162" s="183"/>
      <c r="V162" s="211"/>
      <c r="W162" s="183"/>
      <c r="X162" s="5"/>
    </row>
    <row r="163" spans="1:256" ht="15.75" x14ac:dyDescent="0.25">
      <c r="A163" s="285"/>
      <c r="B163" s="286" t="s">
        <v>52</v>
      </c>
      <c r="C163" s="286"/>
      <c r="D163" s="286"/>
      <c r="E163" s="286"/>
      <c r="F163" s="286"/>
      <c r="G163" s="286"/>
      <c r="H163" s="286"/>
      <c r="I163" s="286"/>
      <c r="J163" s="286"/>
      <c r="K163" s="286"/>
      <c r="L163" s="286"/>
      <c r="M163" s="286"/>
      <c r="N163" s="286"/>
      <c r="O163" s="286"/>
      <c r="P163" s="286"/>
      <c r="Q163" s="286"/>
      <c r="R163" s="286"/>
      <c r="S163" s="286"/>
      <c r="T163" s="286"/>
      <c r="U163" s="286"/>
      <c r="V163" s="338">
        <v>0</v>
      </c>
      <c r="W163" s="289"/>
      <c r="X163" s="5"/>
    </row>
    <row r="164" spans="1:256" ht="15.75" x14ac:dyDescent="0.25">
      <c r="A164" s="285"/>
      <c r="B164" s="286" t="s">
        <v>53</v>
      </c>
      <c r="C164" s="286"/>
      <c r="D164" s="286"/>
      <c r="E164" s="286"/>
      <c r="F164" s="286"/>
      <c r="G164" s="286"/>
      <c r="H164" s="286"/>
      <c r="I164" s="286"/>
      <c r="J164" s="286"/>
      <c r="K164" s="286"/>
      <c r="L164" s="286"/>
      <c r="M164" s="286"/>
      <c r="N164" s="286"/>
      <c r="O164" s="286"/>
      <c r="P164" s="286"/>
      <c r="Q164" s="286"/>
      <c r="R164" s="286"/>
      <c r="S164" s="286"/>
      <c r="T164" s="286"/>
      <c r="U164" s="286"/>
      <c r="V164" s="338">
        <v>152</v>
      </c>
      <c r="W164" s="289"/>
      <c r="X164" s="5"/>
    </row>
    <row r="165" spans="1:256" ht="15.75" x14ac:dyDescent="0.25">
      <c r="A165" s="285"/>
      <c r="B165" s="286" t="s">
        <v>54</v>
      </c>
      <c r="C165" s="286"/>
      <c r="D165" s="286"/>
      <c r="E165" s="286"/>
      <c r="F165" s="286"/>
      <c r="G165" s="286"/>
      <c r="H165" s="286"/>
      <c r="I165" s="286"/>
      <c r="J165" s="286"/>
      <c r="K165" s="286"/>
      <c r="L165" s="286"/>
      <c r="M165" s="286"/>
      <c r="N165" s="286"/>
      <c r="O165" s="286"/>
      <c r="P165" s="286"/>
      <c r="Q165" s="286"/>
      <c r="R165" s="286"/>
      <c r="S165" s="286"/>
      <c r="T165" s="286"/>
      <c r="U165" s="286"/>
      <c r="V165" s="338">
        <f>V164+V163</f>
        <v>152</v>
      </c>
      <c r="W165" s="289"/>
      <c r="X165" s="5"/>
    </row>
    <row r="166" spans="1:256" ht="15.75" x14ac:dyDescent="0.25">
      <c r="A166" s="285"/>
      <c r="B166" s="286" t="s">
        <v>303</v>
      </c>
      <c r="C166" s="286"/>
      <c r="D166" s="286"/>
      <c r="E166" s="286"/>
      <c r="F166" s="286"/>
      <c r="G166" s="286"/>
      <c r="H166" s="286"/>
      <c r="I166" s="286"/>
      <c r="J166" s="286"/>
      <c r="K166" s="286"/>
      <c r="L166" s="286"/>
      <c r="M166" s="286"/>
      <c r="N166" s="286"/>
      <c r="O166" s="286"/>
      <c r="P166" s="286"/>
      <c r="Q166" s="286"/>
      <c r="R166" s="286"/>
      <c r="S166" s="286"/>
      <c r="T166" s="286"/>
      <c r="U166" s="286"/>
      <c r="V166" s="338">
        <f>V114</f>
        <v>-152</v>
      </c>
      <c r="W166" s="289"/>
      <c r="X166" s="5"/>
    </row>
    <row r="167" spans="1:256" ht="15.75" x14ac:dyDescent="0.25">
      <c r="A167" s="285"/>
      <c r="B167" s="286" t="s">
        <v>55</v>
      </c>
      <c r="C167" s="286"/>
      <c r="D167" s="286"/>
      <c r="E167" s="286"/>
      <c r="F167" s="286"/>
      <c r="G167" s="286"/>
      <c r="H167" s="286"/>
      <c r="I167" s="286"/>
      <c r="J167" s="286"/>
      <c r="K167" s="286"/>
      <c r="L167" s="286"/>
      <c r="M167" s="286"/>
      <c r="N167" s="286"/>
      <c r="O167" s="286"/>
      <c r="P167" s="286"/>
      <c r="Q167" s="286"/>
      <c r="R167" s="286"/>
      <c r="S167" s="286"/>
      <c r="T167" s="286"/>
      <c r="U167" s="286"/>
      <c r="V167" s="338">
        <f>V165+V166</f>
        <v>0</v>
      </c>
      <c r="W167" s="289"/>
      <c r="X167" s="5"/>
    </row>
    <row r="168" spans="1:256" ht="15.75" x14ac:dyDescent="0.25">
      <c r="A168" s="285"/>
      <c r="B168" s="286" t="s">
        <v>274</v>
      </c>
      <c r="C168" s="286"/>
      <c r="D168" s="286"/>
      <c r="E168" s="286"/>
      <c r="F168" s="286"/>
      <c r="G168" s="286"/>
      <c r="H168" s="286"/>
      <c r="I168" s="286"/>
      <c r="J168" s="286"/>
      <c r="K168" s="286"/>
      <c r="L168" s="286"/>
      <c r="M168" s="286"/>
      <c r="N168" s="286"/>
      <c r="O168" s="286"/>
      <c r="P168" s="286"/>
      <c r="Q168" s="286"/>
      <c r="R168" s="286"/>
      <c r="S168" s="286"/>
      <c r="T168" s="286"/>
      <c r="U168" s="286"/>
      <c r="V168" s="338">
        <v>0</v>
      </c>
      <c r="W168" s="289"/>
      <c r="X168" s="5"/>
    </row>
    <row r="169" spans="1:256" ht="16.5" thickBot="1" x14ac:dyDescent="0.3">
      <c r="A169" s="181"/>
      <c r="B169" s="212"/>
      <c r="C169" s="212"/>
      <c r="D169" s="212"/>
      <c r="E169" s="212"/>
      <c r="F169" s="212"/>
      <c r="G169" s="212"/>
      <c r="H169" s="212"/>
      <c r="I169" s="212"/>
      <c r="J169" s="212"/>
      <c r="K169" s="212"/>
      <c r="L169" s="212"/>
      <c r="M169" s="212"/>
      <c r="N169" s="212"/>
      <c r="O169" s="212"/>
      <c r="P169" s="212"/>
      <c r="Q169" s="212"/>
      <c r="R169" s="212"/>
      <c r="S169" s="212"/>
      <c r="T169" s="212"/>
      <c r="U169" s="212"/>
      <c r="V169" s="344"/>
      <c r="W169" s="212"/>
      <c r="X169" s="5"/>
    </row>
    <row r="170" spans="1:256" ht="15.75" x14ac:dyDescent="0.25">
      <c r="A170" s="179"/>
      <c r="B170" s="180"/>
      <c r="C170" s="180"/>
      <c r="D170" s="180"/>
      <c r="E170" s="180"/>
      <c r="F170" s="180"/>
      <c r="G170" s="180"/>
      <c r="H170" s="180"/>
      <c r="I170" s="180"/>
      <c r="J170" s="180"/>
      <c r="K170" s="180"/>
      <c r="L170" s="180"/>
      <c r="M170" s="180"/>
      <c r="N170" s="180"/>
      <c r="O170" s="180"/>
      <c r="P170" s="180"/>
      <c r="Q170" s="180"/>
      <c r="R170" s="180"/>
      <c r="S170" s="180"/>
      <c r="T170" s="180"/>
      <c r="U170" s="180"/>
      <c r="V170" s="201"/>
      <c r="W170" s="180"/>
      <c r="X170" s="5"/>
    </row>
    <row r="171" spans="1:256" s="158" customFormat="1" ht="15.75" x14ac:dyDescent="0.25">
      <c r="A171" s="181"/>
      <c r="B171" s="210" t="s">
        <v>230</v>
      </c>
      <c r="C171" s="212"/>
      <c r="D171" s="212"/>
      <c r="E171" s="212"/>
      <c r="F171" s="212"/>
      <c r="G171" s="212"/>
      <c r="H171" s="212"/>
      <c r="I171" s="212"/>
      <c r="J171" s="212"/>
      <c r="K171" s="212"/>
      <c r="L171" s="212"/>
      <c r="M171" s="212"/>
      <c r="N171" s="212"/>
      <c r="O171" s="212"/>
      <c r="P171" s="212"/>
      <c r="Q171" s="212"/>
      <c r="R171" s="212"/>
      <c r="S171" s="212"/>
      <c r="T171" s="212"/>
      <c r="U171" s="212"/>
      <c r="V171" s="213"/>
      <c r="W171" s="212"/>
      <c r="X171" s="5"/>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s="160" customFormat="1" ht="15.75" x14ac:dyDescent="0.25">
      <c r="A172" s="285"/>
      <c r="B172" s="286" t="s">
        <v>231</v>
      </c>
      <c r="C172" s="286"/>
      <c r="D172" s="286"/>
      <c r="E172" s="286"/>
      <c r="F172" s="286"/>
      <c r="G172" s="286"/>
      <c r="H172" s="286"/>
      <c r="I172" s="286"/>
      <c r="J172" s="286"/>
      <c r="K172" s="286"/>
      <c r="L172" s="286"/>
      <c r="M172" s="286"/>
      <c r="N172" s="286"/>
      <c r="O172" s="286"/>
      <c r="P172" s="286"/>
      <c r="Q172" s="286"/>
      <c r="R172" s="286"/>
      <c r="S172" s="286"/>
      <c r="T172" s="286"/>
      <c r="U172" s="286"/>
      <c r="V172" s="338">
        <f>+'Aug 08'!V173</f>
        <v>0</v>
      </c>
      <c r="W172" s="289"/>
      <c r="X172" s="5"/>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s="160" customFormat="1" ht="15.75" x14ac:dyDescent="0.25">
      <c r="A173" s="285"/>
      <c r="B173" s="286" t="s">
        <v>234</v>
      </c>
      <c r="C173" s="286"/>
      <c r="D173" s="286"/>
      <c r="E173" s="286"/>
      <c r="F173" s="286"/>
      <c r="G173" s="286"/>
      <c r="H173" s="286"/>
      <c r="I173" s="286"/>
      <c r="J173" s="286"/>
      <c r="K173" s="286"/>
      <c r="L173" s="286"/>
      <c r="M173" s="286"/>
      <c r="N173" s="286"/>
      <c r="O173" s="286"/>
      <c r="P173" s="286"/>
      <c r="Q173" s="286"/>
      <c r="R173" s="286"/>
      <c r="S173" s="286"/>
      <c r="T173" s="286"/>
      <c r="U173" s="286"/>
      <c r="V173" s="338">
        <f>+V94</f>
        <v>0</v>
      </c>
      <c r="W173" s="289"/>
      <c r="X173" s="5"/>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s="160" customFormat="1" ht="15.75" x14ac:dyDescent="0.25">
      <c r="A174" s="285"/>
      <c r="B174" s="286" t="s">
        <v>232</v>
      </c>
      <c r="C174" s="286"/>
      <c r="D174" s="286"/>
      <c r="E174" s="286"/>
      <c r="F174" s="286"/>
      <c r="G174" s="286"/>
      <c r="H174" s="286"/>
      <c r="I174" s="286"/>
      <c r="J174" s="286"/>
      <c r="K174" s="286"/>
      <c r="L174" s="286"/>
      <c r="M174" s="286"/>
      <c r="N174" s="286"/>
      <c r="O174" s="286"/>
      <c r="P174" s="286"/>
      <c r="Q174" s="286"/>
      <c r="R174" s="286"/>
      <c r="S174" s="286"/>
      <c r="T174" s="286"/>
      <c r="U174" s="286"/>
      <c r="V174" s="338">
        <f>+V172-V173</f>
        <v>0</v>
      </c>
      <c r="W174" s="289"/>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6.5" thickBot="1" x14ac:dyDescent="0.3">
      <c r="A175" s="197"/>
      <c r="B175" s="212"/>
      <c r="C175" s="212"/>
      <c r="D175" s="212"/>
      <c r="E175" s="212"/>
      <c r="F175" s="212"/>
      <c r="G175" s="212"/>
      <c r="H175" s="212"/>
      <c r="I175" s="212"/>
      <c r="J175" s="212"/>
      <c r="K175" s="212"/>
      <c r="L175" s="212"/>
      <c r="M175" s="212"/>
      <c r="N175" s="212"/>
      <c r="O175" s="212"/>
      <c r="P175" s="212"/>
      <c r="Q175" s="212"/>
      <c r="R175" s="212"/>
      <c r="S175" s="212"/>
      <c r="T175" s="212"/>
      <c r="U175" s="212"/>
      <c r="V175" s="344"/>
      <c r="W175" s="212"/>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4" customFormat="1" ht="15.75" x14ac:dyDescent="0.25">
      <c r="A176" s="179"/>
      <c r="B176" s="180"/>
      <c r="C176" s="180"/>
      <c r="D176" s="180"/>
      <c r="E176" s="180"/>
      <c r="F176" s="180"/>
      <c r="G176" s="180"/>
      <c r="H176" s="180"/>
      <c r="I176" s="180"/>
      <c r="J176" s="180"/>
      <c r="K176" s="180"/>
      <c r="L176" s="180"/>
      <c r="M176" s="180"/>
      <c r="N176" s="180"/>
      <c r="O176" s="180"/>
      <c r="P176" s="180"/>
      <c r="Q176" s="180"/>
      <c r="R176" s="180"/>
      <c r="S176" s="180"/>
      <c r="T176" s="180"/>
      <c r="U176" s="180"/>
      <c r="V176" s="201"/>
      <c r="W176" s="180"/>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4" ht="15.75" x14ac:dyDescent="0.25">
      <c r="A177" s="181"/>
      <c r="B177" s="210" t="s">
        <v>56</v>
      </c>
      <c r="C177" s="183"/>
      <c r="D177" s="183"/>
      <c r="E177" s="183"/>
      <c r="F177" s="183"/>
      <c r="G177" s="183"/>
      <c r="H177" s="183"/>
      <c r="I177" s="183"/>
      <c r="J177" s="183"/>
      <c r="K177" s="183"/>
      <c r="L177" s="183"/>
      <c r="M177" s="183"/>
      <c r="N177" s="183"/>
      <c r="O177" s="183"/>
      <c r="P177" s="183"/>
      <c r="Q177" s="183"/>
      <c r="R177" s="183"/>
      <c r="S177" s="183"/>
      <c r="T177" s="183"/>
      <c r="U177" s="183"/>
      <c r="V177" s="202"/>
      <c r="W177" s="183"/>
      <c r="X177" s="5"/>
    </row>
    <row r="178" spans="1:24" ht="15.75" x14ac:dyDescent="0.25">
      <c r="A178" s="181"/>
      <c r="B178" s="191"/>
      <c r="C178" s="183"/>
      <c r="D178" s="183"/>
      <c r="E178" s="183"/>
      <c r="F178" s="183"/>
      <c r="G178" s="183"/>
      <c r="H178" s="183"/>
      <c r="I178" s="183"/>
      <c r="J178" s="183"/>
      <c r="K178" s="183"/>
      <c r="L178" s="183"/>
      <c r="M178" s="183"/>
      <c r="N178" s="183"/>
      <c r="O178" s="183"/>
      <c r="P178" s="183"/>
      <c r="Q178" s="183"/>
      <c r="R178" s="183"/>
      <c r="S178" s="183"/>
      <c r="T178" s="183"/>
      <c r="U178" s="183"/>
      <c r="V178" s="202"/>
      <c r="W178" s="183"/>
      <c r="X178" s="5"/>
    </row>
    <row r="179" spans="1:24" ht="15.75" x14ac:dyDescent="0.25">
      <c r="A179" s="285"/>
      <c r="B179" s="286" t="s">
        <v>57</v>
      </c>
      <c r="C179" s="286"/>
      <c r="D179" s="286"/>
      <c r="E179" s="286"/>
      <c r="F179" s="286"/>
      <c r="G179" s="286"/>
      <c r="H179" s="286"/>
      <c r="I179" s="286"/>
      <c r="J179" s="286"/>
      <c r="K179" s="286"/>
      <c r="L179" s="286"/>
      <c r="M179" s="286"/>
      <c r="N179" s="286"/>
      <c r="O179" s="286"/>
      <c r="P179" s="286"/>
      <c r="Q179" s="286"/>
      <c r="R179" s="286"/>
      <c r="S179" s="286"/>
      <c r="T179" s="286"/>
      <c r="U179" s="286"/>
      <c r="V179" s="338">
        <f>V71</f>
        <v>745360</v>
      </c>
      <c r="W179" s="289"/>
      <c r="X179" s="5"/>
    </row>
    <row r="180" spans="1:24" ht="15.75" x14ac:dyDescent="0.25">
      <c r="A180" s="285"/>
      <c r="B180" s="286" t="s">
        <v>58</v>
      </c>
      <c r="C180" s="286"/>
      <c r="D180" s="286"/>
      <c r="E180" s="286"/>
      <c r="F180" s="286"/>
      <c r="G180" s="286"/>
      <c r="H180" s="286"/>
      <c r="I180" s="286"/>
      <c r="J180" s="286"/>
      <c r="K180" s="286"/>
      <c r="L180" s="286"/>
      <c r="M180" s="286"/>
      <c r="N180" s="286"/>
      <c r="O180" s="286"/>
      <c r="P180" s="286"/>
      <c r="Q180" s="286"/>
      <c r="R180" s="286"/>
      <c r="S180" s="286"/>
      <c r="T180" s="286"/>
      <c r="U180" s="286"/>
      <c r="V180" s="338">
        <f>V84</f>
        <v>745360</v>
      </c>
      <c r="W180" s="289"/>
      <c r="X180" s="5"/>
    </row>
    <row r="181" spans="1:24" ht="16.5" thickBot="1" x14ac:dyDescent="0.3">
      <c r="A181" s="181"/>
      <c r="B181" s="212"/>
      <c r="C181" s="212"/>
      <c r="D181" s="212"/>
      <c r="E181" s="212"/>
      <c r="F181" s="212"/>
      <c r="G181" s="212"/>
      <c r="H181" s="212"/>
      <c r="I181" s="212"/>
      <c r="J181" s="212"/>
      <c r="K181" s="212"/>
      <c r="L181" s="212"/>
      <c r="M181" s="212"/>
      <c r="N181" s="212"/>
      <c r="O181" s="212"/>
      <c r="P181" s="212"/>
      <c r="Q181" s="212"/>
      <c r="R181" s="212"/>
      <c r="S181" s="212"/>
      <c r="T181" s="212"/>
      <c r="U181" s="212"/>
      <c r="V181" s="344"/>
      <c r="W181" s="212"/>
      <c r="X181" s="5"/>
    </row>
    <row r="182" spans="1:24" ht="15.75" x14ac:dyDescent="0.25">
      <c r="A182" s="179"/>
      <c r="B182" s="180"/>
      <c r="C182" s="180"/>
      <c r="D182" s="180"/>
      <c r="E182" s="180"/>
      <c r="F182" s="180"/>
      <c r="G182" s="180"/>
      <c r="H182" s="180"/>
      <c r="I182" s="180"/>
      <c r="J182" s="180"/>
      <c r="K182" s="180"/>
      <c r="L182" s="180"/>
      <c r="M182" s="180"/>
      <c r="N182" s="180"/>
      <c r="O182" s="180"/>
      <c r="P182" s="180"/>
      <c r="Q182" s="180"/>
      <c r="R182" s="180"/>
      <c r="S182" s="180"/>
      <c r="T182" s="180"/>
      <c r="U182" s="180"/>
      <c r="V182" s="201"/>
      <c r="W182" s="180"/>
      <c r="X182" s="5"/>
    </row>
    <row r="183" spans="1:24" ht="15.75" x14ac:dyDescent="0.25">
      <c r="A183" s="181"/>
      <c r="B183" s="210" t="s">
        <v>59</v>
      </c>
      <c r="C183" s="206"/>
      <c r="D183" s="206"/>
      <c r="E183" s="206"/>
      <c r="F183" s="206"/>
      <c r="G183" s="206"/>
      <c r="H183" s="214"/>
      <c r="I183" s="214"/>
      <c r="J183" s="214"/>
      <c r="K183" s="214"/>
      <c r="L183" s="214"/>
      <c r="M183" s="214"/>
      <c r="N183" s="214"/>
      <c r="O183" s="214"/>
      <c r="P183" s="214"/>
      <c r="Q183" s="214"/>
      <c r="R183" s="214"/>
      <c r="S183" s="214" t="s">
        <v>101</v>
      </c>
      <c r="T183" s="214" t="s">
        <v>176</v>
      </c>
      <c r="U183" s="185"/>
      <c r="V183" s="215" t="s">
        <v>114</v>
      </c>
      <c r="W183" s="216"/>
      <c r="X183" s="5"/>
    </row>
    <row r="184" spans="1:24" ht="15.75" x14ac:dyDescent="0.25">
      <c r="A184" s="285"/>
      <c r="B184" s="286" t="s">
        <v>60</v>
      </c>
      <c r="C184" s="286"/>
      <c r="D184" s="286"/>
      <c r="E184" s="286"/>
      <c r="F184" s="286"/>
      <c r="G184" s="286"/>
      <c r="H184" s="286"/>
      <c r="I184" s="286"/>
      <c r="J184" s="286"/>
      <c r="K184" s="286"/>
      <c r="L184" s="286"/>
      <c r="M184" s="286"/>
      <c r="N184" s="286"/>
      <c r="O184" s="286"/>
      <c r="P184" s="286"/>
      <c r="Q184" s="286"/>
      <c r="R184" s="286"/>
      <c r="S184" s="338">
        <f>+V34*0.16</f>
        <v>160181.28</v>
      </c>
      <c r="T184" s="325"/>
      <c r="U184" s="286"/>
      <c r="V184" s="338"/>
      <c r="W184" s="289"/>
      <c r="X184" s="5"/>
    </row>
    <row r="185" spans="1:24" ht="15.75" x14ac:dyDescent="0.25">
      <c r="A185" s="285"/>
      <c r="B185" s="286" t="s">
        <v>61</v>
      </c>
      <c r="C185" s="286"/>
      <c r="D185" s="286"/>
      <c r="E185" s="286"/>
      <c r="F185" s="286"/>
      <c r="G185" s="286"/>
      <c r="H185" s="286"/>
      <c r="I185" s="286"/>
      <c r="J185" s="286"/>
      <c r="K185" s="286"/>
      <c r="L185" s="286"/>
      <c r="M185" s="286"/>
      <c r="N185" s="286"/>
      <c r="O185" s="286"/>
      <c r="P185" s="286"/>
      <c r="Q185" s="286"/>
      <c r="R185" s="286"/>
      <c r="S185" s="338">
        <f>+'Feb 15'!S187</f>
        <v>11874</v>
      </c>
      <c r="T185" s="338">
        <f>+'Feb 15'!T187</f>
        <v>6095</v>
      </c>
      <c r="U185" s="286"/>
      <c r="V185" s="338">
        <f>S185+T185</f>
        <v>17969</v>
      </c>
      <c r="W185" s="289"/>
      <c r="X185" s="5"/>
    </row>
    <row r="186" spans="1:24" ht="15.75" x14ac:dyDescent="0.25">
      <c r="A186" s="285"/>
      <c r="B186" s="286" t="s">
        <v>62</v>
      </c>
      <c r="C186" s="286"/>
      <c r="D186" s="286"/>
      <c r="E186" s="286"/>
      <c r="F186" s="286"/>
      <c r="G186" s="286"/>
      <c r="H186" s="286"/>
      <c r="I186" s="286"/>
      <c r="J186" s="286"/>
      <c r="K186" s="286"/>
      <c r="L186" s="286"/>
      <c r="M186" s="286"/>
      <c r="N186" s="286"/>
      <c r="O186" s="286"/>
      <c r="P186" s="286"/>
      <c r="Q186" s="286"/>
      <c r="R186" s="286"/>
      <c r="S186" s="337">
        <f>243+55</f>
        <v>298</v>
      </c>
      <c r="T186" s="337">
        <v>0</v>
      </c>
      <c r="U186" s="286"/>
      <c r="V186" s="338">
        <f>S186+T186</f>
        <v>298</v>
      </c>
      <c r="W186" s="289"/>
      <c r="X186" s="5"/>
    </row>
    <row r="187" spans="1:24" ht="15.75" x14ac:dyDescent="0.25">
      <c r="A187" s="285"/>
      <c r="B187" s="286" t="s">
        <v>63</v>
      </c>
      <c r="C187" s="286"/>
      <c r="D187" s="286"/>
      <c r="E187" s="286"/>
      <c r="F187" s="286"/>
      <c r="G187" s="286"/>
      <c r="H187" s="286"/>
      <c r="I187" s="286"/>
      <c r="J187" s="286"/>
      <c r="K187" s="286"/>
      <c r="L187" s="286"/>
      <c r="M187" s="286"/>
      <c r="N187" s="286"/>
      <c r="O187" s="286"/>
      <c r="P187" s="286"/>
      <c r="Q187" s="286"/>
      <c r="R187" s="286"/>
      <c r="S187" s="338">
        <f>S185+S186</f>
        <v>12172</v>
      </c>
      <c r="T187" s="338">
        <f>T186+T185</f>
        <v>6095</v>
      </c>
      <c r="U187" s="286"/>
      <c r="V187" s="338">
        <f>S187+T187</f>
        <v>18267</v>
      </c>
      <c r="W187" s="289"/>
      <c r="X187" s="5"/>
    </row>
    <row r="188" spans="1:24" ht="15.75" x14ac:dyDescent="0.25">
      <c r="A188" s="285"/>
      <c r="B188" s="286" t="s">
        <v>64</v>
      </c>
      <c r="C188" s="286"/>
      <c r="D188" s="286"/>
      <c r="E188" s="286"/>
      <c r="F188" s="286"/>
      <c r="G188" s="286"/>
      <c r="H188" s="286"/>
      <c r="I188" s="286"/>
      <c r="J188" s="286"/>
      <c r="K188" s="286"/>
      <c r="L188" s="286"/>
      <c r="M188" s="286"/>
      <c r="N188" s="286"/>
      <c r="O188" s="286"/>
      <c r="P188" s="286"/>
      <c r="Q188" s="286"/>
      <c r="R188" s="286"/>
      <c r="S188" s="338">
        <f>S184-S187-T187</f>
        <v>141914.28</v>
      </c>
      <c r="T188" s="325"/>
      <c r="U188" s="286"/>
      <c r="V188" s="338"/>
      <c r="W188" s="289"/>
      <c r="X188" s="5"/>
    </row>
    <row r="189" spans="1:24" ht="16.5" thickBot="1" x14ac:dyDescent="0.3">
      <c r="A189" s="181"/>
      <c r="B189" s="212"/>
      <c r="C189" s="212"/>
      <c r="D189" s="212"/>
      <c r="E189" s="212"/>
      <c r="F189" s="212"/>
      <c r="G189" s="212"/>
      <c r="H189" s="212"/>
      <c r="I189" s="212"/>
      <c r="J189" s="212"/>
      <c r="K189" s="212"/>
      <c r="L189" s="212"/>
      <c r="M189" s="212"/>
      <c r="N189" s="212"/>
      <c r="O189" s="212"/>
      <c r="P189" s="212"/>
      <c r="Q189" s="212"/>
      <c r="R189" s="212"/>
      <c r="S189" s="212"/>
      <c r="T189" s="212"/>
      <c r="U189" s="212"/>
      <c r="V189" s="344"/>
      <c r="W189" s="212"/>
      <c r="X189" s="5"/>
    </row>
    <row r="190" spans="1:24" ht="15.75" x14ac:dyDescent="0.25">
      <c r="A190" s="179"/>
      <c r="B190" s="180"/>
      <c r="C190" s="180"/>
      <c r="D190" s="180"/>
      <c r="E190" s="180"/>
      <c r="F190" s="180"/>
      <c r="G190" s="180"/>
      <c r="H190" s="180"/>
      <c r="I190" s="180"/>
      <c r="J190" s="180"/>
      <c r="K190" s="180"/>
      <c r="L190" s="180"/>
      <c r="M190" s="180"/>
      <c r="N190" s="180"/>
      <c r="O190" s="180"/>
      <c r="P190" s="180"/>
      <c r="Q190" s="180"/>
      <c r="R190" s="180"/>
      <c r="S190" s="180"/>
      <c r="T190" s="180"/>
      <c r="U190" s="180"/>
      <c r="V190" s="201"/>
      <c r="W190" s="180"/>
      <c r="X190" s="5"/>
    </row>
    <row r="191" spans="1:24" ht="15.75" x14ac:dyDescent="0.25">
      <c r="A191" s="181"/>
      <c r="B191" s="210" t="s">
        <v>65</v>
      </c>
      <c r="C191" s="183"/>
      <c r="D191" s="183"/>
      <c r="E191" s="183"/>
      <c r="F191" s="183"/>
      <c r="G191" s="183"/>
      <c r="H191" s="183"/>
      <c r="I191" s="183"/>
      <c r="J191" s="183"/>
      <c r="K191" s="183"/>
      <c r="L191" s="183"/>
      <c r="M191" s="183"/>
      <c r="N191" s="183"/>
      <c r="O191" s="183"/>
      <c r="P191" s="183"/>
      <c r="Q191" s="183"/>
      <c r="R191" s="183"/>
      <c r="S191" s="183"/>
      <c r="T191" s="183"/>
      <c r="U191" s="183"/>
      <c r="V191" s="217"/>
      <c r="W191" s="183"/>
      <c r="X191" s="5"/>
    </row>
    <row r="192" spans="1:24" ht="15.75" x14ac:dyDescent="0.25">
      <c r="A192" s="285"/>
      <c r="B192" s="286" t="s">
        <v>66</v>
      </c>
      <c r="C192" s="286"/>
      <c r="D192" s="286"/>
      <c r="E192" s="286"/>
      <c r="F192" s="286"/>
      <c r="G192" s="286"/>
      <c r="H192" s="286"/>
      <c r="I192" s="286"/>
      <c r="J192" s="286"/>
      <c r="K192" s="286"/>
      <c r="L192" s="286"/>
      <c r="M192" s="286"/>
      <c r="N192" s="286"/>
      <c r="O192" s="286"/>
      <c r="P192" s="286"/>
      <c r="Q192" s="286"/>
      <c r="R192" s="286"/>
      <c r="S192" s="286"/>
      <c r="T192" s="286"/>
      <c r="U192" s="286"/>
      <c r="V192" s="343">
        <f>(V101+V103+V104+V105+V106)/-(V107+V108)</f>
        <v>3.8664987405541562</v>
      </c>
      <c r="W192" s="289" t="s">
        <v>115</v>
      </c>
      <c r="X192" s="5"/>
    </row>
    <row r="193" spans="1:24" ht="15.75" x14ac:dyDescent="0.25">
      <c r="A193" s="285"/>
      <c r="B193" s="286" t="s">
        <v>67</v>
      </c>
      <c r="C193" s="286"/>
      <c r="D193" s="286"/>
      <c r="E193" s="286"/>
      <c r="F193" s="286"/>
      <c r="G193" s="286"/>
      <c r="H193" s="286"/>
      <c r="I193" s="286"/>
      <c r="J193" s="286"/>
      <c r="K193" s="286"/>
      <c r="L193" s="286"/>
      <c r="M193" s="286"/>
      <c r="N193" s="286"/>
      <c r="O193" s="286"/>
      <c r="P193" s="286"/>
      <c r="Q193" s="286"/>
      <c r="R193" s="286"/>
      <c r="S193" s="286"/>
      <c r="T193" s="286"/>
      <c r="U193" s="286"/>
      <c r="V193" s="347">
        <v>2</v>
      </c>
      <c r="W193" s="289" t="s">
        <v>115</v>
      </c>
      <c r="X193" s="5"/>
    </row>
    <row r="194" spans="1:24" ht="15.75" x14ac:dyDescent="0.25">
      <c r="A194" s="285"/>
      <c r="B194" s="286" t="s">
        <v>68</v>
      </c>
      <c r="C194" s="286"/>
      <c r="D194" s="286"/>
      <c r="E194" s="286"/>
      <c r="F194" s="286"/>
      <c r="G194" s="286"/>
      <c r="H194" s="286"/>
      <c r="I194" s="286"/>
      <c r="J194" s="286"/>
      <c r="K194" s="286"/>
      <c r="L194" s="286"/>
      <c r="M194" s="286"/>
      <c r="N194" s="286"/>
      <c r="O194" s="286"/>
      <c r="P194" s="286"/>
      <c r="Q194" s="286"/>
      <c r="R194" s="286"/>
      <c r="S194" s="286"/>
      <c r="T194" s="286"/>
      <c r="U194" s="286"/>
      <c r="V194" s="343">
        <f>(V101+V103+V104+V105+V106+V107+V108)/-(V109+V110)</f>
        <v>15.732718894009217</v>
      </c>
      <c r="W194" s="289" t="s">
        <v>115</v>
      </c>
      <c r="X194" s="5"/>
    </row>
    <row r="195" spans="1:24" ht="15.75" x14ac:dyDescent="0.25">
      <c r="A195" s="285"/>
      <c r="B195" s="286" t="s">
        <v>69</v>
      </c>
      <c r="C195" s="286"/>
      <c r="D195" s="286"/>
      <c r="E195" s="286"/>
      <c r="F195" s="286"/>
      <c r="G195" s="286"/>
      <c r="H195" s="286"/>
      <c r="I195" s="286"/>
      <c r="J195" s="286"/>
      <c r="K195" s="286"/>
      <c r="L195" s="286"/>
      <c r="M195" s="286"/>
      <c r="N195" s="286"/>
      <c r="O195" s="286"/>
      <c r="P195" s="286"/>
      <c r="Q195" s="286"/>
      <c r="R195" s="286"/>
      <c r="S195" s="286"/>
      <c r="T195" s="286"/>
      <c r="U195" s="286"/>
      <c r="V195" s="347">
        <v>9.0500000000000007</v>
      </c>
      <c r="W195" s="289" t="s">
        <v>115</v>
      </c>
      <c r="X195" s="5"/>
    </row>
    <row r="196" spans="1:24" ht="15.75" x14ac:dyDescent="0.25">
      <c r="A196" s="285"/>
      <c r="B196" s="286" t="s">
        <v>198</v>
      </c>
      <c r="C196" s="286"/>
      <c r="D196" s="286"/>
      <c r="E196" s="286"/>
      <c r="F196" s="286"/>
      <c r="G196" s="286"/>
      <c r="H196" s="286"/>
      <c r="I196" s="286"/>
      <c r="J196" s="286"/>
      <c r="K196" s="286"/>
      <c r="L196" s="286"/>
      <c r="M196" s="286"/>
      <c r="N196" s="286"/>
      <c r="O196" s="286"/>
      <c r="P196" s="286"/>
      <c r="Q196" s="286"/>
      <c r="R196" s="286"/>
      <c r="S196" s="286"/>
      <c r="T196" s="286"/>
      <c r="U196" s="286"/>
      <c r="V196" s="343">
        <f>(V101+V103+V104+V105+V106+V107+V108+V109+V110)/-(V111)</f>
        <v>9.5432835820895523</v>
      </c>
      <c r="W196" s="289" t="s">
        <v>115</v>
      </c>
      <c r="X196" s="5"/>
    </row>
    <row r="197" spans="1:24" ht="15.75" x14ac:dyDescent="0.25">
      <c r="A197" s="285"/>
      <c r="B197" s="286" t="s">
        <v>199</v>
      </c>
      <c r="C197" s="286"/>
      <c r="D197" s="286"/>
      <c r="E197" s="286"/>
      <c r="F197" s="286"/>
      <c r="G197" s="286"/>
      <c r="H197" s="286"/>
      <c r="I197" s="286"/>
      <c r="J197" s="286"/>
      <c r="K197" s="286"/>
      <c r="L197" s="286"/>
      <c r="M197" s="286"/>
      <c r="N197" s="286"/>
      <c r="O197" s="286"/>
      <c r="P197" s="286"/>
      <c r="Q197" s="286"/>
      <c r="R197" s="286"/>
      <c r="S197" s="286"/>
      <c r="T197" s="286"/>
      <c r="U197" s="286"/>
      <c r="V197" s="347">
        <v>6.71</v>
      </c>
      <c r="W197" s="289" t="s">
        <v>115</v>
      </c>
      <c r="X197" s="5"/>
    </row>
    <row r="198" spans="1:24" ht="15.75" x14ac:dyDescent="0.25">
      <c r="A198" s="285"/>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9"/>
      <c r="X198" s="5"/>
    </row>
    <row r="199" spans="1:24" ht="15.75" x14ac:dyDescent="0.25">
      <c r="A199" s="181"/>
      <c r="B199" s="346"/>
      <c r="C199" s="346"/>
      <c r="D199" s="346"/>
      <c r="E199" s="346"/>
      <c r="F199" s="346"/>
      <c r="G199" s="346"/>
      <c r="H199" s="346"/>
      <c r="I199" s="346"/>
      <c r="J199" s="346"/>
      <c r="K199" s="346"/>
      <c r="L199" s="346"/>
      <c r="M199" s="346"/>
      <c r="N199" s="346"/>
      <c r="O199" s="346"/>
      <c r="P199" s="346"/>
      <c r="Q199" s="346"/>
      <c r="R199" s="346"/>
      <c r="S199" s="346"/>
      <c r="T199" s="346"/>
      <c r="U199" s="346"/>
      <c r="V199" s="346"/>
      <c r="W199" s="346"/>
      <c r="X199" s="5"/>
    </row>
    <row r="200" spans="1:24" ht="15.75" x14ac:dyDescent="0.25">
      <c r="A200" s="181"/>
      <c r="B200" s="255"/>
      <c r="C200" s="255"/>
      <c r="D200" s="255"/>
      <c r="E200" s="255"/>
      <c r="F200" s="255"/>
      <c r="G200" s="255"/>
      <c r="H200" s="255"/>
      <c r="I200" s="255"/>
      <c r="J200" s="255"/>
      <c r="K200" s="255"/>
      <c r="L200" s="255"/>
      <c r="M200" s="255"/>
      <c r="N200" s="255"/>
      <c r="O200" s="255"/>
      <c r="P200" s="255"/>
      <c r="Q200" s="255"/>
      <c r="R200" s="255"/>
      <c r="S200" s="255"/>
      <c r="T200" s="255"/>
      <c r="U200" s="255"/>
      <c r="V200" s="255"/>
      <c r="W200" s="255"/>
      <c r="X200" s="5"/>
    </row>
    <row r="201" spans="1:24" ht="19.5" thickBot="1" x14ac:dyDescent="0.35">
      <c r="A201" s="197"/>
      <c r="B201" s="270" t="str">
        <f>B135</f>
        <v>PM15 INVESTOR REPORT QUARTER ENDING MAY 2015</v>
      </c>
      <c r="C201" s="271"/>
      <c r="D201" s="271"/>
      <c r="E201" s="271"/>
      <c r="F201" s="271"/>
      <c r="G201" s="271"/>
      <c r="H201" s="271"/>
      <c r="I201" s="271"/>
      <c r="J201" s="271"/>
      <c r="K201" s="271"/>
      <c r="L201" s="271"/>
      <c r="M201" s="271"/>
      <c r="N201" s="271"/>
      <c r="O201" s="271"/>
      <c r="P201" s="271"/>
      <c r="Q201" s="271"/>
      <c r="R201" s="271"/>
      <c r="S201" s="271"/>
      <c r="T201" s="271"/>
      <c r="U201" s="271"/>
      <c r="V201" s="271"/>
      <c r="W201" s="272"/>
      <c r="X201" s="5"/>
    </row>
    <row r="202" spans="1:24" ht="15.75" x14ac:dyDescent="0.25">
      <c r="A202" s="236"/>
      <c r="B202" s="403" t="s">
        <v>70</v>
      </c>
      <c r="C202" s="404"/>
      <c r="D202" s="404"/>
      <c r="E202" s="404"/>
      <c r="F202" s="404"/>
      <c r="G202" s="405"/>
      <c r="H202" s="405"/>
      <c r="I202" s="405"/>
      <c r="J202" s="405"/>
      <c r="K202" s="405"/>
      <c r="L202" s="405"/>
      <c r="M202" s="405"/>
      <c r="N202" s="405"/>
      <c r="O202" s="405"/>
      <c r="P202" s="405"/>
      <c r="Q202" s="405"/>
      <c r="R202" s="405"/>
      <c r="S202" s="405"/>
      <c r="T202" s="405">
        <v>42153</v>
      </c>
      <c r="U202" s="238"/>
      <c r="V202" s="238"/>
      <c r="W202" s="238"/>
      <c r="X202" s="5"/>
    </row>
    <row r="203" spans="1:24" ht="15.75" x14ac:dyDescent="0.25">
      <c r="A203" s="218"/>
      <c r="B203" s="219"/>
      <c r="C203" s="220"/>
      <c r="D203" s="220"/>
      <c r="E203" s="220"/>
      <c r="F203" s="220"/>
      <c r="G203" s="221"/>
      <c r="H203" s="221"/>
      <c r="I203" s="221"/>
      <c r="J203" s="221"/>
      <c r="K203" s="221"/>
      <c r="L203" s="221"/>
      <c r="M203" s="221"/>
      <c r="N203" s="221"/>
      <c r="O203" s="221"/>
      <c r="P203" s="221"/>
      <c r="Q203" s="221"/>
      <c r="R203" s="221"/>
      <c r="S203" s="221"/>
      <c r="T203" s="221"/>
      <c r="U203" s="183"/>
      <c r="V203" s="183"/>
      <c r="W203" s="183"/>
      <c r="X203" s="5"/>
    </row>
    <row r="204" spans="1:24" ht="15.75" x14ac:dyDescent="0.25">
      <c r="A204" s="350"/>
      <c r="B204" s="286" t="s">
        <v>71</v>
      </c>
      <c r="C204" s="406"/>
      <c r="D204" s="406"/>
      <c r="E204" s="406"/>
      <c r="F204" s="406"/>
      <c r="G204" s="397"/>
      <c r="H204" s="397"/>
      <c r="I204" s="397"/>
      <c r="J204" s="397"/>
      <c r="K204" s="397"/>
      <c r="L204" s="397"/>
      <c r="M204" s="397"/>
      <c r="N204" s="397"/>
      <c r="O204" s="397"/>
      <c r="P204" s="397"/>
      <c r="Q204" s="397"/>
      <c r="R204" s="397"/>
      <c r="S204" s="397"/>
      <c r="T204" s="321">
        <v>5.3830000000000003E-2</v>
      </c>
      <c r="U204" s="286"/>
      <c r="V204" s="286"/>
      <c r="W204" s="289"/>
      <c r="X204" s="5"/>
    </row>
    <row r="205" spans="1:24" ht="15.75" x14ac:dyDescent="0.25">
      <c r="A205" s="350"/>
      <c r="B205" s="286" t="s">
        <v>151</v>
      </c>
      <c r="C205" s="406"/>
      <c r="D205" s="406"/>
      <c r="E205" s="406"/>
      <c r="F205" s="406"/>
      <c r="G205" s="397"/>
      <c r="H205" s="397"/>
      <c r="I205" s="397"/>
      <c r="J205" s="397"/>
      <c r="K205" s="397"/>
      <c r="L205" s="397"/>
      <c r="M205" s="397"/>
      <c r="N205" s="397"/>
      <c r="O205" s="397"/>
      <c r="P205" s="397"/>
      <c r="Q205" s="397"/>
      <c r="R205" s="397"/>
      <c r="S205" s="397"/>
      <c r="T205" s="321">
        <v>6.25E-2</v>
      </c>
      <c r="U205" s="286"/>
      <c r="V205" s="286"/>
      <c r="W205" s="289"/>
      <c r="X205" s="5"/>
    </row>
    <row r="206" spans="1:24" ht="15.75" x14ac:dyDescent="0.25">
      <c r="A206" s="350"/>
      <c r="B206" s="286" t="s">
        <v>72</v>
      </c>
      <c r="C206" s="406"/>
      <c r="D206" s="406"/>
      <c r="E206" s="406"/>
      <c r="F206" s="406"/>
      <c r="G206" s="397"/>
      <c r="H206" s="397"/>
      <c r="I206" s="397"/>
      <c r="J206" s="397"/>
      <c r="K206" s="397"/>
      <c r="L206" s="397"/>
      <c r="M206" s="397"/>
      <c r="N206" s="397"/>
      <c r="O206" s="397"/>
      <c r="P206" s="397"/>
      <c r="Q206" s="397"/>
      <c r="R206" s="397"/>
      <c r="S206" s="397"/>
      <c r="T206" s="321">
        <f>T204-T205</f>
        <v>-8.6699999999999972E-3</v>
      </c>
      <c r="U206" s="286"/>
      <c r="V206" s="286"/>
      <c r="W206" s="289"/>
      <c r="X206" s="5"/>
    </row>
    <row r="207" spans="1:24" ht="15.75" x14ac:dyDescent="0.25">
      <c r="A207" s="350"/>
      <c r="B207" s="286" t="s">
        <v>73</v>
      </c>
      <c r="C207" s="406"/>
      <c r="D207" s="406"/>
      <c r="E207" s="406"/>
      <c r="F207" s="406"/>
      <c r="G207" s="397"/>
      <c r="H207" s="397"/>
      <c r="I207" s="397"/>
      <c r="J207" s="397"/>
      <c r="K207" s="397"/>
      <c r="L207" s="397"/>
      <c r="M207" s="397"/>
      <c r="N207" s="397"/>
      <c r="O207" s="397"/>
      <c r="P207" s="397"/>
      <c r="Q207" s="397"/>
      <c r="R207" s="397"/>
      <c r="S207" s="397"/>
      <c r="T207" s="321">
        <v>2.5049999999999999E-2</v>
      </c>
      <c r="U207" s="286"/>
      <c r="V207" s="286"/>
      <c r="W207" s="289"/>
      <c r="X207" s="5"/>
    </row>
    <row r="208" spans="1:24" ht="15.75" x14ac:dyDescent="0.25">
      <c r="A208" s="350"/>
      <c r="B208" s="286" t="s">
        <v>218</v>
      </c>
      <c r="C208" s="406"/>
      <c r="D208" s="406"/>
      <c r="E208" s="406"/>
      <c r="F208" s="406"/>
      <c r="G208" s="397"/>
      <c r="H208" s="397"/>
      <c r="I208" s="397"/>
      <c r="J208" s="397"/>
      <c r="K208" s="397"/>
      <c r="L208" s="397"/>
      <c r="M208" s="397"/>
      <c r="N208" s="397"/>
      <c r="O208" s="397"/>
      <c r="P208" s="397"/>
      <c r="Q208" s="397"/>
      <c r="R208" s="397"/>
      <c r="S208" s="397"/>
      <c r="T208" s="321">
        <f>V43</f>
        <v>9.2843435926472494E-3</v>
      </c>
      <c r="U208" s="286"/>
      <c r="V208" s="286"/>
      <c r="W208" s="289"/>
      <c r="X208" s="5"/>
    </row>
    <row r="209" spans="1:24" ht="15.75" x14ac:dyDescent="0.25">
      <c r="A209" s="350"/>
      <c r="B209" s="286" t="s">
        <v>74</v>
      </c>
      <c r="C209" s="406"/>
      <c r="D209" s="406"/>
      <c r="E209" s="406"/>
      <c r="F209" s="406"/>
      <c r="G209" s="397"/>
      <c r="H209" s="397"/>
      <c r="I209" s="397"/>
      <c r="J209" s="397"/>
      <c r="K209" s="397"/>
      <c r="L209" s="397"/>
      <c r="M209" s="397"/>
      <c r="N209" s="397"/>
      <c r="O209" s="397"/>
      <c r="P209" s="397"/>
      <c r="Q209" s="397"/>
      <c r="R209" s="397"/>
      <c r="S209" s="397"/>
      <c r="T209" s="321">
        <f>T207-T208</f>
        <v>1.5765656407352752E-2</v>
      </c>
      <c r="U209" s="286"/>
      <c r="V209" s="286"/>
      <c r="W209" s="289"/>
      <c r="X209" s="5"/>
    </row>
    <row r="210" spans="1:24" ht="15.75" x14ac:dyDescent="0.25">
      <c r="A210" s="350"/>
      <c r="B210" s="286" t="s">
        <v>227</v>
      </c>
      <c r="C210" s="406"/>
      <c r="D210" s="406"/>
      <c r="E210" s="406"/>
      <c r="F210" s="406"/>
      <c r="G210" s="397"/>
      <c r="H210" s="397"/>
      <c r="I210" s="397"/>
      <c r="J210" s="397"/>
      <c r="K210" s="397"/>
      <c r="L210" s="397"/>
      <c r="M210" s="397"/>
      <c r="N210" s="397"/>
      <c r="O210" s="397"/>
      <c r="P210" s="397"/>
      <c r="Q210" s="397"/>
      <c r="R210" s="397"/>
      <c r="S210" s="397"/>
      <c r="T210" s="321">
        <f>V101/N71</f>
        <v>6.6938740829445608E-3</v>
      </c>
      <c r="U210" s="286"/>
      <c r="V210" s="286"/>
      <c r="W210" s="289"/>
      <c r="X210" s="5"/>
    </row>
    <row r="211" spans="1:24" ht="15.75" x14ac:dyDescent="0.25">
      <c r="A211" s="350"/>
      <c r="B211" s="286" t="s">
        <v>207</v>
      </c>
      <c r="C211" s="406"/>
      <c r="D211" s="406"/>
      <c r="E211" s="406"/>
      <c r="F211" s="406"/>
      <c r="G211" s="397"/>
      <c r="H211" s="397"/>
      <c r="I211" s="397"/>
      <c r="J211" s="397"/>
      <c r="K211" s="397"/>
      <c r="L211" s="397"/>
      <c r="M211" s="397"/>
      <c r="N211" s="397"/>
      <c r="O211" s="397"/>
      <c r="P211" s="397"/>
      <c r="Q211" s="397"/>
      <c r="R211" s="397"/>
      <c r="S211" s="397"/>
      <c r="T211" s="352">
        <v>51105</v>
      </c>
      <c r="U211" s="286"/>
      <c r="V211" s="286"/>
      <c r="W211" s="289"/>
      <c r="X211" s="5"/>
    </row>
    <row r="212" spans="1:24" ht="15.75" x14ac:dyDescent="0.25">
      <c r="A212" s="350"/>
      <c r="B212" s="286" t="s">
        <v>208</v>
      </c>
      <c r="C212" s="406"/>
      <c r="D212" s="406"/>
      <c r="E212" s="406"/>
      <c r="F212" s="406"/>
      <c r="G212" s="397"/>
      <c r="H212" s="397"/>
      <c r="I212" s="397"/>
      <c r="J212" s="397"/>
      <c r="K212" s="397"/>
      <c r="L212" s="397"/>
      <c r="M212" s="397"/>
      <c r="N212" s="397"/>
      <c r="O212" s="397"/>
      <c r="P212" s="397"/>
      <c r="Q212" s="397"/>
      <c r="R212" s="397"/>
      <c r="S212" s="397"/>
      <c r="T212" s="352">
        <v>51105</v>
      </c>
      <c r="U212" s="286"/>
      <c r="V212" s="286"/>
      <c r="W212" s="289"/>
      <c r="X212" s="5"/>
    </row>
    <row r="213" spans="1:24" ht="15.75" x14ac:dyDescent="0.25">
      <c r="A213" s="350"/>
      <c r="B213" s="286" t="s">
        <v>209</v>
      </c>
      <c r="C213" s="406"/>
      <c r="D213" s="406"/>
      <c r="E213" s="406"/>
      <c r="F213" s="406"/>
      <c r="G213" s="397"/>
      <c r="H213" s="397"/>
      <c r="I213" s="397"/>
      <c r="J213" s="397"/>
      <c r="K213" s="397"/>
      <c r="L213" s="397"/>
      <c r="M213" s="397"/>
      <c r="N213" s="397"/>
      <c r="O213" s="397"/>
      <c r="P213" s="397"/>
      <c r="Q213" s="397"/>
      <c r="R213" s="397"/>
      <c r="S213" s="397"/>
      <c r="T213" s="352">
        <v>51105</v>
      </c>
      <c r="U213" s="286"/>
      <c r="V213" s="286"/>
      <c r="W213" s="289"/>
      <c r="X213" s="5"/>
    </row>
    <row r="214" spans="1:24" ht="15.75" x14ac:dyDescent="0.25">
      <c r="A214" s="350"/>
      <c r="B214" s="286" t="s">
        <v>75</v>
      </c>
      <c r="C214" s="406"/>
      <c r="D214" s="406"/>
      <c r="E214" s="406"/>
      <c r="F214" s="406"/>
      <c r="G214" s="397"/>
      <c r="H214" s="397"/>
      <c r="I214" s="397"/>
      <c r="J214" s="397"/>
      <c r="K214" s="397"/>
      <c r="L214" s="397"/>
      <c r="M214" s="397"/>
      <c r="N214" s="397"/>
      <c r="O214" s="397"/>
      <c r="P214" s="397"/>
      <c r="Q214" s="397"/>
      <c r="R214" s="397"/>
      <c r="S214" s="397"/>
      <c r="T214" s="327">
        <v>21.06</v>
      </c>
      <c r="U214" s="286" t="s">
        <v>110</v>
      </c>
      <c r="V214" s="286"/>
      <c r="W214" s="289"/>
      <c r="X214" s="5"/>
    </row>
    <row r="215" spans="1:24" ht="15.75" x14ac:dyDescent="0.25">
      <c r="A215" s="350"/>
      <c r="B215" s="286" t="s">
        <v>76</v>
      </c>
      <c r="C215" s="406"/>
      <c r="D215" s="406"/>
      <c r="E215" s="406"/>
      <c r="F215" s="406"/>
      <c r="G215" s="397"/>
      <c r="H215" s="397"/>
      <c r="I215" s="397"/>
      <c r="J215" s="397"/>
      <c r="K215" s="397"/>
      <c r="L215" s="397"/>
      <c r="M215" s="397"/>
      <c r="N215" s="397"/>
      <c r="O215" s="397"/>
      <c r="P215" s="397"/>
      <c r="Q215" s="397"/>
      <c r="R215" s="397"/>
      <c r="S215" s="397"/>
      <c r="T215" s="327">
        <v>13.49</v>
      </c>
      <c r="U215" s="286" t="s">
        <v>110</v>
      </c>
      <c r="V215" s="286"/>
      <c r="W215" s="289"/>
      <c r="X215" s="5"/>
    </row>
    <row r="216" spans="1:24" ht="15.75" x14ac:dyDescent="0.25">
      <c r="A216" s="350"/>
      <c r="B216" s="286" t="s">
        <v>77</v>
      </c>
      <c r="C216" s="406"/>
      <c r="D216" s="406"/>
      <c r="E216" s="406"/>
      <c r="F216" s="406"/>
      <c r="G216" s="397"/>
      <c r="H216" s="397"/>
      <c r="I216" s="397"/>
      <c r="J216" s="397"/>
      <c r="K216" s="397"/>
      <c r="L216" s="397"/>
      <c r="M216" s="397"/>
      <c r="N216" s="397"/>
      <c r="O216" s="397"/>
      <c r="P216" s="397"/>
      <c r="Q216" s="397"/>
      <c r="R216" s="397"/>
      <c r="S216" s="397"/>
      <c r="T216" s="321">
        <f>+P68/N68</f>
        <v>1.0838712418318007E-2</v>
      </c>
      <c r="U216" s="286"/>
      <c r="V216" s="286"/>
      <c r="W216" s="289"/>
      <c r="X216" s="5"/>
    </row>
    <row r="217" spans="1:24" ht="15.75" x14ac:dyDescent="0.25">
      <c r="A217" s="350"/>
      <c r="B217" s="286" t="s">
        <v>78</v>
      </c>
      <c r="C217" s="406"/>
      <c r="D217" s="406"/>
      <c r="E217" s="406"/>
      <c r="F217" s="406"/>
      <c r="G217" s="397"/>
      <c r="H217" s="397"/>
      <c r="I217" s="397"/>
      <c r="J217" s="397"/>
      <c r="K217" s="397"/>
      <c r="L217" s="397"/>
      <c r="M217" s="397"/>
      <c r="N217" s="397"/>
      <c r="O217" s="397"/>
      <c r="P217" s="397"/>
      <c r="Q217" s="397"/>
      <c r="R217" s="397"/>
      <c r="S217" s="397"/>
      <c r="T217" s="321">
        <v>3.8600000000000002E-2</v>
      </c>
      <c r="U217" s="286"/>
      <c r="V217" s="286"/>
      <c r="W217" s="289"/>
      <c r="X217" s="5"/>
    </row>
    <row r="218" spans="1:24" ht="15.75" x14ac:dyDescent="0.25">
      <c r="A218" s="218"/>
      <c r="B218" s="348"/>
      <c r="C218" s="348"/>
      <c r="D218" s="348"/>
      <c r="E218" s="348"/>
      <c r="F218" s="348"/>
      <c r="G218" s="212"/>
      <c r="H218" s="212"/>
      <c r="I218" s="212"/>
      <c r="J218" s="212"/>
      <c r="K218" s="212"/>
      <c r="L218" s="212"/>
      <c r="M218" s="212"/>
      <c r="N218" s="212"/>
      <c r="O218" s="212"/>
      <c r="P218" s="212"/>
      <c r="Q218" s="212"/>
      <c r="R218" s="212"/>
      <c r="S218" s="212"/>
      <c r="T218" s="344"/>
      <c r="U218" s="212"/>
      <c r="V218" s="349"/>
      <c r="W218" s="212"/>
      <c r="X218" s="5"/>
    </row>
    <row r="219" spans="1:24" ht="15.75" x14ac:dyDescent="0.25">
      <c r="A219" s="242"/>
      <c r="B219" s="399" t="s">
        <v>79</v>
      </c>
      <c r="C219" s="400"/>
      <c r="D219" s="400"/>
      <c r="E219" s="400"/>
      <c r="F219" s="407"/>
      <c r="G219" s="400"/>
      <c r="H219" s="400"/>
      <c r="I219" s="400"/>
      <c r="J219" s="400"/>
      <c r="K219" s="400"/>
      <c r="L219" s="400"/>
      <c r="M219" s="400"/>
      <c r="N219" s="400"/>
      <c r="O219" s="400"/>
      <c r="P219" s="400"/>
      <c r="Q219" s="400"/>
      <c r="R219" s="400"/>
      <c r="S219" s="400" t="s">
        <v>102</v>
      </c>
      <c r="T219" s="407" t="s">
        <v>108</v>
      </c>
      <c r="U219" s="225"/>
      <c r="V219" s="225"/>
      <c r="W219" s="225"/>
      <c r="X219" s="5"/>
    </row>
    <row r="220" spans="1:24" ht="15.75" x14ac:dyDescent="0.25">
      <c r="A220" s="222"/>
      <c r="B220" s="250" t="s">
        <v>80</v>
      </c>
      <c r="C220" s="249"/>
      <c r="D220" s="249"/>
      <c r="E220" s="249"/>
      <c r="F220" s="250"/>
      <c r="G220" s="250"/>
      <c r="H220" s="268"/>
      <c r="I220" s="268"/>
      <c r="J220" s="268"/>
      <c r="K220" s="268"/>
      <c r="L220" s="268"/>
      <c r="M220" s="268"/>
      <c r="N220" s="268"/>
      <c r="O220" s="268"/>
      <c r="P220" s="268"/>
      <c r="Q220" s="268"/>
      <c r="R220" s="268"/>
      <c r="S220" s="268">
        <v>0</v>
      </c>
      <c r="T220" s="269">
        <v>0</v>
      </c>
      <c r="U220" s="250"/>
      <c r="V220" s="266"/>
      <c r="W220" s="223"/>
      <c r="X220" s="5"/>
    </row>
    <row r="221" spans="1:24" ht="15.75" x14ac:dyDescent="0.25">
      <c r="A221" s="358"/>
      <c r="B221" s="286" t="s">
        <v>145</v>
      </c>
      <c r="C221" s="337"/>
      <c r="D221" s="337"/>
      <c r="E221" s="337"/>
      <c r="F221" s="286"/>
      <c r="G221" s="286"/>
      <c r="H221" s="296"/>
      <c r="I221" s="296"/>
      <c r="J221" s="296"/>
      <c r="K221" s="296"/>
      <c r="L221" s="296"/>
      <c r="M221" s="296"/>
      <c r="N221" s="296"/>
      <c r="O221" s="296"/>
      <c r="P221" s="296"/>
      <c r="Q221" s="296"/>
      <c r="R221" s="296"/>
      <c r="S221" s="359">
        <f>+R273</f>
        <v>97</v>
      </c>
      <c r="T221" s="360">
        <f>+T273</f>
        <v>13621</v>
      </c>
      <c r="U221" s="286"/>
      <c r="V221" s="361"/>
      <c r="W221" s="362"/>
      <c r="X221" s="5"/>
    </row>
    <row r="222" spans="1:24" ht="15.75" x14ac:dyDescent="0.25">
      <c r="A222" s="358"/>
      <c r="B222" s="286" t="s">
        <v>81</v>
      </c>
      <c r="C222" s="337"/>
      <c r="D222" s="337"/>
      <c r="E222" s="337"/>
      <c r="F222" s="286"/>
      <c r="G222" s="286"/>
      <c r="H222" s="296"/>
      <c r="I222" s="296"/>
      <c r="J222" s="296"/>
      <c r="K222" s="296"/>
      <c r="L222" s="296"/>
      <c r="M222" s="296"/>
      <c r="N222" s="296"/>
      <c r="O222" s="296"/>
      <c r="P222" s="296"/>
      <c r="Q222" s="296"/>
      <c r="R222" s="296"/>
      <c r="S222" s="359">
        <f>+R285</f>
        <v>0</v>
      </c>
      <c r="T222" s="360">
        <f>+T285</f>
        <v>0</v>
      </c>
      <c r="U222" s="286"/>
      <c r="V222" s="361"/>
      <c r="W222" s="362"/>
      <c r="X222" s="5"/>
    </row>
    <row r="223" spans="1:24" ht="15.75" x14ac:dyDescent="0.25">
      <c r="A223" s="358"/>
      <c r="B223" s="313" t="s">
        <v>82</v>
      </c>
      <c r="C223" s="363"/>
      <c r="D223" s="363"/>
      <c r="E223" s="363"/>
      <c r="F223" s="314"/>
      <c r="G223" s="314"/>
      <c r="H223" s="314"/>
      <c r="I223" s="314"/>
      <c r="J223" s="314"/>
      <c r="K223" s="314"/>
      <c r="L223" s="314"/>
      <c r="M223" s="314"/>
      <c r="N223" s="314"/>
      <c r="O223" s="314"/>
      <c r="P223" s="314"/>
      <c r="Q223" s="314"/>
      <c r="R223" s="314"/>
      <c r="S223" s="286"/>
      <c r="T223" s="360">
        <v>0</v>
      </c>
      <c r="U223" s="314"/>
      <c r="V223" s="364"/>
      <c r="W223" s="362"/>
      <c r="X223" s="5"/>
    </row>
    <row r="224" spans="1:24" ht="15.75" x14ac:dyDescent="0.25">
      <c r="A224" s="358"/>
      <c r="B224" s="313" t="s">
        <v>228</v>
      </c>
      <c r="C224" s="363"/>
      <c r="D224" s="363"/>
      <c r="E224" s="363"/>
      <c r="F224" s="314"/>
      <c r="G224" s="314"/>
      <c r="H224" s="314"/>
      <c r="I224" s="314"/>
      <c r="J224" s="314"/>
      <c r="K224" s="314"/>
      <c r="L224" s="314"/>
      <c r="M224" s="314"/>
      <c r="N224" s="314"/>
      <c r="O224" s="314"/>
      <c r="P224" s="314"/>
      <c r="Q224" s="314"/>
      <c r="R224" s="314"/>
      <c r="S224" s="286"/>
      <c r="T224" s="360">
        <f>+N81</f>
        <v>0</v>
      </c>
      <c r="U224" s="314"/>
      <c r="V224" s="364"/>
      <c r="W224" s="362"/>
      <c r="X224" s="5"/>
    </row>
    <row r="225" spans="1:24" ht="15.75" x14ac:dyDescent="0.25">
      <c r="A225" s="365"/>
      <c r="B225" s="313" t="s">
        <v>83</v>
      </c>
      <c r="C225" s="366"/>
      <c r="D225" s="366"/>
      <c r="E225" s="366"/>
      <c r="F225" s="366"/>
      <c r="G225" s="314"/>
      <c r="H225" s="314"/>
      <c r="I225" s="314"/>
      <c r="J225" s="314"/>
      <c r="K225" s="314"/>
      <c r="L225" s="314"/>
      <c r="M225" s="314"/>
      <c r="N225" s="314"/>
      <c r="O225" s="314"/>
      <c r="P225" s="314"/>
      <c r="Q225" s="314"/>
      <c r="R225" s="314"/>
      <c r="S225" s="286"/>
      <c r="T225" s="360"/>
      <c r="U225" s="314"/>
      <c r="V225" s="364"/>
      <c r="W225" s="367"/>
      <c r="X225" s="5"/>
    </row>
    <row r="226" spans="1:24" ht="15.75" x14ac:dyDescent="0.25">
      <c r="A226" s="365"/>
      <c r="B226" s="286" t="s">
        <v>84</v>
      </c>
      <c r="C226" s="366"/>
      <c r="D226" s="366"/>
      <c r="E226" s="366"/>
      <c r="F226" s="366"/>
      <c r="G226" s="314"/>
      <c r="H226" s="314"/>
      <c r="I226" s="314"/>
      <c r="J226" s="314"/>
      <c r="K226" s="314"/>
      <c r="L226" s="314"/>
      <c r="M226" s="314"/>
      <c r="N226" s="314"/>
      <c r="O226" s="314"/>
      <c r="P226" s="314"/>
      <c r="Q226" s="314"/>
      <c r="R226" s="314"/>
      <c r="S226" s="296"/>
      <c r="T226" s="360">
        <f>V164</f>
        <v>152</v>
      </c>
      <c r="U226" s="314"/>
      <c r="V226" s="364"/>
      <c r="W226" s="367"/>
      <c r="X226" s="5"/>
    </row>
    <row r="227" spans="1:24" ht="15.75" x14ac:dyDescent="0.25">
      <c r="A227" s="358"/>
      <c r="B227" s="286" t="s">
        <v>85</v>
      </c>
      <c r="C227" s="363"/>
      <c r="D227" s="363"/>
      <c r="E227" s="363"/>
      <c r="F227" s="363"/>
      <c r="G227" s="314"/>
      <c r="H227" s="314"/>
      <c r="I227" s="314"/>
      <c r="J227" s="314"/>
      <c r="K227" s="314"/>
      <c r="L227" s="314"/>
      <c r="M227" s="314"/>
      <c r="N227" s="314"/>
      <c r="O227" s="314"/>
      <c r="P227" s="314"/>
      <c r="Q227" s="314"/>
      <c r="R227" s="314"/>
      <c r="S227" s="296"/>
      <c r="T227" s="360">
        <f>'Feb 15'!T227+T226</f>
        <v>7797</v>
      </c>
      <c r="U227" s="314"/>
      <c r="V227" s="364"/>
      <c r="W227" s="367"/>
      <c r="X227" s="5"/>
    </row>
    <row r="228" spans="1:24" ht="15.75" x14ac:dyDescent="0.25">
      <c r="A228" s="365"/>
      <c r="B228" s="313" t="s">
        <v>285</v>
      </c>
      <c r="C228" s="366"/>
      <c r="D228" s="366"/>
      <c r="E228" s="366"/>
      <c r="F228" s="366"/>
      <c r="G228" s="314"/>
      <c r="H228" s="314"/>
      <c r="I228" s="314"/>
      <c r="J228" s="314"/>
      <c r="K228" s="314"/>
      <c r="L228" s="314"/>
      <c r="M228" s="314"/>
      <c r="N228" s="314"/>
      <c r="O228" s="314"/>
      <c r="P228" s="314"/>
      <c r="Q228" s="314"/>
      <c r="R228" s="314"/>
      <c r="S228" s="296"/>
      <c r="T228" s="360"/>
      <c r="U228" s="314"/>
      <c r="V228" s="364"/>
      <c r="W228" s="367"/>
      <c r="X228" s="5"/>
    </row>
    <row r="229" spans="1:24" ht="15.75" x14ac:dyDescent="0.25">
      <c r="A229" s="365"/>
      <c r="B229" s="286" t="s">
        <v>282</v>
      </c>
      <c r="C229" s="366"/>
      <c r="D229" s="366"/>
      <c r="E229" s="366"/>
      <c r="F229" s="366"/>
      <c r="G229" s="314"/>
      <c r="H229" s="314"/>
      <c r="I229" s="314"/>
      <c r="J229" s="314"/>
      <c r="K229" s="314"/>
      <c r="L229" s="314"/>
      <c r="M229" s="314"/>
      <c r="N229" s="314"/>
      <c r="O229" s="314"/>
      <c r="P229" s="314"/>
      <c r="Q229" s="314"/>
      <c r="R229" s="314"/>
      <c r="S229" s="296">
        <v>0</v>
      </c>
      <c r="T229" s="360">
        <v>0</v>
      </c>
      <c r="U229" s="314"/>
      <c r="V229" s="364"/>
      <c r="W229" s="367"/>
      <c r="X229" s="5"/>
    </row>
    <row r="230" spans="1:24" ht="15.75" x14ac:dyDescent="0.25">
      <c r="A230" s="358"/>
      <c r="B230" s="286" t="s">
        <v>86</v>
      </c>
      <c r="C230" s="368"/>
      <c r="D230" s="368"/>
      <c r="E230" s="368"/>
      <c r="F230" s="369"/>
      <c r="G230" s="314"/>
      <c r="H230" s="314"/>
      <c r="I230" s="314"/>
      <c r="J230" s="314"/>
      <c r="K230" s="314"/>
      <c r="L230" s="314"/>
      <c r="M230" s="314"/>
      <c r="N230" s="314"/>
      <c r="O230" s="314"/>
      <c r="P230" s="314"/>
      <c r="Q230" s="314"/>
      <c r="R230" s="314"/>
      <c r="S230" s="286"/>
      <c r="T230" s="370">
        <v>0</v>
      </c>
      <c r="U230" s="314"/>
      <c r="V230" s="364"/>
      <c r="W230" s="367"/>
      <c r="X230" s="5"/>
    </row>
    <row r="231" spans="1:24" ht="15.75" x14ac:dyDescent="0.25">
      <c r="A231" s="358"/>
      <c r="B231" s="286" t="s">
        <v>87</v>
      </c>
      <c r="C231" s="368"/>
      <c r="D231" s="368"/>
      <c r="E231" s="368"/>
      <c r="F231" s="369"/>
      <c r="G231" s="314"/>
      <c r="H231" s="314"/>
      <c r="I231" s="314"/>
      <c r="J231" s="314"/>
      <c r="K231" s="314"/>
      <c r="L231" s="314"/>
      <c r="M231" s="314"/>
      <c r="N231" s="314"/>
      <c r="O231" s="314"/>
      <c r="P231" s="314"/>
      <c r="Q231" s="314"/>
      <c r="R231" s="314"/>
      <c r="S231" s="286"/>
      <c r="T231" s="370">
        <v>0</v>
      </c>
      <c r="U231" s="314"/>
      <c r="V231" s="364"/>
      <c r="W231" s="367"/>
      <c r="X231" s="5"/>
    </row>
    <row r="232" spans="1:24" ht="15.75" x14ac:dyDescent="0.25">
      <c r="A232" s="358"/>
      <c r="B232" s="313" t="s">
        <v>216</v>
      </c>
      <c r="C232" s="368"/>
      <c r="D232" s="368"/>
      <c r="E232" s="368"/>
      <c r="F232" s="369"/>
      <c r="G232" s="314"/>
      <c r="H232" s="314"/>
      <c r="I232" s="314"/>
      <c r="J232" s="314"/>
      <c r="K232" s="314"/>
      <c r="L232" s="314"/>
      <c r="M232" s="314"/>
      <c r="N232" s="314"/>
      <c r="O232" s="314"/>
      <c r="P232" s="314"/>
      <c r="Q232" s="314"/>
      <c r="R232" s="314"/>
      <c r="S232" s="286"/>
      <c r="T232" s="371"/>
      <c r="U232" s="314"/>
      <c r="V232" s="364"/>
      <c r="W232" s="367"/>
      <c r="X232" s="5"/>
    </row>
    <row r="233" spans="1:24" ht="15.75" x14ac:dyDescent="0.25">
      <c r="A233" s="358"/>
      <c r="B233" s="286" t="s">
        <v>282</v>
      </c>
      <c r="C233" s="368"/>
      <c r="D233" s="368"/>
      <c r="E233" s="368"/>
      <c r="F233" s="369"/>
      <c r="G233" s="314"/>
      <c r="H233" s="314"/>
      <c r="I233" s="314"/>
      <c r="J233" s="314"/>
      <c r="K233" s="314"/>
      <c r="L233" s="314"/>
      <c r="M233" s="314"/>
      <c r="N233" s="314"/>
      <c r="O233" s="314"/>
      <c r="P233" s="314"/>
      <c r="Q233" s="314"/>
      <c r="R233" s="314"/>
      <c r="S233" s="296">
        <v>3</v>
      </c>
      <c r="T233" s="360">
        <v>606</v>
      </c>
      <c r="U233" s="314"/>
      <c r="V233" s="364"/>
      <c r="W233" s="367"/>
      <c r="X233" s="5"/>
    </row>
    <row r="234" spans="1:24" ht="15.75" x14ac:dyDescent="0.25">
      <c r="A234" s="358"/>
      <c r="B234" s="286" t="s">
        <v>217</v>
      </c>
      <c r="C234" s="368"/>
      <c r="D234" s="368"/>
      <c r="E234" s="368"/>
      <c r="F234" s="369"/>
      <c r="G234" s="314"/>
      <c r="H234" s="314"/>
      <c r="I234" s="314"/>
      <c r="J234" s="314"/>
      <c r="K234" s="314"/>
      <c r="L234" s="314"/>
      <c r="M234" s="314"/>
      <c r="N234" s="314"/>
      <c r="O234" s="314"/>
      <c r="P234" s="314"/>
      <c r="Q234" s="314"/>
      <c r="R234" s="314"/>
      <c r="S234" s="286"/>
      <c r="T234" s="370">
        <v>0</v>
      </c>
      <c r="U234" s="314"/>
      <c r="V234" s="364"/>
      <c r="W234" s="367"/>
      <c r="X234" s="5"/>
    </row>
    <row r="235" spans="1:24" ht="15.75" x14ac:dyDescent="0.25">
      <c r="A235" s="358"/>
      <c r="B235" s="366"/>
      <c r="C235" s="368"/>
      <c r="D235" s="368"/>
      <c r="E235" s="368"/>
      <c r="F235" s="369"/>
      <c r="G235" s="314"/>
      <c r="H235" s="314"/>
      <c r="I235" s="314"/>
      <c r="J235" s="314"/>
      <c r="K235" s="314"/>
      <c r="L235" s="314"/>
      <c r="M235" s="314"/>
      <c r="N235" s="314"/>
      <c r="O235" s="314"/>
      <c r="P235" s="314"/>
      <c r="Q235" s="314"/>
      <c r="R235" s="314"/>
      <c r="S235" s="286"/>
      <c r="T235" s="371"/>
      <c r="U235" s="314"/>
      <c r="V235" s="364"/>
      <c r="W235" s="367"/>
      <c r="X235" s="5"/>
    </row>
    <row r="236" spans="1:24" ht="15.75" x14ac:dyDescent="0.25">
      <c r="A236" s="358"/>
      <c r="B236" s="366"/>
      <c r="C236" s="368"/>
      <c r="D236" s="368"/>
      <c r="E236" s="368"/>
      <c r="F236" s="369"/>
      <c r="G236" s="314"/>
      <c r="H236" s="314"/>
      <c r="I236" s="314"/>
      <c r="J236" s="314"/>
      <c r="K236" s="314"/>
      <c r="L236" s="314"/>
      <c r="M236" s="314"/>
      <c r="N236" s="314"/>
      <c r="O236" s="314"/>
      <c r="P236" s="314"/>
      <c r="Q236" s="314"/>
      <c r="R236" s="314"/>
      <c r="S236" s="314"/>
      <c r="T236" s="372"/>
      <c r="U236" s="314"/>
      <c r="V236" s="364"/>
      <c r="W236" s="367"/>
      <c r="X236" s="5"/>
    </row>
    <row r="237" spans="1:24" ht="18.75" x14ac:dyDescent="0.3">
      <c r="A237" s="358"/>
      <c r="B237" s="373" t="s">
        <v>168</v>
      </c>
      <c r="C237" s="368"/>
      <c r="D237" s="368"/>
      <c r="E237" s="368"/>
      <c r="F237" s="369"/>
      <c r="G237" s="314"/>
      <c r="H237" s="314"/>
      <c r="I237" s="314"/>
      <c r="J237" s="314"/>
      <c r="K237" s="314"/>
      <c r="L237" s="314"/>
      <c r="M237" s="314"/>
      <c r="N237" s="314"/>
      <c r="O237" s="314"/>
      <c r="P237" s="374" t="s">
        <v>167</v>
      </c>
      <c r="Q237" s="314"/>
      <c r="R237" s="314"/>
      <c r="S237" s="314"/>
      <c r="T237" s="372"/>
      <c r="U237" s="314"/>
      <c r="V237" s="364"/>
      <c r="W237" s="367"/>
      <c r="X237" s="5"/>
    </row>
    <row r="238" spans="1:24" ht="15.75" x14ac:dyDescent="0.25">
      <c r="A238" s="353"/>
      <c r="B238" s="348"/>
      <c r="C238" s="354"/>
      <c r="D238" s="354"/>
      <c r="E238" s="354"/>
      <c r="F238" s="355"/>
      <c r="G238" s="212"/>
      <c r="H238" s="212"/>
      <c r="I238" s="212"/>
      <c r="J238" s="212"/>
      <c r="K238" s="212"/>
      <c r="L238" s="212"/>
      <c r="M238" s="212"/>
      <c r="N238" s="212"/>
      <c r="O238" s="212"/>
      <c r="P238" s="212"/>
      <c r="Q238" s="212"/>
      <c r="R238" s="212"/>
      <c r="S238" s="212"/>
      <c r="T238" s="356"/>
      <c r="U238" s="212"/>
      <c r="V238" s="349"/>
      <c r="W238" s="357"/>
      <c r="X238" s="5"/>
    </row>
    <row r="239" spans="1:24" ht="15.75" x14ac:dyDescent="0.25">
      <c r="A239" s="224"/>
      <c r="B239" s="399" t="s">
        <v>297</v>
      </c>
      <c r="C239" s="400"/>
      <c r="D239" s="400"/>
      <c r="E239" s="400"/>
      <c r="F239" s="407"/>
      <c r="G239" s="400"/>
      <c r="H239" s="400"/>
      <c r="I239" s="400"/>
      <c r="J239" s="400"/>
      <c r="K239" s="400"/>
      <c r="L239" s="400"/>
      <c r="M239" s="400"/>
      <c r="N239" s="400"/>
      <c r="O239" s="400"/>
      <c r="P239" s="400"/>
      <c r="Q239" s="400"/>
      <c r="R239" s="407" t="s">
        <v>102</v>
      </c>
      <c r="S239" s="400" t="s">
        <v>103</v>
      </c>
      <c r="T239" s="407" t="s">
        <v>109</v>
      </c>
      <c r="U239" s="400" t="s">
        <v>103</v>
      </c>
      <c r="V239" s="225"/>
      <c r="W239" s="399"/>
      <c r="X239" s="5"/>
    </row>
    <row r="240" spans="1:24" ht="15.75" x14ac:dyDescent="0.25">
      <c r="A240" s="193"/>
      <c r="B240" s="249" t="s">
        <v>88</v>
      </c>
      <c r="C240" s="265"/>
      <c r="D240" s="265"/>
      <c r="E240" s="265"/>
      <c r="F240" s="250"/>
      <c r="G240" s="265"/>
      <c r="H240" s="265"/>
      <c r="I240" s="265"/>
      <c r="J240" s="265"/>
      <c r="K240" s="265"/>
      <c r="L240" s="265"/>
      <c r="M240" s="265"/>
      <c r="N240" s="265"/>
      <c r="O240" s="265"/>
      <c r="P240" s="265"/>
      <c r="Q240" s="265"/>
      <c r="R240" s="249">
        <f t="shared" ref="R240:R247" si="1">+R252+R264+R276</f>
        <v>5290</v>
      </c>
      <c r="S240" s="252">
        <f t="shared" ref="S240:S247" si="2">R240/$R$249</f>
        <v>0.99492194846718074</v>
      </c>
      <c r="T240" s="253">
        <f t="shared" ref="T240:T247" si="3">+T252+T264+T276</f>
        <v>741746</v>
      </c>
      <c r="U240" s="252">
        <f t="shared" ref="U240:U247" si="4">T240/$T$249</f>
        <v>0.99515133626703878</v>
      </c>
      <c r="V240" s="266"/>
      <c r="W240" s="408"/>
      <c r="X240" s="5"/>
    </row>
    <row r="241" spans="1:25" ht="15.75" x14ac:dyDescent="0.25">
      <c r="A241" s="285"/>
      <c r="B241" s="337" t="s">
        <v>89</v>
      </c>
      <c r="C241" s="378"/>
      <c r="D241" s="378"/>
      <c r="E241" s="378"/>
      <c r="F241" s="286"/>
      <c r="G241" s="379"/>
      <c r="H241" s="378"/>
      <c r="I241" s="378"/>
      <c r="J241" s="378"/>
      <c r="K241" s="378"/>
      <c r="L241" s="378"/>
      <c r="M241" s="378"/>
      <c r="N241" s="378"/>
      <c r="O241" s="378"/>
      <c r="P241" s="378"/>
      <c r="Q241" s="378"/>
      <c r="R241" s="337">
        <f t="shared" si="1"/>
        <v>12</v>
      </c>
      <c r="S241" s="379">
        <f t="shared" si="2"/>
        <v>2.2569117923641152E-3</v>
      </c>
      <c r="T241" s="338">
        <f t="shared" si="3"/>
        <v>1766</v>
      </c>
      <c r="U241" s="379">
        <f t="shared" si="4"/>
        <v>2.369324889986047E-3</v>
      </c>
      <c r="V241" s="361"/>
      <c r="W241" s="409"/>
      <c r="X241" s="5"/>
      <c r="Y241" s="109"/>
    </row>
    <row r="242" spans="1:25" ht="15.75" x14ac:dyDescent="0.25">
      <c r="A242" s="285"/>
      <c r="B242" s="337" t="s">
        <v>90</v>
      </c>
      <c r="C242" s="378"/>
      <c r="D242" s="378"/>
      <c r="E242" s="378"/>
      <c r="F242" s="286"/>
      <c r="G242" s="379"/>
      <c r="H242" s="378"/>
      <c r="I242" s="378"/>
      <c r="J242" s="378"/>
      <c r="K242" s="378"/>
      <c r="L242" s="378"/>
      <c r="M242" s="378"/>
      <c r="N242" s="378"/>
      <c r="O242" s="378"/>
      <c r="P242" s="378"/>
      <c r="Q242" s="378"/>
      <c r="R242" s="337">
        <f t="shared" si="1"/>
        <v>5</v>
      </c>
      <c r="S242" s="379">
        <f t="shared" si="2"/>
        <v>9.40379913485048E-4</v>
      </c>
      <c r="T242" s="338">
        <f t="shared" si="3"/>
        <v>441</v>
      </c>
      <c r="U242" s="379">
        <f t="shared" si="4"/>
        <v>5.9166040570999244E-4</v>
      </c>
      <c r="V242" s="361"/>
      <c r="W242" s="409"/>
      <c r="X242" s="5"/>
    </row>
    <row r="243" spans="1:25" ht="15.75" x14ac:dyDescent="0.25">
      <c r="A243" s="285"/>
      <c r="B243" s="337" t="s">
        <v>156</v>
      </c>
      <c r="C243" s="378"/>
      <c r="D243" s="378"/>
      <c r="E243" s="378"/>
      <c r="F243" s="286"/>
      <c r="G243" s="379"/>
      <c r="H243" s="378"/>
      <c r="I243" s="378"/>
      <c r="J243" s="378"/>
      <c r="K243" s="378"/>
      <c r="L243" s="378"/>
      <c r="M243" s="378"/>
      <c r="N243" s="378"/>
      <c r="O243" s="378"/>
      <c r="P243" s="378"/>
      <c r="Q243" s="378"/>
      <c r="R243" s="337">
        <f t="shared" si="1"/>
        <v>3</v>
      </c>
      <c r="S243" s="379">
        <f t="shared" si="2"/>
        <v>5.642279480910288E-4</v>
      </c>
      <c r="T243" s="338">
        <f t="shared" si="3"/>
        <v>240</v>
      </c>
      <c r="U243" s="379">
        <f t="shared" si="4"/>
        <v>3.2199205752924759E-4</v>
      </c>
      <c r="V243" s="361"/>
      <c r="W243" s="409"/>
      <c r="X243" s="5"/>
      <c r="Y243" s="109"/>
    </row>
    <row r="244" spans="1:25" ht="15.75" x14ac:dyDescent="0.25">
      <c r="A244" s="285"/>
      <c r="B244" s="337" t="s">
        <v>157</v>
      </c>
      <c r="C244" s="378"/>
      <c r="D244" s="378"/>
      <c r="E244" s="378"/>
      <c r="F244" s="286"/>
      <c r="G244" s="379"/>
      <c r="H244" s="378"/>
      <c r="I244" s="378"/>
      <c r="J244" s="378"/>
      <c r="K244" s="378"/>
      <c r="L244" s="378"/>
      <c r="M244" s="378"/>
      <c r="N244" s="378"/>
      <c r="O244" s="378"/>
      <c r="P244" s="378"/>
      <c r="Q244" s="378"/>
      <c r="R244" s="337">
        <f t="shared" si="1"/>
        <v>0</v>
      </c>
      <c r="S244" s="379">
        <f t="shared" si="2"/>
        <v>0</v>
      </c>
      <c r="T244" s="338">
        <f t="shared" si="3"/>
        <v>0</v>
      </c>
      <c r="U244" s="379">
        <f t="shared" si="4"/>
        <v>0</v>
      </c>
      <c r="V244" s="361"/>
      <c r="W244" s="409"/>
      <c r="X244" s="5"/>
    </row>
    <row r="245" spans="1:25" ht="15.75" x14ac:dyDescent="0.25">
      <c r="A245" s="285"/>
      <c r="B245" s="337" t="s">
        <v>158</v>
      </c>
      <c r="C245" s="378"/>
      <c r="D245" s="378"/>
      <c r="E245" s="378"/>
      <c r="F245" s="286"/>
      <c r="G245" s="379"/>
      <c r="H245" s="378"/>
      <c r="I245" s="378"/>
      <c r="J245" s="378"/>
      <c r="K245" s="378"/>
      <c r="L245" s="378"/>
      <c r="M245" s="378"/>
      <c r="N245" s="378"/>
      <c r="O245" s="378"/>
      <c r="P245" s="378"/>
      <c r="Q245" s="378"/>
      <c r="R245" s="337">
        <f t="shared" si="1"/>
        <v>0</v>
      </c>
      <c r="S245" s="379">
        <f t="shared" si="2"/>
        <v>0</v>
      </c>
      <c r="T245" s="338">
        <f t="shared" si="3"/>
        <v>0</v>
      </c>
      <c r="U245" s="379">
        <f t="shared" si="4"/>
        <v>0</v>
      </c>
      <c r="V245" s="361"/>
      <c r="W245" s="409"/>
      <c r="X245" s="5"/>
      <c r="Y245" s="109"/>
    </row>
    <row r="246" spans="1:25" ht="15.75" x14ac:dyDescent="0.25">
      <c r="A246" s="285"/>
      <c r="B246" s="337" t="s">
        <v>159</v>
      </c>
      <c r="C246" s="378"/>
      <c r="D246" s="378"/>
      <c r="E246" s="378"/>
      <c r="F246" s="286"/>
      <c r="G246" s="379"/>
      <c r="H246" s="378"/>
      <c r="I246" s="378"/>
      <c r="J246" s="378"/>
      <c r="K246" s="378"/>
      <c r="L246" s="378"/>
      <c r="M246" s="378"/>
      <c r="N246" s="378"/>
      <c r="O246" s="378"/>
      <c r="P246" s="378"/>
      <c r="Q246" s="378"/>
      <c r="R246" s="337">
        <f t="shared" si="1"/>
        <v>2</v>
      </c>
      <c r="S246" s="379">
        <f t="shared" si="2"/>
        <v>3.761519653940192E-4</v>
      </c>
      <c r="T246" s="338">
        <f t="shared" si="3"/>
        <v>279</v>
      </c>
      <c r="U246" s="379">
        <f t="shared" si="4"/>
        <v>3.7431576687775033E-4</v>
      </c>
      <c r="V246" s="361"/>
      <c r="W246" s="409"/>
      <c r="X246" s="5"/>
    </row>
    <row r="247" spans="1:25" ht="15.75" x14ac:dyDescent="0.25">
      <c r="A247" s="285"/>
      <c r="B247" s="337" t="s">
        <v>160</v>
      </c>
      <c r="C247" s="378"/>
      <c r="D247" s="378"/>
      <c r="E247" s="378"/>
      <c r="F247" s="286"/>
      <c r="G247" s="379"/>
      <c r="H247" s="378"/>
      <c r="I247" s="378"/>
      <c r="J247" s="378"/>
      <c r="K247" s="378"/>
      <c r="L247" s="378"/>
      <c r="M247" s="378"/>
      <c r="N247" s="378"/>
      <c r="O247" s="378"/>
      <c r="P247" s="378"/>
      <c r="Q247" s="378"/>
      <c r="R247" s="386">
        <f t="shared" si="1"/>
        <v>5</v>
      </c>
      <c r="S247" s="379">
        <f t="shared" si="2"/>
        <v>9.40379913485048E-4</v>
      </c>
      <c r="T247" s="383">
        <f t="shared" si="3"/>
        <v>888</v>
      </c>
      <c r="U247" s="387">
        <f t="shared" si="4"/>
        <v>1.1913706128582162E-3</v>
      </c>
      <c r="V247" s="361"/>
      <c r="W247" s="409"/>
      <c r="X247" s="5"/>
      <c r="Y247" s="109"/>
    </row>
    <row r="248" spans="1:25" ht="15.75" x14ac:dyDescent="0.25">
      <c r="A248" s="285"/>
      <c r="B248" s="337"/>
      <c r="C248" s="378"/>
      <c r="D248" s="378"/>
      <c r="E248" s="378"/>
      <c r="F248" s="286"/>
      <c r="G248" s="379"/>
      <c r="H248" s="378"/>
      <c r="I248" s="378"/>
      <c r="J248" s="378"/>
      <c r="K248" s="378"/>
      <c r="L248" s="378"/>
      <c r="M248" s="378"/>
      <c r="N248" s="378"/>
      <c r="O248" s="378"/>
      <c r="P248" s="378"/>
      <c r="Q248" s="378"/>
      <c r="R248" s="337"/>
      <c r="S248" s="379"/>
      <c r="T248" s="338"/>
      <c r="U248" s="379"/>
      <c r="V248" s="361"/>
      <c r="W248" s="409"/>
      <c r="X248" s="5"/>
    </row>
    <row r="249" spans="1:25" ht="15.75" x14ac:dyDescent="0.25">
      <c r="A249" s="285"/>
      <c r="B249" s="286"/>
      <c r="C249" s="286"/>
      <c r="D249" s="286"/>
      <c r="E249" s="286"/>
      <c r="F249" s="286"/>
      <c r="G249" s="286"/>
      <c r="H249" s="381"/>
      <c r="I249" s="381"/>
      <c r="J249" s="381"/>
      <c r="K249" s="381"/>
      <c r="L249" s="381"/>
      <c r="M249" s="381"/>
      <c r="N249" s="381"/>
      <c r="O249" s="381"/>
      <c r="P249" s="381"/>
      <c r="Q249" s="381"/>
      <c r="R249" s="337">
        <f>SUM(R240:R248)</f>
        <v>5317</v>
      </c>
      <c r="S249" s="379">
        <f>SUM(S240:S248)</f>
        <v>1</v>
      </c>
      <c r="T249" s="338">
        <f>SUM(T240:T248)</f>
        <v>745360</v>
      </c>
      <c r="U249" s="379">
        <f>SUM(U240:U248)</f>
        <v>1</v>
      </c>
      <c r="V249" s="286"/>
      <c r="W249" s="289"/>
      <c r="X249" s="5"/>
    </row>
    <row r="250" spans="1:25" ht="15.75" x14ac:dyDescent="0.25">
      <c r="A250" s="181"/>
      <c r="B250" s="212"/>
      <c r="C250" s="212"/>
      <c r="D250" s="212"/>
      <c r="E250" s="212"/>
      <c r="F250" s="212"/>
      <c r="G250" s="212"/>
      <c r="H250" s="375"/>
      <c r="I250" s="375"/>
      <c r="J250" s="375"/>
      <c r="K250" s="375"/>
      <c r="L250" s="375"/>
      <c r="M250" s="375"/>
      <c r="N250" s="375"/>
      <c r="O250" s="375"/>
      <c r="P250" s="375"/>
      <c r="Q250" s="375"/>
      <c r="R250" s="335"/>
      <c r="S250" s="376"/>
      <c r="T250" s="377"/>
      <c r="U250" s="376"/>
      <c r="V250" s="212"/>
      <c r="W250" s="212"/>
      <c r="X250" s="5"/>
    </row>
    <row r="251" spans="1:25" ht="15.75" x14ac:dyDescent="0.25">
      <c r="A251" s="224"/>
      <c r="B251" s="399" t="s">
        <v>162</v>
      </c>
      <c r="C251" s="400"/>
      <c r="D251" s="400"/>
      <c r="E251" s="400"/>
      <c r="F251" s="407"/>
      <c r="G251" s="400"/>
      <c r="H251" s="400"/>
      <c r="I251" s="400"/>
      <c r="J251" s="400"/>
      <c r="K251" s="400"/>
      <c r="L251" s="400"/>
      <c r="M251" s="400"/>
      <c r="N251" s="400"/>
      <c r="O251" s="400"/>
      <c r="P251" s="400"/>
      <c r="Q251" s="400"/>
      <c r="R251" s="407" t="s">
        <v>102</v>
      </c>
      <c r="S251" s="400" t="s">
        <v>103</v>
      </c>
      <c r="T251" s="407" t="s">
        <v>109</v>
      </c>
      <c r="U251" s="400" t="s">
        <v>103</v>
      </c>
      <c r="V251" s="225"/>
      <c r="W251" s="399"/>
      <c r="X251" s="5"/>
    </row>
    <row r="252" spans="1:25" ht="15.75" x14ac:dyDescent="0.25">
      <c r="A252" s="193"/>
      <c r="B252" s="249" t="s">
        <v>88</v>
      </c>
      <c r="C252" s="265"/>
      <c r="D252" s="265"/>
      <c r="E252" s="265"/>
      <c r="F252" s="250"/>
      <c r="G252" s="265"/>
      <c r="H252" s="265"/>
      <c r="I252" s="265"/>
      <c r="J252" s="265"/>
      <c r="K252" s="265"/>
      <c r="L252" s="265"/>
      <c r="M252" s="265"/>
      <c r="N252" s="265"/>
      <c r="O252" s="265"/>
      <c r="P252" s="265"/>
      <c r="Q252" s="265"/>
      <c r="R252" s="249">
        <v>5211</v>
      </c>
      <c r="S252" s="252">
        <f t="shared" ref="S252:S259" si="5">R252/$R$261</f>
        <v>0.99827586206896557</v>
      </c>
      <c r="T252" s="253">
        <v>730223</v>
      </c>
      <c r="U252" s="252">
        <f t="shared" ref="U252:U259" si="6">T252/$T$261</f>
        <v>0.9979282230412756</v>
      </c>
      <c r="V252" s="266"/>
      <c r="W252" s="408"/>
      <c r="X252" s="5"/>
    </row>
    <row r="253" spans="1:25" ht="15.75" x14ac:dyDescent="0.25">
      <c r="A253" s="285"/>
      <c r="B253" s="337" t="s">
        <v>89</v>
      </c>
      <c r="C253" s="378"/>
      <c r="D253" s="378"/>
      <c r="E253" s="378"/>
      <c r="F253" s="286"/>
      <c r="G253" s="379"/>
      <c r="H253" s="378"/>
      <c r="I253" s="378"/>
      <c r="J253" s="378"/>
      <c r="K253" s="378"/>
      <c r="L253" s="378"/>
      <c r="M253" s="378"/>
      <c r="N253" s="378"/>
      <c r="O253" s="378"/>
      <c r="P253" s="378"/>
      <c r="Q253" s="378"/>
      <c r="R253" s="337">
        <v>7</v>
      </c>
      <c r="S253" s="379">
        <f t="shared" si="5"/>
        <v>1.3409961685823754E-3</v>
      </c>
      <c r="T253" s="338">
        <v>1084</v>
      </c>
      <c r="U253" s="379">
        <f t="shared" si="6"/>
        <v>1.4814025219374667E-3</v>
      </c>
      <c r="V253" s="361"/>
      <c r="W253" s="409"/>
      <c r="X253" s="5"/>
      <c r="Y253" s="109"/>
    </row>
    <row r="254" spans="1:25" ht="15.75" x14ac:dyDescent="0.25">
      <c r="A254" s="285"/>
      <c r="B254" s="337" t="s">
        <v>90</v>
      </c>
      <c r="C254" s="378"/>
      <c r="D254" s="378"/>
      <c r="E254" s="378"/>
      <c r="F254" s="286"/>
      <c r="G254" s="379"/>
      <c r="H254" s="378"/>
      <c r="I254" s="378"/>
      <c r="J254" s="378"/>
      <c r="K254" s="378"/>
      <c r="L254" s="378"/>
      <c r="M254" s="378"/>
      <c r="N254" s="378"/>
      <c r="O254" s="378"/>
      <c r="P254" s="378"/>
      <c r="Q254" s="378"/>
      <c r="R254" s="337">
        <v>0</v>
      </c>
      <c r="S254" s="379">
        <f t="shared" si="5"/>
        <v>0</v>
      </c>
      <c r="T254" s="338">
        <v>0</v>
      </c>
      <c r="U254" s="379">
        <f t="shared" si="6"/>
        <v>0</v>
      </c>
      <c r="V254" s="361"/>
      <c r="W254" s="409"/>
      <c r="X254" s="5"/>
    </row>
    <row r="255" spans="1:25" ht="15.75" x14ac:dyDescent="0.25">
      <c r="A255" s="285"/>
      <c r="B255" s="337" t="s">
        <v>156</v>
      </c>
      <c r="C255" s="378"/>
      <c r="D255" s="378"/>
      <c r="E255" s="378"/>
      <c r="F255" s="286"/>
      <c r="G255" s="379"/>
      <c r="H255" s="378"/>
      <c r="I255" s="378"/>
      <c r="J255" s="378"/>
      <c r="K255" s="378"/>
      <c r="L255" s="378"/>
      <c r="M255" s="378"/>
      <c r="N255" s="378"/>
      <c r="O255" s="378"/>
      <c r="P255" s="378"/>
      <c r="Q255" s="378"/>
      <c r="R255" s="337">
        <v>0</v>
      </c>
      <c r="S255" s="379">
        <f t="shared" si="5"/>
        <v>0</v>
      </c>
      <c r="T255" s="338">
        <v>0</v>
      </c>
      <c r="U255" s="379">
        <f t="shared" si="6"/>
        <v>0</v>
      </c>
      <c r="V255" s="361"/>
      <c r="W255" s="409"/>
      <c r="X255" s="5"/>
      <c r="Y255" s="109"/>
    </row>
    <row r="256" spans="1:25" ht="15.75" x14ac:dyDescent="0.25">
      <c r="A256" s="285"/>
      <c r="B256" s="337" t="s">
        <v>157</v>
      </c>
      <c r="C256" s="378"/>
      <c r="D256" s="378"/>
      <c r="E256" s="378"/>
      <c r="F256" s="286"/>
      <c r="G256" s="379"/>
      <c r="H256" s="378"/>
      <c r="I256" s="378"/>
      <c r="J256" s="378"/>
      <c r="K256" s="378"/>
      <c r="L256" s="378"/>
      <c r="M256" s="378"/>
      <c r="N256" s="378"/>
      <c r="O256" s="378"/>
      <c r="P256" s="378"/>
      <c r="Q256" s="378"/>
      <c r="R256" s="337">
        <v>0</v>
      </c>
      <c r="S256" s="379">
        <f t="shared" si="5"/>
        <v>0</v>
      </c>
      <c r="T256" s="338">
        <v>0</v>
      </c>
      <c r="U256" s="379">
        <f t="shared" si="6"/>
        <v>0</v>
      </c>
      <c r="V256" s="361"/>
      <c r="W256" s="409"/>
      <c r="X256" s="5"/>
    </row>
    <row r="257" spans="1:25" ht="15.75" x14ac:dyDescent="0.25">
      <c r="A257" s="285"/>
      <c r="B257" s="337" t="s">
        <v>158</v>
      </c>
      <c r="C257" s="378"/>
      <c r="D257" s="378"/>
      <c r="E257" s="378"/>
      <c r="F257" s="286"/>
      <c r="G257" s="379"/>
      <c r="H257" s="378"/>
      <c r="I257" s="378"/>
      <c r="J257" s="378"/>
      <c r="K257" s="378"/>
      <c r="L257" s="378"/>
      <c r="M257" s="378"/>
      <c r="N257" s="378"/>
      <c r="O257" s="378"/>
      <c r="P257" s="378"/>
      <c r="Q257" s="378"/>
      <c r="R257" s="337">
        <v>0</v>
      </c>
      <c r="S257" s="379">
        <f t="shared" si="5"/>
        <v>0</v>
      </c>
      <c r="T257" s="338">
        <v>0</v>
      </c>
      <c r="U257" s="379">
        <f t="shared" si="6"/>
        <v>0</v>
      </c>
      <c r="V257" s="361"/>
      <c r="W257" s="409"/>
      <c r="X257" s="5"/>
      <c r="Y257" s="109"/>
    </row>
    <row r="258" spans="1:25" ht="15.75" x14ac:dyDescent="0.25">
      <c r="A258" s="285"/>
      <c r="B258" s="337" t="s">
        <v>159</v>
      </c>
      <c r="C258" s="378"/>
      <c r="D258" s="378"/>
      <c r="E258" s="378"/>
      <c r="F258" s="286"/>
      <c r="G258" s="379"/>
      <c r="H258" s="378"/>
      <c r="I258" s="378"/>
      <c r="J258" s="378"/>
      <c r="K258" s="378"/>
      <c r="L258" s="378"/>
      <c r="M258" s="378"/>
      <c r="N258" s="378"/>
      <c r="O258" s="378"/>
      <c r="P258" s="378"/>
      <c r="Q258" s="378"/>
      <c r="R258" s="337">
        <v>1</v>
      </c>
      <c r="S258" s="379">
        <f t="shared" si="5"/>
        <v>1.9157088122605365E-4</v>
      </c>
      <c r="T258" s="338">
        <v>102</v>
      </c>
      <c r="U258" s="379">
        <f t="shared" si="6"/>
        <v>1.3939396424134836E-4</v>
      </c>
      <c r="V258" s="361"/>
      <c r="W258" s="409"/>
      <c r="X258" s="5"/>
    </row>
    <row r="259" spans="1:25" ht="15.75" x14ac:dyDescent="0.25">
      <c r="A259" s="285"/>
      <c r="B259" s="337" t="s">
        <v>160</v>
      </c>
      <c r="C259" s="378"/>
      <c r="D259" s="378"/>
      <c r="E259" s="378"/>
      <c r="F259" s="286"/>
      <c r="G259" s="379"/>
      <c r="H259" s="378"/>
      <c r="I259" s="378"/>
      <c r="J259" s="378"/>
      <c r="K259" s="378"/>
      <c r="L259" s="378"/>
      <c r="M259" s="378"/>
      <c r="N259" s="378"/>
      <c r="O259" s="378"/>
      <c r="P259" s="378"/>
      <c r="Q259" s="378"/>
      <c r="R259" s="337">
        <v>1</v>
      </c>
      <c r="S259" s="379">
        <f t="shared" si="5"/>
        <v>1.9157088122605365E-4</v>
      </c>
      <c r="T259" s="338">
        <v>330</v>
      </c>
      <c r="U259" s="379">
        <f t="shared" si="6"/>
        <v>4.509804725455388E-4</v>
      </c>
      <c r="V259" s="361"/>
      <c r="W259" s="409"/>
      <c r="X259" s="5"/>
      <c r="Y259" s="109"/>
    </row>
    <row r="260" spans="1:25" ht="15.75" x14ac:dyDescent="0.25">
      <c r="A260" s="285"/>
      <c r="B260" s="337"/>
      <c r="C260" s="378"/>
      <c r="D260" s="378"/>
      <c r="E260" s="378"/>
      <c r="F260" s="286"/>
      <c r="G260" s="379"/>
      <c r="H260" s="378"/>
      <c r="I260" s="378"/>
      <c r="J260" s="378"/>
      <c r="K260" s="378"/>
      <c r="L260" s="378"/>
      <c r="M260" s="378"/>
      <c r="N260" s="378"/>
      <c r="O260" s="378"/>
      <c r="P260" s="378"/>
      <c r="Q260" s="378"/>
      <c r="R260" s="337"/>
      <c r="S260" s="379"/>
      <c r="T260" s="338"/>
      <c r="U260" s="379"/>
      <c r="V260" s="361"/>
      <c r="W260" s="409"/>
      <c r="X260" s="5"/>
    </row>
    <row r="261" spans="1:25" ht="15.75" x14ac:dyDescent="0.25">
      <c r="A261" s="285"/>
      <c r="B261" s="286"/>
      <c r="C261" s="286"/>
      <c r="D261" s="286"/>
      <c r="E261" s="286"/>
      <c r="F261" s="286"/>
      <c r="G261" s="286"/>
      <c r="H261" s="381"/>
      <c r="I261" s="381"/>
      <c r="J261" s="381"/>
      <c r="K261" s="381"/>
      <c r="L261" s="381"/>
      <c r="M261" s="381"/>
      <c r="N261" s="381"/>
      <c r="O261" s="381"/>
      <c r="P261" s="381"/>
      <c r="Q261" s="381"/>
      <c r="R261" s="337">
        <f>SUM(R252:R260)</f>
        <v>5220</v>
      </c>
      <c r="S261" s="379">
        <f>SUM(S252:S260)</f>
        <v>1</v>
      </c>
      <c r="T261" s="338">
        <f>SUM(T252:T260)</f>
        <v>731739</v>
      </c>
      <c r="U261" s="379">
        <f>SUM(U252:U260)</f>
        <v>1</v>
      </c>
      <c r="V261" s="286"/>
      <c r="W261" s="289"/>
      <c r="X261" s="5"/>
    </row>
    <row r="262" spans="1:25" ht="15.75" x14ac:dyDescent="0.25">
      <c r="A262" s="181"/>
      <c r="B262" s="212"/>
      <c r="C262" s="212"/>
      <c r="D262" s="212"/>
      <c r="E262" s="212"/>
      <c r="F262" s="212"/>
      <c r="G262" s="212"/>
      <c r="H262" s="375"/>
      <c r="I262" s="375"/>
      <c r="J262" s="375"/>
      <c r="K262" s="375"/>
      <c r="L262" s="375"/>
      <c r="M262" s="375"/>
      <c r="N262" s="375"/>
      <c r="O262" s="375"/>
      <c r="P262" s="375"/>
      <c r="Q262" s="375"/>
      <c r="R262" s="335"/>
      <c r="S262" s="376"/>
      <c r="T262" s="377"/>
      <c r="U262" s="376"/>
      <c r="V262" s="212"/>
      <c r="W262" s="212"/>
      <c r="X262" s="5"/>
    </row>
    <row r="263" spans="1:25" ht="15.75" x14ac:dyDescent="0.25">
      <c r="A263" s="244"/>
      <c r="B263" s="399" t="s">
        <v>236</v>
      </c>
      <c r="C263" s="400"/>
      <c r="D263" s="400"/>
      <c r="E263" s="400"/>
      <c r="F263" s="407"/>
      <c r="G263" s="400"/>
      <c r="H263" s="400"/>
      <c r="I263" s="400"/>
      <c r="J263" s="400"/>
      <c r="K263" s="400"/>
      <c r="L263" s="400"/>
      <c r="M263" s="400"/>
      <c r="N263" s="400"/>
      <c r="O263" s="400"/>
      <c r="P263" s="400"/>
      <c r="Q263" s="400"/>
      <c r="R263" s="407" t="s">
        <v>102</v>
      </c>
      <c r="S263" s="400" t="s">
        <v>103</v>
      </c>
      <c r="T263" s="407" t="s">
        <v>109</v>
      </c>
      <c r="U263" s="400" t="s">
        <v>103</v>
      </c>
      <c r="V263" s="245"/>
      <c r="W263" s="246"/>
      <c r="X263" s="5"/>
    </row>
    <row r="264" spans="1:25" ht="15.75" x14ac:dyDescent="0.25">
      <c r="A264" s="193"/>
      <c r="B264" s="249" t="s">
        <v>88</v>
      </c>
      <c r="C264" s="265"/>
      <c r="D264" s="265"/>
      <c r="E264" s="265"/>
      <c r="F264" s="250"/>
      <c r="G264" s="265"/>
      <c r="H264" s="265"/>
      <c r="I264" s="265"/>
      <c r="J264" s="265"/>
      <c r="K264" s="265"/>
      <c r="L264" s="265"/>
      <c r="M264" s="265"/>
      <c r="N264" s="265"/>
      <c r="O264" s="265"/>
      <c r="P264" s="265"/>
      <c r="Q264" s="265"/>
      <c r="R264" s="249">
        <v>79</v>
      </c>
      <c r="S264" s="252">
        <f t="shared" ref="S264:S270" si="7">R264/$R$273</f>
        <v>0.81443298969072164</v>
      </c>
      <c r="T264" s="253">
        <v>11523</v>
      </c>
      <c r="U264" s="252">
        <f t="shared" ref="U264:U271" si="8">T264/$T$273</f>
        <v>0.84597312972615812</v>
      </c>
      <c r="V264" s="250"/>
      <c r="W264" s="250"/>
      <c r="X264" s="5"/>
    </row>
    <row r="265" spans="1:25" ht="15.75" x14ac:dyDescent="0.25">
      <c r="A265" s="285"/>
      <c r="B265" s="337" t="s">
        <v>89</v>
      </c>
      <c r="C265" s="378"/>
      <c r="D265" s="378"/>
      <c r="E265" s="378"/>
      <c r="F265" s="286"/>
      <c r="G265" s="379"/>
      <c r="H265" s="378"/>
      <c r="I265" s="378"/>
      <c r="J265" s="378"/>
      <c r="K265" s="378"/>
      <c r="L265" s="378"/>
      <c r="M265" s="378"/>
      <c r="N265" s="378"/>
      <c r="O265" s="378"/>
      <c r="P265" s="378"/>
      <c r="Q265" s="378"/>
      <c r="R265" s="337">
        <v>5</v>
      </c>
      <c r="S265" s="379">
        <f t="shared" si="7"/>
        <v>5.1546391752577317E-2</v>
      </c>
      <c r="T265" s="338">
        <v>682</v>
      </c>
      <c r="U265" s="379">
        <f t="shared" si="8"/>
        <v>5.0069745246310846E-2</v>
      </c>
      <c r="V265" s="286"/>
      <c r="W265" s="289"/>
      <c r="X265" s="5"/>
    </row>
    <row r="266" spans="1:25" ht="15.75" x14ac:dyDescent="0.25">
      <c r="A266" s="285"/>
      <c r="B266" s="337" t="s">
        <v>90</v>
      </c>
      <c r="C266" s="378"/>
      <c r="D266" s="378"/>
      <c r="E266" s="378"/>
      <c r="F266" s="286"/>
      <c r="G266" s="379"/>
      <c r="H266" s="378"/>
      <c r="I266" s="378"/>
      <c r="J266" s="378"/>
      <c r="K266" s="378"/>
      <c r="L266" s="378"/>
      <c r="M266" s="378"/>
      <c r="N266" s="378"/>
      <c r="O266" s="378"/>
      <c r="P266" s="378"/>
      <c r="Q266" s="378"/>
      <c r="R266" s="337">
        <v>5</v>
      </c>
      <c r="S266" s="379">
        <f t="shared" si="7"/>
        <v>5.1546391752577317E-2</v>
      </c>
      <c r="T266" s="338">
        <v>441</v>
      </c>
      <c r="U266" s="379">
        <f t="shared" si="8"/>
        <v>3.237647749798106E-2</v>
      </c>
      <c r="V266" s="286"/>
      <c r="W266" s="289"/>
      <c r="X266" s="5"/>
    </row>
    <row r="267" spans="1:25" ht="15.75" x14ac:dyDescent="0.25">
      <c r="A267" s="285"/>
      <c r="B267" s="337" t="s">
        <v>156</v>
      </c>
      <c r="C267" s="378"/>
      <c r="D267" s="378"/>
      <c r="E267" s="378"/>
      <c r="F267" s="286"/>
      <c r="G267" s="379"/>
      <c r="H267" s="378"/>
      <c r="I267" s="378"/>
      <c r="J267" s="378"/>
      <c r="K267" s="378"/>
      <c r="L267" s="378"/>
      <c r="M267" s="378"/>
      <c r="N267" s="378"/>
      <c r="O267" s="378"/>
      <c r="P267" s="378"/>
      <c r="Q267" s="378"/>
      <c r="R267" s="337">
        <v>3</v>
      </c>
      <c r="S267" s="379">
        <f t="shared" si="7"/>
        <v>3.0927835051546393E-2</v>
      </c>
      <c r="T267" s="338">
        <v>240</v>
      </c>
      <c r="U267" s="379">
        <f t="shared" si="8"/>
        <v>1.7619851699581527E-2</v>
      </c>
      <c r="V267" s="286"/>
      <c r="W267" s="289"/>
      <c r="X267" s="5"/>
    </row>
    <row r="268" spans="1:25" ht="15.75" x14ac:dyDescent="0.25">
      <c r="A268" s="285"/>
      <c r="B268" s="337" t="s">
        <v>157</v>
      </c>
      <c r="C268" s="378"/>
      <c r="D268" s="378"/>
      <c r="E268" s="378"/>
      <c r="F268" s="286"/>
      <c r="G268" s="379"/>
      <c r="H268" s="378"/>
      <c r="I268" s="378"/>
      <c r="J268" s="378"/>
      <c r="K268" s="378"/>
      <c r="L268" s="378"/>
      <c r="M268" s="378"/>
      <c r="N268" s="378"/>
      <c r="O268" s="378"/>
      <c r="P268" s="378"/>
      <c r="Q268" s="378"/>
      <c r="R268" s="337">
        <v>0</v>
      </c>
      <c r="S268" s="379">
        <f t="shared" si="7"/>
        <v>0</v>
      </c>
      <c r="T268" s="338">
        <v>0</v>
      </c>
      <c r="U268" s="379">
        <f t="shared" si="8"/>
        <v>0</v>
      </c>
      <c r="V268" s="286"/>
      <c r="W268" s="289"/>
      <c r="X268" s="5"/>
    </row>
    <row r="269" spans="1:25" ht="15.75" x14ac:dyDescent="0.25">
      <c r="A269" s="285"/>
      <c r="B269" s="337" t="s">
        <v>158</v>
      </c>
      <c r="C269" s="378"/>
      <c r="D269" s="378"/>
      <c r="E269" s="378"/>
      <c r="F269" s="286"/>
      <c r="G269" s="379"/>
      <c r="H269" s="378"/>
      <c r="I269" s="378"/>
      <c r="J269" s="378"/>
      <c r="K269" s="378"/>
      <c r="L269" s="378"/>
      <c r="M269" s="378"/>
      <c r="N269" s="378"/>
      <c r="O269" s="378"/>
      <c r="P269" s="378"/>
      <c r="Q269" s="378"/>
      <c r="R269" s="337">
        <v>0</v>
      </c>
      <c r="S269" s="379">
        <f t="shared" si="7"/>
        <v>0</v>
      </c>
      <c r="T269" s="338">
        <v>0</v>
      </c>
      <c r="U269" s="379">
        <f t="shared" si="8"/>
        <v>0</v>
      </c>
      <c r="V269" s="286"/>
      <c r="W269" s="289"/>
      <c r="X269" s="5"/>
    </row>
    <row r="270" spans="1:25" ht="15.75" x14ac:dyDescent="0.25">
      <c r="A270" s="285"/>
      <c r="B270" s="337" t="s">
        <v>159</v>
      </c>
      <c r="C270" s="378"/>
      <c r="D270" s="378"/>
      <c r="E270" s="378"/>
      <c r="F270" s="286"/>
      <c r="G270" s="379"/>
      <c r="H270" s="378"/>
      <c r="I270" s="378"/>
      <c r="J270" s="378"/>
      <c r="K270" s="378"/>
      <c r="L270" s="378"/>
      <c r="M270" s="378"/>
      <c r="N270" s="378"/>
      <c r="O270" s="378"/>
      <c r="P270" s="378"/>
      <c r="Q270" s="378"/>
      <c r="R270" s="337">
        <v>1</v>
      </c>
      <c r="S270" s="379">
        <f t="shared" si="7"/>
        <v>1.0309278350515464E-2</v>
      </c>
      <c r="T270" s="338">
        <v>177</v>
      </c>
      <c r="U270" s="379">
        <f t="shared" si="8"/>
        <v>1.2994640628441377E-2</v>
      </c>
      <c r="V270" s="286"/>
      <c r="W270" s="289"/>
      <c r="X270" s="5"/>
    </row>
    <row r="271" spans="1:25" ht="15.75" x14ac:dyDescent="0.25">
      <c r="A271" s="285"/>
      <c r="B271" s="337" t="s">
        <v>160</v>
      </c>
      <c r="C271" s="378"/>
      <c r="D271" s="378"/>
      <c r="E271" s="378"/>
      <c r="F271" s="286"/>
      <c r="G271" s="379"/>
      <c r="H271" s="378"/>
      <c r="I271" s="378"/>
      <c r="J271" s="378"/>
      <c r="K271" s="378"/>
      <c r="L271" s="378"/>
      <c r="M271" s="378"/>
      <c r="N271" s="378"/>
      <c r="O271" s="378"/>
      <c r="P271" s="378"/>
      <c r="Q271" s="378"/>
      <c r="R271" s="337">
        <v>4</v>
      </c>
      <c r="S271" s="379">
        <f>R271/$R$273</f>
        <v>4.1237113402061855E-2</v>
      </c>
      <c r="T271" s="338">
        <v>558</v>
      </c>
      <c r="U271" s="379">
        <f t="shared" si="8"/>
        <v>4.0966155201527056E-2</v>
      </c>
      <c r="V271" s="286"/>
      <c r="W271" s="289"/>
      <c r="X271" s="5"/>
    </row>
    <row r="272" spans="1:25" ht="15.75" x14ac:dyDescent="0.25">
      <c r="A272" s="285"/>
      <c r="B272" s="337"/>
      <c r="C272" s="378"/>
      <c r="D272" s="378"/>
      <c r="E272" s="378"/>
      <c r="F272" s="286"/>
      <c r="G272" s="379"/>
      <c r="H272" s="378"/>
      <c r="I272" s="378"/>
      <c r="J272" s="378"/>
      <c r="K272" s="378"/>
      <c r="L272" s="378"/>
      <c r="M272" s="378"/>
      <c r="N272" s="378"/>
      <c r="O272" s="378"/>
      <c r="P272" s="378"/>
      <c r="Q272" s="378"/>
      <c r="R272" s="337"/>
      <c r="S272" s="379"/>
      <c r="T272" s="338"/>
      <c r="U272" s="379"/>
      <c r="V272" s="286"/>
      <c r="W272" s="289"/>
      <c r="X272" s="5"/>
    </row>
    <row r="273" spans="1:24" ht="15.75" x14ac:dyDescent="0.25">
      <c r="A273" s="285"/>
      <c r="B273" s="286"/>
      <c r="C273" s="286"/>
      <c r="D273" s="286"/>
      <c r="E273" s="286"/>
      <c r="F273" s="286"/>
      <c r="G273" s="286"/>
      <c r="H273" s="381"/>
      <c r="I273" s="381"/>
      <c r="J273" s="381"/>
      <c r="K273" s="381"/>
      <c r="L273" s="381"/>
      <c r="M273" s="381"/>
      <c r="N273" s="381"/>
      <c r="O273" s="381"/>
      <c r="P273" s="381"/>
      <c r="Q273" s="381"/>
      <c r="R273" s="337">
        <f>SUM(R264:R272)</f>
        <v>97</v>
      </c>
      <c r="S273" s="379">
        <f>SUM(S264:S272)</f>
        <v>1</v>
      </c>
      <c r="T273" s="338">
        <f>SUM(T264:T272)</f>
        <v>13621</v>
      </c>
      <c r="U273" s="379">
        <f>SUM(U264:U272)</f>
        <v>1</v>
      </c>
      <c r="V273" s="286"/>
      <c r="W273" s="289"/>
      <c r="X273" s="5"/>
    </row>
    <row r="274" spans="1:24" ht="15.75" x14ac:dyDescent="0.25">
      <c r="A274" s="181"/>
      <c r="B274" s="212"/>
      <c r="C274" s="212"/>
      <c r="D274" s="212"/>
      <c r="E274" s="212"/>
      <c r="F274" s="212"/>
      <c r="G274" s="212"/>
      <c r="H274" s="375"/>
      <c r="I274" s="375"/>
      <c r="J274" s="375"/>
      <c r="K274" s="375"/>
      <c r="L274" s="375"/>
      <c r="M274" s="375"/>
      <c r="N274" s="375"/>
      <c r="O274" s="375"/>
      <c r="P274" s="375"/>
      <c r="Q274" s="375"/>
      <c r="R274" s="335"/>
      <c r="S274" s="376"/>
      <c r="T274" s="377"/>
      <c r="U274" s="376"/>
      <c r="V274" s="212"/>
      <c r="W274" s="212"/>
      <c r="X274" s="5"/>
    </row>
    <row r="275" spans="1:24" ht="15.75" x14ac:dyDescent="0.25">
      <c r="A275" s="244"/>
      <c r="B275" s="399" t="s">
        <v>163</v>
      </c>
      <c r="C275" s="245"/>
      <c r="D275" s="245"/>
      <c r="E275" s="245"/>
      <c r="F275" s="245"/>
      <c r="G275" s="245"/>
      <c r="H275" s="247"/>
      <c r="I275" s="247"/>
      <c r="J275" s="247"/>
      <c r="K275" s="247"/>
      <c r="L275" s="247"/>
      <c r="M275" s="247"/>
      <c r="N275" s="247"/>
      <c r="O275" s="247"/>
      <c r="P275" s="247"/>
      <c r="Q275" s="247"/>
      <c r="R275" s="407" t="s">
        <v>102</v>
      </c>
      <c r="S275" s="400" t="s">
        <v>103</v>
      </c>
      <c r="T275" s="407" t="s">
        <v>109</v>
      </c>
      <c r="U275" s="400" t="s">
        <v>103</v>
      </c>
      <c r="V275" s="245"/>
      <c r="W275" s="246"/>
      <c r="X275" s="5"/>
    </row>
    <row r="276" spans="1:24" ht="15.75" x14ac:dyDescent="0.25">
      <c r="A276" s="248"/>
      <c r="B276" s="249" t="s">
        <v>88</v>
      </c>
      <c r="C276" s="250"/>
      <c r="D276" s="250"/>
      <c r="E276" s="250"/>
      <c r="F276" s="250"/>
      <c r="G276" s="250"/>
      <c r="H276" s="251"/>
      <c r="I276" s="251"/>
      <c r="J276" s="251"/>
      <c r="K276" s="251"/>
      <c r="L276" s="251"/>
      <c r="M276" s="251"/>
      <c r="N276" s="251"/>
      <c r="O276" s="251"/>
      <c r="P276" s="251"/>
      <c r="Q276" s="251"/>
      <c r="R276" s="249">
        <v>0</v>
      </c>
      <c r="S276" s="252">
        <v>0</v>
      </c>
      <c r="T276" s="253">
        <v>0</v>
      </c>
      <c r="U276" s="252">
        <v>0</v>
      </c>
      <c r="V276" s="250"/>
      <c r="W276" s="250"/>
      <c r="X276" s="5"/>
    </row>
    <row r="277" spans="1:24" ht="15.75" x14ac:dyDescent="0.25">
      <c r="A277" s="295"/>
      <c r="B277" s="337" t="s">
        <v>89</v>
      </c>
      <c r="C277" s="286"/>
      <c r="D277" s="286"/>
      <c r="E277" s="286"/>
      <c r="F277" s="286"/>
      <c r="G277" s="286"/>
      <c r="H277" s="381"/>
      <c r="I277" s="381"/>
      <c r="J277" s="381"/>
      <c r="K277" s="381"/>
      <c r="L277" s="381"/>
      <c r="M277" s="381"/>
      <c r="N277" s="381"/>
      <c r="O277" s="381"/>
      <c r="P277" s="381"/>
      <c r="Q277" s="381"/>
      <c r="R277" s="337">
        <v>0</v>
      </c>
      <c r="S277" s="379">
        <v>0</v>
      </c>
      <c r="T277" s="338">
        <v>0</v>
      </c>
      <c r="U277" s="379">
        <v>0</v>
      </c>
      <c r="V277" s="286"/>
      <c r="W277" s="289"/>
      <c r="X277" s="5"/>
    </row>
    <row r="278" spans="1:24" ht="15.75" x14ac:dyDescent="0.25">
      <c r="A278" s="295"/>
      <c r="B278" s="337" t="s">
        <v>90</v>
      </c>
      <c r="C278" s="286"/>
      <c r="D278" s="286"/>
      <c r="E278" s="286"/>
      <c r="F278" s="286"/>
      <c r="G278" s="286"/>
      <c r="H278" s="381"/>
      <c r="I278" s="381"/>
      <c r="J278" s="381"/>
      <c r="K278" s="381"/>
      <c r="L278" s="381"/>
      <c r="M278" s="381"/>
      <c r="N278" s="381"/>
      <c r="O278" s="381"/>
      <c r="P278" s="381"/>
      <c r="Q278" s="381"/>
      <c r="R278" s="337">
        <v>0</v>
      </c>
      <c r="S278" s="379">
        <v>0</v>
      </c>
      <c r="T278" s="338">
        <v>0</v>
      </c>
      <c r="U278" s="379">
        <v>0</v>
      </c>
      <c r="V278" s="286"/>
      <c r="W278" s="289"/>
      <c r="X278" s="5"/>
    </row>
    <row r="279" spans="1:24" ht="15.75" x14ac:dyDescent="0.25">
      <c r="A279" s="295"/>
      <c r="B279" s="337" t="s">
        <v>156</v>
      </c>
      <c r="C279" s="286"/>
      <c r="D279" s="286"/>
      <c r="E279" s="286"/>
      <c r="F279" s="286"/>
      <c r="G279" s="286"/>
      <c r="H279" s="381"/>
      <c r="I279" s="381"/>
      <c r="J279" s="381"/>
      <c r="K279" s="381"/>
      <c r="L279" s="381"/>
      <c r="M279" s="381"/>
      <c r="N279" s="381"/>
      <c r="O279" s="381"/>
      <c r="P279" s="381"/>
      <c r="Q279" s="381"/>
      <c r="R279" s="337">
        <v>0</v>
      </c>
      <c r="S279" s="379">
        <v>0</v>
      </c>
      <c r="T279" s="338">
        <v>0</v>
      </c>
      <c r="U279" s="379">
        <v>0</v>
      </c>
      <c r="V279" s="286"/>
      <c r="W279" s="289"/>
      <c r="X279" s="5"/>
    </row>
    <row r="280" spans="1:24" ht="15.75" x14ac:dyDescent="0.25">
      <c r="A280" s="295"/>
      <c r="B280" s="337" t="s">
        <v>157</v>
      </c>
      <c r="C280" s="286"/>
      <c r="D280" s="286"/>
      <c r="E280" s="286"/>
      <c r="F280" s="286"/>
      <c r="G280" s="286"/>
      <c r="H280" s="381"/>
      <c r="I280" s="381"/>
      <c r="J280" s="381"/>
      <c r="K280" s="381"/>
      <c r="L280" s="381"/>
      <c r="M280" s="381"/>
      <c r="N280" s="381"/>
      <c r="O280" s="381"/>
      <c r="P280" s="381"/>
      <c r="Q280" s="381"/>
      <c r="R280" s="337">
        <v>0</v>
      </c>
      <c r="S280" s="379">
        <v>0</v>
      </c>
      <c r="T280" s="338">
        <v>0</v>
      </c>
      <c r="U280" s="379">
        <v>0</v>
      </c>
      <c r="V280" s="286"/>
      <c r="W280" s="289"/>
      <c r="X280" s="5"/>
    </row>
    <row r="281" spans="1:24" ht="15.75" x14ac:dyDescent="0.25">
      <c r="A281" s="295"/>
      <c r="B281" s="337" t="s">
        <v>158</v>
      </c>
      <c r="C281" s="286"/>
      <c r="D281" s="286"/>
      <c r="E281" s="286"/>
      <c r="F281" s="286"/>
      <c r="G281" s="286"/>
      <c r="H281" s="381"/>
      <c r="I281" s="381"/>
      <c r="J281" s="381"/>
      <c r="K281" s="381"/>
      <c r="L281" s="381"/>
      <c r="M281" s="381"/>
      <c r="N281" s="381"/>
      <c r="O281" s="381"/>
      <c r="P281" s="381"/>
      <c r="Q281" s="381"/>
      <c r="R281" s="337">
        <v>0</v>
      </c>
      <c r="S281" s="379">
        <v>0</v>
      </c>
      <c r="T281" s="338">
        <v>0</v>
      </c>
      <c r="U281" s="379">
        <v>0</v>
      </c>
      <c r="V281" s="286"/>
      <c r="W281" s="289"/>
      <c r="X281" s="5"/>
    </row>
    <row r="282" spans="1:24" ht="15.75" x14ac:dyDescent="0.25">
      <c r="A282" s="295"/>
      <c r="B282" s="337" t="s">
        <v>159</v>
      </c>
      <c r="C282" s="286"/>
      <c r="D282" s="286"/>
      <c r="E282" s="286"/>
      <c r="F282" s="286"/>
      <c r="G282" s="286"/>
      <c r="H282" s="381"/>
      <c r="I282" s="381"/>
      <c r="J282" s="381"/>
      <c r="K282" s="381"/>
      <c r="L282" s="381"/>
      <c r="M282" s="381"/>
      <c r="N282" s="381"/>
      <c r="O282" s="381"/>
      <c r="P282" s="381"/>
      <c r="Q282" s="381"/>
      <c r="R282" s="337">
        <v>0</v>
      </c>
      <c r="S282" s="379">
        <v>0</v>
      </c>
      <c r="T282" s="338">
        <v>0</v>
      </c>
      <c r="U282" s="379">
        <v>0</v>
      </c>
      <c r="V282" s="286"/>
      <c r="W282" s="289"/>
      <c r="X282" s="5"/>
    </row>
    <row r="283" spans="1:24" ht="15.75" x14ac:dyDescent="0.25">
      <c r="A283" s="295"/>
      <c r="B283" s="337" t="s">
        <v>160</v>
      </c>
      <c r="C283" s="286"/>
      <c r="D283" s="286"/>
      <c r="E283" s="286"/>
      <c r="F283" s="286"/>
      <c r="G283" s="286"/>
      <c r="H283" s="381"/>
      <c r="I283" s="381"/>
      <c r="J283" s="381"/>
      <c r="K283" s="381"/>
      <c r="L283" s="381"/>
      <c r="M283" s="381"/>
      <c r="N283" s="381"/>
      <c r="O283" s="381"/>
      <c r="P283" s="381"/>
      <c r="Q283" s="381"/>
      <c r="R283" s="337">
        <v>0</v>
      </c>
      <c r="S283" s="379">
        <v>0</v>
      </c>
      <c r="T283" s="338">
        <v>0</v>
      </c>
      <c r="U283" s="379">
        <v>0</v>
      </c>
      <c r="V283" s="286"/>
      <c r="W283" s="289"/>
      <c r="X283" s="5"/>
    </row>
    <row r="284" spans="1:24" ht="15.75" x14ac:dyDescent="0.25">
      <c r="A284" s="295"/>
      <c r="B284" s="337"/>
      <c r="C284" s="286"/>
      <c r="D284" s="286"/>
      <c r="E284" s="286"/>
      <c r="F284" s="286"/>
      <c r="G284" s="286"/>
      <c r="H284" s="381"/>
      <c r="I284" s="381"/>
      <c r="J284" s="381"/>
      <c r="K284" s="381"/>
      <c r="L284" s="381"/>
      <c r="M284" s="381"/>
      <c r="N284" s="381"/>
      <c r="O284" s="381"/>
      <c r="P284" s="381"/>
      <c r="Q284" s="381"/>
      <c r="R284" s="337"/>
      <c r="S284" s="379"/>
      <c r="T284" s="338"/>
      <c r="U284" s="379"/>
      <c r="V284" s="286"/>
      <c r="W284" s="289"/>
      <c r="X284" s="5"/>
    </row>
    <row r="285" spans="1:24" ht="15.75" x14ac:dyDescent="0.25">
      <c r="A285" s="295"/>
      <c r="B285" s="286" t="s">
        <v>114</v>
      </c>
      <c r="C285" s="286"/>
      <c r="D285" s="286"/>
      <c r="E285" s="286"/>
      <c r="F285" s="286"/>
      <c r="G285" s="286"/>
      <c r="H285" s="381"/>
      <c r="I285" s="381"/>
      <c r="J285" s="381"/>
      <c r="K285" s="381"/>
      <c r="L285" s="381"/>
      <c r="M285" s="381"/>
      <c r="N285" s="381"/>
      <c r="O285" s="381"/>
      <c r="P285" s="381"/>
      <c r="Q285" s="381"/>
      <c r="R285" s="337">
        <f>SUM(R276:R283)</f>
        <v>0</v>
      </c>
      <c r="S285" s="379">
        <f>SUM(S276:S283)</f>
        <v>0</v>
      </c>
      <c r="T285" s="338">
        <f>SUM(T276:T283)</f>
        <v>0</v>
      </c>
      <c r="U285" s="379">
        <f>SUM(U276:U283)</f>
        <v>0</v>
      </c>
      <c r="V285" s="286"/>
      <c r="W285" s="289"/>
      <c r="X285" s="5"/>
    </row>
    <row r="286" spans="1:24" ht="15.75" x14ac:dyDescent="0.25">
      <c r="A286" s="295"/>
      <c r="B286" s="286"/>
      <c r="C286" s="286"/>
      <c r="D286" s="286"/>
      <c r="E286" s="286"/>
      <c r="F286" s="286"/>
      <c r="G286" s="286"/>
      <c r="H286" s="381"/>
      <c r="I286" s="381"/>
      <c r="J286" s="381"/>
      <c r="K286" s="381"/>
      <c r="L286" s="381"/>
      <c r="M286" s="381"/>
      <c r="N286" s="381"/>
      <c r="O286" s="381"/>
      <c r="P286" s="381"/>
      <c r="Q286" s="381"/>
      <c r="R286" s="337"/>
      <c r="S286" s="379"/>
      <c r="T286" s="338"/>
      <c r="U286" s="379"/>
      <c r="V286" s="286"/>
      <c r="W286" s="289"/>
      <c r="X286" s="5"/>
    </row>
    <row r="287" spans="1:24" ht="15.75" x14ac:dyDescent="0.25">
      <c r="A287" s="295"/>
      <c r="B287" s="297" t="s">
        <v>164</v>
      </c>
      <c r="C287" s="286"/>
      <c r="D287" s="286"/>
      <c r="E287" s="286"/>
      <c r="F287" s="286"/>
      <c r="G287" s="286"/>
      <c r="H287" s="381"/>
      <c r="I287" s="381"/>
      <c r="J287" s="381"/>
      <c r="K287" s="381"/>
      <c r="L287" s="381"/>
      <c r="M287" s="381"/>
      <c r="N287" s="381"/>
      <c r="O287" s="381"/>
      <c r="P287" s="381"/>
      <c r="Q287" s="381"/>
      <c r="R287" s="384">
        <f>R285+R273+R261</f>
        <v>5317</v>
      </c>
      <c r="S287" s="379"/>
      <c r="T287" s="410">
        <f>+T285+T273+T261</f>
        <v>745360</v>
      </c>
      <c r="U287" s="379"/>
      <c r="V287" s="286"/>
      <c r="W287" s="289"/>
      <c r="X287" s="5"/>
    </row>
    <row r="288" spans="1:24" ht="15.75" x14ac:dyDescent="0.25">
      <c r="A288" s="254"/>
      <c r="B288" s="346"/>
      <c r="C288" s="346"/>
      <c r="D288" s="346"/>
      <c r="E288" s="346"/>
      <c r="F288" s="346"/>
      <c r="G288" s="346"/>
      <c r="H288" s="382"/>
      <c r="I288" s="382"/>
      <c r="J288" s="382"/>
      <c r="K288" s="382"/>
      <c r="L288" s="382"/>
      <c r="M288" s="382"/>
      <c r="N288" s="382"/>
      <c r="O288" s="382"/>
      <c r="P288" s="382"/>
      <c r="Q288" s="382"/>
      <c r="R288" s="382"/>
      <c r="S288" s="382"/>
      <c r="T288" s="383"/>
      <c r="U288" s="382"/>
      <c r="V288" s="346"/>
      <c r="W288" s="346"/>
      <c r="X288" s="5"/>
    </row>
    <row r="289" spans="1:24" ht="15.75" x14ac:dyDescent="0.25">
      <c r="A289" s="254"/>
      <c r="B289" s="255"/>
      <c r="C289" s="255"/>
      <c r="D289" s="255"/>
      <c r="E289" s="255"/>
      <c r="F289" s="255"/>
      <c r="G289" s="255"/>
      <c r="H289" s="256"/>
      <c r="I289" s="256"/>
      <c r="J289" s="256"/>
      <c r="K289" s="256"/>
      <c r="L289" s="256"/>
      <c r="M289" s="256"/>
      <c r="N289" s="256"/>
      <c r="O289" s="256"/>
      <c r="P289" s="256"/>
      <c r="Q289" s="256"/>
      <c r="R289" s="256"/>
      <c r="S289" s="256"/>
      <c r="T289" s="257"/>
      <c r="U289" s="256"/>
      <c r="V289" s="255"/>
      <c r="W289" s="255"/>
      <c r="X289" s="5"/>
    </row>
    <row r="290" spans="1:24" ht="15.75" x14ac:dyDescent="0.25">
      <c r="A290" s="258"/>
      <c r="B290" s="388" t="s">
        <v>91</v>
      </c>
      <c r="C290" s="255"/>
      <c r="D290" s="255"/>
      <c r="E290" s="255"/>
      <c r="F290" s="391" t="s">
        <v>97</v>
      </c>
      <c r="G290" s="255"/>
      <c r="H290" s="388" t="s">
        <v>99</v>
      </c>
      <c r="I290" s="388"/>
      <c r="J290" s="388"/>
      <c r="K290" s="261"/>
      <c r="L290" s="261"/>
      <c r="M290" s="261"/>
      <c r="N290" s="261"/>
      <c r="O290" s="261"/>
      <c r="P290" s="261"/>
      <c r="Q290" s="261"/>
      <c r="R290" s="261"/>
      <c r="S290" s="261"/>
      <c r="T290" s="261"/>
      <c r="U290" s="261"/>
      <c r="V290" s="261"/>
      <c r="W290" s="261"/>
      <c r="X290" s="5"/>
    </row>
    <row r="291" spans="1:24" ht="15.75" x14ac:dyDescent="0.25">
      <c r="A291" s="258"/>
      <c r="B291" s="261"/>
      <c r="C291" s="255"/>
      <c r="D291" s="255"/>
      <c r="E291" s="255"/>
      <c r="F291" s="255"/>
      <c r="G291" s="255"/>
      <c r="H291" s="255"/>
      <c r="I291" s="255"/>
      <c r="J291" s="255"/>
      <c r="K291" s="261"/>
      <c r="L291" s="261"/>
      <c r="M291" s="261"/>
      <c r="N291" s="261"/>
      <c r="O291" s="261"/>
      <c r="P291" s="261"/>
      <c r="Q291" s="261"/>
      <c r="R291" s="261"/>
      <c r="S291" s="261"/>
      <c r="T291" s="261"/>
      <c r="U291" s="261"/>
      <c r="V291" s="261"/>
      <c r="W291" s="261"/>
      <c r="X291" s="5"/>
    </row>
    <row r="292" spans="1:24" ht="15.75" x14ac:dyDescent="0.25">
      <c r="A292" s="258"/>
      <c r="B292" s="388" t="s">
        <v>318</v>
      </c>
      <c r="C292" s="388"/>
      <c r="D292" s="388"/>
      <c r="E292" s="388"/>
      <c r="F292" s="411" t="s">
        <v>148</v>
      </c>
      <c r="G292" s="388"/>
      <c r="H292" s="388" t="s">
        <v>152</v>
      </c>
      <c r="I292" s="388"/>
      <c r="J292" s="388"/>
      <c r="K292" s="261"/>
      <c r="L292" s="261"/>
      <c r="M292" s="261"/>
      <c r="N292" s="261"/>
      <c r="O292" s="261"/>
      <c r="P292" s="261"/>
      <c r="Q292" s="261"/>
      <c r="R292" s="261"/>
      <c r="S292" s="261"/>
      <c r="T292" s="261"/>
      <c r="U292" s="261"/>
      <c r="V292" s="261"/>
      <c r="W292" s="261"/>
      <c r="X292" s="5"/>
    </row>
    <row r="293" spans="1:24" ht="15.75" x14ac:dyDescent="0.25">
      <c r="A293" s="258"/>
      <c r="B293" s="388" t="s">
        <v>319</v>
      </c>
      <c r="C293" s="388"/>
      <c r="D293" s="388"/>
      <c r="E293" s="388"/>
      <c r="F293" s="411" t="s">
        <v>266</v>
      </c>
      <c r="G293" s="388"/>
      <c r="H293" s="388" t="s">
        <v>267</v>
      </c>
      <c r="I293" s="388"/>
      <c r="J293" s="388"/>
      <c r="K293" s="261"/>
      <c r="L293" s="261"/>
      <c r="M293" s="261"/>
      <c r="N293" s="261"/>
      <c r="O293" s="261"/>
      <c r="P293" s="261"/>
      <c r="Q293" s="261"/>
      <c r="R293" s="261"/>
      <c r="S293" s="261"/>
      <c r="T293" s="261"/>
      <c r="U293" s="261"/>
      <c r="V293" s="261"/>
      <c r="W293" s="261"/>
      <c r="X293" s="5"/>
    </row>
    <row r="294" spans="1:24" ht="15.75" x14ac:dyDescent="0.25">
      <c r="A294" s="258"/>
      <c r="B294" s="388" t="s">
        <v>320</v>
      </c>
      <c r="C294" s="388"/>
      <c r="D294" s="388"/>
      <c r="E294" s="388"/>
      <c r="F294" s="411" t="s">
        <v>147</v>
      </c>
      <c r="G294" s="388"/>
      <c r="H294" s="388" t="s">
        <v>153</v>
      </c>
      <c r="I294" s="388"/>
      <c r="J294" s="388"/>
      <c r="K294" s="261"/>
      <c r="L294" s="261"/>
      <c r="M294" s="261"/>
      <c r="N294" s="261"/>
      <c r="O294" s="261"/>
      <c r="P294" s="261"/>
      <c r="Q294" s="261"/>
      <c r="R294" s="261"/>
      <c r="S294" s="261"/>
      <c r="T294" s="261"/>
      <c r="U294" s="261"/>
      <c r="V294" s="261"/>
      <c r="W294" s="261"/>
      <c r="X294" s="5"/>
    </row>
    <row r="295" spans="1:24" ht="15.75" x14ac:dyDescent="0.25">
      <c r="A295" s="258"/>
      <c r="B295" s="388"/>
      <c r="C295" s="388"/>
      <c r="D295" s="388"/>
      <c r="E295" s="388"/>
      <c r="F295" s="388"/>
      <c r="G295" s="263"/>
      <c r="H295" s="261"/>
      <c r="I295" s="261"/>
      <c r="J295" s="261"/>
      <c r="K295" s="261"/>
      <c r="L295" s="261"/>
      <c r="M295" s="261"/>
      <c r="N295" s="261"/>
      <c r="O295" s="261"/>
      <c r="P295" s="261"/>
      <c r="Q295" s="261"/>
      <c r="R295" s="261"/>
      <c r="S295" s="261"/>
      <c r="T295" s="261"/>
      <c r="U295" s="261"/>
      <c r="V295" s="261"/>
      <c r="W295" s="261"/>
      <c r="X295" s="5"/>
    </row>
    <row r="296" spans="1:24" ht="15.75" x14ac:dyDescent="0.25">
      <c r="A296" s="258"/>
      <c r="B296" s="388"/>
      <c r="C296" s="388"/>
      <c r="D296" s="388"/>
      <c r="E296" s="388"/>
      <c r="F296" s="388"/>
      <c r="G296" s="263"/>
      <c r="H296" s="261"/>
      <c r="I296" s="261"/>
      <c r="J296" s="261"/>
      <c r="K296" s="261"/>
      <c r="L296" s="261"/>
      <c r="M296" s="261"/>
      <c r="N296" s="261"/>
      <c r="O296" s="261"/>
      <c r="P296" s="261"/>
      <c r="Q296" s="261"/>
      <c r="R296" s="261"/>
      <c r="S296" s="261"/>
      <c r="T296" s="261"/>
      <c r="U296" s="261"/>
      <c r="V296" s="261"/>
      <c r="W296" s="261"/>
      <c r="X296" s="5"/>
    </row>
    <row r="297" spans="1:24" ht="19.5" thickBot="1" x14ac:dyDescent="0.35">
      <c r="A297" s="258"/>
      <c r="B297" s="264" t="str">
        <f>B201</f>
        <v>PM15 INVESTOR REPORT QUARTER ENDING MAY 2015</v>
      </c>
      <c r="C297" s="388"/>
      <c r="D297" s="388"/>
      <c r="E297" s="388"/>
      <c r="F297" s="388"/>
      <c r="G297" s="263"/>
      <c r="H297" s="261"/>
      <c r="I297" s="261"/>
      <c r="J297" s="261"/>
      <c r="K297" s="261"/>
      <c r="L297" s="261"/>
      <c r="M297" s="261"/>
      <c r="N297" s="261"/>
      <c r="O297" s="261"/>
      <c r="P297" s="261"/>
      <c r="Q297" s="261"/>
      <c r="R297" s="261"/>
      <c r="S297" s="261"/>
      <c r="T297" s="261"/>
      <c r="U297" s="261"/>
      <c r="V297" s="261"/>
      <c r="W297" s="261"/>
      <c r="X297" s="5"/>
    </row>
    <row r="298" spans="1:24" x14ac:dyDescent="0.2">
      <c r="A298" s="100"/>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00"/>
    </row>
  </sheetData>
  <hyperlinks>
    <hyperlink ref="P237" r:id="rId1" xr:uid="{00000000-0004-0000-1E00-000000000000}"/>
    <hyperlink ref="I9" r:id="rId2" xr:uid="{00000000-0004-0000-1E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5" max="14" man="1"/>
    <brk id="201" max="14" man="1"/>
  </rowBreaks>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6"/>
  </sheetPr>
  <dimension ref="A1:IV298"/>
  <sheetViews>
    <sheetView showGridLines="0" showOutlineSymbols="0" zoomScale="70" zoomScaleNormal="70" workbookViewId="0"/>
  </sheetViews>
  <sheetFormatPr defaultColWidth="9.6640625" defaultRowHeight="15" x14ac:dyDescent="0.2"/>
  <cols>
    <col min="1" max="1" width="4" style="1" customWidth="1"/>
    <col min="2" max="2" width="71.21875" style="1" customWidth="1"/>
    <col min="3" max="3" width="2.21875" style="1" customWidth="1"/>
    <col min="4" max="4" width="19.33203125" style="1" customWidth="1"/>
    <col min="5" max="5" width="2.21875" style="1" customWidth="1"/>
    <col min="6" max="6" width="25.109375" style="1" customWidth="1"/>
    <col min="7" max="7" width="2.21875" style="1" customWidth="1"/>
    <col min="8" max="8" width="16.21875" style="1" customWidth="1"/>
    <col min="9" max="9" width="2.88671875" style="1" customWidth="1"/>
    <col min="10" max="10" width="16.21875" style="1" customWidth="1"/>
    <col min="11" max="11" width="2.21875" style="1" customWidth="1"/>
    <col min="12" max="12" width="17.88671875" style="1" customWidth="1"/>
    <col min="13" max="13" width="2.33203125" style="1" customWidth="1"/>
    <col min="14" max="14" width="14.88671875" style="1" customWidth="1"/>
    <col min="15" max="15" width="2.33203125" style="1" customWidth="1"/>
    <col min="16" max="16" width="15.5546875" style="1" customWidth="1"/>
    <col min="17" max="17" width="2.21875" style="1" customWidth="1"/>
    <col min="18" max="18" width="15.5546875" style="1" customWidth="1"/>
    <col min="19" max="20" width="12.6640625" style="1" customWidth="1"/>
    <col min="21" max="21" width="7.77734375" style="1" customWidth="1"/>
    <col min="22" max="22" width="14.6640625" style="1" customWidth="1"/>
    <col min="23" max="23" width="11.77734375" style="1" customWidth="1"/>
    <col min="24" max="16384" width="9.6640625" style="1"/>
  </cols>
  <sheetData>
    <row r="1" spans="1:24" ht="20.25" x14ac:dyDescent="0.3">
      <c r="A1" s="179"/>
      <c r="B1" s="274" t="s">
        <v>237</v>
      </c>
      <c r="C1" s="180"/>
      <c r="D1" s="180"/>
      <c r="E1" s="180"/>
      <c r="F1" s="180"/>
      <c r="G1" s="180"/>
      <c r="H1" s="180"/>
      <c r="I1" s="180"/>
      <c r="J1" s="180"/>
      <c r="K1" s="180"/>
      <c r="L1" s="180"/>
      <c r="M1" s="180"/>
      <c r="N1" s="180"/>
      <c r="O1" s="180"/>
      <c r="P1" s="180"/>
      <c r="Q1" s="180"/>
      <c r="R1" s="180"/>
      <c r="S1" s="180"/>
      <c r="T1" s="180"/>
      <c r="U1" s="180"/>
      <c r="V1" s="180"/>
      <c r="W1" s="180"/>
      <c r="X1" s="5"/>
    </row>
    <row r="2" spans="1:24" ht="15.75" x14ac:dyDescent="0.25">
      <c r="A2" s="181"/>
      <c r="B2" s="182"/>
      <c r="C2" s="183"/>
      <c r="D2" s="183"/>
      <c r="E2" s="183"/>
      <c r="F2" s="183"/>
      <c r="G2" s="183"/>
      <c r="H2" s="183"/>
      <c r="I2" s="183"/>
      <c r="J2" s="183"/>
      <c r="K2" s="183"/>
      <c r="L2" s="183"/>
      <c r="M2" s="183"/>
      <c r="N2" s="183"/>
      <c r="O2" s="183"/>
      <c r="P2" s="183"/>
      <c r="Q2" s="183"/>
      <c r="R2" s="183"/>
      <c r="S2" s="183"/>
      <c r="T2" s="183"/>
      <c r="U2" s="183"/>
      <c r="V2" s="183"/>
      <c r="W2" s="183"/>
      <c r="X2" s="5"/>
    </row>
    <row r="3" spans="1:24" ht="15.75" x14ac:dyDescent="0.25">
      <c r="A3" s="184"/>
      <c r="B3" s="185" t="s">
        <v>238</v>
      </c>
      <c r="C3" s="183"/>
      <c r="D3" s="183"/>
      <c r="E3" s="183"/>
      <c r="F3" s="183"/>
      <c r="G3" s="183"/>
      <c r="H3" s="183"/>
      <c r="I3" s="183"/>
      <c r="J3" s="183"/>
      <c r="K3" s="183"/>
      <c r="L3" s="183"/>
      <c r="M3" s="183"/>
      <c r="N3" s="183"/>
      <c r="O3" s="183"/>
      <c r="P3" s="183"/>
      <c r="Q3" s="183"/>
      <c r="R3" s="183"/>
      <c r="S3" s="183"/>
      <c r="T3" s="183"/>
      <c r="U3" s="183"/>
      <c r="V3" s="183"/>
      <c r="W3" s="183"/>
      <c r="X3" s="5"/>
    </row>
    <row r="4" spans="1:24" ht="15.75" x14ac:dyDescent="0.25">
      <c r="A4" s="181"/>
      <c r="B4" s="182"/>
      <c r="C4" s="183"/>
      <c r="D4" s="183"/>
      <c r="E4" s="183"/>
      <c r="F4" s="183"/>
      <c r="G4" s="183"/>
      <c r="H4" s="183"/>
      <c r="I4" s="183"/>
      <c r="J4" s="183"/>
      <c r="K4" s="183"/>
      <c r="L4" s="183"/>
      <c r="M4" s="183"/>
      <c r="N4" s="183"/>
      <c r="O4" s="183"/>
      <c r="P4" s="183"/>
      <c r="Q4" s="183"/>
      <c r="R4" s="183"/>
      <c r="S4" s="183"/>
      <c r="T4" s="183"/>
      <c r="U4" s="183"/>
      <c r="V4" s="183"/>
      <c r="W4" s="183"/>
      <c r="X4" s="5"/>
    </row>
    <row r="5" spans="1:24" ht="15.75" x14ac:dyDescent="0.25">
      <c r="A5" s="181"/>
      <c r="B5" s="275" t="s">
        <v>137</v>
      </c>
      <c r="C5" s="183"/>
      <c r="D5" s="183"/>
      <c r="E5" s="183"/>
      <c r="F5" s="183"/>
      <c r="G5" s="183"/>
      <c r="H5" s="183"/>
      <c r="I5" s="183"/>
      <c r="J5" s="183"/>
      <c r="K5" s="183"/>
      <c r="L5" s="183"/>
      <c r="M5" s="183"/>
      <c r="N5" s="183"/>
      <c r="O5" s="183"/>
      <c r="P5" s="183"/>
      <c r="Q5" s="183"/>
      <c r="R5" s="183"/>
      <c r="S5" s="183"/>
      <c r="T5" s="183"/>
      <c r="U5" s="183"/>
      <c r="V5" s="183"/>
      <c r="W5" s="183"/>
      <c r="X5" s="5"/>
    </row>
    <row r="6" spans="1:24" ht="15.75" x14ac:dyDescent="0.25">
      <c r="A6" s="181"/>
      <c r="B6" s="275" t="s">
        <v>139</v>
      </c>
      <c r="C6" s="183"/>
      <c r="D6" s="183"/>
      <c r="E6" s="183"/>
      <c r="F6" s="183"/>
      <c r="G6" s="183"/>
      <c r="H6" s="183"/>
      <c r="I6" s="183"/>
      <c r="J6" s="183"/>
      <c r="K6" s="183"/>
      <c r="L6" s="183"/>
      <c r="M6" s="183"/>
      <c r="N6" s="183"/>
      <c r="O6" s="183"/>
      <c r="P6" s="183"/>
      <c r="Q6" s="183"/>
      <c r="R6" s="183"/>
      <c r="S6" s="183"/>
      <c r="T6" s="183"/>
      <c r="U6" s="183"/>
      <c r="V6" s="183"/>
      <c r="W6" s="183"/>
      <c r="X6" s="5"/>
    </row>
    <row r="7" spans="1:24" ht="15.75" x14ac:dyDescent="0.25">
      <c r="A7" s="181"/>
      <c r="B7" s="275" t="s">
        <v>138</v>
      </c>
      <c r="C7" s="183"/>
      <c r="D7" s="183"/>
      <c r="E7" s="183"/>
      <c r="F7" s="183"/>
      <c r="G7" s="183"/>
      <c r="H7" s="183"/>
      <c r="I7" s="183"/>
      <c r="J7" s="183"/>
      <c r="K7" s="183"/>
      <c r="L7" s="183"/>
      <c r="M7" s="183"/>
      <c r="N7" s="183"/>
      <c r="O7" s="183"/>
      <c r="P7" s="183"/>
      <c r="Q7" s="183"/>
      <c r="R7" s="183"/>
      <c r="S7" s="183"/>
      <c r="T7" s="183"/>
      <c r="U7" s="183"/>
      <c r="V7" s="183"/>
      <c r="W7" s="183"/>
      <c r="X7" s="5"/>
    </row>
    <row r="8" spans="1:24" ht="15.75" x14ac:dyDescent="0.25">
      <c r="A8" s="181"/>
      <c r="B8" s="186"/>
      <c r="C8" s="183"/>
      <c r="D8" s="183"/>
      <c r="E8" s="183"/>
      <c r="F8" s="183"/>
      <c r="G8" s="183"/>
      <c r="H8" s="183"/>
      <c r="I8" s="183"/>
      <c r="J8" s="183"/>
      <c r="K8" s="183"/>
      <c r="L8" s="183"/>
      <c r="M8" s="183"/>
      <c r="N8" s="183"/>
      <c r="O8" s="183"/>
      <c r="P8" s="183"/>
      <c r="Q8" s="183"/>
      <c r="R8" s="183"/>
      <c r="S8" s="183"/>
      <c r="T8" s="183"/>
      <c r="U8" s="183"/>
      <c r="V8" s="183"/>
      <c r="W8" s="183"/>
      <c r="X8" s="5"/>
    </row>
    <row r="9" spans="1:24" ht="18.75" x14ac:dyDescent="0.3">
      <c r="A9" s="181"/>
      <c r="B9" s="187" t="s">
        <v>166</v>
      </c>
      <c r="C9" s="183"/>
      <c r="D9" s="183"/>
      <c r="E9" s="183"/>
      <c r="F9" s="183"/>
      <c r="G9" s="183"/>
      <c r="H9" s="183"/>
      <c r="I9" s="188" t="s">
        <v>167</v>
      </c>
      <c r="J9" s="183"/>
      <c r="K9" s="183"/>
      <c r="L9" s="188"/>
      <c r="M9" s="183"/>
      <c r="N9" s="188"/>
      <c r="O9" s="183"/>
      <c r="P9" s="183"/>
      <c r="Q9" s="183"/>
      <c r="R9" s="183"/>
      <c r="S9" s="183"/>
      <c r="T9" s="183"/>
      <c r="U9" s="183"/>
      <c r="V9" s="183"/>
      <c r="W9" s="183"/>
      <c r="X9" s="5"/>
    </row>
    <row r="10" spans="1:24" ht="15.75" x14ac:dyDescent="0.25">
      <c r="A10" s="181"/>
      <c r="B10" s="186"/>
      <c r="C10" s="189"/>
      <c r="D10" s="189"/>
      <c r="E10" s="189"/>
      <c r="F10" s="183"/>
      <c r="G10" s="183"/>
      <c r="H10" s="183"/>
      <c r="I10" s="183"/>
      <c r="J10" s="183"/>
      <c r="K10" s="183"/>
      <c r="L10" s="183"/>
      <c r="M10" s="183"/>
      <c r="N10" s="183"/>
      <c r="O10" s="183"/>
      <c r="P10" s="183"/>
      <c r="Q10" s="183"/>
      <c r="R10" s="183"/>
      <c r="S10" s="183"/>
      <c r="T10" s="183"/>
      <c r="U10" s="183"/>
      <c r="V10" s="183"/>
      <c r="W10" s="183"/>
      <c r="X10" s="5"/>
    </row>
    <row r="11" spans="1:24" ht="15.75" x14ac:dyDescent="0.25">
      <c r="A11" s="181"/>
      <c r="B11" s="388" t="s">
        <v>0</v>
      </c>
      <c r="C11" s="183"/>
      <c r="D11" s="183"/>
      <c r="E11" s="183"/>
      <c r="F11" s="183"/>
      <c r="G11" s="183"/>
      <c r="H11" s="183"/>
      <c r="I11" s="183"/>
      <c r="J11" s="183"/>
      <c r="K11" s="183"/>
      <c r="L11" s="183"/>
      <c r="M11" s="183"/>
      <c r="N11" s="183"/>
      <c r="O11" s="183"/>
      <c r="P11" s="183"/>
      <c r="Q11" s="183"/>
      <c r="R11" s="183"/>
      <c r="S11" s="183"/>
      <c r="T11" s="183"/>
      <c r="U11" s="183"/>
      <c r="V11" s="183"/>
      <c r="W11" s="183"/>
      <c r="X11" s="5"/>
    </row>
    <row r="12" spans="1:24" ht="16.5" thickBot="1" x14ac:dyDescent="0.3">
      <c r="A12" s="181"/>
      <c r="B12" s="189"/>
      <c r="C12" s="183"/>
      <c r="D12" s="183"/>
      <c r="E12" s="183"/>
      <c r="F12" s="183"/>
      <c r="G12" s="183"/>
      <c r="H12" s="183"/>
      <c r="I12" s="183"/>
      <c r="J12" s="183"/>
      <c r="K12" s="183"/>
      <c r="L12" s="183"/>
      <c r="M12" s="183"/>
      <c r="N12" s="183"/>
      <c r="O12" s="183"/>
      <c r="P12" s="183"/>
      <c r="Q12" s="183"/>
      <c r="R12" s="183"/>
      <c r="S12" s="183"/>
      <c r="T12" s="183"/>
      <c r="U12" s="183"/>
      <c r="V12" s="183"/>
      <c r="W12" s="183"/>
      <c r="X12" s="5"/>
    </row>
    <row r="13" spans="1:24" ht="15.75" x14ac:dyDescent="0.25">
      <c r="A13" s="179"/>
      <c r="B13" s="180"/>
      <c r="C13" s="180"/>
      <c r="D13" s="180"/>
      <c r="E13" s="180"/>
      <c r="F13" s="180"/>
      <c r="G13" s="180"/>
      <c r="H13" s="180"/>
      <c r="I13" s="180"/>
      <c r="J13" s="180"/>
      <c r="K13" s="180"/>
      <c r="L13" s="180"/>
      <c r="M13" s="180"/>
      <c r="N13" s="180"/>
      <c r="O13" s="180"/>
      <c r="P13" s="180"/>
      <c r="Q13" s="180"/>
      <c r="R13" s="180"/>
      <c r="S13" s="180"/>
      <c r="T13" s="180"/>
      <c r="U13" s="180"/>
      <c r="V13" s="180"/>
      <c r="W13" s="180"/>
      <c r="X13" s="5"/>
    </row>
    <row r="14" spans="1:24" ht="15.75" x14ac:dyDescent="0.25">
      <c r="A14" s="181"/>
      <c r="B14" s="388" t="s">
        <v>1</v>
      </c>
      <c r="C14" s="255"/>
      <c r="D14" s="255"/>
      <c r="E14" s="255"/>
      <c r="F14" s="255"/>
      <c r="G14" s="255"/>
      <c r="H14" s="255"/>
      <c r="I14" s="255"/>
      <c r="J14" s="255"/>
      <c r="K14" s="255"/>
      <c r="L14" s="255"/>
      <c r="M14" s="255"/>
      <c r="N14" s="255"/>
      <c r="O14" s="255"/>
      <c r="P14" s="255"/>
      <c r="Q14" s="255"/>
      <c r="R14" s="255"/>
      <c r="S14" s="255"/>
      <c r="T14" s="255"/>
      <c r="U14" s="255"/>
      <c r="V14" s="276" t="s">
        <v>239</v>
      </c>
      <c r="W14" s="255"/>
      <c r="X14" s="5"/>
    </row>
    <row r="15" spans="1:24" ht="15.75" x14ac:dyDescent="0.25">
      <c r="A15" s="181"/>
      <c r="B15" s="388" t="s">
        <v>2</v>
      </c>
      <c r="C15" s="255"/>
      <c r="D15" s="255"/>
      <c r="E15" s="255"/>
      <c r="F15" s="255"/>
      <c r="G15" s="255"/>
      <c r="H15" s="389"/>
      <c r="I15" s="389"/>
      <c r="J15" s="389"/>
      <c r="K15" s="389"/>
      <c r="L15" s="389"/>
      <c r="M15" s="389"/>
      <c r="N15" s="389"/>
      <c r="O15" s="389"/>
      <c r="P15" s="389"/>
      <c r="Q15" s="389"/>
      <c r="R15" s="389" t="s">
        <v>104</v>
      </c>
      <c r="S15" s="390">
        <v>0.47189999999999999</v>
      </c>
      <c r="T15" s="391" t="s">
        <v>140</v>
      </c>
      <c r="U15" s="390">
        <v>0.52810000000000001</v>
      </c>
      <c r="V15" s="276"/>
      <c r="W15" s="255"/>
      <c r="X15" s="5"/>
    </row>
    <row r="16" spans="1:24" ht="15.75" x14ac:dyDescent="0.25">
      <c r="A16" s="181"/>
      <c r="B16" s="388" t="s">
        <v>3</v>
      </c>
      <c r="C16" s="255"/>
      <c r="D16" s="255"/>
      <c r="E16" s="255"/>
      <c r="F16" s="255"/>
      <c r="G16" s="255"/>
      <c r="H16" s="389"/>
      <c r="I16" s="389"/>
      <c r="J16" s="389"/>
      <c r="K16" s="389"/>
      <c r="L16" s="389"/>
      <c r="M16" s="389"/>
      <c r="N16" s="389"/>
      <c r="O16" s="389"/>
      <c r="P16" s="389"/>
      <c r="Q16" s="389"/>
      <c r="R16" s="389" t="s">
        <v>104</v>
      </c>
      <c r="S16" s="390">
        <v>0.55220000000000002</v>
      </c>
      <c r="T16" s="391" t="s">
        <v>140</v>
      </c>
      <c r="U16" s="390">
        <v>0.44779999999999998</v>
      </c>
      <c r="V16" s="276"/>
      <c r="W16" s="255"/>
      <c r="X16" s="5"/>
    </row>
    <row r="17" spans="1:24" ht="15.75" x14ac:dyDescent="0.25">
      <c r="A17" s="181"/>
      <c r="B17" s="388" t="s">
        <v>4</v>
      </c>
      <c r="C17" s="255"/>
      <c r="D17" s="255"/>
      <c r="E17" s="255"/>
      <c r="F17" s="255"/>
      <c r="G17" s="255"/>
      <c r="H17" s="255"/>
      <c r="I17" s="255"/>
      <c r="J17" s="255"/>
      <c r="K17" s="255"/>
      <c r="L17" s="255"/>
      <c r="M17" s="255"/>
      <c r="N17" s="255"/>
      <c r="O17" s="255"/>
      <c r="P17" s="255"/>
      <c r="Q17" s="255"/>
      <c r="R17" s="255"/>
      <c r="S17" s="255"/>
      <c r="T17" s="255"/>
      <c r="U17" s="255"/>
      <c r="V17" s="392">
        <v>39282</v>
      </c>
      <c r="W17" s="255"/>
      <c r="X17" s="5"/>
    </row>
    <row r="18" spans="1:24" ht="15.75" x14ac:dyDescent="0.25">
      <c r="A18" s="181"/>
      <c r="B18" s="388" t="s">
        <v>5</v>
      </c>
      <c r="C18" s="255"/>
      <c r="D18" s="255"/>
      <c r="E18" s="255"/>
      <c r="F18" s="255"/>
      <c r="G18" s="255"/>
      <c r="H18" s="255"/>
      <c r="I18" s="255"/>
      <c r="J18" s="255"/>
      <c r="K18" s="255"/>
      <c r="L18" s="255"/>
      <c r="M18" s="255"/>
      <c r="N18" s="255"/>
      <c r="O18" s="255"/>
      <c r="P18" s="255"/>
      <c r="Q18" s="255"/>
      <c r="R18" s="255"/>
      <c r="S18" s="255"/>
      <c r="T18" s="255"/>
      <c r="U18" s="255"/>
      <c r="V18" s="392">
        <v>42269</v>
      </c>
      <c r="W18" s="255"/>
      <c r="X18" s="5"/>
    </row>
    <row r="19" spans="1:24" ht="15.75" x14ac:dyDescent="0.25">
      <c r="A19" s="181"/>
      <c r="B19" s="183"/>
      <c r="C19" s="183"/>
      <c r="D19" s="183"/>
      <c r="E19" s="183"/>
      <c r="F19" s="183"/>
      <c r="G19" s="183"/>
      <c r="H19" s="183"/>
      <c r="I19" s="183"/>
      <c r="J19" s="183"/>
      <c r="K19" s="183"/>
      <c r="L19" s="183"/>
      <c r="M19" s="183"/>
      <c r="N19" s="183"/>
      <c r="O19" s="183"/>
      <c r="P19" s="183"/>
      <c r="Q19" s="183"/>
      <c r="R19" s="183"/>
      <c r="S19" s="183"/>
      <c r="T19" s="183"/>
      <c r="U19" s="183"/>
      <c r="V19" s="190"/>
      <c r="W19" s="183"/>
      <c r="X19" s="5"/>
    </row>
    <row r="20" spans="1:24" ht="15.75" x14ac:dyDescent="0.25">
      <c r="A20" s="181"/>
      <c r="B20" s="280" t="s">
        <v>6</v>
      </c>
      <c r="C20" s="255"/>
      <c r="D20" s="255"/>
      <c r="E20" s="255"/>
      <c r="F20" s="255"/>
      <c r="G20" s="255"/>
      <c r="H20" s="255"/>
      <c r="I20" s="255"/>
      <c r="J20" s="255"/>
      <c r="K20" s="255"/>
      <c r="L20" s="255"/>
      <c r="M20" s="255"/>
      <c r="N20" s="255"/>
      <c r="O20" s="255"/>
      <c r="P20" s="255"/>
      <c r="Q20" s="255"/>
      <c r="R20" s="255"/>
      <c r="S20" s="255"/>
      <c r="T20" s="281" t="s">
        <v>105</v>
      </c>
      <c r="U20" s="255"/>
      <c r="V20" s="261"/>
      <c r="W20" s="183"/>
      <c r="X20" s="5"/>
    </row>
    <row r="21" spans="1:24" ht="15.75" x14ac:dyDescent="0.25">
      <c r="A21" s="181"/>
      <c r="B21" s="183"/>
      <c r="C21" s="183"/>
      <c r="D21" s="183"/>
      <c r="E21" s="183"/>
      <c r="F21" s="183"/>
      <c r="G21" s="183"/>
      <c r="H21" s="183"/>
      <c r="I21" s="183"/>
      <c r="J21" s="183"/>
      <c r="K21" s="183"/>
      <c r="L21" s="183"/>
      <c r="M21" s="183"/>
      <c r="N21" s="183"/>
      <c r="O21" s="183"/>
      <c r="P21" s="183"/>
      <c r="Q21" s="183"/>
      <c r="R21" s="183"/>
      <c r="S21" s="183"/>
      <c r="T21" s="183"/>
      <c r="U21" s="183"/>
      <c r="V21" s="192"/>
      <c r="W21" s="183"/>
      <c r="X21" s="5"/>
    </row>
    <row r="22" spans="1:24" ht="15.75" x14ac:dyDescent="0.25">
      <c r="A22" s="224"/>
      <c r="B22" s="225"/>
      <c r="C22" s="226"/>
      <c r="D22" s="226" t="s">
        <v>177</v>
      </c>
      <c r="E22" s="226"/>
      <c r="F22" s="226" t="s">
        <v>178</v>
      </c>
      <c r="G22" s="226"/>
      <c r="H22" s="226" t="s">
        <v>179</v>
      </c>
      <c r="I22" s="226"/>
      <c r="J22" s="226" t="s">
        <v>219</v>
      </c>
      <c r="K22" s="226"/>
      <c r="L22" s="226" t="s">
        <v>180</v>
      </c>
      <c r="M22" s="226"/>
      <c r="N22" s="226" t="s">
        <v>181</v>
      </c>
      <c r="O22" s="226"/>
      <c r="P22" s="226" t="s">
        <v>182</v>
      </c>
      <c r="Q22" s="226"/>
      <c r="R22" s="226"/>
      <c r="S22" s="228"/>
      <c r="T22" s="228"/>
      <c r="U22" s="229"/>
      <c r="V22" s="229"/>
      <c r="W22" s="225"/>
      <c r="X22" s="5"/>
    </row>
    <row r="23" spans="1:24" ht="15.75" x14ac:dyDescent="0.25">
      <c r="A23" s="193"/>
      <c r="B23" s="250" t="s">
        <v>7</v>
      </c>
      <c r="C23" s="282"/>
      <c r="D23" s="282" t="s">
        <v>212</v>
      </c>
      <c r="E23" s="282"/>
      <c r="F23" s="282" t="s">
        <v>141</v>
      </c>
      <c r="G23" s="282"/>
      <c r="H23" s="282" t="s">
        <v>141</v>
      </c>
      <c r="I23" s="282"/>
      <c r="J23" s="282" t="s">
        <v>141</v>
      </c>
      <c r="K23" s="282"/>
      <c r="L23" s="282" t="s">
        <v>183</v>
      </c>
      <c r="M23" s="282"/>
      <c r="N23" s="282" t="s">
        <v>183</v>
      </c>
      <c r="O23" s="282"/>
      <c r="P23" s="282" t="s">
        <v>142</v>
      </c>
      <c r="Q23" s="282"/>
      <c r="R23" s="282"/>
      <c r="S23" s="282"/>
      <c r="T23" s="282"/>
      <c r="U23" s="273"/>
      <c r="V23" s="273"/>
      <c r="W23" s="250"/>
      <c r="X23" s="5"/>
    </row>
    <row r="24" spans="1:24" ht="15.75" x14ac:dyDescent="0.25">
      <c r="A24" s="285"/>
      <c r="B24" s="286" t="s">
        <v>8</v>
      </c>
      <c r="C24" s="287"/>
      <c r="D24" s="287" t="s">
        <v>213</v>
      </c>
      <c r="E24" s="287"/>
      <c r="F24" s="287" t="s">
        <v>143</v>
      </c>
      <c r="G24" s="287"/>
      <c r="H24" s="287" t="s">
        <v>143</v>
      </c>
      <c r="I24" s="287"/>
      <c r="J24" s="287" t="s">
        <v>143</v>
      </c>
      <c r="K24" s="287"/>
      <c r="L24" s="287" t="s">
        <v>165</v>
      </c>
      <c r="M24" s="287"/>
      <c r="N24" s="287" t="s">
        <v>165</v>
      </c>
      <c r="O24" s="287"/>
      <c r="P24" s="287" t="s">
        <v>144</v>
      </c>
      <c r="Q24" s="287"/>
      <c r="R24" s="287"/>
      <c r="S24" s="287"/>
      <c r="T24" s="287"/>
      <c r="U24" s="288"/>
      <c r="V24" s="288"/>
      <c r="W24" s="289"/>
      <c r="X24" s="5"/>
    </row>
    <row r="25" spans="1:24" ht="15.75" x14ac:dyDescent="0.25">
      <c r="A25" s="290"/>
      <c r="B25" s="286" t="s">
        <v>190</v>
      </c>
      <c r="C25" s="292"/>
      <c r="D25" s="287" t="s">
        <v>214</v>
      </c>
      <c r="E25" s="287"/>
      <c r="F25" s="287" t="s">
        <v>143</v>
      </c>
      <c r="G25" s="287"/>
      <c r="H25" s="287" t="s">
        <v>143</v>
      </c>
      <c r="I25" s="287"/>
      <c r="J25" s="287" t="s">
        <v>143</v>
      </c>
      <c r="K25" s="287"/>
      <c r="L25" s="287" t="s">
        <v>165</v>
      </c>
      <c r="M25" s="287"/>
      <c r="N25" s="287" t="s">
        <v>165</v>
      </c>
      <c r="O25" s="287"/>
      <c r="P25" s="287" t="s">
        <v>144</v>
      </c>
      <c r="Q25" s="287"/>
      <c r="R25" s="287"/>
      <c r="S25" s="292"/>
      <c r="T25" s="287"/>
      <c r="U25" s="288"/>
      <c r="V25" s="288"/>
      <c r="W25" s="289"/>
      <c r="X25" s="5"/>
    </row>
    <row r="26" spans="1:24" ht="15.75" x14ac:dyDescent="0.25">
      <c r="A26" s="393"/>
      <c r="B26" s="297" t="s">
        <v>9</v>
      </c>
      <c r="C26" s="292"/>
      <c r="D26" s="292" t="s">
        <v>141</v>
      </c>
      <c r="E26" s="292"/>
      <c r="F26" s="292" t="s">
        <v>141</v>
      </c>
      <c r="G26" s="292"/>
      <c r="H26" s="292" t="s">
        <v>141</v>
      </c>
      <c r="I26" s="292"/>
      <c r="J26" s="292" t="s">
        <v>141</v>
      </c>
      <c r="K26" s="292"/>
      <c r="L26" s="292" t="s">
        <v>183</v>
      </c>
      <c r="M26" s="292"/>
      <c r="N26" s="292" t="s">
        <v>183</v>
      </c>
      <c r="O26" s="292"/>
      <c r="P26" s="292" t="s">
        <v>142</v>
      </c>
      <c r="Q26" s="292"/>
      <c r="R26" s="292"/>
      <c r="S26" s="292"/>
      <c r="T26" s="287"/>
      <c r="U26" s="288"/>
      <c r="V26" s="288"/>
      <c r="W26" s="289"/>
      <c r="X26" s="5"/>
    </row>
    <row r="27" spans="1:24" ht="15.75" x14ac:dyDescent="0.25">
      <c r="A27" s="295"/>
      <c r="B27" s="297" t="s">
        <v>191</v>
      </c>
      <c r="C27" s="287"/>
      <c r="D27" s="292" t="s">
        <v>143</v>
      </c>
      <c r="E27" s="292"/>
      <c r="F27" s="292" t="s">
        <v>143</v>
      </c>
      <c r="G27" s="292"/>
      <c r="H27" s="292" t="s">
        <v>143</v>
      </c>
      <c r="I27" s="292"/>
      <c r="J27" s="292" t="s">
        <v>143</v>
      </c>
      <c r="K27" s="292"/>
      <c r="L27" s="292" t="s">
        <v>307</v>
      </c>
      <c r="M27" s="292"/>
      <c r="N27" s="292" t="s">
        <v>307</v>
      </c>
      <c r="O27" s="292"/>
      <c r="P27" s="292" t="s">
        <v>332</v>
      </c>
      <c r="Q27" s="292"/>
      <c r="R27" s="292"/>
      <c r="S27" s="287"/>
      <c r="T27" s="296"/>
      <c r="U27" s="288"/>
      <c r="V27" s="288"/>
      <c r="W27" s="289"/>
      <c r="X27" s="5"/>
    </row>
    <row r="28" spans="1:24" ht="15.75" x14ac:dyDescent="0.25">
      <c r="A28" s="295"/>
      <c r="B28" s="297" t="s">
        <v>192</v>
      </c>
      <c r="C28" s="287"/>
      <c r="D28" s="292" t="s">
        <v>143</v>
      </c>
      <c r="E28" s="292"/>
      <c r="F28" s="292" t="s">
        <v>143</v>
      </c>
      <c r="G28" s="292"/>
      <c r="H28" s="292" t="s">
        <v>143</v>
      </c>
      <c r="I28" s="292"/>
      <c r="J28" s="292" t="s">
        <v>143</v>
      </c>
      <c r="K28" s="292"/>
      <c r="L28" s="292" t="s">
        <v>329</v>
      </c>
      <c r="M28" s="292"/>
      <c r="N28" s="292" t="s">
        <v>329</v>
      </c>
      <c r="O28" s="292"/>
      <c r="P28" s="292" t="s">
        <v>330</v>
      </c>
      <c r="Q28" s="292"/>
      <c r="R28" s="292"/>
      <c r="S28" s="287"/>
      <c r="T28" s="296"/>
      <c r="U28" s="288"/>
      <c r="V28" s="288"/>
      <c r="W28" s="289"/>
      <c r="X28" s="5"/>
    </row>
    <row r="29" spans="1:24" ht="15.75" x14ac:dyDescent="0.25">
      <c r="A29" s="295"/>
      <c r="B29" s="286" t="s">
        <v>10</v>
      </c>
      <c r="C29" s="298"/>
      <c r="D29" s="287" t="s">
        <v>242</v>
      </c>
      <c r="E29" s="287"/>
      <c r="F29" s="296" t="s">
        <v>244</v>
      </c>
      <c r="G29" s="287"/>
      <c r="H29" s="287" t="s">
        <v>245</v>
      </c>
      <c r="I29" s="287"/>
      <c r="J29" s="287" t="s">
        <v>247</v>
      </c>
      <c r="K29" s="287"/>
      <c r="L29" s="287" t="s">
        <v>248</v>
      </c>
      <c r="M29" s="287"/>
      <c r="N29" s="287" t="s">
        <v>249</v>
      </c>
      <c r="O29" s="287"/>
      <c r="P29" s="287" t="s">
        <v>250</v>
      </c>
      <c r="Q29" s="287"/>
      <c r="R29" s="287"/>
      <c r="S29" s="299"/>
      <c r="T29" s="299"/>
      <c r="U29" s="300"/>
      <c r="V29" s="299"/>
      <c r="W29" s="301"/>
      <c r="X29" s="5"/>
    </row>
    <row r="30" spans="1:24" ht="15.75" x14ac:dyDescent="0.25">
      <c r="A30" s="295"/>
      <c r="B30" s="286" t="s">
        <v>10</v>
      </c>
      <c r="C30" s="298"/>
      <c r="D30" s="287" t="s">
        <v>243</v>
      </c>
      <c r="E30" s="287"/>
      <c r="F30" s="296" t="s">
        <v>118</v>
      </c>
      <c r="G30" s="287"/>
      <c r="H30" s="287" t="s">
        <v>118</v>
      </c>
      <c r="I30" s="287"/>
      <c r="J30" s="287" t="s">
        <v>246</v>
      </c>
      <c r="K30" s="287"/>
      <c r="L30" s="287" t="s">
        <v>118</v>
      </c>
      <c r="M30" s="287"/>
      <c r="N30" s="287" t="s">
        <v>118</v>
      </c>
      <c r="O30" s="287"/>
      <c r="P30" s="287" t="s">
        <v>118</v>
      </c>
      <c r="Q30" s="287"/>
      <c r="R30" s="287"/>
      <c r="S30" s="299"/>
      <c r="T30" s="299"/>
      <c r="U30" s="300"/>
      <c r="V30" s="299"/>
      <c r="W30" s="301"/>
      <c r="X30" s="5"/>
    </row>
    <row r="31" spans="1:24" ht="15.75" x14ac:dyDescent="0.25">
      <c r="A31" s="393"/>
      <c r="B31" s="286" t="s">
        <v>133</v>
      </c>
      <c r="C31" s="310"/>
      <c r="D31" s="303">
        <v>1000000</v>
      </c>
      <c r="E31" s="298"/>
      <c r="F31" s="299">
        <v>209500</v>
      </c>
      <c r="G31" s="299"/>
      <c r="H31" s="304">
        <v>110000</v>
      </c>
      <c r="I31" s="304"/>
      <c r="J31" s="303">
        <v>150000</v>
      </c>
      <c r="K31" s="299"/>
      <c r="L31" s="299">
        <v>17000</v>
      </c>
      <c r="M31" s="299"/>
      <c r="N31" s="304">
        <v>85500</v>
      </c>
      <c r="O31" s="299"/>
      <c r="P31" s="304">
        <v>110500</v>
      </c>
      <c r="Q31" s="299"/>
      <c r="R31" s="304"/>
      <c r="S31" s="312"/>
      <c r="T31" s="312"/>
      <c r="U31" s="306"/>
      <c r="V31" s="312"/>
      <c r="W31" s="301"/>
      <c r="X31" s="5"/>
    </row>
    <row r="32" spans="1:24" ht="15.75" x14ac:dyDescent="0.25">
      <c r="A32" s="295"/>
      <c r="B32" s="286" t="s">
        <v>132</v>
      </c>
      <c r="C32" s="298"/>
      <c r="D32" s="303">
        <f>D31*D38</f>
        <v>699468.89999999991</v>
      </c>
      <c r="E32" s="298"/>
      <c r="F32" s="299">
        <f>F31*F38</f>
        <v>146539.0907</v>
      </c>
      <c r="G32" s="299"/>
      <c r="H32" s="304">
        <f>H31*H38</f>
        <v>76942.426000000007</v>
      </c>
      <c r="I32" s="304"/>
      <c r="J32" s="303">
        <f>J31*J38</f>
        <v>104920.33499999999</v>
      </c>
      <c r="K32" s="299"/>
      <c r="L32" s="299">
        <f>L31*L38</f>
        <v>17000</v>
      </c>
      <c r="M32" s="299"/>
      <c r="N32" s="304">
        <f>N31*N38</f>
        <v>85500</v>
      </c>
      <c r="O32" s="299"/>
      <c r="P32" s="304">
        <f>P31*P38</f>
        <v>110500</v>
      </c>
      <c r="Q32" s="299"/>
      <c r="R32" s="304"/>
      <c r="S32" s="299"/>
      <c r="T32" s="299"/>
      <c r="U32" s="300"/>
      <c r="V32" s="299"/>
      <c r="W32" s="301"/>
      <c r="X32" s="5"/>
    </row>
    <row r="33" spans="1:27" ht="15.75" x14ac:dyDescent="0.25">
      <c r="A33" s="295"/>
      <c r="B33" s="297" t="s">
        <v>134</v>
      </c>
      <c r="C33" s="298"/>
      <c r="D33" s="394">
        <f>D37*D31</f>
        <v>688771.9</v>
      </c>
      <c r="E33" s="310"/>
      <c r="F33" s="312">
        <f>F37*F31</f>
        <v>144298.0692</v>
      </c>
      <c r="G33" s="312"/>
      <c r="H33" s="395">
        <f>H31*H37</f>
        <v>75765.778000000006</v>
      </c>
      <c r="I33" s="395"/>
      <c r="J33" s="394">
        <f>J37*J31</f>
        <v>103315.785</v>
      </c>
      <c r="K33" s="312"/>
      <c r="L33" s="312">
        <f>L31*L37</f>
        <v>17000</v>
      </c>
      <c r="M33" s="312"/>
      <c r="N33" s="395">
        <f>N31*N37</f>
        <v>85500</v>
      </c>
      <c r="O33" s="312"/>
      <c r="P33" s="395">
        <f>P31*P37</f>
        <v>110500</v>
      </c>
      <c r="Q33" s="312"/>
      <c r="R33" s="395"/>
      <c r="S33" s="299"/>
      <c r="T33" s="299"/>
      <c r="U33" s="300"/>
      <c r="V33" s="299"/>
      <c r="W33" s="301"/>
      <c r="X33" s="5"/>
    </row>
    <row r="34" spans="1:27" ht="15.75" x14ac:dyDescent="0.25">
      <c r="A34" s="393"/>
      <c r="B34" s="286" t="s">
        <v>286</v>
      </c>
      <c r="C34" s="310"/>
      <c r="D34" s="299">
        <v>492951</v>
      </c>
      <c r="E34" s="298"/>
      <c r="F34" s="299">
        <v>209500</v>
      </c>
      <c r="G34" s="299"/>
      <c r="H34" s="299">
        <v>74677</v>
      </c>
      <c r="I34" s="299"/>
      <c r="J34" s="299">
        <v>73943</v>
      </c>
      <c r="K34" s="299"/>
      <c r="L34" s="299">
        <v>17000</v>
      </c>
      <c r="M34" s="299"/>
      <c r="N34" s="299">
        <v>58045</v>
      </c>
      <c r="O34" s="299"/>
      <c r="P34" s="299">
        <v>75017</v>
      </c>
      <c r="Q34" s="299"/>
      <c r="R34" s="299"/>
      <c r="S34" s="312"/>
      <c r="T34" s="312"/>
      <c r="U34" s="306"/>
      <c r="V34" s="299">
        <f>SUM(C34:R34)</f>
        <v>1001133</v>
      </c>
      <c r="W34" s="301"/>
      <c r="X34" s="5"/>
    </row>
    <row r="35" spans="1:27" ht="15.75" x14ac:dyDescent="0.25">
      <c r="A35" s="393"/>
      <c r="B35" s="286" t="s">
        <v>287</v>
      </c>
      <c r="C35" s="310"/>
      <c r="D35" s="299">
        <f>D34*D38</f>
        <v>344803.89372389996</v>
      </c>
      <c r="E35" s="298"/>
      <c r="F35" s="299">
        <f>F34*F38</f>
        <v>146539.0907</v>
      </c>
      <c r="G35" s="299"/>
      <c r="H35" s="299">
        <f>H34*H38</f>
        <v>52234.814058199998</v>
      </c>
      <c r="I35" s="299"/>
      <c r="J35" s="299">
        <f>J34*J38</f>
        <v>51720.828872699996</v>
      </c>
      <c r="K35" s="299"/>
      <c r="L35" s="299">
        <f>L34*L38</f>
        <v>17000</v>
      </c>
      <c r="M35" s="299"/>
      <c r="N35" s="299">
        <f>N34*N38</f>
        <v>58045</v>
      </c>
      <c r="O35" s="299"/>
      <c r="P35" s="299">
        <f>P34*P38</f>
        <v>75017</v>
      </c>
      <c r="Q35" s="299"/>
      <c r="R35" s="299"/>
      <c r="S35" s="299"/>
      <c r="T35" s="299"/>
      <c r="U35" s="300"/>
      <c r="V35" s="299">
        <f>SUM(C35:R35)-1</f>
        <v>745359.6273548</v>
      </c>
      <c r="W35" s="301"/>
      <c r="X35" s="5"/>
    </row>
    <row r="36" spans="1:27" ht="15.75" x14ac:dyDescent="0.25">
      <c r="A36" s="393"/>
      <c r="B36" s="297" t="s">
        <v>288</v>
      </c>
      <c r="C36" s="310"/>
      <c r="D36" s="312">
        <f>D34*D37</f>
        <v>339530.79687690001</v>
      </c>
      <c r="E36" s="310"/>
      <c r="F36" s="312">
        <f>F34*F37</f>
        <v>144298.0692</v>
      </c>
      <c r="G36" s="312"/>
      <c r="H36" s="312">
        <f>H34*H37</f>
        <v>51436.009124600001</v>
      </c>
      <c r="I36" s="312"/>
      <c r="J36" s="312">
        <f>J34*J37</f>
        <v>50929.860601699998</v>
      </c>
      <c r="K36" s="312"/>
      <c r="L36" s="312">
        <f>L34*L37</f>
        <v>17000</v>
      </c>
      <c r="M36" s="312"/>
      <c r="N36" s="312">
        <f>N34*N37</f>
        <v>58045</v>
      </c>
      <c r="O36" s="312"/>
      <c r="P36" s="312">
        <f>P34*P37</f>
        <v>75017</v>
      </c>
      <c r="Q36" s="312"/>
      <c r="R36" s="312"/>
      <c r="S36" s="311"/>
      <c r="T36" s="311"/>
      <c r="U36" s="300"/>
      <c r="V36" s="312">
        <f>SUM(C36:R36)-1</f>
        <v>736255.73580320005</v>
      </c>
      <c r="W36" s="301"/>
      <c r="X36" s="5"/>
    </row>
    <row r="37" spans="1:27" ht="15.75" x14ac:dyDescent="0.25">
      <c r="A37" s="285"/>
      <c r="B37" s="313" t="s">
        <v>130</v>
      </c>
      <c r="C37" s="314"/>
      <c r="D37" s="315">
        <v>0.68877189999999999</v>
      </c>
      <c r="E37" s="315"/>
      <c r="F37" s="315">
        <v>0.68877359999999999</v>
      </c>
      <c r="G37" s="315"/>
      <c r="H37" s="315">
        <v>0.68877980000000005</v>
      </c>
      <c r="I37" s="315"/>
      <c r="J37" s="315">
        <v>0.68877189999999999</v>
      </c>
      <c r="K37" s="315"/>
      <c r="L37" s="315">
        <v>1</v>
      </c>
      <c r="M37" s="315"/>
      <c r="N37" s="315">
        <v>1</v>
      </c>
      <c r="O37" s="315"/>
      <c r="P37" s="315">
        <v>1</v>
      </c>
      <c r="Q37" s="315"/>
      <c r="R37" s="315"/>
      <c r="S37" s="316"/>
      <c r="T37" s="316"/>
      <c r="U37" s="317"/>
      <c r="V37" s="317"/>
      <c r="W37" s="318"/>
      <c r="X37" s="5"/>
    </row>
    <row r="38" spans="1:27" ht="15.75" x14ac:dyDescent="0.25">
      <c r="A38" s="285"/>
      <c r="B38" s="313" t="s">
        <v>131</v>
      </c>
      <c r="C38" s="314"/>
      <c r="D38" s="315">
        <v>0.69946889999999995</v>
      </c>
      <c r="E38" s="315"/>
      <c r="F38" s="315">
        <v>0.69947060000000005</v>
      </c>
      <c r="G38" s="315"/>
      <c r="H38" s="315">
        <v>0.6994766</v>
      </c>
      <c r="I38" s="315"/>
      <c r="J38" s="315">
        <v>0.69946889999999995</v>
      </c>
      <c r="K38" s="315"/>
      <c r="L38" s="315">
        <v>1</v>
      </c>
      <c r="M38" s="315"/>
      <c r="N38" s="315">
        <v>1</v>
      </c>
      <c r="O38" s="315"/>
      <c r="P38" s="315">
        <v>1</v>
      </c>
      <c r="Q38" s="315"/>
      <c r="R38" s="315"/>
      <c r="S38" s="319"/>
      <c r="T38" s="320"/>
      <c r="U38" s="317"/>
      <c r="V38" s="319"/>
      <c r="W38" s="318"/>
      <c r="X38" s="5"/>
    </row>
    <row r="39" spans="1:27" ht="15.75" x14ac:dyDescent="0.25">
      <c r="A39" s="285"/>
      <c r="B39" s="286" t="s">
        <v>11</v>
      </c>
      <c r="C39" s="286"/>
      <c r="D39" s="296" t="s">
        <v>304</v>
      </c>
      <c r="E39" s="286"/>
      <c r="F39" s="296" t="s">
        <v>256</v>
      </c>
      <c r="G39" s="296"/>
      <c r="H39" s="296" t="s">
        <v>257</v>
      </c>
      <c r="I39" s="296"/>
      <c r="J39" s="296" t="s">
        <v>258</v>
      </c>
      <c r="K39" s="296"/>
      <c r="L39" s="296" t="s">
        <v>259</v>
      </c>
      <c r="M39" s="296"/>
      <c r="N39" s="296" t="s">
        <v>259</v>
      </c>
      <c r="O39" s="296"/>
      <c r="P39" s="296" t="s">
        <v>260</v>
      </c>
      <c r="Q39" s="296"/>
      <c r="R39" s="296"/>
      <c r="S39" s="321"/>
      <c r="T39" s="322"/>
      <c r="U39" s="288"/>
      <c r="V39" s="288"/>
      <c r="W39" s="289"/>
      <c r="X39" s="5"/>
    </row>
    <row r="40" spans="1:27" ht="15.75" x14ac:dyDescent="0.25">
      <c r="A40" s="285"/>
      <c r="B40" s="286" t="s">
        <v>12</v>
      </c>
      <c r="C40" s="286"/>
      <c r="D40" s="322">
        <v>3.7759999999999998E-3</v>
      </c>
      <c r="E40" s="286"/>
      <c r="F40" s="322">
        <v>8.3125000000000004E-3</v>
      </c>
      <c r="G40" s="321"/>
      <c r="H40" s="322">
        <v>2.2599999999999999E-3</v>
      </c>
      <c r="I40" s="322"/>
      <c r="J40" s="322">
        <v>5.0584999999999996E-3</v>
      </c>
      <c r="K40" s="321"/>
      <c r="L40" s="322">
        <v>1.1112500000000001E-2</v>
      </c>
      <c r="M40" s="321"/>
      <c r="N40" s="322">
        <v>5.2599999999999999E-3</v>
      </c>
      <c r="O40" s="321"/>
      <c r="P40" s="322">
        <v>1.086E-2</v>
      </c>
      <c r="Q40" s="321"/>
      <c r="R40" s="322"/>
      <c r="S40" s="321"/>
      <c r="T40" s="322"/>
      <c r="U40" s="288"/>
      <c r="V40" s="296"/>
      <c r="W40" s="289"/>
      <c r="X40" s="5"/>
      <c r="AA40" s="1" t="s">
        <v>193</v>
      </c>
    </row>
    <row r="41" spans="1:27" ht="15.75" x14ac:dyDescent="0.25">
      <c r="A41" s="285"/>
      <c r="B41" s="286" t="s">
        <v>13</v>
      </c>
      <c r="C41" s="286"/>
      <c r="D41" s="322">
        <v>3.656E-3</v>
      </c>
      <c r="E41" s="286"/>
      <c r="F41" s="322">
        <v>8.2400000000000008E-3</v>
      </c>
      <c r="G41" s="321"/>
      <c r="H41" s="322">
        <v>2.6700000000000001E-3</v>
      </c>
      <c r="I41" s="322"/>
      <c r="J41" s="322">
        <v>4.9059999999999998E-3</v>
      </c>
      <c r="K41" s="321"/>
      <c r="L41" s="322">
        <v>1.1039999999999999E-2</v>
      </c>
      <c r="M41" s="321"/>
      <c r="N41" s="322">
        <v>5.6699999999999997E-3</v>
      </c>
      <c r="O41" s="321"/>
      <c r="P41" s="322">
        <v>1.1270000000000001E-2</v>
      </c>
      <c r="Q41" s="321"/>
      <c r="R41" s="322"/>
      <c r="S41" s="321"/>
      <c r="T41" s="322"/>
      <c r="U41" s="288"/>
      <c r="V41" s="321" t="s">
        <v>193</v>
      </c>
      <c r="W41" s="289"/>
      <c r="X41" s="5"/>
    </row>
    <row r="42" spans="1:27" ht="15.75" x14ac:dyDescent="0.25">
      <c r="A42" s="285"/>
      <c r="B42" s="286" t="s">
        <v>289</v>
      </c>
      <c r="C42" s="286"/>
      <c r="D42" s="296" t="s">
        <v>311</v>
      </c>
      <c r="E42" s="286"/>
      <c r="F42" s="296" t="s">
        <v>256</v>
      </c>
      <c r="G42" s="296"/>
      <c r="H42" s="296" t="s">
        <v>261</v>
      </c>
      <c r="I42" s="296"/>
      <c r="J42" s="296" t="s">
        <v>261</v>
      </c>
      <c r="K42" s="296"/>
      <c r="L42" s="296" t="s">
        <v>259</v>
      </c>
      <c r="M42" s="296"/>
      <c r="N42" s="296" t="s">
        <v>263</v>
      </c>
      <c r="O42" s="296"/>
      <c r="P42" s="296" t="s">
        <v>264</v>
      </c>
      <c r="Q42" s="296"/>
      <c r="R42" s="296"/>
      <c r="S42" s="321"/>
      <c r="T42" s="322"/>
      <c r="U42" s="288"/>
      <c r="V42" s="288"/>
      <c r="W42" s="289"/>
      <c r="X42" s="5"/>
    </row>
    <row r="43" spans="1:27" ht="15.75" x14ac:dyDescent="0.25">
      <c r="A43" s="285"/>
      <c r="B43" s="286" t="s">
        <v>290</v>
      </c>
      <c r="C43" s="323"/>
      <c r="D43" s="322">
        <v>7.7093999999999999E-3</v>
      </c>
      <c r="E43" s="322"/>
      <c r="F43" s="322">
        <f>+F40</f>
        <v>8.3125000000000004E-3</v>
      </c>
      <c r="G43" s="322"/>
      <c r="H43" s="322">
        <v>8.4624999999999995E-3</v>
      </c>
      <c r="I43" s="322"/>
      <c r="J43" s="322">
        <v>8.4925E-3</v>
      </c>
      <c r="K43" s="322"/>
      <c r="L43" s="322">
        <f>+L40</f>
        <v>1.1112500000000001E-2</v>
      </c>
      <c r="M43" s="322"/>
      <c r="N43" s="322">
        <v>1.1846499999999999E-2</v>
      </c>
      <c r="O43" s="322"/>
      <c r="P43" s="322">
        <v>1.8006500000000002E-2</v>
      </c>
      <c r="Q43" s="321"/>
      <c r="R43" s="322"/>
      <c r="S43" s="296"/>
      <c r="T43" s="296"/>
      <c r="U43" s="288"/>
      <c r="V43" s="321">
        <f>SUMPRODUCT(D43:R43,D35:R35)/V35</f>
        <v>9.3712478239216298E-3</v>
      </c>
      <c r="W43" s="289"/>
      <c r="X43" s="5"/>
    </row>
    <row r="44" spans="1:27" ht="15.75" x14ac:dyDescent="0.25">
      <c r="A44" s="285"/>
      <c r="B44" s="286" t="s">
        <v>291</v>
      </c>
      <c r="C44" s="323"/>
      <c r="D44" s="322">
        <v>7.6369000000000003E-3</v>
      </c>
      <c r="E44" s="322"/>
      <c r="F44" s="322">
        <f>+F41</f>
        <v>8.2400000000000008E-3</v>
      </c>
      <c r="G44" s="322"/>
      <c r="H44" s="322">
        <v>8.3899999999999999E-3</v>
      </c>
      <c r="I44" s="322"/>
      <c r="J44" s="322">
        <v>8.4200000000000004E-3</v>
      </c>
      <c r="K44" s="322"/>
      <c r="L44" s="322">
        <f>+L41</f>
        <v>1.1039999999999999E-2</v>
      </c>
      <c r="M44" s="322"/>
      <c r="N44" s="322">
        <v>1.1774E-2</v>
      </c>
      <c r="O44" s="322"/>
      <c r="P44" s="322">
        <v>1.7933999999999999E-2</v>
      </c>
      <c r="Q44" s="321"/>
      <c r="R44" s="322"/>
      <c r="S44" s="296"/>
      <c r="T44" s="296"/>
      <c r="U44" s="288"/>
      <c r="V44" s="288"/>
      <c r="W44" s="289"/>
      <c r="X44" s="5"/>
    </row>
    <row r="45" spans="1:27" ht="15.75" x14ac:dyDescent="0.25">
      <c r="A45" s="285"/>
      <c r="B45" s="286" t="s">
        <v>14</v>
      </c>
      <c r="C45" s="286"/>
      <c r="D45" s="323">
        <v>40709</v>
      </c>
      <c r="E45" s="323"/>
      <c r="F45" s="323">
        <v>40709</v>
      </c>
      <c r="G45" s="323"/>
      <c r="H45" s="323">
        <v>40709</v>
      </c>
      <c r="I45" s="323"/>
      <c r="J45" s="323">
        <v>40709</v>
      </c>
      <c r="K45" s="323"/>
      <c r="L45" s="323">
        <v>40709</v>
      </c>
      <c r="M45" s="323"/>
      <c r="N45" s="323">
        <v>40709</v>
      </c>
      <c r="O45" s="323"/>
      <c r="P45" s="323">
        <v>40709</v>
      </c>
      <c r="Q45" s="323"/>
      <c r="R45" s="323"/>
      <c r="S45" s="296"/>
      <c r="T45" s="296"/>
      <c r="U45" s="288"/>
      <c r="V45" s="288"/>
      <c r="W45" s="289"/>
      <c r="X45" s="5"/>
    </row>
    <row r="46" spans="1:27" ht="15.75" x14ac:dyDescent="0.25">
      <c r="A46" s="285"/>
      <c r="B46" s="286" t="s">
        <v>15</v>
      </c>
      <c r="C46" s="286"/>
      <c r="D46" s="323">
        <v>41075</v>
      </c>
      <c r="E46" s="323"/>
      <c r="F46" s="323">
        <v>41075</v>
      </c>
      <c r="G46" s="323"/>
      <c r="H46" s="323">
        <v>41075</v>
      </c>
      <c r="I46" s="323"/>
      <c r="J46" s="323">
        <v>41075</v>
      </c>
      <c r="K46" s="296"/>
      <c r="L46" s="323">
        <v>41075</v>
      </c>
      <c r="M46" s="296"/>
      <c r="N46" s="323">
        <v>41075</v>
      </c>
      <c r="O46" s="296"/>
      <c r="P46" s="323">
        <v>41075</v>
      </c>
      <c r="Q46" s="296"/>
      <c r="R46" s="323"/>
      <c r="S46" s="296"/>
      <c r="T46" s="296"/>
      <c r="U46" s="288"/>
      <c r="V46" s="288"/>
      <c r="W46" s="289"/>
      <c r="X46" s="5"/>
    </row>
    <row r="47" spans="1:27" ht="15.75" x14ac:dyDescent="0.25">
      <c r="A47" s="285"/>
      <c r="B47" s="286" t="s">
        <v>119</v>
      </c>
      <c r="C47" s="286"/>
      <c r="D47" s="296" t="s">
        <v>304</v>
      </c>
      <c r="E47" s="286"/>
      <c r="F47" s="296" t="s">
        <v>256</v>
      </c>
      <c r="G47" s="296"/>
      <c r="H47" s="296" t="s">
        <v>257</v>
      </c>
      <c r="I47" s="296"/>
      <c r="J47" s="296" t="s">
        <v>258</v>
      </c>
      <c r="K47" s="296"/>
      <c r="L47" s="296" t="s">
        <v>259</v>
      </c>
      <c r="M47" s="296"/>
      <c r="N47" s="296" t="s">
        <v>259</v>
      </c>
      <c r="O47" s="296"/>
      <c r="P47" s="296" t="s">
        <v>260</v>
      </c>
      <c r="Q47" s="296"/>
      <c r="R47" s="296"/>
      <c r="S47" s="325"/>
      <c r="T47" s="325"/>
      <c r="U47" s="325"/>
      <c r="V47" s="325"/>
      <c r="W47" s="289"/>
      <c r="X47" s="5"/>
    </row>
    <row r="48" spans="1:27" ht="15.75" x14ac:dyDescent="0.25">
      <c r="A48" s="285"/>
      <c r="B48" s="286" t="s">
        <v>292</v>
      </c>
      <c r="C48" s="286"/>
      <c r="D48" s="296" t="s">
        <v>311</v>
      </c>
      <c r="E48" s="286"/>
      <c r="F48" s="296" t="s">
        <v>256</v>
      </c>
      <c r="G48" s="296"/>
      <c r="H48" s="296" t="s">
        <v>261</v>
      </c>
      <c r="I48" s="296"/>
      <c r="J48" s="296" t="s">
        <v>261</v>
      </c>
      <c r="K48" s="296"/>
      <c r="L48" s="296" t="s">
        <v>259</v>
      </c>
      <c r="M48" s="296"/>
      <c r="N48" s="296" t="s">
        <v>263</v>
      </c>
      <c r="O48" s="296"/>
      <c r="P48" s="296" t="s">
        <v>264</v>
      </c>
      <c r="Q48" s="296"/>
      <c r="R48" s="296"/>
      <c r="S48" s="286"/>
      <c r="T48" s="286"/>
      <c r="U48" s="286"/>
      <c r="V48" s="321"/>
      <c r="W48" s="289"/>
      <c r="X48" s="5"/>
    </row>
    <row r="49" spans="1:25" ht="15.75" x14ac:dyDescent="0.25">
      <c r="A49" s="285"/>
      <c r="B49" s="286"/>
      <c r="C49" s="286"/>
      <c r="D49" s="296"/>
      <c r="E49" s="286"/>
      <c r="F49" s="296"/>
      <c r="G49" s="296"/>
      <c r="H49" s="296"/>
      <c r="I49" s="296"/>
      <c r="J49" s="296"/>
      <c r="K49" s="296"/>
      <c r="L49" s="296"/>
      <c r="M49" s="296"/>
      <c r="N49" s="296"/>
      <c r="O49" s="296"/>
      <c r="P49" s="296"/>
      <c r="Q49" s="296"/>
      <c r="R49" s="296"/>
      <c r="S49" s="286"/>
      <c r="T49" s="286"/>
      <c r="U49" s="286"/>
      <c r="V49" s="321" t="s">
        <v>193</v>
      </c>
      <c r="W49" s="289"/>
      <c r="X49" s="5"/>
    </row>
    <row r="50" spans="1:25" ht="15.75" x14ac:dyDescent="0.25">
      <c r="A50" s="285"/>
      <c r="B50" s="286" t="s">
        <v>169</v>
      </c>
      <c r="C50" s="286"/>
      <c r="D50" s="296"/>
      <c r="E50" s="286"/>
      <c r="F50" s="296"/>
      <c r="G50" s="296"/>
      <c r="H50" s="296"/>
      <c r="I50" s="296"/>
      <c r="J50" s="296"/>
      <c r="K50" s="296"/>
      <c r="L50" s="296"/>
      <c r="M50" s="296"/>
      <c r="N50" s="296"/>
      <c r="O50" s="296"/>
      <c r="P50" s="296"/>
      <c r="Q50" s="296"/>
      <c r="R50" s="296"/>
      <c r="S50" s="286"/>
      <c r="T50" s="286"/>
      <c r="U50" s="286"/>
      <c r="V50" s="321">
        <f>SUM(L34:R34)/SUM(D34:J34)</f>
        <v>0.17632136449250416</v>
      </c>
      <c r="W50" s="289"/>
      <c r="X50" s="5"/>
    </row>
    <row r="51" spans="1:25" ht="15.75" x14ac:dyDescent="0.25">
      <c r="A51" s="285"/>
      <c r="B51" s="286" t="s">
        <v>170</v>
      </c>
      <c r="C51" s="286"/>
      <c r="D51" s="286"/>
      <c r="E51" s="286"/>
      <c r="F51" s="326"/>
      <c r="G51" s="286"/>
      <c r="H51" s="286"/>
      <c r="I51" s="286"/>
      <c r="J51" s="286"/>
      <c r="K51" s="286"/>
      <c r="L51" s="286"/>
      <c r="M51" s="286"/>
      <c r="N51" s="286"/>
      <c r="O51" s="286"/>
      <c r="P51" s="286"/>
      <c r="Q51" s="286"/>
      <c r="R51" s="286"/>
      <c r="S51" s="286"/>
      <c r="T51" s="286"/>
      <c r="U51" s="286"/>
      <c r="V51" s="321">
        <f>SUM(L36:R36)/SUM(D36:J36)</f>
        <v>0.25599342818114201</v>
      </c>
      <c r="W51" s="289"/>
      <c r="X51" s="5"/>
    </row>
    <row r="52" spans="1:25" ht="15.75" x14ac:dyDescent="0.25">
      <c r="A52" s="285"/>
      <c r="B52" s="286" t="s">
        <v>171</v>
      </c>
      <c r="C52" s="286"/>
      <c r="D52" s="286"/>
      <c r="E52" s="286"/>
      <c r="F52" s="286"/>
      <c r="G52" s="286"/>
      <c r="H52" s="286"/>
      <c r="I52" s="286"/>
      <c r="J52" s="286"/>
      <c r="K52" s="286"/>
      <c r="L52" s="286"/>
      <c r="M52" s="286"/>
      <c r="N52" s="286"/>
      <c r="O52" s="286"/>
      <c r="P52" s="286"/>
      <c r="Q52" s="286"/>
      <c r="R52" s="286"/>
      <c r="S52" s="286"/>
      <c r="T52" s="296"/>
      <c r="U52" s="296"/>
      <c r="V52" s="299" t="s">
        <v>268</v>
      </c>
      <c r="W52" s="289"/>
      <c r="X52" s="5"/>
    </row>
    <row r="53" spans="1:25" ht="15.75" x14ac:dyDescent="0.25">
      <c r="A53" s="285"/>
      <c r="B53" s="286"/>
      <c r="C53" s="286"/>
      <c r="D53" s="286"/>
      <c r="E53" s="286"/>
      <c r="F53" s="286"/>
      <c r="G53" s="286"/>
      <c r="H53" s="286"/>
      <c r="I53" s="286"/>
      <c r="J53" s="286"/>
      <c r="K53" s="286"/>
      <c r="L53" s="286"/>
      <c r="M53" s="286"/>
      <c r="N53" s="286"/>
      <c r="O53" s="286"/>
      <c r="P53" s="286"/>
      <c r="Q53" s="286"/>
      <c r="R53" s="286"/>
      <c r="S53" s="286"/>
      <c r="T53" s="286"/>
      <c r="U53" s="286"/>
      <c r="V53" s="327"/>
      <c r="W53" s="289"/>
      <c r="X53" s="5"/>
    </row>
    <row r="54" spans="1:25" ht="15.75" x14ac:dyDescent="0.25">
      <c r="A54" s="285"/>
      <c r="B54" s="286" t="s">
        <v>202</v>
      </c>
      <c r="C54" s="286"/>
      <c r="D54" s="286"/>
      <c r="E54" s="286"/>
      <c r="F54" s="286"/>
      <c r="G54" s="286"/>
      <c r="H54" s="286"/>
      <c r="I54" s="286"/>
      <c r="J54" s="286"/>
      <c r="K54" s="286"/>
      <c r="L54" s="286"/>
      <c r="M54" s="286"/>
      <c r="N54" s="286"/>
      <c r="O54" s="286"/>
      <c r="P54" s="286"/>
      <c r="Q54" s="286"/>
      <c r="R54" s="286"/>
      <c r="S54" s="286"/>
      <c r="T54" s="286"/>
      <c r="U54" s="286"/>
      <c r="V54" s="311" t="s">
        <v>203</v>
      </c>
      <c r="W54" s="289"/>
      <c r="X54" s="5"/>
    </row>
    <row r="55" spans="1:25" ht="15.75" x14ac:dyDescent="0.25">
      <c r="A55" s="285"/>
      <c r="B55" s="286" t="s">
        <v>270</v>
      </c>
      <c r="C55" s="286"/>
      <c r="D55" s="286"/>
      <c r="E55" s="286"/>
      <c r="F55" s="286"/>
      <c r="G55" s="286"/>
      <c r="H55" s="286"/>
      <c r="I55" s="286"/>
      <c r="J55" s="286"/>
      <c r="K55" s="286"/>
      <c r="L55" s="286"/>
      <c r="M55" s="286"/>
      <c r="N55" s="286"/>
      <c r="O55" s="286"/>
      <c r="P55" s="286"/>
      <c r="Q55" s="286"/>
      <c r="R55" s="286"/>
      <c r="S55" s="286"/>
      <c r="T55" s="296"/>
      <c r="U55" s="296"/>
      <c r="V55" s="396" t="s">
        <v>111</v>
      </c>
      <c r="W55" s="289"/>
      <c r="X55" s="5"/>
    </row>
    <row r="56" spans="1:25" ht="15.75" x14ac:dyDescent="0.25">
      <c r="A56" s="285"/>
      <c r="B56" s="297" t="s">
        <v>201</v>
      </c>
      <c r="C56" s="297"/>
      <c r="D56" s="297"/>
      <c r="E56" s="297"/>
      <c r="F56" s="297"/>
      <c r="G56" s="297"/>
      <c r="H56" s="297"/>
      <c r="I56" s="297"/>
      <c r="J56" s="297"/>
      <c r="K56" s="297"/>
      <c r="L56" s="297"/>
      <c r="M56" s="297"/>
      <c r="N56" s="297"/>
      <c r="O56" s="297"/>
      <c r="P56" s="297"/>
      <c r="Q56" s="297"/>
      <c r="R56" s="297"/>
      <c r="S56" s="297"/>
      <c r="T56" s="397"/>
      <c r="U56" s="397"/>
      <c r="V56" s="398">
        <v>42262</v>
      </c>
      <c r="W56" s="289"/>
      <c r="X56" s="5"/>
    </row>
    <row r="57" spans="1:25" ht="15.75" x14ac:dyDescent="0.25">
      <c r="A57" s="285"/>
      <c r="B57" s="286" t="s">
        <v>121</v>
      </c>
      <c r="C57" s="286"/>
      <c r="D57" s="286"/>
      <c r="E57" s="286"/>
      <c r="F57" s="286"/>
      <c r="G57" s="286"/>
      <c r="H57" s="332"/>
      <c r="I57" s="332"/>
      <c r="J57" s="332"/>
      <c r="K57" s="332"/>
      <c r="L57" s="332"/>
      <c r="M57" s="332"/>
      <c r="N57" s="332"/>
      <c r="O57" s="332"/>
      <c r="P57" s="332"/>
      <c r="Q57" s="332"/>
      <c r="R57" s="286">
        <f>+V57-T57+1</f>
        <v>91</v>
      </c>
      <c r="S57" s="332"/>
      <c r="T57" s="333">
        <v>42079</v>
      </c>
      <c r="U57" s="334"/>
      <c r="V57" s="333">
        <v>42169</v>
      </c>
      <c r="W57" s="289"/>
      <c r="X57" s="5"/>
    </row>
    <row r="58" spans="1:25" ht="15.75" x14ac:dyDescent="0.25">
      <c r="A58" s="285"/>
      <c r="B58" s="286" t="s">
        <v>122</v>
      </c>
      <c r="C58" s="286"/>
      <c r="D58" s="286"/>
      <c r="E58" s="286"/>
      <c r="F58" s="286"/>
      <c r="G58" s="286"/>
      <c r="H58" s="286"/>
      <c r="I58" s="286"/>
      <c r="J58" s="286"/>
      <c r="K58" s="286"/>
      <c r="L58" s="286"/>
      <c r="M58" s="286"/>
      <c r="N58" s="286"/>
      <c r="O58" s="286"/>
      <c r="P58" s="286"/>
      <c r="Q58" s="286"/>
      <c r="R58" s="286">
        <f>+V58-T58+1</f>
        <v>92</v>
      </c>
      <c r="S58" s="286"/>
      <c r="T58" s="333">
        <v>42170</v>
      </c>
      <c r="U58" s="334"/>
      <c r="V58" s="333">
        <v>42261</v>
      </c>
      <c r="W58" s="289"/>
      <c r="X58" s="5"/>
    </row>
    <row r="59" spans="1:25" ht="15.75" x14ac:dyDescent="0.25">
      <c r="A59" s="285"/>
      <c r="B59" s="286" t="s">
        <v>223</v>
      </c>
      <c r="C59" s="286"/>
      <c r="D59" s="286"/>
      <c r="E59" s="286"/>
      <c r="F59" s="286"/>
      <c r="G59" s="286"/>
      <c r="H59" s="286"/>
      <c r="I59" s="286"/>
      <c r="J59" s="286"/>
      <c r="K59" s="286"/>
      <c r="L59" s="286"/>
      <c r="M59" s="286"/>
      <c r="N59" s="286"/>
      <c r="O59" s="286"/>
      <c r="P59" s="286"/>
      <c r="Q59" s="286"/>
      <c r="R59" s="286"/>
      <c r="S59" s="286"/>
      <c r="T59" s="333"/>
      <c r="U59" s="334"/>
      <c r="V59" s="333" t="s">
        <v>120</v>
      </c>
      <c r="W59" s="289"/>
      <c r="X59" s="5"/>
    </row>
    <row r="60" spans="1:25" ht="15.75" x14ac:dyDescent="0.25">
      <c r="A60" s="285"/>
      <c r="B60" s="286" t="s">
        <v>271</v>
      </c>
      <c r="C60" s="286"/>
      <c r="D60" s="286"/>
      <c r="E60" s="286"/>
      <c r="F60" s="286"/>
      <c r="G60" s="286"/>
      <c r="H60" s="286"/>
      <c r="I60" s="286"/>
      <c r="J60" s="286"/>
      <c r="K60" s="286"/>
      <c r="L60" s="286"/>
      <c r="M60" s="286"/>
      <c r="N60" s="286"/>
      <c r="O60" s="286"/>
      <c r="P60" s="286"/>
      <c r="Q60" s="286"/>
      <c r="R60" s="286"/>
      <c r="S60" s="286"/>
      <c r="T60" s="333"/>
      <c r="U60" s="334"/>
      <c r="V60" s="333" t="s">
        <v>154</v>
      </c>
      <c r="W60" s="289"/>
      <c r="X60" s="5"/>
      <c r="Y60" s="133"/>
    </row>
    <row r="61" spans="1:25" ht="15.75" x14ac:dyDescent="0.25">
      <c r="A61" s="285"/>
      <c r="B61" s="286" t="s">
        <v>16</v>
      </c>
      <c r="C61" s="286"/>
      <c r="D61" s="286"/>
      <c r="E61" s="286"/>
      <c r="F61" s="286"/>
      <c r="G61" s="286"/>
      <c r="H61" s="286"/>
      <c r="I61" s="286"/>
      <c r="J61" s="286"/>
      <c r="K61" s="286"/>
      <c r="L61" s="286"/>
      <c r="M61" s="286"/>
      <c r="N61" s="286"/>
      <c r="O61" s="286"/>
      <c r="P61" s="286"/>
      <c r="Q61" s="286"/>
      <c r="R61" s="286"/>
      <c r="S61" s="286"/>
      <c r="T61" s="333"/>
      <c r="U61" s="334"/>
      <c r="V61" s="333">
        <v>42248</v>
      </c>
      <c r="W61" s="289"/>
      <c r="X61" s="5"/>
    </row>
    <row r="62" spans="1:25" ht="15.75" x14ac:dyDescent="0.25">
      <c r="A62" s="181"/>
      <c r="B62" s="212"/>
      <c r="C62" s="212"/>
      <c r="D62" s="212"/>
      <c r="E62" s="212"/>
      <c r="F62" s="212"/>
      <c r="G62" s="212"/>
      <c r="H62" s="212"/>
      <c r="I62" s="212"/>
      <c r="J62" s="212"/>
      <c r="K62" s="212"/>
      <c r="L62" s="212"/>
      <c r="M62" s="212"/>
      <c r="N62" s="212"/>
      <c r="O62" s="212"/>
      <c r="P62" s="212"/>
      <c r="Q62" s="212"/>
      <c r="R62" s="212"/>
      <c r="S62" s="212"/>
      <c r="T62" s="283"/>
      <c r="U62" s="284"/>
      <c r="V62" s="283"/>
      <c r="W62" s="212"/>
      <c r="X62" s="5"/>
    </row>
    <row r="63" spans="1:25" ht="15.75" x14ac:dyDescent="0.25">
      <c r="A63" s="181"/>
      <c r="B63" s="183"/>
      <c r="C63" s="183"/>
      <c r="D63" s="183"/>
      <c r="E63" s="183"/>
      <c r="F63" s="183"/>
      <c r="G63" s="183"/>
      <c r="H63" s="183"/>
      <c r="I63" s="183"/>
      <c r="J63" s="183"/>
      <c r="K63" s="183"/>
      <c r="L63" s="183"/>
      <c r="M63" s="183"/>
      <c r="N63" s="183"/>
      <c r="O63" s="183"/>
      <c r="P63" s="183"/>
      <c r="Q63" s="183"/>
      <c r="R63" s="183"/>
      <c r="S63" s="183"/>
      <c r="T63" s="195"/>
      <c r="U63" s="196"/>
      <c r="V63" s="195"/>
      <c r="W63" s="183"/>
      <c r="X63" s="5"/>
    </row>
    <row r="64" spans="1:25" ht="19.5" thickBot="1" x14ac:dyDescent="0.35">
      <c r="A64" s="197"/>
      <c r="B64" s="270" t="s">
        <v>331</v>
      </c>
      <c r="C64" s="198"/>
      <c r="D64" s="198"/>
      <c r="E64" s="198"/>
      <c r="F64" s="198"/>
      <c r="G64" s="198"/>
      <c r="H64" s="198"/>
      <c r="I64" s="198"/>
      <c r="J64" s="198"/>
      <c r="K64" s="198"/>
      <c r="L64" s="198"/>
      <c r="M64" s="198"/>
      <c r="N64" s="198"/>
      <c r="O64" s="198"/>
      <c r="P64" s="198"/>
      <c r="Q64" s="198"/>
      <c r="R64" s="198"/>
      <c r="S64" s="198"/>
      <c r="T64" s="198"/>
      <c r="U64" s="198"/>
      <c r="V64" s="199"/>
      <c r="W64" s="200"/>
      <c r="X64" s="5"/>
    </row>
    <row r="65" spans="1:24" ht="15.75" x14ac:dyDescent="0.25">
      <c r="A65" s="224"/>
      <c r="B65" s="230" t="s">
        <v>17</v>
      </c>
      <c r="C65" s="225"/>
      <c r="D65" s="225"/>
      <c r="E65" s="225"/>
      <c r="F65" s="225"/>
      <c r="G65" s="225"/>
      <c r="H65" s="225"/>
      <c r="I65" s="225"/>
      <c r="J65" s="225"/>
      <c r="K65" s="225"/>
      <c r="L65" s="225"/>
      <c r="M65" s="225"/>
      <c r="N65" s="225"/>
      <c r="O65" s="225"/>
      <c r="P65" s="225"/>
      <c r="Q65" s="225"/>
      <c r="R65" s="225"/>
      <c r="S65" s="225"/>
      <c r="T65" s="225"/>
      <c r="U65" s="225"/>
      <c r="V65" s="231"/>
      <c r="W65" s="225"/>
      <c r="X65" s="5"/>
    </row>
    <row r="66" spans="1:24" ht="15.75" x14ac:dyDescent="0.25">
      <c r="A66" s="181"/>
      <c r="B66" s="189"/>
      <c r="C66" s="183"/>
      <c r="D66" s="183"/>
      <c r="E66" s="183"/>
      <c r="F66" s="183"/>
      <c r="G66" s="183"/>
      <c r="H66" s="183"/>
      <c r="I66" s="183"/>
      <c r="J66" s="183"/>
      <c r="K66" s="183"/>
      <c r="L66" s="183"/>
      <c r="M66" s="183"/>
      <c r="N66" s="183"/>
      <c r="O66" s="183"/>
      <c r="P66" s="183"/>
      <c r="Q66" s="183"/>
      <c r="R66" s="183"/>
      <c r="S66" s="183"/>
      <c r="T66" s="183"/>
      <c r="U66" s="183"/>
      <c r="V66" s="202"/>
      <c r="W66" s="183"/>
      <c r="X66" s="5"/>
    </row>
    <row r="67" spans="1:24" ht="47.25" x14ac:dyDescent="0.25">
      <c r="A67" s="181"/>
      <c r="B67" s="203" t="s">
        <v>18</v>
      </c>
      <c r="C67" s="204"/>
      <c r="D67" s="204"/>
      <c r="E67" s="204"/>
      <c r="F67" s="204"/>
      <c r="G67" s="204"/>
      <c r="H67" s="204"/>
      <c r="I67" s="204"/>
      <c r="J67" s="204"/>
      <c r="K67" s="204"/>
      <c r="L67" s="204" t="s">
        <v>94</v>
      </c>
      <c r="M67" s="204"/>
      <c r="N67" s="204" t="s">
        <v>96</v>
      </c>
      <c r="O67" s="204"/>
      <c r="P67" s="204" t="s">
        <v>98</v>
      </c>
      <c r="Q67" s="204"/>
      <c r="R67" s="204" t="s">
        <v>100</v>
      </c>
      <c r="S67" s="204"/>
      <c r="T67" s="204" t="s">
        <v>106</v>
      </c>
      <c r="U67" s="204"/>
      <c r="V67" s="205" t="s">
        <v>112</v>
      </c>
      <c r="W67" s="206"/>
      <c r="X67" s="5"/>
    </row>
    <row r="68" spans="1:24" ht="15.75" x14ac:dyDescent="0.25">
      <c r="A68" s="285"/>
      <c r="B68" s="286" t="s">
        <v>19</v>
      </c>
      <c r="C68" s="337"/>
      <c r="D68" s="337"/>
      <c r="E68" s="337"/>
      <c r="F68" s="337"/>
      <c r="G68" s="337"/>
      <c r="H68" s="337"/>
      <c r="I68" s="337"/>
      <c r="J68" s="337"/>
      <c r="K68" s="337"/>
      <c r="L68" s="337">
        <v>812446</v>
      </c>
      <c r="M68" s="337"/>
      <c r="N68" s="338">
        <v>745360</v>
      </c>
      <c r="O68" s="337"/>
      <c r="P68" s="337">
        <f>9104+124+53+8</f>
        <v>9289</v>
      </c>
      <c r="Q68" s="337"/>
      <c r="R68" s="337">
        <f>124+53+8</f>
        <v>185</v>
      </c>
      <c r="S68" s="337"/>
      <c r="T68" s="337">
        <v>0</v>
      </c>
      <c r="U68" s="337"/>
      <c r="V68" s="338">
        <f>+N68-P68+R68-T68</f>
        <v>736256</v>
      </c>
      <c r="W68" s="289"/>
      <c r="X68" s="5"/>
    </row>
    <row r="69" spans="1:24" ht="15.75" x14ac:dyDescent="0.25">
      <c r="A69" s="285"/>
      <c r="B69" s="286" t="s">
        <v>20</v>
      </c>
      <c r="C69" s="337"/>
      <c r="D69" s="337"/>
      <c r="E69" s="337"/>
      <c r="F69" s="337"/>
      <c r="G69" s="337"/>
      <c r="H69" s="337"/>
      <c r="I69" s="337"/>
      <c r="J69" s="337"/>
      <c r="K69" s="337"/>
      <c r="L69" s="337">
        <v>0</v>
      </c>
      <c r="M69" s="337"/>
      <c r="N69" s="338">
        <v>0</v>
      </c>
      <c r="O69" s="337"/>
      <c r="P69" s="337">
        <v>0</v>
      </c>
      <c r="Q69" s="337"/>
      <c r="R69" s="337">
        <v>0</v>
      </c>
      <c r="S69" s="337"/>
      <c r="T69" s="337">
        <v>0</v>
      </c>
      <c r="U69" s="337"/>
      <c r="V69" s="338">
        <f>+L69-P69</f>
        <v>0</v>
      </c>
      <c r="W69" s="289"/>
      <c r="X69" s="5"/>
    </row>
    <row r="70" spans="1:24" ht="15.75" x14ac:dyDescent="0.25">
      <c r="A70" s="285"/>
      <c r="B70" s="286"/>
      <c r="C70" s="337"/>
      <c r="D70" s="337"/>
      <c r="E70" s="337"/>
      <c r="F70" s="337"/>
      <c r="G70" s="337"/>
      <c r="H70" s="337"/>
      <c r="I70" s="337"/>
      <c r="J70" s="337"/>
      <c r="K70" s="337"/>
      <c r="L70" s="337"/>
      <c r="M70" s="337"/>
      <c r="N70" s="338"/>
      <c r="O70" s="337"/>
      <c r="P70" s="337"/>
      <c r="Q70" s="337"/>
      <c r="R70" s="337"/>
      <c r="S70" s="337"/>
      <c r="T70" s="337"/>
      <c r="U70" s="337"/>
      <c r="V70" s="338"/>
      <c r="W70" s="289"/>
      <c r="X70" s="5"/>
    </row>
    <row r="71" spans="1:24" ht="15.75" x14ac:dyDescent="0.25">
      <c r="A71" s="285"/>
      <c r="B71" s="286" t="s">
        <v>21</v>
      </c>
      <c r="C71" s="337"/>
      <c r="D71" s="337"/>
      <c r="E71" s="337"/>
      <c r="F71" s="337"/>
      <c r="G71" s="337"/>
      <c r="H71" s="337"/>
      <c r="I71" s="337"/>
      <c r="J71" s="337"/>
      <c r="K71" s="337"/>
      <c r="L71" s="337">
        <f>SUM(L68:L70)</f>
        <v>812446</v>
      </c>
      <c r="M71" s="337"/>
      <c r="N71" s="337">
        <f>N68+N69</f>
        <v>745360</v>
      </c>
      <c r="O71" s="337"/>
      <c r="P71" s="337">
        <f>SUM(P68:P70)</f>
        <v>9289</v>
      </c>
      <c r="Q71" s="337"/>
      <c r="R71" s="337">
        <f>SUM(R68:R70)</f>
        <v>185</v>
      </c>
      <c r="S71" s="337"/>
      <c r="T71" s="337">
        <f>SUM(T68:T70)</f>
        <v>0</v>
      </c>
      <c r="U71" s="337"/>
      <c r="V71" s="337">
        <f>SUM(V68:V70)</f>
        <v>736256</v>
      </c>
      <c r="W71" s="289"/>
      <c r="X71" s="5"/>
    </row>
    <row r="72" spans="1:24" ht="15.75" x14ac:dyDescent="0.25">
      <c r="A72" s="181"/>
      <c r="B72" s="212"/>
      <c r="C72" s="335"/>
      <c r="D72" s="335"/>
      <c r="E72" s="335"/>
      <c r="F72" s="335"/>
      <c r="G72" s="335"/>
      <c r="H72" s="335"/>
      <c r="I72" s="335"/>
      <c r="J72" s="335"/>
      <c r="K72" s="335"/>
      <c r="L72" s="335"/>
      <c r="M72" s="335"/>
      <c r="N72" s="335"/>
      <c r="O72" s="335"/>
      <c r="P72" s="335"/>
      <c r="Q72" s="335"/>
      <c r="R72" s="335"/>
      <c r="S72" s="335"/>
      <c r="T72" s="335"/>
      <c r="U72" s="335"/>
      <c r="V72" s="336"/>
      <c r="W72" s="212"/>
      <c r="X72" s="5"/>
    </row>
    <row r="73" spans="1:24" ht="15.75" x14ac:dyDescent="0.25">
      <c r="A73" s="181"/>
      <c r="B73" s="185" t="s">
        <v>22</v>
      </c>
      <c r="C73" s="207"/>
      <c r="D73" s="207"/>
      <c r="E73" s="207"/>
      <c r="F73" s="207"/>
      <c r="G73" s="207"/>
      <c r="H73" s="207"/>
      <c r="I73" s="207"/>
      <c r="J73" s="207"/>
      <c r="K73" s="207"/>
      <c r="L73" s="207"/>
      <c r="M73" s="207"/>
      <c r="N73" s="207"/>
      <c r="O73" s="207"/>
      <c r="P73" s="207"/>
      <c r="Q73" s="207"/>
      <c r="R73" s="207"/>
      <c r="S73" s="207"/>
      <c r="T73" s="207"/>
      <c r="U73" s="207"/>
      <c r="V73" s="208"/>
      <c r="W73" s="183"/>
      <c r="X73" s="5"/>
    </row>
    <row r="74" spans="1:24" ht="15.75" x14ac:dyDescent="0.25">
      <c r="A74" s="181"/>
      <c r="B74" s="183"/>
      <c r="C74" s="207"/>
      <c r="D74" s="207"/>
      <c r="E74" s="207"/>
      <c r="F74" s="207"/>
      <c r="G74" s="207"/>
      <c r="H74" s="207"/>
      <c r="I74" s="207"/>
      <c r="J74" s="207"/>
      <c r="K74" s="207"/>
      <c r="L74" s="207"/>
      <c r="M74" s="207"/>
      <c r="N74" s="207"/>
      <c r="O74" s="207"/>
      <c r="P74" s="207"/>
      <c r="Q74" s="207"/>
      <c r="R74" s="207"/>
      <c r="S74" s="207"/>
      <c r="T74" s="207"/>
      <c r="U74" s="207"/>
      <c r="V74" s="208"/>
      <c r="W74" s="183"/>
      <c r="X74" s="5"/>
    </row>
    <row r="75" spans="1:24" ht="15.75" x14ac:dyDescent="0.25">
      <c r="A75" s="285"/>
      <c r="B75" s="286" t="s">
        <v>19</v>
      </c>
      <c r="C75" s="337"/>
      <c r="D75" s="337"/>
      <c r="E75" s="337"/>
      <c r="F75" s="337"/>
      <c r="G75" s="337"/>
      <c r="H75" s="337"/>
      <c r="I75" s="337"/>
      <c r="J75" s="337"/>
      <c r="K75" s="337"/>
      <c r="L75" s="337"/>
      <c r="M75" s="337"/>
      <c r="N75" s="337"/>
      <c r="O75" s="337"/>
      <c r="P75" s="337"/>
      <c r="Q75" s="337"/>
      <c r="R75" s="337"/>
      <c r="S75" s="337"/>
      <c r="T75" s="337"/>
      <c r="U75" s="337"/>
      <c r="V75" s="337"/>
      <c r="W75" s="289"/>
      <c r="X75" s="5"/>
    </row>
    <row r="76" spans="1:24" ht="15.75" x14ac:dyDescent="0.25">
      <c r="A76" s="285"/>
      <c r="B76" s="286" t="s">
        <v>20</v>
      </c>
      <c r="C76" s="337"/>
      <c r="D76" s="337"/>
      <c r="E76" s="337"/>
      <c r="F76" s="337"/>
      <c r="G76" s="337"/>
      <c r="H76" s="337"/>
      <c r="I76" s="337"/>
      <c r="J76" s="337"/>
      <c r="K76" s="337"/>
      <c r="L76" s="337"/>
      <c r="M76" s="337"/>
      <c r="N76" s="337"/>
      <c r="O76" s="337"/>
      <c r="P76" s="337"/>
      <c r="Q76" s="337"/>
      <c r="R76" s="337"/>
      <c r="S76" s="337"/>
      <c r="T76" s="337"/>
      <c r="U76" s="337"/>
      <c r="V76" s="337"/>
      <c r="W76" s="289"/>
      <c r="X76" s="5"/>
    </row>
    <row r="77" spans="1:24" ht="15.75" x14ac:dyDescent="0.25">
      <c r="A77" s="285"/>
      <c r="B77" s="286"/>
      <c r="C77" s="337"/>
      <c r="D77" s="337"/>
      <c r="E77" s="337"/>
      <c r="F77" s="337"/>
      <c r="G77" s="337"/>
      <c r="H77" s="337"/>
      <c r="I77" s="337"/>
      <c r="J77" s="337"/>
      <c r="K77" s="337"/>
      <c r="L77" s="337"/>
      <c r="M77" s="337"/>
      <c r="N77" s="337"/>
      <c r="O77" s="337"/>
      <c r="P77" s="337"/>
      <c r="Q77" s="337"/>
      <c r="R77" s="337"/>
      <c r="S77" s="337"/>
      <c r="T77" s="337"/>
      <c r="U77" s="337"/>
      <c r="V77" s="337"/>
      <c r="W77" s="289"/>
      <c r="X77" s="5"/>
    </row>
    <row r="78" spans="1:24" ht="15.75" x14ac:dyDescent="0.25">
      <c r="A78" s="285"/>
      <c r="B78" s="286" t="s">
        <v>21</v>
      </c>
      <c r="C78" s="337"/>
      <c r="D78" s="337"/>
      <c r="E78" s="337"/>
      <c r="F78" s="337"/>
      <c r="G78" s="337"/>
      <c r="H78" s="337"/>
      <c r="I78" s="337"/>
      <c r="J78" s="337"/>
      <c r="K78" s="337"/>
      <c r="L78" s="337"/>
      <c r="M78" s="337"/>
      <c r="N78" s="337"/>
      <c r="O78" s="337"/>
      <c r="P78" s="337"/>
      <c r="Q78" s="337"/>
      <c r="R78" s="337"/>
      <c r="S78" s="337"/>
      <c r="T78" s="337"/>
      <c r="U78" s="337"/>
      <c r="V78" s="337"/>
      <c r="W78" s="289"/>
      <c r="X78" s="5"/>
    </row>
    <row r="79" spans="1:24" ht="15.75" x14ac:dyDescent="0.25">
      <c r="A79" s="285"/>
      <c r="B79" s="286"/>
      <c r="C79" s="337"/>
      <c r="D79" s="337"/>
      <c r="E79" s="337"/>
      <c r="F79" s="337"/>
      <c r="G79" s="337"/>
      <c r="H79" s="337"/>
      <c r="I79" s="337"/>
      <c r="J79" s="337"/>
      <c r="K79" s="337"/>
      <c r="L79" s="337"/>
      <c r="M79" s="337"/>
      <c r="N79" s="337"/>
      <c r="O79" s="337"/>
      <c r="P79" s="337"/>
      <c r="Q79" s="337"/>
      <c r="R79" s="337"/>
      <c r="S79" s="337"/>
      <c r="T79" s="337"/>
      <c r="U79" s="337"/>
      <c r="V79" s="337"/>
      <c r="W79" s="289"/>
      <c r="X79" s="5"/>
    </row>
    <row r="80" spans="1:24" ht="15.75" x14ac:dyDescent="0.25">
      <c r="A80" s="285"/>
      <c r="B80" s="286" t="s">
        <v>23</v>
      </c>
      <c r="C80" s="337"/>
      <c r="D80" s="337"/>
      <c r="E80" s="337"/>
      <c r="F80" s="337"/>
      <c r="G80" s="337"/>
      <c r="H80" s="337"/>
      <c r="I80" s="337"/>
      <c r="J80" s="337"/>
      <c r="K80" s="337"/>
      <c r="L80" s="337">
        <v>0</v>
      </c>
      <c r="M80" s="337"/>
      <c r="N80" s="337">
        <v>0</v>
      </c>
      <c r="O80" s="337"/>
      <c r="P80" s="337"/>
      <c r="Q80" s="337"/>
      <c r="R80" s="337"/>
      <c r="S80" s="337"/>
      <c r="T80" s="337"/>
      <c r="U80" s="337"/>
      <c r="V80" s="338">
        <v>0</v>
      </c>
      <c r="W80" s="289"/>
      <c r="X80" s="5"/>
    </row>
    <row r="81" spans="1:24" ht="15.75" x14ac:dyDescent="0.25">
      <c r="A81" s="285"/>
      <c r="B81" s="286" t="s">
        <v>117</v>
      </c>
      <c r="C81" s="337"/>
      <c r="D81" s="337"/>
      <c r="E81" s="337"/>
      <c r="F81" s="337"/>
      <c r="G81" s="337"/>
      <c r="H81" s="337"/>
      <c r="I81" s="337"/>
      <c r="J81" s="337"/>
      <c r="K81" s="337"/>
      <c r="L81" s="337">
        <v>188687</v>
      </c>
      <c r="M81" s="337"/>
      <c r="N81" s="337">
        <v>0</v>
      </c>
      <c r="O81" s="337"/>
      <c r="P81" s="337">
        <v>0</v>
      </c>
      <c r="Q81" s="337"/>
      <c r="R81" s="337"/>
      <c r="S81" s="337"/>
      <c r="T81" s="337"/>
      <c r="U81" s="337"/>
      <c r="V81" s="337">
        <f>SUM(N81:R81)</f>
        <v>0</v>
      </c>
      <c r="W81" s="289"/>
      <c r="X81" s="5"/>
    </row>
    <row r="82" spans="1:24" ht="15.75" x14ac:dyDescent="0.25">
      <c r="A82" s="285"/>
      <c r="B82" s="286"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89"/>
      <c r="X82" s="5"/>
    </row>
    <row r="83" spans="1:24" ht="15.75" x14ac:dyDescent="0.25">
      <c r="A83" s="285"/>
      <c r="B83" s="286" t="s">
        <v>25</v>
      </c>
      <c r="C83" s="337"/>
      <c r="D83" s="337"/>
      <c r="E83" s="337"/>
      <c r="F83" s="337"/>
      <c r="G83" s="337"/>
      <c r="H83" s="337"/>
      <c r="I83" s="337"/>
      <c r="J83" s="337"/>
      <c r="K83" s="337"/>
      <c r="L83" s="337">
        <v>0</v>
      </c>
      <c r="M83" s="337"/>
      <c r="N83" s="337">
        <v>0</v>
      </c>
      <c r="O83" s="337"/>
      <c r="P83" s="337"/>
      <c r="Q83" s="337"/>
      <c r="R83" s="337"/>
      <c r="S83" s="337"/>
      <c r="T83" s="337"/>
      <c r="U83" s="337"/>
      <c r="V83" s="337">
        <v>0</v>
      </c>
      <c r="W83" s="289"/>
      <c r="X83" s="5"/>
    </row>
    <row r="84" spans="1:24" ht="15.75" x14ac:dyDescent="0.25">
      <c r="A84" s="285"/>
      <c r="B84" s="286" t="s">
        <v>26</v>
      </c>
      <c r="C84" s="337"/>
      <c r="D84" s="337"/>
      <c r="E84" s="337"/>
      <c r="F84" s="337"/>
      <c r="G84" s="337"/>
      <c r="H84" s="337"/>
      <c r="I84" s="337"/>
      <c r="J84" s="337"/>
      <c r="K84" s="337"/>
      <c r="L84" s="337">
        <f>SUM(L71:L83)</f>
        <v>1001133</v>
      </c>
      <c r="M84" s="337"/>
      <c r="N84" s="337">
        <f>SUM(N71:N83)</f>
        <v>745360</v>
      </c>
      <c r="O84" s="337"/>
      <c r="P84" s="337"/>
      <c r="Q84" s="337"/>
      <c r="R84" s="337"/>
      <c r="S84" s="337"/>
      <c r="T84" s="337"/>
      <c r="U84" s="337"/>
      <c r="V84" s="337">
        <f>SUM(V71:V83)</f>
        <v>736256</v>
      </c>
      <c r="W84" s="289"/>
      <c r="X84" s="5"/>
    </row>
    <row r="85" spans="1:24" ht="15.75" x14ac:dyDescent="0.25">
      <c r="A85" s="181"/>
      <c r="B85" s="212"/>
      <c r="C85" s="335"/>
      <c r="D85" s="335"/>
      <c r="E85" s="335"/>
      <c r="F85" s="335"/>
      <c r="G85" s="335"/>
      <c r="H85" s="335"/>
      <c r="I85" s="335"/>
      <c r="J85" s="335"/>
      <c r="K85" s="335"/>
      <c r="L85" s="335"/>
      <c r="M85" s="335"/>
      <c r="N85" s="335"/>
      <c r="O85" s="335"/>
      <c r="P85" s="335"/>
      <c r="Q85" s="335"/>
      <c r="R85" s="335"/>
      <c r="S85" s="335"/>
      <c r="T85" s="335"/>
      <c r="U85" s="335"/>
      <c r="V85" s="336"/>
      <c r="W85" s="212"/>
      <c r="X85" s="5"/>
    </row>
    <row r="86" spans="1:24" ht="15.75" x14ac:dyDescent="0.25">
      <c r="A86" s="181"/>
      <c r="B86" s="183"/>
      <c r="C86" s="183"/>
      <c r="D86" s="183"/>
      <c r="E86" s="183"/>
      <c r="F86" s="183"/>
      <c r="G86" s="183"/>
      <c r="H86" s="183"/>
      <c r="I86" s="183"/>
      <c r="J86" s="183"/>
      <c r="K86" s="183"/>
      <c r="L86" s="183"/>
      <c r="M86" s="183"/>
      <c r="N86" s="183"/>
      <c r="O86" s="183"/>
      <c r="P86" s="183"/>
      <c r="Q86" s="183"/>
      <c r="R86" s="183"/>
      <c r="S86" s="183"/>
      <c r="T86" s="183"/>
      <c r="U86" s="183"/>
      <c r="V86" s="183"/>
      <c r="W86" s="183"/>
      <c r="X86" s="5"/>
    </row>
    <row r="87" spans="1:24" ht="15.75" x14ac:dyDescent="0.25">
      <c r="A87" s="224"/>
      <c r="B87" s="399" t="s">
        <v>27</v>
      </c>
      <c r="C87" s="399"/>
      <c r="D87" s="399"/>
      <c r="E87" s="399"/>
      <c r="F87" s="399"/>
      <c r="G87" s="399"/>
      <c r="H87" s="400"/>
      <c r="I87" s="400"/>
      <c r="J87" s="400"/>
      <c r="K87" s="400"/>
      <c r="L87" s="401" t="s">
        <v>95</v>
      </c>
      <c r="M87" s="400"/>
      <c r="N87" s="402">
        <f>+T202</f>
        <v>42244</v>
      </c>
      <c r="O87" s="400"/>
      <c r="P87" s="400"/>
      <c r="Q87" s="400"/>
      <c r="R87" s="400"/>
      <c r="S87" s="400"/>
      <c r="T87" s="400" t="s">
        <v>107</v>
      </c>
      <c r="U87" s="400"/>
      <c r="V87" s="400" t="s">
        <v>113</v>
      </c>
      <c r="W87" s="225"/>
      <c r="X87" s="5"/>
    </row>
    <row r="88" spans="1:24" ht="15.75" x14ac:dyDescent="0.25">
      <c r="A88" s="248"/>
      <c r="B88" s="250" t="s">
        <v>28</v>
      </c>
      <c r="C88" s="194"/>
      <c r="D88" s="194"/>
      <c r="E88" s="194"/>
      <c r="F88" s="194"/>
      <c r="G88" s="194"/>
      <c r="H88" s="194"/>
      <c r="I88" s="194"/>
      <c r="J88" s="194"/>
      <c r="K88" s="194"/>
      <c r="L88" s="194"/>
      <c r="M88" s="194"/>
      <c r="N88" s="194"/>
      <c r="O88" s="194"/>
      <c r="P88" s="194"/>
      <c r="Q88" s="194"/>
      <c r="R88" s="194"/>
      <c r="S88" s="194"/>
      <c r="T88" s="249">
        <v>0</v>
      </c>
      <c r="U88" s="250"/>
      <c r="V88" s="253">
        <v>0</v>
      </c>
      <c r="W88" s="194"/>
      <c r="X88" s="5"/>
    </row>
    <row r="89" spans="1:24" ht="15.75" x14ac:dyDescent="0.25">
      <c r="A89" s="295"/>
      <c r="B89" s="286" t="s">
        <v>29</v>
      </c>
      <c r="C89" s="314"/>
      <c r="D89" s="314"/>
      <c r="E89" s="314"/>
      <c r="F89" s="314"/>
      <c r="G89" s="314"/>
      <c r="H89" s="339"/>
      <c r="I89" s="339"/>
      <c r="J89" s="339"/>
      <c r="K89" s="340"/>
      <c r="L89" s="339"/>
      <c r="M89" s="314"/>
      <c r="N89" s="341"/>
      <c r="O89" s="314"/>
      <c r="P89" s="314"/>
      <c r="Q89" s="314"/>
      <c r="R89" s="314"/>
      <c r="S89" s="314"/>
      <c r="T89" s="337">
        <f>9289-209</f>
        <v>9080</v>
      </c>
      <c r="U89" s="286"/>
      <c r="V89" s="338"/>
      <c r="W89" s="318"/>
      <c r="X89" s="5"/>
    </row>
    <row r="90" spans="1:24" ht="15.75" x14ac:dyDescent="0.25">
      <c r="A90" s="295"/>
      <c r="B90" s="286" t="s">
        <v>215</v>
      </c>
      <c r="C90" s="314"/>
      <c r="D90" s="314"/>
      <c r="E90" s="314"/>
      <c r="F90" s="314"/>
      <c r="G90" s="314"/>
      <c r="H90" s="339"/>
      <c r="I90" s="339"/>
      <c r="J90" s="339"/>
      <c r="K90" s="340"/>
      <c r="L90" s="339"/>
      <c r="M90" s="314"/>
      <c r="N90" s="341"/>
      <c r="O90" s="314"/>
      <c r="P90" s="314"/>
      <c r="Q90" s="314"/>
      <c r="R90" s="314"/>
      <c r="S90" s="314"/>
      <c r="T90" s="337"/>
      <c r="U90" s="286"/>
      <c r="V90" s="338">
        <f>2967+2650-369-501</f>
        <v>4747</v>
      </c>
      <c r="W90" s="318"/>
      <c r="X90" s="5"/>
    </row>
    <row r="91" spans="1:24" ht="15.75" x14ac:dyDescent="0.25">
      <c r="A91" s="295"/>
      <c r="B91" s="286" t="s">
        <v>210</v>
      </c>
      <c r="C91" s="314"/>
      <c r="D91" s="314"/>
      <c r="E91" s="314"/>
      <c r="F91" s="314"/>
      <c r="G91" s="314"/>
      <c r="H91" s="339"/>
      <c r="I91" s="339"/>
      <c r="J91" s="339"/>
      <c r="K91" s="340"/>
      <c r="L91" s="339"/>
      <c r="M91" s="314"/>
      <c r="N91" s="341"/>
      <c r="O91" s="314"/>
      <c r="P91" s="314"/>
      <c r="Q91" s="314"/>
      <c r="R91" s="314"/>
      <c r="S91" s="314"/>
      <c r="T91" s="337"/>
      <c r="U91" s="286"/>
      <c r="V91" s="338">
        <f>16+129</f>
        <v>145</v>
      </c>
      <c r="W91" s="318"/>
      <c r="X91" s="5"/>
    </row>
    <row r="92" spans="1:24" ht="15.75" x14ac:dyDescent="0.25">
      <c r="A92" s="295"/>
      <c r="B92" s="286" t="s">
        <v>211</v>
      </c>
      <c r="C92" s="314"/>
      <c r="D92" s="314"/>
      <c r="E92" s="314"/>
      <c r="F92" s="314"/>
      <c r="G92" s="314"/>
      <c r="H92" s="339"/>
      <c r="I92" s="339"/>
      <c r="J92" s="339"/>
      <c r="K92" s="340"/>
      <c r="L92" s="339"/>
      <c r="M92" s="314"/>
      <c r="N92" s="341"/>
      <c r="O92" s="314"/>
      <c r="P92" s="314"/>
      <c r="Q92" s="314"/>
      <c r="R92" s="314"/>
      <c r="S92" s="314"/>
      <c r="T92" s="337"/>
      <c r="U92" s="286"/>
      <c r="V92" s="338">
        <v>30</v>
      </c>
      <c r="W92" s="318"/>
      <c r="X92" s="5"/>
    </row>
    <row r="93" spans="1:24" ht="15.75" x14ac:dyDescent="0.25">
      <c r="A93" s="295"/>
      <c r="B93" s="286" t="s">
        <v>233</v>
      </c>
      <c r="C93" s="314"/>
      <c r="D93" s="314"/>
      <c r="E93" s="314"/>
      <c r="F93" s="314"/>
      <c r="G93" s="314"/>
      <c r="H93" s="339"/>
      <c r="I93" s="339"/>
      <c r="J93" s="339"/>
      <c r="K93" s="340"/>
      <c r="L93" s="339"/>
      <c r="M93" s="314"/>
      <c r="N93" s="341"/>
      <c r="O93" s="314"/>
      <c r="P93" s="314"/>
      <c r="Q93" s="314"/>
      <c r="R93" s="314"/>
      <c r="S93" s="314"/>
      <c r="T93" s="337"/>
      <c r="U93" s="286"/>
      <c r="V93" s="338">
        <v>0</v>
      </c>
      <c r="W93" s="318"/>
      <c r="X93" s="5"/>
    </row>
    <row r="94" spans="1:24" ht="15.75" x14ac:dyDescent="0.25">
      <c r="A94" s="295"/>
      <c r="B94" s="286" t="s">
        <v>235</v>
      </c>
      <c r="C94" s="314"/>
      <c r="D94" s="314"/>
      <c r="E94" s="314"/>
      <c r="F94" s="314"/>
      <c r="G94" s="314"/>
      <c r="H94" s="339"/>
      <c r="I94" s="339"/>
      <c r="J94" s="339"/>
      <c r="K94" s="340"/>
      <c r="L94" s="339"/>
      <c r="M94" s="314"/>
      <c r="N94" s="341"/>
      <c r="O94" s="314"/>
      <c r="P94" s="314"/>
      <c r="Q94" s="314"/>
      <c r="R94" s="314"/>
      <c r="S94" s="314"/>
      <c r="T94" s="337"/>
      <c r="U94" s="286"/>
      <c r="V94" s="338">
        <v>0</v>
      </c>
      <c r="W94" s="318"/>
      <c r="X94" s="5"/>
    </row>
    <row r="95" spans="1:24" ht="15.75" x14ac:dyDescent="0.25">
      <c r="A95" s="295"/>
      <c r="B95" s="286" t="s">
        <v>135</v>
      </c>
      <c r="C95" s="314"/>
      <c r="D95" s="314"/>
      <c r="E95" s="314"/>
      <c r="F95" s="314"/>
      <c r="G95" s="314"/>
      <c r="H95" s="314"/>
      <c r="I95" s="314"/>
      <c r="J95" s="314"/>
      <c r="K95" s="314"/>
      <c r="L95" s="314"/>
      <c r="M95" s="314"/>
      <c r="N95" s="314"/>
      <c r="O95" s="314"/>
      <c r="P95" s="314"/>
      <c r="Q95" s="314"/>
      <c r="R95" s="314"/>
      <c r="S95" s="314"/>
      <c r="T95" s="337"/>
      <c r="U95" s="286"/>
      <c r="V95" s="338">
        <v>0</v>
      </c>
      <c r="W95" s="318"/>
      <c r="X95" s="5"/>
    </row>
    <row r="96" spans="1:24" ht="15.75" x14ac:dyDescent="0.25">
      <c r="A96" s="295"/>
      <c r="B96" s="286" t="s">
        <v>272</v>
      </c>
      <c r="C96" s="314"/>
      <c r="D96" s="314"/>
      <c r="E96" s="314"/>
      <c r="F96" s="314"/>
      <c r="G96" s="314"/>
      <c r="H96" s="314"/>
      <c r="I96" s="314"/>
      <c r="J96" s="314"/>
      <c r="K96" s="314"/>
      <c r="L96" s="314"/>
      <c r="M96" s="314"/>
      <c r="N96" s="314"/>
      <c r="O96" s="314"/>
      <c r="P96" s="314"/>
      <c r="Q96" s="314"/>
      <c r="R96" s="314"/>
      <c r="S96" s="314"/>
      <c r="T96" s="337"/>
      <c r="U96" s="286"/>
      <c r="V96" s="338">
        <v>0</v>
      </c>
      <c r="W96" s="318"/>
      <c r="X96" s="5"/>
    </row>
    <row r="97" spans="1:25" ht="15.75" x14ac:dyDescent="0.25">
      <c r="A97" s="295"/>
      <c r="B97" s="286" t="s">
        <v>30</v>
      </c>
      <c r="C97" s="314"/>
      <c r="D97" s="314"/>
      <c r="E97" s="314"/>
      <c r="F97" s="314"/>
      <c r="G97" s="314"/>
      <c r="H97" s="314"/>
      <c r="I97" s="314"/>
      <c r="J97" s="314"/>
      <c r="K97" s="314"/>
      <c r="L97" s="314"/>
      <c r="M97" s="314"/>
      <c r="N97" s="314"/>
      <c r="O97" s="314"/>
      <c r="P97" s="314"/>
      <c r="Q97" s="314"/>
      <c r="R97" s="314"/>
      <c r="S97" s="314"/>
      <c r="T97" s="337">
        <f>SUM(T88:T96)</f>
        <v>9080</v>
      </c>
      <c r="U97" s="286"/>
      <c r="V97" s="337">
        <f>SUM(V88:V96)</f>
        <v>4922</v>
      </c>
      <c r="W97" s="318"/>
      <c r="X97" s="5"/>
    </row>
    <row r="98" spans="1:25" ht="15.75" x14ac:dyDescent="0.25">
      <c r="A98" s="295"/>
      <c r="B98" s="286" t="s">
        <v>161</v>
      </c>
      <c r="C98" s="314"/>
      <c r="D98" s="314"/>
      <c r="E98" s="314"/>
      <c r="F98" s="314"/>
      <c r="G98" s="314"/>
      <c r="H98" s="314"/>
      <c r="I98" s="314"/>
      <c r="J98" s="314"/>
      <c r="K98" s="314"/>
      <c r="L98" s="314"/>
      <c r="M98" s="314"/>
      <c r="N98" s="314"/>
      <c r="O98" s="314"/>
      <c r="P98" s="314"/>
      <c r="Q98" s="314"/>
      <c r="R98" s="314"/>
      <c r="S98" s="314"/>
      <c r="T98" s="337">
        <f>-V98</f>
        <v>0</v>
      </c>
      <c r="U98" s="286"/>
      <c r="V98" s="337">
        <v>0</v>
      </c>
      <c r="W98" s="318"/>
      <c r="X98" s="5"/>
    </row>
    <row r="99" spans="1:25" ht="15.75" x14ac:dyDescent="0.25">
      <c r="A99" s="295"/>
      <c r="B99" s="286" t="s">
        <v>31</v>
      </c>
      <c r="C99" s="314"/>
      <c r="D99" s="314"/>
      <c r="E99" s="314"/>
      <c r="F99" s="314"/>
      <c r="G99" s="314"/>
      <c r="H99" s="314"/>
      <c r="I99" s="314"/>
      <c r="J99" s="314"/>
      <c r="K99" s="314"/>
      <c r="L99" s="314"/>
      <c r="M99" s="314"/>
      <c r="N99" s="314"/>
      <c r="O99" s="314"/>
      <c r="P99" s="314"/>
      <c r="Q99" s="314"/>
      <c r="R99" s="314"/>
      <c r="S99" s="314"/>
      <c r="T99" s="337">
        <f>-V99</f>
        <v>0</v>
      </c>
      <c r="U99" s="286"/>
      <c r="V99" s="338">
        <v>0</v>
      </c>
      <c r="W99" s="318"/>
      <c r="X99" s="5"/>
    </row>
    <row r="100" spans="1:25" ht="15.75" x14ac:dyDescent="0.25">
      <c r="A100" s="295"/>
      <c r="B100" s="286" t="s">
        <v>274</v>
      </c>
      <c r="C100" s="314"/>
      <c r="D100" s="314"/>
      <c r="E100" s="314"/>
      <c r="F100" s="314"/>
      <c r="G100" s="314"/>
      <c r="H100" s="314"/>
      <c r="I100" s="314"/>
      <c r="J100" s="314"/>
      <c r="K100" s="314"/>
      <c r="L100" s="314"/>
      <c r="M100" s="314"/>
      <c r="N100" s="314"/>
      <c r="O100" s="314"/>
      <c r="P100" s="314"/>
      <c r="Q100" s="314"/>
      <c r="R100" s="314"/>
      <c r="S100" s="314"/>
      <c r="T100" s="337"/>
      <c r="U100" s="286"/>
      <c r="V100" s="338">
        <v>-55</v>
      </c>
      <c r="W100" s="318"/>
      <c r="X100" s="5"/>
    </row>
    <row r="101" spans="1:25" ht="15.75" x14ac:dyDescent="0.25">
      <c r="A101" s="295"/>
      <c r="B101" s="286" t="s">
        <v>32</v>
      </c>
      <c r="C101" s="314"/>
      <c r="D101" s="314"/>
      <c r="E101" s="314"/>
      <c r="F101" s="314"/>
      <c r="G101" s="314"/>
      <c r="H101" s="314"/>
      <c r="I101" s="314"/>
      <c r="J101" s="314"/>
      <c r="K101" s="314"/>
      <c r="L101" s="314"/>
      <c r="M101" s="314"/>
      <c r="N101" s="314"/>
      <c r="O101" s="314"/>
      <c r="P101" s="314"/>
      <c r="Q101" s="314"/>
      <c r="R101" s="314"/>
      <c r="S101" s="314"/>
      <c r="T101" s="337">
        <f>T97+T99+T98</f>
        <v>9080</v>
      </c>
      <c r="U101" s="286"/>
      <c r="V101" s="337">
        <f>V97+V99+V98+V100</f>
        <v>4867</v>
      </c>
      <c r="W101" s="318"/>
      <c r="X101" s="5"/>
    </row>
    <row r="102" spans="1:25" ht="15.75" x14ac:dyDescent="0.25">
      <c r="A102" s="285"/>
      <c r="B102" s="342" t="s">
        <v>33</v>
      </c>
      <c r="C102" s="314"/>
      <c r="D102" s="314"/>
      <c r="E102" s="314"/>
      <c r="F102" s="314"/>
      <c r="G102" s="314"/>
      <c r="H102" s="314"/>
      <c r="I102" s="314"/>
      <c r="J102" s="314"/>
      <c r="K102" s="314"/>
      <c r="L102" s="314"/>
      <c r="M102" s="314"/>
      <c r="N102" s="314"/>
      <c r="O102" s="314"/>
      <c r="P102" s="314"/>
      <c r="Q102" s="314"/>
      <c r="R102" s="314"/>
      <c r="S102" s="314"/>
      <c r="T102" s="337"/>
      <c r="U102" s="286"/>
      <c r="V102" s="338"/>
      <c r="W102" s="318"/>
      <c r="X102" s="5"/>
    </row>
    <row r="103" spans="1:25" ht="15.75" x14ac:dyDescent="0.25">
      <c r="A103" s="295">
        <v>1</v>
      </c>
      <c r="B103" s="286" t="s">
        <v>34</v>
      </c>
      <c r="C103" s="286"/>
      <c r="D103" s="286"/>
      <c r="E103" s="314"/>
      <c r="F103" s="314"/>
      <c r="G103" s="314"/>
      <c r="H103" s="314"/>
      <c r="I103" s="314"/>
      <c r="J103" s="314"/>
      <c r="K103" s="314"/>
      <c r="L103" s="314"/>
      <c r="M103" s="314"/>
      <c r="N103" s="314"/>
      <c r="O103" s="314"/>
      <c r="P103" s="314"/>
      <c r="Q103" s="314"/>
      <c r="R103" s="314"/>
      <c r="S103" s="314"/>
      <c r="T103" s="286"/>
      <c r="U103" s="286"/>
      <c r="V103" s="338">
        <v>0</v>
      </c>
      <c r="W103" s="318"/>
      <c r="X103" s="5"/>
    </row>
    <row r="104" spans="1:25" ht="15.75" x14ac:dyDescent="0.25">
      <c r="A104" s="295">
        <f>+A103+1</f>
        <v>2</v>
      </c>
      <c r="B104" s="286" t="s">
        <v>314</v>
      </c>
      <c r="C104" s="286"/>
      <c r="D104" s="286"/>
      <c r="E104" s="314"/>
      <c r="F104" s="314"/>
      <c r="G104" s="314"/>
      <c r="H104" s="314"/>
      <c r="I104" s="314"/>
      <c r="J104" s="314"/>
      <c r="K104" s="314"/>
      <c r="L104" s="314"/>
      <c r="M104" s="314"/>
      <c r="N104" s="314"/>
      <c r="O104" s="314"/>
      <c r="P104" s="314"/>
      <c r="Q104" s="314"/>
      <c r="R104" s="314"/>
      <c r="S104" s="314"/>
      <c r="T104" s="286"/>
      <c r="U104" s="286"/>
      <c r="V104" s="338">
        <v>-2</v>
      </c>
      <c r="W104" s="318"/>
      <c r="X104" s="5"/>
    </row>
    <row r="105" spans="1:25" ht="15.75" x14ac:dyDescent="0.25">
      <c r="A105" s="295">
        <f>+A104+1</f>
        <v>3</v>
      </c>
      <c r="B105" s="412" t="s">
        <v>316</v>
      </c>
      <c r="C105" s="286"/>
      <c r="D105" s="286"/>
      <c r="E105" s="314"/>
      <c r="F105" s="314"/>
      <c r="G105" s="314"/>
      <c r="H105" s="314"/>
      <c r="I105" s="314"/>
      <c r="J105" s="314"/>
      <c r="K105" s="314"/>
      <c r="L105" s="314"/>
      <c r="M105" s="314"/>
      <c r="N105" s="314"/>
      <c r="O105" s="314"/>
      <c r="P105" s="314"/>
      <c r="Q105" s="314"/>
      <c r="R105" s="314"/>
      <c r="S105" s="314"/>
      <c r="T105" s="286"/>
      <c r="U105" s="286"/>
      <c r="V105" s="338">
        <f>-286-144-10</f>
        <v>-440</v>
      </c>
      <c r="W105" s="318"/>
      <c r="X105" s="5"/>
    </row>
    <row r="106" spans="1:25" ht="15.75" x14ac:dyDescent="0.25">
      <c r="A106" s="295" t="s">
        <v>127</v>
      </c>
      <c r="B106" s="286" t="s">
        <v>116</v>
      </c>
      <c r="C106" s="286"/>
      <c r="D106" s="286"/>
      <c r="E106" s="314"/>
      <c r="F106" s="314"/>
      <c r="G106" s="314"/>
      <c r="H106" s="314"/>
      <c r="I106" s="314"/>
      <c r="J106" s="314"/>
      <c r="K106" s="314"/>
      <c r="L106" s="314"/>
      <c r="M106" s="314"/>
      <c r="N106" s="314"/>
      <c r="O106" s="314"/>
      <c r="P106" s="314"/>
      <c r="Q106" s="314"/>
      <c r="R106" s="314"/>
      <c r="S106" s="314"/>
      <c r="T106" s="286"/>
      <c r="U106" s="286"/>
      <c r="V106" s="338">
        <v>0</v>
      </c>
      <c r="W106" s="318"/>
      <c r="X106" s="5"/>
    </row>
    <row r="107" spans="1:25" ht="15.75" x14ac:dyDescent="0.25">
      <c r="A107" s="295" t="s">
        <v>128</v>
      </c>
      <c r="B107" s="286" t="s">
        <v>220</v>
      </c>
      <c r="C107" s="286"/>
      <c r="D107" s="286"/>
      <c r="E107" s="314"/>
      <c r="F107" s="314"/>
      <c r="G107" s="314"/>
      <c r="H107" s="314"/>
      <c r="I107" s="314"/>
      <c r="J107" s="314"/>
      <c r="K107" s="314"/>
      <c r="L107" s="314"/>
      <c r="M107" s="314"/>
      <c r="N107" s="314"/>
      <c r="O107" s="314"/>
      <c r="P107" s="314"/>
      <c r="Q107" s="314"/>
      <c r="R107" s="314"/>
      <c r="S107" s="314"/>
      <c r="T107" s="286"/>
      <c r="U107" s="286"/>
      <c r="V107" s="338">
        <f>-1199+307</f>
        <v>-892</v>
      </c>
      <c r="W107" s="318"/>
      <c r="X107" s="5"/>
      <c r="Y107" s="109"/>
    </row>
    <row r="108" spans="1:25" ht="15.75" x14ac:dyDescent="0.25">
      <c r="A108" s="295" t="s">
        <v>150</v>
      </c>
      <c r="B108" s="286" t="s">
        <v>184</v>
      </c>
      <c r="C108" s="286"/>
      <c r="D108" s="286"/>
      <c r="E108" s="314"/>
      <c r="F108" s="314"/>
      <c r="G108" s="314"/>
      <c r="H108" s="314"/>
      <c r="I108" s="314"/>
      <c r="J108" s="314"/>
      <c r="K108" s="314"/>
      <c r="L108" s="314"/>
      <c r="M108" s="314"/>
      <c r="N108" s="314"/>
      <c r="O108" s="314"/>
      <c r="P108" s="314"/>
      <c r="Q108" s="314"/>
      <c r="R108" s="314"/>
      <c r="S108" s="314"/>
      <c r="T108" s="286"/>
      <c r="U108" s="286"/>
      <c r="V108" s="338">
        <v>-307</v>
      </c>
      <c r="W108" s="318"/>
      <c r="X108" s="5"/>
      <c r="Y108" s="109"/>
    </row>
    <row r="109" spans="1:25" ht="15.75" x14ac:dyDescent="0.25">
      <c r="A109" s="295" t="s">
        <v>205</v>
      </c>
      <c r="B109" s="286" t="s">
        <v>185</v>
      </c>
      <c r="C109" s="286"/>
      <c r="D109" s="286"/>
      <c r="E109" s="314"/>
      <c r="F109" s="314"/>
      <c r="G109" s="314"/>
      <c r="H109" s="314"/>
      <c r="I109" s="314"/>
      <c r="J109" s="314"/>
      <c r="K109" s="314"/>
      <c r="L109" s="314"/>
      <c r="M109" s="314"/>
      <c r="N109" s="314"/>
      <c r="O109" s="314"/>
      <c r="P109" s="314"/>
      <c r="Q109" s="314"/>
      <c r="R109" s="314"/>
      <c r="S109" s="314"/>
      <c r="T109" s="286"/>
      <c r="U109" s="286"/>
      <c r="V109" s="338">
        <v>-173</v>
      </c>
      <c r="W109" s="318"/>
      <c r="X109" s="5"/>
      <c r="Y109" s="109"/>
    </row>
    <row r="110" spans="1:25" ht="15.75" x14ac:dyDescent="0.25">
      <c r="A110" s="295" t="s">
        <v>206</v>
      </c>
      <c r="B110" s="286" t="s">
        <v>186</v>
      </c>
      <c r="C110" s="286"/>
      <c r="D110" s="286"/>
      <c r="E110" s="314"/>
      <c r="F110" s="314"/>
      <c r="G110" s="314"/>
      <c r="H110" s="314"/>
      <c r="I110" s="314"/>
      <c r="J110" s="314"/>
      <c r="K110" s="314"/>
      <c r="L110" s="314"/>
      <c r="M110" s="314"/>
      <c r="N110" s="314"/>
      <c r="O110" s="314"/>
      <c r="P110" s="314"/>
      <c r="Q110" s="314"/>
      <c r="R110" s="314"/>
      <c r="S110" s="314"/>
      <c r="T110" s="286"/>
      <c r="U110" s="286"/>
      <c r="V110" s="338">
        <v>-48</v>
      </c>
      <c r="W110" s="318"/>
      <c r="X110" s="5"/>
      <c r="Y110" s="109"/>
    </row>
    <row r="111" spans="1:25" ht="15.75" x14ac:dyDescent="0.25">
      <c r="A111" s="295">
        <v>6</v>
      </c>
      <c r="B111" s="286" t="s">
        <v>196</v>
      </c>
      <c r="C111" s="286"/>
      <c r="D111" s="286"/>
      <c r="E111" s="314"/>
      <c r="F111" s="314"/>
      <c r="G111" s="314"/>
      <c r="H111" s="314"/>
      <c r="I111" s="314"/>
      <c r="J111" s="314"/>
      <c r="K111" s="314"/>
      <c r="L111" s="314"/>
      <c r="M111" s="314"/>
      <c r="N111" s="314"/>
      <c r="O111" s="314"/>
      <c r="P111" s="314"/>
      <c r="Q111" s="314"/>
      <c r="R111" s="314"/>
      <c r="S111" s="314"/>
      <c r="T111" s="286"/>
      <c r="U111" s="286"/>
      <c r="V111" s="338">
        <v>-340</v>
      </c>
      <c r="W111" s="318"/>
      <c r="X111" s="5"/>
      <c r="Y111" s="109"/>
    </row>
    <row r="112" spans="1:25" ht="15.75" x14ac:dyDescent="0.25">
      <c r="A112" s="295">
        <v>7</v>
      </c>
      <c r="B112" s="412" t="s">
        <v>315</v>
      </c>
      <c r="C112" s="286"/>
      <c r="D112" s="286"/>
      <c r="E112" s="314"/>
      <c r="F112" s="314"/>
      <c r="G112" s="314"/>
      <c r="H112" s="314"/>
      <c r="I112" s="314"/>
      <c r="J112" s="314"/>
      <c r="K112" s="314"/>
      <c r="L112" s="314"/>
      <c r="M112" s="314"/>
      <c r="N112" s="314"/>
      <c r="O112" s="314"/>
      <c r="P112" s="314"/>
      <c r="Q112" s="314"/>
      <c r="R112" s="314"/>
      <c r="S112" s="314"/>
      <c r="T112" s="286"/>
      <c r="U112" s="286"/>
      <c r="V112" s="338">
        <v>0</v>
      </c>
      <c r="W112" s="318"/>
      <c r="X112" s="5"/>
      <c r="Y112" s="109"/>
    </row>
    <row r="113" spans="1:24" ht="15.75" x14ac:dyDescent="0.25">
      <c r="A113" s="295">
        <v>8</v>
      </c>
      <c r="B113" s="286" t="s">
        <v>35</v>
      </c>
      <c r="C113" s="286"/>
      <c r="D113" s="286"/>
      <c r="E113" s="314"/>
      <c r="F113" s="314"/>
      <c r="G113" s="314"/>
      <c r="H113" s="314"/>
      <c r="I113" s="314"/>
      <c r="J113" s="314"/>
      <c r="K113" s="314"/>
      <c r="L113" s="314"/>
      <c r="M113" s="314"/>
      <c r="N113" s="314"/>
      <c r="O113" s="314"/>
      <c r="P113" s="314"/>
      <c r="Q113" s="314"/>
      <c r="R113" s="314"/>
      <c r="S113" s="314"/>
      <c r="T113" s="286"/>
      <c r="U113" s="286"/>
      <c r="V113" s="338">
        <v>-9</v>
      </c>
      <c r="W113" s="318"/>
      <c r="X113" s="5"/>
    </row>
    <row r="114" spans="1:24" ht="15.75" x14ac:dyDescent="0.25">
      <c r="A114" s="295">
        <f t="shared" ref="A114:A119" si="0">+A113+1</f>
        <v>9</v>
      </c>
      <c r="B114" s="286" t="s">
        <v>45</v>
      </c>
      <c r="C114" s="286"/>
      <c r="D114" s="286"/>
      <c r="E114" s="314"/>
      <c r="F114" s="314"/>
      <c r="G114" s="314"/>
      <c r="H114" s="314"/>
      <c r="I114" s="314"/>
      <c r="J114" s="314"/>
      <c r="K114" s="314"/>
      <c r="L114" s="314"/>
      <c r="M114" s="314"/>
      <c r="N114" s="314"/>
      <c r="O114" s="314"/>
      <c r="P114" s="314"/>
      <c r="Q114" s="314"/>
      <c r="R114" s="314"/>
      <c r="S114" s="314"/>
      <c r="T114" s="337">
        <f>-V114</f>
        <v>209</v>
      </c>
      <c r="U114" s="286"/>
      <c r="V114" s="338">
        <v>-209</v>
      </c>
      <c r="W114" s="318"/>
      <c r="X114" s="5"/>
    </row>
    <row r="115" spans="1:24" ht="15.75" x14ac:dyDescent="0.25">
      <c r="A115" s="295">
        <f t="shared" si="0"/>
        <v>10</v>
      </c>
      <c r="B115" s="286" t="s">
        <v>125</v>
      </c>
      <c r="C115" s="286"/>
      <c r="D115" s="286"/>
      <c r="E115" s="314"/>
      <c r="F115" s="314"/>
      <c r="G115" s="314"/>
      <c r="H115" s="314"/>
      <c r="I115" s="314"/>
      <c r="J115" s="314"/>
      <c r="K115" s="314"/>
      <c r="L115" s="314"/>
      <c r="M115" s="314"/>
      <c r="N115" s="314"/>
      <c r="O115" s="314"/>
      <c r="P115" s="314"/>
      <c r="Q115" s="314"/>
      <c r="R115" s="314"/>
      <c r="S115" s="314"/>
      <c r="T115" s="286"/>
      <c r="U115" s="286"/>
      <c r="V115" s="338">
        <v>0</v>
      </c>
      <c r="W115" s="318"/>
      <c r="X115" s="5"/>
    </row>
    <row r="116" spans="1:24" ht="15.75" x14ac:dyDescent="0.25">
      <c r="A116" s="295">
        <f t="shared" si="0"/>
        <v>11</v>
      </c>
      <c r="B116" s="286" t="s">
        <v>225</v>
      </c>
      <c r="C116" s="286"/>
      <c r="D116" s="286"/>
      <c r="E116" s="314"/>
      <c r="F116" s="314"/>
      <c r="G116" s="314"/>
      <c r="H116" s="314"/>
      <c r="I116" s="314"/>
      <c r="J116" s="314"/>
      <c r="K116" s="314"/>
      <c r="L116" s="314"/>
      <c r="M116" s="314"/>
      <c r="N116" s="314"/>
      <c r="O116" s="314"/>
      <c r="P116" s="314"/>
      <c r="Q116" s="314"/>
      <c r="R116" s="314"/>
      <c r="S116" s="314"/>
      <c r="T116" s="286"/>
      <c r="U116" s="286"/>
      <c r="V116" s="338">
        <v>0</v>
      </c>
      <c r="W116" s="318"/>
      <c r="X116" s="5"/>
    </row>
    <row r="117" spans="1:24" ht="15.75" x14ac:dyDescent="0.25">
      <c r="A117" s="295">
        <f t="shared" si="0"/>
        <v>12</v>
      </c>
      <c r="B117" s="286" t="s">
        <v>36</v>
      </c>
      <c r="C117" s="286"/>
      <c r="D117" s="286"/>
      <c r="E117" s="314"/>
      <c r="F117" s="314"/>
      <c r="G117" s="314"/>
      <c r="H117" s="314"/>
      <c r="I117" s="314"/>
      <c r="J117" s="314"/>
      <c r="K117" s="314"/>
      <c r="L117" s="314"/>
      <c r="M117" s="314"/>
      <c r="N117" s="314"/>
      <c r="O117" s="314"/>
      <c r="P117" s="314"/>
      <c r="Q117" s="314"/>
      <c r="R117" s="314"/>
      <c r="S117" s="314"/>
      <c r="T117" s="286"/>
      <c r="U117" s="286"/>
      <c r="V117" s="338">
        <v>0</v>
      </c>
      <c r="W117" s="318"/>
      <c r="X117" s="5"/>
    </row>
    <row r="118" spans="1:24" ht="15.75" x14ac:dyDescent="0.25">
      <c r="A118" s="295">
        <f t="shared" si="0"/>
        <v>13</v>
      </c>
      <c r="B118" s="286" t="s">
        <v>149</v>
      </c>
      <c r="C118" s="286"/>
      <c r="D118" s="286"/>
      <c r="E118" s="314"/>
      <c r="F118" s="314"/>
      <c r="G118" s="314"/>
      <c r="H118" s="314"/>
      <c r="I118" s="314"/>
      <c r="J118" s="314"/>
      <c r="K118" s="314"/>
      <c r="L118" s="314"/>
      <c r="M118" s="314"/>
      <c r="N118" s="314"/>
      <c r="O118" s="314"/>
      <c r="P118" s="314"/>
      <c r="Q118" s="314"/>
      <c r="R118" s="314"/>
      <c r="S118" s="314"/>
      <c r="T118" s="286"/>
      <c r="U118" s="286"/>
      <c r="V118" s="338">
        <v>-285</v>
      </c>
      <c r="W118" s="318"/>
      <c r="X118" s="5"/>
    </row>
    <row r="119" spans="1:24" ht="15.75" x14ac:dyDescent="0.25">
      <c r="A119" s="295">
        <f t="shared" si="0"/>
        <v>14</v>
      </c>
      <c r="B119" s="286" t="s">
        <v>126</v>
      </c>
      <c r="C119" s="286"/>
      <c r="D119" s="286"/>
      <c r="E119" s="314"/>
      <c r="F119" s="314"/>
      <c r="G119" s="314"/>
      <c r="H119" s="314"/>
      <c r="I119" s="314"/>
      <c r="J119" s="314"/>
      <c r="K119" s="314"/>
      <c r="L119" s="314"/>
      <c r="M119" s="314"/>
      <c r="N119" s="314"/>
      <c r="O119" s="314"/>
      <c r="P119" s="314"/>
      <c r="Q119" s="314"/>
      <c r="R119" s="314"/>
      <c r="S119" s="314"/>
      <c r="T119" s="286"/>
      <c r="U119" s="286"/>
      <c r="V119" s="338">
        <f>-V101-SUM(V103:V118)</f>
        <v>-2162</v>
      </c>
      <c r="W119" s="318"/>
      <c r="X119" s="5"/>
    </row>
    <row r="120" spans="1:24" ht="15.75" x14ac:dyDescent="0.25">
      <c r="A120" s="285"/>
      <c r="B120" s="342" t="s">
        <v>37</v>
      </c>
      <c r="C120" s="314"/>
      <c r="D120" s="314"/>
      <c r="E120" s="314"/>
      <c r="F120" s="314"/>
      <c r="G120" s="314"/>
      <c r="H120" s="314"/>
      <c r="I120" s="314"/>
      <c r="J120" s="314"/>
      <c r="K120" s="314"/>
      <c r="L120" s="314"/>
      <c r="M120" s="314"/>
      <c r="N120" s="314"/>
      <c r="O120" s="314"/>
      <c r="P120" s="314"/>
      <c r="Q120" s="314"/>
      <c r="R120" s="314"/>
      <c r="S120" s="314"/>
      <c r="T120" s="286"/>
      <c r="U120" s="286"/>
      <c r="V120" s="343"/>
      <c r="W120" s="318"/>
      <c r="X120" s="5"/>
    </row>
    <row r="121" spans="1:24" ht="15.75" x14ac:dyDescent="0.25">
      <c r="A121" s="285"/>
      <c r="B121" s="286" t="s">
        <v>173</v>
      </c>
      <c r="C121" s="314"/>
      <c r="D121" s="314"/>
      <c r="E121" s="314"/>
      <c r="F121" s="314"/>
      <c r="G121" s="314"/>
      <c r="H121" s="314"/>
      <c r="I121" s="314"/>
      <c r="J121" s="314"/>
      <c r="K121" s="314"/>
      <c r="L121" s="314"/>
      <c r="M121" s="314"/>
      <c r="N121" s="314"/>
      <c r="O121" s="314"/>
      <c r="P121" s="314"/>
      <c r="Q121" s="314"/>
      <c r="R121" s="314"/>
      <c r="S121" s="314"/>
      <c r="T121" s="337">
        <f>-T186</f>
        <v>0</v>
      </c>
      <c r="U121" s="337"/>
      <c r="V121" s="338"/>
      <c r="W121" s="318"/>
      <c r="X121" s="5"/>
    </row>
    <row r="122" spans="1:24" ht="15.75" x14ac:dyDescent="0.25">
      <c r="A122" s="285"/>
      <c r="B122" s="286" t="s">
        <v>174</v>
      </c>
      <c r="C122" s="314"/>
      <c r="D122" s="314"/>
      <c r="E122" s="314"/>
      <c r="F122" s="314"/>
      <c r="G122" s="314"/>
      <c r="H122" s="314"/>
      <c r="I122" s="314"/>
      <c r="J122" s="314"/>
      <c r="K122" s="314"/>
      <c r="L122" s="314"/>
      <c r="M122" s="314"/>
      <c r="N122" s="314"/>
      <c r="O122" s="314"/>
      <c r="P122" s="314"/>
      <c r="Q122" s="314"/>
      <c r="R122" s="314"/>
      <c r="S122" s="314"/>
      <c r="T122" s="337">
        <v>-8</v>
      </c>
      <c r="U122" s="337"/>
      <c r="V122" s="338"/>
      <c r="W122" s="318"/>
      <c r="X122" s="5"/>
    </row>
    <row r="123" spans="1:24" ht="15.75" x14ac:dyDescent="0.25">
      <c r="A123" s="285"/>
      <c r="B123" s="286" t="s">
        <v>38</v>
      </c>
      <c r="C123" s="314"/>
      <c r="D123" s="314"/>
      <c r="E123" s="314"/>
      <c r="F123" s="314"/>
      <c r="G123" s="314"/>
      <c r="H123" s="314"/>
      <c r="I123" s="314"/>
      <c r="J123" s="314"/>
      <c r="K123" s="314"/>
      <c r="L123" s="314"/>
      <c r="M123" s="314"/>
      <c r="N123" s="314"/>
      <c r="O123" s="314"/>
      <c r="P123" s="314"/>
      <c r="Q123" s="314"/>
      <c r="R123" s="314"/>
      <c r="S123" s="314"/>
      <c r="T123" s="337">
        <f>-S186</f>
        <v>-177</v>
      </c>
      <c r="U123" s="337"/>
      <c r="V123" s="338"/>
      <c r="W123" s="318"/>
      <c r="X123" s="5"/>
    </row>
    <row r="124" spans="1:24" ht="15.75" x14ac:dyDescent="0.25">
      <c r="A124" s="285"/>
      <c r="B124" s="286" t="s">
        <v>197</v>
      </c>
      <c r="C124" s="314"/>
      <c r="D124" s="314"/>
      <c r="E124" s="314"/>
      <c r="F124" s="314"/>
      <c r="G124" s="314"/>
      <c r="H124" s="314"/>
      <c r="I124" s="314"/>
      <c r="J124" s="314"/>
      <c r="K124" s="314"/>
      <c r="L124" s="314"/>
      <c r="M124" s="314"/>
      <c r="N124" s="314"/>
      <c r="O124" s="314"/>
      <c r="P124" s="314"/>
      <c r="Q124" s="314"/>
      <c r="R124" s="314"/>
      <c r="S124" s="314"/>
      <c r="T124" s="337">
        <v>-5273</v>
      </c>
      <c r="U124" s="337"/>
      <c r="V124" s="338"/>
      <c r="W124" s="318"/>
      <c r="X124" s="5"/>
    </row>
    <row r="125" spans="1:24" ht="15.75" x14ac:dyDescent="0.25">
      <c r="A125" s="285"/>
      <c r="B125" s="286" t="s">
        <v>195</v>
      </c>
      <c r="C125" s="314"/>
      <c r="D125" s="314"/>
      <c r="E125" s="314"/>
      <c r="F125" s="314"/>
      <c r="G125" s="314"/>
      <c r="H125" s="314"/>
      <c r="I125" s="314"/>
      <c r="J125" s="314"/>
      <c r="K125" s="314"/>
      <c r="L125" s="314"/>
      <c r="M125" s="314"/>
      <c r="N125" s="314"/>
      <c r="O125" s="314"/>
      <c r="P125" s="314"/>
      <c r="Q125" s="314"/>
      <c r="R125" s="314"/>
      <c r="S125" s="314"/>
      <c r="T125" s="337">
        <v>-2241</v>
      </c>
      <c r="U125" s="337"/>
      <c r="V125" s="338"/>
      <c r="W125" s="318"/>
      <c r="X125" s="5"/>
    </row>
    <row r="126" spans="1:24" ht="15.75" x14ac:dyDescent="0.25">
      <c r="A126" s="285"/>
      <c r="B126" s="286" t="s">
        <v>194</v>
      </c>
      <c r="C126" s="314"/>
      <c r="D126" s="314"/>
      <c r="E126" s="314"/>
      <c r="F126" s="314"/>
      <c r="G126" s="314"/>
      <c r="H126" s="314"/>
      <c r="I126" s="314"/>
      <c r="J126" s="314"/>
      <c r="K126" s="314"/>
      <c r="L126" s="314"/>
      <c r="M126" s="314"/>
      <c r="N126" s="314"/>
      <c r="O126" s="314"/>
      <c r="P126" s="314"/>
      <c r="Q126" s="314"/>
      <c r="R126" s="314"/>
      <c r="S126" s="314"/>
      <c r="T126" s="337">
        <v>-799</v>
      </c>
      <c r="U126" s="337"/>
      <c r="V126" s="338"/>
      <c r="W126" s="318"/>
      <c r="X126" s="5"/>
    </row>
    <row r="127" spans="1:24" ht="15.75" x14ac:dyDescent="0.25">
      <c r="A127" s="285"/>
      <c r="B127" s="286" t="s">
        <v>222</v>
      </c>
      <c r="C127" s="314"/>
      <c r="D127" s="314"/>
      <c r="E127" s="314"/>
      <c r="F127" s="314"/>
      <c r="G127" s="314"/>
      <c r="H127" s="314"/>
      <c r="I127" s="314"/>
      <c r="J127" s="314"/>
      <c r="K127" s="314"/>
      <c r="L127" s="314"/>
      <c r="M127" s="314"/>
      <c r="N127" s="314"/>
      <c r="O127" s="314"/>
      <c r="P127" s="314"/>
      <c r="Q127" s="314"/>
      <c r="R127" s="314"/>
      <c r="S127" s="314"/>
      <c r="T127" s="337">
        <v>-791</v>
      </c>
      <c r="U127" s="337"/>
      <c r="V127" s="338"/>
      <c r="W127" s="318"/>
      <c r="X127" s="5"/>
    </row>
    <row r="128" spans="1:24" ht="15.75" x14ac:dyDescent="0.25">
      <c r="A128" s="285"/>
      <c r="B128" s="286" t="s">
        <v>189</v>
      </c>
      <c r="C128" s="314"/>
      <c r="D128" s="314"/>
      <c r="E128" s="314"/>
      <c r="F128" s="314"/>
      <c r="G128" s="314"/>
      <c r="H128" s="314"/>
      <c r="I128" s="314"/>
      <c r="J128" s="314"/>
      <c r="K128" s="314"/>
      <c r="L128" s="314"/>
      <c r="M128" s="314"/>
      <c r="N128" s="314"/>
      <c r="O128" s="314"/>
      <c r="P128" s="314"/>
      <c r="Q128" s="314"/>
      <c r="R128" s="314"/>
      <c r="S128" s="314"/>
      <c r="T128" s="337">
        <v>0</v>
      </c>
      <c r="U128" s="337"/>
      <c r="V128" s="338"/>
      <c r="W128" s="318"/>
      <c r="X128" s="5"/>
    </row>
    <row r="129" spans="1:24" ht="15.75" x14ac:dyDescent="0.25">
      <c r="A129" s="285"/>
      <c r="B129" s="286" t="s">
        <v>188</v>
      </c>
      <c r="C129" s="314"/>
      <c r="D129" s="314"/>
      <c r="E129" s="314"/>
      <c r="F129" s="314"/>
      <c r="G129" s="314"/>
      <c r="H129" s="314"/>
      <c r="I129" s="314"/>
      <c r="J129" s="314"/>
      <c r="K129" s="314"/>
      <c r="L129" s="314"/>
      <c r="M129" s="314"/>
      <c r="N129" s="314"/>
      <c r="O129" s="314"/>
      <c r="P129" s="314"/>
      <c r="Q129" s="314"/>
      <c r="R129" s="314"/>
      <c r="S129" s="314"/>
      <c r="T129" s="337">
        <v>0</v>
      </c>
      <c r="U129" s="337"/>
      <c r="V129" s="338"/>
      <c r="W129" s="318"/>
      <c r="X129" s="5"/>
    </row>
    <row r="130" spans="1:24" ht="15.75" x14ac:dyDescent="0.25">
      <c r="A130" s="285"/>
      <c r="B130" s="286" t="s">
        <v>187</v>
      </c>
      <c r="C130" s="314"/>
      <c r="D130" s="314"/>
      <c r="E130" s="314"/>
      <c r="F130" s="314"/>
      <c r="G130" s="314"/>
      <c r="H130" s="314"/>
      <c r="I130" s="314"/>
      <c r="J130" s="314"/>
      <c r="K130" s="314"/>
      <c r="L130" s="314"/>
      <c r="M130" s="314"/>
      <c r="N130" s="314"/>
      <c r="O130" s="314"/>
      <c r="P130" s="314"/>
      <c r="Q130" s="314"/>
      <c r="R130" s="314"/>
      <c r="S130" s="314"/>
      <c r="T130" s="337">
        <v>0</v>
      </c>
      <c r="U130" s="337"/>
      <c r="V130" s="338"/>
      <c r="W130" s="318"/>
      <c r="X130" s="5"/>
    </row>
    <row r="131" spans="1:24" ht="15.75" x14ac:dyDescent="0.25">
      <c r="A131" s="285"/>
      <c r="B131" s="286" t="s">
        <v>39</v>
      </c>
      <c r="C131" s="314"/>
      <c r="D131" s="314"/>
      <c r="E131" s="314"/>
      <c r="F131" s="314"/>
      <c r="G131" s="314"/>
      <c r="H131" s="314"/>
      <c r="I131" s="314"/>
      <c r="J131" s="314"/>
      <c r="K131" s="314"/>
      <c r="L131" s="314"/>
      <c r="M131" s="314"/>
      <c r="N131" s="314"/>
      <c r="O131" s="314"/>
      <c r="P131" s="314"/>
      <c r="Q131" s="314"/>
      <c r="R131" s="314"/>
      <c r="S131" s="314"/>
      <c r="T131" s="337">
        <f>SUM(T121:T130)</f>
        <v>-9289</v>
      </c>
      <c r="U131" s="337"/>
      <c r="V131" s="337">
        <f>SUM(V102:V129)</f>
        <v>-4867</v>
      </c>
      <c r="W131" s="318"/>
      <c r="X131" s="5"/>
    </row>
    <row r="132" spans="1:24" ht="15.75" x14ac:dyDescent="0.25">
      <c r="A132" s="285"/>
      <c r="B132" s="286" t="s">
        <v>40</v>
      </c>
      <c r="C132" s="314"/>
      <c r="D132" s="314"/>
      <c r="E132" s="314"/>
      <c r="F132" s="314"/>
      <c r="G132" s="314"/>
      <c r="H132" s="314"/>
      <c r="I132" s="314"/>
      <c r="J132" s="314"/>
      <c r="K132" s="314"/>
      <c r="L132" s="314"/>
      <c r="M132" s="314"/>
      <c r="N132" s="314"/>
      <c r="O132" s="314"/>
      <c r="P132" s="314"/>
      <c r="Q132" s="314"/>
      <c r="R132" s="314"/>
      <c r="S132" s="314"/>
      <c r="T132" s="337">
        <f>T101+T131+T114</f>
        <v>0</v>
      </c>
      <c r="U132" s="337"/>
      <c r="V132" s="337">
        <f>V101+V131</f>
        <v>0</v>
      </c>
      <c r="W132" s="318"/>
      <c r="X132" s="5"/>
    </row>
    <row r="133" spans="1:24" ht="15.75" x14ac:dyDescent="0.25">
      <c r="A133" s="181"/>
      <c r="B133" s="212"/>
      <c r="C133" s="212"/>
      <c r="D133" s="212"/>
      <c r="E133" s="212"/>
      <c r="F133" s="212"/>
      <c r="G133" s="212"/>
      <c r="H133" s="212"/>
      <c r="I133" s="212"/>
      <c r="J133" s="212"/>
      <c r="K133" s="212"/>
      <c r="L133" s="212"/>
      <c r="M133" s="212"/>
      <c r="N133" s="212"/>
      <c r="O133" s="212"/>
      <c r="P133" s="212"/>
      <c r="Q133" s="212"/>
      <c r="R133" s="212"/>
      <c r="S133" s="212"/>
      <c r="T133" s="335"/>
      <c r="U133" s="335"/>
      <c r="V133" s="335"/>
      <c r="W133" s="212"/>
      <c r="X133" s="5"/>
    </row>
    <row r="134" spans="1:24" ht="15.75" x14ac:dyDescent="0.25">
      <c r="A134" s="181"/>
      <c r="B134" s="183"/>
      <c r="C134" s="183"/>
      <c r="D134" s="183"/>
      <c r="E134" s="183"/>
      <c r="F134" s="183"/>
      <c r="G134" s="183"/>
      <c r="H134" s="183"/>
      <c r="I134" s="183"/>
      <c r="J134" s="183"/>
      <c r="K134" s="183"/>
      <c r="L134" s="183"/>
      <c r="M134" s="183"/>
      <c r="N134" s="183"/>
      <c r="O134" s="183"/>
      <c r="P134" s="183"/>
      <c r="Q134" s="183"/>
      <c r="R134" s="183"/>
      <c r="S134" s="183"/>
      <c r="T134" s="183"/>
      <c r="U134" s="183"/>
      <c r="V134" s="202"/>
      <c r="W134" s="183"/>
      <c r="X134" s="5"/>
    </row>
    <row r="135" spans="1:24" ht="19.5" thickBot="1" x14ac:dyDescent="0.35">
      <c r="A135" s="197"/>
      <c r="B135" s="270" t="str">
        <f>B64</f>
        <v>PM15 INVESTOR REPORT QUARTER ENDING AUGUST 2015</v>
      </c>
      <c r="C135" s="198"/>
      <c r="D135" s="198"/>
      <c r="E135" s="198"/>
      <c r="F135" s="198"/>
      <c r="G135" s="198"/>
      <c r="H135" s="198"/>
      <c r="I135" s="198"/>
      <c r="J135" s="198"/>
      <c r="K135" s="198"/>
      <c r="L135" s="198"/>
      <c r="M135" s="198"/>
      <c r="N135" s="198"/>
      <c r="O135" s="198"/>
      <c r="P135" s="198"/>
      <c r="Q135" s="198"/>
      <c r="R135" s="198"/>
      <c r="S135" s="198"/>
      <c r="T135" s="198"/>
      <c r="U135" s="198"/>
      <c r="V135" s="209"/>
      <c r="W135" s="200"/>
      <c r="X135" s="5"/>
    </row>
    <row r="136" spans="1:24" ht="15.75" x14ac:dyDescent="0.25">
      <c r="A136" s="236"/>
      <c r="B136" s="403" t="s">
        <v>41</v>
      </c>
      <c r="C136" s="238"/>
      <c r="D136" s="238"/>
      <c r="E136" s="238"/>
      <c r="F136" s="238"/>
      <c r="G136" s="238"/>
      <c r="H136" s="238"/>
      <c r="I136" s="238"/>
      <c r="J136" s="238"/>
      <c r="K136" s="238"/>
      <c r="L136" s="238"/>
      <c r="M136" s="238"/>
      <c r="N136" s="238"/>
      <c r="O136" s="238"/>
      <c r="P136" s="238"/>
      <c r="Q136" s="238"/>
      <c r="R136" s="238"/>
      <c r="S136" s="238"/>
      <c r="T136" s="238"/>
      <c r="U136" s="238"/>
      <c r="V136" s="239"/>
      <c r="W136" s="238"/>
      <c r="X136" s="5"/>
    </row>
    <row r="137" spans="1:24" ht="15.75" x14ac:dyDescent="0.25">
      <c r="A137" s="181"/>
      <c r="B137" s="191"/>
      <c r="C137" s="183"/>
      <c r="D137" s="183"/>
      <c r="E137" s="183"/>
      <c r="F137" s="183"/>
      <c r="G137" s="183"/>
      <c r="H137" s="183"/>
      <c r="I137" s="183"/>
      <c r="J137" s="183"/>
      <c r="K137" s="183"/>
      <c r="L137" s="183"/>
      <c r="M137" s="183"/>
      <c r="N137" s="183"/>
      <c r="O137" s="183"/>
      <c r="P137" s="183"/>
      <c r="Q137" s="183"/>
      <c r="R137" s="183"/>
      <c r="S137" s="183"/>
      <c r="T137" s="183"/>
      <c r="U137" s="183"/>
      <c r="V137" s="202"/>
      <c r="W137" s="183"/>
      <c r="X137" s="5"/>
    </row>
    <row r="138" spans="1:24" ht="15.75" x14ac:dyDescent="0.25">
      <c r="A138" s="181"/>
      <c r="B138" s="210" t="s">
        <v>42</v>
      </c>
      <c r="C138" s="183"/>
      <c r="D138" s="183"/>
      <c r="E138" s="183"/>
      <c r="F138" s="183"/>
      <c r="G138" s="183"/>
      <c r="H138" s="183"/>
      <c r="I138" s="183"/>
      <c r="J138" s="183"/>
      <c r="K138" s="183"/>
      <c r="L138" s="183"/>
      <c r="M138" s="183"/>
      <c r="N138" s="183"/>
      <c r="O138" s="183"/>
      <c r="P138" s="183"/>
      <c r="Q138" s="183"/>
      <c r="R138" s="183"/>
      <c r="S138" s="183"/>
      <c r="T138" s="183"/>
      <c r="U138" s="183"/>
      <c r="V138" s="202"/>
      <c r="W138" s="183"/>
      <c r="X138" s="5"/>
    </row>
    <row r="139" spans="1:24" ht="15.75" x14ac:dyDescent="0.25">
      <c r="A139" s="285"/>
      <c r="B139" s="286" t="s">
        <v>43</v>
      </c>
      <c r="C139" s="286"/>
      <c r="D139" s="286"/>
      <c r="E139" s="286"/>
      <c r="F139" s="286"/>
      <c r="G139" s="286"/>
      <c r="H139" s="286"/>
      <c r="I139" s="286"/>
      <c r="J139" s="286"/>
      <c r="K139" s="286"/>
      <c r="L139" s="286"/>
      <c r="M139" s="286"/>
      <c r="N139" s="286"/>
      <c r="O139" s="286"/>
      <c r="P139" s="286"/>
      <c r="Q139" s="286"/>
      <c r="R139" s="286"/>
      <c r="S139" s="286"/>
      <c r="T139" s="286"/>
      <c r="U139" s="286"/>
      <c r="V139" s="338">
        <f>+V34*0.019</f>
        <v>19021.526999999998</v>
      </c>
      <c r="W139" s="289"/>
      <c r="X139" s="5"/>
    </row>
    <row r="140" spans="1:24" ht="15.75" x14ac:dyDescent="0.25">
      <c r="A140" s="285"/>
      <c r="B140" s="286" t="s">
        <v>44</v>
      </c>
      <c r="C140" s="286"/>
      <c r="D140" s="286"/>
      <c r="E140" s="286"/>
      <c r="F140" s="286"/>
      <c r="G140" s="286"/>
      <c r="H140" s="286"/>
      <c r="I140" s="286"/>
      <c r="J140" s="286"/>
      <c r="K140" s="286"/>
      <c r="L140" s="286"/>
      <c r="M140" s="286"/>
      <c r="N140" s="286"/>
      <c r="O140" s="286"/>
      <c r="P140" s="286"/>
      <c r="Q140" s="286"/>
      <c r="R140" s="286"/>
      <c r="S140" s="286"/>
      <c r="T140" s="286"/>
      <c r="U140" s="286"/>
      <c r="V140" s="338">
        <v>19022</v>
      </c>
      <c r="W140" s="289"/>
      <c r="X140" s="5"/>
    </row>
    <row r="141" spans="1:24" ht="15.75" x14ac:dyDescent="0.25">
      <c r="A141" s="285"/>
      <c r="B141" s="286" t="s">
        <v>136</v>
      </c>
      <c r="C141" s="286"/>
      <c r="D141" s="286"/>
      <c r="E141" s="286"/>
      <c r="F141" s="286"/>
      <c r="G141" s="286"/>
      <c r="H141" s="286"/>
      <c r="I141" s="286"/>
      <c r="J141" s="286"/>
      <c r="K141" s="286"/>
      <c r="L141" s="286"/>
      <c r="M141" s="286"/>
      <c r="N141" s="286"/>
      <c r="O141" s="286"/>
      <c r="P141" s="286"/>
      <c r="Q141" s="286"/>
      <c r="R141" s="286"/>
      <c r="S141" s="286"/>
      <c r="T141" s="286"/>
      <c r="U141" s="286"/>
      <c r="V141" s="338"/>
      <c r="W141" s="289"/>
      <c r="X141" s="5"/>
    </row>
    <row r="142" spans="1:24" ht="15.75" x14ac:dyDescent="0.25">
      <c r="A142" s="285"/>
      <c r="B142" s="286" t="s">
        <v>123</v>
      </c>
      <c r="C142" s="286"/>
      <c r="D142" s="286"/>
      <c r="E142" s="286"/>
      <c r="F142" s="286"/>
      <c r="G142" s="286"/>
      <c r="H142" s="286"/>
      <c r="I142" s="286"/>
      <c r="J142" s="286"/>
      <c r="K142" s="286"/>
      <c r="L142" s="286"/>
      <c r="M142" s="286"/>
      <c r="N142" s="286"/>
      <c r="O142" s="286"/>
      <c r="P142" s="286"/>
      <c r="Q142" s="286"/>
      <c r="R142" s="286"/>
      <c r="S142" s="286"/>
      <c r="T142" s="286"/>
      <c r="U142" s="286"/>
      <c r="V142" s="338">
        <v>0</v>
      </c>
      <c r="W142" s="289"/>
      <c r="X142" s="5"/>
    </row>
    <row r="143" spans="1:24" ht="15.75" x14ac:dyDescent="0.25">
      <c r="A143" s="285"/>
      <c r="B143" s="286" t="s">
        <v>124</v>
      </c>
      <c r="C143" s="286"/>
      <c r="D143" s="286"/>
      <c r="E143" s="286"/>
      <c r="F143" s="286"/>
      <c r="G143" s="286"/>
      <c r="H143" s="286"/>
      <c r="I143" s="286"/>
      <c r="J143" s="286"/>
      <c r="K143" s="286"/>
      <c r="L143" s="286"/>
      <c r="M143" s="286"/>
      <c r="N143" s="286"/>
      <c r="O143" s="286"/>
      <c r="P143" s="286"/>
      <c r="Q143" s="286"/>
      <c r="R143" s="286"/>
      <c r="S143" s="286"/>
      <c r="T143" s="286"/>
      <c r="U143" s="286"/>
      <c r="V143" s="338">
        <v>0</v>
      </c>
      <c r="W143" s="289"/>
      <c r="X143" s="5"/>
    </row>
    <row r="144" spans="1:24" ht="15.75" x14ac:dyDescent="0.25">
      <c r="A144" s="285"/>
      <c r="B144" s="286" t="s">
        <v>175</v>
      </c>
      <c r="C144" s="286"/>
      <c r="D144" s="286"/>
      <c r="E144" s="286"/>
      <c r="F144" s="286"/>
      <c r="G144" s="286"/>
      <c r="H144" s="286"/>
      <c r="I144" s="286"/>
      <c r="J144" s="286"/>
      <c r="K144" s="286"/>
      <c r="L144" s="286"/>
      <c r="M144" s="286"/>
      <c r="N144" s="286"/>
      <c r="O144" s="286"/>
      <c r="P144" s="286"/>
      <c r="Q144" s="286"/>
      <c r="R144" s="286"/>
      <c r="S144" s="286"/>
      <c r="T144" s="286"/>
      <c r="U144" s="286"/>
      <c r="V144" s="338">
        <v>0</v>
      </c>
      <c r="W144" s="289"/>
      <c r="X144" s="5"/>
    </row>
    <row r="145" spans="1:25" ht="15.75" x14ac:dyDescent="0.25">
      <c r="A145" s="285"/>
      <c r="B145" s="286" t="s">
        <v>45</v>
      </c>
      <c r="C145" s="286"/>
      <c r="D145" s="286"/>
      <c r="E145" s="286"/>
      <c r="F145" s="286"/>
      <c r="G145" s="286"/>
      <c r="H145" s="286"/>
      <c r="I145" s="286"/>
      <c r="J145" s="286"/>
      <c r="K145" s="286"/>
      <c r="L145" s="286"/>
      <c r="M145" s="286"/>
      <c r="N145" s="286"/>
      <c r="O145" s="286"/>
      <c r="P145" s="286"/>
      <c r="Q145" s="286"/>
      <c r="R145" s="286"/>
      <c r="S145" s="286"/>
      <c r="T145" s="286"/>
      <c r="U145" s="286"/>
      <c r="V145" s="338">
        <v>0</v>
      </c>
      <c r="W145" s="289"/>
      <c r="X145" s="5"/>
    </row>
    <row r="146" spans="1:25" ht="15.75" x14ac:dyDescent="0.25">
      <c r="A146" s="285"/>
      <c r="B146" s="286" t="s">
        <v>129</v>
      </c>
      <c r="C146" s="286"/>
      <c r="D146" s="286"/>
      <c r="E146" s="286"/>
      <c r="F146" s="286"/>
      <c r="G146" s="286"/>
      <c r="H146" s="286"/>
      <c r="I146" s="286"/>
      <c r="J146" s="286"/>
      <c r="K146" s="286"/>
      <c r="L146" s="286"/>
      <c r="M146" s="286"/>
      <c r="N146" s="286"/>
      <c r="O146" s="286"/>
      <c r="P146" s="286"/>
      <c r="Q146" s="286"/>
      <c r="R146" s="286"/>
      <c r="S146" s="286"/>
      <c r="T146" s="286"/>
      <c r="U146" s="286"/>
      <c r="V146" s="338">
        <v>0</v>
      </c>
      <c r="W146" s="289"/>
      <c r="X146" s="5"/>
    </row>
    <row r="147" spans="1:25" ht="15.75" x14ac:dyDescent="0.25">
      <c r="A147" s="285"/>
      <c r="B147" s="286" t="s">
        <v>241</v>
      </c>
      <c r="C147" s="286"/>
      <c r="D147" s="286"/>
      <c r="E147" s="286"/>
      <c r="F147" s="286"/>
      <c r="G147" s="286"/>
      <c r="H147" s="286"/>
      <c r="I147" s="286"/>
      <c r="J147" s="286"/>
      <c r="K147" s="286"/>
      <c r="L147" s="286"/>
      <c r="M147" s="286"/>
      <c r="N147" s="286"/>
      <c r="O147" s="286"/>
      <c r="P147" s="286"/>
      <c r="Q147" s="286"/>
      <c r="R147" s="286"/>
      <c r="S147" s="286"/>
      <c r="T147" s="286"/>
      <c r="U147" s="286"/>
      <c r="V147" s="338">
        <v>0</v>
      </c>
      <c r="W147" s="289"/>
      <c r="X147" s="5"/>
      <c r="Y147" s="109"/>
    </row>
    <row r="148" spans="1:25" ht="15.75" x14ac:dyDescent="0.25">
      <c r="A148" s="285"/>
      <c r="B148" s="286" t="s">
        <v>46</v>
      </c>
      <c r="C148" s="286"/>
      <c r="D148" s="286"/>
      <c r="E148" s="286"/>
      <c r="F148" s="286"/>
      <c r="G148" s="286"/>
      <c r="H148" s="286"/>
      <c r="I148" s="286"/>
      <c r="J148" s="286"/>
      <c r="K148" s="286"/>
      <c r="L148" s="286"/>
      <c r="M148" s="286"/>
      <c r="N148" s="286"/>
      <c r="O148" s="286"/>
      <c r="P148" s="286"/>
      <c r="Q148" s="286"/>
      <c r="R148" s="286"/>
      <c r="S148" s="286"/>
      <c r="T148" s="286"/>
      <c r="U148" s="286"/>
      <c r="V148" s="338">
        <f>SUM(V140:V147)</f>
        <v>19022</v>
      </c>
      <c r="W148" s="289"/>
      <c r="X148" s="5"/>
    </row>
    <row r="149" spans="1:25" ht="15.75" x14ac:dyDescent="0.25">
      <c r="A149" s="285"/>
      <c r="B149" s="314"/>
      <c r="C149" s="314"/>
      <c r="D149" s="314"/>
      <c r="E149" s="314"/>
      <c r="F149" s="314"/>
      <c r="G149" s="314"/>
      <c r="H149" s="314"/>
      <c r="I149" s="314"/>
      <c r="J149" s="314"/>
      <c r="K149" s="314"/>
      <c r="L149" s="314"/>
      <c r="M149" s="314"/>
      <c r="N149" s="314"/>
      <c r="O149" s="314"/>
      <c r="P149" s="314"/>
      <c r="Q149" s="314"/>
      <c r="R149" s="314"/>
      <c r="S149" s="314"/>
      <c r="T149" s="314"/>
      <c r="U149" s="314"/>
      <c r="V149" s="345"/>
      <c r="W149" s="318"/>
      <c r="X149" s="5"/>
    </row>
    <row r="150" spans="1:25" ht="15.75" x14ac:dyDescent="0.25">
      <c r="A150" s="285"/>
      <c r="B150" s="342" t="s">
        <v>269</v>
      </c>
      <c r="C150" s="314"/>
      <c r="D150" s="314"/>
      <c r="E150" s="314"/>
      <c r="F150" s="314"/>
      <c r="G150" s="314"/>
      <c r="H150" s="314"/>
      <c r="I150" s="314"/>
      <c r="J150" s="314"/>
      <c r="K150" s="314"/>
      <c r="L150" s="314"/>
      <c r="M150" s="314"/>
      <c r="N150" s="314"/>
      <c r="O150" s="314"/>
      <c r="P150" s="314"/>
      <c r="Q150" s="314"/>
      <c r="R150" s="314"/>
      <c r="S150" s="314"/>
      <c r="T150" s="314"/>
      <c r="U150" s="314"/>
      <c r="V150" s="345"/>
      <c r="W150" s="318"/>
      <c r="X150" s="5"/>
    </row>
    <row r="151" spans="1:25" ht="15.75" x14ac:dyDescent="0.25">
      <c r="A151" s="285"/>
      <c r="B151" s="286" t="s">
        <v>155</v>
      </c>
      <c r="C151" s="286"/>
      <c r="D151" s="286"/>
      <c r="E151" s="286"/>
      <c r="F151" s="286"/>
      <c r="G151" s="286"/>
      <c r="H151" s="286"/>
      <c r="I151" s="286"/>
      <c r="J151" s="286"/>
      <c r="K151" s="286"/>
      <c r="L151" s="286"/>
      <c r="M151" s="286"/>
      <c r="N151" s="286"/>
      <c r="O151" s="286"/>
      <c r="P151" s="286"/>
      <c r="Q151" s="286"/>
      <c r="R151" s="286"/>
      <c r="S151" s="286"/>
      <c r="T151" s="286"/>
      <c r="U151" s="286"/>
      <c r="V151" s="338">
        <v>0</v>
      </c>
      <c r="W151" s="289"/>
      <c r="X151" s="5"/>
    </row>
    <row r="152" spans="1:25" ht="15.75" x14ac:dyDescent="0.25">
      <c r="A152" s="285"/>
      <c r="B152" s="286" t="s">
        <v>172</v>
      </c>
      <c r="C152" s="286"/>
      <c r="D152" s="286"/>
      <c r="E152" s="286"/>
      <c r="F152" s="286"/>
      <c r="G152" s="286"/>
      <c r="H152" s="286"/>
      <c r="I152" s="286"/>
      <c r="J152" s="286"/>
      <c r="K152" s="286"/>
      <c r="L152" s="286"/>
      <c r="M152" s="286"/>
      <c r="N152" s="286"/>
      <c r="O152" s="286"/>
      <c r="P152" s="286"/>
      <c r="Q152" s="286"/>
      <c r="R152" s="286"/>
      <c r="S152" s="286"/>
      <c r="T152" s="286"/>
      <c r="U152" s="286"/>
      <c r="V152" s="338">
        <v>0</v>
      </c>
      <c r="W152" s="289"/>
      <c r="X152" s="5"/>
    </row>
    <row r="153" spans="1:25" ht="15.75" x14ac:dyDescent="0.25">
      <c r="A153" s="285"/>
      <c r="B153" s="286" t="s">
        <v>226</v>
      </c>
      <c r="C153" s="286"/>
      <c r="D153" s="286"/>
      <c r="E153" s="286"/>
      <c r="F153" s="286"/>
      <c r="G153" s="286"/>
      <c r="H153" s="286"/>
      <c r="I153" s="286"/>
      <c r="J153" s="286"/>
      <c r="K153" s="286"/>
      <c r="L153" s="286"/>
      <c r="M153" s="286"/>
      <c r="N153" s="286"/>
      <c r="O153" s="286"/>
      <c r="P153" s="286"/>
      <c r="Q153" s="286"/>
      <c r="R153" s="286"/>
      <c r="S153" s="286"/>
      <c r="T153" s="286"/>
      <c r="U153" s="286"/>
      <c r="V153" s="338">
        <v>0</v>
      </c>
      <c r="W153" s="289"/>
      <c r="X153" s="5"/>
    </row>
    <row r="154" spans="1:25" ht="15.75" x14ac:dyDescent="0.25">
      <c r="A154" s="285"/>
      <c r="B154" s="314"/>
      <c r="C154" s="314"/>
      <c r="D154" s="314"/>
      <c r="E154" s="314"/>
      <c r="F154" s="314"/>
      <c r="G154" s="314"/>
      <c r="H154" s="314"/>
      <c r="I154" s="314"/>
      <c r="J154" s="314"/>
      <c r="K154" s="314"/>
      <c r="L154" s="314"/>
      <c r="M154" s="314"/>
      <c r="N154" s="314"/>
      <c r="O154" s="314"/>
      <c r="P154" s="314"/>
      <c r="Q154" s="314"/>
      <c r="R154" s="314"/>
      <c r="S154" s="314"/>
      <c r="T154" s="314"/>
      <c r="U154" s="314"/>
      <c r="V154" s="345"/>
      <c r="W154" s="318"/>
      <c r="X154" s="5"/>
    </row>
    <row r="155" spans="1:25" ht="15.75" x14ac:dyDescent="0.25">
      <c r="A155" s="181"/>
      <c r="B155" s="212"/>
      <c r="C155" s="212"/>
      <c r="D155" s="212"/>
      <c r="E155" s="212"/>
      <c r="F155" s="212"/>
      <c r="G155" s="212"/>
      <c r="H155" s="212"/>
      <c r="I155" s="212"/>
      <c r="J155" s="212"/>
      <c r="K155" s="212"/>
      <c r="L155" s="212"/>
      <c r="M155" s="212"/>
      <c r="N155" s="212"/>
      <c r="O155" s="212"/>
      <c r="P155" s="212"/>
      <c r="Q155" s="212"/>
      <c r="R155" s="212"/>
      <c r="S155" s="212"/>
      <c r="T155" s="212"/>
      <c r="U155" s="212"/>
      <c r="V155" s="344"/>
      <c r="W155" s="212"/>
      <c r="X155" s="5"/>
    </row>
    <row r="156" spans="1:25" ht="15.75" x14ac:dyDescent="0.25">
      <c r="A156" s="181"/>
      <c r="B156" s="210" t="s">
        <v>24</v>
      </c>
      <c r="C156" s="183"/>
      <c r="D156" s="183"/>
      <c r="E156" s="183"/>
      <c r="F156" s="183"/>
      <c r="G156" s="183"/>
      <c r="H156" s="183"/>
      <c r="I156" s="183"/>
      <c r="J156" s="183"/>
      <c r="K156" s="183"/>
      <c r="L156" s="183"/>
      <c r="M156" s="183"/>
      <c r="N156" s="183"/>
      <c r="O156" s="183"/>
      <c r="P156" s="183"/>
      <c r="Q156" s="183"/>
      <c r="R156" s="183"/>
      <c r="S156" s="183"/>
      <c r="T156" s="183"/>
      <c r="U156" s="183"/>
      <c r="V156" s="202"/>
      <c r="W156" s="183"/>
      <c r="X156" s="5"/>
    </row>
    <row r="157" spans="1:25" ht="15.75" x14ac:dyDescent="0.25">
      <c r="A157" s="285"/>
      <c r="B157" s="286" t="s">
        <v>47</v>
      </c>
      <c r="C157" s="286"/>
      <c r="D157" s="286"/>
      <c r="E157" s="286"/>
      <c r="F157" s="286"/>
      <c r="G157" s="286"/>
      <c r="H157" s="286"/>
      <c r="I157" s="286"/>
      <c r="J157" s="286"/>
      <c r="K157" s="286"/>
      <c r="L157" s="286"/>
      <c r="M157" s="286"/>
      <c r="N157" s="286"/>
      <c r="O157" s="286"/>
      <c r="P157" s="286"/>
      <c r="Q157" s="286"/>
      <c r="R157" s="286"/>
      <c r="S157" s="286"/>
      <c r="T157" s="286"/>
      <c r="U157" s="286"/>
      <c r="V157" s="343" t="s">
        <v>118</v>
      </c>
      <c r="W157" s="318"/>
      <c r="X157" s="5"/>
    </row>
    <row r="158" spans="1:25" ht="15.75" x14ac:dyDescent="0.25">
      <c r="A158" s="285"/>
      <c r="B158" s="286" t="s">
        <v>48</v>
      </c>
      <c r="C158" s="288"/>
      <c r="D158" s="288"/>
      <c r="E158" s="288"/>
      <c r="F158" s="288"/>
      <c r="G158" s="288"/>
      <c r="H158" s="288"/>
      <c r="I158" s="288"/>
      <c r="J158" s="288"/>
      <c r="K158" s="288"/>
      <c r="L158" s="288"/>
      <c r="M158" s="288"/>
      <c r="N158" s="288"/>
      <c r="O158" s="288"/>
      <c r="P158" s="288"/>
      <c r="Q158" s="288"/>
      <c r="R158" s="288"/>
      <c r="S158" s="288"/>
      <c r="T158" s="288"/>
      <c r="U158" s="288"/>
      <c r="V158" s="343" t="s">
        <v>118</v>
      </c>
      <c r="W158" s="318"/>
      <c r="X158" s="5"/>
    </row>
    <row r="159" spans="1:25" ht="15.75" x14ac:dyDescent="0.25">
      <c r="A159" s="285"/>
      <c r="B159" s="286" t="s">
        <v>49</v>
      </c>
      <c r="C159" s="286"/>
      <c r="D159" s="286"/>
      <c r="E159" s="286"/>
      <c r="F159" s="286"/>
      <c r="G159" s="286"/>
      <c r="H159" s="286"/>
      <c r="I159" s="286"/>
      <c r="J159" s="286"/>
      <c r="K159" s="286"/>
      <c r="L159" s="286"/>
      <c r="M159" s="286"/>
      <c r="N159" s="286"/>
      <c r="O159" s="286"/>
      <c r="P159" s="286"/>
      <c r="Q159" s="286"/>
      <c r="R159" s="286"/>
      <c r="S159" s="286"/>
      <c r="T159" s="286"/>
      <c r="U159" s="286"/>
      <c r="V159" s="343" t="s">
        <v>118</v>
      </c>
      <c r="W159" s="318"/>
      <c r="X159" s="5"/>
    </row>
    <row r="160" spans="1:25" ht="15.75" x14ac:dyDescent="0.25">
      <c r="A160" s="285"/>
      <c r="B160" s="286" t="s">
        <v>50</v>
      </c>
      <c r="C160" s="286"/>
      <c r="D160" s="286"/>
      <c r="E160" s="286"/>
      <c r="F160" s="286"/>
      <c r="G160" s="286"/>
      <c r="H160" s="286"/>
      <c r="I160" s="286"/>
      <c r="J160" s="286"/>
      <c r="K160" s="286"/>
      <c r="L160" s="286"/>
      <c r="M160" s="286"/>
      <c r="N160" s="286"/>
      <c r="O160" s="286"/>
      <c r="P160" s="286"/>
      <c r="Q160" s="286"/>
      <c r="R160" s="286"/>
      <c r="S160" s="286"/>
      <c r="T160" s="286"/>
      <c r="U160" s="286"/>
      <c r="V160" s="343" t="s">
        <v>118</v>
      </c>
      <c r="W160" s="318"/>
      <c r="X160" s="5"/>
    </row>
    <row r="161" spans="1:256" ht="15.75" x14ac:dyDescent="0.25">
      <c r="A161" s="181"/>
      <c r="B161" s="212"/>
      <c r="C161" s="212"/>
      <c r="D161" s="212"/>
      <c r="E161" s="212"/>
      <c r="F161" s="212"/>
      <c r="G161" s="212"/>
      <c r="H161" s="212"/>
      <c r="I161" s="212"/>
      <c r="J161" s="212"/>
      <c r="K161" s="212"/>
      <c r="L161" s="212"/>
      <c r="M161" s="212"/>
      <c r="N161" s="212"/>
      <c r="O161" s="212"/>
      <c r="P161" s="212"/>
      <c r="Q161" s="212"/>
      <c r="R161" s="212"/>
      <c r="S161" s="212"/>
      <c r="T161" s="212"/>
      <c r="U161" s="212"/>
      <c r="V161" s="344"/>
      <c r="W161" s="212"/>
      <c r="X161" s="5"/>
    </row>
    <row r="162" spans="1:256" ht="15.75" x14ac:dyDescent="0.25">
      <c r="A162" s="181"/>
      <c r="B162" s="210" t="s">
        <v>51</v>
      </c>
      <c r="C162" s="183"/>
      <c r="D162" s="183"/>
      <c r="E162" s="183"/>
      <c r="F162" s="183"/>
      <c r="G162" s="183"/>
      <c r="H162" s="183"/>
      <c r="I162" s="183"/>
      <c r="J162" s="183"/>
      <c r="K162" s="183"/>
      <c r="L162" s="183"/>
      <c r="M162" s="183"/>
      <c r="N162" s="183"/>
      <c r="O162" s="183"/>
      <c r="P162" s="183"/>
      <c r="Q162" s="183"/>
      <c r="R162" s="183"/>
      <c r="S162" s="183"/>
      <c r="T162" s="183"/>
      <c r="U162" s="183"/>
      <c r="V162" s="211"/>
      <c r="W162" s="183"/>
      <c r="X162" s="5"/>
    </row>
    <row r="163" spans="1:256" ht="15.75" x14ac:dyDescent="0.25">
      <c r="A163" s="285"/>
      <c r="B163" s="286" t="s">
        <v>52</v>
      </c>
      <c r="C163" s="286"/>
      <c r="D163" s="286"/>
      <c r="E163" s="286"/>
      <c r="F163" s="286"/>
      <c r="G163" s="286"/>
      <c r="H163" s="286"/>
      <c r="I163" s="286"/>
      <c r="J163" s="286"/>
      <c r="K163" s="286"/>
      <c r="L163" s="286"/>
      <c r="M163" s="286"/>
      <c r="N163" s="286"/>
      <c r="O163" s="286"/>
      <c r="P163" s="286"/>
      <c r="Q163" s="286"/>
      <c r="R163" s="286"/>
      <c r="S163" s="286"/>
      <c r="T163" s="286"/>
      <c r="U163" s="286"/>
      <c r="V163" s="338">
        <v>0</v>
      </c>
      <c r="W163" s="289"/>
      <c r="X163" s="5"/>
    </row>
    <row r="164" spans="1:256" ht="15.75" x14ac:dyDescent="0.25">
      <c r="A164" s="285"/>
      <c r="B164" s="286" t="s">
        <v>53</v>
      </c>
      <c r="C164" s="286"/>
      <c r="D164" s="286"/>
      <c r="E164" s="286"/>
      <c r="F164" s="286"/>
      <c r="G164" s="286"/>
      <c r="H164" s="286"/>
      <c r="I164" s="286"/>
      <c r="J164" s="286"/>
      <c r="K164" s="286"/>
      <c r="L164" s="286"/>
      <c r="M164" s="286"/>
      <c r="N164" s="286"/>
      <c r="O164" s="286"/>
      <c r="P164" s="286"/>
      <c r="Q164" s="286"/>
      <c r="R164" s="286"/>
      <c r="S164" s="286"/>
      <c r="T164" s="286"/>
      <c r="U164" s="286"/>
      <c r="V164" s="338">
        <v>209</v>
      </c>
      <c r="W164" s="289"/>
      <c r="X164" s="5"/>
    </row>
    <row r="165" spans="1:256" ht="15.75" x14ac:dyDescent="0.25">
      <c r="A165" s="285"/>
      <c r="B165" s="286" t="s">
        <v>54</v>
      </c>
      <c r="C165" s="286"/>
      <c r="D165" s="286"/>
      <c r="E165" s="286"/>
      <c r="F165" s="286"/>
      <c r="G165" s="286"/>
      <c r="H165" s="286"/>
      <c r="I165" s="286"/>
      <c r="J165" s="286"/>
      <c r="K165" s="286"/>
      <c r="L165" s="286"/>
      <c r="M165" s="286"/>
      <c r="N165" s="286"/>
      <c r="O165" s="286"/>
      <c r="P165" s="286"/>
      <c r="Q165" s="286"/>
      <c r="R165" s="286"/>
      <c r="S165" s="286"/>
      <c r="T165" s="286"/>
      <c r="U165" s="286"/>
      <c r="V165" s="338">
        <f>V164+V163</f>
        <v>209</v>
      </c>
      <c r="W165" s="289"/>
      <c r="X165" s="5"/>
    </row>
    <row r="166" spans="1:256" ht="15.75" x14ac:dyDescent="0.25">
      <c r="A166" s="285"/>
      <c r="B166" s="286" t="s">
        <v>303</v>
      </c>
      <c r="C166" s="286"/>
      <c r="D166" s="286"/>
      <c r="E166" s="286"/>
      <c r="F166" s="286"/>
      <c r="G166" s="286"/>
      <c r="H166" s="286"/>
      <c r="I166" s="286"/>
      <c r="J166" s="286"/>
      <c r="K166" s="286"/>
      <c r="L166" s="286"/>
      <c r="M166" s="286"/>
      <c r="N166" s="286"/>
      <c r="O166" s="286"/>
      <c r="P166" s="286"/>
      <c r="Q166" s="286"/>
      <c r="R166" s="286"/>
      <c r="S166" s="286"/>
      <c r="T166" s="286"/>
      <c r="U166" s="286"/>
      <c r="V166" s="338">
        <f>V114</f>
        <v>-209</v>
      </c>
      <c r="W166" s="289"/>
      <c r="X166" s="5"/>
    </row>
    <row r="167" spans="1:256" ht="15.75" x14ac:dyDescent="0.25">
      <c r="A167" s="285"/>
      <c r="B167" s="286" t="s">
        <v>55</v>
      </c>
      <c r="C167" s="286"/>
      <c r="D167" s="286"/>
      <c r="E167" s="286"/>
      <c r="F167" s="286"/>
      <c r="G167" s="286"/>
      <c r="H167" s="286"/>
      <c r="I167" s="286"/>
      <c r="J167" s="286"/>
      <c r="K167" s="286"/>
      <c r="L167" s="286"/>
      <c r="M167" s="286"/>
      <c r="N167" s="286"/>
      <c r="O167" s="286"/>
      <c r="P167" s="286"/>
      <c r="Q167" s="286"/>
      <c r="R167" s="286"/>
      <c r="S167" s="286"/>
      <c r="T167" s="286"/>
      <c r="U167" s="286"/>
      <c r="V167" s="338">
        <f>V165+V166</f>
        <v>0</v>
      </c>
      <c r="W167" s="289"/>
      <c r="X167" s="5"/>
    </row>
    <row r="168" spans="1:256" ht="15.75" x14ac:dyDescent="0.25">
      <c r="A168" s="285"/>
      <c r="B168" s="286" t="s">
        <v>274</v>
      </c>
      <c r="C168" s="286"/>
      <c r="D168" s="286"/>
      <c r="E168" s="286"/>
      <c r="F168" s="286"/>
      <c r="G168" s="286"/>
      <c r="H168" s="286"/>
      <c r="I168" s="286"/>
      <c r="J168" s="286"/>
      <c r="K168" s="286"/>
      <c r="L168" s="286"/>
      <c r="M168" s="286"/>
      <c r="N168" s="286"/>
      <c r="O168" s="286"/>
      <c r="P168" s="286"/>
      <c r="Q168" s="286"/>
      <c r="R168" s="286"/>
      <c r="S168" s="286"/>
      <c r="T168" s="286"/>
      <c r="U168" s="286"/>
      <c r="V168" s="338">
        <f>-V100</f>
        <v>55</v>
      </c>
      <c r="W168" s="289"/>
      <c r="X168" s="5"/>
    </row>
    <row r="169" spans="1:256" ht="16.5" thickBot="1" x14ac:dyDescent="0.3">
      <c r="A169" s="181"/>
      <c r="B169" s="212"/>
      <c r="C169" s="212"/>
      <c r="D169" s="212"/>
      <c r="E169" s="212"/>
      <c r="F169" s="212"/>
      <c r="G169" s="212"/>
      <c r="H169" s="212"/>
      <c r="I169" s="212"/>
      <c r="J169" s="212"/>
      <c r="K169" s="212"/>
      <c r="L169" s="212"/>
      <c r="M169" s="212"/>
      <c r="N169" s="212"/>
      <c r="O169" s="212"/>
      <c r="P169" s="212"/>
      <c r="Q169" s="212"/>
      <c r="R169" s="212"/>
      <c r="S169" s="212"/>
      <c r="T169" s="212"/>
      <c r="U169" s="212"/>
      <c r="V169" s="344"/>
      <c r="W169" s="212"/>
      <c r="X169" s="5"/>
    </row>
    <row r="170" spans="1:256" ht="15.75" x14ac:dyDescent="0.25">
      <c r="A170" s="179"/>
      <c r="B170" s="180"/>
      <c r="C170" s="180"/>
      <c r="D170" s="180"/>
      <c r="E170" s="180"/>
      <c r="F170" s="180"/>
      <c r="G170" s="180"/>
      <c r="H170" s="180"/>
      <c r="I170" s="180"/>
      <c r="J170" s="180"/>
      <c r="K170" s="180"/>
      <c r="L170" s="180"/>
      <c r="M170" s="180"/>
      <c r="N170" s="180"/>
      <c r="O170" s="180"/>
      <c r="P170" s="180"/>
      <c r="Q170" s="180"/>
      <c r="R170" s="180"/>
      <c r="S170" s="180"/>
      <c r="T170" s="180"/>
      <c r="U170" s="180"/>
      <c r="V170" s="201"/>
      <c r="W170" s="180"/>
      <c r="X170" s="5"/>
    </row>
    <row r="171" spans="1:256" s="158" customFormat="1" ht="15.75" x14ac:dyDescent="0.25">
      <c r="A171" s="181"/>
      <c r="B171" s="210" t="s">
        <v>230</v>
      </c>
      <c r="C171" s="212"/>
      <c r="D171" s="212"/>
      <c r="E171" s="212"/>
      <c r="F171" s="212"/>
      <c r="G171" s="212"/>
      <c r="H171" s="212"/>
      <c r="I171" s="212"/>
      <c r="J171" s="212"/>
      <c r="K171" s="212"/>
      <c r="L171" s="212"/>
      <c r="M171" s="212"/>
      <c r="N171" s="212"/>
      <c r="O171" s="212"/>
      <c r="P171" s="212"/>
      <c r="Q171" s="212"/>
      <c r="R171" s="212"/>
      <c r="S171" s="212"/>
      <c r="T171" s="212"/>
      <c r="U171" s="212"/>
      <c r="V171" s="213"/>
      <c r="W171" s="212"/>
      <c r="X171" s="5"/>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s="160" customFormat="1" ht="15.75" x14ac:dyDescent="0.25">
      <c r="A172" s="285"/>
      <c r="B172" s="286" t="s">
        <v>231</v>
      </c>
      <c r="C172" s="286"/>
      <c r="D172" s="286"/>
      <c r="E172" s="286"/>
      <c r="F172" s="286"/>
      <c r="G172" s="286"/>
      <c r="H172" s="286"/>
      <c r="I172" s="286"/>
      <c r="J172" s="286"/>
      <c r="K172" s="286"/>
      <c r="L172" s="286"/>
      <c r="M172" s="286"/>
      <c r="N172" s="286"/>
      <c r="O172" s="286"/>
      <c r="P172" s="286"/>
      <c r="Q172" s="286"/>
      <c r="R172" s="286"/>
      <c r="S172" s="286"/>
      <c r="T172" s="286"/>
      <c r="U172" s="286"/>
      <c r="V172" s="338">
        <f>+'Aug 08'!V173</f>
        <v>0</v>
      </c>
      <c r="W172" s="289"/>
      <c r="X172" s="5"/>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s="160" customFormat="1" ht="15.75" x14ac:dyDescent="0.25">
      <c r="A173" s="285"/>
      <c r="B173" s="286" t="s">
        <v>234</v>
      </c>
      <c r="C173" s="286"/>
      <c r="D173" s="286"/>
      <c r="E173" s="286"/>
      <c r="F173" s="286"/>
      <c r="G173" s="286"/>
      <c r="H173" s="286"/>
      <c r="I173" s="286"/>
      <c r="J173" s="286"/>
      <c r="K173" s="286"/>
      <c r="L173" s="286"/>
      <c r="M173" s="286"/>
      <c r="N173" s="286"/>
      <c r="O173" s="286"/>
      <c r="P173" s="286"/>
      <c r="Q173" s="286"/>
      <c r="R173" s="286"/>
      <c r="S173" s="286"/>
      <c r="T173" s="286"/>
      <c r="U173" s="286"/>
      <c r="V173" s="338">
        <f>+V94</f>
        <v>0</v>
      </c>
      <c r="W173" s="289"/>
      <c r="X173" s="5"/>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s="160" customFormat="1" ht="15.75" x14ac:dyDescent="0.25">
      <c r="A174" s="285"/>
      <c r="B174" s="286" t="s">
        <v>232</v>
      </c>
      <c r="C174" s="286"/>
      <c r="D174" s="286"/>
      <c r="E174" s="286"/>
      <c r="F174" s="286"/>
      <c r="G174" s="286"/>
      <c r="H174" s="286"/>
      <c r="I174" s="286"/>
      <c r="J174" s="286"/>
      <c r="K174" s="286"/>
      <c r="L174" s="286"/>
      <c r="M174" s="286"/>
      <c r="N174" s="286"/>
      <c r="O174" s="286"/>
      <c r="P174" s="286"/>
      <c r="Q174" s="286"/>
      <c r="R174" s="286"/>
      <c r="S174" s="286"/>
      <c r="T174" s="286"/>
      <c r="U174" s="286"/>
      <c r="V174" s="338">
        <f>+V172-V173</f>
        <v>0</v>
      </c>
      <c r="W174" s="289"/>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6.5" thickBot="1" x14ac:dyDescent="0.3">
      <c r="A175" s="197"/>
      <c r="B175" s="212"/>
      <c r="C175" s="212"/>
      <c r="D175" s="212"/>
      <c r="E175" s="212"/>
      <c r="F175" s="212"/>
      <c r="G175" s="212"/>
      <c r="H175" s="212"/>
      <c r="I175" s="212"/>
      <c r="J175" s="212"/>
      <c r="K175" s="212"/>
      <c r="L175" s="212"/>
      <c r="M175" s="212"/>
      <c r="N175" s="212"/>
      <c r="O175" s="212"/>
      <c r="P175" s="212"/>
      <c r="Q175" s="212"/>
      <c r="R175" s="212"/>
      <c r="S175" s="212"/>
      <c r="T175" s="212"/>
      <c r="U175" s="212"/>
      <c r="V175" s="344"/>
      <c r="W175" s="212"/>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4" customFormat="1" ht="15.75" x14ac:dyDescent="0.25">
      <c r="A176" s="179"/>
      <c r="B176" s="180"/>
      <c r="C176" s="180"/>
      <c r="D176" s="180"/>
      <c r="E176" s="180"/>
      <c r="F176" s="180"/>
      <c r="G176" s="180"/>
      <c r="H176" s="180"/>
      <c r="I176" s="180"/>
      <c r="J176" s="180"/>
      <c r="K176" s="180"/>
      <c r="L176" s="180"/>
      <c r="M176" s="180"/>
      <c r="N176" s="180"/>
      <c r="O176" s="180"/>
      <c r="P176" s="180"/>
      <c r="Q176" s="180"/>
      <c r="R176" s="180"/>
      <c r="S176" s="180"/>
      <c r="T176" s="180"/>
      <c r="U176" s="180"/>
      <c r="V176" s="201"/>
      <c r="W176" s="180"/>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4" ht="15.75" x14ac:dyDescent="0.25">
      <c r="A177" s="181"/>
      <c r="B177" s="210" t="s">
        <v>56</v>
      </c>
      <c r="C177" s="183"/>
      <c r="D177" s="183"/>
      <c r="E177" s="183"/>
      <c r="F177" s="183"/>
      <c r="G177" s="183"/>
      <c r="H177" s="183"/>
      <c r="I177" s="183"/>
      <c r="J177" s="183"/>
      <c r="K177" s="183"/>
      <c r="L177" s="183"/>
      <c r="M177" s="183"/>
      <c r="N177" s="183"/>
      <c r="O177" s="183"/>
      <c r="P177" s="183"/>
      <c r="Q177" s="183"/>
      <c r="R177" s="183"/>
      <c r="S177" s="183"/>
      <c r="T177" s="183"/>
      <c r="U177" s="183"/>
      <c r="V177" s="202"/>
      <c r="W177" s="183"/>
      <c r="X177" s="5"/>
    </row>
    <row r="178" spans="1:24" ht="15.75" x14ac:dyDescent="0.25">
      <c r="A178" s="181"/>
      <c r="B178" s="191"/>
      <c r="C178" s="183"/>
      <c r="D178" s="183"/>
      <c r="E178" s="183"/>
      <c r="F178" s="183"/>
      <c r="G178" s="183"/>
      <c r="H178" s="183"/>
      <c r="I178" s="183"/>
      <c r="J178" s="183"/>
      <c r="K178" s="183"/>
      <c r="L178" s="183"/>
      <c r="M178" s="183"/>
      <c r="N178" s="183"/>
      <c r="O178" s="183"/>
      <c r="P178" s="183"/>
      <c r="Q178" s="183"/>
      <c r="R178" s="183"/>
      <c r="S178" s="183"/>
      <c r="T178" s="183"/>
      <c r="U178" s="183"/>
      <c r="V178" s="202"/>
      <c r="W178" s="183"/>
      <c r="X178" s="5"/>
    </row>
    <row r="179" spans="1:24" ht="15.75" x14ac:dyDescent="0.25">
      <c r="A179" s="285"/>
      <c r="B179" s="286" t="s">
        <v>57</v>
      </c>
      <c r="C179" s="286"/>
      <c r="D179" s="286"/>
      <c r="E179" s="286"/>
      <c r="F179" s="286"/>
      <c r="G179" s="286"/>
      <c r="H179" s="286"/>
      <c r="I179" s="286"/>
      <c r="J179" s="286"/>
      <c r="K179" s="286"/>
      <c r="L179" s="286"/>
      <c r="M179" s="286"/>
      <c r="N179" s="286"/>
      <c r="O179" s="286"/>
      <c r="P179" s="286"/>
      <c r="Q179" s="286"/>
      <c r="R179" s="286"/>
      <c r="S179" s="286"/>
      <c r="T179" s="286"/>
      <c r="U179" s="286"/>
      <c r="V179" s="338">
        <f>V71</f>
        <v>736256</v>
      </c>
      <c r="W179" s="289"/>
      <c r="X179" s="5"/>
    </row>
    <row r="180" spans="1:24" ht="15.75" x14ac:dyDescent="0.25">
      <c r="A180" s="285"/>
      <c r="B180" s="286" t="s">
        <v>58</v>
      </c>
      <c r="C180" s="286"/>
      <c r="D180" s="286"/>
      <c r="E180" s="286"/>
      <c r="F180" s="286"/>
      <c r="G180" s="286"/>
      <c r="H180" s="286"/>
      <c r="I180" s="286"/>
      <c r="J180" s="286"/>
      <c r="K180" s="286"/>
      <c r="L180" s="286"/>
      <c r="M180" s="286"/>
      <c r="N180" s="286"/>
      <c r="O180" s="286"/>
      <c r="P180" s="286"/>
      <c r="Q180" s="286"/>
      <c r="R180" s="286"/>
      <c r="S180" s="286"/>
      <c r="T180" s="286"/>
      <c r="U180" s="286"/>
      <c r="V180" s="338">
        <f>V84</f>
        <v>736256</v>
      </c>
      <c r="W180" s="289"/>
      <c r="X180" s="5"/>
    </row>
    <row r="181" spans="1:24" ht="16.5" thickBot="1" x14ac:dyDescent="0.3">
      <c r="A181" s="181"/>
      <c r="B181" s="212"/>
      <c r="C181" s="212"/>
      <c r="D181" s="212"/>
      <c r="E181" s="212"/>
      <c r="F181" s="212"/>
      <c r="G181" s="212"/>
      <c r="H181" s="212"/>
      <c r="I181" s="212"/>
      <c r="J181" s="212"/>
      <c r="K181" s="212"/>
      <c r="L181" s="212"/>
      <c r="M181" s="212"/>
      <c r="N181" s="212"/>
      <c r="O181" s="212"/>
      <c r="P181" s="212"/>
      <c r="Q181" s="212"/>
      <c r="R181" s="212"/>
      <c r="S181" s="212"/>
      <c r="T181" s="212"/>
      <c r="U181" s="212"/>
      <c r="V181" s="344"/>
      <c r="W181" s="212"/>
      <c r="X181" s="5"/>
    </row>
    <row r="182" spans="1:24" ht="15.75" x14ac:dyDescent="0.25">
      <c r="A182" s="179"/>
      <c r="B182" s="180"/>
      <c r="C182" s="180"/>
      <c r="D182" s="180"/>
      <c r="E182" s="180"/>
      <c r="F182" s="180"/>
      <c r="G182" s="180"/>
      <c r="H182" s="180"/>
      <c r="I182" s="180"/>
      <c r="J182" s="180"/>
      <c r="K182" s="180"/>
      <c r="L182" s="180"/>
      <c r="M182" s="180"/>
      <c r="N182" s="180"/>
      <c r="O182" s="180"/>
      <c r="P182" s="180"/>
      <c r="Q182" s="180"/>
      <c r="R182" s="180"/>
      <c r="S182" s="180"/>
      <c r="T182" s="180"/>
      <c r="U182" s="180"/>
      <c r="V182" s="201"/>
      <c r="W182" s="180"/>
      <c r="X182" s="5"/>
    </row>
    <row r="183" spans="1:24" ht="15.75" x14ac:dyDescent="0.25">
      <c r="A183" s="181"/>
      <c r="B183" s="210" t="s">
        <v>59</v>
      </c>
      <c r="C183" s="206"/>
      <c r="D183" s="206"/>
      <c r="E183" s="206"/>
      <c r="F183" s="206"/>
      <c r="G183" s="206"/>
      <c r="H183" s="214"/>
      <c r="I183" s="214"/>
      <c r="J183" s="214"/>
      <c r="K183" s="214"/>
      <c r="L183" s="214"/>
      <c r="M183" s="214"/>
      <c r="N183" s="214"/>
      <c r="O183" s="214"/>
      <c r="P183" s="214"/>
      <c r="Q183" s="214"/>
      <c r="R183" s="214"/>
      <c r="S183" s="214" t="s">
        <v>101</v>
      </c>
      <c r="T183" s="214" t="s">
        <v>176</v>
      </c>
      <c r="U183" s="185"/>
      <c r="V183" s="215" t="s">
        <v>114</v>
      </c>
      <c r="W183" s="216"/>
      <c r="X183" s="5"/>
    </row>
    <row r="184" spans="1:24" ht="15.75" x14ac:dyDescent="0.25">
      <c r="A184" s="285"/>
      <c r="B184" s="286" t="s">
        <v>60</v>
      </c>
      <c r="C184" s="286"/>
      <c r="D184" s="286"/>
      <c r="E184" s="286"/>
      <c r="F184" s="286"/>
      <c r="G184" s="286"/>
      <c r="H184" s="286"/>
      <c r="I184" s="286"/>
      <c r="J184" s="286"/>
      <c r="K184" s="286"/>
      <c r="L184" s="286"/>
      <c r="M184" s="286"/>
      <c r="N184" s="286"/>
      <c r="O184" s="286"/>
      <c r="P184" s="286"/>
      <c r="Q184" s="286"/>
      <c r="R184" s="286"/>
      <c r="S184" s="338">
        <f>+V34*0.16</f>
        <v>160181.28</v>
      </c>
      <c r="T184" s="325"/>
      <c r="U184" s="286"/>
      <c r="V184" s="338"/>
      <c r="W184" s="289"/>
      <c r="X184" s="5"/>
    </row>
    <row r="185" spans="1:24" ht="15.75" x14ac:dyDescent="0.25">
      <c r="A185" s="285"/>
      <c r="B185" s="286" t="s">
        <v>61</v>
      </c>
      <c r="C185" s="286"/>
      <c r="D185" s="286"/>
      <c r="E185" s="286"/>
      <c r="F185" s="286"/>
      <c r="G185" s="286"/>
      <c r="H185" s="286"/>
      <c r="I185" s="286"/>
      <c r="J185" s="286"/>
      <c r="K185" s="286"/>
      <c r="L185" s="286"/>
      <c r="M185" s="286"/>
      <c r="N185" s="286"/>
      <c r="O185" s="286"/>
      <c r="P185" s="286"/>
      <c r="Q185" s="286"/>
      <c r="R185" s="286"/>
      <c r="S185" s="338">
        <f>+'May 15'!S187</f>
        <v>12172</v>
      </c>
      <c r="T185" s="338">
        <f>+'May 15'!T187</f>
        <v>6095</v>
      </c>
      <c r="U185" s="286"/>
      <c r="V185" s="338">
        <f>S185+T185</f>
        <v>18267</v>
      </c>
      <c r="W185" s="289"/>
      <c r="X185" s="5"/>
    </row>
    <row r="186" spans="1:24" ht="15.75" x14ac:dyDescent="0.25">
      <c r="A186" s="285"/>
      <c r="B186" s="286" t="s">
        <v>62</v>
      </c>
      <c r="C186" s="286"/>
      <c r="D186" s="286"/>
      <c r="E186" s="286"/>
      <c r="F186" s="286"/>
      <c r="G186" s="286"/>
      <c r="H186" s="286"/>
      <c r="I186" s="286"/>
      <c r="J186" s="286"/>
      <c r="K186" s="286"/>
      <c r="L186" s="286"/>
      <c r="M186" s="286"/>
      <c r="N186" s="286"/>
      <c r="O186" s="286"/>
      <c r="P186" s="286"/>
      <c r="Q186" s="286"/>
      <c r="R186" s="286"/>
      <c r="S186" s="337">
        <f>124+53</f>
        <v>177</v>
      </c>
      <c r="T186" s="337">
        <v>0</v>
      </c>
      <c r="U186" s="286"/>
      <c r="V186" s="338">
        <f>S186+T186</f>
        <v>177</v>
      </c>
      <c r="W186" s="289"/>
      <c r="X186" s="5"/>
    </row>
    <row r="187" spans="1:24" ht="15.75" x14ac:dyDescent="0.25">
      <c r="A187" s="285"/>
      <c r="B187" s="286" t="s">
        <v>63</v>
      </c>
      <c r="C187" s="286"/>
      <c r="D187" s="286"/>
      <c r="E187" s="286"/>
      <c r="F187" s="286"/>
      <c r="G187" s="286"/>
      <c r="H187" s="286"/>
      <c r="I187" s="286"/>
      <c r="J187" s="286"/>
      <c r="K187" s="286"/>
      <c r="L187" s="286"/>
      <c r="M187" s="286"/>
      <c r="N187" s="286"/>
      <c r="O187" s="286"/>
      <c r="P187" s="286"/>
      <c r="Q187" s="286"/>
      <c r="R187" s="286"/>
      <c r="S187" s="338">
        <f>S185+S186</f>
        <v>12349</v>
      </c>
      <c r="T187" s="338">
        <f>T186+T185</f>
        <v>6095</v>
      </c>
      <c r="U187" s="286"/>
      <c r="V187" s="338">
        <f>S187+T187</f>
        <v>18444</v>
      </c>
      <c r="W187" s="289"/>
      <c r="X187" s="5"/>
    </row>
    <row r="188" spans="1:24" ht="15.75" x14ac:dyDescent="0.25">
      <c r="A188" s="285"/>
      <c r="B188" s="286" t="s">
        <v>64</v>
      </c>
      <c r="C188" s="286"/>
      <c r="D188" s="286"/>
      <c r="E188" s="286"/>
      <c r="F188" s="286"/>
      <c r="G188" s="286"/>
      <c r="H188" s="286"/>
      <c r="I188" s="286"/>
      <c r="J188" s="286"/>
      <c r="K188" s="286"/>
      <c r="L188" s="286"/>
      <c r="M188" s="286"/>
      <c r="N188" s="286"/>
      <c r="O188" s="286"/>
      <c r="P188" s="286"/>
      <c r="Q188" s="286"/>
      <c r="R188" s="286"/>
      <c r="S188" s="338">
        <f>S184-S187-T187</f>
        <v>141737.28</v>
      </c>
      <c r="T188" s="325"/>
      <c r="U188" s="286"/>
      <c r="V188" s="338"/>
      <c r="W188" s="289"/>
      <c r="X188" s="5"/>
    </row>
    <row r="189" spans="1:24" ht="16.5" thickBot="1" x14ac:dyDescent="0.3">
      <c r="A189" s="181"/>
      <c r="B189" s="212"/>
      <c r="C189" s="212"/>
      <c r="D189" s="212"/>
      <c r="E189" s="212"/>
      <c r="F189" s="212"/>
      <c r="G189" s="212"/>
      <c r="H189" s="212"/>
      <c r="I189" s="212"/>
      <c r="J189" s="212"/>
      <c r="K189" s="212"/>
      <c r="L189" s="212"/>
      <c r="M189" s="212"/>
      <c r="N189" s="212"/>
      <c r="O189" s="212"/>
      <c r="P189" s="212"/>
      <c r="Q189" s="212"/>
      <c r="R189" s="212"/>
      <c r="S189" s="212"/>
      <c r="T189" s="212"/>
      <c r="U189" s="212"/>
      <c r="V189" s="344"/>
      <c r="W189" s="212"/>
      <c r="X189" s="5"/>
    </row>
    <row r="190" spans="1:24" ht="15.75" x14ac:dyDescent="0.25">
      <c r="A190" s="179"/>
      <c r="B190" s="180"/>
      <c r="C190" s="180"/>
      <c r="D190" s="180"/>
      <c r="E190" s="180"/>
      <c r="F190" s="180"/>
      <c r="G190" s="180"/>
      <c r="H190" s="180"/>
      <c r="I190" s="180"/>
      <c r="J190" s="180"/>
      <c r="K190" s="180"/>
      <c r="L190" s="180"/>
      <c r="M190" s="180"/>
      <c r="N190" s="180"/>
      <c r="O190" s="180"/>
      <c r="P190" s="180"/>
      <c r="Q190" s="180"/>
      <c r="R190" s="180"/>
      <c r="S190" s="180"/>
      <c r="T190" s="180"/>
      <c r="U190" s="180"/>
      <c r="V190" s="201"/>
      <c r="W190" s="180"/>
      <c r="X190" s="5"/>
    </row>
    <row r="191" spans="1:24" ht="15.75" x14ac:dyDescent="0.25">
      <c r="A191" s="181"/>
      <c r="B191" s="210" t="s">
        <v>65</v>
      </c>
      <c r="C191" s="183"/>
      <c r="D191" s="183"/>
      <c r="E191" s="183"/>
      <c r="F191" s="183"/>
      <c r="G191" s="183"/>
      <c r="H191" s="183"/>
      <c r="I191" s="183"/>
      <c r="J191" s="183"/>
      <c r="K191" s="183"/>
      <c r="L191" s="183"/>
      <c r="M191" s="183"/>
      <c r="N191" s="183"/>
      <c r="O191" s="183"/>
      <c r="P191" s="183"/>
      <c r="Q191" s="183"/>
      <c r="R191" s="183"/>
      <c r="S191" s="183"/>
      <c r="T191" s="183"/>
      <c r="U191" s="183"/>
      <c r="V191" s="217"/>
      <c r="W191" s="183"/>
      <c r="X191" s="5"/>
    </row>
    <row r="192" spans="1:24" ht="15.75" x14ac:dyDescent="0.25">
      <c r="A192" s="285"/>
      <c r="B192" s="286" t="s">
        <v>66</v>
      </c>
      <c r="C192" s="286"/>
      <c r="D192" s="286"/>
      <c r="E192" s="286"/>
      <c r="F192" s="286"/>
      <c r="G192" s="286"/>
      <c r="H192" s="286"/>
      <c r="I192" s="286"/>
      <c r="J192" s="286"/>
      <c r="K192" s="286"/>
      <c r="L192" s="286"/>
      <c r="M192" s="286"/>
      <c r="N192" s="286"/>
      <c r="O192" s="286"/>
      <c r="P192" s="286"/>
      <c r="Q192" s="286"/>
      <c r="R192" s="286"/>
      <c r="S192" s="286"/>
      <c r="T192" s="286"/>
      <c r="U192" s="286"/>
      <c r="V192" s="343">
        <f>(V101+V103+V104+V105+V106)/-(V107+V108)</f>
        <v>3.6905754795663053</v>
      </c>
      <c r="W192" s="289" t="s">
        <v>115</v>
      </c>
      <c r="X192" s="5"/>
    </row>
    <row r="193" spans="1:24" ht="15.75" x14ac:dyDescent="0.25">
      <c r="A193" s="285"/>
      <c r="B193" s="286" t="s">
        <v>67</v>
      </c>
      <c r="C193" s="286"/>
      <c r="D193" s="286"/>
      <c r="E193" s="286"/>
      <c r="F193" s="286"/>
      <c r="G193" s="286"/>
      <c r="H193" s="286"/>
      <c r="I193" s="286"/>
      <c r="J193" s="286"/>
      <c r="K193" s="286"/>
      <c r="L193" s="286"/>
      <c r="M193" s="286"/>
      <c r="N193" s="286"/>
      <c r="O193" s="286"/>
      <c r="P193" s="286"/>
      <c r="Q193" s="286"/>
      <c r="R193" s="286"/>
      <c r="S193" s="286"/>
      <c r="T193" s="286"/>
      <c r="U193" s="286"/>
      <c r="V193" s="347">
        <v>2.02</v>
      </c>
      <c r="W193" s="289" t="s">
        <v>115</v>
      </c>
      <c r="X193" s="5"/>
    </row>
    <row r="194" spans="1:24" ht="15.75" x14ac:dyDescent="0.25">
      <c r="A194" s="285"/>
      <c r="B194" s="286" t="s">
        <v>68</v>
      </c>
      <c r="C194" s="286"/>
      <c r="D194" s="286"/>
      <c r="E194" s="286"/>
      <c r="F194" s="286"/>
      <c r="G194" s="286"/>
      <c r="H194" s="286"/>
      <c r="I194" s="286"/>
      <c r="J194" s="286"/>
      <c r="K194" s="286"/>
      <c r="L194" s="286"/>
      <c r="M194" s="286"/>
      <c r="N194" s="286"/>
      <c r="O194" s="286"/>
      <c r="P194" s="286"/>
      <c r="Q194" s="286"/>
      <c r="R194" s="286"/>
      <c r="S194" s="286"/>
      <c r="T194" s="286"/>
      <c r="U194" s="286"/>
      <c r="V194" s="343">
        <f>(V101+V103+V104+V105+V106+V107+V108)/-(V109+V110)</f>
        <v>14.597285067873303</v>
      </c>
      <c r="W194" s="289" t="s">
        <v>115</v>
      </c>
      <c r="X194" s="5"/>
    </row>
    <row r="195" spans="1:24" ht="15.75" x14ac:dyDescent="0.25">
      <c r="A195" s="285"/>
      <c r="B195" s="286" t="s">
        <v>69</v>
      </c>
      <c r="C195" s="286"/>
      <c r="D195" s="286"/>
      <c r="E195" s="286"/>
      <c r="F195" s="286"/>
      <c r="G195" s="286"/>
      <c r="H195" s="286"/>
      <c r="I195" s="286"/>
      <c r="J195" s="286"/>
      <c r="K195" s="286"/>
      <c r="L195" s="286"/>
      <c r="M195" s="286"/>
      <c r="N195" s="286"/>
      <c r="O195" s="286"/>
      <c r="P195" s="286"/>
      <c r="Q195" s="286"/>
      <c r="R195" s="286"/>
      <c r="S195" s="286"/>
      <c r="T195" s="286"/>
      <c r="U195" s="286"/>
      <c r="V195" s="347">
        <v>9.14</v>
      </c>
      <c r="W195" s="289" t="s">
        <v>115</v>
      </c>
      <c r="X195" s="5"/>
    </row>
    <row r="196" spans="1:24" ht="15.75" x14ac:dyDescent="0.25">
      <c r="A196" s="285"/>
      <c r="B196" s="286" t="s">
        <v>198</v>
      </c>
      <c r="C196" s="286"/>
      <c r="D196" s="286"/>
      <c r="E196" s="286"/>
      <c r="F196" s="286"/>
      <c r="G196" s="286"/>
      <c r="H196" s="286"/>
      <c r="I196" s="286"/>
      <c r="J196" s="286"/>
      <c r="K196" s="286"/>
      <c r="L196" s="286"/>
      <c r="M196" s="286"/>
      <c r="N196" s="286"/>
      <c r="O196" s="286"/>
      <c r="P196" s="286"/>
      <c r="Q196" s="286"/>
      <c r="R196" s="286"/>
      <c r="S196" s="286"/>
      <c r="T196" s="286"/>
      <c r="U196" s="286"/>
      <c r="V196" s="343">
        <f>(V101+V103+V104+V105+V106+V107+V108+V109+V110)/-(V111)</f>
        <v>8.8382352941176467</v>
      </c>
      <c r="W196" s="289" t="s">
        <v>115</v>
      </c>
      <c r="X196" s="5"/>
    </row>
    <row r="197" spans="1:24" ht="15.75" x14ac:dyDescent="0.25">
      <c r="A197" s="285"/>
      <c r="B197" s="286" t="s">
        <v>199</v>
      </c>
      <c r="C197" s="286"/>
      <c r="D197" s="286"/>
      <c r="E197" s="286"/>
      <c r="F197" s="286"/>
      <c r="G197" s="286"/>
      <c r="H197" s="286"/>
      <c r="I197" s="286"/>
      <c r="J197" s="286"/>
      <c r="K197" s="286"/>
      <c r="L197" s="286"/>
      <c r="M197" s="286"/>
      <c r="N197" s="286"/>
      <c r="O197" s="286"/>
      <c r="P197" s="286"/>
      <c r="Q197" s="286"/>
      <c r="R197" s="286"/>
      <c r="S197" s="286"/>
      <c r="T197" s="286"/>
      <c r="U197" s="286"/>
      <c r="V197" s="347">
        <v>6.75</v>
      </c>
      <c r="W197" s="289" t="s">
        <v>115</v>
      </c>
      <c r="X197" s="5"/>
    </row>
    <row r="198" spans="1:24" ht="15.75" x14ac:dyDescent="0.25">
      <c r="A198" s="285"/>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9"/>
      <c r="X198" s="5"/>
    </row>
    <row r="199" spans="1:24" ht="15.75" x14ac:dyDescent="0.25">
      <c r="A199" s="181"/>
      <c r="B199" s="346"/>
      <c r="C199" s="346"/>
      <c r="D199" s="346"/>
      <c r="E199" s="346"/>
      <c r="F199" s="346"/>
      <c r="G199" s="346"/>
      <c r="H199" s="346"/>
      <c r="I199" s="346"/>
      <c r="J199" s="346"/>
      <c r="K199" s="346"/>
      <c r="L199" s="346"/>
      <c r="M199" s="346"/>
      <c r="N199" s="346"/>
      <c r="O199" s="346"/>
      <c r="P199" s="346"/>
      <c r="Q199" s="346"/>
      <c r="R199" s="346"/>
      <c r="S199" s="346"/>
      <c r="T199" s="346"/>
      <c r="U199" s="346"/>
      <c r="V199" s="346"/>
      <c r="W199" s="346"/>
      <c r="X199" s="5"/>
    </row>
    <row r="200" spans="1:24" ht="15.75" x14ac:dyDescent="0.25">
      <c r="A200" s="181"/>
      <c r="B200" s="255"/>
      <c r="C200" s="255"/>
      <c r="D200" s="255"/>
      <c r="E200" s="255"/>
      <c r="F200" s="255"/>
      <c r="G200" s="255"/>
      <c r="H200" s="255"/>
      <c r="I200" s="255"/>
      <c r="J200" s="255"/>
      <c r="K200" s="255"/>
      <c r="L200" s="255"/>
      <c r="M200" s="255"/>
      <c r="N200" s="255"/>
      <c r="O200" s="255"/>
      <c r="P200" s="255"/>
      <c r="Q200" s="255"/>
      <c r="R200" s="255"/>
      <c r="S200" s="255"/>
      <c r="T200" s="255"/>
      <c r="U200" s="255"/>
      <c r="V200" s="255"/>
      <c r="W200" s="255"/>
      <c r="X200" s="5"/>
    </row>
    <row r="201" spans="1:24" ht="19.5" thickBot="1" x14ac:dyDescent="0.35">
      <c r="A201" s="197"/>
      <c r="B201" s="270" t="str">
        <f>B135</f>
        <v>PM15 INVESTOR REPORT QUARTER ENDING AUGUST 2015</v>
      </c>
      <c r="C201" s="271"/>
      <c r="D201" s="271"/>
      <c r="E201" s="271"/>
      <c r="F201" s="271"/>
      <c r="G201" s="271"/>
      <c r="H201" s="271"/>
      <c r="I201" s="271"/>
      <c r="J201" s="271"/>
      <c r="K201" s="271"/>
      <c r="L201" s="271"/>
      <c r="M201" s="271"/>
      <c r="N201" s="271"/>
      <c r="O201" s="271"/>
      <c r="P201" s="271"/>
      <c r="Q201" s="271"/>
      <c r="R201" s="271"/>
      <c r="S201" s="271"/>
      <c r="T201" s="271"/>
      <c r="U201" s="271"/>
      <c r="V201" s="271"/>
      <c r="W201" s="272"/>
      <c r="X201" s="5"/>
    </row>
    <row r="202" spans="1:24" ht="15.75" x14ac:dyDescent="0.25">
      <c r="A202" s="236"/>
      <c r="B202" s="403" t="s">
        <v>70</v>
      </c>
      <c r="C202" s="404"/>
      <c r="D202" s="404"/>
      <c r="E202" s="404"/>
      <c r="F202" s="404"/>
      <c r="G202" s="405"/>
      <c r="H202" s="405"/>
      <c r="I202" s="405"/>
      <c r="J202" s="405"/>
      <c r="K202" s="405"/>
      <c r="L202" s="405"/>
      <c r="M202" s="405"/>
      <c r="N202" s="405"/>
      <c r="O202" s="405"/>
      <c r="P202" s="405"/>
      <c r="Q202" s="405"/>
      <c r="R202" s="405"/>
      <c r="S202" s="405"/>
      <c r="T202" s="405">
        <v>42244</v>
      </c>
      <c r="U202" s="238"/>
      <c r="V202" s="238"/>
      <c r="W202" s="238"/>
      <c r="X202" s="5"/>
    </row>
    <row r="203" spans="1:24" ht="15.75" x14ac:dyDescent="0.25">
      <c r="A203" s="218"/>
      <c r="B203" s="219"/>
      <c r="C203" s="220"/>
      <c r="D203" s="220"/>
      <c r="E203" s="220"/>
      <c r="F203" s="220"/>
      <c r="G203" s="221"/>
      <c r="H203" s="221"/>
      <c r="I203" s="221"/>
      <c r="J203" s="221"/>
      <c r="K203" s="221"/>
      <c r="L203" s="221"/>
      <c r="M203" s="221"/>
      <c r="N203" s="221"/>
      <c r="O203" s="221"/>
      <c r="P203" s="221"/>
      <c r="Q203" s="221"/>
      <c r="R203" s="221"/>
      <c r="S203" s="221"/>
      <c r="T203" s="221"/>
      <c r="U203" s="183"/>
      <c r="V203" s="183"/>
      <c r="W203" s="183"/>
      <c r="X203" s="5"/>
    </row>
    <row r="204" spans="1:24" ht="15.75" x14ac:dyDescent="0.25">
      <c r="A204" s="350"/>
      <c r="B204" s="286" t="s">
        <v>71</v>
      </c>
      <c r="C204" s="406"/>
      <c r="D204" s="406"/>
      <c r="E204" s="406"/>
      <c r="F204" s="406"/>
      <c r="G204" s="397"/>
      <c r="H204" s="397"/>
      <c r="I204" s="397"/>
      <c r="J204" s="397"/>
      <c r="K204" s="397"/>
      <c r="L204" s="397"/>
      <c r="M204" s="397"/>
      <c r="N204" s="397"/>
      <c r="O204" s="397"/>
      <c r="P204" s="397"/>
      <c r="Q204" s="397"/>
      <c r="R204" s="397"/>
      <c r="S204" s="397"/>
      <c r="T204" s="321">
        <v>5.3830000000000003E-2</v>
      </c>
      <c r="U204" s="286"/>
      <c r="V204" s="286"/>
      <c r="W204" s="289"/>
      <c r="X204" s="5"/>
    </row>
    <row r="205" spans="1:24" ht="15.75" x14ac:dyDescent="0.25">
      <c r="A205" s="350"/>
      <c r="B205" s="286" t="s">
        <v>151</v>
      </c>
      <c r="C205" s="406"/>
      <c r="D205" s="406"/>
      <c r="E205" s="406"/>
      <c r="F205" s="406"/>
      <c r="G205" s="397"/>
      <c r="H205" s="397"/>
      <c r="I205" s="397"/>
      <c r="J205" s="397"/>
      <c r="K205" s="397"/>
      <c r="L205" s="397"/>
      <c r="M205" s="397"/>
      <c r="N205" s="397"/>
      <c r="O205" s="397"/>
      <c r="P205" s="397"/>
      <c r="Q205" s="397"/>
      <c r="R205" s="397"/>
      <c r="S205" s="397"/>
      <c r="T205" s="321">
        <v>6.25E-2</v>
      </c>
      <c r="U205" s="286"/>
      <c r="V205" s="286"/>
      <c r="W205" s="289"/>
      <c r="X205" s="5"/>
    </row>
    <row r="206" spans="1:24" ht="15.75" x14ac:dyDescent="0.25">
      <c r="A206" s="350"/>
      <c r="B206" s="286" t="s">
        <v>72</v>
      </c>
      <c r="C206" s="406"/>
      <c r="D206" s="406"/>
      <c r="E206" s="406"/>
      <c r="F206" s="406"/>
      <c r="G206" s="397"/>
      <c r="H206" s="397"/>
      <c r="I206" s="397"/>
      <c r="J206" s="397"/>
      <c r="K206" s="397"/>
      <c r="L206" s="397"/>
      <c r="M206" s="397"/>
      <c r="N206" s="397"/>
      <c r="O206" s="397"/>
      <c r="P206" s="397"/>
      <c r="Q206" s="397"/>
      <c r="R206" s="397"/>
      <c r="S206" s="397"/>
      <c r="T206" s="321">
        <f>T204-T205</f>
        <v>-8.6699999999999972E-3</v>
      </c>
      <c r="U206" s="286"/>
      <c r="V206" s="286"/>
      <c r="W206" s="289"/>
      <c r="X206" s="5"/>
    </row>
    <row r="207" spans="1:24" ht="15.75" x14ac:dyDescent="0.25">
      <c r="A207" s="350"/>
      <c r="B207" s="286" t="s">
        <v>73</v>
      </c>
      <c r="C207" s="406"/>
      <c r="D207" s="406"/>
      <c r="E207" s="406"/>
      <c r="F207" s="406"/>
      <c r="G207" s="397"/>
      <c r="H207" s="397"/>
      <c r="I207" s="397"/>
      <c r="J207" s="397"/>
      <c r="K207" s="397"/>
      <c r="L207" s="397"/>
      <c r="M207" s="397"/>
      <c r="N207" s="397"/>
      <c r="O207" s="397"/>
      <c r="P207" s="397"/>
      <c r="Q207" s="397"/>
      <c r="R207" s="397"/>
      <c r="S207" s="397"/>
      <c r="T207" s="321">
        <v>2.511E-2</v>
      </c>
      <c r="U207" s="286"/>
      <c r="V207" s="286"/>
      <c r="W207" s="289"/>
      <c r="X207" s="5"/>
    </row>
    <row r="208" spans="1:24" ht="15.75" x14ac:dyDescent="0.25">
      <c r="A208" s="350"/>
      <c r="B208" s="286" t="s">
        <v>218</v>
      </c>
      <c r="C208" s="406"/>
      <c r="D208" s="406"/>
      <c r="E208" s="406"/>
      <c r="F208" s="406"/>
      <c r="G208" s="397"/>
      <c r="H208" s="397"/>
      <c r="I208" s="397"/>
      <c r="J208" s="397"/>
      <c r="K208" s="397"/>
      <c r="L208" s="397"/>
      <c r="M208" s="397"/>
      <c r="N208" s="397"/>
      <c r="O208" s="397"/>
      <c r="P208" s="397"/>
      <c r="Q208" s="397"/>
      <c r="R208" s="397"/>
      <c r="S208" s="397"/>
      <c r="T208" s="321">
        <f>V43</f>
        <v>9.3712478239216298E-3</v>
      </c>
      <c r="U208" s="286"/>
      <c r="V208" s="286"/>
      <c r="W208" s="289"/>
      <c r="X208" s="5"/>
    </row>
    <row r="209" spans="1:24" ht="15.75" x14ac:dyDescent="0.25">
      <c r="A209" s="350"/>
      <c r="B209" s="286" t="s">
        <v>74</v>
      </c>
      <c r="C209" s="406"/>
      <c r="D209" s="406"/>
      <c r="E209" s="406"/>
      <c r="F209" s="406"/>
      <c r="G209" s="397"/>
      <c r="H209" s="397"/>
      <c r="I209" s="397"/>
      <c r="J209" s="397"/>
      <c r="K209" s="397"/>
      <c r="L209" s="397"/>
      <c r="M209" s="397"/>
      <c r="N209" s="397"/>
      <c r="O209" s="397"/>
      <c r="P209" s="397"/>
      <c r="Q209" s="397"/>
      <c r="R209" s="397"/>
      <c r="S209" s="397"/>
      <c r="T209" s="321">
        <f>T207-T208</f>
        <v>1.5738752176078369E-2</v>
      </c>
      <c r="U209" s="286"/>
      <c r="V209" s="286"/>
      <c r="W209" s="289"/>
      <c r="X209" s="5"/>
    </row>
    <row r="210" spans="1:24" ht="15.75" x14ac:dyDescent="0.25">
      <c r="A210" s="350"/>
      <c r="B210" s="286" t="s">
        <v>227</v>
      </c>
      <c r="C210" s="406"/>
      <c r="D210" s="406"/>
      <c r="E210" s="406"/>
      <c r="F210" s="406"/>
      <c r="G210" s="397"/>
      <c r="H210" s="397"/>
      <c r="I210" s="397"/>
      <c r="J210" s="397"/>
      <c r="K210" s="397"/>
      <c r="L210" s="397"/>
      <c r="M210" s="397"/>
      <c r="N210" s="397"/>
      <c r="O210" s="397"/>
      <c r="P210" s="397"/>
      <c r="Q210" s="397"/>
      <c r="R210" s="397"/>
      <c r="S210" s="397"/>
      <c r="T210" s="321">
        <f>V101/N71</f>
        <v>6.529730599978534E-3</v>
      </c>
      <c r="U210" s="286"/>
      <c r="V210" s="286"/>
      <c r="W210" s="289"/>
      <c r="X210" s="5"/>
    </row>
    <row r="211" spans="1:24" ht="15.75" x14ac:dyDescent="0.25">
      <c r="A211" s="350"/>
      <c r="B211" s="286" t="s">
        <v>207</v>
      </c>
      <c r="C211" s="406"/>
      <c r="D211" s="406"/>
      <c r="E211" s="406"/>
      <c r="F211" s="406"/>
      <c r="G211" s="397"/>
      <c r="H211" s="397"/>
      <c r="I211" s="397"/>
      <c r="J211" s="397"/>
      <c r="K211" s="397"/>
      <c r="L211" s="397"/>
      <c r="M211" s="397"/>
      <c r="N211" s="397"/>
      <c r="O211" s="397"/>
      <c r="P211" s="397"/>
      <c r="Q211" s="397"/>
      <c r="R211" s="397"/>
      <c r="S211" s="397"/>
      <c r="T211" s="352">
        <v>51105</v>
      </c>
      <c r="U211" s="286"/>
      <c r="V211" s="286"/>
      <c r="W211" s="289"/>
      <c r="X211" s="5"/>
    </row>
    <row r="212" spans="1:24" ht="15.75" x14ac:dyDescent="0.25">
      <c r="A212" s="350"/>
      <c r="B212" s="286" t="s">
        <v>208</v>
      </c>
      <c r="C212" s="406"/>
      <c r="D212" s="406"/>
      <c r="E212" s="406"/>
      <c r="F212" s="406"/>
      <c r="G212" s="397"/>
      <c r="H212" s="397"/>
      <c r="I212" s="397"/>
      <c r="J212" s="397"/>
      <c r="K212" s="397"/>
      <c r="L212" s="397"/>
      <c r="M212" s="397"/>
      <c r="N212" s="397"/>
      <c r="O212" s="397"/>
      <c r="P212" s="397"/>
      <c r="Q212" s="397"/>
      <c r="R212" s="397"/>
      <c r="S212" s="397"/>
      <c r="T212" s="352">
        <v>51105</v>
      </c>
      <c r="U212" s="286"/>
      <c r="V212" s="286"/>
      <c r="W212" s="289"/>
      <c r="X212" s="5"/>
    </row>
    <row r="213" spans="1:24" ht="15.75" x14ac:dyDescent="0.25">
      <c r="A213" s="350"/>
      <c r="B213" s="286" t="s">
        <v>209</v>
      </c>
      <c r="C213" s="406"/>
      <c r="D213" s="406"/>
      <c r="E213" s="406"/>
      <c r="F213" s="406"/>
      <c r="G213" s="397"/>
      <c r="H213" s="397"/>
      <c r="I213" s="397"/>
      <c r="J213" s="397"/>
      <c r="K213" s="397"/>
      <c r="L213" s="397"/>
      <c r="M213" s="397"/>
      <c r="N213" s="397"/>
      <c r="O213" s="397"/>
      <c r="P213" s="397"/>
      <c r="Q213" s="397"/>
      <c r="R213" s="397"/>
      <c r="S213" s="397"/>
      <c r="T213" s="352">
        <v>51105</v>
      </c>
      <c r="U213" s="286"/>
      <c r="V213" s="286"/>
      <c r="W213" s="289"/>
      <c r="X213" s="5"/>
    </row>
    <row r="214" spans="1:24" ht="15.75" x14ac:dyDescent="0.25">
      <c r="A214" s="350"/>
      <c r="B214" s="286" t="s">
        <v>75</v>
      </c>
      <c r="C214" s="406"/>
      <c r="D214" s="406"/>
      <c r="E214" s="406"/>
      <c r="F214" s="406"/>
      <c r="G214" s="397"/>
      <c r="H214" s="397"/>
      <c r="I214" s="397"/>
      <c r="J214" s="397"/>
      <c r="K214" s="397"/>
      <c r="L214" s="397"/>
      <c r="M214" s="397"/>
      <c r="N214" s="397"/>
      <c r="O214" s="397"/>
      <c r="P214" s="397"/>
      <c r="Q214" s="397"/>
      <c r="R214" s="397"/>
      <c r="S214" s="397"/>
      <c r="T214" s="327">
        <v>21.06</v>
      </c>
      <c r="U214" s="286" t="s">
        <v>110</v>
      </c>
      <c r="V214" s="286"/>
      <c r="W214" s="289"/>
      <c r="X214" s="5"/>
    </row>
    <row r="215" spans="1:24" ht="15.75" x14ac:dyDescent="0.25">
      <c r="A215" s="350"/>
      <c r="B215" s="286" t="s">
        <v>76</v>
      </c>
      <c r="C215" s="406"/>
      <c r="D215" s="406"/>
      <c r="E215" s="406"/>
      <c r="F215" s="406"/>
      <c r="G215" s="397"/>
      <c r="H215" s="397"/>
      <c r="I215" s="397"/>
      <c r="J215" s="397"/>
      <c r="K215" s="397"/>
      <c r="L215" s="397"/>
      <c r="M215" s="397"/>
      <c r="N215" s="397"/>
      <c r="O215" s="397"/>
      <c r="P215" s="397"/>
      <c r="Q215" s="397"/>
      <c r="R215" s="397"/>
      <c r="S215" s="397"/>
      <c r="T215" s="327">
        <v>13.25</v>
      </c>
      <c r="U215" s="286" t="s">
        <v>110</v>
      </c>
      <c r="V215" s="286"/>
      <c r="W215" s="289"/>
      <c r="X215" s="5"/>
    </row>
    <row r="216" spans="1:24" ht="15.75" x14ac:dyDescent="0.25">
      <c r="A216" s="350"/>
      <c r="B216" s="286" t="s">
        <v>77</v>
      </c>
      <c r="C216" s="406"/>
      <c r="D216" s="406"/>
      <c r="E216" s="406"/>
      <c r="F216" s="406"/>
      <c r="G216" s="397"/>
      <c r="H216" s="397"/>
      <c r="I216" s="397"/>
      <c r="J216" s="397"/>
      <c r="K216" s="397"/>
      <c r="L216" s="397"/>
      <c r="M216" s="397"/>
      <c r="N216" s="397"/>
      <c r="O216" s="397"/>
      <c r="P216" s="397"/>
      <c r="Q216" s="397"/>
      <c r="R216" s="397"/>
      <c r="S216" s="397"/>
      <c r="T216" s="321">
        <f>+P68/N68</f>
        <v>1.2462434259954922E-2</v>
      </c>
      <c r="U216" s="286"/>
      <c r="V216" s="286"/>
      <c r="W216" s="289"/>
      <c r="X216" s="5"/>
    </row>
    <row r="217" spans="1:24" ht="15.75" x14ac:dyDescent="0.25">
      <c r="A217" s="350"/>
      <c r="B217" s="286" t="s">
        <v>78</v>
      </c>
      <c r="C217" s="406"/>
      <c r="D217" s="406"/>
      <c r="E217" s="406"/>
      <c r="F217" s="406"/>
      <c r="G217" s="397"/>
      <c r="H217" s="397"/>
      <c r="I217" s="397"/>
      <c r="J217" s="397"/>
      <c r="K217" s="397"/>
      <c r="L217" s="397"/>
      <c r="M217" s="397"/>
      <c r="N217" s="397"/>
      <c r="O217" s="397"/>
      <c r="P217" s="397"/>
      <c r="Q217" s="397"/>
      <c r="R217" s="397"/>
      <c r="S217" s="397"/>
      <c r="T217" s="321">
        <v>3.9E-2</v>
      </c>
      <c r="U217" s="286"/>
      <c r="V217" s="286"/>
      <c r="W217" s="289"/>
      <c r="X217" s="5"/>
    </row>
    <row r="218" spans="1:24" ht="15.75" x14ac:dyDescent="0.25">
      <c r="A218" s="218"/>
      <c r="B218" s="348"/>
      <c r="C218" s="348"/>
      <c r="D218" s="348"/>
      <c r="E218" s="348"/>
      <c r="F218" s="348"/>
      <c r="G218" s="212"/>
      <c r="H218" s="212"/>
      <c r="I218" s="212"/>
      <c r="J218" s="212"/>
      <c r="K218" s="212"/>
      <c r="L218" s="212"/>
      <c r="M218" s="212"/>
      <c r="N218" s="212"/>
      <c r="O218" s="212"/>
      <c r="P218" s="212"/>
      <c r="Q218" s="212"/>
      <c r="R218" s="212"/>
      <c r="S218" s="212"/>
      <c r="T218" s="344"/>
      <c r="U218" s="212"/>
      <c r="V218" s="349"/>
      <c r="W218" s="212"/>
      <c r="X218" s="5"/>
    </row>
    <row r="219" spans="1:24" ht="15.75" x14ac:dyDescent="0.25">
      <c r="A219" s="242"/>
      <c r="B219" s="399" t="s">
        <v>79</v>
      </c>
      <c r="C219" s="400"/>
      <c r="D219" s="400"/>
      <c r="E219" s="400"/>
      <c r="F219" s="407"/>
      <c r="G219" s="400"/>
      <c r="H219" s="400"/>
      <c r="I219" s="400"/>
      <c r="J219" s="400"/>
      <c r="K219" s="400"/>
      <c r="L219" s="400"/>
      <c r="M219" s="400"/>
      <c r="N219" s="400"/>
      <c r="O219" s="400"/>
      <c r="P219" s="400"/>
      <c r="Q219" s="400"/>
      <c r="R219" s="400"/>
      <c r="S219" s="400" t="s">
        <v>102</v>
      </c>
      <c r="T219" s="407" t="s">
        <v>108</v>
      </c>
      <c r="U219" s="225"/>
      <c r="V219" s="225"/>
      <c r="W219" s="225"/>
      <c r="X219" s="5"/>
    </row>
    <row r="220" spans="1:24" ht="15.75" x14ac:dyDescent="0.25">
      <c r="A220" s="222"/>
      <c r="B220" s="250" t="s">
        <v>80</v>
      </c>
      <c r="C220" s="249"/>
      <c r="D220" s="249"/>
      <c r="E220" s="249"/>
      <c r="F220" s="250"/>
      <c r="G220" s="250"/>
      <c r="H220" s="268"/>
      <c r="I220" s="268"/>
      <c r="J220" s="268"/>
      <c r="K220" s="268"/>
      <c r="L220" s="268"/>
      <c r="M220" s="268"/>
      <c r="N220" s="268"/>
      <c r="O220" s="268"/>
      <c r="P220" s="268"/>
      <c r="Q220" s="268"/>
      <c r="R220" s="268"/>
      <c r="S220" s="268">
        <v>0</v>
      </c>
      <c r="T220" s="269">
        <v>0</v>
      </c>
      <c r="U220" s="250"/>
      <c r="V220" s="266"/>
      <c r="W220" s="223"/>
      <c r="X220" s="5"/>
    </row>
    <row r="221" spans="1:24" ht="15.75" x14ac:dyDescent="0.25">
      <c r="A221" s="358"/>
      <c r="B221" s="286" t="s">
        <v>145</v>
      </c>
      <c r="C221" s="337"/>
      <c r="D221" s="337"/>
      <c r="E221" s="337"/>
      <c r="F221" s="286"/>
      <c r="G221" s="286"/>
      <c r="H221" s="296"/>
      <c r="I221" s="296"/>
      <c r="J221" s="296"/>
      <c r="K221" s="296"/>
      <c r="L221" s="296"/>
      <c r="M221" s="296"/>
      <c r="N221" s="296"/>
      <c r="O221" s="296"/>
      <c r="P221" s="296"/>
      <c r="Q221" s="296"/>
      <c r="R221" s="296"/>
      <c r="S221" s="359">
        <f>+R273</f>
        <v>93</v>
      </c>
      <c r="T221" s="360">
        <f>+T273</f>
        <v>13067</v>
      </c>
      <c r="U221" s="286"/>
      <c r="V221" s="361"/>
      <c r="W221" s="362"/>
      <c r="X221" s="5"/>
    </row>
    <row r="222" spans="1:24" ht="15.75" x14ac:dyDescent="0.25">
      <c r="A222" s="358"/>
      <c r="B222" s="286" t="s">
        <v>81</v>
      </c>
      <c r="C222" s="337"/>
      <c r="D222" s="337"/>
      <c r="E222" s="337"/>
      <c r="F222" s="286"/>
      <c r="G222" s="286"/>
      <c r="H222" s="296"/>
      <c r="I222" s="296"/>
      <c r="J222" s="296"/>
      <c r="K222" s="296"/>
      <c r="L222" s="296"/>
      <c r="M222" s="296"/>
      <c r="N222" s="296"/>
      <c r="O222" s="296"/>
      <c r="P222" s="296"/>
      <c r="Q222" s="296"/>
      <c r="R222" s="296"/>
      <c r="S222" s="359">
        <f>+R285</f>
        <v>0</v>
      </c>
      <c r="T222" s="360">
        <f>+T285</f>
        <v>0</v>
      </c>
      <c r="U222" s="286"/>
      <c r="V222" s="361"/>
      <c r="W222" s="362"/>
      <c r="X222" s="5"/>
    </row>
    <row r="223" spans="1:24" ht="15.75" x14ac:dyDescent="0.25">
      <c r="A223" s="358"/>
      <c r="B223" s="313" t="s">
        <v>82</v>
      </c>
      <c r="C223" s="363"/>
      <c r="D223" s="363"/>
      <c r="E223" s="363"/>
      <c r="F223" s="314"/>
      <c r="G223" s="314"/>
      <c r="H223" s="314"/>
      <c r="I223" s="314"/>
      <c r="J223" s="314"/>
      <c r="K223" s="314"/>
      <c r="L223" s="314"/>
      <c r="M223" s="314"/>
      <c r="N223" s="314"/>
      <c r="O223" s="314"/>
      <c r="P223" s="314"/>
      <c r="Q223" s="314"/>
      <c r="R223" s="314"/>
      <c r="S223" s="286"/>
      <c r="T223" s="360">
        <v>0</v>
      </c>
      <c r="U223" s="314"/>
      <c r="V223" s="364"/>
      <c r="W223" s="362"/>
      <c r="X223" s="5"/>
    </row>
    <row r="224" spans="1:24" ht="15.75" x14ac:dyDescent="0.25">
      <c r="A224" s="358"/>
      <c r="B224" s="313" t="s">
        <v>228</v>
      </c>
      <c r="C224" s="363"/>
      <c r="D224" s="363"/>
      <c r="E224" s="363"/>
      <c r="F224" s="314"/>
      <c r="G224" s="314"/>
      <c r="H224" s="314"/>
      <c r="I224" s="314"/>
      <c r="J224" s="314"/>
      <c r="K224" s="314"/>
      <c r="L224" s="314"/>
      <c r="M224" s="314"/>
      <c r="N224" s="314"/>
      <c r="O224" s="314"/>
      <c r="P224" s="314"/>
      <c r="Q224" s="314"/>
      <c r="R224" s="314"/>
      <c r="S224" s="286"/>
      <c r="T224" s="360">
        <f>+N81</f>
        <v>0</v>
      </c>
      <c r="U224" s="314"/>
      <c r="V224" s="364"/>
      <c r="W224" s="362"/>
      <c r="X224" s="5"/>
    </row>
    <row r="225" spans="1:24" ht="15.75" x14ac:dyDescent="0.25">
      <c r="A225" s="365"/>
      <c r="B225" s="313" t="s">
        <v>83</v>
      </c>
      <c r="C225" s="366"/>
      <c r="D225" s="366"/>
      <c r="E225" s="366"/>
      <c r="F225" s="366"/>
      <c r="G225" s="314"/>
      <c r="H225" s="314"/>
      <c r="I225" s="314"/>
      <c r="J225" s="314"/>
      <c r="K225" s="314"/>
      <c r="L225" s="314"/>
      <c r="M225" s="314"/>
      <c r="N225" s="314"/>
      <c r="O225" s="314"/>
      <c r="P225" s="314"/>
      <c r="Q225" s="314"/>
      <c r="R225" s="314"/>
      <c r="S225" s="286"/>
      <c r="T225" s="360"/>
      <c r="U225" s="314"/>
      <c r="V225" s="364"/>
      <c r="W225" s="367"/>
      <c r="X225" s="5"/>
    </row>
    <row r="226" spans="1:24" ht="15.75" x14ac:dyDescent="0.25">
      <c r="A226" s="365"/>
      <c r="B226" s="286" t="s">
        <v>84</v>
      </c>
      <c r="C226" s="366"/>
      <c r="D226" s="366"/>
      <c r="E226" s="366"/>
      <c r="F226" s="366"/>
      <c r="G226" s="314"/>
      <c r="H226" s="314"/>
      <c r="I226" s="314"/>
      <c r="J226" s="314"/>
      <c r="K226" s="314"/>
      <c r="L226" s="314"/>
      <c r="M226" s="314"/>
      <c r="N226" s="314"/>
      <c r="O226" s="314"/>
      <c r="P226" s="314"/>
      <c r="Q226" s="314"/>
      <c r="R226" s="314"/>
      <c r="S226" s="296"/>
      <c r="T226" s="360">
        <f>V164</f>
        <v>209</v>
      </c>
      <c r="U226" s="314"/>
      <c r="V226" s="364"/>
      <c r="W226" s="367"/>
      <c r="X226" s="5"/>
    </row>
    <row r="227" spans="1:24" ht="15.75" x14ac:dyDescent="0.25">
      <c r="A227" s="358"/>
      <c r="B227" s="286" t="s">
        <v>85</v>
      </c>
      <c r="C227" s="363"/>
      <c r="D227" s="363"/>
      <c r="E227" s="363"/>
      <c r="F227" s="363"/>
      <c r="G227" s="314"/>
      <c r="H227" s="314"/>
      <c r="I227" s="314"/>
      <c r="J227" s="314"/>
      <c r="K227" s="314"/>
      <c r="L227" s="314"/>
      <c r="M227" s="314"/>
      <c r="N227" s="314"/>
      <c r="O227" s="314"/>
      <c r="P227" s="314"/>
      <c r="Q227" s="314"/>
      <c r="R227" s="314"/>
      <c r="S227" s="296"/>
      <c r="T227" s="360">
        <f>'May 15'!T227+T226</f>
        <v>8006</v>
      </c>
      <c r="U227" s="314"/>
      <c r="V227" s="364"/>
      <c r="W227" s="367"/>
      <c r="X227" s="5"/>
    </row>
    <row r="228" spans="1:24" ht="15.75" x14ac:dyDescent="0.25">
      <c r="A228" s="365"/>
      <c r="B228" s="313" t="s">
        <v>285</v>
      </c>
      <c r="C228" s="366"/>
      <c r="D228" s="366"/>
      <c r="E228" s="366"/>
      <c r="F228" s="366"/>
      <c r="G228" s="314"/>
      <c r="H228" s="314"/>
      <c r="I228" s="314"/>
      <c r="J228" s="314"/>
      <c r="K228" s="314"/>
      <c r="L228" s="314"/>
      <c r="M228" s="314"/>
      <c r="N228" s="314"/>
      <c r="O228" s="314"/>
      <c r="P228" s="314"/>
      <c r="Q228" s="314"/>
      <c r="R228" s="314"/>
      <c r="S228" s="296"/>
      <c r="T228" s="360"/>
      <c r="U228" s="314"/>
      <c r="V228" s="364"/>
      <c r="W228" s="367"/>
      <c r="X228" s="5"/>
    </row>
    <row r="229" spans="1:24" ht="15.75" x14ac:dyDescent="0.25">
      <c r="A229" s="365"/>
      <c r="B229" s="286" t="s">
        <v>282</v>
      </c>
      <c r="C229" s="366"/>
      <c r="D229" s="366"/>
      <c r="E229" s="366"/>
      <c r="F229" s="366"/>
      <c r="G229" s="314"/>
      <c r="H229" s="314"/>
      <c r="I229" s="314"/>
      <c r="J229" s="314"/>
      <c r="K229" s="314"/>
      <c r="L229" s="314"/>
      <c r="M229" s="314"/>
      <c r="N229" s="314"/>
      <c r="O229" s="314"/>
      <c r="P229" s="314"/>
      <c r="Q229" s="314"/>
      <c r="R229" s="314"/>
      <c r="S229" s="296">
        <v>0</v>
      </c>
      <c r="T229" s="360">
        <v>0</v>
      </c>
      <c r="U229" s="314"/>
      <c r="V229" s="364"/>
      <c r="W229" s="367"/>
      <c r="X229" s="5"/>
    </row>
    <row r="230" spans="1:24" ht="15.75" x14ac:dyDescent="0.25">
      <c r="A230" s="358"/>
      <c r="B230" s="286" t="s">
        <v>86</v>
      </c>
      <c r="C230" s="368"/>
      <c r="D230" s="368"/>
      <c r="E230" s="368"/>
      <c r="F230" s="369"/>
      <c r="G230" s="314"/>
      <c r="H230" s="314"/>
      <c r="I230" s="314"/>
      <c r="J230" s="314"/>
      <c r="K230" s="314"/>
      <c r="L230" s="314"/>
      <c r="M230" s="314"/>
      <c r="N230" s="314"/>
      <c r="O230" s="314"/>
      <c r="P230" s="314"/>
      <c r="Q230" s="314"/>
      <c r="R230" s="314"/>
      <c r="S230" s="286"/>
      <c r="T230" s="370">
        <v>0</v>
      </c>
      <c r="U230" s="314"/>
      <c r="V230" s="364"/>
      <c r="W230" s="367"/>
      <c r="X230" s="5"/>
    </row>
    <row r="231" spans="1:24" ht="15.75" x14ac:dyDescent="0.25">
      <c r="A231" s="358"/>
      <c r="B231" s="286" t="s">
        <v>87</v>
      </c>
      <c r="C231" s="368"/>
      <c r="D231" s="368"/>
      <c r="E231" s="368"/>
      <c r="F231" s="369"/>
      <c r="G231" s="314"/>
      <c r="H231" s="314"/>
      <c r="I231" s="314"/>
      <c r="J231" s="314"/>
      <c r="K231" s="314"/>
      <c r="L231" s="314"/>
      <c r="M231" s="314"/>
      <c r="N231" s="314"/>
      <c r="O231" s="314"/>
      <c r="P231" s="314"/>
      <c r="Q231" s="314"/>
      <c r="R231" s="314"/>
      <c r="S231" s="286"/>
      <c r="T231" s="370">
        <v>0</v>
      </c>
      <c r="U231" s="314"/>
      <c r="V231" s="364"/>
      <c r="W231" s="367"/>
      <c r="X231" s="5"/>
    </row>
    <row r="232" spans="1:24" ht="15.75" x14ac:dyDescent="0.25">
      <c r="A232" s="358"/>
      <c r="B232" s="313" t="s">
        <v>216</v>
      </c>
      <c r="C232" s="368"/>
      <c r="D232" s="368"/>
      <c r="E232" s="368"/>
      <c r="F232" s="369"/>
      <c r="G232" s="314"/>
      <c r="H232" s="314"/>
      <c r="I232" s="314"/>
      <c r="J232" s="314"/>
      <c r="K232" s="314"/>
      <c r="L232" s="314"/>
      <c r="M232" s="314"/>
      <c r="N232" s="314"/>
      <c r="O232" s="314"/>
      <c r="P232" s="314"/>
      <c r="Q232" s="314"/>
      <c r="R232" s="314"/>
      <c r="S232" s="286"/>
      <c r="T232" s="371"/>
      <c r="U232" s="314"/>
      <c r="V232" s="364"/>
      <c r="W232" s="367"/>
      <c r="X232" s="5"/>
    </row>
    <row r="233" spans="1:24" ht="15.75" x14ac:dyDescent="0.25">
      <c r="A233" s="358"/>
      <c r="B233" s="286" t="s">
        <v>282</v>
      </c>
      <c r="C233" s="368"/>
      <c r="D233" s="368"/>
      <c r="E233" s="368"/>
      <c r="F233" s="369"/>
      <c r="G233" s="314"/>
      <c r="H233" s="314"/>
      <c r="I233" s="314"/>
      <c r="J233" s="314"/>
      <c r="K233" s="314"/>
      <c r="L233" s="314"/>
      <c r="M233" s="314"/>
      <c r="N233" s="314"/>
      <c r="O233" s="314"/>
      <c r="P233" s="314"/>
      <c r="Q233" s="314"/>
      <c r="R233" s="314"/>
      <c r="S233" s="296">
        <v>8</v>
      </c>
      <c r="T233" s="360">
        <v>948</v>
      </c>
      <c r="U233" s="314"/>
      <c r="V233" s="364"/>
      <c r="W233" s="367"/>
      <c r="X233" s="5"/>
    </row>
    <row r="234" spans="1:24" ht="15.75" x14ac:dyDescent="0.25">
      <c r="A234" s="358"/>
      <c r="B234" s="286" t="s">
        <v>217</v>
      </c>
      <c r="C234" s="368"/>
      <c r="D234" s="368"/>
      <c r="E234" s="368"/>
      <c r="F234" s="369"/>
      <c r="G234" s="314"/>
      <c r="H234" s="314"/>
      <c r="I234" s="314"/>
      <c r="J234" s="314"/>
      <c r="K234" s="314"/>
      <c r="L234" s="314"/>
      <c r="M234" s="314"/>
      <c r="N234" s="314"/>
      <c r="O234" s="314"/>
      <c r="P234" s="314"/>
      <c r="Q234" s="314"/>
      <c r="R234" s="314"/>
      <c r="S234" s="286"/>
      <c r="T234" s="370">
        <v>2.48</v>
      </c>
      <c r="U234" s="314"/>
      <c r="V234" s="364"/>
      <c r="W234" s="367"/>
      <c r="X234" s="5"/>
    </row>
    <row r="235" spans="1:24" ht="15.75" x14ac:dyDescent="0.25">
      <c r="A235" s="358"/>
      <c r="B235" s="366"/>
      <c r="C235" s="368"/>
      <c r="D235" s="368"/>
      <c r="E235" s="368"/>
      <c r="F235" s="369"/>
      <c r="G235" s="314"/>
      <c r="H235" s="314"/>
      <c r="I235" s="314"/>
      <c r="J235" s="314"/>
      <c r="K235" s="314"/>
      <c r="L235" s="314"/>
      <c r="M235" s="314"/>
      <c r="N235" s="314"/>
      <c r="O235" s="314"/>
      <c r="P235" s="314"/>
      <c r="Q235" s="314"/>
      <c r="R235" s="314"/>
      <c r="S235" s="286"/>
      <c r="T235" s="371"/>
      <c r="U235" s="314"/>
      <c r="V235" s="364"/>
      <c r="W235" s="367"/>
      <c r="X235" s="5"/>
    </row>
    <row r="236" spans="1:24" ht="15.75" x14ac:dyDescent="0.25">
      <c r="A236" s="358"/>
      <c r="B236" s="366"/>
      <c r="C236" s="368"/>
      <c r="D236" s="368"/>
      <c r="E236" s="368"/>
      <c r="F236" s="369"/>
      <c r="G236" s="314"/>
      <c r="H236" s="314"/>
      <c r="I236" s="314"/>
      <c r="J236" s="314"/>
      <c r="K236" s="314"/>
      <c r="L236" s="314"/>
      <c r="M236" s="314"/>
      <c r="N236" s="314"/>
      <c r="O236" s="314"/>
      <c r="P236" s="314"/>
      <c r="Q236" s="314"/>
      <c r="R236" s="314"/>
      <c r="S236" s="314"/>
      <c r="T236" s="372"/>
      <c r="U236" s="314"/>
      <c r="V236" s="364"/>
      <c r="W236" s="367"/>
      <c r="X236" s="5"/>
    </row>
    <row r="237" spans="1:24" ht="18.75" x14ac:dyDescent="0.3">
      <c r="A237" s="358"/>
      <c r="B237" s="373" t="s">
        <v>168</v>
      </c>
      <c r="C237" s="368"/>
      <c r="D237" s="368"/>
      <c r="E237" s="368"/>
      <c r="F237" s="369"/>
      <c r="G237" s="314"/>
      <c r="H237" s="314"/>
      <c r="I237" s="314"/>
      <c r="J237" s="314"/>
      <c r="K237" s="314"/>
      <c r="L237" s="314"/>
      <c r="M237" s="314"/>
      <c r="N237" s="314"/>
      <c r="O237" s="314"/>
      <c r="P237" s="374" t="s">
        <v>167</v>
      </c>
      <c r="Q237" s="314"/>
      <c r="R237" s="314"/>
      <c r="S237" s="314"/>
      <c r="T237" s="372"/>
      <c r="U237" s="314"/>
      <c r="V237" s="364"/>
      <c r="W237" s="367"/>
      <c r="X237" s="5"/>
    </row>
    <row r="238" spans="1:24" ht="15.75" x14ac:dyDescent="0.25">
      <c r="A238" s="353"/>
      <c r="B238" s="348"/>
      <c r="C238" s="354"/>
      <c r="D238" s="354"/>
      <c r="E238" s="354"/>
      <c r="F238" s="355"/>
      <c r="G238" s="212"/>
      <c r="H238" s="212"/>
      <c r="I238" s="212"/>
      <c r="J238" s="212"/>
      <c r="K238" s="212"/>
      <c r="L238" s="212"/>
      <c r="M238" s="212"/>
      <c r="N238" s="212"/>
      <c r="O238" s="212"/>
      <c r="P238" s="212"/>
      <c r="Q238" s="212"/>
      <c r="R238" s="212"/>
      <c r="S238" s="212"/>
      <c r="T238" s="356"/>
      <c r="U238" s="212"/>
      <c r="V238" s="349"/>
      <c r="W238" s="357"/>
      <c r="X238" s="5"/>
    </row>
    <row r="239" spans="1:24" ht="15.75" x14ac:dyDescent="0.25">
      <c r="A239" s="224"/>
      <c r="B239" s="399" t="s">
        <v>297</v>
      </c>
      <c r="C239" s="400"/>
      <c r="D239" s="400"/>
      <c r="E239" s="400"/>
      <c r="F239" s="407"/>
      <c r="G239" s="400"/>
      <c r="H239" s="400"/>
      <c r="I239" s="400"/>
      <c r="J239" s="400"/>
      <c r="K239" s="400"/>
      <c r="L239" s="400"/>
      <c r="M239" s="400"/>
      <c r="N239" s="400"/>
      <c r="O239" s="400"/>
      <c r="P239" s="400"/>
      <c r="Q239" s="400"/>
      <c r="R239" s="407" t="s">
        <v>102</v>
      </c>
      <c r="S239" s="400" t="s">
        <v>103</v>
      </c>
      <c r="T239" s="407" t="s">
        <v>109</v>
      </c>
      <c r="U239" s="400" t="s">
        <v>103</v>
      </c>
      <c r="V239" s="225"/>
      <c r="W239" s="399"/>
      <c r="X239" s="5"/>
    </row>
    <row r="240" spans="1:24" ht="15.75" x14ac:dyDescent="0.25">
      <c r="A240" s="193"/>
      <c r="B240" s="249" t="s">
        <v>88</v>
      </c>
      <c r="C240" s="265"/>
      <c r="D240" s="265"/>
      <c r="E240" s="265"/>
      <c r="F240" s="250"/>
      <c r="G240" s="265"/>
      <c r="H240" s="265"/>
      <c r="I240" s="265"/>
      <c r="J240" s="265"/>
      <c r="K240" s="265"/>
      <c r="L240" s="265"/>
      <c r="M240" s="265"/>
      <c r="N240" s="265"/>
      <c r="O240" s="265"/>
      <c r="P240" s="265"/>
      <c r="Q240" s="265"/>
      <c r="R240" s="249">
        <f t="shared" ref="R240:R247" si="1">+R252+R264+R276</f>
        <v>5235</v>
      </c>
      <c r="S240" s="252">
        <f t="shared" ref="S240:S247" si="2">R240/$R$249</f>
        <v>0.99581510367129544</v>
      </c>
      <c r="T240" s="253">
        <f t="shared" ref="T240:T247" si="3">+T252+T264+T276</f>
        <v>732748</v>
      </c>
      <c r="U240" s="252">
        <f t="shared" ref="U240:U247" si="4">T240/$T$249</f>
        <v>0.99523535292072318</v>
      </c>
      <c r="V240" s="266"/>
      <c r="W240" s="408"/>
      <c r="X240" s="5"/>
    </row>
    <row r="241" spans="1:25" ht="15.75" x14ac:dyDescent="0.25">
      <c r="A241" s="285"/>
      <c r="B241" s="337" t="s">
        <v>89</v>
      </c>
      <c r="C241" s="378"/>
      <c r="D241" s="378"/>
      <c r="E241" s="378"/>
      <c r="F241" s="286"/>
      <c r="G241" s="379"/>
      <c r="H241" s="378"/>
      <c r="I241" s="378"/>
      <c r="J241" s="378"/>
      <c r="K241" s="378"/>
      <c r="L241" s="378"/>
      <c r="M241" s="378"/>
      <c r="N241" s="378"/>
      <c r="O241" s="378"/>
      <c r="P241" s="378"/>
      <c r="Q241" s="378"/>
      <c r="R241" s="337">
        <f t="shared" si="1"/>
        <v>9</v>
      </c>
      <c r="S241" s="379">
        <f t="shared" si="2"/>
        <v>1.7120030435609664E-3</v>
      </c>
      <c r="T241" s="338">
        <f t="shared" si="3"/>
        <v>1695</v>
      </c>
      <c r="U241" s="379">
        <f t="shared" si="4"/>
        <v>2.3021883692628652E-3</v>
      </c>
      <c r="V241" s="361"/>
      <c r="W241" s="409"/>
      <c r="X241" s="5"/>
      <c r="Y241" s="109"/>
    </row>
    <row r="242" spans="1:25" ht="15.75" x14ac:dyDescent="0.25">
      <c r="A242" s="285"/>
      <c r="B242" s="337" t="s">
        <v>90</v>
      </c>
      <c r="C242" s="378"/>
      <c r="D242" s="378"/>
      <c r="E242" s="378"/>
      <c r="F242" s="286"/>
      <c r="G242" s="379"/>
      <c r="H242" s="378"/>
      <c r="I242" s="378"/>
      <c r="J242" s="378"/>
      <c r="K242" s="378"/>
      <c r="L242" s="378"/>
      <c r="M242" s="378"/>
      <c r="N242" s="378"/>
      <c r="O242" s="378"/>
      <c r="P242" s="378"/>
      <c r="Q242" s="378"/>
      <c r="R242" s="337">
        <f t="shared" si="1"/>
        <v>3</v>
      </c>
      <c r="S242" s="379">
        <f t="shared" si="2"/>
        <v>5.7066768118698872E-4</v>
      </c>
      <c r="T242" s="338">
        <f t="shared" si="3"/>
        <v>463</v>
      </c>
      <c r="U242" s="379">
        <f t="shared" si="4"/>
        <v>6.2885735396383863E-4</v>
      </c>
      <c r="V242" s="361"/>
      <c r="W242" s="409"/>
      <c r="X242" s="5"/>
    </row>
    <row r="243" spans="1:25" ht="15.75" x14ac:dyDescent="0.25">
      <c r="A243" s="285"/>
      <c r="B243" s="337" t="s">
        <v>156</v>
      </c>
      <c r="C243" s="378"/>
      <c r="D243" s="378"/>
      <c r="E243" s="378"/>
      <c r="F243" s="286"/>
      <c r="G243" s="379"/>
      <c r="H243" s="378"/>
      <c r="I243" s="378"/>
      <c r="J243" s="378"/>
      <c r="K243" s="378"/>
      <c r="L243" s="378"/>
      <c r="M243" s="378"/>
      <c r="N243" s="378"/>
      <c r="O243" s="378"/>
      <c r="P243" s="378"/>
      <c r="Q243" s="378"/>
      <c r="R243" s="337">
        <f t="shared" si="1"/>
        <v>0</v>
      </c>
      <c r="S243" s="379">
        <f t="shared" si="2"/>
        <v>0</v>
      </c>
      <c r="T243" s="338">
        <f t="shared" si="3"/>
        <v>0</v>
      </c>
      <c r="U243" s="379">
        <f t="shared" si="4"/>
        <v>0</v>
      </c>
      <c r="V243" s="361"/>
      <c r="W243" s="409"/>
      <c r="X243" s="5"/>
      <c r="Y243" s="109"/>
    </row>
    <row r="244" spans="1:25" ht="15.75" x14ac:dyDescent="0.25">
      <c r="A244" s="285"/>
      <c r="B244" s="337" t="s">
        <v>157</v>
      </c>
      <c r="C244" s="378"/>
      <c r="D244" s="378"/>
      <c r="E244" s="378"/>
      <c r="F244" s="286"/>
      <c r="G244" s="379"/>
      <c r="H244" s="378"/>
      <c r="I244" s="378"/>
      <c r="J244" s="378"/>
      <c r="K244" s="378"/>
      <c r="L244" s="378"/>
      <c r="M244" s="378"/>
      <c r="N244" s="378"/>
      <c r="O244" s="378"/>
      <c r="P244" s="378"/>
      <c r="Q244" s="378"/>
      <c r="R244" s="337">
        <f t="shared" si="1"/>
        <v>4</v>
      </c>
      <c r="S244" s="379">
        <f t="shared" si="2"/>
        <v>7.6089024158265174E-4</v>
      </c>
      <c r="T244" s="338">
        <f t="shared" si="3"/>
        <v>355</v>
      </c>
      <c r="U244" s="379">
        <f t="shared" si="4"/>
        <v>4.8216924547983309E-4</v>
      </c>
      <c r="V244" s="361"/>
      <c r="W244" s="409"/>
      <c r="X244" s="5"/>
    </row>
    <row r="245" spans="1:25" ht="15.75" x14ac:dyDescent="0.25">
      <c r="A245" s="285"/>
      <c r="B245" s="337" t="s">
        <v>158</v>
      </c>
      <c r="C245" s="378"/>
      <c r="D245" s="378"/>
      <c r="E245" s="378"/>
      <c r="F245" s="286"/>
      <c r="G245" s="379"/>
      <c r="H245" s="378"/>
      <c r="I245" s="378"/>
      <c r="J245" s="378"/>
      <c r="K245" s="378"/>
      <c r="L245" s="378"/>
      <c r="M245" s="378"/>
      <c r="N245" s="378"/>
      <c r="O245" s="378"/>
      <c r="P245" s="378"/>
      <c r="Q245" s="378"/>
      <c r="R245" s="337">
        <f t="shared" si="1"/>
        <v>0</v>
      </c>
      <c r="S245" s="379">
        <f t="shared" si="2"/>
        <v>0</v>
      </c>
      <c r="T245" s="338">
        <f t="shared" si="3"/>
        <v>0</v>
      </c>
      <c r="U245" s="379">
        <f t="shared" si="4"/>
        <v>0</v>
      </c>
      <c r="V245" s="361"/>
      <c r="W245" s="409"/>
      <c r="X245" s="5"/>
      <c r="Y245" s="109"/>
    </row>
    <row r="246" spans="1:25" ht="15.75" x14ac:dyDescent="0.25">
      <c r="A246" s="285"/>
      <c r="B246" s="337" t="s">
        <v>159</v>
      </c>
      <c r="C246" s="378"/>
      <c r="D246" s="378"/>
      <c r="E246" s="378"/>
      <c r="F246" s="286"/>
      <c r="G246" s="379"/>
      <c r="H246" s="378"/>
      <c r="I246" s="378"/>
      <c r="J246" s="378"/>
      <c r="K246" s="378"/>
      <c r="L246" s="378"/>
      <c r="M246" s="378"/>
      <c r="N246" s="378"/>
      <c r="O246" s="378"/>
      <c r="P246" s="378"/>
      <c r="Q246" s="378"/>
      <c r="R246" s="337">
        <f t="shared" si="1"/>
        <v>1</v>
      </c>
      <c r="S246" s="379">
        <f t="shared" si="2"/>
        <v>1.9022256039566293E-4</v>
      </c>
      <c r="T246" s="338">
        <f t="shared" si="3"/>
        <v>107</v>
      </c>
      <c r="U246" s="379">
        <f t="shared" si="4"/>
        <v>1.4532988525730182E-4</v>
      </c>
      <c r="V246" s="361"/>
      <c r="W246" s="409"/>
      <c r="X246" s="5"/>
    </row>
    <row r="247" spans="1:25" ht="15.75" x14ac:dyDescent="0.25">
      <c r="A247" s="285"/>
      <c r="B247" s="337" t="s">
        <v>160</v>
      </c>
      <c r="C247" s="378"/>
      <c r="D247" s="378"/>
      <c r="E247" s="378"/>
      <c r="F247" s="286"/>
      <c r="G247" s="379"/>
      <c r="H247" s="378"/>
      <c r="I247" s="378"/>
      <c r="J247" s="378"/>
      <c r="K247" s="378"/>
      <c r="L247" s="378"/>
      <c r="M247" s="378"/>
      <c r="N247" s="378"/>
      <c r="O247" s="378"/>
      <c r="P247" s="378"/>
      <c r="Q247" s="378"/>
      <c r="R247" s="386">
        <f t="shared" si="1"/>
        <v>5</v>
      </c>
      <c r="S247" s="379">
        <f t="shared" si="2"/>
        <v>9.5111280197831465E-4</v>
      </c>
      <c r="T247" s="383">
        <f t="shared" si="3"/>
        <v>888</v>
      </c>
      <c r="U247" s="387">
        <f t="shared" si="4"/>
        <v>1.2061022253129347E-3</v>
      </c>
      <c r="V247" s="361"/>
      <c r="W247" s="409"/>
      <c r="X247" s="5"/>
      <c r="Y247" s="109"/>
    </row>
    <row r="248" spans="1:25" ht="15.75" x14ac:dyDescent="0.25">
      <c r="A248" s="285"/>
      <c r="B248" s="337"/>
      <c r="C248" s="378"/>
      <c r="D248" s="378"/>
      <c r="E248" s="378"/>
      <c r="F248" s="286"/>
      <c r="G248" s="379"/>
      <c r="H248" s="378"/>
      <c r="I248" s="378"/>
      <c r="J248" s="378"/>
      <c r="K248" s="378"/>
      <c r="L248" s="378"/>
      <c r="M248" s="378"/>
      <c r="N248" s="378"/>
      <c r="O248" s="378"/>
      <c r="P248" s="378"/>
      <c r="Q248" s="378"/>
      <c r="R248" s="337"/>
      <c r="S248" s="379"/>
      <c r="T248" s="338"/>
      <c r="U248" s="379"/>
      <c r="V248" s="361"/>
      <c r="W248" s="409"/>
      <c r="X248" s="5"/>
    </row>
    <row r="249" spans="1:25" ht="15.75" x14ac:dyDescent="0.25">
      <c r="A249" s="285"/>
      <c r="B249" s="286"/>
      <c r="C249" s="286"/>
      <c r="D249" s="286"/>
      <c r="E249" s="286"/>
      <c r="F249" s="286"/>
      <c r="G249" s="286"/>
      <c r="H249" s="381"/>
      <c r="I249" s="381"/>
      <c r="J249" s="381"/>
      <c r="K249" s="381"/>
      <c r="L249" s="381"/>
      <c r="M249" s="381"/>
      <c r="N249" s="381"/>
      <c r="O249" s="381"/>
      <c r="P249" s="381"/>
      <c r="Q249" s="381"/>
      <c r="R249" s="337">
        <f>SUM(R240:R248)</f>
        <v>5257</v>
      </c>
      <c r="S249" s="379">
        <f>SUM(S240:S248)</f>
        <v>1</v>
      </c>
      <c r="T249" s="338">
        <f>SUM(T240:T248)</f>
        <v>736256</v>
      </c>
      <c r="U249" s="379">
        <f>SUM(U240:U248)</f>
        <v>0.99999999999999989</v>
      </c>
      <c r="V249" s="286"/>
      <c r="W249" s="289"/>
      <c r="X249" s="5"/>
    </row>
    <row r="250" spans="1:25" ht="15.75" x14ac:dyDescent="0.25">
      <c r="A250" s="181"/>
      <c r="B250" s="212"/>
      <c r="C250" s="212"/>
      <c r="D250" s="212"/>
      <c r="E250" s="212"/>
      <c r="F250" s="212"/>
      <c r="G250" s="212"/>
      <c r="H250" s="375"/>
      <c r="I250" s="375"/>
      <c r="J250" s="375"/>
      <c r="K250" s="375"/>
      <c r="L250" s="375"/>
      <c r="M250" s="375"/>
      <c r="N250" s="375"/>
      <c r="O250" s="375"/>
      <c r="P250" s="375"/>
      <c r="Q250" s="375"/>
      <c r="R250" s="335"/>
      <c r="S250" s="376"/>
      <c r="T250" s="377"/>
      <c r="U250" s="376"/>
      <c r="V250" s="212"/>
      <c r="W250" s="212"/>
      <c r="X250" s="5"/>
    </row>
    <row r="251" spans="1:25" ht="15.75" x14ac:dyDescent="0.25">
      <c r="A251" s="224"/>
      <c r="B251" s="399" t="s">
        <v>162</v>
      </c>
      <c r="C251" s="400"/>
      <c r="D251" s="400"/>
      <c r="E251" s="400"/>
      <c r="F251" s="407"/>
      <c r="G251" s="400"/>
      <c r="H251" s="400"/>
      <c r="I251" s="400"/>
      <c r="J251" s="400"/>
      <c r="K251" s="400"/>
      <c r="L251" s="400"/>
      <c r="M251" s="400"/>
      <c r="N251" s="400"/>
      <c r="O251" s="400"/>
      <c r="P251" s="400"/>
      <c r="Q251" s="400"/>
      <c r="R251" s="407" t="s">
        <v>102</v>
      </c>
      <c r="S251" s="400" t="s">
        <v>103</v>
      </c>
      <c r="T251" s="407" t="s">
        <v>109</v>
      </c>
      <c r="U251" s="400" t="s">
        <v>103</v>
      </c>
      <c r="V251" s="225"/>
      <c r="W251" s="399"/>
      <c r="X251" s="5"/>
    </row>
    <row r="252" spans="1:25" ht="15.75" x14ac:dyDescent="0.25">
      <c r="A252" s="193"/>
      <c r="B252" s="249" t="s">
        <v>88</v>
      </c>
      <c r="C252" s="265"/>
      <c r="D252" s="265"/>
      <c r="E252" s="265"/>
      <c r="F252" s="250"/>
      <c r="G252" s="265"/>
      <c r="H252" s="265"/>
      <c r="I252" s="265"/>
      <c r="J252" s="265"/>
      <c r="K252" s="265"/>
      <c r="L252" s="265"/>
      <c r="M252" s="265"/>
      <c r="N252" s="265"/>
      <c r="O252" s="265"/>
      <c r="P252" s="265"/>
      <c r="Q252" s="265"/>
      <c r="R252" s="249">
        <v>5153</v>
      </c>
      <c r="S252" s="252">
        <f t="shared" ref="S252:S259" si="5">R252/$R$261</f>
        <v>0.99786986831913249</v>
      </c>
      <c r="T252" s="253">
        <v>721209</v>
      </c>
      <c r="U252" s="252">
        <f t="shared" ref="U252:U259" si="6">T252/$T$261</f>
        <v>0.99726212649805235</v>
      </c>
      <c r="V252" s="266"/>
      <c r="W252" s="408"/>
      <c r="X252" s="5"/>
    </row>
    <row r="253" spans="1:25" ht="15.75" x14ac:dyDescent="0.25">
      <c r="A253" s="285"/>
      <c r="B253" s="337" t="s">
        <v>89</v>
      </c>
      <c r="C253" s="378"/>
      <c r="D253" s="378"/>
      <c r="E253" s="378"/>
      <c r="F253" s="286"/>
      <c r="G253" s="379"/>
      <c r="H253" s="378"/>
      <c r="I253" s="378"/>
      <c r="J253" s="378"/>
      <c r="K253" s="378"/>
      <c r="L253" s="378"/>
      <c r="M253" s="378"/>
      <c r="N253" s="378"/>
      <c r="O253" s="378"/>
      <c r="P253" s="378"/>
      <c r="Q253" s="378"/>
      <c r="R253" s="337">
        <v>8</v>
      </c>
      <c r="S253" s="379">
        <f t="shared" si="5"/>
        <v>1.5491866769945779E-3</v>
      </c>
      <c r="T253" s="338">
        <v>1354</v>
      </c>
      <c r="U253" s="379">
        <f t="shared" si="6"/>
        <v>1.8722629907257991E-3</v>
      </c>
      <c r="V253" s="361"/>
      <c r="W253" s="409"/>
      <c r="X253" s="5"/>
      <c r="Y253" s="109"/>
    </row>
    <row r="254" spans="1:25" ht="15.75" x14ac:dyDescent="0.25">
      <c r="A254" s="285"/>
      <c r="B254" s="337" t="s">
        <v>90</v>
      </c>
      <c r="C254" s="378"/>
      <c r="D254" s="378"/>
      <c r="E254" s="378"/>
      <c r="F254" s="286"/>
      <c r="G254" s="379"/>
      <c r="H254" s="378"/>
      <c r="I254" s="378"/>
      <c r="J254" s="378"/>
      <c r="K254" s="378"/>
      <c r="L254" s="378"/>
      <c r="M254" s="378"/>
      <c r="N254" s="378"/>
      <c r="O254" s="378"/>
      <c r="P254" s="378"/>
      <c r="Q254" s="378"/>
      <c r="R254" s="337">
        <v>1</v>
      </c>
      <c r="S254" s="379">
        <f t="shared" si="5"/>
        <v>1.9364833462432224E-4</v>
      </c>
      <c r="T254" s="338">
        <v>194</v>
      </c>
      <c r="U254" s="379">
        <f t="shared" si="6"/>
        <v>2.6825629261507017E-4</v>
      </c>
      <c r="V254" s="361"/>
      <c r="W254" s="409"/>
      <c r="X254" s="5"/>
    </row>
    <row r="255" spans="1:25" ht="15.75" x14ac:dyDescent="0.25">
      <c r="A255" s="285"/>
      <c r="B255" s="337" t="s">
        <v>156</v>
      </c>
      <c r="C255" s="378"/>
      <c r="D255" s="378"/>
      <c r="E255" s="378"/>
      <c r="F255" s="286"/>
      <c r="G255" s="379"/>
      <c r="H255" s="378"/>
      <c r="I255" s="378"/>
      <c r="J255" s="378"/>
      <c r="K255" s="378"/>
      <c r="L255" s="378"/>
      <c r="M255" s="378"/>
      <c r="N255" s="378"/>
      <c r="O255" s="378"/>
      <c r="P255" s="378"/>
      <c r="Q255" s="378"/>
      <c r="R255" s="337">
        <v>0</v>
      </c>
      <c r="S255" s="379">
        <f t="shared" si="5"/>
        <v>0</v>
      </c>
      <c r="T255" s="338">
        <v>0</v>
      </c>
      <c r="U255" s="379">
        <f t="shared" si="6"/>
        <v>0</v>
      </c>
      <c r="V255" s="361"/>
      <c r="W255" s="409"/>
      <c r="X255" s="5"/>
      <c r="Y255" s="109"/>
    </row>
    <row r="256" spans="1:25" ht="15.75" x14ac:dyDescent="0.25">
      <c r="A256" s="285"/>
      <c r="B256" s="337" t="s">
        <v>157</v>
      </c>
      <c r="C256" s="378"/>
      <c r="D256" s="378"/>
      <c r="E256" s="378"/>
      <c r="F256" s="286"/>
      <c r="G256" s="379"/>
      <c r="H256" s="378"/>
      <c r="I256" s="378"/>
      <c r="J256" s="378"/>
      <c r="K256" s="378"/>
      <c r="L256" s="378"/>
      <c r="M256" s="378"/>
      <c r="N256" s="378"/>
      <c r="O256" s="378"/>
      <c r="P256" s="378"/>
      <c r="Q256" s="378"/>
      <c r="R256" s="337">
        <v>1</v>
      </c>
      <c r="S256" s="379">
        <f t="shared" si="5"/>
        <v>1.9364833462432224E-4</v>
      </c>
      <c r="T256" s="338">
        <v>102</v>
      </c>
      <c r="U256" s="379">
        <f t="shared" si="6"/>
        <v>1.4104196828215032E-4</v>
      </c>
      <c r="V256" s="361"/>
      <c r="W256" s="409"/>
      <c r="X256" s="5"/>
    </row>
    <row r="257" spans="1:25" ht="15.75" x14ac:dyDescent="0.25">
      <c r="A257" s="285"/>
      <c r="B257" s="337" t="s">
        <v>158</v>
      </c>
      <c r="C257" s="378"/>
      <c r="D257" s="378"/>
      <c r="E257" s="378"/>
      <c r="F257" s="286"/>
      <c r="G257" s="379"/>
      <c r="H257" s="378"/>
      <c r="I257" s="378"/>
      <c r="J257" s="378"/>
      <c r="K257" s="378"/>
      <c r="L257" s="378"/>
      <c r="M257" s="378"/>
      <c r="N257" s="378"/>
      <c r="O257" s="378"/>
      <c r="P257" s="378"/>
      <c r="Q257" s="378"/>
      <c r="R257" s="337">
        <v>0</v>
      </c>
      <c r="S257" s="379">
        <f t="shared" si="5"/>
        <v>0</v>
      </c>
      <c r="T257" s="338">
        <v>0</v>
      </c>
      <c r="U257" s="379">
        <f t="shared" si="6"/>
        <v>0</v>
      </c>
      <c r="V257" s="361"/>
      <c r="W257" s="409"/>
      <c r="X257" s="5"/>
      <c r="Y257" s="109"/>
    </row>
    <row r="258" spans="1:25" ht="15.75" x14ac:dyDescent="0.25">
      <c r="A258" s="285"/>
      <c r="B258" s="337" t="s">
        <v>159</v>
      </c>
      <c r="C258" s="378"/>
      <c r="D258" s="378"/>
      <c r="E258" s="378"/>
      <c r="F258" s="286"/>
      <c r="G258" s="379"/>
      <c r="H258" s="378"/>
      <c r="I258" s="378"/>
      <c r="J258" s="378"/>
      <c r="K258" s="378"/>
      <c r="L258" s="378"/>
      <c r="M258" s="378"/>
      <c r="N258" s="378"/>
      <c r="O258" s="378"/>
      <c r="P258" s="378"/>
      <c r="Q258" s="378"/>
      <c r="R258" s="337">
        <v>0</v>
      </c>
      <c r="S258" s="379">
        <f t="shared" si="5"/>
        <v>0</v>
      </c>
      <c r="T258" s="338">
        <v>0</v>
      </c>
      <c r="U258" s="379">
        <f t="shared" si="6"/>
        <v>0</v>
      </c>
      <c r="V258" s="361"/>
      <c r="W258" s="409"/>
      <c r="X258" s="5"/>
    </row>
    <row r="259" spans="1:25" ht="15.75" x14ac:dyDescent="0.25">
      <c r="A259" s="285"/>
      <c r="B259" s="337" t="s">
        <v>160</v>
      </c>
      <c r="C259" s="378"/>
      <c r="D259" s="378"/>
      <c r="E259" s="378"/>
      <c r="F259" s="286"/>
      <c r="G259" s="379"/>
      <c r="H259" s="378"/>
      <c r="I259" s="378"/>
      <c r="J259" s="378"/>
      <c r="K259" s="378"/>
      <c r="L259" s="378"/>
      <c r="M259" s="378"/>
      <c r="N259" s="378"/>
      <c r="O259" s="378"/>
      <c r="P259" s="378"/>
      <c r="Q259" s="378"/>
      <c r="R259" s="337">
        <v>1</v>
      </c>
      <c r="S259" s="379">
        <f t="shared" si="5"/>
        <v>1.9364833462432224E-4</v>
      </c>
      <c r="T259" s="338">
        <v>330</v>
      </c>
      <c r="U259" s="379">
        <f t="shared" si="6"/>
        <v>4.5631225032460393E-4</v>
      </c>
      <c r="V259" s="361"/>
      <c r="W259" s="409"/>
      <c r="X259" s="5"/>
      <c r="Y259" s="109"/>
    </row>
    <row r="260" spans="1:25" ht="15.75" x14ac:dyDescent="0.25">
      <c r="A260" s="285"/>
      <c r="B260" s="337"/>
      <c r="C260" s="378"/>
      <c r="D260" s="378"/>
      <c r="E260" s="378"/>
      <c r="F260" s="286"/>
      <c r="G260" s="379"/>
      <c r="H260" s="378"/>
      <c r="I260" s="378"/>
      <c r="J260" s="378"/>
      <c r="K260" s="378"/>
      <c r="L260" s="378"/>
      <c r="M260" s="378"/>
      <c r="N260" s="378"/>
      <c r="O260" s="378"/>
      <c r="P260" s="378"/>
      <c r="Q260" s="378"/>
      <c r="R260" s="337"/>
      <c r="S260" s="379"/>
      <c r="T260" s="338"/>
      <c r="U260" s="379"/>
      <c r="V260" s="361"/>
      <c r="W260" s="409"/>
      <c r="X260" s="5"/>
    </row>
    <row r="261" spans="1:25" ht="15.75" x14ac:dyDescent="0.25">
      <c r="A261" s="285"/>
      <c r="B261" s="286"/>
      <c r="C261" s="286"/>
      <c r="D261" s="286"/>
      <c r="E261" s="286"/>
      <c r="F261" s="286"/>
      <c r="G261" s="286"/>
      <c r="H261" s="381"/>
      <c r="I261" s="381"/>
      <c r="J261" s="381"/>
      <c r="K261" s="381"/>
      <c r="L261" s="381"/>
      <c r="M261" s="381"/>
      <c r="N261" s="381"/>
      <c r="O261" s="381"/>
      <c r="P261" s="381"/>
      <c r="Q261" s="381"/>
      <c r="R261" s="337">
        <f>SUM(R252:R260)</f>
        <v>5164</v>
      </c>
      <c r="S261" s="379">
        <f>SUM(S252:S260)</f>
        <v>1</v>
      </c>
      <c r="T261" s="338">
        <f>SUM(T252:T260)</f>
        <v>723189</v>
      </c>
      <c r="U261" s="379">
        <f>SUM(U252:U260)</f>
        <v>1</v>
      </c>
      <c r="V261" s="286"/>
      <c r="W261" s="289"/>
      <c r="X261" s="5"/>
    </row>
    <row r="262" spans="1:25" ht="15.75" x14ac:dyDescent="0.25">
      <c r="A262" s="181"/>
      <c r="B262" s="212"/>
      <c r="C262" s="212"/>
      <c r="D262" s="212"/>
      <c r="E262" s="212"/>
      <c r="F262" s="212"/>
      <c r="G262" s="212"/>
      <c r="H262" s="375"/>
      <c r="I262" s="375"/>
      <c r="J262" s="375"/>
      <c r="K262" s="375"/>
      <c r="L262" s="375"/>
      <c r="M262" s="375"/>
      <c r="N262" s="375"/>
      <c r="O262" s="375"/>
      <c r="P262" s="375"/>
      <c r="Q262" s="375"/>
      <c r="R262" s="335"/>
      <c r="S262" s="376"/>
      <c r="T262" s="377"/>
      <c r="U262" s="376"/>
      <c r="V262" s="212"/>
      <c r="W262" s="212"/>
      <c r="X262" s="5"/>
    </row>
    <row r="263" spans="1:25" ht="15.75" x14ac:dyDescent="0.25">
      <c r="A263" s="244"/>
      <c r="B263" s="399" t="s">
        <v>236</v>
      </c>
      <c r="C263" s="400"/>
      <c r="D263" s="400"/>
      <c r="E263" s="400"/>
      <c r="F263" s="407"/>
      <c r="G263" s="400"/>
      <c r="H263" s="400"/>
      <c r="I263" s="400"/>
      <c r="J263" s="400"/>
      <c r="K263" s="400"/>
      <c r="L263" s="400"/>
      <c r="M263" s="400"/>
      <c r="N263" s="400"/>
      <c r="O263" s="400"/>
      <c r="P263" s="400"/>
      <c r="Q263" s="400"/>
      <c r="R263" s="407" t="s">
        <v>102</v>
      </c>
      <c r="S263" s="400" t="s">
        <v>103</v>
      </c>
      <c r="T263" s="407" t="s">
        <v>109</v>
      </c>
      <c r="U263" s="400" t="s">
        <v>103</v>
      </c>
      <c r="V263" s="245"/>
      <c r="W263" s="246"/>
      <c r="X263" s="5"/>
    </row>
    <row r="264" spans="1:25" ht="15.75" x14ac:dyDescent="0.25">
      <c r="A264" s="193"/>
      <c r="B264" s="249" t="s">
        <v>88</v>
      </c>
      <c r="C264" s="265"/>
      <c r="D264" s="265"/>
      <c r="E264" s="265"/>
      <c r="F264" s="250"/>
      <c r="G264" s="265"/>
      <c r="H264" s="265"/>
      <c r="I264" s="265"/>
      <c r="J264" s="265"/>
      <c r="K264" s="265"/>
      <c r="L264" s="265"/>
      <c r="M264" s="265"/>
      <c r="N264" s="265"/>
      <c r="O264" s="265"/>
      <c r="P264" s="265"/>
      <c r="Q264" s="265"/>
      <c r="R264" s="249">
        <v>82</v>
      </c>
      <c r="S264" s="252">
        <f t="shared" ref="S264:S270" si="7">R264/$R$273</f>
        <v>0.88172043010752688</v>
      </c>
      <c r="T264" s="253">
        <v>11539</v>
      </c>
      <c r="U264" s="252">
        <f t="shared" ref="U264:U271" si="8">T264/$T$273</f>
        <v>0.8830642075457259</v>
      </c>
      <c r="V264" s="250"/>
      <c r="W264" s="250"/>
      <c r="X264" s="5"/>
    </row>
    <row r="265" spans="1:25" ht="15.75" x14ac:dyDescent="0.25">
      <c r="A265" s="285"/>
      <c r="B265" s="337" t="s">
        <v>89</v>
      </c>
      <c r="C265" s="378"/>
      <c r="D265" s="378"/>
      <c r="E265" s="378"/>
      <c r="F265" s="286"/>
      <c r="G265" s="379"/>
      <c r="H265" s="378"/>
      <c r="I265" s="378"/>
      <c r="J265" s="378"/>
      <c r="K265" s="378"/>
      <c r="L265" s="378"/>
      <c r="M265" s="378"/>
      <c r="N265" s="378"/>
      <c r="O265" s="378"/>
      <c r="P265" s="378"/>
      <c r="Q265" s="378"/>
      <c r="R265" s="337">
        <v>1</v>
      </c>
      <c r="S265" s="379">
        <f t="shared" si="7"/>
        <v>1.0752688172043012E-2</v>
      </c>
      <c r="T265" s="338">
        <v>341</v>
      </c>
      <c r="U265" s="379">
        <f t="shared" si="8"/>
        <v>2.6096273054258819E-2</v>
      </c>
      <c r="V265" s="286"/>
      <c r="W265" s="289"/>
      <c r="X265" s="5"/>
    </row>
    <row r="266" spans="1:25" ht="15.75" x14ac:dyDescent="0.25">
      <c r="A266" s="285"/>
      <c r="B266" s="337" t="s">
        <v>90</v>
      </c>
      <c r="C266" s="378"/>
      <c r="D266" s="378"/>
      <c r="E266" s="378"/>
      <c r="F266" s="286"/>
      <c r="G266" s="379"/>
      <c r="H266" s="378"/>
      <c r="I266" s="378"/>
      <c r="J266" s="378"/>
      <c r="K266" s="378"/>
      <c r="L266" s="378"/>
      <c r="M266" s="378"/>
      <c r="N266" s="378"/>
      <c r="O266" s="378"/>
      <c r="P266" s="378"/>
      <c r="Q266" s="378"/>
      <c r="R266" s="337">
        <v>2</v>
      </c>
      <c r="S266" s="379">
        <f t="shared" si="7"/>
        <v>2.1505376344086023E-2</v>
      </c>
      <c r="T266" s="338">
        <v>269</v>
      </c>
      <c r="U266" s="379">
        <f t="shared" si="8"/>
        <v>2.0586209535471033E-2</v>
      </c>
      <c r="V266" s="286"/>
      <c r="W266" s="289"/>
      <c r="X266" s="5"/>
    </row>
    <row r="267" spans="1:25" ht="15.75" x14ac:dyDescent="0.25">
      <c r="A267" s="285"/>
      <c r="B267" s="337" t="s">
        <v>156</v>
      </c>
      <c r="C267" s="378"/>
      <c r="D267" s="378"/>
      <c r="E267" s="378"/>
      <c r="F267" s="286"/>
      <c r="G267" s="379"/>
      <c r="H267" s="378"/>
      <c r="I267" s="378"/>
      <c r="J267" s="378"/>
      <c r="K267" s="378"/>
      <c r="L267" s="378"/>
      <c r="M267" s="378"/>
      <c r="N267" s="378"/>
      <c r="O267" s="378"/>
      <c r="P267" s="378"/>
      <c r="Q267" s="378"/>
      <c r="R267" s="337">
        <v>0</v>
      </c>
      <c r="S267" s="379">
        <f t="shared" si="7"/>
        <v>0</v>
      </c>
      <c r="T267" s="338">
        <v>0</v>
      </c>
      <c r="U267" s="379">
        <f t="shared" si="8"/>
        <v>0</v>
      </c>
      <c r="V267" s="286"/>
      <c r="W267" s="289"/>
      <c r="X267" s="5"/>
    </row>
    <row r="268" spans="1:25" ht="15.75" x14ac:dyDescent="0.25">
      <c r="A268" s="285"/>
      <c r="B268" s="337" t="s">
        <v>157</v>
      </c>
      <c r="C268" s="378"/>
      <c r="D268" s="378"/>
      <c r="E268" s="378"/>
      <c r="F268" s="286"/>
      <c r="G268" s="379"/>
      <c r="H268" s="378"/>
      <c r="I268" s="378"/>
      <c r="J268" s="378"/>
      <c r="K268" s="378"/>
      <c r="L268" s="378"/>
      <c r="M268" s="378"/>
      <c r="N268" s="378"/>
      <c r="O268" s="378"/>
      <c r="P268" s="378"/>
      <c r="Q268" s="378"/>
      <c r="R268" s="337">
        <v>3</v>
      </c>
      <c r="S268" s="379">
        <f t="shared" si="7"/>
        <v>3.2258064516129031E-2</v>
      </c>
      <c r="T268" s="338">
        <v>253</v>
      </c>
      <c r="U268" s="379">
        <f t="shared" si="8"/>
        <v>1.9361750975740416E-2</v>
      </c>
      <c r="V268" s="286"/>
      <c r="W268" s="289"/>
      <c r="X268" s="5"/>
    </row>
    <row r="269" spans="1:25" ht="15.75" x14ac:dyDescent="0.25">
      <c r="A269" s="285"/>
      <c r="B269" s="337" t="s">
        <v>158</v>
      </c>
      <c r="C269" s="378"/>
      <c r="D269" s="378"/>
      <c r="E269" s="378"/>
      <c r="F269" s="286"/>
      <c r="G269" s="379"/>
      <c r="H269" s="378"/>
      <c r="I269" s="378"/>
      <c r="J269" s="378"/>
      <c r="K269" s="378"/>
      <c r="L269" s="378"/>
      <c r="M269" s="378"/>
      <c r="N269" s="378"/>
      <c r="O269" s="378"/>
      <c r="P269" s="378"/>
      <c r="Q269" s="378"/>
      <c r="R269" s="337">
        <v>0</v>
      </c>
      <c r="S269" s="379">
        <f t="shared" si="7"/>
        <v>0</v>
      </c>
      <c r="T269" s="338">
        <v>0</v>
      </c>
      <c r="U269" s="379">
        <f t="shared" si="8"/>
        <v>0</v>
      </c>
      <c r="V269" s="286"/>
      <c r="W269" s="289"/>
      <c r="X269" s="5"/>
    </row>
    <row r="270" spans="1:25" ht="15.75" x14ac:dyDescent="0.25">
      <c r="A270" s="285"/>
      <c r="B270" s="337" t="s">
        <v>159</v>
      </c>
      <c r="C270" s="378"/>
      <c r="D270" s="378"/>
      <c r="E270" s="378"/>
      <c r="F270" s="286"/>
      <c r="G270" s="379"/>
      <c r="H270" s="378"/>
      <c r="I270" s="378"/>
      <c r="J270" s="378"/>
      <c r="K270" s="378"/>
      <c r="L270" s="378"/>
      <c r="M270" s="378"/>
      <c r="N270" s="378"/>
      <c r="O270" s="378"/>
      <c r="P270" s="378"/>
      <c r="Q270" s="378"/>
      <c r="R270" s="337">
        <v>1</v>
      </c>
      <c r="S270" s="379">
        <f t="shared" si="7"/>
        <v>1.0752688172043012E-2</v>
      </c>
      <c r="T270" s="338">
        <v>107</v>
      </c>
      <c r="U270" s="379">
        <f t="shared" si="8"/>
        <v>8.1885666181985145E-3</v>
      </c>
      <c r="V270" s="286"/>
      <c r="W270" s="289"/>
      <c r="X270" s="5"/>
    </row>
    <row r="271" spans="1:25" ht="15.75" x14ac:dyDescent="0.25">
      <c r="A271" s="285"/>
      <c r="B271" s="337" t="s">
        <v>160</v>
      </c>
      <c r="C271" s="378"/>
      <c r="D271" s="378"/>
      <c r="E271" s="378"/>
      <c r="F271" s="286"/>
      <c r="G271" s="379"/>
      <c r="H271" s="378"/>
      <c r="I271" s="378"/>
      <c r="J271" s="378"/>
      <c r="K271" s="378"/>
      <c r="L271" s="378"/>
      <c r="M271" s="378"/>
      <c r="N271" s="378"/>
      <c r="O271" s="378"/>
      <c r="P271" s="378"/>
      <c r="Q271" s="378"/>
      <c r="R271" s="337">
        <v>4</v>
      </c>
      <c r="S271" s="379">
        <f>R271/$R$273</f>
        <v>4.3010752688172046E-2</v>
      </c>
      <c r="T271" s="338">
        <v>558</v>
      </c>
      <c r="U271" s="379">
        <f t="shared" si="8"/>
        <v>4.2702992270605339E-2</v>
      </c>
      <c r="V271" s="286"/>
      <c r="W271" s="289"/>
      <c r="X271" s="5"/>
    </row>
    <row r="272" spans="1:25" ht="15.75" x14ac:dyDescent="0.25">
      <c r="A272" s="285"/>
      <c r="B272" s="337"/>
      <c r="C272" s="378"/>
      <c r="D272" s="378"/>
      <c r="E272" s="378"/>
      <c r="F272" s="286"/>
      <c r="G272" s="379"/>
      <c r="H272" s="378"/>
      <c r="I272" s="378"/>
      <c r="J272" s="378"/>
      <c r="K272" s="378"/>
      <c r="L272" s="378"/>
      <c r="M272" s="378"/>
      <c r="N272" s="378"/>
      <c r="O272" s="378"/>
      <c r="P272" s="378"/>
      <c r="Q272" s="378"/>
      <c r="R272" s="337"/>
      <c r="S272" s="379"/>
      <c r="T272" s="338"/>
      <c r="U272" s="379"/>
      <c r="V272" s="286"/>
      <c r="W272" s="289"/>
      <c r="X272" s="5"/>
    </row>
    <row r="273" spans="1:24" ht="15.75" x14ac:dyDescent="0.25">
      <c r="A273" s="285"/>
      <c r="B273" s="286"/>
      <c r="C273" s="286"/>
      <c r="D273" s="286"/>
      <c r="E273" s="286"/>
      <c r="F273" s="286"/>
      <c r="G273" s="286"/>
      <c r="H273" s="381"/>
      <c r="I273" s="381"/>
      <c r="J273" s="381"/>
      <c r="K273" s="381"/>
      <c r="L273" s="381"/>
      <c r="M273" s="381"/>
      <c r="N273" s="381"/>
      <c r="O273" s="381"/>
      <c r="P273" s="381"/>
      <c r="Q273" s="381"/>
      <c r="R273" s="337">
        <f>SUM(R264:R272)</f>
        <v>93</v>
      </c>
      <c r="S273" s="379">
        <f>SUM(S264:S272)</f>
        <v>0.99999999999999989</v>
      </c>
      <c r="T273" s="338">
        <f>SUM(T264:T272)</f>
        <v>13067</v>
      </c>
      <c r="U273" s="379">
        <f>SUM(U264:U272)</f>
        <v>1</v>
      </c>
      <c r="V273" s="286"/>
      <c r="W273" s="289"/>
      <c r="X273" s="5"/>
    </row>
    <row r="274" spans="1:24" ht="15.75" x14ac:dyDescent="0.25">
      <c r="A274" s="181"/>
      <c r="B274" s="212"/>
      <c r="C274" s="212"/>
      <c r="D274" s="212"/>
      <c r="E274" s="212"/>
      <c r="F274" s="212"/>
      <c r="G274" s="212"/>
      <c r="H274" s="375"/>
      <c r="I274" s="375"/>
      <c r="J274" s="375"/>
      <c r="K274" s="375"/>
      <c r="L274" s="375"/>
      <c r="M274" s="375"/>
      <c r="N274" s="375"/>
      <c r="O274" s="375"/>
      <c r="P274" s="375"/>
      <c r="Q274" s="375"/>
      <c r="R274" s="335"/>
      <c r="S274" s="376"/>
      <c r="T274" s="377"/>
      <c r="U274" s="376"/>
      <c r="V274" s="212"/>
      <c r="W274" s="212"/>
      <c r="X274" s="5"/>
    </row>
    <row r="275" spans="1:24" ht="15.75" x14ac:dyDescent="0.25">
      <c r="A275" s="244"/>
      <c r="B275" s="399" t="s">
        <v>163</v>
      </c>
      <c r="C275" s="245"/>
      <c r="D275" s="245"/>
      <c r="E275" s="245"/>
      <c r="F275" s="245"/>
      <c r="G275" s="245"/>
      <c r="H275" s="247"/>
      <c r="I275" s="247"/>
      <c r="J275" s="247"/>
      <c r="K275" s="247"/>
      <c r="L275" s="247"/>
      <c r="M275" s="247"/>
      <c r="N275" s="247"/>
      <c r="O275" s="247"/>
      <c r="P275" s="247"/>
      <c r="Q275" s="247"/>
      <c r="R275" s="407" t="s">
        <v>102</v>
      </c>
      <c r="S275" s="400" t="s">
        <v>103</v>
      </c>
      <c r="T275" s="407" t="s">
        <v>109</v>
      </c>
      <c r="U275" s="400" t="s">
        <v>103</v>
      </c>
      <c r="V275" s="245"/>
      <c r="W275" s="246"/>
      <c r="X275" s="5"/>
    </row>
    <row r="276" spans="1:24" ht="15.75" x14ac:dyDescent="0.25">
      <c r="A276" s="248"/>
      <c r="B276" s="249" t="s">
        <v>88</v>
      </c>
      <c r="C276" s="250"/>
      <c r="D276" s="250"/>
      <c r="E276" s="250"/>
      <c r="F276" s="250"/>
      <c r="G276" s="250"/>
      <c r="H276" s="251"/>
      <c r="I276" s="251"/>
      <c r="J276" s="251"/>
      <c r="K276" s="251"/>
      <c r="L276" s="251"/>
      <c r="M276" s="251"/>
      <c r="N276" s="251"/>
      <c r="O276" s="251"/>
      <c r="P276" s="251"/>
      <c r="Q276" s="251"/>
      <c r="R276" s="249">
        <v>0</v>
      </c>
      <c r="S276" s="252">
        <v>0</v>
      </c>
      <c r="T276" s="253">
        <v>0</v>
      </c>
      <c r="U276" s="252">
        <v>0</v>
      </c>
      <c r="V276" s="250"/>
      <c r="W276" s="250"/>
      <c r="X276" s="5"/>
    </row>
    <row r="277" spans="1:24" ht="15.75" x14ac:dyDescent="0.25">
      <c r="A277" s="295"/>
      <c r="B277" s="337" t="s">
        <v>89</v>
      </c>
      <c r="C277" s="286"/>
      <c r="D277" s="286"/>
      <c r="E277" s="286"/>
      <c r="F277" s="286"/>
      <c r="G277" s="286"/>
      <c r="H277" s="381"/>
      <c r="I277" s="381"/>
      <c r="J277" s="381"/>
      <c r="K277" s="381"/>
      <c r="L277" s="381"/>
      <c r="M277" s="381"/>
      <c r="N277" s="381"/>
      <c r="O277" s="381"/>
      <c r="P277" s="381"/>
      <c r="Q277" s="381"/>
      <c r="R277" s="337">
        <v>0</v>
      </c>
      <c r="S277" s="379">
        <v>0</v>
      </c>
      <c r="T277" s="338">
        <v>0</v>
      </c>
      <c r="U277" s="379">
        <v>0</v>
      </c>
      <c r="V277" s="286"/>
      <c r="W277" s="289"/>
      <c r="X277" s="5"/>
    </row>
    <row r="278" spans="1:24" ht="15.75" x14ac:dyDescent="0.25">
      <c r="A278" s="295"/>
      <c r="B278" s="337" t="s">
        <v>90</v>
      </c>
      <c r="C278" s="286"/>
      <c r="D278" s="286"/>
      <c r="E278" s="286"/>
      <c r="F278" s="286"/>
      <c r="G278" s="286"/>
      <c r="H278" s="381"/>
      <c r="I278" s="381"/>
      <c r="J278" s="381"/>
      <c r="K278" s="381"/>
      <c r="L278" s="381"/>
      <c r="M278" s="381"/>
      <c r="N278" s="381"/>
      <c r="O278" s="381"/>
      <c r="P278" s="381"/>
      <c r="Q278" s="381"/>
      <c r="R278" s="337">
        <v>0</v>
      </c>
      <c r="S278" s="379">
        <v>0</v>
      </c>
      <c r="T278" s="338">
        <v>0</v>
      </c>
      <c r="U278" s="379">
        <v>0</v>
      </c>
      <c r="V278" s="286"/>
      <c r="W278" s="289"/>
      <c r="X278" s="5"/>
    </row>
    <row r="279" spans="1:24" ht="15.75" x14ac:dyDescent="0.25">
      <c r="A279" s="295"/>
      <c r="B279" s="337" t="s">
        <v>156</v>
      </c>
      <c r="C279" s="286"/>
      <c r="D279" s="286"/>
      <c r="E279" s="286"/>
      <c r="F279" s="286"/>
      <c r="G279" s="286"/>
      <c r="H279" s="381"/>
      <c r="I279" s="381"/>
      <c r="J279" s="381"/>
      <c r="K279" s="381"/>
      <c r="L279" s="381"/>
      <c r="M279" s="381"/>
      <c r="N279" s="381"/>
      <c r="O279" s="381"/>
      <c r="P279" s="381"/>
      <c r="Q279" s="381"/>
      <c r="R279" s="337">
        <v>0</v>
      </c>
      <c r="S279" s="379">
        <v>0</v>
      </c>
      <c r="T279" s="338">
        <v>0</v>
      </c>
      <c r="U279" s="379">
        <v>0</v>
      </c>
      <c r="V279" s="286"/>
      <c r="W279" s="289"/>
      <c r="X279" s="5"/>
    </row>
    <row r="280" spans="1:24" ht="15.75" x14ac:dyDescent="0.25">
      <c r="A280" s="295"/>
      <c r="B280" s="337" t="s">
        <v>157</v>
      </c>
      <c r="C280" s="286"/>
      <c r="D280" s="286"/>
      <c r="E280" s="286"/>
      <c r="F280" s="286"/>
      <c r="G280" s="286"/>
      <c r="H280" s="381"/>
      <c r="I280" s="381"/>
      <c r="J280" s="381"/>
      <c r="K280" s="381"/>
      <c r="L280" s="381"/>
      <c r="M280" s="381"/>
      <c r="N280" s="381"/>
      <c r="O280" s="381"/>
      <c r="P280" s="381"/>
      <c r="Q280" s="381"/>
      <c r="R280" s="337">
        <v>0</v>
      </c>
      <c r="S280" s="379">
        <v>0</v>
      </c>
      <c r="T280" s="338">
        <v>0</v>
      </c>
      <c r="U280" s="379">
        <v>0</v>
      </c>
      <c r="V280" s="286"/>
      <c r="W280" s="289"/>
      <c r="X280" s="5"/>
    </row>
    <row r="281" spans="1:24" ht="15.75" x14ac:dyDescent="0.25">
      <c r="A281" s="295"/>
      <c r="B281" s="337" t="s">
        <v>158</v>
      </c>
      <c r="C281" s="286"/>
      <c r="D281" s="286"/>
      <c r="E281" s="286"/>
      <c r="F281" s="286"/>
      <c r="G281" s="286"/>
      <c r="H281" s="381"/>
      <c r="I281" s="381"/>
      <c r="J281" s="381"/>
      <c r="K281" s="381"/>
      <c r="L281" s="381"/>
      <c r="M281" s="381"/>
      <c r="N281" s="381"/>
      <c r="O281" s="381"/>
      <c r="P281" s="381"/>
      <c r="Q281" s="381"/>
      <c r="R281" s="337">
        <v>0</v>
      </c>
      <c r="S281" s="379">
        <v>0</v>
      </c>
      <c r="T281" s="338">
        <v>0</v>
      </c>
      <c r="U281" s="379">
        <v>0</v>
      </c>
      <c r="V281" s="286"/>
      <c r="W281" s="289"/>
      <c r="X281" s="5"/>
    </row>
    <row r="282" spans="1:24" ht="15.75" x14ac:dyDescent="0.25">
      <c r="A282" s="295"/>
      <c r="B282" s="337" t="s">
        <v>159</v>
      </c>
      <c r="C282" s="286"/>
      <c r="D282" s="286"/>
      <c r="E282" s="286"/>
      <c r="F282" s="286"/>
      <c r="G282" s="286"/>
      <c r="H282" s="381"/>
      <c r="I282" s="381"/>
      <c r="J282" s="381"/>
      <c r="K282" s="381"/>
      <c r="L282" s="381"/>
      <c r="M282" s="381"/>
      <c r="N282" s="381"/>
      <c r="O282" s="381"/>
      <c r="P282" s="381"/>
      <c r="Q282" s="381"/>
      <c r="R282" s="337">
        <v>0</v>
      </c>
      <c r="S282" s="379">
        <v>0</v>
      </c>
      <c r="T282" s="338">
        <v>0</v>
      </c>
      <c r="U282" s="379">
        <v>0</v>
      </c>
      <c r="V282" s="286"/>
      <c r="W282" s="289"/>
      <c r="X282" s="5"/>
    </row>
    <row r="283" spans="1:24" ht="15.75" x14ac:dyDescent="0.25">
      <c r="A283" s="295"/>
      <c r="B283" s="337" t="s">
        <v>160</v>
      </c>
      <c r="C283" s="286"/>
      <c r="D283" s="286"/>
      <c r="E283" s="286"/>
      <c r="F283" s="286"/>
      <c r="G283" s="286"/>
      <c r="H283" s="381"/>
      <c r="I283" s="381"/>
      <c r="J283" s="381"/>
      <c r="K283" s="381"/>
      <c r="L283" s="381"/>
      <c r="M283" s="381"/>
      <c r="N283" s="381"/>
      <c r="O283" s="381"/>
      <c r="P283" s="381"/>
      <c r="Q283" s="381"/>
      <c r="R283" s="337">
        <v>0</v>
      </c>
      <c r="S283" s="379">
        <v>0</v>
      </c>
      <c r="T283" s="338">
        <v>0</v>
      </c>
      <c r="U283" s="379">
        <v>0</v>
      </c>
      <c r="V283" s="286"/>
      <c r="W283" s="289"/>
      <c r="X283" s="5"/>
    </row>
    <row r="284" spans="1:24" ht="15.75" x14ac:dyDescent="0.25">
      <c r="A284" s="295"/>
      <c r="B284" s="337"/>
      <c r="C284" s="286"/>
      <c r="D284" s="286"/>
      <c r="E284" s="286"/>
      <c r="F284" s="286"/>
      <c r="G284" s="286"/>
      <c r="H284" s="381"/>
      <c r="I284" s="381"/>
      <c r="J284" s="381"/>
      <c r="K284" s="381"/>
      <c r="L284" s="381"/>
      <c r="M284" s="381"/>
      <c r="N284" s="381"/>
      <c r="O284" s="381"/>
      <c r="P284" s="381"/>
      <c r="Q284" s="381"/>
      <c r="R284" s="337"/>
      <c r="S284" s="379"/>
      <c r="T284" s="338"/>
      <c r="U284" s="379"/>
      <c r="V284" s="286"/>
      <c r="W284" s="289"/>
      <c r="X284" s="5"/>
    </row>
    <row r="285" spans="1:24" ht="15.75" x14ac:dyDescent="0.25">
      <c r="A285" s="295"/>
      <c r="B285" s="286" t="s">
        <v>114</v>
      </c>
      <c r="C285" s="286"/>
      <c r="D285" s="286"/>
      <c r="E285" s="286"/>
      <c r="F285" s="286"/>
      <c r="G285" s="286"/>
      <c r="H285" s="381"/>
      <c r="I285" s="381"/>
      <c r="J285" s="381"/>
      <c r="K285" s="381"/>
      <c r="L285" s="381"/>
      <c r="M285" s="381"/>
      <c r="N285" s="381"/>
      <c r="O285" s="381"/>
      <c r="P285" s="381"/>
      <c r="Q285" s="381"/>
      <c r="R285" s="337">
        <f>SUM(R276:R283)</f>
        <v>0</v>
      </c>
      <c r="S285" s="379">
        <f>SUM(S276:S283)</f>
        <v>0</v>
      </c>
      <c r="T285" s="338">
        <f>SUM(T276:T283)</f>
        <v>0</v>
      </c>
      <c r="U285" s="379">
        <f>SUM(U276:U283)</f>
        <v>0</v>
      </c>
      <c r="V285" s="286"/>
      <c r="W285" s="289"/>
      <c r="X285" s="5"/>
    </row>
    <row r="286" spans="1:24" ht="15.75" x14ac:dyDescent="0.25">
      <c r="A286" s="295"/>
      <c r="B286" s="286"/>
      <c r="C286" s="286"/>
      <c r="D286" s="286"/>
      <c r="E286" s="286"/>
      <c r="F286" s="286"/>
      <c r="G286" s="286"/>
      <c r="H286" s="381"/>
      <c r="I286" s="381"/>
      <c r="J286" s="381"/>
      <c r="K286" s="381"/>
      <c r="L286" s="381"/>
      <c r="M286" s="381"/>
      <c r="N286" s="381"/>
      <c r="O286" s="381"/>
      <c r="P286" s="381"/>
      <c r="Q286" s="381"/>
      <c r="R286" s="337"/>
      <c r="S286" s="379"/>
      <c r="T286" s="338"/>
      <c r="U286" s="379"/>
      <c r="V286" s="286"/>
      <c r="W286" s="289"/>
      <c r="X286" s="5"/>
    </row>
    <row r="287" spans="1:24" ht="15.75" x14ac:dyDescent="0.25">
      <c r="A287" s="295"/>
      <c r="B287" s="297" t="s">
        <v>164</v>
      </c>
      <c r="C287" s="286"/>
      <c r="D287" s="286"/>
      <c r="E287" s="286"/>
      <c r="F287" s="286"/>
      <c r="G287" s="286"/>
      <c r="H287" s="381"/>
      <c r="I287" s="381"/>
      <c r="J287" s="381"/>
      <c r="K287" s="381"/>
      <c r="L287" s="381"/>
      <c r="M287" s="381"/>
      <c r="N287" s="381"/>
      <c r="O287" s="381"/>
      <c r="P287" s="381"/>
      <c r="Q287" s="381"/>
      <c r="R287" s="384">
        <f>R285+R273+R261</f>
        <v>5257</v>
      </c>
      <c r="S287" s="379"/>
      <c r="T287" s="410">
        <f>+T285+T273+T261</f>
        <v>736256</v>
      </c>
      <c r="U287" s="379"/>
      <c r="V287" s="286"/>
      <c r="W287" s="289"/>
      <c r="X287" s="5"/>
    </row>
    <row r="288" spans="1:24" ht="15.75" x14ac:dyDescent="0.25">
      <c r="A288" s="254"/>
      <c r="B288" s="346"/>
      <c r="C288" s="346"/>
      <c r="D288" s="346"/>
      <c r="E288" s="346"/>
      <c r="F288" s="346"/>
      <c r="G288" s="346"/>
      <c r="H288" s="382"/>
      <c r="I288" s="382"/>
      <c r="J288" s="382"/>
      <c r="K288" s="382"/>
      <c r="L288" s="382"/>
      <c r="M288" s="382"/>
      <c r="N288" s="382"/>
      <c r="O288" s="382"/>
      <c r="P288" s="382"/>
      <c r="Q288" s="382"/>
      <c r="R288" s="382"/>
      <c r="S288" s="382"/>
      <c r="T288" s="383"/>
      <c r="U288" s="382"/>
      <c r="V288" s="346"/>
      <c r="W288" s="346"/>
      <c r="X288" s="5"/>
    </row>
    <row r="289" spans="1:24" ht="15.75" x14ac:dyDescent="0.25">
      <c r="A289" s="254"/>
      <c r="B289" s="255"/>
      <c r="C289" s="255"/>
      <c r="D289" s="255"/>
      <c r="E289" s="255"/>
      <c r="F289" s="255"/>
      <c r="G289" s="255"/>
      <c r="H289" s="256"/>
      <c r="I289" s="256"/>
      <c r="J289" s="256"/>
      <c r="K289" s="256"/>
      <c r="L289" s="256"/>
      <c r="M289" s="256"/>
      <c r="N289" s="256"/>
      <c r="O289" s="256"/>
      <c r="P289" s="256"/>
      <c r="Q289" s="256"/>
      <c r="R289" s="256"/>
      <c r="S289" s="256"/>
      <c r="T289" s="257"/>
      <c r="U289" s="256"/>
      <c r="V289" s="255"/>
      <c r="W289" s="255"/>
      <c r="X289" s="5"/>
    </row>
    <row r="290" spans="1:24" ht="15.75" x14ac:dyDescent="0.25">
      <c r="A290" s="258"/>
      <c r="B290" s="388" t="s">
        <v>91</v>
      </c>
      <c r="C290" s="255"/>
      <c r="D290" s="255"/>
      <c r="E290" s="255"/>
      <c r="F290" s="391" t="s">
        <v>97</v>
      </c>
      <c r="G290" s="255"/>
      <c r="H290" s="388" t="s">
        <v>99</v>
      </c>
      <c r="I290" s="388"/>
      <c r="J290" s="388"/>
      <c r="K290" s="261"/>
      <c r="L290" s="261"/>
      <c r="M290" s="261"/>
      <c r="N290" s="261"/>
      <c r="O290" s="261"/>
      <c r="P290" s="261"/>
      <c r="Q290" s="261"/>
      <c r="R290" s="261"/>
      <c r="S290" s="261"/>
      <c r="T290" s="261"/>
      <c r="U290" s="261"/>
      <c r="V290" s="261"/>
      <c r="W290" s="261"/>
      <c r="X290" s="5"/>
    </row>
    <row r="291" spans="1:24" ht="15.75" x14ac:dyDescent="0.25">
      <c r="A291" s="258"/>
      <c r="B291" s="261"/>
      <c r="C291" s="255"/>
      <c r="D291" s="255"/>
      <c r="E291" s="255"/>
      <c r="F291" s="255"/>
      <c r="G291" s="255"/>
      <c r="H291" s="255"/>
      <c r="I291" s="255"/>
      <c r="J291" s="255"/>
      <c r="K291" s="261"/>
      <c r="L291" s="261"/>
      <c r="M291" s="261"/>
      <c r="N291" s="261"/>
      <c r="O291" s="261"/>
      <c r="P291" s="261"/>
      <c r="Q291" s="261"/>
      <c r="R291" s="261"/>
      <c r="S291" s="261"/>
      <c r="T291" s="261"/>
      <c r="U291" s="261"/>
      <c r="V291" s="261"/>
      <c r="W291" s="261"/>
      <c r="X291" s="5"/>
    </row>
    <row r="292" spans="1:24" ht="15.75" x14ac:dyDescent="0.25">
      <c r="A292" s="258"/>
      <c r="B292" s="388" t="s">
        <v>318</v>
      </c>
      <c r="C292" s="388"/>
      <c r="D292" s="388"/>
      <c r="E292" s="388"/>
      <c r="F292" s="411" t="s">
        <v>148</v>
      </c>
      <c r="G292" s="388"/>
      <c r="H292" s="388" t="s">
        <v>152</v>
      </c>
      <c r="I292" s="388"/>
      <c r="J292" s="388"/>
      <c r="K292" s="261"/>
      <c r="L292" s="261"/>
      <c r="M292" s="261"/>
      <c r="N292" s="261"/>
      <c r="O292" s="261"/>
      <c r="P292" s="261"/>
      <c r="Q292" s="261"/>
      <c r="R292" s="261"/>
      <c r="S292" s="261"/>
      <c r="T292" s="261"/>
      <c r="U292" s="261"/>
      <c r="V292" s="261"/>
      <c r="W292" s="261"/>
      <c r="X292" s="5"/>
    </row>
    <row r="293" spans="1:24" ht="15.75" x14ac:dyDescent="0.25">
      <c r="A293" s="258"/>
      <c r="B293" s="388" t="s">
        <v>319</v>
      </c>
      <c r="C293" s="388"/>
      <c r="D293" s="388"/>
      <c r="E293" s="388"/>
      <c r="F293" s="411" t="s">
        <v>266</v>
      </c>
      <c r="G293" s="388"/>
      <c r="H293" s="388" t="s">
        <v>267</v>
      </c>
      <c r="I293" s="388"/>
      <c r="J293" s="388"/>
      <c r="K293" s="261"/>
      <c r="L293" s="261"/>
      <c r="M293" s="261"/>
      <c r="N293" s="261"/>
      <c r="O293" s="261"/>
      <c r="P293" s="261"/>
      <c r="Q293" s="261"/>
      <c r="R293" s="261"/>
      <c r="S293" s="261"/>
      <c r="T293" s="261"/>
      <c r="U293" s="261"/>
      <c r="V293" s="261"/>
      <c r="W293" s="261"/>
      <c r="X293" s="5"/>
    </row>
    <row r="294" spans="1:24" ht="15.75" x14ac:dyDescent="0.25">
      <c r="A294" s="258"/>
      <c r="B294" s="388" t="s">
        <v>320</v>
      </c>
      <c r="C294" s="388"/>
      <c r="D294" s="388"/>
      <c r="E294" s="388"/>
      <c r="F294" s="411" t="s">
        <v>147</v>
      </c>
      <c r="G294" s="388"/>
      <c r="H294" s="388" t="s">
        <v>153</v>
      </c>
      <c r="I294" s="388"/>
      <c r="J294" s="388"/>
      <c r="K294" s="261"/>
      <c r="L294" s="261"/>
      <c r="M294" s="261"/>
      <c r="N294" s="261"/>
      <c r="O294" s="261"/>
      <c r="P294" s="261"/>
      <c r="Q294" s="261"/>
      <c r="R294" s="261"/>
      <c r="S294" s="261"/>
      <c r="T294" s="261"/>
      <c r="U294" s="261"/>
      <c r="V294" s="261"/>
      <c r="W294" s="261"/>
      <c r="X294" s="5"/>
    </row>
    <row r="295" spans="1:24" ht="15.75" x14ac:dyDescent="0.25">
      <c r="A295" s="258"/>
      <c r="B295" s="388"/>
      <c r="C295" s="388"/>
      <c r="D295" s="388"/>
      <c r="E295" s="388"/>
      <c r="F295" s="388"/>
      <c r="G295" s="263"/>
      <c r="H295" s="261"/>
      <c r="I295" s="261"/>
      <c r="J295" s="261"/>
      <c r="K295" s="261"/>
      <c r="L295" s="261"/>
      <c r="M295" s="261"/>
      <c r="N295" s="261"/>
      <c r="O295" s="261"/>
      <c r="P295" s="261"/>
      <c r="Q295" s="261"/>
      <c r="R295" s="261"/>
      <c r="S295" s="261"/>
      <c r="T295" s="261"/>
      <c r="U295" s="261"/>
      <c r="V295" s="261"/>
      <c r="W295" s="261"/>
      <c r="X295" s="5"/>
    </row>
    <row r="296" spans="1:24" ht="15.75" x14ac:dyDescent="0.25">
      <c r="A296" s="258"/>
      <c r="B296" s="388"/>
      <c r="C296" s="388"/>
      <c r="D296" s="388"/>
      <c r="E296" s="388"/>
      <c r="F296" s="388"/>
      <c r="G296" s="263"/>
      <c r="H296" s="261"/>
      <c r="I296" s="261"/>
      <c r="J296" s="261"/>
      <c r="K296" s="261"/>
      <c r="L296" s="261"/>
      <c r="M296" s="261"/>
      <c r="N296" s="261"/>
      <c r="O296" s="261"/>
      <c r="P296" s="261"/>
      <c r="Q296" s="261"/>
      <c r="R296" s="261"/>
      <c r="S296" s="261"/>
      <c r="T296" s="261"/>
      <c r="U296" s="261"/>
      <c r="V296" s="261"/>
      <c r="W296" s="261"/>
      <c r="X296" s="5"/>
    </row>
    <row r="297" spans="1:24" ht="19.5" thickBot="1" x14ac:dyDescent="0.35">
      <c r="A297" s="258"/>
      <c r="B297" s="264" t="str">
        <f>B201</f>
        <v>PM15 INVESTOR REPORT QUARTER ENDING AUGUST 2015</v>
      </c>
      <c r="C297" s="388"/>
      <c r="D297" s="388"/>
      <c r="E297" s="388"/>
      <c r="F297" s="388"/>
      <c r="G297" s="263"/>
      <c r="H297" s="261"/>
      <c r="I297" s="261"/>
      <c r="J297" s="261"/>
      <c r="K297" s="261"/>
      <c r="L297" s="261"/>
      <c r="M297" s="261"/>
      <c r="N297" s="261"/>
      <c r="O297" s="261"/>
      <c r="P297" s="261"/>
      <c r="Q297" s="261"/>
      <c r="R297" s="261"/>
      <c r="S297" s="261"/>
      <c r="T297" s="261"/>
      <c r="U297" s="261"/>
      <c r="V297" s="261"/>
      <c r="W297" s="261"/>
      <c r="X297" s="5"/>
    </row>
    <row r="298" spans="1:24" x14ac:dyDescent="0.2">
      <c r="A298" s="100"/>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00"/>
    </row>
  </sheetData>
  <hyperlinks>
    <hyperlink ref="P237" r:id="rId1" xr:uid="{00000000-0004-0000-1F00-000000000000}"/>
    <hyperlink ref="I9" r:id="rId2" xr:uid="{00000000-0004-0000-1F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5" max="14" man="1"/>
    <brk id="201" max="14" man="1"/>
  </rowBreaks>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4"/>
  </sheetPr>
  <dimension ref="A1:IV298"/>
  <sheetViews>
    <sheetView showGridLines="0" showOutlineSymbols="0" zoomScale="70" zoomScaleNormal="70" workbookViewId="0"/>
  </sheetViews>
  <sheetFormatPr defaultColWidth="9.6640625" defaultRowHeight="15" x14ac:dyDescent="0.2"/>
  <cols>
    <col min="1" max="1" width="4" style="1" customWidth="1"/>
    <col min="2" max="2" width="71.21875" style="1" customWidth="1"/>
    <col min="3" max="3" width="2.21875" style="1" customWidth="1"/>
    <col min="4" max="4" width="19.33203125" style="1" customWidth="1"/>
    <col min="5" max="5" width="2.21875" style="1" customWidth="1"/>
    <col min="6" max="6" width="25.109375" style="1" customWidth="1"/>
    <col min="7" max="7" width="2.21875" style="1" customWidth="1"/>
    <col min="8" max="8" width="16.21875" style="1" customWidth="1"/>
    <col min="9" max="9" width="2.88671875" style="1" customWidth="1"/>
    <col min="10" max="10" width="16.21875" style="1" customWidth="1"/>
    <col min="11" max="11" width="2.21875" style="1" customWidth="1"/>
    <col min="12" max="12" width="17.88671875" style="1" customWidth="1"/>
    <col min="13" max="13" width="2.33203125" style="1" customWidth="1"/>
    <col min="14" max="14" width="14.88671875" style="1" customWidth="1"/>
    <col min="15" max="15" width="2.33203125" style="1" customWidth="1"/>
    <col min="16" max="16" width="15.5546875" style="1" customWidth="1"/>
    <col min="17" max="17" width="2.21875" style="1" customWidth="1"/>
    <col min="18" max="18" width="15.5546875" style="1" customWidth="1"/>
    <col min="19" max="20" width="12.6640625" style="1" customWidth="1"/>
    <col min="21" max="21" width="7.77734375" style="1" customWidth="1"/>
    <col min="22" max="22" width="14.6640625" style="1" customWidth="1"/>
    <col min="23" max="23" width="11.77734375" style="1" customWidth="1"/>
    <col min="24" max="16384" width="9.6640625" style="1"/>
  </cols>
  <sheetData>
    <row r="1" spans="1:24" ht="20.25" x14ac:dyDescent="0.3">
      <c r="A1" s="179"/>
      <c r="B1" s="274" t="s">
        <v>237</v>
      </c>
      <c r="C1" s="180"/>
      <c r="D1" s="180"/>
      <c r="E1" s="180"/>
      <c r="F1" s="180"/>
      <c r="G1" s="180"/>
      <c r="H1" s="180"/>
      <c r="I1" s="180"/>
      <c r="J1" s="180"/>
      <c r="K1" s="180"/>
      <c r="L1" s="180"/>
      <c r="M1" s="180"/>
      <c r="N1" s="180"/>
      <c r="O1" s="180"/>
      <c r="P1" s="180"/>
      <c r="Q1" s="180"/>
      <c r="R1" s="180"/>
      <c r="S1" s="180"/>
      <c r="T1" s="180"/>
      <c r="U1" s="180"/>
      <c r="V1" s="180"/>
      <c r="W1" s="180"/>
      <c r="X1" s="5"/>
    </row>
    <row r="2" spans="1:24" ht="15.75" x14ac:dyDescent="0.25">
      <c r="A2" s="181"/>
      <c r="B2" s="182"/>
      <c r="C2" s="183"/>
      <c r="D2" s="183"/>
      <c r="E2" s="183"/>
      <c r="F2" s="183"/>
      <c r="G2" s="183"/>
      <c r="H2" s="183"/>
      <c r="I2" s="183"/>
      <c r="J2" s="183"/>
      <c r="K2" s="183"/>
      <c r="L2" s="183"/>
      <c r="M2" s="183"/>
      <c r="N2" s="183"/>
      <c r="O2" s="183"/>
      <c r="P2" s="183"/>
      <c r="Q2" s="183"/>
      <c r="R2" s="183"/>
      <c r="S2" s="183"/>
      <c r="T2" s="183"/>
      <c r="U2" s="183"/>
      <c r="V2" s="183"/>
      <c r="W2" s="183"/>
      <c r="X2" s="5"/>
    </row>
    <row r="3" spans="1:24" ht="15.75" x14ac:dyDescent="0.25">
      <c r="A3" s="184"/>
      <c r="B3" s="185" t="s">
        <v>238</v>
      </c>
      <c r="C3" s="183"/>
      <c r="D3" s="183"/>
      <c r="E3" s="183"/>
      <c r="F3" s="183"/>
      <c r="G3" s="183"/>
      <c r="H3" s="183"/>
      <c r="I3" s="183"/>
      <c r="J3" s="183"/>
      <c r="K3" s="183"/>
      <c r="L3" s="183"/>
      <c r="M3" s="183"/>
      <c r="N3" s="183"/>
      <c r="O3" s="183"/>
      <c r="P3" s="183"/>
      <c r="Q3" s="183"/>
      <c r="R3" s="183"/>
      <c r="S3" s="183"/>
      <c r="T3" s="183"/>
      <c r="U3" s="183"/>
      <c r="V3" s="183"/>
      <c r="W3" s="183"/>
      <c r="X3" s="5"/>
    </row>
    <row r="4" spans="1:24" ht="15.75" x14ac:dyDescent="0.25">
      <c r="A4" s="181"/>
      <c r="B4" s="182"/>
      <c r="C4" s="183"/>
      <c r="D4" s="183"/>
      <c r="E4" s="183"/>
      <c r="F4" s="183"/>
      <c r="G4" s="183"/>
      <c r="H4" s="183"/>
      <c r="I4" s="183"/>
      <c r="J4" s="183"/>
      <c r="K4" s="183"/>
      <c r="L4" s="183"/>
      <c r="M4" s="183"/>
      <c r="N4" s="183"/>
      <c r="O4" s="183"/>
      <c r="P4" s="183"/>
      <c r="Q4" s="183"/>
      <c r="R4" s="183"/>
      <c r="S4" s="183"/>
      <c r="T4" s="183"/>
      <c r="U4" s="183"/>
      <c r="V4" s="183"/>
      <c r="W4" s="183"/>
      <c r="X4" s="5"/>
    </row>
    <row r="5" spans="1:24" ht="15.75" x14ac:dyDescent="0.25">
      <c r="A5" s="181"/>
      <c r="B5" s="275" t="s">
        <v>137</v>
      </c>
      <c r="C5" s="183"/>
      <c r="D5" s="183"/>
      <c r="E5" s="183"/>
      <c r="F5" s="183"/>
      <c r="G5" s="183"/>
      <c r="H5" s="183"/>
      <c r="I5" s="183"/>
      <c r="J5" s="183"/>
      <c r="K5" s="183"/>
      <c r="L5" s="183"/>
      <c r="M5" s="183"/>
      <c r="N5" s="183"/>
      <c r="O5" s="183"/>
      <c r="P5" s="183"/>
      <c r="Q5" s="183"/>
      <c r="R5" s="183"/>
      <c r="S5" s="183"/>
      <c r="T5" s="183"/>
      <c r="U5" s="183"/>
      <c r="V5" s="183"/>
      <c r="W5" s="183"/>
      <c r="X5" s="5"/>
    </row>
    <row r="6" spans="1:24" ht="15.75" x14ac:dyDescent="0.25">
      <c r="A6" s="181"/>
      <c r="B6" s="275" t="s">
        <v>139</v>
      </c>
      <c r="C6" s="183"/>
      <c r="D6" s="183"/>
      <c r="E6" s="183"/>
      <c r="F6" s="183"/>
      <c r="G6" s="183"/>
      <c r="H6" s="183"/>
      <c r="I6" s="183"/>
      <c r="J6" s="183"/>
      <c r="K6" s="183"/>
      <c r="L6" s="183"/>
      <c r="M6" s="183"/>
      <c r="N6" s="183"/>
      <c r="O6" s="183"/>
      <c r="P6" s="183"/>
      <c r="Q6" s="183"/>
      <c r="R6" s="183"/>
      <c r="S6" s="183"/>
      <c r="T6" s="183"/>
      <c r="U6" s="183"/>
      <c r="V6" s="183"/>
      <c r="W6" s="183"/>
      <c r="X6" s="5"/>
    </row>
    <row r="7" spans="1:24" ht="15.75" x14ac:dyDescent="0.25">
      <c r="A7" s="181"/>
      <c r="B7" s="275" t="s">
        <v>138</v>
      </c>
      <c r="C7" s="183"/>
      <c r="D7" s="183"/>
      <c r="E7" s="183"/>
      <c r="F7" s="183"/>
      <c r="G7" s="183"/>
      <c r="H7" s="183"/>
      <c r="I7" s="183"/>
      <c r="J7" s="183"/>
      <c r="K7" s="183"/>
      <c r="L7" s="183"/>
      <c r="M7" s="183"/>
      <c r="N7" s="183"/>
      <c r="O7" s="183"/>
      <c r="P7" s="183"/>
      <c r="Q7" s="183"/>
      <c r="R7" s="183"/>
      <c r="S7" s="183"/>
      <c r="T7" s="183"/>
      <c r="U7" s="183"/>
      <c r="V7" s="183"/>
      <c r="W7" s="183"/>
      <c r="X7" s="5"/>
    </row>
    <row r="8" spans="1:24" ht="15.75" x14ac:dyDescent="0.25">
      <c r="A8" s="181"/>
      <c r="B8" s="186"/>
      <c r="C8" s="183"/>
      <c r="D8" s="183"/>
      <c r="E8" s="183"/>
      <c r="F8" s="183"/>
      <c r="G8" s="183"/>
      <c r="H8" s="183"/>
      <c r="I8" s="183"/>
      <c r="J8" s="183"/>
      <c r="K8" s="183"/>
      <c r="L8" s="183"/>
      <c r="M8" s="183"/>
      <c r="N8" s="183"/>
      <c r="O8" s="183"/>
      <c r="P8" s="183"/>
      <c r="Q8" s="183"/>
      <c r="R8" s="183"/>
      <c r="S8" s="183"/>
      <c r="T8" s="183"/>
      <c r="U8" s="183"/>
      <c r="V8" s="183"/>
      <c r="W8" s="183"/>
      <c r="X8" s="5"/>
    </row>
    <row r="9" spans="1:24" ht="18.75" x14ac:dyDescent="0.3">
      <c r="A9" s="181"/>
      <c r="B9" s="187" t="s">
        <v>166</v>
      </c>
      <c r="C9" s="183"/>
      <c r="D9" s="183"/>
      <c r="E9" s="183"/>
      <c r="F9" s="183"/>
      <c r="G9" s="183"/>
      <c r="H9" s="183"/>
      <c r="I9" s="188" t="s">
        <v>167</v>
      </c>
      <c r="J9" s="183"/>
      <c r="K9" s="183"/>
      <c r="L9" s="188"/>
      <c r="M9" s="183"/>
      <c r="N9" s="188"/>
      <c r="O9" s="183"/>
      <c r="P9" s="183"/>
      <c r="Q9" s="183"/>
      <c r="R9" s="183"/>
      <c r="S9" s="183"/>
      <c r="T9" s="183"/>
      <c r="U9" s="183"/>
      <c r="V9" s="183"/>
      <c r="W9" s="183"/>
      <c r="X9" s="5"/>
    </row>
    <row r="10" spans="1:24" ht="15.75" x14ac:dyDescent="0.25">
      <c r="A10" s="181"/>
      <c r="B10" s="186"/>
      <c r="C10" s="189"/>
      <c r="D10" s="189"/>
      <c r="E10" s="189"/>
      <c r="F10" s="183"/>
      <c r="G10" s="183"/>
      <c r="H10" s="183"/>
      <c r="I10" s="183"/>
      <c r="J10" s="183"/>
      <c r="K10" s="183"/>
      <c r="L10" s="183"/>
      <c r="M10" s="183"/>
      <c r="N10" s="183"/>
      <c r="O10" s="183"/>
      <c r="P10" s="183"/>
      <c r="Q10" s="183"/>
      <c r="R10" s="183"/>
      <c r="S10" s="183"/>
      <c r="T10" s="183"/>
      <c r="U10" s="183"/>
      <c r="V10" s="183"/>
      <c r="W10" s="183"/>
      <c r="X10" s="5"/>
    </row>
    <row r="11" spans="1:24" ht="15.75" x14ac:dyDescent="0.25">
      <c r="A11" s="181"/>
      <c r="B11" s="388" t="s">
        <v>0</v>
      </c>
      <c r="C11" s="183"/>
      <c r="D11" s="183"/>
      <c r="E11" s="183"/>
      <c r="F11" s="183"/>
      <c r="G11" s="183"/>
      <c r="H11" s="183"/>
      <c r="I11" s="183"/>
      <c r="J11" s="183"/>
      <c r="K11" s="183"/>
      <c r="L11" s="183"/>
      <c r="M11" s="183"/>
      <c r="N11" s="183"/>
      <c r="O11" s="183"/>
      <c r="P11" s="183"/>
      <c r="Q11" s="183"/>
      <c r="R11" s="183"/>
      <c r="S11" s="183"/>
      <c r="T11" s="183"/>
      <c r="U11" s="183"/>
      <c r="V11" s="183"/>
      <c r="W11" s="183"/>
      <c r="X11" s="5"/>
    </row>
    <row r="12" spans="1:24" ht="16.5" thickBot="1" x14ac:dyDescent="0.3">
      <c r="A12" s="181"/>
      <c r="B12" s="189"/>
      <c r="C12" s="183"/>
      <c r="D12" s="183"/>
      <c r="E12" s="183"/>
      <c r="F12" s="183"/>
      <c r="G12" s="183"/>
      <c r="H12" s="183"/>
      <c r="I12" s="183"/>
      <c r="J12" s="183"/>
      <c r="K12" s="183"/>
      <c r="L12" s="183"/>
      <c r="M12" s="183"/>
      <c r="N12" s="183"/>
      <c r="O12" s="183"/>
      <c r="P12" s="183"/>
      <c r="Q12" s="183"/>
      <c r="R12" s="183"/>
      <c r="S12" s="183"/>
      <c r="T12" s="183"/>
      <c r="U12" s="183"/>
      <c r="V12" s="183"/>
      <c r="W12" s="183"/>
      <c r="X12" s="5"/>
    </row>
    <row r="13" spans="1:24" ht="15.75" x14ac:dyDescent="0.25">
      <c r="A13" s="179"/>
      <c r="B13" s="180"/>
      <c r="C13" s="180"/>
      <c r="D13" s="180"/>
      <c r="E13" s="180"/>
      <c r="F13" s="180"/>
      <c r="G13" s="180"/>
      <c r="H13" s="180"/>
      <c r="I13" s="180"/>
      <c r="J13" s="180"/>
      <c r="K13" s="180"/>
      <c r="L13" s="180"/>
      <c r="M13" s="180"/>
      <c r="N13" s="180"/>
      <c r="O13" s="180"/>
      <c r="P13" s="180"/>
      <c r="Q13" s="180"/>
      <c r="R13" s="180"/>
      <c r="S13" s="180"/>
      <c r="T13" s="180"/>
      <c r="U13" s="180"/>
      <c r="V13" s="180"/>
      <c r="W13" s="180"/>
      <c r="X13" s="5"/>
    </row>
    <row r="14" spans="1:24" ht="15.75" x14ac:dyDescent="0.25">
      <c r="A14" s="181"/>
      <c r="B14" s="388" t="s">
        <v>1</v>
      </c>
      <c r="C14" s="255"/>
      <c r="D14" s="255"/>
      <c r="E14" s="255"/>
      <c r="F14" s="255"/>
      <c r="G14" s="255"/>
      <c r="H14" s="255"/>
      <c r="I14" s="255"/>
      <c r="J14" s="255"/>
      <c r="K14" s="255"/>
      <c r="L14" s="255"/>
      <c r="M14" s="255"/>
      <c r="N14" s="255"/>
      <c r="O14" s="255"/>
      <c r="P14" s="255"/>
      <c r="Q14" s="255"/>
      <c r="R14" s="255"/>
      <c r="S14" s="255"/>
      <c r="T14" s="255"/>
      <c r="U14" s="255"/>
      <c r="V14" s="276" t="s">
        <v>239</v>
      </c>
      <c r="W14" s="255"/>
      <c r="X14" s="5"/>
    </row>
    <row r="15" spans="1:24" ht="15.75" x14ac:dyDescent="0.25">
      <c r="A15" s="181"/>
      <c r="B15" s="388" t="s">
        <v>2</v>
      </c>
      <c r="C15" s="255"/>
      <c r="D15" s="255"/>
      <c r="E15" s="255"/>
      <c r="F15" s="255"/>
      <c r="G15" s="255"/>
      <c r="H15" s="389"/>
      <c r="I15" s="389"/>
      <c r="J15" s="389"/>
      <c r="K15" s="389"/>
      <c r="L15" s="389"/>
      <c r="M15" s="389"/>
      <c r="N15" s="389"/>
      <c r="O15" s="389"/>
      <c r="P15" s="389"/>
      <c r="Q15" s="389"/>
      <c r="R15" s="389" t="s">
        <v>104</v>
      </c>
      <c r="S15" s="390">
        <v>0.47189999999999999</v>
      </c>
      <c r="T15" s="391" t="s">
        <v>140</v>
      </c>
      <c r="U15" s="390">
        <v>0.52810000000000001</v>
      </c>
      <c r="V15" s="276"/>
      <c r="W15" s="255"/>
      <c r="X15" s="5"/>
    </row>
    <row r="16" spans="1:24" ht="15.75" x14ac:dyDescent="0.25">
      <c r="A16" s="181"/>
      <c r="B16" s="388" t="s">
        <v>3</v>
      </c>
      <c r="C16" s="255"/>
      <c r="D16" s="255"/>
      <c r="E16" s="255"/>
      <c r="F16" s="255"/>
      <c r="G16" s="255"/>
      <c r="H16" s="389"/>
      <c r="I16" s="389"/>
      <c r="J16" s="389"/>
      <c r="K16" s="389"/>
      <c r="L16" s="389"/>
      <c r="M16" s="389"/>
      <c r="N16" s="389"/>
      <c r="O16" s="389"/>
      <c r="P16" s="389"/>
      <c r="Q16" s="389"/>
      <c r="R16" s="389" t="s">
        <v>104</v>
      </c>
      <c r="S16" s="390">
        <v>0.55310000000000004</v>
      </c>
      <c r="T16" s="391" t="s">
        <v>140</v>
      </c>
      <c r="U16" s="390">
        <v>0.44690000000000002</v>
      </c>
      <c r="V16" s="276"/>
      <c r="W16" s="255"/>
      <c r="X16" s="5"/>
    </row>
    <row r="17" spans="1:24" ht="15.75" x14ac:dyDescent="0.25">
      <c r="A17" s="181"/>
      <c r="B17" s="388" t="s">
        <v>4</v>
      </c>
      <c r="C17" s="255"/>
      <c r="D17" s="255"/>
      <c r="E17" s="255"/>
      <c r="F17" s="255"/>
      <c r="G17" s="255"/>
      <c r="H17" s="255"/>
      <c r="I17" s="255"/>
      <c r="J17" s="255"/>
      <c r="K17" s="255"/>
      <c r="L17" s="255"/>
      <c r="M17" s="255"/>
      <c r="N17" s="255"/>
      <c r="O17" s="255"/>
      <c r="P17" s="255"/>
      <c r="Q17" s="255"/>
      <c r="R17" s="255"/>
      <c r="S17" s="255"/>
      <c r="T17" s="255"/>
      <c r="U17" s="255"/>
      <c r="V17" s="392">
        <v>39282</v>
      </c>
      <c r="W17" s="255"/>
      <c r="X17" s="5"/>
    </row>
    <row r="18" spans="1:24" ht="15.75" x14ac:dyDescent="0.25">
      <c r="A18" s="181"/>
      <c r="B18" s="388" t="s">
        <v>5</v>
      </c>
      <c r="C18" s="255"/>
      <c r="D18" s="255"/>
      <c r="E18" s="255"/>
      <c r="F18" s="255"/>
      <c r="G18" s="255"/>
      <c r="H18" s="255"/>
      <c r="I18" s="255"/>
      <c r="J18" s="255"/>
      <c r="K18" s="255"/>
      <c r="L18" s="255"/>
      <c r="M18" s="255"/>
      <c r="N18" s="255"/>
      <c r="O18" s="255"/>
      <c r="P18" s="255"/>
      <c r="Q18" s="255"/>
      <c r="R18" s="255"/>
      <c r="S18" s="255"/>
      <c r="T18" s="255"/>
      <c r="U18" s="255"/>
      <c r="V18" s="392">
        <v>42360</v>
      </c>
      <c r="W18" s="255"/>
      <c r="X18" s="5"/>
    </row>
    <row r="19" spans="1:24" ht="15.75" x14ac:dyDescent="0.25">
      <c r="A19" s="181"/>
      <c r="B19" s="183"/>
      <c r="C19" s="183"/>
      <c r="D19" s="183"/>
      <c r="E19" s="183"/>
      <c r="F19" s="183"/>
      <c r="G19" s="183"/>
      <c r="H19" s="183"/>
      <c r="I19" s="183"/>
      <c r="J19" s="183"/>
      <c r="K19" s="183"/>
      <c r="L19" s="183"/>
      <c r="M19" s="183"/>
      <c r="N19" s="183"/>
      <c r="O19" s="183"/>
      <c r="P19" s="183"/>
      <c r="Q19" s="183"/>
      <c r="R19" s="183"/>
      <c r="S19" s="183"/>
      <c r="T19" s="183"/>
      <c r="U19" s="183"/>
      <c r="V19" s="190"/>
      <c r="W19" s="183"/>
      <c r="X19" s="5"/>
    </row>
    <row r="20" spans="1:24" ht="15.75" x14ac:dyDescent="0.25">
      <c r="A20" s="181"/>
      <c r="B20" s="280" t="s">
        <v>6</v>
      </c>
      <c r="C20" s="255"/>
      <c r="D20" s="255"/>
      <c r="E20" s="255"/>
      <c r="F20" s="255"/>
      <c r="G20" s="255"/>
      <c r="H20" s="255"/>
      <c r="I20" s="255"/>
      <c r="J20" s="255"/>
      <c r="K20" s="255"/>
      <c r="L20" s="255"/>
      <c r="M20" s="255"/>
      <c r="N20" s="255"/>
      <c r="O20" s="255"/>
      <c r="P20" s="255"/>
      <c r="Q20" s="255"/>
      <c r="R20" s="255"/>
      <c r="S20" s="255"/>
      <c r="T20" s="281" t="s">
        <v>105</v>
      </c>
      <c r="U20" s="255"/>
      <c r="V20" s="261"/>
      <c r="W20" s="183"/>
      <c r="X20" s="5"/>
    </row>
    <row r="21" spans="1:24" ht="15.75" x14ac:dyDescent="0.25">
      <c r="A21" s="181"/>
      <c r="B21" s="183"/>
      <c r="C21" s="183"/>
      <c r="D21" s="183"/>
      <c r="E21" s="183"/>
      <c r="F21" s="183"/>
      <c r="G21" s="183"/>
      <c r="H21" s="183"/>
      <c r="I21" s="183"/>
      <c r="J21" s="183"/>
      <c r="K21" s="183"/>
      <c r="L21" s="183"/>
      <c r="M21" s="183"/>
      <c r="N21" s="183"/>
      <c r="O21" s="183"/>
      <c r="P21" s="183"/>
      <c r="Q21" s="183"/>
      <c r="R21" s="183"/>
      <c r="S21" s="183"/>
      <c r="T21" s="183"/>
      <c r="U21" s="183"/>
      <c r="V21" s="192"/>
      <c r="W21" s="183"/>
      <c r="X21" s="5"/>
    </row>
    <row r="22" spans="1:24" ht="15.75" x14ac:dyDescent="0.25">
      <c r="A22" s="224"/>
      <c r="B22" s="225"/>
      <c r="C22" s="226"/>
      <c r="D22" s="226" t="s">
        <v>177</v>
      </c>
      <c r="E22" s="226"/>
      <c r="F22" s="226" t="s">
        <v>178</v>
      </c>
      <c r="G22" s="226"/>
      <c r="H22" s="226" t="s">
        <v>179</v>
      </c>
      <c r="I22" s="226"/>
      <c r="J22" s="226" t="s">
        <v>219</v>
      </c>
      <c r="K22" s="226"/>
      <c r="L22" s="226" t="s">
        <v>180</v>
      </c>
      <c r="M22" s="226"/>
      <c r="N22" s="226" t="s">
        <v>181</v>
      </c>
      <c r="O22" s="226"/>
      <c r="P22" s="226" t="s">
        <v>182</v>
      </c>
      <c r="Q22" s="226"/>
      <c r="R22" s="226"/>
      <c r="S22" s="228"/>
      <c r="T22" s="228"/>
      <c r="U22" s="229"/>
      <c r="V22" s="229"/>
      <c r="W22" s="225"/>
      <c r="X22" s="5"/>
    </row>
    <row r="23" spans="1:24" ht="15.75" x14ac:dyDescent="0.25">
      <c r="A23" s="193"/>
      <c r="B23" s="250" t="s">
        <v>7</v>
      </c>
      <c r="C23" s="282"/>
      <c r="D23" s="282" t="s">
        <v>212</v>
      </c>
      <c r="E23" s="282"/>
      <c r="F23" s="282" t="s">
        <v>141</v>
      </c>
      <c r="G23" s="282"/>
      <c r="H23" s="282" t="s">
        <v>141</v>
      </c>
      <c r="I23" s="282"/>
      <c r="J23" s="282" t="s">
        <v>141</v>
      </c>
      <c r="K23" s="282"/>
      <c r="L23" s="282" t="s">
        <v>183</v>
      </c>
      <c r="M23" s="282"/>
      <c r="N23" s="282" t="s">
        <v>183</v>
      </c>
      <c r="O23" s="282"/>
      <c r="P23" s="282" t="s">
        <v>142</v>
      </c>
      <c r="Q23" s="282"/>
      <c r="R23" s="282"/>
      <c r="S23" s="282"/>
      <c r="T23" s="282"/>
      <c r="U23" s="273"/>
      <c r="V23" s="273"/>
      <c r="W23" s="250"/>
      <c r="X23" s="5"/>
    </row>
    <row r="24" spans="1:24" ht="15.75" x14ac:dyDescent="0.25">
      <c r="A24" s="285"/>
      <c r="B24" s="286" t="s">
        <v>8</v>
      </c>
      <c r="C24" s="287"/>
      <c r="D24" s="287" t="s">
        <v>213</v>
      </c>
      <c r="E24" s="287"/>
      <c r="F24" s="287" t="s">
        <v>143</v>
      </c>
      <c r="G24" s="287"/>
      <c r="H24" s="287" t="s">
        <v>143</v>
      </c>
      <c r="I24" s="287"/>
      <c r="J24" s="287" t="s">
        <v>143</v>
      </c>
      <c r="K24" s="287"/>
      <c r="L24" s="287" t="s">
        <v>165</v>
      </c>
      <c r="M24" s="287"/>
      <c r="N24" s="287" t="s">
        <v>165</v>
      </c>
      <c r="O24" s="287"/>
      <c r="P24" s="287" t="s">
        <v>144</v>
      </c>
      <c r="Q24" s="287"/>
      <c r="R24" s="287"/>
      <c r="S24" s="287"/>
      <c r="T24" s="287"/>
      <c r="U24" s="288"/>
      <c r="V24" s="288"/>
      <c r="W24" s="289"/>
      <c r="X24" s="5"/>
    </row>
    <row r="25" spans="1:24" ht="15.75" x14ac:dyDescent="0.25">
      <c r="A25" s="290"/>
      <c r="B25" s="286" t="s">
        <v>190</v>
      </c>
      <c r="C25" s="292"/>
      <c r="D25" s="287" t="s">
        <v>214</v>
      </c>
      <c r="E25" s="287"/>
      <c r="F25" s="287" t="s">
        <v>143</v>
      </c>
      <c r="G25" s="287"/>
      <c r="H25" s="287" t="s">
        <v>143</v>
      </c>
      <c r="I25" s="287"/>
      <c r="J25" s="287" t="s">
        <v>143</v>
      </c>
      <c r="K25" s="287"/>
      <c r="L25" s="287" t="s">
        <v>165</v>
      </c>
      <c r="M25" s="287"/>
      <c r="N25" s="287" t="s">
        <v>165</v>
      </c>
      <c r="O25" s="287"/>
      <c r="P25" s="287" t="s">
        <v>144</v>
      </c>
      <c r="Q25" s="287"/>
      <c r="R25" s="287"/>
      <c r="S25" s="292"/>
      <c r="T25" s="287"/>
      <c r="U25" s="288"/>
      <c r="V25" s="288"/>
      <c r="W25" s="289"/>
      <c r="X25" s="5"/>
    </row>
    <row r="26" spans="1:24" ht="15.75" x14ac:dyDescent="0.25">
      <c r="A26" s="393"/>
      <c r="B26" s="297" t="s">
        <v>9</v>
      </c>
      <c r="C26" s="292"/>
      <c r="D26" s="292" t="s">
        <v>141</v>
      </c>
      <c r="E26" s="292"/>
      <c r="F26" s="292" t="s">
        <v>141</v>
      </c>
      <c r="G26" s="292"/>
      <c r="H26" s="292" t="s">
        <v>141</v>
      </c>
      <c r="I26" s="292"/>
      <c r="J26" s="292" t="s">
        <v>141</v>
      </c>
      <c r="K26" s="292"/>
      <c r="L26" s="292" t="s">
        <v>183</v>
      </c>
      <c r="M26" s="292"/>
      <c r="N26" s="292" t="s">
        <v>183</v>
      </c>
      <c r="O26" s="292"/>
      <c r="P26" s="292" t="s">
        <v>142</v>
      </c>
      <c r="Q26" s="292"/>
      <c r="R26" s="292"/>
      <c r="S26" s="292"/>
      <c r="T26" s="287"/>
      <c r="U26" s="288"/>
      <c r="V26" s="288"/>
      <c r="W26" s="289"/>
      <c r="X26" s="5"/>
    </row>
    <row r="27" spans="1:24" ht="15.75" x14ac:dyDescent="0.25">
      <c r="A27" s="295"/>
      <c r="B27" s="297" t="s">
        <v>191</v>
      </c>
      <c r="C27" s="287"/>
      <c r="D27" s="292" t="s">
        <v>143</v>
      </c>
      <c r="E27" s="292"/>
      <c r="F27" s="292" t="s">
        <v>143</v>
      </c>
      <c r="G27" s="292"/>
      <c r="H27" s="292" t="s">
        <v>143</v>
      </c>
      <c r="I27" s="292"/>
      <c r="J27" s="292" t="s">
        <v>143</v>
      </c>
      <c r="K27" s="292"/>
      <c r="L27" s="292" t="s">
        <v>307</v>
      </c>
      <c r="M27" s="292"/>
      <c r="N27" s="292" t="s">
        <v>307</v>
      </c>
      <c r="O27" s="292"/>
      <c r="P27" s="292" t="s">
        <v>332</v>
      </c>
      <c r="Q27" s="292"/>
      <c r="R27" s="292"/>
      <c r="S27" s="287"/>
      <c r="T27" s="296"/>
      <c r="U27" s="288"/>
      <c r="V27" s="288"/>
      <c r="W27" s="289"/>
      <c r="X27" s="5"/>
    </row>
    <row r="28" spans="1:24" ht="15.75" x14ac:dyDescent="0.25">
      <c r="A28" s="295"/>
      <c r="B28" s="297" t="s">
        <v>192</v>
      </c>
      <c r="C28" s="287"/>
      <c r="D28" s="292" t="s">
        <v>143</v>
      </c>
      <c r="E28" s="292"/>
      <c r="F28" s="292" t="s">
        <v>143</v>
      </c>
      <c r="G28" s="292"/>
      <c r="H28" s="292" t="s">
        <v>143</v>
      </c>
      <c r="I28" s="292"/>
      <c r="J28" s="292" t="s">
        <v>143</v>
      </c>
      <c r="K28" s="292"/>
      <c r="L28" s="292" t="s">
        <v>329</v>
      </c>
      <c r="M28" s="292"/>
      <c r="N28" s="292" t="s">
        <v>329</v>
      </c>
      <c r="O28" s="292"/>
      <c r="P28" s="292" t="s">
        <v>330</v>
      </c>
      <c r="Q28" s="292"/>
      <c r="R28" s="292"/>
      <c r="S28" s="287"/>
      <c r="T28" s="296"/>
      <c r="U28" s="288"/>
      <c r="V28" s="288"/>
      <c r="W28" s="289"/>
      <c r="X28" s="5"/>
    </row>
    <row r="29" spans="1:24" ht="15.75" x14ac:dyDescent="0.25">
      <c r="A29" s="295"/>
      <c r="B29" s="286" t="s">
        <v>10</v>
      </c>
      <c r="C29" s="298"/>
      <c r="D29" s="287" t="s">
        <v>242</v>
      </c>
      <c r="E29" s="287"/>
      <c r="F29" s="296" t="s">
        <v>244</v>
      </c>
      <c r="G29" s="287"/>
      <c r="H29" s="287" t="s">
        <v>245</v>
      </c>
      <c r="I29" s="287"/>
      <c r="J29" s="287" t="s">
        <v>247</v>
      </c>
      <c r="K29" s="287"/>
      <c r="L29" s="287" t="s">
        <v>248</v>
      </c>
      <c r="M29" s="287"/>
      <c r="N29" s="287" t="s">
        <v>249</v>
      </c>
      <c r="O29" s="287"/>
      <c r="P29" s="287" t="s">
        <v>250</v>
      </c>
      <c r="Q29" s="287"/>
      <c r="R29" s="287"/>
      <c r="S29" s="299"/>
      <c r="T29" s="299"/>
      <c r="U29" s="300"/>
      <c r="V29" s="299"/>
      <c r="W29" s="301"/>
      <c r="X29" s="5"/>
    </row>
    <row r="30" spans="1:24" ht="15.75" x14ac:dyDescent="0.25">
      <c r="A30" s="295"/>
      <c r="B30" s="286" t="s">
        <v>10</v>
      </c>
      <c r="C30" s="298"/>
      <c r="D30" s="287" t="s">
        <v>243</v>
      </c>
      <c r="E30" s="287"/>
      <c r="F30" s="296" t="s">
        <v>118</v>
      </c>
      <c r="G30" s="287"/>
      <c r="H30" s="287" t="s">
        <v>118</v>
      </c>
      <c r="I30" s="287"/>
      <c r="J30" s="287" t="s">
        <v>246</v>
      </c>
      <c r="K30" s="287"/>
      <c r="L30" s="287" t="s">
        <v>118</v>
      </c>
      <c r="M30" s="287"/>
      <c r="N30" s="287" t="s">
        <v>118</v>
      </c>
      <c r="O30" s="287"/>
      <c r="P30" s="287" t="s">
        <v>118</v>
      </c>
      <c r="Q30" s="287"/>
      <c r="R30" s="287"/>
      <c r="S30" s="299"/>
      <c r="T30" s="299"/>
      <c r="U30" s="300"/>
      <c r="V30" s="299"/>
      <c r="W30" s="301"/>
      <c r="X30" s="5"/>
    </row>
    <row r="31" spans="1:24" ht="15.75" x14ac:dyDescent="0.25">
      <c r="A31" s="393"/>
      <c r="B31" s="286" t="s">
        <v>133</v>
      </c>
      <c r="C31" s="310"/>
      <c r="D31" s="303">
        <v>1000000</v>
      </c>
      <c r="E31" s="298"/>
      <c r="F31" s="299">
        <v>209500</v>
      </c>
      <c r="G31" s="299"/>
      <c r="H31" s="304">
        <v>110000</v>
      </c>
      <c r="I31" s="304"/>
      <c r="J31" s="303">
        <v>150000</v>
      </c>
      <c r="K31" s="299"/>
      <c r="L31" s="299">
        <v>17000</v>
      </c>
      <c r="M31" s="299"/>
      <c r="N31" s="304">
        <v>85500</v>
      </c>
      <c r="O31" s="299"/>
      <c r="P31" s="304">
        <v>110500</v>
      </c>
      <c r="Q31" s="299"/>
      <c r="R31" s="304"/>
      <c r="S31" s="312"/>
      <c r="T31" s="312"/>
      <c r="U31" s="306"/>
      <c r="V31" s="312"/>
      <c r="W31" s="301"/>
      <c r="X31" s="5"/>
    </row>
    <row r="32" spans="1:24" ht="15.75" x14ac:dyDescent="0.25">
      <c r="A32" s="295"/>
      <c r="B32" s="286" t="s">
        <v>132</v>
      </c>
      <c r="C32" s="298"/>
      <c r="D32" s="303">
        <f>D31*D38</f>
        <v>688771.9</v>
      </c>
      <c r="E32" s="298"/>
      <c r="F32" s="299">
        <f>F31*F38</f>
        <v>144298.0692</v>
      </c>
      <c r="G32" s="299"/>
      <c r="H32" s="304">
        <f>H31*H38</f>
        <v>75765.778000000006</v>
      </c>
      <c r="I32" s="304"/>
      <c r="J32" s="303">
        <f>J31*J38</f>
        <v>103315.785</v>
      </c>
      <c r="K32" s="299"/>
      <c r="L32" s="299">
        <f>L31*L38</f>
        <v>17000</v>
      </c>
      <c r="M32" s="299"/>
      <c r="N32" s="304">
        <f>N31*N38</f>
        <v>85500</v>
      </c>
      <c r="O32" s="299"/>
      <c r="P32" s="304">
        <f>P31*P38</f>
        <v>110500</v>
      </c>
      <c r="Q32" s="299"/>
      <c r="R32" s="304"/>
      <c r="S32" s="299"/>
      <c r="T32" s="299"/>
      <c r="U32" s="300"/>
      <c r="V32" s="299"/>
      <c r="W32" s="301"/>
      <c r="X32" s="5"/>
    </row>
    <row r="33" spans="1:27" ht="15.75" x14ac:dyDescent="0.25">
      <c r="A33" s="295"/>
      <c r="B33" s="297" t="s">
        <v>134</v>
      </c>
      <c r="C33" s="298"/>
      <c r="D33" s="394">
        <f>D37*D31</f>
        <v>678140.5</v>
      </c>
      <c r="E33" s="310"/>
      <c r="F33" s="312">
        <f>F37*F31</f>
        <v>142070.79089999999</v>
      </c>
      <c r="G33" s="312"/>
      <c r="H33" s="395">
        <f>H31*H37</f>
        <v>74596.346000000005</v>
      </c>
      <c r="I33" s="395"/>
      <c r="J33" s="394">
        <f>J37*J31</f>
        <v>101721.07500000001</v>
      </c>
      <c r="K33" s="312"/>
      <c r="L33" s="312">
        <f>L31*L37</f>
        <v>17000</v>
      </c>
      <c r="M33" s="312"/>
      <c r="N33" s="395">
        <f>N31*N37</f>
        <v>85500</v>
      </c>
      <c r="O33" s="312"/>
      <c r="P33" s="395">
        <f>P31*P37</f>
        <v>110500</v>
      </c>
      <c r="Q33" s="312"/>
      <c r="R33" s="395"/>
      <c r="S33" s="299"/>
      <c r="T33" s="299"/>
      <c r="U33" s="300"/>
      <c r="V33" s="299"/>
      <c r="W33" s="301"/>
      <c r="X33" s="5"/>
    </row>
    <row r="34" spans="1:27" ht="15.75" x14ac:dyDescent="0.25">
      <c r="A34" s="393"/>
      <c r="B34" s="286" t="s">
        <v>286</v>
      </c>
      <c r="C34" s="310"/>
      <c r="D34" s="299">
        <v>492951</v>
      </c>
      <c r="E34" s="298"/>
      <c r="F34" s="299">
        <v>209500</v>
      </c>
      <c r="G34" s="299"/>
      <c r="H34" s="299">
        <v>74677</v>
      </c>
      <c r="I34" s="299"/>
      <c r="J34" s="299">
        <v>73943</v>
      </c>
      <c r="K34" s="299"/>
      <c r="L34" s="299">
        <v>17000</v>
      </c>
      <c r="M34" s="299"/>
      <c r="N34" s="299">
        <v>58045</v>
      </c>
      <c r="O34" s="299"/>
      <c r="P34" s="299">
        <v>75017</v>
      </c>
      <c r="Q34" s="299"/>
      <c r="R34" s="299"/>
      <c r="S34" s="312"/>
      <c r="T34" s="312"/>
      <c r="U34" s="306"/>
      <c r="V34" s="299">
        <f>SUM(C34:R34)</f>
        <v>1001133</v>
      </c>
      <c r="W34" s="301"/>
      <c r="X34" s="5"/>
    </row>
    <row r="35" spans="1:27" ht="15.75" x14ac:dyDescent="0.25">
      <c r="A35" s="393"/>
      <c r="B35" s="286" t="s">
        <v>287</v>
      </c>
      <c r="C35" s="310"/>
      <c r="D35" s="299">
        <f>D34*D38</f>
        <v>339530.79687690001</v>
      </c>
      <c r="E35" s="298"/>
      <c r="F35" s="299">
        <f>F34*F38</f>
        <v>144298.0692</v>
      </c>
      <c r="G35" s="299"/>
      <c r="H35" s="299">
        <f>H34*H38</f>
        <v>51436.009124600001</v>
      </c>
      <c r="I35" s="299"/>
      <c r="J35" s="299">
        <f>J34*J38</f>
        <v>50929.860601699998</v>
      </c>
      <c r="K35" s="299"/>
      <c r="L35" s="299">
        <f>L34*L38</f>
        <v>17000</v>
      </c>
      <c r="M35" s="299"/>
      <c r="N35" s="299">
        <f>N34*N38</f>
        <v>58045</v>
      </c>
      <c r="O35" s="299"/>
      <c r="P35" s="299">
        <f>P34*P38</f>
        <v>75017</v>
      </c>
      <c r="Q35" s="299"/>
      <c r="R35" s="299"/>
      <c r="S35" s="299"/>
      <c r="T35" s="299"/>
      <c r="U35" s="300"/>
      <c r="V35" s="299">
        <f>SUM(C35:R35)-1</f>
        <v>736255.73580320005</v>
      </c>
      <c r="W35" s="301"/>
      <c r="X35" s="5"/>
    </row>
    <row r="36" spans="1:27" ht="15.75" x14ac:dyDescent="0.25">
      <c r="A36" s="393"/>
      <c r="B36" s="297" t="s">
        <v>288</v>
      </c>
      <c r="C36" s="310"/>
      <c r="D36" s="312">
        <f>D34*D37</f>
        <v>334290.03761550004</v>
      </c>
      <c r="E36" s="310"/>
      <c r="F36" s="312">
        <f>F34*F37</f>
        <v>142070.79089999999</v>
      </c>
      <c r="G36" s="312"/>
      <c r="H36" s="312">
        <f>H34*H37</f>
        <v>50642.103002199998</v>
      </c>
      <c r="I36" s="312"/>
      <c r="J36" s="312">
        <f>J34*J37</f>
        <v>50143.742991500003</v>
      </c>
      <c r="K36" s="312"/>
      <c r="L36" s="312">
        <f>L34*L37</f>
        <v>17000</v>
      </c>
      <c r="M36" s="312"/>
      <c r="N36" s="312">
        <f>N34*N37</f>
        <v>58045</v>
      </c>
      <c r="O36" s="312"/>
      <c r="P36" s="312">
        <f>P34*P37</f>
        <v>75017</v>
      </c>
      <c r="Q36" s="312"/>
      <c r="R36" s="312"/>
      <c r="S36" s="311"/>
      <c r="T36" s="311"/>
      <c r="U36" s="300"/>
      <c r="V36" s="312">
        <f>SUM(C36:R36)-1</f>
        <v>727207.67450920003</v>
      </c>
      <c r="W36" s="301"/>
      <c r="X36" s="5"/>
    </row>
    <row r="37" spans="1:27" ht="15.75" x14ac:dyDescent="0.25">
      <c r="A37" s="285"/>
      <c r="B37" s="313" t="s">
        <v>130</v>
      </c>
      <c r="C37" s="314"/>
      <c r="D37" s="315">
        <v>0.67814050000000003</v>
      </c>
      <c r="E37" s="315"/>
      <c r="F37" s="315">
        <v>0.67814220000000003</v>
      </c>
      <c r="G37" s="315"/>
      <c r="H37" s="315">
        <v>0.67814859999999999</v>
      </c>
      <c r="I37" s="315"/>
      <c r="J37" s="315">
        <v>0.67814050000000003</v>
      </c>
      <c r="K37" s="315"/>
      <c r="L37" s="315">
        <v>1</v>
      </c>
      <c r="M37" s="315"/>
      <c r="N37" s="315">
        <v>1</v>
      </c>
      <c r="O37" s="315"/>
      <c r="P37" s="315">
        <v>1</v>
      </c>
      <c r="Q37" s="315"/>
      <c r="R37" s="315"/>
      <c r="S37" s="316"/>
      <c r="T37" s="316"/>
      <c r="U37" s="317"/>
      <c r="V37" s="317"/>
      <c r="W37" s="318"/>
      <c r="X37" s="5"/>
    </row>
    <row r="38" spans="1:27" ht="15.75" x14ac:dyDescent="0.25">
      <c r="A38" s="285"/>
      <c r="B38" s="313" t="s">
        <v>131</v>
      </c>
      <c r="C38" s="314"/>
      <c r="D38" s="315">
        <v>0.68877189999999999</v>
      </c>
      <c r="E38" s="315"/>
      <c r="F38" s="315">
        <v>0.68877359999999999</v>
      </c>
      <c r="G38" s="315"/>
      <c r="H38" s="315">
        <v>0.68877980000000005</v>
      </c>
      <c r="I38" s="315"/>
      <c r="J38" s="315">
        <v>0.68877189999999999</v>
      </c>
      <c r="K38" s="315"/>
      <c r="L38" s="315">
        <v>1</v>
      </c>
      <c r="M38" s="315"/>
      <c r="N38" s="315">
        <v>1</v>
      </c>
      <c r="O38" s="315"/>
      <c r="P38" s="315">
        <v>1</v>
      </c>
      <c r="Q38" s="315"/>
      <c r="R38" s="315"/>
      <c r="S38" s="319"/>
      <c r="T38" s="320"/>
      <c r="U38" s="317"/>
      <c r="V38" s="319"/>
      <c r="W38" s="318"/>
      <c r="X38" s="5"/>
    </row>
    <row r="39" spans="1:27" ht="15.75" x14ac:dyDescent="0.25">
      <c r="A39" s="285"/>
      <c r="B39" s="286" t="s">
        <v>11</v>
      </c>
      <c r="C39" s="286"/>
      <c r="D39" s="296" t="s">
        <v>304</v>
      </c>
      <c r="E39" s="286"/>
      <c r="F39" s="296" t="s">
        <v>256</v>
      </c>
      <c r="G39" s="296"/>
      <c r="H39" s="296" t="s">
        <v>257</v>
      </c>
      <c r="I39" s="296"/>
      <c r="J39" s="296" t="s">
        <v>258</v>
      </c>
      <c r="K39" s="296"/>
      <c r="L39" s="296" t="s">
        <v>259</v>
      </c>
      <c r="M39" s="296"/>
      <c r="N39" s="296" t="s">
        <v>259</v>
      </c>
      <c r="O39" s="296"/>
      <c r="P39" s="296" t="s">
        <v>260</v>
      </c>
      <c r="Q39" s="296"/>
      <c r="R39" s="296"/>
      <c r="S39" s="321"/>
      <c r="T39" s="322"/>
      <c r="U39" s="288"/>
      <c r="V39" s="288"/>
      <c r="W39" s="289"/>
      <c r="X39" s="5"/>
    </row>
    <row r="40" spans="1:27" ht="15.75" x14ac:dyDescent="0.25">
      <c r="A40" s="285"/>
      <c r="B40" s="286" t="s">
        <v>12</v>
      </c>
      <c r="C40" s="286"/>
      <c r="D40" s="322">
        <v>3.7699999999999999E-3</v>
      </c>
      <c r="E40" s="286"/>
      <c r="F40" s="322">
        <v>8.4749999999999999E-3</v>
      </c>
      <c r="G40" s="321"/>
      <c r="H40" s="322">
        <v>2.0200000000000001E-3</v>
      </c>
      <c r="I40" s="322"/>
      <c r="J40" s="322">
        <v>5.5719999999999997E-3</v>
      </c>
      <c r="K40" s="321"/>
      <c r="L40" s="322">
        <v>1.1275E-2</v>
      </c>
      <c r="M40" s="321"/>
      <c r="N40" s="322">
        <v>5.0200000000000002E-3</v>
      </c>
      <c r="O40" s="321"/>
      <c r="P40" s="322">
        <v>1.0619999999999999E-2</v>
      </c>
      <c r="Q40" s="321"/>
      <c r="R40" s="322"/>
      <c r="S40" s="321"/>
      <c r="T40" s="322"/>
      <c r="U40" s="288"/>
      <c r="V40" s="296"/>
      <c r="W40" s="289"/>
      <c r="X40" s="5"/>
      <c r="AA40" s="1" t="s">
        <v>193</v>
      </c>
    </row>
    <row r="41" spans="1:27" ht="15.75" x14ac:dyDescent="0.25">
      <c r="A41" s="285"/>
      <c r="B41" s="286" t="s">
        <v>13</v>
      </c>
      <c r="C41" s="286"/>
      <c r="D41" s="322">
        <v>3.7759999999999998E-3</v>
      </c>
      <c r="E41" s="286"/>
      <c r="F41" s="322">
        <v>8.3125000000000004E-3</v>
      </c>
      <c r="G41" s="321"/>
      <c r="H41" s="322">
        <v>2.2599999999999999E-3</v>
      </c>
      <c r="I41" s="322"/>
      <c r="J41" s="322">
        <v>5.0584999999999996E-3</v>
      </c>
      <c r="K41" s="321"/>
      <c r="L41" s="322">
        <v>1.1112500000000001E-2</v>
      </c>
      <c r="M41" s="321"/>
      <c r="N41" s="322">
        <v>5.2599999999999999E-3</v>
      </c>
      <c r="O41" s="321"/>
      <c r="P41" s="322">
        <v>1.086E-2</v>
      </c>
      <c r="Q41" s="321"/>
      <c r="R41" s="322"/>
      <c r="S41" s="321"/>
      <c r="T41" s="322"/>
      <c r="U41" s="288"/>
      <c r="V41" s="321" t="s">
        <v>193</v>
      </c>
      <c r="W41" s="289"/>
      <c r="X41" s="5"/>
    </row>
    <row r="42" spans="1:27" ht="15.75" x14ac:dyDescent="0.25">
      <c r="A42" s="285"/>
      <c r="B42" s="286" t="s">
        <v>289</v>
      </c>
      <c r="C42" s="286"/>
      <c r="D42" s="296" t="s">
        <v>311</v>
      </c>
      <c r="E42" s="286"/>
      <c r="F42" s="296" t="s">
        <v>256</v>
      </c>
      <c r="G42" s="296"/>
      <c r="H42" s="296" t="s">
        <v>261</v>
      </c>
      <c r="I42" s="296"/>
      <c r="J42" s="296" t="s">
        <v>261</v>
      </c>
      <c r="K42" s="296"/>
      <c r="L42" s="296" t="s">
        <v>259</v>
      </c>
      <c r="M42" s="296"/>
      <c r="N42" s="296" t="s">
        <v>263</v>
      </c>
      <c r="O42" s="296"/>
      <c r="P42" s="296" t="s">
        <v>264</v>
      </c>
      <c r="Q42" s="296"/>
      <c r="R42" s="296"/>
      <c r="S42" s="321"/>
      <c r="T42" s="322"/>
      <c r="U42" s="288"/>
      <c r="V42" s="288"/>
      <c r="W42" s="289"/>
      <c r="X42" s="5"/>
    </row>
    <row r="43" spans="1:27" ht="15.75" x14ac:dyDescent="0.25">
      <c r="A43" s="285"/>
      <c r="B43" s="286" t="s">
        <v>290</v>
      </c>
      <c r="C43" s="323"/>
      <c r="D43" s="322">
        <v>7.8718999999999994E-3</v>
      </c>
      <c r="E43" s="322"/>
      <c r="F43" s="322">
        <f>+F40</f>
        <v>8.4749999999999999E-3</v>
      </c>
      <c r="G43" s="322"/>
      <c r="H43" s="322">
        <v>8.6250000000000007E-3</v>
      </c>
      <c r="I43" s="322"/>
      <c r="J43" s="322">
        <v>8.6549999999999995E-3</v>
      </c>
      <c r="K43" s="322"/>
      <c r="L43" s="322">
        <f>+L40</f>
        <v>1.1275E-2</v>
      </c>
      <c r="M43" s="322"/>
      <c r="N43" s="322">
        <v>1.2009000000000001E-2</v>
      </c>
      <c r="O43" s="322"/>
      <c r="P43" s="322">
        <v>1.8169000000000001E-2</v>
      </c>
      <c r="Q43" s="321"/>
      <c r="R43" s="322"/>
      <c r="S43" s="296"/>
      <c r="T43" s="296"/>
      <c r="U43" s="288"/>
      <c r="V43" s="321">
        <f>SUMPRODUCT(D43:R43,D35:R35)/V35</f>
        <v>9.5508028999481426E-3</v>
      </c>
      <c r="W43" s="289"/>
      <c r="X43" s="5"/>
    </row>
    <row r="44" spans="1:27" ht="15.75" x14ac:dyDescent="0.25">
      <c r="A44" s="285"/>
      <c r="B44" s="286" t="s">
        <v>291</v>
      </c>
      <c r="C44" s="323"/>
      <c r="D44" s="322">
        <v>7.7093999999999999E-3</v>
      </c>
      <c r="E44" s="322"/>
      <c r="F44" s="322">
        <f>+F41</f>
        <v>8.3125000000000004E-3</v>
      </c>
      <c r="G44" s="322"/>
      <c r="H44" s="322">
        <v>8.4624999999999995E-3</v>
      </c>
      <c r="I44" s="322"/>
      <c r="J44" s="322">
        <v>8.4925E-3</v>
      </c>
      <c r="K44" s="322"/>
      <c r="L44" s="322">
        <f>+L41</f>
        <v>1.1112500000000001E-2</v>
      </c>
      <c r="M44" s="322"/>
      <c r="N44" s="322">
        <v>1.1846499999999999E-2</v>
      </c>
      <c r="O44" s="322"/>
      <c r="P44" s="322">
        <v>1.8006500000000002E-2</v>
      </c>
      <c r="Q44" s="321"/>
      <c r="R44" s="322"/>
      <c r="S44" s="296"/>
      <c r="T44" s="296"/>
      <c r="U44" s="288"/>
      <c r="V44" s="288"/>
      <c r="W44" s="289"/>
      <c r="X44" s="5"/>
    </row>
    <row r="45" spans="1:27" ht="15.75" x14ac:dyDescent="0.25">
      <c r="A45" s="285"/>
      <c r="B45" s="286" t="s">
        <v>14</v>
      </c>
      <c r="C45" s="286"/>
      <c r="D45" s="323">
        <v>40709</v>
      </c>
      <c r="E45" s="323"/>
      <c r="F45" s="323">
        <v>40709</v>
      </c>
      <c r="G45" s="323"/>
      <c r="H45" s="323">
        <v>40709</v>
      </c>
      <c r="I45" s="323"/>
      <c r="J45" s="323">
        <v>40709</v>
      </c>
      <c r="K45" s="323"/>
      <c r="L45" s="323">
        <v>40709</v>
      </c>
      <c r="M45" s="323"/>
      <c r="N45" s="323">
        <v>40709</v>
      </c>
      <c r="O45" s="323"/>
      <c r="P45" s="323">
        <v>40709</v>
      </c>
      <c r="Q45" s="323"/>
      <c r="R45" s="323"/>
      <c r="S45" s="296"/>
      <c r="T45" s="296"/>
      <c r="U45" s="288"/>
      <c r="V45" s="288"/>
      <c r="W45" s="289"/>
      <c r="X45" s="5"/>
    </row>
    <row r="46" spans="1:27" ht="15.75" x14ac:dyDescent="0.25">
      <c r="A46" s="285"/>
      <c r="B46" s="286" t="s">
        <v>15</v>
      </c>
      <c r="C46" s="286"/>
      <c r="D46" s="323">
        <v>41075</v>
      </c>
      <c r="E46" s="323"/>
      <c r="F46" s="323">
        <v>41075</v>
      </c>
      <c r="G46" s="323"/>
      <c r="H46" s="323">
        <v>41075</v>
      </c>
      <c r="I46" s="323"/>
      <c r="J46" s="323">
        <v>41075</v>
      </c>
      <c r="K46" s="296"/>
      <c r="L46" s="323">
        <v>41075</v>
      </c>
      <c r="M46" s="296"/>
      <c r="N46" s="323">
        <v>41075</v>
      </c>
      <c r="O46" s="296"/>
      <c r="P46" s="323">
        <v>41075</v>
      </c>
      <c r="Q46" s="296"/>
      <c r="R46" s="323"/>
      <c r="S46" s="296"/>
      <c r="T46" s="296"/>
      <c r="U46" s="288"/>
      <c r="V46" s="288"/>
      <c r="W46" s="289"/>
      <c r="X46" s="5"/>
    </row>
    <row r="47" spans="1:27" ht="15.75" x14ac:dyDescent="0.25">
      <c r="A47" s="285"/>
      <c r="B47" s="286" t="s">
        <v>119</v>
      </c>
      <c r="C47" s="286"/>
      <c r="D47" s="296" t="s">
        <v>304</v>
      </c>
      <c r="E47" s="286"/>
      <c r="F47" s="296" t="s">
        <v>256</v>
      </c>
      <c r="G47" s="296"/>
      <c r="H47" s="296" t="s">
        <v>257</v>
      </c>
      <c r="I47" s="296"/>
      <c r="J47" s="296" t="s">
        <v>258</v>
      </c>
      <c r="K47" s="296"/>
      <c r="L47" s="296" t="s">
        <v>259</v>
      </c>
      <c r="M47" s="296"/>
      <c r="N47" s="296" t="s">
        <v>259</v>
      </c>
      <c r="O47" s="296"/>
      <c r="P47" s="296" t="s">
        <v>260</v>
      </c>
      <c r="Q47" s="296"/>
      <c r="R47" s="296"/>
      <c r="S47" s="325"/>
      <c r="T47" s="325"/>
      <c r="U47" s="325"/>
      <c r="V47" s="325"/>
      <c r="W47" s="289"/>
      <c r="X47" s="5"/>
    </row>
    <row r="48" spans="1:27" ht="15.75" x14ac:dyDescent="0.25">
      <c r="A48" s="285"/>
      <c r="B48" s="286" t="s">
        <v>292</v>
      </c>
      <c r="C48" s="286"/>
      <c r="D48" s="296" t="s">
        <v>311</v>
      </c>
      <c r="E48" s="286"/>
      <c r="F48" s="296" t="s">
        <v>256</v>
      </c>
      <c r="G48" s="296"/>
      <c r="H48" s="296" t="s">
        <v>261</v>
      </c>
      <c r="I48" s="296"/>
      <c r="J48" s="296" t="s">
        <v>261</v>
      </c>
      <c r="K48" s="296"/>
      <c r="L48" s="296" t="s">
        <v>259</v>
      </c>
      <c r="M48" s="296"/>
      <c r="N48" s="296" t="s">
        <v>263</v>
      </c>
      <c r="O48" s="296"/>
      <c r="P48" s="296" t="s">
        <v>264</v>
      </c>
      <c r="Q48" s="296"/>
      <c r="R48" s="296"/>
      <c r="S48" s="286"/>
      <c r="T48" s="286"/>
      <c r="U48" s="286"/>
      <c r="V48" s="321"/>
      <c r="W48" s="289"/>
      <c r="X48" s="5"/>
    </row>
    <row r="49" spans="1:25" ht="15.75" x14ac:dyDescent="0.25">
      <c r="A49" s="285"/>
      <c r="B49" s="286"/>
      <c r="C49" s="286"/>
      <c r="D49" s="296"/>
      <c r="E49" s="286"/>
      <c r="F49" s="296"/>
      <c r="G49" s="296"/>
      <c r="H49" s="296"/>
      <c r="I49" s="296"/>
      <c r="J49" s="296"/>
      <c r="K49" s="296"/>
      <c r="L49" s="296"/>
      <c r="M49" s="296"/>
      <c r="N49" s="296"/>
      <c r="O49" s="296"/>
      <c r="P49" s="296"/>
      <c r="Q49" s="296"/>
      <c r="R49" s="296"/>
      <c r="S49" s="286"/>
      <c r="T49" s="286"/>
      <c r="U49" s="286"/>
      <c r="V49" s="321" t="s">
        <v>193</v>
      </c>
      <c r="W49" s="289"/>
      <c r="X49" s="5"/>
    </row>
    <row r="50" spans="1:25" ht="15.75" x14ac:dyDescent="0.25">
      <c r="A50" s="285"/>
      <c r="B50" s="286" t="s">
        <v>169</v>
      </c>
      <c r="C50" s="286"/>
      <c r="D50" s="296"/>
      <c r="E50" s="286"/>
      <c r="F50" s="296"/>
      <c r="G50" s="296"/>
      <c r="H50" s="296"/>
      <c r="I50" s="296"/>
      <c r="J50" s="296"/>
      <c r="K50" s="296"/>
      <c r="L50" s="296"/>
      <c r="M50" s="296"/>
      <c r="N50" s="296"/>
      <c r="O50" s="296"/>
      <c r="P50" s="296"/>
      <c r="Q50" s="296"/>
      <c r="R50" s="296"/>
      <c r="S50" s="286"/>
      <c r="T50" s="286"/>
      <c r="U50" s="286"/>
      <c r="V50" s="321">
        <f>SUM(L34:R34)/SUM(D34:J34)</f>
        <v>0.17632136449250416</v>
      </c>
      <c r="W50" s="289"/>
      <c r="X50" s="5"/>
    </row>
    <row r="51" spans="1:25" ht="15.75" x14ac:dyDescent="0.25">
      <c r="A51" s="285"/>
      <c r="B51" s="286" t="s">
        <v>170</v>
      </c>
      <c r="C51" s="286"/>
      <c r="D51" s="286"/>
      <c r="E51" s="286"/>
      <c r="F51" s="326"/>
      <c r="G51" s="286"/>
      <c r="H51" s="286"/>
      <c r="I51" s="286"/>
      <c r="J51" s="286"/>
      <c r="K51" s="286"/>
      <c r="L51" s="286"/>
      <c r="M51" s="286"/>
      <c r="N51" s="286"/>
      <c r="O51" s="286"/>
      <c r="P51" s="286"/>
      <c r="Q51" s="286"/>
      <c r="R51" s="286"/>
      <c r="S51" s="286"/>
      <c r="T51" s="286"/>
      <c r="U51" s="286"/>
      <c r="V51" s="321">
        <f>SUM(L36:R36)/SUM(D36:J36)</f>
        <v>0.26000669609265492</v>
      </c>
      <c r="W51" s="289"/>
      <c r="X51" s="5"/>
    </row>
    <row r="52" spans="1:25" ht="15.75" x14ac:dyDescent="0.25">
      <c r="A52" s="285"/>
      <c r="B52" s="286" t="s">
        <v>171</v>
      </c>
      <c r="C52" s="286"/>
      <c r="D52" s="286"/>
      <c r="E52" s="286"/>
      <c r="F52" s="286"/>
      <c r="G52" s="286"/>
      <c r="H52" s="286"/>
      <c r="I52" s="286"/>
      <c r="J52" s="286"/>
      <c r="K52" s="286"/>
      <c r="L52" s="286"/>
      <c r="M52" s="286"/>
      <c r="N52" s="286"/>
      <c r="O52" s="286"/>
      <c r="P52" s="286"/>
      <c r="Q52" s="286"/>
      <c r="R52" s="286"/>
      <c r="S52" s="286"/>
      <c r="T52" s="296"/>
      <c r="U52" s="296"/>
      <c r="V52" s="299" t="s">
        <v>268</v>
      </c>
      <c r="W52" s="289"/>
      <c r="X52" s="5"/>
    </row>
    <row r="53" spans="1:25" ht="15.75" x14ac:dyDescent="0.25">
      <c r="A53" s="285"/>
      <c r="B53" s="286"/>
      <c r="C53" s="286"/>
      <c r="D53" s="286"/>
      <c r="E53" s="286"/>
      <c r="F53" s="286"/>
      <c r="G53" s="286"/>
      <c r="H53" s="286"/>
      <c r="I53" s="286"/>
      <c r="J53" s="286"/>
      <c r="K53" s="286"/>
      <c r="L53" s="286"/>
      <c r="M53" s="286"/>
      <c r="N53" s="286"/>
      <c r="O53" s="286"/>
      <c r="P53" s="286"/>
      <c r="Q53" s="286"/>
      <c r="R53" s="286"/>
      <c r="S53" s="286"/>
      <c r="T53" s="286"/>
      <c r="U53" s="286"/>
      <c r="V53" s="327"/>
      <c r="W53" s="289"/>
      <c r="X53" s="5"/>
    </row>
    <row r="54" spans="1:25" ht="15.75" x14ac:dyDescent="0.25">
      <c r="A54" s="285"/>
      <c r="B54" s="286" t="s">
        <v>202</v>
      </c>
      <c r="C54" s="286"/>
      <c r="D54" s="286"/>
      <c r="E54" s="286"/>
      <c r="F54" s="286"/>
      <c r="G54" s="286"/>
      <c r="H54" s="286"/>
      <c r="I54" s="286"/>
      <c r="J54" s="286"/>
      <c r="K54" s="286"/>
      <c r="L54" s="286"/>
      <c r="M54" s="286"/>
      <c r="N54" s="286"/>
      <c r="O54" s="286"/>
      <c r="P54" s="286"/>
      <c r="Q54" s="286"/>
      <c r="R54" s="286"/>
      <c r="S54" s="286"/>
      <c r="T54" s="286"/>
      <c r="U54" s="286"/>
      <c r="V54" s="311" t="s">
        <v>203</v>
      </c>
      <c r="W54" s="289"/>
      <c r="X54" s="5"/>
    </row>
    <row r="55" spans="1:25" ht="15.75" x14ac:dyDescent="0.25">
      <c r="A55" s="285"/>
      <c r="B55" s="286" t="s">
        <v>270</v>
      </c>
      <c r="C55" s="286"/>
      <c r="D55" s="286"/>
      <c r="E55" s="286"/>
      <c r="F55" s="286"/>
      <c r="G55" s="286"/>
      <c r="H55" s="286"/>
      <c r="I55" s="286"/>
      <c r="J55" s="286"/>
      <c r="K55" s="286"/>
      <c r="L55" s="286"/>
      <c r="M55" s="286"/>
      <c r="N55" s="286"/>
      <c r="O55" s="286"/>
      <c r="P55" s="286"/>
      <c r="Q55" s="286"/>
      <c r="R55" s="286"/>
      <c r="S55" s="286"/>
      <c r="T55" s="296"/>
      <c r="U55" s="296"/>
      <c r="V55" s="396" t="s">
        <v>111</v>
      </c>
      <c r="W55" s="289"/>
      <c r="X55" s="5"/>
    </row>
    <row r="56" spans="1:25" ht="15.75" x14ac:dyDescent="0.25">
      <c r="A56" s="285"/>
      <c r="B56" s="297" t="s">
        <v>201</v>
      </c>
      <c r="C56" s="297"/>
      <c r="D56" s="297"/>
      <c r="E56" s="297"/>
      <c r="F56" s="297"/>
      <c r="G56" s="297"/>
      <c r="H56" s="297"/>
      <c r="I56" s="297"/>
      <c r="J56" s="297"/>
      <c r="K56" s="297"/>
      <c r="L56" s="297"/>
      <c r="M56" s="297"/>
      <c r="N56" s="297"/>
      <c r="O56" s="297"/>
      <c r="P56" s="297"/>
      <c r="Q56" s="297"/>
      <c r="R56" s="297"/>
      <c r="S56" s="297"/>
      <c r="T56" s="397"/>
      <c r="U56" s="397"/>
      <c r="V56" s="398">
        <v>42353</v>
      </c>
      <c r="W56" s="289"/>
      <c r="X56" s="5"/>
    </row>
    <row r="57" spans="1:25" ht="15.75" x14ac:dyDescent="0.25">
      <c r="A57" s="285"/>
      <c r="B57" s="286" t="s">
        <v>121</v>
      </c>
      <c r="C57" s="286"/>
      <c r="D57" s="286"/>
      <c r="E57" s="286"/>
      <c r="F57" s="286"/>
      <c r="G57" s="286"/>
      <c r="H57" s="332"/>
      <c r="I57" s="332"/>
      <c r="J57" s="332"/>
      <c r="K57" s="332"/>
      <c r="L57" s="332"/>
      <c r="M57" s="332"/>
      <c r="N57" s="332"/>
      <c r="O57" s="332"/>
      <c r="P57" s="332"/>
      <c r="Q57" s="332"/>
      <c r="R57" s="286">
        <f>+V57-T57+1</f>
        <v>92</v>
      </c>
      <c r="S57" s="332"/>
      <c r="T57" s="333">
        <v>42170</v>
      </c>
      <c r="U57" s="334"/>
      <c r="V57" s="333">
        <v>42261</v>
      </c>
      <c r="W57" s="289"/>
      <c r="X57" s="5"/>
    </row>
    <row r="58" spans="1:25" ht="15.75" x14ac:dyDescent="0.25">
      <c r="A58" s="285"/>
      <c r="B58" s="286" t="s">
        <v>122</v>
      </c>
      <c r="C58" s="286"/>
      <c r="D58" s="286"/>
      <c r="E58" s="286"/>
      <c r="F58" s="286"/>
      <c r="G58" s="286"/>
      <c r="H58" s="286"/>
      <c r="I58" s="286"/>
      <c r="J58" s="286"/>
      <c r="K58" s="286"/>
      <c r="L58" s="286"/>
      <c r="M58" s="286"/>
      <c r="N58" s="286"/>
      <c r="O58" s="286"/>
      <c r="P58" s="286"/>
      <c r="Q58" s="286"/>
      <c r="R58" s="286">
        <f>+V58-T58+1</f>
        <v>91</v>
      </c>
      <c r="S58" s="286"/>
      <c r="T58" s="333">
        <v>42262</v>
      </c>
      <c r="U58" s="334"/>
      <c r="V58" s="333">
        <v>42352</v>
      </c>
      <c r="W58" s="289"/>
      <c r="X58" s="5"/>
    </row>
    <row r="59" spans="1:25" ht="15.75" x14ac:dyDescent="0.25">
      <c r="A59" s="285"/>
      <c r="B59" s="286" t="s">
        <v>223</v>
      </c>
      <c r="C59" s="286"/>
      <c r="D59" s="286"/>
      <c r="E59" s="286"/>
      <c r="F59" s="286"/>
      <c r="G59" s="286"/>
      <c r="H59" s="286"/>
      <c r="I59" s="286"/>
      <c r="J59" s="286"/>
      <c r="K59" s="286"/>
      <c r="L59" s="286"/>
      <c r="M59" s="286"/>
      <c r="N59" s="286"/>
      <c r="O59" s="286"/>
      <c r="P59" s="286"/>
      <c r="Q59" s="286"/>
      <c r="R59" s="286"/>
      <c r="S59" s="286"/>
      <c r="T59" s="333"/>
      <c r="U59" s="334"/>
      <c r="V59" s="333" t="s">
        <v>120</v>
      </c>
      <c r="W59" s="289"/>
      <c r="X59" s="5"/>
    </row>
    <row r="60" spans="1:25" ht="15.75" x14ac:dyDescent="0.25">
      <c r="A60" s="285"/>
      <c r="B60" s="286" t="s">
        <v>271</v>
      </c>
      <c r="C60" s="286"/>
      <c r="D60" s="286"/>
      <c r="E60" s="286"/>
      <c r="F60" s="286"/>
      <c r="G60" s="286"/>
      <c r="H60" s="286"/>
      <c r="I60" s="286"/>
      <c r="J60" s="286"/>
      <c r="K60" s="286"/>
      <c r="L60" s="286"/>
      <c r="M60" s="286"/>
      <c r="N60" s="286"/>
      <c r="O60" s="286"/>
      <c r="P60" s="286"/>
      <c r="Q60" s="286"/>
      <c r="R60" s="286"/>
      <c r="S60" s="286"/>
      <c r="T60" s="333"/>
      <c r="U60" s="334"/>
      <c r="V60" s="333" t="s">
        <v>154</v>
      </c>
      <c r="W60" s="289"/>
      <c r="X60" s="5"/>
      <c r="Y60" s="133"/>
    </row>
    <row r="61" spans="1:25" ht="15.75" x14ac:dyDescent="0.25">
      <c r="A61" s="285"/>
      <c r="B61" s="286" t="s">
        <v>16</v>
      </c>
      <c r="C61" s="286"/>
      <c r="D61" s="286"/>
      <c r="E61" s="286"/>
      <c r="F61" s="286"/>
      <c r="G61" s="286"/>
      <c r="H61" s="286"/>
      <c r="I61" s="286"/>
      <c r="J61" s="286"/>
      <c r="K61" s="286"/>
      <c r="L61" s="286"/>
      <c r="M61" s="286"/>
      <c r="N61" s="286"/>
      <c r="O61" s="286"/>
      <c r="P61" s="286"/>
      <c r="Q61" s="286"/>
      <c r="R61" s="286"/>
      <c r="S61" s="286"/>
      <c r="T61" s="333"/>
      <c r="U61" s="334"/>
      <c r="V61" s="333">
        <v>42339</v>
      </c>
      <c r="W61" s="289"/>
      <c r="X61" s="5"/>
    </row>
    <row r="62" spans="1:25" ht="15.75" x14ac:dyDescent="0.25">
      <c r="A62" s="181"/>
      <c r="B62" s="212"/>
      <c r="C62" s="212"/>
      <c r="D62" s="212"/>
      <c r="E62" s="212"/>
      <c r="F62" s="212"/>
      <c r="G62" s="212"/>
      <c r="H62" s="212"/>
      <c r="I62" s="212"/>
      <c r="J62" s="212"/>
      <c r="K62" s="212"/>
      <c r="L62" s="212"/>
      <c r="M62" s="212"/>
      <c r="N62" s="212"/>
      <c r="O62" s="212"/>
      <c r="P62" s="212"/>
      <c r="Q62" s="212"/>
      <c r="R62" s="212"/>
      <c r="S62" s="212"/>
      <c r="T62" s="283"/>
      <c r="U62" s="284"/>
      <c r="V62" s="283"/>
      <c r="W62" s="212"/>
      <c r="X62" s="5"/>
    </row>
    <row r="63" spans="1:25" ht="15.75" x14ac:dyDescent="0.25">
      <c r="A63" s="181"/>
      <c r="B63" s="183"/>
      <c r="C63" s="183"/>
      <c r="D63" s="183"/>
      <c r="E63" s="183"/>
      <c r="F63" s="183"/>
      <c r="G63" s="183"/>
      <c r="H63" s="183"/>
      <c r="I63" s="183"/>
      <c r="J63" s="183"/>
      <c r="K63" s="183"/>
      <c r="L63" s="183"/>
      <c r="M63" s="183"/>
      <c r="N63" s="183"/>
      <c r="O63" s="183"/>
      <c r="P63" s="183"/>
      <c r="Q63" s="183"/>
      <c r="R63" s="183"/>
      <c r="S63" s="183"/>
      <c r="T63" s="195"/>
      <c r="U63" s="196"/>
      <c r="V63" s="195"/>
      <c r="W63" s="183"/>
      <c r="X63" s="5"/>
    </row>
    <row r="64" spans="1:25" ht="19.5" thickBot="1" x14ac:dyDescent="0.35">
      <c r="A64" s="197"/>
      <c r="B64" s="270" t="s">
        <v>333</v>
      </c>
      <c r="C64" s="198"/>
      <c r="D64" s="198"/>
      <c r="E64" s="198"/>
      <c r="F64" s="198"/>
      <c r="G64" s="198"/>
      <c r="H64" s="198"/>
      <c r="I64" s="198"/>
      <c r="J64" s="198"/>
      <c r="K64" s="198"/>
      <c r="L64" s="198"/>
      <c r="M64" s="198"/>
      <c r="N64" s="198"/>
      <c r="O64" s="198"/>
      <c r="P64" s="198"/>
      <c r="Q64" s="198"/>
      <c r="R64" s="198"/>
      <c r="S64" s="198"/>
      <c r="T64" s="198"/>
      <c r="U64" s="198"/>
      <c r="V64" s="199"/>
      <c r="W64" s="200"/>
      <c r="X64" s="5"/>
    </row>
    <row r="65" spans="1:24" ht="15.75" x14ac:dyDescent="0.25">
      <c r="A65" s="224"/>
      <c r="B65" s="230" t="s">
        <v>17</v>
      </c>
      <c r="C65" s="225"/>
      <c r="D65" s="225"/>
      <c r="E65" s="225"/>
      <c r="F65" s="225"/>
      <c r="G65" s="225"/>
      <c r="H65" s="225"/>
      <c r="I65" s="225"/>
      <c r="J65" s="225"/>
      <c r="K65" s="225"/>
      <c r="L65" s="225"/>
      <c r="M65" s="225"/>
      <c r="N65" s="225"/>
      <c r="O65" s="225"/>
      <c r="P65" s="225"/>
      <c r="Q65" s="225"/>
      <c r="R65" s="225"/>
      <c r="S65" s="225"/>
      <c r="T65" s="225"/>
      <c r="U65" s="225"/>
      <c r="V65" s="231"/>
      <c r="W65" s="225"/>
      <c r="X65" s="5"/>
    </row>
    <row r="66" spans="1:24" ht="15.75" x14ac:dyDescent="0.25">
      <c r="A66" s="181"/>
      <c r="B66" s="189"/>
      <c r="C66" s="183"/>
      <c r="D66" s="183"/>
      <c r="E66" s="183"/>
      <c r="F66" s="183"/>
      <c r="G66" s="183"/>
      <c r="H66" s="183"/>
      <c r="I66" s="183"/>
      <c r="J66" s="183"/>
      <c r="K66" s="183"/>
      <c r="L66" s="183"/>
      <c r="M66" s="183"/>
      <c r="N66" s="183"/>
      <c r="O66" s="183"/>
      <c r="P66" s="183"/>
      <c r="Q66" s="183"/>
      <c r="R66" s="183"/>
      <c r="S66" s="183"/>
      <c r="T66" s="183"/>
      <c r="U66" s="183"/>
      <c r="V66" s="202"/>
      <c r="W66" s="183"/>
      <c r="X66" s="5"/>
    </row>
    <row r="67" spans="1:24" ht="47.25" x14ac:dyDescent="0.25">
      <c r="A67" s="181"/>
      <c r="B67" s="203" t="s">
        <v>18</v>
      </c>
      <c r="C67" s="204"/>
      <c r="D67" s="204"/>
      <c r="E67" s="204"/>
      <c r="F67" s="204"/>
      <c r="G67" s="204"/>
      <c r="H67" s="204"/>
      <c r="I67" s="204"/>
      <c r="J67" s="204"/>
      <c r="K67" s="204"/>
      <c r="L67" s="204" t="s">
        <v>94</v>
      </c>
      <c r="M67" s="204"/>
      <c r="N67" s="204" t="s">
        <v>96</v>
      </c>
      <c r="O67" s="204"/>
      <c r="P67" s="204" t="s">
        <v>98</v>
      </c>
      <c r="Q67" s="204"/>
      <c r="R67" s="204" t="s">
        <v>100</v>
      </c>
      <c r="S67" s="204"/>
      <c r="T67" s="204" t="s">
        <v>106</v>
      </c>
      <c r="U67" s="204"/>
      <c r="V67" s="205" t="s">
        <v>112</v>
      </c>
      <c r="W67" s="206"/>
      <c r="X67" s="5"/>
    </row>
    <row r="68" spans="1:24" ht="15.75" x14ac:dyDescent="0.25">
      <c r="A68" s="285"/>
      <c r="B68" s="286" t="s">
        <v>19</v>
      </c>
      <c r="C68" s="337"/>
      <c r="D68" s="337"/>
      <c r="E68" s="337"/>
      <c r="F68" s="337"/>
      <c r="G68" s="337"/>
      <c r="H68" s="337"/>
      <c r="I68" s="337"/>
      <c r="J68" s="337"/>
      <c r="K68" s="337"/>
      <c r="L68" s="337">
        <v>812446</v>
      </c>
      <c r="M68" s="337"/>
      <c r="N68" s="338">
        <v>736256</v>
      </c>
      <c r="O68" s="337"/>
      <c r="P68" s="337">
        <f>9048+200+193</f>
        <v>9441</v>
      </c>
      <c r="Q68" s="337"/>
      <c r="R68" s="337">
        <f>200+193</f>
        <v>393</v>
      </c>
      <c r="S68" s="337"/>
      <c r="T68" s="337">
        <v>0</v>
      </c>
      <c r="U68" s="337"/>
      <c r="V68" s="338">
        <f>+N68-P68+R68-T68</f>
        <v>727208</v>
      </c>
      <c r="W68" s="289"/>
      <c r="X68" s="5"/>
    </row>
    <row r="69" spans="1:24" ht="15.75" x14ac:dyDescent="0.25">
      <c r="A69" s="285"/>
      <c r="B69" s="286" t="s">
        <v>20</v>
      </c>
      <c r="C69" s="337"/>
      <c r="D69" s="337"/>
      <c r="E69" s="337"/>
      <c r="F69" s="337"/>
      <c r="G69" s="337"/>
      <c r="H69" s="337"/>
      <c r="I69" s="337"/>
      <c r="J69" s="337"/>
      <c r="K69" s="337"/>
      <c r="L69" s="337">
        <v>0</v>
      </c>
      <c r="M69" s="337"/>
      <c r="N69" s="338">
        <v>0</v>
      </c>
      <c r="O69" s="337"/>
      <c r="P69" s="337">
        <v>0</v>
      </c>
      <c r="Q69" s="337"/>
      <c r="R69" s="337">
        <v>0</v>
      </c>
      <c r="S69" s="337"/>
      <c r="T69" s="337">
        <v>0</v>
      </c>
      <c r="U69" s="337"/>
      <c r="V69" s="338">
        <f>+L69-P69</f>
        <v>0</v>
      </c>
      <c r="W69" s="289"/>
      <c r="X69" s="5"/>
    </row>
    <row r="70" spans="1:24" ht="15.75" x14ac:dyDescent="0.25">
      <c r="A70" s="285"/>
      <c r="B70" s="286"/>
      <c r="C70" s="337"/>
      <c r="D70" s="337"/>
      <c r="E70" s="337"/>
      <c r="F70" s="337"/>
      <c r="G70" s="337"/>
      <c r="H70" s="337"/>
      <c r="I70" s="337"/>
      <c r="J70" s="337"/>
      <c r="K70" s="337"/>
      <c r="L70" s="337"/>
      <c r="M70" s="337"/>
      <c r="N70" s="338"/>
      <c r="O70" s="337"/>
      <c r="P70" s="337"/>
      <c r="Q70" s="337"/>
      <c r="R70" s="337"/>
      <c r="S70" s="337"/>
      <c r="T70" s="337"/>
      <c r="U70" s="337"/>
      <c r="V70" s="338"/>
      <c r="W70" s="289"/>
      <c r="X70" s="5"/>
    </row>
    <row r="71" spans="1:24" ht="15.75" x14ac:dyDescent="0.25">
      <c r="A71" s="285"/>
      <c r="B71" s="286" t="s">
        <v>21</v>
      </c>
      <c r="C71" s="337"/>
      <c r="D71" s="337"/>
      <c r="E71" s="337"/>
      <c r="F71" s="337"/>
      <c r="G71" s="337"/>
      <c r="H71" s="337"/>
      <c r="I71" s="337"/>
      <c r="J71" s="337"/>
      <c r="K71" s="337"/>
      <c r="L71" s="337">
        <f>SUM(L68:L70)</f>
        <v>812446</v>
      </c>
      <c r="M71" s="337"/>
      <c r="N71" s="337">
        <f>N68+N69</f>
        <v>736256</v>
      </c>
      <c r="O71" s="337"/>
      <c r="P71" s="337">
        <f>SUM(P68:P70)</f>
        <v>9441</v>
      </c>
      <c r="Q71" s="337"/>
      <c r="R71" s="337">
        <f>SUM(R68:R70)</f>
        <v>393</v>
      </c>
      <c r="S71" s="337"/>
      <c r="T71" s="337">
        <f>SUM(T68:T70)</f>
        <v>0</v>
      </c>
      <c r="U71" s="337"/>
      <c r="V71" s="337">
        <f>SUM(V68:V70)</f>
        <v>727208</v>
      </c>
      <c r="W71" s="289"/>
      <c r="X71" s="5"/>
    </row>
    <row r="72" spans="1:24" ht="15.75" x14ac:dyDescent="0.25">
      <c r="A72" s="181"/>
      <c r="B72" s="212"/>
      <c r="C72" s="335"/>
      <c r="D72" s="335"/>
      <c r="E72" s="335"/>
      <c r="F72" s="335"/>
      <c r="G72" s="335"/>
      <c r="H72" s="335"/>
      <c r="I72" s="335"/>
      <c r="J72" s="335"/>
      <c r="K72" s="335"/>
      <c r="L72" s="335"/>
      <c r="M72" s="335"/>
      <c r="N72" s="335"/>
      <c r="O72" s="335"/>
      <c r="P72" s="335"/>
      <c r="Q72" s="335"/>
      <c r="R72" s="335"/>
      <c r="S72" s="335"/>
      <c r="T72" s="335"/>
      <c r="U72" s="335"/>
      <c r="V72" s="336"/>
      <c r="W72" s="212"/>
      <c r="X72" s="5"/>
    </row>
    <row r="73" spans="1:24" ht="15.75" x14ac:dyDescent="0.25">
      <c r="A73" s="181"/>
      <c r="B73" s="185" t="s">
        <v>22</v>
      </c>
      <c r="C73" s="207"/>
      <c r="D73" s="207"/>
      <c r="E73" s="207"/>
      <c r="F73" s="207"/>
      <c r="G73" s="207"/>
      <c r="H73" s="207"/>
      <c r="I73" s="207"/>
      <c r="J73" s="207"/>
      <c r="K73" s="207"/>
      <c r="L73" s="207"/>
      <c r="M73" s="207"/>
      <c r="N73" s="207"/>
      <c r="O73" s="207"/>
      <c r="P73" s="207"/>
      <c r="Q73" s="207"/>
      <c r="R73" s="207"/>
      <c r="S73" s="207"/>
      <c r="T73" s="207"/>
      <c r="U73" s="207"/>
      <c r="V73" s="208"/>
      <c r="W73" s="183"/>
      <c r="X73" s="5"/>
    </row>
    <row r="74" spans="1:24" ht="15.75" x14ac:dyDescent="0.25">
      <c r="A74" s="181"/>
      <c r="B74" s="183"/>
      <c r="C74" s="207"/>
      <c r="D74" s="207"/>
      <c r="E74" s="207"/>
      <c r="F74" s="207"/>
      <c r="G74" s="207"/>
      <c r="H74" s="207"/>
      <c r="I74" s="207"/>
      <c r="J74" s="207"/>
      <c r="K74" s="207"/>
      <c r="L74" s="207"/>
      <c r="M74" s="207"/>
      <c r="N74" s="207"/>
      <c r="O74" s="207"/>
      <c r="P74" s="207"/>
      <c r="Q74" s="207"/>
      <c r="R74" s="207"/>
      <c r="S74" s="207"/>
      <c r="T74" s="207"/>
      <c r="U74" s="207"/>
      <c r="V74" s="208"/>
      <c r="W74" s="183"/>
      <c r="X74" s="5"/>
    </row>
    <row r="75" spans="1:24" ht="15.75" x14ac:dyDescent="0.25">
      <c r="A75" s="285"/>
      <c r="B75" s="286" t="s">
        <v>19</v>
      </c>
      <c r="C75" s="337"/>
      <c r="D75" s="337"/>
      <c r="E75" s="337"/>
      <c r="F75" s="337"/>
      <c r="G75" s="337"/>
      <c r="H75" s="337"/>
      <c r="I75" s="337"/>
      <c r="J75" s="337"/>
      <c r="K75" s="337"/>
      <c r="L75" s="337"/>
      <c r="M75" s="337"/>
      <c r="N75" s="337"/>
      <c r="O75" s="337"/>
      <c r="P75" s="337"/>
      <c r="Q75" s="337"/>
      <c r="R75" s="337"/>
      <c r="S75" s="337"/>
      <c r="T75" s="337"/>
      <c r="U75" s="337"/>
      <c r="V75" s="337"/>
      <c r="W75" s="289"/>
      <c r="X75" s="5"/>
    </row>
    <row r="76" spans="1:24" ht="15.75" x14ac:dyDescent="0.25">
      <c r="A76" s="285"/>
      <c r="B76" s="286" t="s">
        <v>20</v>
      </c>
      <c r="C76" s="337"/>
      <c r="D76" s="337"/>
      <c r="E76" s="337"/>
      <c r="F76" s="337"/>
      <c r="G76" s="337"/>
      <c r="H76" s="337"/>
      <c r="I76" s="337"/>
      <c r="J76" s="337"/>
      <c r="K76" s="337"/>
      <c r="L76" s="337"/>
      <c r="M76" s="337"/>
      <c r="N76" s="337"/>
      <c r="O76" s="337"/>
      <c r="P76" s="337"/>
      <c r="Q76" s="337"/>
      <c r="R76" s="337"/>
      <c r="S76" s="337"/>
      <c r="T76" s="337"/>
      <c r="U76" s="337"/>
      <c r="V76" s="337"/>
      <c r="W76" s="289"/>
      <c r="X76" s="5"/>
    </row>
    <row r="77" spans="1:24" ht="15.75" x14ac:dyDescent="0.25">
      <c r="A77" s="285"/>
      <c r="B77" s="286"/>
      <c r="C77" s="337"/>
      <c r="D77" s="337"/>
      <c r="E77" s="337"/>
      <c r="F77" s="337"/>
      <c r="G77" s="337"/>
      <c r="H77" s="337"/>
      <c r="I77" s="337"/>
      <c r="J77" s="337"/>
      <c r="K77" s="337"/>
      <c r="L77" s="337"/>
      <c r="M77" s="337"/>
      <c r="N77" s="337"/>
      <c r="O77" s="337"/>
      <c r="P77" s="337"/>
      <c r="Q77" s="337"/>
      <c r="R77" s="337"/>
      <c r="S77" s="337"/>
      <c r="T77" s="337"/>
      <c r="U77" s="337"/>
      <c r="V77" s="337"/>
      <c r="W77" s="289"/>
      <c r="X77" s="5"/>
    </row>
    <row r="78" spans="1:24" ht="15.75" x14ac:dyDescent="0.25">
      <c r="A78" s="285"/>
      <c r="B78" s="286" t="s">
        <v>21</v>
      </c>
      <c r="C78" s="337"/>
      <c r="D78" s="337"/>
      <c r="E78" s="337"/>
      <c r="F78" s="337"/>
      <c r="G78" s="337"/>
      <c r="H78" s="337"/>
      <c r="I78" s="337"/>
      <c r="J78" s="337"/>
      <c r="K78" s="337"/>
      <c r="L78" s="337"/>
      <c r="M78" s="337"/>
      <c r="N78" s="337"/>
      <c r="O78" s="337"/>
      <c r="P78" s="337"/>
      <c r="Q78" s="337"/>
      <c r="R78" s="337"/>
      <c r="S78" s="337"/>
      <c r="T78" s="337"/>
      <c r="U78" s="337"/>
      <c r="V78" s="337"/>
      <c r="W78" s="289"/>
      <c r="X78" s="5"/>
    </row>
    <row r="79" spans="1:24" ht="15.75" x14ac:dyDescent="0.25">
      <c r="A79" s="285"/>
      <c r="B79" s="286"/>
      <c r="C79" s="337"/>
      <c r="D79" s="337"/>
      <c r="E79" s="337"/>
      <c r="F79" s="337"/>
      <c r="G79" s="337"/>
      <c r="H79" s="337"/>
      <c r="I79" s="337"/>
      <c r="J79" s="337"/>
      <c r="K79" s="337"/>
      <c r="L79" s="337"/>
      <c r="M79" s="337"/>
      <c r="N79" s="337"/>
      <c r="O79" s="337"/>
      <c r="P79" s="337"/>
      <c r="Q79" s="337"/>
      <c r="R79" s="337"/>
      <c r="S79" s="337"/>
      <c r="T79" s="337"/>
      <c r="U79" s="337"/>
      <c r="V79" s="337"/>
      <c r="W79" s="289"/>
      <c r="X79" s="5"/>
    </row>
    <row r="80" spans="1:24" ht="15.75" x14ac:dyDescent="0.25">
      <c r="A80" s="285"/>
      <c r="B80" s="286" t="s">
        <v>23</v>
      </c>
      <c r="C80" s="337"/>
      <c r="D80" s="337"/>
      <c r="E80" s="337"/>
      <c r="F80" s="337"/>
      <c r="G80" s="337"/>
      <c r="H80" s="337"/>
      <c r="I80" s="337"/>
      <c r="J80" s="337"/>
      <c r="K80" s="337"/>
      <c r="L80" s="337">
        <v>0</v>
      </c>
      <c r="M80" s="337"/>
      <c r="N80" s="337">
        <v>0</v>
      </c>
      <c r="O80" s="337"/>
      <c r="P80" s="337"/>
      <c r="Q80" s="337"/>
      <c r="R80" s="337"/>
      <c r="S80" s="337"/>
      <c r="T80" s="337"/>
      <c r="U80" s="337"/>
      <c r="V80" s="338">
        <v>0</v>
      </c>
      <c r="W80" s="289"/>
      <c r="X80" s="5"/>
    </row>
    <row r="81" spans="1:24" ht="15.75" x14ac:dyDescent="0.25">
      <c r="A81" s="285"/>
      <c r="B81" s="286" t="s">
        <v>117</v>
      </c>
      <c r="C81" s="337"/>
      <c r="D81" s="337"/>
      <c r="E81" s="337"/>
      <c r="F81" s="337"/>
      <c r="G81" s="337"/>
      <c r="H81" s="337"/>
      <c r="I81" s="337"/>
      <c r="J81" s="337"/>
      <c r="K81" s="337"/>
      <c r="L81" s="337">
        <v>188687</v>
      </c>
      <c r="M81" s="337"/>
      <c r="N81" s="337">
        <v>0</v>
      </c>
      <c r="O81" s="337"/>
      <c r="P81" s="337">
        <v>0</v>
      </c>
      <c r="Q81" s="337"/>
      <c r="R81" s="337"/>
      <c r="S81" s="337"/>
      <c r="T81" s="337"/>
      <c r="U81" s="337"/>
      <c r="V81" s="337">
        <f>SUM(N81:R81)</f>
        <v>0</v>
      </c>
      <c r="W81" s="289"/>
      <c r="X81" s="5"/>
    </row>
    <row r="82" spans="1:24" ht="15.75" x14ac:dyDescent="0.25">
      <c r="A82" s="285"/>
      <c r="B82" s="286"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89"/>
      <c r="X82" s="5"/>
    </row>
    <row r="83" spans="1:24" ht="15.75" x14ac:dyDescent="0.25">
      <c r="A83" s="285"/>
      <c r="B83" s="286" t="s">
        <v>25</v>
      </c>
      <c r="C83" s="337"/>
      <c r="D83" s="337"/>
      <c r="E83" s="337"/>
      <c r="F83" s="337"/>
      <c r="G83" s="337"/>
      <c r="H83" s="337"/>
      <c r="I83" s="337"/>
      <c r="J83" s="337"/>
      <c r="K83" s="337"/>
      <c r="L83" s="337">
        <v>0</v>
      </c>
      <c r="M83" s="337"/>
      <c r="N83" s="337">
        <v>0</v>
      </c>
      <c r="O83" s="337"/>
      <c r="P83" s="337"/>
      <c r="Q83" s="337"/>
      <c r="R83" s="337"/>
      <c r="S83" s="337"/>
      <c r="T83" s="337"/>
      <c r="U83" s="337"/>
      <c r="V83" s="337">
        <v>0</v>
      </c>
      <c r="W83" s="289"/>
      <c r="X83" s="5"/>
    </row>
    <row r="84" spans="1:24" ht="15.75" x14ac:dyDescent="0.25">
      <c r="A84" s="285"/>
      <c r="B84" s="286" t="s">
        <v>26</v>
      </c>
      <c r="C84" s="337"/>
      <c r="D84" s="337"/>
      <c r="E84" s="337"/>
      <c r="F84" s="337"/>
      <c r="G84" s="337"/>
      <c r="H84" s="337"/>
      <c r="I84" s="337"/>
      <c r="J84" s="337"/>
      <c r="K84" s="337"/>
      <c r="L84" s="337">
        <f>SUM(L71:L83)</f>
        <v>1001133</v>
      </c>
      <c r="M84" s="337"/>
      <c r="N84" s="337">
        <f>SUM(N71:N83)</f>
        <v>736256</v>
      </c>
      <c r="O84" s="337"/>
      <c r="P84" s="337"/>
      <c r="Q84" s="337"/>
      <c r="R84" s="337"/>
      <c r="S84" s="337"/>
      <c r="T84" s="337"/>
      <c r="U84" s="337"/>
      <c r="V84" s="337">
        <f>SUM(V71:V83)</f>
        <v>727208</v>
      </c>
      <c r="W84" s="289"/>
      <c r="X84" s="5"/>
    </row>
    <row r="85" spans="1:24" ht="15.75" x14ac:dyDescent="0.25">
      <c r="A85" s="181"/>
      <c r="B85" s="212"/>
      <c r="C85" s="335"/>
      <c r="D85" s="335"/>
      <c r="E85" s="335"/>
      <c r="F85" s="335"/>
      <c r="G85" s="335"/>
      <c r="H85" s="335"/>
      <c r="I85" s="335"/>
      <c r="J85" s="335"/>
      <c r="K85" s="335"/>
      <c r="L85" s="335"/>
      <c r="M85" s="335"/>
      <c r="N85" s="335"/>
      <c r="O85" s="335"/>
      <c r="P85" s="335"/>
      <c r="Q85" s="335"/>
      <c r="R85" s="335"/>
      <c r="S85" s="335"/>
      <c r="T85" s="335"/>
      <c r="U85" s="335"/>
      <c r="V85" s="336"/>
      <c r="W85" s="212"/>
      <c r="X85" s="5"/>
    </row>
    <row r="86" spans="1:24" ht="15.75" x14ac:dyDescent="0.25">
      <c r="A86" s="181"/>
      <c r="B86" s="183"/>
      <c r="C86" s="183"/>
      <c r="D86" s="183"/>
      <c r="E86" s="183"/>
      <c r="F86" s="183"/>
      <c r="G86" s="183"/>
      <c r="H86" s="183"/>
      <c r="I86" s="183"/>
      <c r="J86" s="183"/>
      <c r="K86" s="183"/>
      <c r="L86" s="183"/>
      <c r="M86" s="183"/>
      <c r="N86" s="183"/>
      <c r="O86" s="183"/>
      <c r="P86" s="183"/>
      <c r="Q86" s="183"/>
      <c r="R86" s="183"/>
      <c r="S86" s="183"/>
      <c r="T86" s="183"/>
      <c r="U86" s="183"/>
      <c r="V86" s="183"/>
      <c r="W86" s="183"/>
      <c r="X86" s="5"/>
    </row>
    <row r="87" spans="1:24" ht="15.75" x14ac:dyDescent="0.25">
      <c r="A87" s="224"/>
      <c r="B87" s="399" t="s">
        <v>27</v>
      </c>
      <c r="C87" s="399"/>
      <c r="D87" s="399"/>
      <c r="E87" s="399"/>
      <c r="F87" s="399"/>
      <c r="G87" s="399"/>
      <c r="H87" s="400"/>
      <c r="I87" s="400"/>
      <c r="J87" s="400"/>
      <c r="K87" s="400"/>
      <c r="L87" s="401" t="s">
        <v>95</v>
      </c>
      <c r="M87" s="400"/>
      <c r="N87" s="402">
        <f>+T202</f>
        <v>42338</v>
      </c>
      <c r="O87" s="400"/>
      <c r="P87" s="400"/>
      <c r="Q87" s="400"/>
      <c r="R87" s="400"/>
      <c r="S87" s="400"/>
      <c r="T87" s="400" t="s">
        <v>107</v>
      </c>
      <c r="U87" s="400"/>
      <c r="V87" s="400" t="s">
        <v>113</v>
      </c>
      <c r="W87" s="225"/>
      <c r="X87" s="5"/>
    </row>
    <row r="88" spans="1:24" ht="15.75" x14ac:dyDescent="0.25">
      <c r="A88" s="248"/>
      <c r="B88" s="250" t="s">
        <v>28</v>
      </c>
      <c r="C88" s="194"/>
      <c r="D88" s="194"/>
      <c r="E88" s="194"/>
      <c r="F88" s="194"/>
      <c r="G88" s="194"/>
      <c r="H88" s="194"/>
      <c r="I88" s="194"/>
      <c r="J88" s="194"/>
      <c r="K88" s="194"/>
      <c r="L88" s="194"/>
      <c r="M88" s="194"/>
      <c r="N88" s="194"/>
      <c r="O88" s="194"/>
      <c r="P88" s="194"/>
      <c r="Q88" s="194"/>
      <c r="R88" s="194"/>
      <c r="S88" s="194"/>
      <c r="T88" s="249">
        <v>0</v>
      </c>
      <c r="U88" s="250"/>
      <c r="V88" s="253">
        <v>0</v>
      </c>
      <c r="W88" s="194"/>
      <c r="X88" s="5"/>
    </row>
    <row r="89" spans="1:24" ht="15.75" x14ac:dyDescent="0.25">
      <c r="A89" s="295"/>
      <c r="B89" s="286" t="s">
        <v>29</v>
      </c>
      <c r="C89" s="314"/>
      <c r="D89" s="314"/>
      <c r="E89" s="314"/>
      <c r="F89" s="314"/>
      <c r="G89" s="314"/>
      <c r="H89" s="339"/>
      <c r="I89" s="339"/>
      <c r="J89" s="339"/>
      <c r="K89" s="340"/>
      <c r="L89" s="339"/>
      <c r="M89" s="314"/>
      <c r="N89" s="341"/>
      <c r="O89" s="314"/>
      <c r="P89" s="314"/>
      <c r="Q89" s="314"/>
      <c r="R89" s="314"/>
      <c r="S89" s="314"/>
      <c r="T89" s="337">
        <f>9441-75</f>
        <v>9366</v>
      </c>
      <c r="U89" s="286"/>
      <c r="V89" s="338"/>
      <c r="W89" s="318"/>
      <c r="X89" s="5"/>
    </row>
    <row r="90" spans="1:24" ht="15.75" x14ac:dyDescent="0.25">
      <c r="A90" s="295"/>
      <c r="B90" s="286" t="s">
        <v>215</v>
      </c>
      <c r="C90" s="314"/>
      <c r="D90" s="314"/>
      <c r="E90" s="314"/>
      <c r="F90" s="314"/>
      <c r="G90" s="314"/>
      <c r="H90" s="339"/>
      <c r="I90" s="339"/>
      <c r="J90" s="339"/>
      <c r="K90" s="340"/>
      <c r="L90" s="339"/>
      <c r="M90" s="314"/>
      <c r="N90" s="341"/>
      <c r="O90" s="314"/>
      <c r="P90" s="314"/>
      <c r="Q90" s="314"/>
      <c r="R90" s="314"/>
      <c r="S90" s="314"/>
      <c r="T90" s="337"/>
      <c r="U90" s="286"/>
      <c r="V90" s="338">
        <f>3115+2555-544-457</f>
        <v>4669</v>
      </c>
      <c r="W90" s="318"/>
      <c r="X90" s="5"/>
    </row>
    <row r="91" spans="1:24" ht="15.75" x14ac:dyDescent="0.25">
      <c r="A91" s="295"/>
      <c r="B91" s="286" t="s">
        <v>210</v>
      </c>
      <c r="C91" s="314"/>
      <c r="D91" s="314"/>
      <c r="E91" s="314"/>
      <c r="F91" s="314"/>
      <c r="G91" s="314"/>
      <c r="H91" s="339"/>
      <c r="I91" s="339"/>
      <c r="J91" s="339"/>
      <c r="K91" s="340"/>
      <c r="L91" s="339"/>
      <c r="M91" s="314"/>
      <c r="N91" s="341"/>
      <c r="O91" s="314"/>
      <c r="P91" s="314"/>
      <c r="Q91" s="314"/>
      <c r="R91" s="314"/>
      <c r="S91" s="314"/>
      <c r="T91" s="337"/>
      <c r="U91" s="286"/>
      <c r="V91" s="338">
        <f>24+97</f>
        <v>121</v>
      </c>
      <c r="W91" s="318"/>
      <c r="X91" s="5"/>
    </row>
    <row r="92" spans="1:24" ht="15.75" x14ac:dyDescent="0.25">
      <c r="A92" s="295"/>
      <c r="B92" s="286" t="s">
        <v>211</v>
      </c>
      <c r="C92" s="314"/>
      <c r="D92" s="314"/>
      <c r="E92" s="314"/>
      <c r="F92" s="314"/>
      <c r="G92" s="314"/>
      <c r="H92" s="339"/>
      <c r="I92" s="339"/>
      <c r="J92" s="339"/>
      <c r="K92" s="340"/>
      <c r="L92" s="339"/>
      <c r="M92" s="314"/>
      <c r="N92" s="341"/>
      <c r="O92" s="314"/>
      <c r="P92" s="314"/>
      <c r="Q92" s="314"/>
      <c r="R92" s="314"/>
      <c r="S92" s="314"/>
      <c r="T92" s="337"/>
      <c r="U92" s="286"/>
      <c r="V92" s="338">
        <v>37</v>
      </c>
      <c r="W92" s="318"/>
      <c r="X92" s="5"/>
    </row>
    <row r="93" spans="1:24" ht="15.75" x14ac:dyDescent="0.25">
      <c r="A93" s="295"/>
      <c r="B93" s="286" t="s">
        <v>233</v>
      </c>
      <c r="C93" s="314"/>
      <c r="D93" s="314"/>
      <c r="E93" s="314"/>
      <c r="F93" s="314"/>
      <c r="G93" s="314"/>
      <c r="H93" s="339"/>
      <c r="I93" s="339"/>
      <c r="J93" s="339"/>
      <c r="K93" s="340"/>
      <c r="L93" s="339"/>
      <c r="M93" s="314"/>
      <c r="N93" s="341"/>
      <c r="O93" s="314"/>
      <c r="P93" s="314"/>
      <c r="Q93" s="314"/>
      <c r="R93" s="314"/>
      <c r="S93" s="314"/>
      <c r="T93" s="337"/>
      <c r="U93" s="286"/>
      <c r="V93" s="338">
        <v>0</v>
      </c>
      <c r="W93" s="318"/>
      <c r="X93" s="5"/>
    </row>
    <row r="94" spans="1:24" ht="15.75" x14ac:dyDescent="0.25">
      <c r="A94" s="295"/>
      <c r="B94" s="286" t="s">
        <v>235</v>
      </c>
      <c r="C94" s="314"/>
      <c r="D94" s="314"/>
      <c r="E94" s="314"/>
      <c r="F94" s="314"/>
      <c r="G94" s="314"/>
      <c r="H94" s="339"/>
      <c r="I94" s="339"/>
      <c r="J94" s="339"/>
      <c r="K94" s="340"/>
      <c r="L94" s="339"/>
      <c r="M94" s="314"/>
      <c r="N94" s="341"/>
      <c r="O94" s="314"/>
      <c r="P94" s="314"/>
      <c r="Q94" s="314"/>
      <c r="R94" s="314"/>
      <c r="S94" s="314"/>
      <c r="T94" s="337"/>
      <c r="U94" s="286"/>
      <c r="V94" s="338">
        <v>0</v>
      </c>
      <c r="W94" s="318"/>
      <c r="X94" s="5"/>
    </row>
    <row r="95" spans="1:24" ht="15.75" x14ac:dyDescent="0.25">
      <c r="A95" s="295"/>
      <c r="B95" s="286" t="s">
        <v>135</v>
      </c>
      <c r="C95" s="314"/>
      <c r="D95" s="314"/>
      <c r="E95" s="314"/>
      <c r="F95" s="314"/>
      <c r="G95" s="314"/>
      <c r="H95" s="314"/>
      <c r="I95" s="314"/>
      <c r="J95" s="314"/>
      <c r="K95" s="314"/>
      <c r="L95" s="314"/>
      <c r="M95" s="314"/>
      <c r="N95" s="314"/>
      <c r="O95" s="314"/>
      <c r="P95" s="314"/>
      <c r="Q95" s="314"/>
      <c r="R95" s="314"/>
      <c r="S95" s="314"/>
      <c r="T95" s="337"/>
      <c r="U95" s="286"/>
      <c r="V95" s="338">
        <v>0</v>
      </c>
      <c r="W95" s="318"/>
      <c r="X95" s="5"/>
    </row>
    <row r="96" spans="1:24" ht="15.75" x14ac:dyDescent="0.25">
      <c r="A96" s="295"/>
      <c r="B96" s="286" t="s">
        <v>272</v>
      </c>
      <c r="C96" s="314"/>
      <c r="D96" s="314"/>
      <c r="E96" s="314"/>
      <c r="F96" s="314"/>
      <c r="G96" s="314"/>
      <c r="H96" s="314"/>
      <c r="I96" s="314"/>
      <c r="J96" s="314"/>
      <c r="K96" s="314"/>
      <c r="L96" s="314"/>
      <c r="M96" s="314"/>
      <c r="N96" s="314"/>
      <c r="O96" s="314"/>
      <c r="P96" s="314"/>
      <c r="Q96" s="314"/>
      <c r="R96" s="314"/>
      <c r="S96" s="314"/>
      <c r="T96" s="337"/>
      <c r="U96" s="286"/>
      <c r="V96" s="338">
        <v>0</v>
      </c>
      <c r="W96" s="318"/>
      <c r="X96" s="5"/>
    </row>
    <row r="97" spans="1:25" ht="15.75" x14ac:dyDescent="0.25">
      <c r="A97" s="295"/>
      <c r="B97" s="286" t="s">
        <v>30</v>
      </c>
      <c r="C97" s="314"/>
      <c r="D97" s="314"/>
      <c r="E97" s="314"/>
      <c r="F97" s="314"/>
      <c r="G97" s="314"/>
      <c r="H97" s="314"/>
      <c r="I97" s="314"/>
      <c r="J97" s="314"/>
      <c r="K97" s="314"/>
      <c r="L97" s="314"/>
      <c r="M97" s="314"/>
      <c r="N97" s="314"/>
      <c r="O97" s="314"/>
      <c r="P97" s="314"/>
      <c r="Q97" s="314"/>
      <c r="R97" s="314"/>
      <c r="S97" s="314"/>
      <c r="T97" s="337">
        <f>SUM(T88:T96)</f>
        <v>9366</v>
      </c>
      <c r="U97" s="286"/>
      <c r="V97" s="337">
        <f>SUM(V88:V96)</f>
        <v>4827</v>
      </c>
      <c r="W97" s="318"/>
      <c r="X97" s="5"/>
    </row>
    <row r="98" spans="1:25" ht="15.75" x14ac:dyDescent="0.25">
      <c r="A98" s="295"/>
      <c r="B98" s="286" t="s">
        <v>161</v>
      </c>
      <c r="C98" s="314"/>
      <c r="D98" s="314"/>
      <c r="E98" s="314"/>
      <c r="F98" s="314"/>
      <c r="G98" s="314"/>
      <c r="H98" s="314"/>
      <c r="I98" s="314"/>
      <c r="J98" s="314"/>
      <c r="K98" s="314"/>
      <c r="L98" s="314"/>
      <c r="M98" s="314"/>
      <c r="N98" s="314"/>
      <c r="O98" s="314"/>
      <c r="P98" s="314"/>
      <c r="Q98" s="314"/>
      <c r="R98" s="314"/>
      <c r="S98" s="314"/>
      <c r="T98" s="337">
        <f>-V98</f>
        <v>0</v>
      </c>
      <c r="U98" s="286"/>
      <c r="V98" s="337">
        <v>0</v>
      </c>
      <c r="W98" s="318"/>
      <c r="X98" s="5"/>
    </row>
    <row r="99" spans="1:25" ht="15.75" x14ac:dyDescent="0.25">
      <c r="A99" s="295"/>
      <c r="B99" s="286" t="s">
        <v>31</v>
      </c>
      <c r="C99" s="314"/>
      <c r="D99" s="314"/>
      <c r="E99" s="314"/>
      <c r="F99" s="314"/>
      <c r="G99" s="314"/>
      <c r="H99" s="314"/>
      <c r="I99" s="314"/>
      <c r="J99" s="314"/>
      <c r="K99" s="314"/>
      <c r="L99" s="314"/>
      <c r="M99" s="314"/>
      <c r="N99" s="314"/>
      <c r="O99" s="314"/>
      <c r="P99" s="314"/>
      <c r="Q99" s="314"/>
      <c r="R99" s="314"/>
      <c r="S99" s="314"/>
      <c r="T99" s="337">
        <f>-V99</f>
        <v>0</v>
      </c>
      <c r="U99" s="286"/>
      <c r="V99" s="338">
        <v>0</v>
      </c>
      <c r="W99" s="318"/>
      <c r="X99" s="5"/>
    </row>
    <row r="100" spans="1:25" ht="15.75" x14ac:dyDescent="0.25">
      <c r="A100" s="295"/>
      <c r="B100" s="286" t="s">
        <v>274</v>
      </c>
      <c r="C100" s="314"/>
      <c r="D100" s="314"/>
      <c r="E100" s="314"/>
      <c r="F100" s="314"/>
      <c r="G100" s="314"/>
      <c r="H100" s="314"/>
      <c r="I100" s="314"/>
      <c r="J100" s="314"/>
      <c r="K100" s="314"/>
      <c r="L100" s="314"/>
      <c r="M100" s="314"/>
      <c r="N100" s="314"/>
      <c r="O100" s="314"/>
      <c r="P100" s="314"/>
      <c r="Q100" s="314"/>
      <c r="R100" s="314"/>
      <c r="S100" s="314"/>
      <c r="T100" s="337"/>
      <c r="U100" s="286"/>
      <c r="V100" s="338">
        <v>128</v>
      </c>
      <c r="W100" s="318"/>
      <c r="X100" s="5"/>
    </row>
    <row r="101" spans="1:25" ht="15.75" x14ac:dyDescent="0.25">
      <c r="A101" s="295"/>
      <c r="B101" s="286" t="s">
        <v>32</v>
      </c>
      <c r="C101" s="314"/>
      <c r="D101" s="314"/>
      <c r="E101" s="314"/>
      <c r="F101" s="314"/>
      <c r="G101" s="314"/>
      <c r="H101" s="314"/>
      <c r="I101" s="314"/>
      <c r="J101" s="314"/>
      <c r="K101" s="314"/>
      <c r="L101" s="314"/>
      <c r="M101" s="314"/>
      <c r="N101" s="314"/>
      <c r="O101" s="314"/>
      <c r="P101" s="314"/>
      <c r="Q101" s="314"/>
      <c r="R101" s="314"/>
      <c r="S101" s="314"/>
      <c r="T101" s="337">
        <f>T97+T99+T98</f>
        <v>9366</v>
      </c>
      <c r="U101" s="286"/>
      <c r="V101" s="337">
        <f>V97+V99+V98+V100</f>
        <v>4955</v>
      </c>
      <c r="W101" s="318"/>
      <c r="X101" s="5"/>
    </row>
    <row r="102" spans="1:25" ht="15.75" x14ac:dyDescent="0.25">
      <c r="A102" s="285"/>
      <c r="B102" s="342" t="s">
        <v>33</v>
      </c>
      <c r="C102" s="314"/>
      <c r="D102" s="314"/>
      <c r="E102" s="314"/>
      <c r="F102" s="314"/>
      <c r="G102" s="314"/>
      <c r="H102" s="314"/>
      <c r="I102" s="314"/>
      <c r="J102" s="314"/>
      <c r="K102" s="314"/>
      <c r="L102" s="314"/>
      <c r="M102" s="314"/>
      <c r="N102" s="314"/>
      <c r="O102" s="314"/>
      <c r="P102" s="314"/>
      <c r="Q102" s="314"/>
      <c r="R102" s="314"/>
      <c r="S102" s="314"/>
      <c r="T102" s="337"/>
      <c r="U102" s="286"/>
      <c r="V102" s="338"/>
      <c r="W102" s="318"/>
      <c r="X102" s="5"/>
    </row>
    <row r="103" spans="1:25" ht="15.75" x14ac:dyDescent="0.25">
      <c r="A103" s="295">
        <v>1</v>
      </c>
      <c r="B103" s="286" t="s">
        <v>34</v>
      </c>
      <c r="C103" s="286"/>
      <c r="D103" s="286"/>
      <c r="E103" s="314"/>
      <c r="F103" s="314"/>
      <c r="G103" s="314"/>
      <c r="H103" s="314"/>
      <c r="I103" s="314"/>
      <c r="J103" s="314"/>
      <c r="K103" s="314"/>
      <c r="L103" s="314"/>
      <c r="M103" s="314"/>
      <c r="N103" s="314"/>
      <c r="O103" s="314"/>
      <c r="P103" s="314"/>
      <c r="Q103" s="314"/>
      <c r="R103" s="314"/>
      <c r="S103" s="314"/>
      <c r="T103" s="286"/>
      <c r="U103" s="286"/>
      <c r="V103" s="338">
        <v>0</v>
      </c>
      <c r="W103" s="318"/>
      <c r="X103" s="5"/>
    </row>
    <row r="104" spans="1:25" ht="15.75" x14ac:dyDescent="0.25">
      <c r="A104" s="295">
        <f>+A103+1</f>
        <v>2</v>
      </c>
      <c r="B104" s="286" t="s">
        <v>314</v>
      </c>
      <c r="C104" s="286"/>
      <c r="D104" s="286"/>
      <c r="E104" s="314"/>
      <c r="F104" s="314"/>
      <c r="G104" s="314"/>
      <c r="H104" s="314"/>
      <c r="I104" s="314"/>
      <c r="J104" s="314"/>
      <c r="K104" s="314"/>
      <c r="L104" s="314"/>
      <c r="M104" s="314"/>
      <c r="N104" s="314"/>
      <c r="O104" s="314"/>
      <c r="P104" s="314"/>
      <c r="Q104" s="314"/>
      <c r="R104" s="314"/>
      <c r="S104" s="314"/>
      <c r="T104" s="286"/>
      <c r="U104" s="286"/>
      <c r="V104" s="338">
        <v>-2</v>
      </c>
      <c r="W104" s="318"/>
      <c r="X104" s="5"/>
    </row>
    <row r="105" spans="1:25" ht="15.75" x14ac:dyDescent="0.25">
      <c r="A105" s="295">
        <f>+A104+1</f>
        <v>3</v>
      </c>
      <c r="B105" s="412" t="s">
        <v>316</v>
      </c>
      <c r="C105" s="286"/>
      <c r="D105" s="286"/>
      <c r="E105" s="314"/>
      <c r="F105" s="314"/>
      <c r="G105" s="314"/>
      <c r="H105" s="314"/>
      <c r="I105" s="314"/>
      <c r="J105" s="314"/>
      <c r="K105" s="314"/>
      <c r="L105" s="314"/>
      <c r="M105" s="314"/>
      <c r="N105" s="314"/>
      <c r="O105" s="314"/>
      <c r="P105" s="314"/>
      <c r="Q105" s="314"/>
      <c r="R105" s="314"/>
      <c r="S105" s="314"/>
      <c r="T105" s="286"/>
      <c r="U105" s="286"/>
      <c r="V105" s="338">
        <f>-279-104-10</f>
        <v>-393</v>
      </c>
      <c r="W105" s="318"/>
      <c r="X105" s="5"/>
    </row>
    <row r="106" spans="1:25" ht="15.75" x14ac:dyDescent="0.25">
      <c r="A106" s="295" t="s">
        <v>127</v>
      </c>
      <c r="B106" s="286" t="s">
        <v>116</v>
      </c>
      <c r="C106" s="286"/>
      <c r="D106" s="286"/>
      <c r="E106" s="314"/>
      <c r="F106" s="314"/>
      <c r="G106" s="314"/>
      <c r="H106" s="314"/>
      <c r="I106" s="314"/>
      <c r="J106" s="314"/>
      <c r="K106" s="314"/>
      <c r="L106" s="314"/>
      <c r="M106" s="314"/>
      <c r="N106" s="314"/>
      <c r="O106" s="314"/>
      <c r="P106" s="314"/>
      <c r="Q106" s="314"/>
      <c r="R106" s="314"/>
      <c r="S106" s="314"/>
      <c r="T106" s="286"/>
      <c r="U106" s="286"/>
      <c r="V106" s="338">
        <v>0</v>
      </c>
      <c r="W106" s="318"/>
      <c r="X106" s="5"/>
    </row>
    <row r="107" spans="1:25" ht="15.75" x14ac:dyDescent="0.25">
      <c r="A107" s="295" t="s">
        <v>128</v>
      </c>
      <c r="B107" s="286" t="s">
        <v>220</v>
      </c>
      <c r="C107" s="286"/>
      <c r="D107" s="286"/>
      <c r="E107" s="314"/>
      <c r="F107" s="314"/>
      <c r="G107" s="314"/>
      <c r="H107" s="314"/>
      <c r="I107" s="314"/>
      <c r="J107" s="314"/>
      <c r="K107" s="314"/>
      <c r="L107" s="314"/>
      <c r="M107" s="314"/>
      <c r="N107" s="314"/>
      <c r="O107" s="314"/>
      <c r="P107" s="314"/>
      <c r="Q107" s="314"/>
      <c r="R107" s="314"/>
      <c r="S107" s="314"/>
      <c r="T107" s="286"/>
      <c r="U107" s="286"/>
      <c r="V107" s="338">
        <f>-1192+305</f>
        <v>-887</v>
      </c>
      <c r="W107" s="318"/>
      <c r="X107" s="5"/>
      <c r="Y107" s="109"/>
    </row>
    <row r="108" spans="1:25" ht="15.75" x14ac:dyDescent="0.25">
      <c r="A108" s="295" t="s">
        <v>150</v>
      </c>
      <c r="B108" s="286" t="s">
        <v>184</v>
      </c>
      <c r="C108" s="286"/>
      <c r="D108" s="286"/>
      <c r="E108" s="314"/>
      <c r="F108" s="314"/>
      <c r="G108" s="314"/>
      <c r="H108" s="314"/>
      <c r="I108" s="314"/>
      <c r="J108" s="314"/>
      <c r="K108" s="314"/>
      <c r="L108" s="314"/>
      <c r="M108" s="314"/>
      <c r="N108" s="314"/>
      <c r="O108" s="314"/>
      <c r="P108" s="314"/>
      <c r="Q108" s="314"/>
      <c r="R108" s="314"/>
      <c r="S108" s="314"/>
      <c r="T108" s="286"/>
      <c r="U108" s="286"/>
      <c r="V108" s="338">
        <v>-305</v>
      </c>
      <c r="W108" s="318"/>
      <c r="X108" s="5"/>
      <c r="Y108" s="109"/>
    </row>
    <row r="109" spans="1:25" ht="15.75" x14ac:dyDescent="0.25">
      <c r="A109" s="295" t="s">
        <v>205</v>
      </c>
      <c r="B109" s="286" t="s">
        <v>185</v>
      </c>
      <c r="C109" s="286"/>
      <c r="D109" s="286"/>
      <c r="E109" s="314"/>
      <c r="F109" s="314"/>
      <c r="G109" s="314"/>
      <c r="H109" s="314"/>
      <c r="I109" s="314"/>
      <c r="J109" s="314"/>
      <c r="K109" s="314"/>
      <c r="L109" s="314"/>
      <c r="M109" s="314"/>
      <c r="N109" s="314"/>
      <c r="O109" s="314"/>
      <c r="P109" s="314"/>
      <c r="Q109" s="314"/>
      <c r="R109" s="314"/>
      <c r="S109" s="314"/>
      <c r="T109" s="286"/>
      <c r="U109" s="286"/>
      <c r="V109" s="338">
        <v>-174</v>
      </c>
      <c r="W109" s="318"/>
      <c r="X109" s="5"/>
      <c r="Y109" s="109"/>
    </row>
    <row r="110" spans="1:25" ht="15.75" x14ac:dyDescent="0.25">
      <c r="A110" s="295" t="s">
        <v>206</v>
      </c>
      <c r="B110" s="286" t="s">
        <v>186</v>
      </c>
      <c r="C110" s="286"/>
      <c r="D110" s="286"/>
      <c r="E110" s="314"/>
      <c r="F110" s="314"/>
      <c r="G110" s="314"/>
      <c r="H110" s="314"/>
      <c r="I110" s="314"/>
      <c r="J110" s="314"/>
      <c r="K110" s="314"/>
      <c r="L110" s="314"/>
      <c r="M110" s="314"/>
      <c r="N110" s="314"/>
      <c r="O110" s="314"/>
      <c r="P110" s="314"/>
      <c r="Q110" s="314"/>
      <c r="R110" s="314"/>
      <c r="S110" s="314"/>
      <c r="T110" s="286"/>
      <c r="U110" s="286"/>
      <c r="V110" s="338">
        <v>-48</v>
      </c>
      <c r="W110" s="318"/>
      <c r="X110" s="5"/>
      <c r="Y110" s="109"/>
    </row>
    <row r="111" spans="1:25" ht="15.75" x14ac:dyDescent="0.25">
      <c r="A111" s="295">
        <v>6</v>
      </c>
      <c r="B111" s="286" t="s">
        <v>196</v>
      </c>
      <c r="C111" s="286"/>
      <c r="D111" s="286"/>
      <c r="E111" s="314"/>
      <c r="F111" s="314"/>
      <c r="G111" s="314"/>
      <c r="H111" s="314"/>
      <c r="I111" s="314"/>
      <c r="J111" s="314"/>
      <c r="K111" s="314"/>
      <c r="L111" s="314"/>
      <c r="M111" s="314"/>
      <c r="N111" s="314"/>
      <c r="O111" s="314"/>
      <c r="P111" s="314"/>
      <c r="Q111" s="314"/>
      <c r="R111" s="314"/>
      <c r="S111" s="314"/>
      <c r="T111" s="286"/>
      <c r="U111" s="286"/>
      <c r="V111" s="338">
        <v>-340</v>
      </c>
      <c r="W111" s="318"/>
      <c r="X111" s="5"/>
      <c r="Y111" s="109"/>
    </row>
    <row r="112" spans="1:25" ht="15.75" x14ac:dyDescent="0.25">
      <c r="A112" s="295">
        <v>7</v>
      </c>
      <c r="B112" s="412" t="s">
        <v>315</v>
      </c>
      <c r="C112" s="286"/>
      <c r="D112" s="286"/>
      <c r="E112" s="314"/>
      <c r="F112" s="314"/>
      <c r="G112" s="314"/>
      <c r="H112" s="314"/>
      <c r="I112" s="314"/>
      <c r="J112" s="314"/>
      <c r="K112" s="314"/>
      <c r="L112" s="314"/>
      <c r="M112" s="314"/>
      <c r="N112" s="314"/>
      <c r="O112" s="314"/>
      <c r="P112" s="314"/>
      <c r="Q112" s="314"/>
      <c r="R112" s="314"/>
      <c r="S112" s="314"/>
      <c r="T112" s="286"/>
      <c r="U112" s="286"/>
      <c r="V112" s="338">
        <v>0</v>
      </c>
      <c r="W112" s="318"/>
      <c r="X112" s="5"/>
      <c r="Y112" s="109"/>
    </row>
    <row r="113" spans="1:24" ht="15.75" x14ac:dyDescent="0.25">
      <c r="A113" s="295">
        <v>8</v>
      </c>
      <c r="B113" s="286" t="s">
        <v>35</v>
      </c>
      <c r="C113" s="286"/>
      <c r="D113" s="286"/>
      <c r="E113" s="314"/>
      <c r="F113" s="314"/>
      <c r="G113" s="314"/>
      <c r="H113" s="314"/>
      <c r="I113" s="314"/>
      <c r="J113" s="314"/>
      <c r="K113" s="314"/>
      <c r="L113" s="314"/>
      <c r="M113" s="314"/>
      <c r="N113" s="314"/>
      <c r="O113" s="314"/>
      <c r="P113" s="314"/>
      <c r="Q113" s="314"/>
      <c r="R113" s="314"/>
      <c r="S113" s="314"/>
      <c r="T113" s="286"/>
      <c r="U113" s="286"/>
      <c r="V113" s="338">
        <v>-9</v>
      </c>
      <c r="W113" s="318"/>
      <c r="X113" s="5"/>
    </row>
    <row r="114" spans="1:24" ht="15.75" x14ac:dyDescent="0.25">
      <c r="A114" s="295">
        <f t="shared" ref="A114:A119" si="0">+A113+1</f>
        <v>9</v>
      </c>
      <c r="B114" s="286" t="s">
        <v>45</v>
      </c>
      <c r="C114" s="286"/>
      <c r="D114" s="286"/>
      <c r="E114" s="314"/>
      <c r="F114" s="314"/>
      <c r="G114" s="314"/>
      <c r="H114" s="314"/>
      <c r="I114" s="314"/>
      <c r="J114" s="314"/>
      <c r="K114" s="314"/>
      <c r="L114" s="314"/>
      <c r="M114" s="314"/>
      <c r="N114" s="314"/>
      <c r="O114" s="314"/>
      <c r="P114" s="314"/>
      <c r="Q114" s="314"/>
      <c r="R114" s="314"/>
      <c r="S114" s="314"/>
      <c r="T114" s="337">
        <f>-V114</f>
        <v>75</v>
      </c>
      <c r="U114" s="286"/>
      <c r="V114" s="338">
        <v>-75</v>
      </c>
      <c r="W114" s="318"/>
      <c r="X114" s="5"/>
    </row>
    <row r="115" spans="1:24" ht="15.75" x14ac:dyDescent="0.25">
      <c r="A115" s="295">
        <f t="shared" si="0"/>
        <v>10</v>
      </c>
      <c r="B115" s="286" t="s">
        <v>125</v>
      </c>
      <c r="C115" s="286"/>
      <c r="D115" s="286"/>
      <c r="E115" s="314"/>
      <c r="F115" s="314"/>
      <c r="G115" s="314"/>
      <c r="H115" s="314"/>
      <c r="I115" s="314"/>
      <c r="J115" s="314"/>
      <c r="K115" s="314"/>
      <c r="L115" s="314"/>
      <c r="M115" s="314"/>
      <c r="N115" s="314"/>
      <c r="O115" s="314"/>
      <c r="P115" s="314"/>
      <c r="Q115" s="314"/>
      <c r="R115" s="314"/>
      <c r="S115" s="314"/>
      <c r="T115" s="286"/>
      <c r="U115" s="286"/>
      <c r="V115" s="338">
        <v>0</v>
      </c>
      <c r="W115" s="318"/>
      <c r="X115" s="5"/>
    </row>
    <row r="116" spans="1:24" ht="15.75" x14ac:dyDescent="0.25">
      <c r="A116" s="295">
        <f t="shared" si="0"/>
        <v>11</v>
      </c>
      <c r="B116" s="286" t="s">
        <v>225</v>
      </c>
      <c r="C116" s="286"/>
      <c r="D116" s="286"/>
      <c r="E116" s="314"/>
      <c r="F116" s="314"/>
      <c r="G116" s="314"/>
      <c r="H116" s="314"/>
      <c r="I116" s="314"/>
      <c r="J116" s="314"/>
      <c r="K116" s="314"/>
      <c r="L116" s="314"/>
      <c r="M116" s="314"/>
      <c r="N116" s="314"/>
      <c r="O116" s="314"/>
      <c r="P116" s="314"/>
      <c r="Q116" s="314"/>
      <c r="R116" s="314"/>
      <c r="S116" s="314"/>
      <c r="T116" s="286"/>
      <c r="U116" s="286"/>
      <c r="V116" s="338">
        <v>0</v>
      </c>
      <c r="W116" s="318"/>
      <c r="X116" s="5"/>
    </row>
    <row r="117" spans="1:24" ht="15.75" x14ac:dyDescent="0.25">
      <c r="A117" s="295">
        <f t="shared" si="0"/>
        <v>12</v>
      </c>
      <c r="B117" s="286" t="s">
        <v>36</v>
      </c>
      <c r="C117" s="286"/>
      <c r="D117" s="286"/>
      <c r="E117" s="314"/>
      <c r="F117" s="314"/>
      <c r="G117" s="314"/>
      <c r="H117" s="314"/>
      <c r="I117" s="314"/>
      <c r="J117" s="314"/>
      <c r="K117" s="314"/>
      <c r="L117" s="314"/>
      <c r="M117" s="314"/>
      <c r="N117" s="314"/>
      <c r="O117" s="314"/>
      <c r="P117" s="314"/>
      <c r="Q117" s="314"/>
      <c r="R117" s="314"/>
      <c r="S117" s="314"/>
      <c r="T117" s="286"/>
      <c r="U117" s="286"/>
      <c r="V117" s="338">
        <v>0</v>
      </c>
      <c r="W117" s="318"/>
      <c r="X117" s="5"/>
    </row>
    <row r="118" spans="1:24" ht="15.75" x14ac:dyDescent="0.25">
      <c r="A118" s="295">
        <f t="shared" si="0"/>
        <v>13</v>
      </c>
      <c r="B118" s="286" t="s">
        <v>149</v>
      </c>
      <c r="C118" s="286"/>
      <c r="D118" s="286"/>
      <c r="E118" s="314"/>
      <c r="F118" s="314"/>
      <c r="G118" s="314"/>
      <c r="H118" s="314"/>
      <c r="I118" s="314"/>
      <c r="J118" s="314"/>
      <c r="K118" s="314"/>
      <c r="L118" s="314"/>
      <c r="M118" s="314"/>
      <c r="N118" s="314"/>
      <c r="O118" s="314"/>
      <c r="P118" s="314"/>
      <c r="Q118" s="314"/>
      <c r="R118" s="314"/>
      <c r="S118" s="314"/>
      <c r="T118" s="286"/>
      <c r="U118" s="286"/>
      <c r="V118" s="338">
        <v>-279</v>
      </c>
      <c r="W118" s="318"/>
      <c r="X118" s="5"/>
    </row>
    <row r="119" spans="1:24" ht="15.75" x14ac:dyDescent="0.25">
      <c r="A119" s="295">
        <f t="shared" si="0"/>
        <v>14</v>
      </c>
      <c r="B119" s="286" t="s">
        <v>126</v>
      </c>
      <c r="C119" s="286"/>
      <c r="D119" s="286"/>
      <c r="E119" s="314"/>
      <c r="F119" s="314"/>
      <c r="G119" s="314"/>
      <c r="H119" s="314"/>
      <c r="I119" s="314"/>
      <c r="J119" s="314"/>
      <c r="K119" s="314"/>
      <c r="L119" s="314"/>
      <c r="M119" s="314"/>
      <c r="N119" s="314"/>
      <c r="O119" s="314"/>
      <c r="P119" s="314"/>
      <c r="Q119" s="314"/>
      <c r="R119" s="314"/>
      <c r="S119" s="314"/>
      <c r="T119" s="286"/>
      <c r="U119" s="286"/>
      <c r="V119" s="338">
        <f>-V101-SUM(V103:V118)</f>
        <v>-2443</v>
      </c>
      <c r="W119" s="318"/>
      <c r="X119" s="5"/>
    </row>
    <row r="120" spans="1:24" ht="15.75" x14ac:dyDescent="0.25">
      <c r="A120" s="285"/>
      <c r="B120" s="342" t="s">
        <v>37</v>
      </c>
      <c r="C120" s="314"/>
      <c r="D120" s="314"/>
      <c r="E120" s="314"/>
      <c r="F120" s="314"/>
      <c r="G120" s="314"/>
      <c r="H120" s="314"/>
      <c r="I120" s="314"/>
      <c r="J120" s="314"/>
      <c r="K120" s="314"/>
      <c r="L120" s="314"/>
      <c r="M120" s="314"/>
      <c r="N120" s="314"/>
      <c r="O120" s="314"/>
      <c r="P120" s="314"/>
      <c r="Q120" s="314"/>
      <c r="R120" s="314"/>
      <c r="S120" s="314"/>
      <c r="T120" s="286"/>
      <c r="U120" s="286"/>
      <c r="V120" s="343"/>
      <c r="W120" s="318"/>
      <c r="X120" s="5"/>
    </row>
    <row r="121" spans="1:24" ht="15.75" x14ac:dyDescent="0.25">
      <c r="A121" s="285"/>
      <c r="B121" s="286" t="s">
        <v>173</v>
      </c>
      <c r="C121" s="314"/>
      <c r="D121" s="314"/>
      <c r="E121" s="314"/>
      <c r="F121" s="314"/>
      <c r="G121" s="314"/>
      <c r="H121" s="314"/>
      <c r="I121" s="314"/>
      <c r="J121" s="314"/>
      <c r="K121" s="314"/>
      <c r="L121" s="314"/>
      <c r="M121" s="314"/>
      <c r="N121" s="314"/>
      <c r="O121" s="314"/>
      <c r="P121" s="314"/>
      <c r="Q121" s="314"/>
      <c r="R121" s="314"/>
      <c r="S121" s="314"/>
      <c r="T121" s="337">
        <f>-T186</f>
        <v>0</v>
      </c>
      <c r="U121" s="337"/>
      <c r="V121" s="338"/>
      <c r="W121" s="318"/>
      <c r="X121" s="5"/>
    </row>
    <row r="122" spans="1:24" ht="15.75" x14ac:dyDescent="0.25">
      <c r="A122" s="285"/>
      <c r="B122" s="286" t="s">
        <v>174</v>
      </c>
      <c r="C122" s="314"/>
      <c r="D122" s="314"/>
      <c r="E122" s="314"/>
      <c r="F122" s="314"/>
      <c r="G122" s="314"/>
      <c r="H122" s="314"/>
      <c r="I122" s="314"/>
      <c r="J122" s="314"/>
      <c r="K122" s="314"/>
      <c r="L122" s="314"/>
      <c r="M122" s="314"/>
      <c r="N122" s="314"/>
      <c r="O122" s="314"/>
      <c r="P122" s="314"/>
      <c r="Q122" s="314"/>
      <c r="R122" s="314"/>
      <c r="S122" s="314"/>
      <c r="T122" s="337">
        <v>0</v>
      </c>
      <c r="U122" s="337"/>
      <c r="V122" s="338"/>
      <c r="W122" s="318"/>
      <c r="X122" s="5"/>
    </row>
    <row r="123" spans="1:24" ht="15.75" x14ac:dyDescent="0.25">
      <c r="A123" s="285"/>
      <c r="B123" s="286" t="s">
        <v>38</v>
      </c>
      <c r="C123" s="314"/>
      <c r="D123" s="314"/>
      <c r="E123" s="314"/>
      <c r="F123" s="314"/>
      <c r="G123" s="314"/>
      <c r="H123" s="314"/>
      <c r="I123" s="314"/>
      <c r="J123" s="314"/>
      <c r="K123" s="314"/>
      <c r="L123" s="314"/>
      <c r="M123" s="314"/>
      <c r="N123" s="314"/>
      <c r="O123" s="314"/>
      <c r="P123" s="314"/>
      <c r="Q123" s="314"/>
      <c r="R123" s="314"/>
      <c r="S123" s="314"/>
      <c r="T123" s="337">
        <f>-S186</f>
        <v>-393</v>
      </c>
      <c r="U123" s="337"/>
      <c r="V123" s="338"/>
      <c r="W123" s="318"/>
      <c r="X123" s="5"/>
    </row>
    <row r="124" spans="1:24" ht="15.75" x14ac:dyDescent="0.25">
      <c r="A124" s="285"/>
      <c r="B124" s="286" t="s">
        <v>197</v>
      </c>
      <c r="C124" s="314"/>
      <c r="D124" s="314"/>
      <c r="E124" s="314"/>
      <c r="F124" s="314"/>
      <c r="G124" s="314"/>
      <c r="H124" s="314"/>
      <c r="I124" s="314"/>
      <c r="J124" s="314"/>
      <c r="K124" s="314"/>
      <c r="L124" s="314"/>
      <c r="M124" s="314"/>
      <c r="N124" s="314"/>
      <c r="O124" s="314"/>
      <c r="P124" s="314"/>
      <c r="Q124" s="314"/>
      <c r="R124" s="314"/>
      <c r="S124" s="314"/>
      <c r="T124" s="337">
        <v>-5241</v>
      </c>
      <c r="U124" s="337"/>
      <c r="V124" s="338"/>
      <c r="W124" s="318"/>
      <c r="X124" s="5"/>
    </row>
    <row r="125" spans="1:24" ht="15.75" x14ac:dyDescent="0.25">
      <c r="A125" s="285"/>
      <c r="B125" s="286" t="s">
        <v>195</v>
      </c>
      <c r="C125" s="314"/>
      <c r="D125" s="314"/>
      <c r="E125" s="314"/>
      <c r="F125" s="314"/>
      <c r="G125" s="314"/>
      <c r="H125" s="314"/>
      <c r="I125" s="314"/>
      <c r="J125" s="314"/>
      <c r="K125" s="314"/>
      <c r="L125" s="314"/>
      <c r="M125" s="314"/>
      <c r="N125" s="314"/>
      <c r="O125" s="314"/>
      <c r="P125" s="314"/>
      <c r="Q125" s="314"/>
      <c r="R125" s="314"/>
      <c r="S125" s="314"/>
      <c r="T125" s="337">
        <v>-2227</v>
      </c>
      <c r="U125" s="337"/>
      <c r="V125" s="338"/>
      <c r="W125" s="318"/>
      <c r="X125" s="5"/>
    </row>
    <row r="126" spans="1:24" ht="15.75" x14ac:dyDescent="0.25">
      <c r="A126" s="285"/>
      <c r="B126" s="286" t="s">
        <v>194</v>
      </c>
      <c r="C126" s="314"/>
      <c r="D126" s="314"/>
      <c r="E126" s="314"/>
      <c r="F126" s="314"/>
      <c r="G126" s="314"/>
      <c r="H126" s="314"/>
      <c r="I126" s="314"/>
      <c r="J126" s="314"/>
      <c r="K126" s="314"/>
      <c r="L126" s="314"/>
      <c r="M126" s="314"/>
      <c r="N126" s="314"/>
      <c r="O126" s="314"/>
      <c r="P126" s="314"/>
      <c r="Q126" s="314"/>
      <c r="R126" s="314"/>
      <c r="S126" s="314"/>
      <c r="T126" s="337">
        <v>-794</v>
      </c>
      <c r="U126" s="337"/>
      <c r="V126" s="338"/>
      <c r="W126" s="318"/>
      <c r="X126" s="5"/>
    </row>
    <row r="127" spans="1:24" ht="15.75" x14ac:dyDescent="0.25">
      <c r="A127" s="285"/>
      <c r="B127" s="286" t="s">
        <v>222</v>
      </c>
      <c r="C127" s="314"/>
      <c r="D127" s="314"/>
      <c r="E127" s="314"/>
      <c r="F127" s="314"/>
      <c r="G127" s="314"/>
      <c r="H127" s="314"/>
      <c r="I127" s="314"/>
      <c r="J127" s="314"/>
      <c r="K127" s="314"/>
      <c r="L127" s="314"/>
      <c r="M127" s="314"/>
      <c r="N127" s="314"/>
      <c r="O127" s="314"/>
      <c r="P127" s="314"/>
      <c r="Q127" s="314"/>
      <c r="R127" s="314"/>
      <c r="S127" s="314"/>
      <c r="T127" s="337">
        <v>-786</v>
      </c>
      <c r="U127" s="337"/>
      <c r="V127" s="338"/>
      <c r="W127" s="318"/>
      <c r="X127" s="5"/>
    </row>
    <row r="128" spans="1:24" ht="15.75" x14ac:dyDescent="0.25">
      <c r="A128" s="285"/>
      <c r="B128" s="286" t="s">
        <v>189</v>
      </c>
      <c r="C128" s="314"/>
      <c r="D128" s="314"/>
      <c r="E128" s="314"/>
      <c r="F128" s="314"/>
      <c r="G128" s="314"/>
      <c r="H128" s="314"/>
      <c r="I128" s="314"/>
      <c r="J128" s="314"/>
      <c r="K128" s="314"/>
      <c r="L128" s="314"/>
      <c r="M128" s="314"/>
      <c r="N128" s="314"/>
      <c r="O128" s="314"/>
      <c r="P128" s="314"/>
      <c r="Q128" s="314"/>
      <c r="R128" s="314"/>
      <c r="S128" s="314"/>
      <c r="T128" s="337">
        <v>0</v>
      </c>
      <c r="U128" s="337"/>
      <c r="V128" s="338"/>
      <c r="W128" s="318"/>
      <c r="X128" s="5"/>
    </row>
    <row r="129" spans="1:24" ht="15.75" x14ac:dyDescent="0.25">
      <c r="A129" s="285"/>
      <c r="B129" s="286" t="s">
        <v>188</v>
      </c>
      <c r="C129" s="314"/>
      <c r="D129" s="314"/>
      <c r="E129" s="314"/>
      <c r="F129" s="314"/>
      <c r="G129" s="314"/>
      <c r="H129" s="314"/>
      <c r="I129" s="314"/>
      <c r="J129" s="314"/>
      <c r="K129" s="314"/>
      <c r="L129" s="314"/>
      <c r="M129" s="314"/>
      <c r="N129" s="314"/>
      <c r="O129" s="314"/>
      <c r="P129" s="314"/>
      <c r="Q129" s="314"/>
      <c r="R129" s="314"/>
      <c r="S129" s="314"/>
      <c r="T129" s="337">
        <v>0</v>
      </c>
      <c r="U129" s="337"/>
      <c r="V129" s="338"/>
      <c r="W129" s="318"/>
      <c r="X129" s="5"/>
    </row>
    <row r="130" spans="1:24" ht="15.75" x14ac:dyDescent="0.25">
      <c r="A130" s="285"/>
      <c r="B130" s="286" t="s">
        <v>187</v>
      </c>
      <c r="C130" s="314"/>
      <c r="D130" s="314"/>
      <c r="E130" s="314"/>
      <c r="F130" s="314"/>
      <c r="G130" s="314"/>
      <c r="H130" s="314"/>
      <c r="I130" s="314"/>
      <c r="J130" s="314"/>
      <c r="K130" s="314"/>
      <c r="L130" s="314"/>
      <c r="M130" s="314"/>
      <c r="N130" s="314"/>
      <c r="O130" s="314"/>
      <c r="P130" s="314"/>
      <c r="Q130" s="314"/>
      <c r="R130" s="314"/>
      <c r="S130" s="314"/>
      <c r="T130" s="337">
        <v>0</v>
      </c>
      <c r="U130" s="337"/>
      <c r="V130" s="338"/>
      <c r="W130" s="318"/>
      <c r="X130" s="5"/>
    </row>
    <row r="131" spans="1:24" ht="15.75" x14ac:dyDescent="0.25">
      <c r="A131" s="285"/>
      <c r="B131" s="286" t="s">
        <v>39</v>
      </c>
      <c r="C131" s="314"/>
      <c r="D131" s="314"/>
      <c r="E131" s="314"/>
      <c r="F131" s="314"/>
      <c r="G131" s="314"/>
      <c r="H131" s="314"/>
      <c r="I131" s="314"/>
      <c r="J131" s="314"/>
      <c r="K131" s="314"/>
      <c r="L131" s="314"/>
      <c r="M131" s="314"/>
      <c r="N131" s="314"/>
      <c r="O131" s="314"/>
      <c r="P131" s="314"/>
      <c r="Q131" s="314"/>
      <c r="R131" s="314"/>
      <c r="S131" s="314"/>
      <c r="T131" s="337">
        <f>SUM(T121:T130)</f>
        <v>-9441</v>
      </c>
      <c r="U131" s="337"/>
      <c r="V131" s="337">
        <f>SUM(V102:V129)</f>
        <v>-4955</v>
      </c>
      <c r="W131" s="318"/>
      <c r="X131" s="5"/>
    </row>
    <row r="132" spans="1:24" ht="15.75" x14ac:dyDescent="0.25">
      <c r="A132" s="285"/>
      <c r="B132" s="286" t="s">
        <v>40</v>
      </c>
      <c r="C132" s="314"/>
      <c r="D132" s="314"/>
      <c r="E132" s="314"/>
      <c r="F132" s="314"/>
      <c r="G132" s="314"/>
      <c r="H132" s="314"/>
      <c r="I132" s="314"/>
      <c r="J132" s="314"/>
      <c r="K132" s="314"/>
      <c r="L132" s="314"/>
      <c r="M132" s="314"/>
      <c r="N132" s="314"/>
      <c r="O132" s="314"/>
      <c r="P132" s="314"/>
      <c r="Q132" s="314"/>
      <c r="R132" s="314"/>
      <c r="S132" s="314"/>
      <c r="T132" s="337">
        <f>T101+T131+T114</f>
        <v>0</v>
      </c>
      <c r="U132" s="337"/>
      <c r="V132" s="337">
        <f>V101+V131</f>
        <v>0</v>
      </c>
      <c r="W132" s="318"/>
      <c r="X132" s="5"/>
    </row>
    <row r="133" spans="1:24" ht="15.75" x14ac:dyDescent="0.25">
      <c r="A133" s="181"/>
      <c r="B133" s="212"/>
      <c r="C133" s="212"/>
      <c r="D133" s="212"/>
      <c r="E133" s="212"/>
      <c r="F133" s="212"/>
      <c r="G133" s="212"/>
      <c r="H133" s="212"/>
      <c r="I133" s="212"/>
      <c r="J133" s="212"/>
      <c r="K133" s="212"/>
      <c r="L133" s="212"/>
      <c r="M133" s="212"/>
      <c r="N133" s="212"/>
      <c r="O133" s="212"/>
      <c r="P133" s="212"/>
      <c r="Q133" s="212"/>
      <c r="R133" s="212"/>
      <c r="S133" s="212"/>
      <c r="T133" s="335"/>
      <c r="U133" s="335"/>
      <c r="V133" s="335"/>
      <c r="W133" s="212"/>
      <c r="X133" s="5"/>
    </row>
    <row r="134" spans="1:24" ht="15.75" x14ac:dyDescent="0.25">
      <c r="A134" s="181"/>
      <c r="B134" s="183"/>
      <c r="C134" s="183"/>
      <c r="D134" s="183"/>
      <c r="E134" s="183"/>
      <c r="F134" s="183"/>
      <c r="G134" s="183"/>
      <c r="H134" s="183"/>
      <c r="I134" s="183"/>
      <c r="J134" s="183"/>
      <c r="K134" s="183"/>
      <c r="L134" s="183"/>
      <c r="M134" s="183"/>
      <c r="N134" s="183"/>
      <c r="O134" s="183"/>
      <c r="P134" s="183"/>
      <c r="Q134" s="183"/>
      <c r="R134" s="183"/>
      <c r="S134" s="183"/>
      <c r="T134" s="183"/>
      <c r="U134" s="183"/>
      <c r="V134" s="202"/>
      <c r="W134" s="183"/>
      <c r="X134" s="5"/>
    </row>
    <row r="135" spans="1:24" ht="19.5" thickBot="1" x14ac:dyDescent="0.35">
      <c r="A135" s="197"/>
      <c r="B135" s="270" t="str">
        <f>B64</f>
        <v>PM15 INVESTOR REPORT QUARTER ENDING NOVEMBER 2015</v>
      </c>
      <c r="C135" s="198"/>
      <c r="D135" s="198"/>
      <c r="E135" s="198"/>
      <c r="F135" s="198"/>
      <c r="G135" s="198"/>
      <c r="H135" s="198"/>
      <c r="I135" s="198"/>
      <c r="J135" s="198"/>
      <c r="K135" s="198"/>
      <c r="L135" s="198"/>
      <c r="M135" s="198"/>
      <c r="N135" s="198"/>
      <c r="O135" s="198"/>
      <c r="P135" s="198"/>
      <c r="Q135" s="198"/>
      <c r="R135" s="198"/>
      <c r="S135" s="198"/>
      <c r="T135" s="198"/>
      <c r="U135" s="198"/>
      <c r="V135" s="209"/>
      <c r="W135" s="200"/>
      <c r="X135" s="5"/>
    </row>
    <row r="136" spans="1:24" ht="15.75" x14ac:dyDescent="0.25">
      <c r="A136" s="236"/>
      <c r="B136" s="403" t="s">
        <v>41</v>
      </c>
      <c r="C136" s="238"/>
      <c r="D136" s="238"/>
      <c r="E136" s="238"/>
      <c r="F136" s="238"/>
      <c r="G136" s="238"/>
      <c r="H136" s="238"/>
      <c r="I136" s="238"/>
      <c r="J136" s="238"/>
      <c r="K136" s="238"/>
      <c r="L136" s="238"/>
      <c r="M136" s="238"/>
      <c r="N136" s="238"/>
      <c r="O136" s="238"/>
      <c r="P136" s="238"/>
      <c r="Q136" s="238"/>
      <c r="R136" s="238"/>
      <c r="S136" s="238"/>
      <c r="T136" s="238"/>
      <c r="U136" s="238"/>
      <c r="V136" s="239"/>
      <c r="W136" s="238"/>
      <c r="X136" s="5"/>
    </row>
    <row r="137" spans="1:24" ht="15.75" x14ac:dyDescent="0.25">
      <c r="A137" s="181"/>
      <c r="B137" s="191"/>
      <c r="C137" s="183"/>
      <c r="D137" s="183"/>
      <c r="E137" s="183"/>
      <c r="F137" s="183"/>
      <c r="G137" s="183"/>
      <c r="H137" s="183"/>
      <c r="I137" s="183"/>
      <c r="J137" s="183"/>
      <c r="K137" s="183"/>
      <c r="L137" s="183"/>
      <c r="M137" s="183"/>
      <c r="N137" s="183"/>
      <c r="O137" s="183"/>
      <c r="P137" s="183"/>
      <c r="Q137" s="183"/>
      <c r="R137" s="183"/>
      <c r="S137" s="183"/>
      <c r="T137" s="183"/>
      <c r="U137" s="183"/>
      <c r="V137" s="202"/>
      <c r="W137" s="183"/>
      <c r="X137" s="5"/>
    </row>
    <row r="138" spans="1:24" ht="15.75" x14ac:dyDescent="0.25">
      <c r="A138" s="181"/>
      <c r="B138" s="210" t="s">
        <v>42</v>
      </c>
      <c r="C138" s="183"/>
      <c r="D138" s="183"/>
      <c r="E138" s="183"/>
      <c r="F138" s="183"/>
      <c r="G138" s="183"/>
      <c r="H138" s="183"/>
      <c r="I138" s="183"/>
      <c r="J138" s="183"/>
      <c r="K138" s="183"/>
      <c r="L138" s="183"/>
      <c r="M138" s="183"/>
      <c r="N138" s="183"/>
      <c r="O138" s="183"/>
      <c r="P138" s="183"/>
      <c r="Q138" s="183"/>
      <c r="R138" s="183"/>
      <c r="S138" s="183"/>
      <c r="T138" s="183"/>
      <c r="U138" s="183"/>
      <c r="V138" s="202"/>
      <c r="W138" s="183"/>
      <c r="X138" s="5"/>
    </row>
    <row r="139" spans="1:24" ht="15.75" x14ac:dyDescent="0.25">
      <c r="A139" s="285"/>
      <c r="B139" s="286" t="s">
        <v>43</v>
      </c>
      <c r="C139" s="286"/>
      <c r="D139" s="286"/>
      <c r="E139" s="286"/>
      <c r="F139" s="286"/>
      <c r="G139" s="286"/>
      <c r="H139" s="286"/>
      <c r="I139" s="286"/>
      <c r="J139" s="286"/>
      <c r="K139" s="286"/>
      <c r="L139" s="286"/>
      <c r="M139" s="286"/>
      <c r="N139" s="286"/>
      <c r="O139" s="286"/>
      <c r="P139" s="286"/>
      <c r="Q139" s="286"/>
      <c r="R139" s="286"/>
      <c r="S139" s="286"/>
      <c r="T139" s="286"/>
      <c r="U139" s="286"/>
      <c r="V139" s="338">
        <f>+V34*0.019</f>
        <v>19021.526999999998</v>
      </c>
      <c r="W139" s="289"/>
      <c r="X139" s="5"/>
    </row>
    <row r="140" spans="1:24" ht="15.75" x14ac:dyDescent="0.25">
      <c r="A140" s="285"/>
      <c r="B140" s="286" t="s">
        <v>44</v>
      </c>
      <c r="C140" s="286"/>
      <c r="D140" s="286"/>
      <c r="E140" s="286"/>
      <c r="F140" s="286"/>
      <c r="G140" s="286"/>
      <c r="H140" s="286"/>
      <c r="I140" s="286"/>
      <c r="J140" s="286"/>
      <c r="K140" s="286"/>
      <c r="L140" s="286"/>
      <c r="M140" s="286"/>
      <c r="N140" s="286"/>
      <c r="O140" s="286"/>
      <c r="P140" s="286"/>
      <c r="Q140" s="286"/>
      <c r="R140" s="286"/>
      <c r="S140" s="286"/>
      <c r="T140" s="286"/>
      <c r="U140" s="286"/>
      <c r="V140" s="338">
        <v>19022</v>
      </c>
      <c r="W140" s="289"/>
      <c r="X140" s="5"/>
    </row>
    <row r="141" spans="1:24" ht="15.75" x14ac:dyDescent="0.25">
      <c r="A141" s="285"/>
      <c r="B141" s="286" t="s">
        <v>136</v>
      </c>
      <c r="C141" s="286"/>
      <c r="D141" s="286"/>
      <c r="E141" s="286"/>
      <c r="F141" s="286"/>
      <c r="G141" s="286"/>
      <c r="H141" s="286"/>
      <c r="I141" s="286"/>
      <c r="J141" s="286"/>
      <c r="K141" s="286"/>
      <c r="L141" s="286"/>
      <c r="M141" s="286"/>
      <c r="N141" s="286"/>
      <c r="O141" s="286"/>
      <c r="P141" s="286"/>
      <c r="Q141" s="286"/>
      <c r="R141" s="286"/>
      <c r="S141" s="286"/>
      <c r="T141" s="286"/>
      <c r="U141" s="286"/>
      <c r="V141" s="338"/>
      <c r="W141" s="289"/>
      <c r="X141" s="5"/>
    </row>
    <row r="142" spans="1:24" ht="15.75" x14ac:dyDescent="0.25">
      <c r="A142" s="285"/>
      <c r="B142" s="286" t="s">
        <v>123</v>
      </c>
      <c r="C142" s="286"/>
      <c r="D142" s="286"/>
      <c r="E142" s="286"/>
      <c r="F142" s="286"/>
      <c r="G142" s="286"/>
      <c r="H142" s="286"/>
      <c r="I142" s="286"/>
      <c r="J142" s="286"/>
      <c r="K142" s="286"/>
      <c r="L142" s="286"/>
      <c r="M142" s="286"/>
      <c r="N142" s="286"/>
      <c r="O142" s="286"/>
      <c r="P142" s="286"/>
      <c r="Q142" s="286"/>
      <c r="R142" s="286"/>
      <c r="S142" s="286"/>
      <c r="T142" s="286"/>
      <c r="U142" s="286"/>
      <c r="V142" s="338">
        <v>0</v>
      </c>
      <c r="W142" s="289"/>
      <c r="X142" s="5"/>
    </row>
    <row r="143" spans="1:24" ht="15.75" x14ac:dyDescent="0.25">
      <c r="A143" s="285"/>
      <c r="B143" s="286" t="s">
        <v>124</v>
      </c>
      <c r="C143" s="286"/>
      <c r="D143" s="286"/>
      <c r="E143" s="286"/>
      <c r="F143" s="286"/>
      <c r="G143" s="286"/>
      <c r="H143" s="286"/>
      <c r="I143" s="286"/>
      <c r="J143" s="286"/>
      <c r="K143" s="286"/>
      <c r="L143" s="286"/>
      <c r="M143" s="286"/>
      <c r="N143" s="286"/>
      <c r="O143" s="286"/>
      <c r="P143" s="286"/>
      <c r="Q143" s="286"/>
      <c r="R143" s="286"/>
      <c r="S143" s="286"/>
      <c r="T143" s="286"/>
      <c r="U143" s="286"/>
      <c r="V143" s="338">
        <v>0</v>
      </c>
      <c r="W143" s="289"/>
      <c r="X143" s="5"/>
    </row>
    <row r="144" spans="1:24" ht="15.75" x14ac:dyDescent="0.25">
      <c r="A144" s="285"/>
      <c r="B144" s="286" t="s">
        <v>175</v>
      </c>
      <c r="C144" s="286"/>
      <c r="D144" s="286"/>
      <c r="E144" s="286"/>
      <c r="F144" s="286"/>
      <c r="G144" s="286"/>
      <c r="H144" s="286"/>
      <c r="I144" s="286"/>
      <c r="J144" s="286"/>
      <c r="K144" s="286"/>
      <c r="L144" s="286"/>
      <c r="M144" s="286"/>
      <c r="N144" s="286"/>
      <c r="O144" s="286"/>
      <c r="P144" s="286"/>
      <c r="Q144" s="286"/>
      <c r="R144" s="286"/>
      <c r="S144" s="286"/>
      <c r="T144" s="286"/>
      <c r="U144" s="286"/>
      <c r="V144" s="338">
        <v>0</v>
      </c>
      <c r="W144" s="289"/>
      <c r="X144" s="5"/>
    </row>
    <row r="145" spans="1:25" ht="15.75" x14ac:dyDescent="0.25">
      <c r="A145" s="285"/>
      <c r="B145" s="286" t="s">
        <v>45</v>
      </c>
      <c r="C145" s="286"/>
      <c r="D145" s="286"/>
      <c r="E145" s="286"/>
      <c r="F145" s="286"/>
      <c r="G145" s="286"/>
      <c r="H145" s="286"/>
      <c r="I145" s="286"/>
      <c r="J145" s="286"/>
      <c r="K145" s="286"/>
      <c r="L145" s="286"/>
      <c r="M145" s="286"/>
      <c r="N145" s="286"/>
      <c r="O145" s="286"/>
      <c r="P145" s="286"/>
      <c r="Q145" s="286"/>
      <c r="R145" s="286"/>
      <c r="S145" s="286"/>
      <c r="T145" s="286"/>
      <c r="U145" s="286"/>
      <c r="V145" s="338">
        <v>0</v>
      </c>
      <c r="W145" s="289"/>
      <c r="X145" s="5"/>
    </row>
    <row r="146" spans="1:25" ht="15.75" x14ac:dyDescent="0.25">
      <c r="A146" s="285"/>
      <c r="B146" s="286" t="s">
        <v>129</v>
      </c>
      <c r="C146" s="286"/>
      <c r="D146" s="286"/>
      <c r="E146" s="286"/>
      <c r="F146" s="286"/>
      <c r="G146" s="286"/>
      <c r="H146" s="286"/>
      <c r="I146" s="286"/>
      <c r="J146" s="286"/>
      <c r="K146" s="286"/>
      <c r="L146" s="286"/>
      <c r="M146" s="286"/>
      <c r="N146" s="286"/>
      <c r="O146" s="286"/>
      <c r="P146" s="286"/>
      <c r="Q146" s="286"/>
      <c r="R146" s="286"/>
      <c r="S146" s="286"/>
      <c r="T146" s="286"/>
      <c r="U146" s="286"/>
      <c r="V146" s="338">
        <v>0</v>
      </c>
      <c r="W146" s="289"/>
      <c r="X146" s="5"/>
    </row>
    <row r="147" spans="1:25" ht="15.75" x14ac:dyDescent="0.25">
      <c r="A147" s="285"/>
      <c r="B147" s="286" t="s">
        <v>241</v>
      </c>
      <c r="C147" s="286"/>
      <c r="D147" s="286"/>
      <c r="E147" s="286"/>
      <c r="F147" s="286"/>
      <c r="G147" s="286"/>
      <c r="H147" s="286"/>
      <c r="I147" s="286"/>
      <c r="J147" s="286"/>
      <c r="K147" s="286"/>
      <c r="L147" s="286"/>
      <c r="M147" s="286"/>
      <c r="N147" s="286"/>
      <c r="O147" s="286"/>
      <c r="P147" s="286"/>
      <c r="Q147" s="286"/>
      <c r="R147" s="286"/>
      <c r="S147" s="286"/>
      <c r="T147" s="286"/>
      <c r="U147" s="286"/>
      <c r="V147" s="338">
        <v>0</v>
      </c>
      <c r="W147" s="289"/>
      <c r="X147" s="5"/>
      <c r="Y147" s="109"/>
    </row>
    <row r="148" spans="1:25" ht="15.75" x14ac:dyDescent="0.25">
      <c r="A148" s="285"/>
      <c r="B148" s="286" t="s">
        <v>46</v>
      </c>
      <c r="C148" s="286"/>
      <c r="D148" s="286"/>
      <c r="E148" s="286"/>
      <c r="F148" s="286"/>
      <c r="G148" s="286"/>
      <c r="H148" s="286"/>
      <c r="I148" s="286"/>
      <c r="J148" s="286"/>
      <c r="K148" s="286"/>
      <c r="L148" s="286"/>
      <c r="M148" s="286"/>
      <c r="N148" s="286"/>
      <c r="O148" s="286"/>
      <c r="P148" s="286"/>
      <c r="Q148" s="286"/>
      <c r="R148" s="286"/>
      <c r="S148" s="286"/>
      <c r="T148" s="286"/>
      <c r="U148" s="286"/>
      <c r="V148" s="338">
        <f>SUM(V140:V147)</f>
        <v>19022</v>
      </c>
      <c r="W148" s="289"/>
      <c r="X148" s="5"/>
    </row>
    <row r="149" spans="1:25" ht="15.75" x14ac:dyDescent="0.25">
      <c r="A149" s="285"/>
      <c r="B149" s="314"/>
      <c r="C149" s="314"/>
      <c r="D149" s="314"/>
      <c r="E149" s="314"/>
      <c r="F149" s="314"/>
      <c r="G149" s="314"/>
      <c r="H149" s="314"/>
      <c r="I149" s="314"/>
      <c r="J149" s="314"/>
      <c r="K149" s="314"/>
      <c r="L149" s="314"/>
      <c r="M149" s="314"/>
      <c r="N149" s="314"/>
      <c r="O149" s="314"/>
      <c r="P149" s="314"/>
      <c r="Q149" s="314"/>
      <c r="R149" s="314"/>
      <c r="S149" s="314"/>
      <c r="T149" s="314"/>
      <c r="U149" s="314"/>
      <c r="V149" s="345"/>
      <c r="W149" s="318"/>
      <c r="X149" s="5"/>
    </row>
    <row r="150" spans="1:25" ht="15.75" x14ac:dyDescent="0.25">
      <c r="A150" s="285"/>
      <c r="B150" s="342" t="s">
        <v>269</v>
      </c>
      <c r="C150" s="314"/>
      <c r="D150" s="314"/>
      <c r="E150" s="314"/>
      <c r="F150" s="314"/>
      <c r="G150" s="314"/>
      <c r="H150" s="314"/>
      <c r="I150" s="314"/>
      <c r="J150" s="314"/>
      <c r="K150" s="314"/>
      <c r="L150" s="314"/>
      <c r="M150" s="314"/>
      <c r="N150" s="314"/>
      <c r="O150" s="314"/>
      <c r="P150" s="314"/>
      <c r="Q150" s="314"/>
      <c r="R150" s="314"/>
      <c r="S150" s="314"/>
      <c r="T150" s="314"/>
      <c r="U150" s="314"/>
      <c r="V150" s="345"/>
      <c r="W150" s="318"/>
      <c r="X150" s="5"/>
    </row>
    <row r="151" spans="1:25" ht="15.75" x14ac:dyDescent="0.25">
      <c r="A151" s="285"/>
      <c r="B151" s="286" t="s">
        <v>155</v>
      </c>
      <c r="C151" s="286"/>
      <c r="D151" s="286"/>
      <c r="E151" s="286"/>
      <c r="F151" s="286"/>
      <c r="G151" s="286"/>
      <c r="H151" s="286"/>
      <c r="I151" s="286"/>
      <c r="J151" s="286"/>
      <c r="K151" s="286"/>
      <c r="L151" s="286"/>
      <c r="M151" s="286"/>
      <c r="N151" s="286"/>
      <c r="O151" s="286"/>
      <c r="P151" s="286"/>
      <c r="Q151" s="286"/>
      <c r="R151" s="286"/>
      <c r="S151" s="286"/>
      <c r="T151" s="286"/>
      <c r="U151" s="286"/>
      <c r="V151" s="338">
        <v>0</v>
      </c>
      <c r="W151" s="289"/>
      <c r="X151" s="5"/>
    </row>
    <row r="152" spans="1:25" ht="15.75" x14ac:dyDescent="0.25">
      <c r="A152" s="285"/>
      <c r="B152" s="286" t="s">
        <v>172</v>
      </c>
      <c r="C152" s="286"/>
      <c r="D152" s="286"/>
      <c r="E152" s="286"/>
      <c r="F152" s="286"/>
      <c r="G152" s="286"/>
      <c r="H152" s="286"/>
      <c r="I152" s="286"/>
      <c r="J152" s="286"/>
      <c r="K152" s="286"/>
      <c r="L152" s="286"/>
      <c r="M152" s="286"/>
      <c r="N152" s="286"/>
      <c r="O152" s="286"/>
      <c r="P152" s="286"/>
      <c r="Q152" s="286"/>
      <c r="R152" s="286"/>
      <c r="S152" s="286"/>
      <c r="T152" s="286"/>
      <c r="U152" s="286"/>
      <c r="V152" s="338">
        <v>0</v>
      </c>
      <c r="W152" s="289"/>
      <c r="X152" s="5"/>
    </row>
    <row r="153" spans="1:25" ht="15.75" x14ac:dyDescent="0.25">
      <c r="A153" s="285"/>
      <c r="B153" s="286" t="s">
        <v>226</v>
      </c>
      <c r="C153" s="286"/>
      <c r="D153" s="286"/>
      <c r="E153" s="286"/>
      <c r="F153" s="286"/>
      <c r="G153" s="286"/>
      <c r="H153" s="286"/>
      <c r="I153" s="286"/>
      <c r="J153" s="286"/>
      <c r="K153" s="286"/>
      <c r="L153" s="286"/>
      <c r="M153" s="286"/>
      <c r="N153" s="286"/>
      <c r="O153" s="286"/>
      <c r="P153" s="286"/>
      <c r="Q153" s="286"/>
      <c r="R153" s="286"/>
      <c r="S153" s="286"/>
      <c r="T153" s="286"/>
      <c r="U153" s="286"/>
      <c r="V153" s="338">
        <v>0</v>
      </c>
      <c r="W153" s="289"/>
      <c r="X153" s="5"/>
    </row>
    <row r="154" spans="1:25" ht="15.75" x14ac:dyDescent="0.25">
      <c r="A154" s="285"/>
      <c r="B154" s="314"/>
      <c r="C154" s="314"/>
      <c r="D154" s="314"/>
      <c r="E154" s="314"/>
      <c r="F154" s="314"/>
      <c r="G154" s="314"/>
      <c r="H154" s="314"/>
      <c r="I154" s="314"/>
      <c r="J154" s="314"/>
      <c r="K154" s="314"/>
      <c r="L154" s="314"/>
      <c r="M154" s="314"/>
      <c r="N154" s="314"/>
      <c r="O154" s="314"/>
      <c r="P154" s="314"/>
      <c r="Q154" s="314"/>
      <c r="R154" s="314"/>
      <c r="S154" s="314"/>
      <c r="T154" s="314"/>
      <c r="U154" s="314"/>
      <c r="V154" s="345"/>
      <c r="W154" s="318"/>
      <c r="X154" s="5"/>
    </row>
    <row r="155" spans="1:25" ht="15.75" x14ac:dyDescent="0.25">
      <c r="A155" s="181"/>
      <c r="B155" s="212"/>
      <c r="C155" s="212"/>
      <c r="D155" s="212"/>
      <c r="E155" s="212"/>
      <c r="F155" s="212"/>
      <c r="G155" s="212"/>
      <c r="H155" s="212"/>
      <c r="I155" s="212"/>
      <c r="J155" s="212"/>
      <c r="K155" s="212"/>
      <c r="L155" s="212"/>
      <c r="M155" s="212"/>
      <c r="N155" s="212"/>
      <c r="O155" s="212"/>
      <c r="P155" s="212"/>
      <c r="Q155" s="212"/>
      <c r="R155" s="212"/>
      <c r="S155" s="212"/>
      <c r="T155" s="212"/>
      <c r="U155" s="212"/>
      <c r="V155" s="344"/>
      <c r="W155" s="212"/>
      <c r="X155" s="5"/>
    </row>
    <row r="156" spans="1:25" ht="15.75" x14ac:dyDescent="0.25">
      <c r="A156" s="181"/>
      <c r="B156" s="210" t="s">
        <v>24</v>
      </c>
      <c r="C156" s="183"/>
      <c r="D156" s="183"/>
      <c r="E156" s="183"/>
      <c r="F156" s="183"/>
      <c r="G156" s="183"/>
      <c r="H156" s="183"/>
      <c r="I156" s="183"/>
      <c r="J156" s="183"/>
      <c r="K156" s="183"/>
      <c r="L156" s="183"/>
      <c r="M156" s="183"/>
      <c r="N156" s="183"/>
      <c r="O156" s="183"/>
      <c r="P156" s="183"/>
      <c r="Q156" s="183"/>
      <c r="R156" s="183"/>
      <c r="S156" s="183"/>
      <c r="T156" s="183"/>
      <c r="U156" s="183"/>
      <c r="V156" s="202"/>
      <c r="W156" s="183"/>
      <c r="X156" s="5"/>
    </row>
    <row r="157" spans="1:25" ht="15.75" x14ac:dyDescent="0.25">
      <c r="A157" s="285"/>
      <c r="B157" s="286" t="s">
        <v>47</v>
      </c>
      <c r="C157" s="286"/>
      <c r="D157" s="286"/>
      <c r="E157" s="286"/>
      <c r="F157" s="286"/>
      <c r="G157" s="286"/>
      <c r="H157" s="286"/>
      <c r="I157" s="286"/>
      <c r="J157" s="286"/>
      <c r="K157" s="286"/>
      <c r="L157" s="286"/>
      <c r="M157" s="286"/>
      <c r="N157" s="286"/>
      <c r="O157" s="286"/>
      <c r="P157" s="286"/>
      <c r="Q157" s="286"/>
      <c r="R157" s="286"/>
      <c r="S157" s="286"/>
      <c r="T157" s="286"/>
      <c r="U157" s="286"/>
      <c r="V157" s="343" t="s">
        <v>118</v>
      </c>
      <c r="W157" s="318"/>
      <c r="X157" s="5"/>
    </row>
    <row r="158" spans="1:25" ht="15.75" x14ac:dyDescent="0.25">
      <c r="A158" s="285"/>
      <c r="B158" s="286" t="s">
        <v>48</v>
      </c>
      <c r="C158" s="288"/>
      <c r="D158" s="288"/>
      <c r="E158" s="288"/>
      <c r="F158" s="288"/>
      <c r="G158" s="288"/>
      <c r="H158" s="288"/>
      <c r="I158" s="288"/>
      <c r="J158" s="288"/>
      <c r="K158" s="288"/>
      <c r="L158" s="288"/>
      <c r="M158" s="288"/>
      <c r="N158" s="288"/>
      <c r="O158" s="288"/>
      <c r="P158" s="288"/>
      <c r="Q158" s="288"/>
      <c r="R158" s="288"/>
      <c r="S158" s="288"/>
      <c r="T158" s="288"/>
      <c r="U158" s="288"/>
      <c r="V158" s="343" t="s">
        <v>118</v>
      </c>
      <c r="W158" s="318"/>
      <c r="X158" s="5"/>
    </row>
    <row r="159" spans="1:25" ht="15.75" x14ac:dyDescent="0.25">
      <c r="A159" s="285"/>
      <c r="B159" s="286" t="s">
        <v>49</v>
      </c>
      <c r="C159" s="286"/>
      <c r="D159" s="286"/>
      <c r="E159" s="286"/>
      <c r="F159" s="286"/>
      <c r="G159" s="286"/>
      <c r="H159" s="286"/>
      <c r="I159" s="286"/>
      <c r="J159" s="286"/>
      <c r="K159" s="286"/>
      <c r="L159" s="286"/>
      <c r="M159" s="286"/>
      <c r="N159" s="286"/>
      <c r="O159" s="286"/>
      <c r="P159" s="286"/>
      <c r="Q159" s="286"/>
      <c r="R159" s="286"/>
      <c r="S159" s="286"/>
      <c r="T159" s="286"/>
      <c r="U159" s="286"/>
      <c r="V159" s="343" t="s">
        <v>118</v>
      </c>
      <c r="W159" s="318"/>
      <c r="X159" s="5"/>
    </row>
    <row r="160" spans="1:25" ht="15.75" x14ac:dyDescent="0.25">
      <c r="A160" s="285"/>
      <c r="B160" s="286" t="s">
        <v>50</v>
      </c>
      <c r="C160" s="286"/>
      <c r="D160" s="286"/>
      <c r="E160" s="286"/>
      <c r="F160" s="286"/>
      <c r="G160" s="286"/>
      <c r="H160" s="286"/>
      <c r="I160" s="286"/>
      <c r="J160" s="286"/>
      <c r="K160" s="286"/>
      <c r="L160" s="286"/>
      <c r="M160" s="286"/>
      <c r="N160" s="286"/>
      <c r="O160" s="286"/>
      <c r="P160" s="286"/>
      <c r="Q160" s="286"/>
      <c r="R160" s="286"/>
      <c r="S160" s="286"/>
      <c r="T160" s="286"/>
      <c r="U160" s="286"/>
      <c r="V160" s="343" t="s">
        <v>118</v>
      </c>
      <c r="W160" s="318"/>
      <c r="X160" s="5"/>
    </row>
    <row r="161" spans="1:256" ht="15.75" x14ac:dyDescent="0.25">
      <c r="A161" s="181"/>
      <c r="B161" s="212"/>
      <c r="C161" s="212"/>
      <c r="D161" s="212"/>
      <c r="E161" s="212"/>
      <c r="F161" s="212"/>
      <c r="G161" s="212"/>
      <c r="H161" s="212"/>
      <c r="I161" s="212"/>
      <c r="J161" s="212"/>
      <c r="K161" s="212"/>
      <c r="L161" s="212"/>
      <c r="M161" s="212"/>
      <c r="N161" s="212"/>
      <c r="O161" s="212"/>
      <c r="P161" s="212"/>
      <c r="Q161" s="212"/>
      <c r="R161" s="212"/>
      <c r="S161" s="212"/>
      <c r="T161" s="212"/>
      <c r="U161" s="212"/>
      <c r="V161" s="344"/>
      <c r="W161" s="212"/>
      <c r="X161" s="5"/>
    </row>
    <row r="162" spans="1:256" ht="15.75" x14ac:dyDescent="0.25">
      <c r="A162" s="181"/>
      <c r="B162" s="210" t="s">
        <v>51</v>
      </c>
      <c r="C162" s="183"/>
      <c r="D162" s="183"/>
      <c r="E162" s="183"/>
      <c r="F162" s="183"/>
      <c r="G162" s="183"/>
      <c r="H162" s="183"/>
      <c r="I162" s="183"/>
      <c r="J162" s="183"/>
      <c r="K162" s="183"/>
      <c r="L162" s="183"/>
      <c r="M162" s="183"/>
      <c r="N162" s="183"/>
      <c r="O162" s="183"/>
      <c r="P162" s="183"/>
      <c r="Q162" s="183"/>
      <c r="R162" s="183"/>
      <c r="S162" s="183"/>
      <c r="T162" s="183"/>
      <c r="U162" s="183"/>
      <c r="V162" s="211"/>
      <c r="W162" s="183"/>
      <c r="X162" s="5"/>
    </row>
    <row r="163" spans="1:256" ht="15.75" x14ac:dyDescent="0.25">
      <c r="A163" s="285"/>
      <c r="B163" s="286" t="s">
        <v>52</v>
      </c>
      <c r="C163" s="286"/>
      <c r="D163" s="286"/>
      <c r="E163" s="286"/>
      <c r="F163" s="286"/>
      <c r="G163" s="286"/>
      <c r="H163" s="286"/>
      <c r="I163" s="286"/>
      <c r="J163" s="286"/>
      <c r="K163" s="286"/>
      <c r="L163" s="286"/>
      <c r="M163" s="286"/>
      <c r="N163" s="286"/>
      <c r="O163" s="286"/>
      <c r="P163" s="286"/>
      <c r="Q163" s="286"/>
      <c r="R163" s="286"/>
      <c r="S163" s="286"/>
      <c r="T163" s="286"/>
      <c r="U163" s="286"/>
      <c r="V163" s="338">
        <v>0</v>
      </c>
      <c r="W163" s="289"/>
      <c r="X163" s="5"/>
    </row>
    <row r="164" spans="1:256" ht="15.75" x14ac:dyDescent="0.25">
      <c r="A164" s="285"/>
      <c r="B164" s="286" t="s">
        <v>53</v>
      </c>
      <c r="C164" s="286"/>
      <c r="D164" s="286"/>
      <c r="E164" s="286"/>
      <c r="F164" s="286"/>
      <c r="G164" s="286"/>
      <c r="H164" s="286"/>
      <c r="I164" s="286"/>
      <c r="J164" s="286"/>
      <c r="K164" s="286"/>
      <c r="L164" s="286"/>
      <c r="M164" s="286"/>
      <c r="N164" s="286"/>
      <c r="O164" s="286"/>
      <c r="P164" s="286"/>
      <c r="Q164" s="286"/>
      <c r="R164" s="286"/>
      <c r="S164" s="286"/>
      <c r="T164" s="286"/>
      <c r="U164" s="286"/>
      <c r="V164" s="338">
        <v>75</v>
      </c>
      <c r="W164" s="289"/>
      <c r="X164" s="5"/>
    </row>
    <row r="165" spans="1:256" ht="15.75" x14ac:dyDescent="0.25">
      <c r="A165" s="285"/>
      <c r="B165" s="286" t="s">
        <v>54</v>
      </c>
      <c r="C165" s="286"/>
      <c r="D165" s="286"/>
      <c r="E165" s="286"/>
      <c r="F165" s="286"/>
      <c r="G165" s="286"/>
      <c r="H165" s="286"/>
      <c r="I165" s="286"/>
      <c r="J165" s="286"/>
      <c r="K165" s="286"/>
      <c r="L165" s="286"/>
      <c r="M165" s="286"/>
      <c r="N165" s="286"/>
      <c r="O165" s="286"/>
      <c r="P165" s="286"/>
      <c r="Q165" s="286"/>
      <c r="R165" s="286"/>
      <c r="S165" s="286"/>
      <c r="T165" s="286"/>
      <c r="U165" s="286"/>
      <c r="V165" s="338">
        <f>V164+V163</f>
        <v>75</v>
      </c>
      <c r="W165" s="289"/>
      <c r="X165" s="5"/>
    </row>
    <row r="166" spans="1:256" ht="15.75" x14ac:dyDescent="0.25">
      <c r="A166" s="285"/>
      <c r="B166" s="286" t="s">
        <v>303</v>
      </c>
      <c r="C166" s="286"/>
      <c r="D166" s="286"/>
      <c r="E166" s="286"/>
      <c r="F166" s="286"/>
      <c r="G166" s="286"/>
      <c r="H166" s="286"/>
      <c r="I166" s="286"/>
      <c r="J166" s="286"/>
      <c r="K166" s="286"/>
      <c r="L166" s="286"/>
      <c r="M166" s="286"/>
      <c r="N166" s="286"/>
      <c r="O166" s="286"/>
      <c r="P166" s="286"/>
      <c r="Q166" s="286"/>
      <c r="R166" s="286"/>
      <c r="S166" s="286"/>
      <c r="T166" s="286"/>
      <c r="U166" s="286"/>
      <c r="V166" s="338">
        <f>V114</f>
        <v>-75</v>
      </c>
      <c r="W166" s="289"/>
      <c r="X166" s="5"/>
    </row>
    <row r="167" spans="1:256" ht="15.75" x14ac:dyDescent="0.25">
      <c r="A167" s="285"/>
      <c r="B167" s="286" t="s">
        <v>55</v>
      </c>
      <c r="C167" s="286"/>
      <c r="D167" s="286"/>
      <c r="E167" s="286"/>
      <c r="F167" s="286"/>
      <c r="G167" s="286"/>
      <c r="H167" s="286"/>
      <c r="I167" s="286"/>
      <c r="J167" s="286"/>
      <c r="K167" s="286"/>
      <c r="L167" s="286"/>
      <c r="M167" s="286"/>
      <c r="N167" s="286"/>
      <c r="O167" s="286"/>
      <c r="P167" s="286"/>
      <c r="Q167" s="286"/>
      <c r="R167" s="286"/>
      <c r="S167" s="286"/>
      <c r="T167" s="286"/>
      <c r="U167" s="286"/>
      <c r="V167" s="338">
        <f>V165+V166</f>
        <v>0</v>
      </c>
      <c r="W167" s="289"/>
      <c r="X167" s="5"/>
    </row>
    <row r="168" spans="1:256" ht="15.75" x14ac:dyDescent="0.25">
      <c r="A168" s="285"/>
      <c r="B168" s="286" t="s">
        <v>274</v>
      </c>
      <c r="C168" s="286"/>
      <c r="D168" s="286"/>
      <c r="E168" s="286"/>
      <c r="F168" s="286"/>
      <c r="G168" s="286"/>
      <c r="H168" s="286"/>
      <c r="I168" s="286"/>
      <c r="J168" s="286"/>
      <c r="K168" s="286"/>
      <c r="L168" s="286"/>
      <c r="M168" s="286"/>
      <c r="N168" s="286"/>
      <c r="O168" s="286"/>
      <c r="P168" s="286"/>
      <c r="Q168" s="286"/>
      <c r="R168" s="286"/>
      <c r="S168" s="286"/>
      <c r="T168" s="286"/>
      <c r="U168" s="286"/>
      <c r="V168" s="338">
        <v>0</v>
      </c>
      <c r="W168" s="289"/>
      <c r="X168" s="5"/>
    </row>
    <row r="169" spans="1:256" ht="16.5" thickBot="1" x14ac:dyDescent="0.3">
      <c r="A169" s="181"/>
      <c r="B169" s="212"/>
      <c r="C169" s="212"/>
      <c r="D169" s="212"/>
      <c r="E169" s="212"/>
      <c r="F169" s="212"/>
      <c r="G169" s="212"/>
      <c r="H169" s="212"/>
      <c r="I169" s="212"/>
      <c r="J169" s="212"/>
      <c r="K169" s="212"/>
      <c r="L169" s="212"/>
      <c r="M169" s="212"/>
      <c r="N169" s="212"/>
      <c r="O169" s="212"/>
      <c r="P169" s="212"/>
      <c r="Q169" s="212"/>
      <c r="R169" s="212"/>
      <c r="S169" s="212"/>
      <c r="T169" s="212"/>
      <c r="U169" s="212"/>
      <c r="V169" s="344"/>
      <c r="W169" s="212"/>
      <c r="X169" s="5"/>
    </row>
    <row r="170" spans="1:256" ht="15.75" x14ac:dyDescent="0.25">
      <c r="A170" s="179"/>
      <c r="B170" s="180"/>
      <c r="C170" s="180"/>
      <c r="D170" s="180"/>
      <c r="E170" s="180"/>
      <c r="F170" s="180"/>
      <c r="G170" s="180"/>
      <c r="H170" s="180"/>
      <c r="I170" s="180"/>
      <c r="J170" s="180"/>
      <c r="K170" s="180"/>
      <c r="L170" s="180"/>
      <c r="M170" s="180"/>
      <c r="N170" s="180"/>
      <c r="O170" s="180"/>
      <c r="P170" s="180"/>
      <c r="Q170" s="180"/>
      <c r="R170" s="180"/>
      <c r="S170" s="180"/>
      <c r="T170" s="180"/>
      <c r="U170" s="180"/>
      <c r="V170" s="201"/>
      <c r="W170" s="180"/>
      <c r="X170" s="5"/>
    </row>
    <row r="171" spans="1:256" s="158" customFormat="1" ht="15.75" x14ac:dyDescent="0.25">
      <c r="A171" s="181"/>
      <c r="B171" s="210" t="s">
        <v>230</v>
      </c>
      <c r="C171" s="212"/>
      <c r="D171" s="212"/>
      <c r="E171" s="212"/>
      <c r="F171" s="212"/>
      <c r="G171" s="212"/>
      <c r="H171" s="212"/>
      <c r="I171" s="212"/>
      <c r="J171" s="212"/>
      <c r="K171" s="212"/>
      <c r="L171" s="212"/>
      <c r="M171" s="212"/>
      <c r="N171" s="212"/>
      <c r="O171" s="212"/>
      <c r="P171" s="212"/>
      <c r="Q171" s="212"/>
      <c r="R171" s="212"/>
      <c r="S171" s="212"/>
      <c r="T171" s="212"/>
      <c r="U171" s="212"/>
      <c r="V171" s="213"/>
      <c r="W171" s="212"/>
      <c r="X171" s="5"/>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s="160" customFormat="1" ht="15.75" x14ac:dyDescent="0.25">
      <c r="A172" s="285"/>
      <c r="B172" s="286" t="s">
        <v>231</v>
      </c>
      <c r="C172" s="286"/>
      <c r="D172" s="286"/>
      <c r="E172" s="286"/>
      <c r="F172" s="286"/>
      <c r="G172" s="286"/>
      <c r="H172" s="286"/>
      <c r="I172" s="286"/>
      <c r="J172" s="286"/>
      <c r="K172" s="286"/>
      <c r="L172" s="286"/>
      <c r="M172" s="286"/>
      <c r="N172" s="286"/>
      <c r="O172" s="286"/>
      <c r="P172" s="286"/>
      <c r="Q172" s="286"/>
      <c r="R172" s="286"/>
      <c r="S172" s="286"/>
      <c r="T172" s="286"/>
      <c r="U172" s="286"/>
      <c r="V172" s="338">
        <f>+'Aug 08'!V173</f>
        <v>0</v>
      </c>
      <c r="W172" s="289"/>
      <c r="X172" s="5"/>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s="160" customFormat="1" ht="15.75" x14ac:dyDescent="0.25">
      <c r="A173" s="285"/>
      <c r="B173" s="286" t="s">
        <v>234</v>
      </c>
      <c r="C173" s="286"/>
      <c r="D173" s="286"/>
      <c r="E173" s="286"/>
      <c r="F173" s="286"/>
      <c r="G173" s="286"/>
      <c r="H173" s="286"/>
      <c r="I173" s="286"/>
      <c r="J173" s="286"/>
      <c r="K173" s="286"/>
      <c r="L173" s="286"/>
      <c r="M173" s="286"/>
      <c r="N173" s="286"/>
      <c r="O173" s="286"/>
      <c r="P173" s="286"/>
      <c r="Q173" s="286"/>
      <c r="R173" s="286"/>
      <c r="S173" s="286"/>
      <c r="T173" s="286"/>
      <c r="U173" s="286"/>
      <c r="V173" s="338">
        <f>+V94</f>
        <v>0</v>
      </c>
      <c r="W173" s="289"/>
      <c r="X173" s="5"/>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s="160" customFormat="1" ht="15.75" x14ac:dyDescent="0.25">
      <c r="A174" s="285"/>
      <c r="B174" s="286" t="s">
        <v>232</v>
      </c>
      <c r="C174" s="286"/>
      <c r="D174" s="286"/>
      <c r="E174" s="286"/>
      <c r="F174" s="286"/>
      <c r="G174" s="286"/>
      <c r="H174" s="286"/>
      <c r="I174" s="286"/>
      <c r="J174" s="286"/>
      <c r="K174" s="286"/>
      <c r="L174" s="286"/>
      <c r="M174" s="286"/>
      <c r="N174" s="286"/>
      <c r="O174" s="286"/>
      <c r="P174" s="286"/>
      <c r="Q174" s="286"/>
      <c r="R174" s="286"/>
      <c r="S174" s="286"/>
      <c r="T174" s="286"/>
      <c r="U174" s="286"/>
      <c r="V174" s="338">
        <f>+V172-V173</f>
        <v>0</v>
      </c>
      <c r="W174" s="289"/>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6.5" thickBot="1" x14ac:dyDescent="0.3">
      <c r="A175" s="197"/>
      <c r="B175" s="212"/>
      <c r="C175" s="212"/>
      <c r="D175" s="212"/>
      <c r="E175" s="212"/>
      <c r="F175" s="212"/>
      <c r="G175" s="212"/>
      <c r="H175" s="212"/>
      <c r="I175" s="212"/>
      <c r="J175" s="212"/>
      <c r="K175" s="212"/>
      <c r="L175" s="212"/>
      <c r="M175" s="212"/>
      <c r="N175" s="212"/>
      <c r="O175" s="212"/>
      <c r="P175" s="212"/>
      <c r="Q175" s="212"/>
      <c r="R175" s="212"/>
      <c r="S175" s="212"/>
      <c r="T175" s="212"/>
      <c r="U175" s="212"/>
      <c r="V175" s="344"/>
      <c r="W175" s="212"/>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4" customFormat="1" ht="15.75" x14ac:dyDescent="0.25">
      <c r="A176" s="179"/>
      <c r="B176" s="180"/>
      <c r="C176" s="180"/>
      <c r="D176" s="180"/>
      <c r="E176" s="180"/>
      <c r="F176" s="180"/>
      <c r="G176" s="180"/>
      <c r="H176" s="180"/>
      <c r="I176" s="180"/>
      <c r="J176" s="180"/>
      <c r="K176" s="180"/>
      <c r="L176" s="180"/>
      <c r="M176" s="180"/>
      <c r="N176" s="180"/>
      <c r="O176" s="180"/>
      <c r="P176" s="180"/>
      <c r="Q176" s="180"/>
      <c r="R176" s="180"/>
      <c r="S176" s="180"/>
      <c r="T176" s="180"/>
      <c r="U176" s="180"/>
      <c r="V176" s="201"/>
      <c r="W176" s="180"/>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4" ht="15.75" x14ac:dyDescent="0.25">
      <c r="A177" s="181"/>
      <c r="B177" s="210" t="s">
        <v>56</v>
      </c>
      <c r="C177" s="183"/>
      <c r="D177" s="183"/>
      <c r="E177" s="183"/>
      <c r="F177" s="183"/>
      <c r="G177" s="183"/>
      <c r="H177" s="183"/>
      <c r="I177" s="183"/>
      <c r="J177" s="183"/>
      <c r="K177" s="183"/>
      <c r="L177" s="183"/>
      <c r="M177" s="183"/>
      <c r="N177" s="183"/>
      <c r="O177" s="183"/>
      <c r="P177" s="183"/>
      <c r="Q177" s="183"/>
      <c r="R177" s="183"/>
      <c r="S177" s="183"/>
      <c r="T177" s="183"/>
      <c r="U177" s="183"/>
      <c r="V177" s="202"/>
      <c r="W177" s="183"/>
      <c r="X177" s="5"/>
    </row>
    <row r="178" spans="1:24" ht="15.75" x14ac:dyDescent="0.25">
      <c r="A178" s="181"/>
      <c r="B178" s="191"/>
      <c r="C178" s="183"/>
      <c r="D178" s="183"/>
      <c r="E178" s="183"/>
      <c r="F178" s="183"/>
      <c r="G178" s="183"/>
      <c r="H178" s="183"/>
      <c r="I178" s="183"/>
      <c r="J178" s="183"/>
      <c r="K178" s="183"/>
      <c r="L178" s="183"/>
      <c r="M178" s="183"/>
      <c r="N178" s="183"/>
      <c r="O178" s="183"/>
      <c r="P178" s="183"/>
      <c r="Q178" s="183"/>
      <c r="R178" s="183"/>
      <c r="S178" s="183"/>
      <c r="T178" s="183"/>
      <c r="U178" s="183"/>
      <c r="V178" s="202"/>
      <c r="W178" s="183"/>
      <c r="X178" s="5"/>
    </row>
    <row r="179" spans="1:24" ht="15.75" x14ac:dyDescent="0.25">
      <c r="A179" s="285"/>
      <c r="B179" s="286" t="s">
        <v>57</v>
      </c>
      <c r="C179" s="286"/>
      <c r="D179" s="286"/>
      <c r="E179" s="286"/>
      <c r="F179" s="286"/>
      <c r="G179" s="286"/>
      <c r="H179" s="286"/>
      <c r="I179" s="286"/>
      <c r="J179" s="286"/>
      <c r="K179" s="286"/>
      <c r="L179" s="286"/>
      <c r="M179" s="286"/>
      <c r="N179" s="286"/>
      <c r="O179" s="286"/>
      <c r="P179" s="286"/>
      <c r="Q179" s="286"/>
      <c r="R179" s="286"/>
      <c r="S179" s="286"/>
      <c r="T179" s="286"/>
      <c r="U179" s="286"/>
      <c r="V179" s="338">
        <f>V71</f>
        <v>727208</v>
      </c>
      <c r="W179" s="289"/>
      <c r="X179" s="5"/>
    </row>
    <row r="180" spans="1:24" ht="15.75" x14ac:dyDescent="0.25">
      <c r="A180" s="285"/>
      <c r="B180" s="286" t="s">
        <v>58</v>
      </c>
      <c r="C180" s="286"/>
      <c r="D180" s="286"/>
      <c r="E180" s="286"/>
      <c r="F180" s="286"/>
      <c r="G180" s="286"/>
      <c r="H180" s="286"/>
      <c r="I180" s="286"/>
      <c r="J180" s="286"/>
      <c r="K180" s="286"/>
      <c r="L180" s="286"/>
      <c r="M180" s="286"/>
      <c r="N180" s="286"/>
      <c r="O180" s="286"/>
      <c r="P180" s="286"/>
      <c r="Q180" s="286"/>
      <c r="R180" s="286"/>
      <c r="S180" s="286"/>
      <c r="T180" s="286"/>
      <c r="U180" s="286"/>
      <c r="V180" s="338">
        <f>V84</f>
        <v>727208</v>
      </c>
      <c r="W180" s="289"/>
      <c r="X180" s="5"/>
    </row>
    <row r="181" spans="1:24" ht="16.5" thickBot="1" x14ac:dyDescent="0.3">
      <c r="A181" s="181"/>
      <c r="B181" s="212"/>
      <c r="C181" s="212"/>
      <c r="D181" s="212"/>
      <c r="E181" s="212"/>
      <c r="F181" s="212"/>
      <c r="G181" s="212"/>
      <c r="H181" s="212"/>
      <c r="I181" s="212"/>
      <c r="J181" s="212"/>
      <c r="K181" s="212"/>
      <c r="L181" s="212"/>
      <c r="M181" s="212"/>
      <c r="N181" s="212"/>
      <c r="O181" s="212"/>
      <c r="P181" s="212"/>
      <c r="Q181" s="212"/>
      <c r="R181" s="212"/>
      <c r="S181" s="212"/>
      <c r="T181" s="212"/>
      <c r="U181" s="212"/>
      <c r="V181" s="344"/>
      <c r="W181" s="212"/>
      <c r="X181" s="5"/>
    </row>
    <row r="182" spans="1:24" ht="15.75" x14ac:dyDescent="0.25">
      <c r="A182" s="179"/>
      <c r="B182" s="180"/>
      <c r="C182" s="180"/>
      <c r="D182" s="180"/>
      <c r="E182" s="180"/>
      <c r="F182" s="180"/>
      <c r="G182" s="180"/>
      <c r="H182" s="180"/>
      <c r="I182" s="180"/>
      <c r="J182" s="180"/>
      <c r="K182" s="180"/>
      <c r="L182" s="180"/>
      <c r="M182" s="180"/>
      <c r="N182" s="180"/>
      <c r="O182" s="180"/>
      <c r="P182" s="180"/>
      <c r="Q182" s="180"/>
      <c r="R182" s="180"/>
      <c r="S182" s="180"/>
      <c r="T182" s="180"/>
      <c r="U182" s="180"/>
      <c r="V182" s="201"/>
      <c r="W182" s="180"/>
      <c r="X182" s="5"/>
    </row>
    <row r="183" spans="1:24" ht="15.75" x14ac:dyDescent="0.25">
      <c r="A183" s="181"/>
      <c r="B183" s="210" t="s">
        <v>59</v>
      </c>
      <c r="C183" s="206"/>
      <c r="D183" s="206"/>
      <c r="E183" s="206"/>
      <c r="F183" s="206"/>
      <c r="G183" s="206"/>
      <c r="H183" s="214"/>
      <c r="I183" s="214"/>
      <c r="J183" s="214"/>
      <c r="K183" s="214"/>
      <c r="L183" s="214"/>
      <c r="M183" s="214"/>
      <c r="N183" s="214"/>
      <c r="O183" s="214"/>
      <c r="P183" s="214"/>
      <c r="Q183" s="214"/>
      <c r="R183" s="214"/>
      <c r="S183" s="214" t="s">
        <v>101</v>
      </c>
      <c r="T183" s="214" t="s">
        <v>176</v>
      </c>
      <c r="U183" s="185"/>
      <c r="V183" s="215" t="s">
        <v>114</v>
      </c>
      <c r="W183" s="216"/>
      <c r="X183" s="5"/>
    </row>
    <row r="184" spans="1:24" ht="15.75" x14ac:dyDescent="0.25">
      <c r="A184" s="285"/>
      <c r="B184" s="286" t="s">
        <v>60</v>
      </c>
      <c r="C184" s="286"/>
      <c r="D184" s="286"/>
      <c r="E184" s="286"/>
      <c r="F184" s="286"/>
      <c r="G184" s="286"/>
      <c r="H184" s="286"/>
      <c r="I184" s="286"/>
      <c r="J184" s="286"/>
      <c r="K184" s="286"/>
      <c r="L184" s="286"/>
      <c r="M184" s="286"/>
      <c r="N184" s="286"/>
      <c r="O184" s="286"/>
      <c r="P184" s="286"/>
      <c r="Q184" s="286"/>
      <c r="R184" s="286"/>
      <c r="S184" s="338">
        <f>+V34*0.16</f>
        <v>160181.28</v>
      </c>
      <c r="T184" s="325"/>
      <c r="U184" s="286"/>
      <c r="V184" s="338"/>
      <c r="W184" s="289"/>
      <c r="X184" s="5"/>
    </row>
    <row r="185" spans="1:24" ht="15.75" x14ac:dyDescent="0.25">
      <c r="A185" s="285"/>
      <c r="B185" s="286" t="s">
        <v>61</v>
      </c>
      <c r="C185" s="286"/>
      <c r="D185" s="286"/>
      <c r="E185" s="286"/>
      <c r="F185" s="286"/>
      <c r="G185" s="286"/>
      <c r="H185" s="286"/>
      <c r="I185" s="286"/>
      <c r="J185" s="286"/>
      <c r="K185" s="286"/>
      <c r="L185" s="286"/>
      <c r="M185" s="286"/>
      <c r="N185" s="286"/>
      <c r="O185" s="286"/>
      <c r="P185" s="286"/>
      <c r="Q185" s="286"/>
      <c r="R185" s="286"/>
      <c r="S185" s="338">
        <f>+'Aug 15'!S187</f>
        <v>12349</v>
      </c>
      <c r="T185" s="338">
        <f>+'Aug 15'!T187</f>
        <v>6095</v>
      </c>
      <c r="U185" s="286"/>
      <c r="V185" s="338">
        <f>S185+T185</f>
        <v>18444</v>
      </c>
      <c r="W185" s="289"/>
      <c r="X185" s="5"/>
    </row>
    <row r="186" spans="1:24" ht="15.75" x14ac:dyDescent="0.25">
      <c r="A186" s="285"/>
      <c r="B186" s="286" t="s">
        <v>62</v>
      </c>
      <c r="C186" s="286"/>
      <c r="D186" s="286"/>
      <c r="E186" s="286"/>
      <c r="F186" s="286"/>
      <c r="G186" s="286"/>
      <c r="H186" s="286"/>
      <c r="I186" s="286"/>
      <c r="J186" s="286"/>
      <c r="K186" s="286"/>
      <c r="L186" s="286"/>
      <c r="M186" s="286"/>
      <c r="N186" s="286"/>
      <c r="O186" s="286"/>
      <c r="P186" s="286"/>
      <c r="Q186" s="286"/>
      <c r="R186" s="286"/>
      <c r="S186" s="337">
        <f>200+193</f>
        <v>393</v>
      </c>
      <c r="T186" s="337">
        <v>0</v>
      </c>
      <c r="U186" s="286"/>
      <c r="V186" s="338">
        <f>S186+T186</f>
        <v>393</v>
      </c>
      <c r="W186" s="289"/>
      <c r="X186" s="5"/>
    </row>
    <row r="187" spans="1:24" ht="15.75" x14ac:dyDescent="0.25">
      <c r="A187" s="285"/>
      <c r="B187" s="286" t="s">
        <v>63</v>
      </c>
      <c r="C187" s="286"/>
      <c r="D187" s="286"/>
      <c r="E187" s="286"/>
      <c r="F187" s="286"/>
      <c r="G187" s="286"/>
      <c r="H187" s="286"/>
      <c r="I187" s="286"/>
      <c r="J187" s="286"/>
      <c r="K187" s="286"/>
      <c r="L187" s="286"/>
      <c r="M187" s="286"/>
      <c r="N187" s="286"/>
      <c r="O187" s="286"/>
      <c r="P187" s="286"/>
      <c r="Q187" s="286"/>
      <c r="R187" s="286"/>
      <c r="S187" s="338">
        <f>S185+S186</f>
        <v>12742</v>
      </c>
      <c r="T187" s="338">
        <f>T186+T185</f>
        <v>6095</v>
      </c>
      <c r="U187" s="286"/>
      <c r="V187" s="338">
        <f>S187+T187</f>
        <v>18837</v>
      </c>
      <c r="W187" s="289"/>
      <c r="X187" s="5"/>
    </row>
    <row r="188" spans="1:24" ht="15.75" x14ac:dyDescent="0.25">
      <c r="A188" s="285"/>
      <c r="B188" s="286" t="s">
        <v>64</v>
      </c>
      <c r="C188" s="286"/>
      <c r="D188" s="286"/>
      <c r="E188" s="286"/>
      <c r="F188" s="286"/>
      <c r="G188" s="286"/>
      <c r="H188" s="286"/>
      <c r="I188" s="286"/>
      <c r="J188" s="286"/>
      <c r="K188" s="286"/>
      <c r="L188" s="286"/>
      <c r="M188" s="286"/>
      <c r="N188" s="286"/>
      <c r="O188" s="286"/>
      <c r="P188" s="286"/>
      <c r="Q188" s="286"/>
      <c r="R188" s="286"/>
      <c r="S188" s="338">
        <f>S184-S187-T187</f>
        <v>141344.28</v>
      </c>
      <c r="T188" s="325"/>
      <c r="U188" s="286"/>
      <c r="V188" s="338"/>
      <c r="W188" s="289"/>
      <c r="X188" s="5"/>
    </row>
    <row r="189" spans="1:24" ht="16.5" thickBot="1" x14ac:dyDescent="0.3">
      <c r="A189" s="181"/>
      <c r="B189" s="212"/>
      <c r="C189" s="212"/>
      <c r="D189" s="212"/>
      <c r="E189" s="212"/>
      <c r="F189" s="212"/>
      <c r="G189" s="212"/>
      <c r="H189" s="212"/>
      <c r="I189" s="212"/>
      <c r="J189" s="212"/>
      <c r="K189" s="212"/>
      <c r="L189" s="212"/>
      <c r="M189" s="212"/>
      <c r="N189" s="212"/>
      <c r="O189" s="212"/>
      <c r="P189" s="212"/>
      <c r="Q189" s="212"/>
      <c r="R189" s="212"/>
      <c r="S189" s="212"/>
      <c r="T189" s="212"/>
      <c r="U189" s="212"/>
      <c r="V189" s="344"/>
      <c r="W189" s="212"/>
      <c r="X189" s="5"/>
    </row>
    <row r="190" spans="1:24" ht="15.75" x14ac:dyDescent="0.25">
      <c r="A190" s="179"/>
      <c r="B190" s="180"/>
      <c r="C190" s="180"/>
      <c r="D190" s="180"/>
      <c r="E190" s="180"/>
      <c r="F190" s="180"/>
      <c r="G190" s="180"/>
      <c r="H190" s="180"/>
      <c r="I190" s="180"/>
      <c r="J190" s="180"/>
      <c r="K190" s="180"/>
      <c r="L190" s="180"/>
      <c r="M190" s="180"/>
      <c r="N190" s="180"/>
      <c r="O190" s="180"/>
      <c r="P190" s="180"/>
      <c r="Q190" s="180"/>
      <c r="R190" s="180"/>
      <c r="S190" s="180"/>
      <c r="T190" s="180"/>
      <c r="U190" s="180"/>
      <c r="V190" s="201"/>
      <c r="W190" s="180"/>
      <c r="X190" s="5"/>
    </row>
    <row r="191" spans="1:24" ht="15.75" x14ac:dyDescent="0.25">
      <c r="A191" s="181"/>
      <c r="B191" s="210" t="s">
        <v>65</v>
      </c>
      <c r="C191" s="183"/>
      <c r="D191" s="183"/>
      <c r="E191" s="183"/>
      <c r="F191" s="183"/>
      <c r="G191" s="183"/>
      <c r="H191" s="183"/>
      <c r="I191" s="183"/>
      <c r="J191" s="183"/>
      <c r="K191" s="183"/>
      <c r="L191" s="183"/>
      <c r="M191" s="183"/>
      <c r="N191" s="183"/>
      <c r="O191" s="183"/>
      <c r="P191" s="183"/>
      <c r="Q191" s="183"/>
      <c r="R191" s="183"/>
      <c r="S191" s="183"/>
      <c r="T191" s="183"/>
      <c r="U191" s="183"/>
      <c r="V191" s="217"/>
      <c r="W191" s="183"/>
      <c r="X191" s="5"/>
    </row>
    <row r="192" spans="1:24" ht="15.75" x14ac:dyDescent="0.25">
      <c r="A192" s="285"/>
      <c r="B192" s="286" t="s">
        <v>66</v>
      </c>
      <c r="C192" s="286"/>
      <c r="D192" s="286"/>
      <c r="E192" s="286"/>
      <c r="F192" s="286"/>
      <c r="G192" s="286"/>
      <c r="H192" s="286"/>
      <c r="I192" s="286"/>
      <c r="J192" s="286"/>
      <c r="K192" s="286"/>
      <c r="L192" s="286"/>
      <c r="M192" s="286"/>
      <c r="N192" s="286"/>
      <c r="O192" s="286"/>
      <c r="P192" s="286"/>
      <c r="Q192" s="286"/>
      <c r="R192" s="286"/>
      <c r="S192" s="286"/>
      <c r="T192" s="286"/>
      <c r="U192" s="286"/>
      <c r="V192" s="343">
        <f>(V101+V103+V104+V105+V106)/-(V107+V108)</f>
        <v>3.825503355704698</v>
      </c>
      <c r="W192" s="289" t="s">
        <v>115</v>
      </c>
      <c r="X192" s="5"/>
    </row>
    <row r="193" spans="1:24" ht="15.75" x14ac:dyDescent="0.25">
      <c r="A193" s="285"/>
      <c r="B193" s="286" t="s">
        <v>67</v>
      </c>
      <c r="C193" s="286"/>
      <c r="D193" s="286"/>
      <c r="E193" s="286"/>
      <c r="F193" s="286"/>
      <c r="G193" s="286"/>
      <c r="H193" s="286"/>
      <c r="I193" s="286"/>
      <c r="J193" s="286"/>
      <c r="K193" s="286"/>
      <c r="L193" s="286"/>
      <c r="M193" s="286"/>
      <c r="N193" s="286"/>
      <c r="O193" s="286"/>
      <c r="P193" s="286"/>
      <c r="Q193" s="286"/>
      <c r="R193" s="286"/>
      <c r="S193" s="286"/>
      <c r="T193" s="286"/>
      <c r="U193" s="286"/>
      <c r="V193" s="347">
        <v>2.04</v>
      </c>
      <c r="W193" s="289" t="s">
        <v>115</v>
      </c>
      <c r="X193" s="5"/>
    </row>
    <row r="194" spans="1:24" ht="15.75" x14ac:dyDescent="0.25">
      <c r="A194" s="285"/>
      <c r="B194" s="286" t="s">
        <v>68</v>
      </c>
      <c r="C194" s="286"/>
      <c r="D194" s="286"/>
      <c r="E194" s="286"/>
      <c r="F194" s="286"/>
      <c r="G194" s="286"/>
      <c r="H194" s="286"/>
      <c r="I194" s="286"/>
      <c r="J194" s="286"/>
      <c r="K194" s="286"/>
      <c r="L194" s="286"/>
      <c r="M194" s="286"/>
      <c r="N194" s="286"/>
      <c r="O194" s="286"/>
      <c r="P194" s="286"/>
      <c r="Q194" s="286"/>
      <c r="R194" s="286"/>
      <c r="S194" s="286"/>
      <c r="T194" s="286"/>
      <c r="U194" s="286"/>
      <c r="V194" s="343">
        <f>(V101+V103+V104+V105+V106+V107+V108)/-(V109+V110)</f>
        <v>15.171171171171171</v>
      </c>
      <c r="W194" s="289" t="s">
        <v>115</v>
      </c>
      <c r="X194" s="5"/>
    </row>
    <row r="195" spans="1:24" ht="15.75" x14ac:dyDescent="0.25">
      <c r="A195" s="285"/>
      <c r="B195" s="286" t="s">
        <v>69</v>
      </c>
      <c r="C195" s="286"/>
      <c r="D195" s="286"/>
      <c r="E195" s="286"/>
      <c r="F195" s="286"/>
      <c r="G195" s="286"/>
      <c r="H195" s="286"/>
      <c r="I195" s="286"/>
      <c r="J195" s="286"/>
      <c r="K195" s="286"/>
      <c r="L195" s="286"/>
      <c r="M195" s="286"/>
      <c r="N195" s="286"/>
      <c r="O195" s="286"/>
      <c r="P195" s="286"/>
      <c r="Q195" s="286"/>
      <c r="R195" s="286"/>
      <c r="S195" s="286"/>
      <c r="T195" s="286"/>
      <c r="U195" s="286"/>
      <c r="V195" s="347">
        <v>9.24</v>
      </c>
      <c r="W195" s="289" t="s">
        <v>115</v>
      </c>
      <c r="X195" s="5"/>
    </row>
    <row r="196" spans="1:24" ht="15.75" x14ac:dyDescent="0.25">
      <c r="A196" s="285"/>
      <c r="B196" s="286" t="s">
        <v>198</v>
      </c>
      <c r="C196" s="286"/>
      <c r="D196" s="286"/>
      <c r="E196" s="286"/>
      <c r="F196" s="286"/>
      <c r="G196" s="286"/>
      <c r="H196" s="286"/>
      <c r="I196" s="286"/>
      <c r="J196" s="286"/>
      <c r="K196" s="286"/>
      <c r="L196" s="286"/>
      <c r="M196" s="286"/>
      <c r="N196" s="286"/>
      <c r="O196" s="286"/>
      <c r="P196" s="286"/>
      <c r="Q196" s="286"/>
      <c r="R196" s="286"/>
      <c r="S196" s="286"/>
      <c r="T196" s="286"/>
      <c r="U196" s="286"/>
      <c r="V196" s="343">
        <f>(V101+V103+V104+V105+V106+V107+V108+V109+V110)/-(V111)</f>
        <v>9.2529411764705891</v>
      </c>
      <c r="W196" s="289" t="s">
        <v>115</v>
      </c>
      <c r="X196" s="5"/>
    </row>
    <row r="197" spans="1:24" ht="15.75" x14ac:dyDescent="0.25">
      <c r="A197" s="285"/>
      <c r="B197" s="286" t="s">
        <v>199</v>
      </c>
      <c r="C197" s="286"/>
      <c r="D197" s="286"/>
      <c r="E197" s="286"/>
      <c r="F197" s="286"/>
      <c r="G197" s="286"/>
      <c r="H197" s="286"/>
      <c r="I197" s="286"/>
      <c r="J197" s="286"/>
      <c r="K197" s="286"/>
      <c r="L197" s="286"/>
      <c r="M197" s="286"/>
      <c r="N197" s="286"/>
      <c r="O197" s="286"/>
      <c r="P197" s="286"/>
      <c r="Q197" s="286"/>
      <c r="R197" s="286"/>
      <c r="S197" s="286"/>
      <c r="T197" s="286"/>
      <c r="U197" s="286"/>
      <c r="V197" s="347">
        <v>6.81</v>
      </c>
      <c r="W197" s="289" t="s">
        <v>115</v>
      </c>
      <c r="X197" s="5"/>
    </row>
    <row r="198" spans="1:24" ht="15.75" x14ac:dyDescent="0.25">
      <c r="A198" s="285"/>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9"/>
      <c r="X198" s="5"/>
    </row>
    <row r="199" spans="1:24" ht="15.75" x14ac:dyDescent="0.25">
      <c r="A199" s="181"/>
      <c r="B199" s="346"/>
      <c r="C199" s="346"/>
      <c r="D199" s="346"/>
      <c r="E199" s="346"/>
      <c r="F199" s="346"/>
      <c r="G199" s="346"/>
      <c r="H199" s="346"/>
      <c r="I199" s="346"/>
      <c r="J199" s="346"/>
      <c r="K199" s="346"/>
      <c r="L199" s="346"/>
      <c r="M199" s="346"/>
      <c r="N199" s="346"/>
      <c r="O199" s="346"/>
      <c r="P199" s="346"/>
      <c r="Q199" s="346"/>
      <c r="R199" s="346"/>
      <c r="S199" s="346"/>
      <c r="T199" s="346"/>
      <c r="U199" s="346"/>
      <c r="V199" s="346"/>
      <c r="W199" s="346"/>
      <c r="X199" s="5"/>
    </row>
    <row r="200" spans="1:24" ht="15.75" x14ac:dyDescent="0.25">
      <c r="A200" s="181"/>
      <c r="B200" s="255"/>
      <c r="C200" s="255"/>
      <c r="D200" s="255"/>
      <c r="E200" s="255"/>
      <c r="F200" s="255"/>
      <c r="G200" s="255"/>
      <c r="H200" s="255"/>
      <c r="I200" s="255"/>
      <c r="J200" s="255"/>
      <c r="K200" s="255"/>
      <c r="L200" s="255"/>
      <c r="M200" s="255"/>
      <c r="N200" s="255"/>
      <c r="O200" s="255"/>
      <c r="P200" s="255"/>
      <c r="Q200" s="255"/>
      <c r="R200" s="255"/>
      <c r="S200" s="255"/>
      <c r="T200" s="255"/>
      <c r="U200" s="255"/>
      <c r="V200" s="255"/>
      <c r="W200" s="255"/>
      <c r="X200" s="5"/>
    </row>
    <row r="201" spans="1:24" ht="19.5" thickBot="1" x14ac:dyDescent="0.35">
      <c r="A201" s="197"/>
      <c r="B201" s="270" t="str">
        <f>B135</f>
        <v>PM15 INVESTOR REPORT QUARTER ENDING NOVEMBER 2015</v>
      </c>
      <c r="C201" s="271"/>
      <c r="D201" s="271"/>
      <c r="E201" s="271"/>
      <c r="F201" s="271"/>
      <c r="G201" s="271"/>
      <c r="H201" s="271"/>
      <c r="I201" s="271"/>
      <c r="J201" s="271"/>
      <c r="K201" s="271"/>
      <c r="L201" s="271"/>
      <c r="M201" s="271"/>
      <c r="N201" s="271"/>
      <c r="O201" s="271"/>
      <c r="P201" s="271"/>
      <c r="Q201" s="271"/>
      <c r="R201" s="271"/>
      <c r="S201" s="271"/>
      <c r="T201" s="271"/>
      <c r="U201" s="271"/>
      <c r="V201" s="271"/>
      <c r="W201" s="272"/>
      <c r="X201" s="5"/>
    </row>
    <row r="202" spans="1:24" ht="15.75" x14ac:dyDescent="0.25">
      <c r="A202" s="236"/>
      <c r="B202" s="403" t="s">
        <v>70</v>
      </c>
      <c r="C202" s="404"/>
      <c r="D202" s="404"/>
      <c r="E202" s="404"/>
      <c r="F202" s="404"/>
      <c r="G202" s="405"/>
      <c r="H202" s="405"/>
      <c r="I202" s="405"/>
      <c r="J202" s="405"/>
      <c r="K202" s="405"/>
      <c r="L202" s="405"/>
      <c r="M202" s="405"/>
      <c r="N202" s="405"/>
      <c r="O202" s="405"/>
      <c r="P202" s="405"/>
      <c r="Q202" s="405"/>
      <c r="R202" s="405"/>
      <c r="S202" s="405"/>
      <c r="T202" s="405">
        <v>42338</v>
      </c>
      <c r="U202" s="238"/>
      <c r="V202" s="238"/>
      <c r="W202" s="238"/>
      <c r="X202" s="5"/>
    </row>
    <row r="203" spans="1:24" ht="15.75" x14ac:dyDescent="0.25">
      <c r="A203" s="218"/>
      <c r="B203" s="219"/>
      <c r="C203" s="220"/>
      <c r="D203" s="220"/>
      <c r="E203" s="220"/>
      <c r="F203" s="220"/>
      <c r="G203" s="221"/>
      <c r="H203" s="221"/>
      <c r="I203" s="221"/>
      <c r="J203" s="221"/>
      <c r="K203" s="221"/>
      <c r="L203" s="221"/>
      <c r="M203" s="221"/>
      <c r="N203" s="221"/>
      <c r="O203" s="221"/>
      <c r="P203" s="221"/>
      <c r="Q203" s="221"/>
      <c r="R203" s="221"/>
      <c r="S203" s="221"/>
      <c r="T203" s="221"/>
      <c r="U203" s="183"/>
      <c r="V203" s="183"/>
      <c r="W203" s="183"/>
      <c r="X203" s="5"/>
    </row>
    <row r="204" spans="1:24" ht="15.75" x14ac:dyDescent="0.25">
      <c r="A204" s="350"/>
      <c r="B204" s="286" t="s">
        <v>71</v>
      </c>
      <c r="C204" s="406"/>
      <c r="D204" s="406"/>
      <c r="E204" s="406"/>
      <c r="F204" s="406"/>
      <c r="G204" s="397"/>
      <c r="H204" s="397"/>
      <c r="I204" s="397"/>
      <c r="J204" s="397"/>
      <c r="K204" s="397"/>
      <c r="L204" s="397"/>
      <c r="M204" s="397"/>
      <c r="N204" s="397"/>
      <c r="O204" s="397"/>
      <c r="P204" s="397"/>
      <c r="Q204" s="397"/>
      <c r="R204" s="397"/>
      <c r="S204" s="397"/>
      <c r="T204" s="321">
        <v>5.3830000000000003E-2</v>
      </c>
      <c r="U204" s="286"/>
      <c r="V204" s="286"/>
      <c r="W204" s="289"/>
      <c r="X204" s="5"/>
    </row>
    <row r="205" spans="1:24" ht="15.75" x14ac:dyDescent="0.25">
      <c r="A205" s="350"/>
      <c r="B205" s="286" t="s">
        <v>151</v>
      </c>
      <c r="C205" s="406"/>
      <c r="D205" s="406"/>
      <c r="E205" s="406"/>
      <c r="F205" s="406"/>
      <c r="G205" s="397"/>
      <c r="H205" s="397"/>
      <c r="I205" s="397"/>
      <c r="J205" s="397"/>
      <c r="K205" s="397"/>
      <c r="L205" s="397"/>
      <c r="M205" s="397"/>
      <c r="N205" s="397"/>
      <c r="O205" s="397"/>
      <c r="P205" s="397"/>
      <c r="Q205" s="397"/>
      <c r="R205" s="397"/>
      <c r="S205" s="397"/>
      <c r="T205" s="321">
        <v>6.25E-2</v>
      </c>
      <c r="U205" s="286"/>
      <c r="V205" s="286"/>
      <c r="W205" s="289"/>
      <c r="X205" s="5"/>
    </row>
    <row r="206" spans="1:24" ht="15.75" x14ac:dyDescent="0.25">
      <c r="A206" s="350"/>
      <c r="B206" s="286" t="s">
        <v>72</v>
      </c>
      <c r="C206" s="406"/>
      <c r="D206" s="406"/>
      <c r="E206" s="406"/>
      <c r="F206" s="406"/>
      <c r="G206" s="397"/>
      <c r="H206" s="397"/>
      <c r="I206" s="397"/>
      <c r="J206" s="397"/>
      <c r="K206" s="397"/>
      <c r="L206" s="397"/>
      <c r="M206" s="397"/>
      <c r="N206" s="397"/>
      <c r="O206" s="397"/>
      <c r="P206" s="397"/>
      <c r="Q206" s="397"/>
      <c r="R206" s="397"/>
      <c r="S206" s="397"/>
      <c r="T206" s="321">
        <f>T204-T205</f>
        <v>-8.6699999999999972E-3</v>
      </c>
      <c r="U206" s="286"/>
      <c r="V206" s="286"/>
      <c r="W206" s="289"/>
      <c r="X206" s="5"/>
    </row>
    <row r="207" spans="1:24" ht="15.75" x14ac:dyDescent="0.25">
      <c r="A207" s="350"/>
      <c r="B207" s="286" t="s">
        <v>73</v>
      </c>
      <c r="C207" s="406"/>
      <c r="D207" s="406"/>
      <c r="E207" s="406"/>
      <c r="F207" s="406"/>
      <c r="G207" s="397"/>
      <c r="H207" s="397"/>
      <c r="I207" s="397"/>
      <c r="J207" s="397"/>
      <c r="K207" s="397"/>
      <c r="L207" s="397"/>
      <c r="M207" s="397"/>
      <c r="N207" s="397"/>
      <c r="O207" s="397"/>
      <c r="P207" s="397"/>
      <c r="Q207" s="397"/>
      <c r="R207" s="397"/>
      <c r="S207" s="397"/>
      <c r="T207" s="321">
        <v>2.5170000000000001E-2</v>
      </c>
      <c r="U207" s="286"/>
      <c r="V207" s="286"/>
      <c r="W207" s="289"/>
      <c r="X207" s="5"/>
    </row>
    <row r="208" spans="1:24" ht="15.75" x14ac:dyDescent="0.25">
      <c r="A208" s="350"/>
      <c r="B208" s="286" t="s">
        <v>218</v>
      </c>
      <c r="C208" s="406"/>
      <c r="D208" s="406"/>
      <c r="E208" s="406"/>
      <c r="F208" s="406"/>
      <c r="G208" s="397"/>
      <c r="H208" s="397"/>
      <c r="I208" s="397"/>
      <c r="J208" s="397"/>
      <c r="K208" s="397"/>
      <c r="L208" s="397"/>
      <c r="M208" s="397"/>
      <c r="N208" s="397"/>
      <c r="O208" s="397"/>
      <c r="P208" s="397"/>
      <c r="Q208" s="397"/>
      <c r="R208" s="397"/>
      <c r="S208" s="397"/>
      <c r="T208" s="321">
        <f>V43</f>
        <v>9.5508028999481426E-3</v>
      </c>
      <c r="U208" s="286"/>
      <c r="V208" s="286"/>
      <c r="W208" s="289"/>
      <c r="X208" s="5"/>
    </row>
    <row r="209" spans="1:24" ht="15.75" x14ac:dyDescent="0.25">
      <c r="A209" s="350"/>
      <c r="B209" s="286" t="s">
        <v>74</v>
      </c>
      <c r="C209" s="406"/>
      <c r="D209" s="406"/>
      <c r="E209" s="406"/>
      <c r="F209" s="406"/>
      <c r="G209" s="397"/>
      <c r="H209" s="397"/>
      <c r="I209" s="397"/>
      <c r="J209" s="397"/>
      <c r="K209" s="397"/>
      <c r="L209" s="397"/>
      <c r="M209" s="397"/>
      <c r="N209" s="397"/>
      <c r="O209" s="397"/>
      <c r="P209" s="397"/>
      <c r="Q209" s="397"/>
      <c r="R209" s="397"/>
      <c r="S209" s="397"/>
      <c r="T209" s="321">
        <f>T207-T208</f>
        <v>1.5619197100051859E-2</v>
      </c>
      <c r="U209" s="286"/>
      <c r="V209" s="286"/>
      <c r="W209" s="289"/>
      <c r="X209" s="5"/>
    </row>
    <row r="210" spans="1:24" ht="15.75" x14ac:dyDescent="0.25">
      <c r="A210" s="350"/>
      <c r="B210" s="286" t="s">
        <v>227</v>
      </c>
      <c r="C210" s="406"/>
      <c r="D210" s="406"/>
      <c r="E210" s="406"/>
      <c r="F210" s="406"/>
      <c r="G210" s="397"/>
      <c r="H210" s="397"/>
      <c r="I210" s="397"/>
      <c r="J210" s="397"/>
      <c r="K210" s="397"/>
      <c r="L210" s="397"/>
      <c r="M210" s="397"/>
      <c r="N210" s="397"/>
      <c r="O210" s="397"/>
      <c r="P210" s="397"/>
      <c r="Q210" s="397"/>
      <c r="R210" s="397"/>
      <c r="S210" s="397"/>
      <c r="T210" s="321">
        <f>V101/N71</f>
        <v>6.7299960883171073E-3</v>
      </c>
      <c r="U210" s="286"/>
      <c r="V210" s="286"/>
      <c r="W210" s="289"/>
      <c r="X210" s="5"/>
    </row>
    <row r="211" spans="1:24" ht="15.75" x14ac:dyDescent="0.25">
      <c r="A211" s="350"/>
      <c r="B211" s="286" t="s">
        <v>207</v>
      </c>
      <c r="C211" s="406"/>
      <c r="D211" s="406"/>
      <c r="E211" s="406"/>
      <c r="F211" s="406"/>
      <c r="G211" s="397"/>
      <c r="H211" s="397"/>
      <c r="I211" s="397"/>
      <c r="J211" s="397"/>
      <c r="K211" s="397"/>
      <c r="L211" s="397"/>
      <c r="M211" s="397"/>
      <c r="N211" s="397"/>
      <c r="O211" s="397"/>
      <c r="P211" s="397"/>
      <c r="Q211" s="397"/>
      <c r="R211" s="397"/>
      <c r="S211" s="397"/>
      <c r="T211" s="352">
        <v>51105</v>
      </c>
      <c r="U211" s="286"/>
      <c r="V211" s="286"/>
      <c r="W211" s="289"/>
      <c r="X211" s="5"/>
    </row>
    <row r="212" spans="1:24" ht="15.75" x14ac:dyDescent="0.25">
      <c r="A212" s="350"/>
      <c r="B212" s="286" t="s">
        <v>208</v>
      </c>
      <c r="C212" s="406"/>
      <c r="D212" s="406"/>
      <c r="E212" s="406"/>
      <c r="F212" s="406"/>
      <c r="G212" s="397"/>
      <c r="H212" s="397"/>
      <c r="I212" s="397"/>
      <c r="J212" s="397"/>
      <c r="K212" s="397"/>
      <c r="L212" s="397"/>
      <c r="M212" s="397"/>
      <c r="N212" s="397"/>
      <c r="O212" s="397"/>
      <c r="P212" s="397"/>
      <c r="Q212" s="397"/>
      <c r="R212" s="397"/>
      <c r="S212" s="397"/>
      <c r="T212" s="352">
        <v>51105</v>
      </c>
      <c r="U212" s="286"/>
      <c r="V212" s="286"/>
      <c r="W212" s="289"/>
      <c r="X212" s="5"/>
    </row>
    <row r="213" spans="1:24" ht="15.75" x14ac:dyDescent="0.25">
      <c r="A213" s="350"/>
      <c r="B213" s="286" t="s">
        <v>209</v>
      </c>
      <c r="C213" s="406"/>
      <c r="D213" s="406"/>
      <c r="E213" s="406"/>
      <c r="F213" s="406"/>
      <c r="G213" s="397"/>
      <c r="H213" s="397"/>
      <c r="I213" s="397"/>
      <c r="J213" s="397"/>
      <c r="K213" s="397"/>
      <c r="L213" s="397"/>
      <c r="M213" s="397"/>
      <c r="N213" s="397"/>
      <c r="O213" s="397"/>
      <c r="P213" s="397"/>
      <c r="Q213" s="397"/>
      <c r="R213" s="397"/>
      <c r="S213" s="397"/>
      <c r="T213" s="352">
        <v>51105</v>
      </c>
      <c r="U213" s="286"/>
      <c r="V213" s="286"/>
      <c r="W213" s="289"/>
      <c r="X213" s="5"/>
    </row>
    <row r="214" spans="1:24" ht="15.75" x14ac:dyDescent="0.25">
      <c r="A214" s="350"/>
      <c r="B214" s="286" t="s">
        <v>75</v>
      </c>
      <c r="C214" s="406"/>
      <c r="D214" s="406"/>
      <c r="E214" s="406"/>
      <c r="F214" s="406"/>
      <c r="G214" s="397"/>
      <c r="H214" s="397"/>
      <c r="I214" s="397"/>
      <c r="J214" s="397"/>
      <c r="K214" s="397"/>
      <c r="L214" s="397"/>
      <c r="M214" s="397"/>
      <c r="N214" s="397"/>
      <c r="O214" s="397"/>
      <c r="P214" s="397"/>
      <c r="Q214" s="397"/>
      <c r="R214" s="397"/>
      <c r="S214" s="397"/>
      <c r="T214" s="327">
        <v>21.06</v>
      </c>
      <c r="U214" s="286" t="s">
        <v>110</v>
      </c>
      <c r="V214" s="286"/>
      <c r="W214" s="289"/>
      <c r="X214" s="5"/>
    </row>
    <row r="215" spans="1:24" ht="15.75" x14ac:dyDescent="0.25">
      <c r="A215" s="350"/>
      <c r="B215" s="286" t="s">
        <v>76</v>
      </c>
      <c r="C215" s="406"/>
      <c r="D215" s="406"/>
      <c r="E215" s="406"/>
      <c r="F215" s="406"/>
      <c r="G215" s="397"/>
      <c r="H215" s="397"/>
      <c r="I215" s="397"/>
      <c r="J215" s="397"/>
      <c r="K215" s="397"/>
      <c r="L215" s="397"/>
      <c r="M215" s="397"/>
      <c r="N215" s="397"/>
      <c r="O215" s="397"/>
      <c r="P215" s="397"/>
      <c r="Q215" s="397"/>
      <c r="R215" s="397"/>
      <c r="S215" s="397"/>
      <c r="T215" s="327">
        <v>13.02</v>
      </c>
      <c r="U215" s="286" t="s">
        <v>110</v>
      </c>
      <c r="V215" s="286"/>
      <c r="W215" s="289"/>
      <c r="X215" s="5"/>
    </row>
    <row r="216" spans="1:24" ht="15.75" x14ac:dyDescent="0.25">
      <c r="A216" s="350"/>
      <c r="B216" s="286" t="s">
        <v>77</v>
      </c>
      <c r="C216" s="406"/>
      <c r="D216" s="406"/>
      <c r="E216" s="406"/>
      <c r="F216" s="406"/>
      <c r="G216" s="397"/>
      <c r="H216" s="397"/>
      <c r="I216" s="397"/>
      <c r="J216" s="397"/>
      <c r="K216" s="397"/>
      <c r="L216" s="397"/>
      <c r="M216" s="397"/>
      <c r="N216" s="397"/>
      <c r="O216" s="397"/>
      <c r="P216" s="397"/>
      <c r="Q216" s="397"/>
      <c r="R216" s="397"/>
      <c r="S216" s="397"/>
      <c r="T216" s="321">
        <f>+P68/N68</f>
        <v>1.2822985483310153E-2</v>
      </c>
      <c r="U216" s="286"/>
      <c r="V216" s="286"/>
      <c r="W216" s="289"/>
      <c r="X216" s="5"/>
    </row>
    <row r="217" spans="1:24" ht="15.75" x14ac:dyDescent="0.25">
      <c r="A217" s="350"/>
      <c r="B217" s="286" t="s">
        <v>78</v>
      </c>
      <c r="C217" s="406"/>
      <c r="D217" s="406"/>
      <c r="E217" s="406"/>
      <c r="F217" s="406"/>
      <c r="G217" s="397"/>
      <c r="H217" s="397"/>
      <c r="I217" s="397"/>
      <c r="J217" s="397"/>
      <c r="K217" s="397"/>
      <c r="L217" s="397"/>
      <c r="M217" s="397"/>
      <c r="N217" s="397"/>
      <c r="O217" s="397"/>
      <c r="P217" s="397"/>
      <c r="Q217" s="397"/>
      <c r="R217" s="397"/>
      <c r="S217" s="397"/>
      <c r="T217" s="321">
        <v>3.9300000000000002E-2</v>
      </c>
      <c r="U217" s="286"/>
      <c r="V217" s="286"/>
      <c r="W217" s="289"/>
      <c r="X217" s="5"/>
    </row>
    <row r="218" spans="1:24" ht="15.75" x14ac:dyDescent="0.25">
      <c r="A218" s="218"/>
      <c r="B218" s="348"/>
      <c r="C218" s="348"/>
      <c r="D218" s="348"/>
      <c r="E218" s="348"/>
      <c r="F218" s="348"/>
      <c r="G218" s="212"/>
      <c r="H218" s="212"/>
      <c r="I218" s="212"/>
      <c r="J218" s="212"/>
      <c r="K218" s="212"/>
      <c r="L218" s="212"/>
      <c r="M218" s="212"/>
      <c r="N218" s="212"/>
      <c r="O218" s="212"/>
      <c r="P218" s="212"/>
      <c r="Q218" s="212"/>
      <c r="R218" s="212"/>
      <c r="S218" s="212"/>
      <c r="T218" s="344"/>
      <c r="U218" s="212"/>
      <c r="V218" s="349"/>
      <c r="W218" s="212"/>
      <c r="X218" s="5"/>
    </row>
    <row r="219" spans="1:24" ht="15.75" x14ac:dyDescent="0.25">
      <c r="A219" s="242"/>
      <c r="B219" s="399" t="s">
        <v>79</v>
      </c>
      <c r="C219" s="400"/>
      <c r="D219" s="400"/>
      <c r="E219" s="400"/>
      <c r="F219" s="407"/>
      <c r="G219" s="400"/>
      <c r="H219" s="400"/>
      <c r="I219" s="400"/>
      <c r="J219" s="400"/>
      <c r="K219" s="400"/>
      <c r="L219" s="400"/>
      <c r="M219" s="400"/>
      <c r="N219" s="400"/>
      <c r="O219" s="400"/>
      <c r="P219" s="400"/>
      <c r="Q219" s="400"/>
      <c r="R219" s="400"/>
      <c r="S219" s="400" t="s">
        <v>102</v>
      </c>
      <c r="T219" s="407" t="s">
        <v>108</v>
      </c>
      <c r="U219" s="225"/>
      <c r="V219" s="225"/>
      <c r="W219" s="225"/>
      <c r="X219" s="5"/>
    </row>
    <row r="220" spans="1:24" ht="15.75" x14ac:dyDescent="0.25">
      <c r="A220" s="222"/>
      <c r="B220" s="250" t="s">
        <v>80</v>
      </c>
      <c r="C220" s="249"/>
      <c r="D220" s="249"/>
      <c r="E220" s="249"/>
      <c r="F220" s="250"/>
      <c r="G220" s="250"/>
      <c r="H220" s="268"/>
      <c r="I220" s="268"/>
      <c r="J220" s="268"/>
      <c r="K220" s="268"/>
      <c r="L220" s="268"/>
      <c r="M220" s="268"/>
      <c r="N220" s="268"/>
      <c r="O220" s="268"/>
      <c r="P220" s="268"/>
      <c r="Q220" s="268"/>
      <c r="R220" s="268"/>
      <c r="S220" s="268">
        <v>1</v>
      </c>
      <c r="T220" s="269">
        <v>100</v>
      </c>
      <c r="U220" s="250"/>
      <c r="V220" s="266"/>
      <c r="W220" s="223"/>
      <c r="X220" s="5"/>
    </row>
    <row r="221" spans="1:24" ht="15.75" x14ac:dyDescent="0.25">
      <c r="A221" s="358"/>
      <c r="B221" s="286" t="s">
        <v>145</v>
      </c>
      <c r="C221" s="337"/>
      <c r="D221" s="337"/>
      <c r="E221" s="337"/>
      <c r="F221" s="286"/>
      <c r="G221" s="286"/>
      <c r="H221" s="296"/>
      <c r="I221" s="296"/>
      <c r="J221" s="296"/>
      <c r="K221" s="296"/>
      <c r="L221" s="296"/>
      <c r="M221" s="296"/>
      <c r="N221" s="296"/>
      <c r="O221" s="296"/>
      <c r="P221" s="296"/>
      <c r="Q221" s="296"/>
      <c r="R221" s="296"/>
      <c r="S221" s="359">
        <f>+R273</f>
        <v>88</v>
      </c>
      <c r="T221" s="360">
        <f>+T273</f>
        <v>11746</v>
      </c>
      <c r="U221" s="286"/>
      <c r="V221" s="361"/>
      <c r="W221" s="362"/>
      <c r="X221" s="5"/>
    </row>
    <row r="222" spans="1:24" ht="15.75" x14ac:dyDescent="0.25">
      <c r="A222" s="358"/>
      <c r="B222" s="286" t="s">
        <v>81</v>
      </c>
      <c r="C222" s="337"/>
      <c r="D222" s="337"/>
      <c r="E222" s="337"/>
      <c r="F222" s="286"/>
      <c r="G222" s="286"/>
      <c r="H222" s="296"/>
      <c r="I222" s="296"/>
      <c r="J222" s="296"/>
      <c r="K222" s="296"/>
      <c r="L222" s="296"/>
      <c r="M222" s="296"/>
      <c r="N222" s="296"/>
      <c r="O222" s="296"/>
      <c r="P222" s="296"/>
      <c r="Q222" s="296"/>
      <c r="R222" s="296"/>
      <c r="S222" s="359">
        <f>+R285</f>
        <v>0</v>
      </c>
      <c r="T222" s="360">
        <f>+T285</f>
        <v>0</v>
      </c>
      <c r="U222" s="286"/>
      <c r="V222" s="361"/>
      <c r="W222" s="362"/>
      <c r="X222" s="5"/>
    </row>
    <row r="223" spans="1:24" ht="15.75" x14ac:dyDescent="0.25">
      <c r="A223" s="358"/>
      <c r="B223" s="313" t="s">
        <v>82</v>
      </c>
      <c r="C223" s="363"/>
      <c r="D223" s="363"/>
      <c r="E223" s="363"/>
      <c r="F223" s="314"/>
      <c r="G223" s="314"/>
      <c r="H223" s="314"/>
      <c r="I223" s="314"/>
      <c r="J223" s="314"/>
      <c r="K223" s="314"/>
      <c r="L223" s="314"/>
      <c r="M223" s="314"/>
      <c r="N223" s="314"/>
      <c r="O223" s="314"/>
      <c r="P223" s="314"/>
      <c r="Q223" s="314"/>
      <c r="R223" s="314"/>
      <c r="S223" s="286"/>
      <c r="T223" s="360">
        <v>0</v>
      </c>
      <c r="U223" s="314"/>
      <c r="V223" s="364"/>
      <c r="W223" s="362"/>
      <c r="X223" s="5"/>
    </row>
    <row r="224" spans="1:24" ht="15.75" x14ac:dyDescent="0.25">
      <c r="A224" s="358"/>
      <c r="B224" s="313" t="s">
        <v>228</v>
      </c>
      <c r="C224" s="363"/>
      <c r="D224" s="363"/>
      <c r="E224" s="363"/>
      <c r="F224" s="314"/>
      <c r="G224" s="314"/>
      <c r="H224" s="314"/>
      <c r="I224" s="314"/>
      <c r="J224" s="314"/>
      <c r="K224" s="314"/>
      <c r="L224" s="314"/>
      <c r="M224" s="314"/>
      <c r="N224" s="314"/>
      <c r="O224" s="314"/>
      <c r="P224" s="314"/>
      <c r="Q224" s="314"/>
      <c r="R224" s="314"/>
      <c r="S224" s="286"/>
      <c r="T224" s="360">
        <f>+N81</f>
        <v>0</v>
      </c>
      <c r="U224" s="314"/>
      <c r="V224" s="364"/>
      <c r="W224" s="362"/>
      <c r="X224" s="5"/>
    </row>
    <row r="225" spans="1:24" ht="15.75" x14ac:dyDescent="0.25">
      <c r="A225" s="365"/>
      <c r="B225" s="313" t="s">
        <v>83</v>
      </c>
      <c r="C225" s="366"/>
      <c r="D225" s="366"/>
      <c r="E225" s="366"/>
      <c r="F225" s="366"/>
      <c r="G225" s="314"/>
      <c r="H225" s="314"/>
      <c r="I225" s="314"/>
      <c r="J225" s="314"/>
      <c r="K225" s="314"/>
      <c r="L225" s="314"/>
      <c r="M225" s="314"/>
      <c r="N225" s="314"/>
      <c r="O225" s="314"/>
      <c r="P225" s="314"/>
      <c r="Q225" s="314"/>
      <c r="R225" s="314"/>
      <c r="S225" s="286"/>
      <c r="T225" s="360"/>
      <c r="U225" s="314"/>
      <c r="V225" s="364"/>
      <c r="W225" s="367"/>
      <c r="X225" s="5"/>
    </row>
    <row r="226" spans="1:24" ht="15.75" x14ac:dyDescent="0.25">
      <c r="A226" s="365"/>
      <c r="B226" s="286" t="s">
        <v>84</v>
      </c>
      <c r="C226" s="366"/>
      <c r="D226" s="366"/>
      <c r="E226" s="366"/>
      <c r="F226" s="366"/>
      <c r="G226" s="314"/>
      <c r="H226" s="314"/>
      <c r="I226" s="314"/>
      <c r="J226" s="314"/>
      <c r="K226" s="314"/>
      <c r="L226" s="314"/>
      <c r="M226" s="314"/>
      <c r="N226" s="314"/>
      <c r="O226" s="314"/>
      <c r="P226" s="314"/>
      <c r="Q226" s="314"/>
      <c r="R226" s="314"/>
      <c r="S226" s="296"/>
      <c r="T226" s="360">
        <f>V164</f>
        <v>75</v>
      </c>
      <c r="U226" s="314"/>
      <c r="V226" s="364"/>
      <c r="W226" s="367"/>
      <c r="X226" s="5"/>
    </row>
    <row r="227" spans="1:24" ht="15.75" x14ac:dyDescent="0.25">
      <c r="A227" s="358"/>
      <c r="B227" s="286" t="s">
        <v>85</v>
      </c>
      <c r="C227" s="363"/>
      <c r="D227" s="363"/>
      <c r="E227" s="363"/>
      <c r="F227" s="363"/>
      <c r="G227" s="314"/>
      <c r="H227" s="314"/>
      <c r="I227" s="314"/>
      <c r="J227" s="314"/>
      <c r="K227" s="314"/>
      <c r="L227" s="314"/>
      <c r="M227" s="314"/>
      <c r="N227" s="314"/>
      <c r="O227" s="314"/>
      <c r="P227" s="314"/>
      <c r="Q227" s="314"/>
      <c r="R227" s="314"/>
      <c r="S227" s="296"/>
      <c r="T227" s="360">
        <f>'Aug 15'!T227+T226</f>
        <v>8081</v>
      </c>
      <c r="U227" s="314"/>
      <c r="V227" s="364"/>
      <c r="W227" s="367"/>
      <c r="X227" s="5"/>
    </row>
    <row r="228" spans="1:24" ht="15.75" x14ac:dyDescent="0.25">
      <c r="A228" s="365"/>
      <c r="B228" s="313" t="s">
        <v>285</v>
      </c>
      <c r="C228" s="366"/>
      <c r="D228" s="366"/>
      <c r="E228" s="366"/>
      <c r="F228" s="366"/>
      <c r="G228" s="314"/>
      <c r="H228" s="314"/>
      <c r="I228" s="314"/>
      <c r="J228" s="314"/>
      <c r="K228" s="314"/>
      <c r="L228" s="314"/>
      <c r="M228" s="314"/>
      <c r="N228" s="314"/>
      <c r="O228" s="314"/>
      <c r="P228" s="314"/>
      <c r="Q228" s="314"/>
      <c r="R228" s="314"/>
      <c r="S228" s="296"/>
      <c r="T228" s="360"/>
      <c r="U228" s="314"/>
      <c r="V228" s="364"/>
      <c r="W228" s="367"/>
      <c r="X228" s="5"/>
    </row>
    <row r="229" spans="1:24" ht="15.75" x14ac:dyDescent="0.25">
      <c r="A229" s="365"/>
      <c r="B229" s="286" t="s">
        <v>282</v>
      </c>
      <c r="C229" s="366"/>
      <c r="D229" s="366"/>
      <c r="E229" s="366"/>
      <c r="F229" s="366"/>
      <c r="G229" s="314"/>
      <c r="H229" s="314"/>
      <c r="I229" s="314"/>
      <c r="J229" s="314"/>
      <c r="K229" s="314"/>
      <c r="L229" s="314"/>
      <c r="M229" s="314"/>
      <c r="N229" s="314"/>
      <c r="O229" s="314"/>
      <c r="P229" s="314"/>
      <c r="Q229" s="314"/>
      <c r="R229" s="314"/>
      <c r="S229" s="296">
        <v>0</v>
      </c>
      <c r="T229" s="360">
        <v>0</v>
      </c>
      <c r="U229" s="314"/>
      <c r="V229" s="364"/>
      <c r="W229" s="367"/>
      <c r="X229" s="5"/>
    </row>
    <row r="230" spans="1:24" ht="15.75" x14ac:dyDescent="0.25">
      <c r="A230" s="358"/>
      <c r="B230" s="286" t="s">
        <v>86</v>
      </c>
      <c r="C230" s="368"/>
      <c r="D230" s="368"/>
      <c r="E230" s="368"/>
      <c r="F230" s="369"/>
      <c r="G230" s="314"/>
      <c r="H230" s="314"/>
      <c r="I230" s="314"/>
      <c r="J230" s="314"/>
      <c r="K230" s="314"/>
      <c r="L230" s="314"/>
      <c r="M230" s="314"/>
      <c r="N230" s="314"/>
      <c r="O230" s="314"/>
      <c r="P230" s="314"/>
      <c r="Q230" s="314"/>
      <c r="R230" s="314"/>
      <c r="S230" s="286"/>
      <c r="T230" s="370">
        <v>0</v>
      </c>
      <c r="U230" s="314"/>
      <c r="V230" s="364"/>
      <c r="W230" s="367"/>
      <c r="X230" s="5"/>
    </row>
    <row r="231" spans="1:24" ht="15.75" x14ac:dyDescent="0.25">
      <c r="A231" s="358"/>
      <c r="B231" s="286" t="s">
        <v>87</v>
      </c>
      <c r="C231" s="368"/>
      <c r="D231" s="368"/>
      <c r="E231" s="368"/>
      <c r="F231" s="369"/>
      <c r="G231" s="314"/>
      <c r="H231" s="314"/>
      <c r="I231" s="314"/>
      <c r="J231" s="314"/>
      <c r="K231" s="314"/>
      <c r="L231" s="314"/>
      <c r="M231" s="314"/>
      <c r="N231" s="314"/>
      <c r="O231" s="314"/>
      <c r="P231" s="314"/>
      <c r="Q231" s="314"/>
      <c r="R231" s="314"/>
      <c r="S231" s="286"/>
      <c r="T231" s="370">
        <v>0</v>
      </c>
      <c r="U231" s="314"/>
      <c r="V231" s="364"/>
      <c r="W231" s="367"/>
      <c r="X231" s="5"/>
    </row>
    <row r="232" spans="1:24" ht="15.75" x14ac:dyDescent="0.25">
      <c r="A232" s="358"/>
      <c r="B232" s="313" t="s">
        <v>216</v>
      </c>
      <c r="C232" s="368"/>
      <c r="D232" s="368"/>
      <c r="E232" s="368"/>
      <c r="F232" s="369"/>
      <c r="G232" s="314"/>
      <c r="H232" s="314"/>
      <c r="I232" s="314"/>
      <c r="J232" s="314"/>
      <c r="K232" s="314"/>
      <c r="L232" s="314"/>
      <c r="M232" s="314"/>
      <c r="N232" s="314"/>
      <c r="O232" s="314"/>
      <c r="P232" s="314"/>
      <c r="Q232" s="314"/>
      <c r="R232" s="314"/>
      <c r="S232" s="286"/>
      <c r="T232" s="371"/>
      <c r="U232" s="314"/>
      <c r="V232" s="364"/>
      <c r="W232" s="367"/>
      <c r="X232" s="5"/>
    </row>
    <row r="233" spans="1:24" ht="15.75" x14ac:dyDescent="0.25">
      <c r="A233" s="358"/>
      <c r="B233" s="286" t="s">
        <v>282</v>
      </c>
      <c r="C233" s="368"/>
      <c r="D233" s="368"/>
      <c r="E233" s="368"/>
      <c r="F233" s="369"/>
      <c r="G233" s="314"/>
      <c r="H233" s="314"/>
      <c r="I233" s="314"/>
      <c r="J233" s="314"/>
      <c r="K233" s="314"/>
      <c r="L233" s="314"/>
      <c r="M233" s="314"/>
      <c r="N233" s="314"/>
      <c r="O233" s="314"/>
      <c r="P233" s="314"/>
      <c r="Q233" s="314"/>
      <c r="R233" s="314"/>
      <c r="S233" s="296">
        <v>5</v>
      </c>
      <c r="T233" s="360">
        <v>951</v>
      </c>
      <c r="U233" s="314"/>
      <c r="V233" s="364"/>
      <c r="W233" s="367"/>
      <c r="X233" s="5"/>
    </row>
    <row r="234" spans="1:24" ht="15.75" x14ac:dyDescent="0.25">
      <c r="A234" s="358"/>
      <c r="B234" s="286" t="s">
        <v>217</v>
      </c>
      <c r="C234" s="368"/>
      <c r="D234" s="368"/>
      <c r="E234" s="368"/>
      <c r="F234" s="369"/>
      <c r="G234" s="314"/>
      <c r="H234" s="314"/>
      <c r="I234" s="314"/>
      <c r="J234" s="314"/>
      <c r="K234" s="314"/>
      <c r="L234" s="314"/>
      <c r="M234" s="314"/>
      <c r="N234" s="314"/>
      <c r="O234" s="314"/>
      <c r="P234" s="314"/>
      <c r="Q234" s="314"/>
      <c r="R234" s="314"/>
      <c r="S234" s="286"/>
      <c r="T234" s="370">
        <v>1.47</v>
      </c>
      <c r="U234" s="314"/>
      <c r="V234" s="364"/>
      <c r="W234" s="367"/>
      <c r="X234" s="5"/>
    </row>
    <row r="235" spans="1:24" ht="15.75" x14ac:dyDescent="0.25">
      <c r="A235" s="358"/>
      <c r="B235" s="366"/>
      <c r="C235" s="368"/>
      <c r="D235" s="368"/>
      <c r="E235" s="368"/>
      <c r="F235" s="369"/>
      <c r="G235" s="314"/>
      <c r="H235" s="314"/>
      <c r="I235" s="314"/>
      <c r="J235" s="314"/>
      <c r="K235" s="314"/>
      <c r="L235" s="314"/>
      <c r="M235" s="314"/>
      <c r="N235" s="314"/>
      <c r="O235" s="314"/>
      <c r="P235" s="314"/>
      <c r="Q235" s="314"/>
      <c r="R235" s="314"/>
      <c r="S235" s="286"/>
      <c r="T235" s="371"/>
      <c r="U235" s="314"/>
      <c r="V235" s="364"/>
      <c r="W235" s="367"/>
      <c r="X235" s="5"/>
    </row>
    <row r="236" spans="1:24" ht="15.75" x14ac:dyDescent="0.25">
      <c r="A236" s="358"/>
      <c r="B236" s="366"/>
      <c r="C236" s="368"/>
      <c r="D236" s="368"/>
      <c r="E236" s="368"/>
      <c r="F236" s="369"/>
      <c r="G236" s="314"/>
      <c r="H236" s="314"/>
      <c r="I236" s="314"/>
      <c r="J236" s="314"/>
      <c r="K236" s="314"/>
      <c r="L236" s="314"/>
      <c r="M236" s="314"/>
      <c r="N236" s="314"/>
      <c r="O236" s="314"/>
      <c r="P236" s="314"/>
      <c r="Q236" s="314"/>
      <c r="R236" s="314"/>
      <c r="S236" s="314"/>
      <c r="T236" s="372"/>
      <c r="U236" s="314"/>
      <c r="V236" s="364"/>
      <c r="W236" s="367"/>
      <c r="X236" s="5"/>
    </row>
    <row r="237" spans="1:24" ht="18.75" x14ac:dyDescent="0.3">
      <c r="A237" s="358"/>
      <c r="B237" s="373" t="s">
        <v>168</v>
      </c>
      <c r="C237" s="368"/>
      <c r="D237" s="368"/>
      <c r="E237" s="368"/>
      <c r="F237" s="369"/>
      <c r="G237" s="314"/>
      <c r="H237" s="314"/>
      <c r="I237" s="314"/>
      <c r="J237" s="314"/>
      <c r="K237" s="314"/>
      <c r="L237" s="314"/>
      <c r="M237" s="314"/>
      <c r="N237" s="314"/>
      <c r="O237" s="314"/>
      <c r="P237" s="374" t="s">
        <v>167</v>
      </c>
      <c r="Q237" s="314"/>
      <c r="R237" s="314"/>
      <c r="S237" s="314"/>
      <c r="T237" s="372"/>
      <c r="U237" s="314"/>
      <c r="V237" s="364"/>
      <c r="W237" s="367"/>
      <c r="X237" s="5"/>
    </row>
    <row r="238" spans="1:24" ht="15.75" x14ac:dyDescent="0.25">
      <c r="A238" s="353"/>
      <c r="B238" s="348"/>
      <c r="C238" s="354"/>
      <c r="D238" s="354"/>
      <c r="E238" s="354"/>
      <c r="F238" s="355"/>
      <c r="G238" s="212"/>
      <c r="H238" s="212"/>
      <c r="I238" s="212"/>
      <c r="J238" s="212"/>
      <c r="K238" s="212"/>
      <c r="L238" s="212"/>
      <c r="M238" s="212"/>
      <c r="N238" s="212"/>
      <c r="O238" s="212"/>
      <c r="P238" s="212"/>
      <c r="Q238" s="212"/>
      <c r="R238" s="212"/>
      <c r="S238" s="212"/>
      <c r="T238" s="356"/>
      <c r="U238" s="212"/>
      <c r="V238" s="349"/>
      <c r="W238" s="357"/>
      <c r="X238" s="5"/>
    </row>
    <row r="239" spans="1:24" ht="15.75" x14ac:dyDescent="0.25">
      <c r="A239" s="224"/>
      <c r="B239" s="399" t="s">
        <v>297</v>
      </c>
      <c r="C239" s="400"/>
      <c r="D239" s="400"/>
      <c r="E239" s="400"/>
      <c r="F239" s="407"/>
      <c r="G239" s="400"/>
      <c r="H239" s="400"/>
      <c r="I239" s="400"/>
      <c r="J239" s="400"/>
      <c r="K239" s="400"/>
      <c r="L239" s="400"/>
      <c r="M239" s="400"/>
      <c r="N239" s="400"/>
      <c r="O239" s="400"/>
      <c r="P239" s="400"/>
      <c r="Q239" s="400"/>
      <c r="R239" s="407" t="s">
        <v>102</v>
      </c>
      <c r="S239" s="400" t="s">
        <v>103</v>
      </c>
      <c r="T239" s="407" t="s">
        <v>109</v>
      </c>
      <c r="U239" s="400" t="s">
        <v>103</v>
      </c>
      <c r="V239" s="225"/>
      <c r="W239" s="399"/>
      <c r="X239" s="5"/>
    </row>
    <row r="240" spans="1:24" ht="15.75" x14ac:dyDescent="0.25">
      <c r="A240" s="193"/>
      <c r="B240" s="249" t="s">
        <v>88</v>
      </c>
      <c r="C240" s="265"/>
      <c r="D240" s="265"/>
      <c r="E240" s="265"/>
      <c r="F240" s="250"/>
      <c r="G240" s="265"/>
      <c r="H240" s="265"/>
      <c r="I240" s="265"/>
      <c r="J240" s="265"/>
      <c r="K240" s="265"/>
      <c r="L240" s="265"/>
      <c r="M240" s="265"/>
      <c r="N240" s="265"/>
      <c r="O240" s="265"/>
      <c r="P240" s="265"/>
      <c r="Q240" s="265"/>
      <c r="R240" s="249">
        <f t="shared" ref="R240:R247" si="1">+R252+R264+R276</f>
        <v>5183</v>
      </c>
      <c r="S240" s="252">
        <f t="shared" ref="S240:S247" si="2">R240/$R$249</f>
        <v>0.99634755863129565</v>
      </c>
      <c r="T240" s="253">
        <f t="shared" ref="T240:T247" si="3">+T252+T264+T276</f>
        <v>724612</v>
      </c>
      <c r="U240" s="252">
        <f t="shared" ref="U240:U247" si="4">T240/$T$249</f>
        <v>0.99643018228622349</v>
      </c>
      <c r="V240" s="266"/>
      <c r="W240" s="408"/>
      <c r="X240" s="5"/>
    </row>
    <row r="241" spans="1:25" ht="15.75" x14ac:dyDescent="0.25">
      <c r="A241" s="285"/>
      <c r="B241" s="337" t="s">
        <v>89</v>
      </c>
      <c r="C241" s="378"/>
      <c r="D241" s="378"/>
      <c r="E241" s="378"/>
      <c r="F241" s="286"/>
      <c r="G241" s="379"/>
      <c r="H241" s="378"/>
      <c r="I241" s="378"/>
      <c r="J241" s="378"/>
      <c r="K241" s="378"/>
      <c r="L241" s="378"/>
      <c r="M241" s="378"/>
      <c r="N241" s="378"/>
      <c r="O241" s="378"/>
      <c r="P241" s="378"/>
      <c r="Q241" s="378"/>
      <c r="R241" s="337">
        <f t="shared" si="1"/>
        <v>7</v>
      </c>
      <c r="S241" s="379">
        <f t="shared" si="2"/>
        <v>1.3456362937331796E-3</v>
      </c>
      <c r="T241" s="338">
        <f t="shared" si="3"/>
        <v>1042</v>
      </c>
      <c r="U241" s="379">
        <f t="shared" si="4"/>
        <v>1.4328775260998229E-3</v>
      </c>
      <c r="V241" s="361"/>
      <c r="W241" s="409"/>
      <c r="X241" s="5"/>
      <c r="Y241" s="109"/>
    </row>
    <row r="242" spans="1:25" ht="15.75" x14ac:dyDescent="0.25">
      <c r="A242" s="285"/>
      <c r="B242" s="337" t="s">
        <v>90</v>
      </c>
      <c r="C242" s="378"/>
      <c r="D242" s="378"/>
      <c r="E242" s="378"/>
      <c r="F242" s="286"/>
      <c r="G242" s="379"/>
      <c r="H242" s="378"/>
      <c r="I242" s="378"/>
      <c r="J242" s="378"/>
      <c r="K242" s="378"/>
      <c r="L242" s="378"/>
      <c r="M242" s="378"/>
      <c r="N242" s="378"/>
      <c r="O242" s="378"/>
      <c r="P242" s="378"/>
      <c r="Q242" s="378"/>
      <c r="R242" s="337">
        <f t="shared" si="1"/>
        <v>3</v>
      </c>
      <c r="S242" s="379">
        <f t="shared" si="2"/>
        <v>5.7670126874279125E-4</v>
      </c>
      <c r="T242" s="338">
        <f t="shared" si="3"/>
        <v>317</v>
      </c>
      <c r="U242" s="379">
        <f t="shared" si="4"/>
        <v>4.3591379632787318E-4</v>
      </c>
      <c r="V242" s="361"/>
      <c r="W242" s="409"/>
      <c r="X242" s="5"/>
    </row>
    <row r="243" spans="1:25" ht="15.75" x14ac:dyDescent="0.25">
      <c r="A243" s="285"/>
      <c r="B243" s="337" t="s">
        <v>156</v>
      </c>
      <c r="C243" s="378"/>
      <c r="D243" s="378"/>
      <c r="E243" s="378"/>
      <c r="F243" s="286"/>
      <c r="G243" s="379"/>
      <c r="H243" s="378"/>
      <c r="I243" s="378"/>
      <c r="J243" s="378"/>
      <c r="K243" s="378"/>
      <c r="L243" s="378"/>
      <c r="M243" s="378"/>
      <c r="N243" s="378"/>
      <c r="O243" s="378"/>
      <c r="P243" s="378"/>
      <c r="Q243" s="378"/>
      <c r="R243" s="337">
        <f t="shared" si="1"/>
        <v>1</v>
      </c>
      <c r="S243" s="379">
        <f t="shared" si="2"/>
        <v>1.9223375624759708E-4</v>
      </c>
      <c r="T243" s="338">
        <f t="shared" si="3"/>
        <v>75</v>
      </c>
      <c r="U243" s="379">
        <f t="shared" si="4"/>
        <v>1.0313417894192583E-4</v>
      </c>
      <c r="V243" s="361"/>
      <c r="W243" s="409"/>
      <c r="X243" s="5"/>
      <c r="Y243" s="109"/>
    </row>
    <row r="244" spans="1:25" ht="15.75" x14ac:dyDescent="0.25">
      <c r="A244" s="285"/>
      <c r="B244" s="337" t="s">
        <v>157</v>
      </c>
      <c r="C244" s="378"/>
      <c r="D244" s="378"/>
      <c r="E244" s="378"/>
      <c r="F244" s="286"/>
      <c r="G244" s="379"/>
      <c r="H244" s="378"/>
      <c r="I244" s="378"/>
      <c r="J244" s="378"/>
      <c r="K244" s="378"/>
      <c r="L244" s="378"/>
      <c r="M244" s="378"/>
      <c r="N244" s="378"/>
      <c r="O244" s="378"/>
      <c r="P244" s="378"/>
      <c r="Q244" s="378"/>
      <c r="R244" s="337">
        <f t="shared" si="1"/>
        <v>0</v>
      </c>
      <c r="S244" s="379">
        <f t="shared" si="2"/>
        <v>0</v>
      </c>
      <c r="T244" s="338">
        <f t="shared" si="3"/>
        <v>0</v>
      </c>
      <c r="U244" s="379">
        <f t="shared" si="4"/>
        <v>0</v>
      </c>
      <c r="V244" s="361"/>
      <c r="W244" s="409"/>
      <c r="X244" s="5"/>
    </row>
    <row r="245" spans="1:25" ht="15.75" x14ac:dyDescent="0.25">
      <c r="A245" s="285"/>
      <c r="B245" s="337" t="s">
        <v>158</v>
      </c>
      <c r="C245" s="378"/>
      <c r="D245" s="378"/>
      <c r="E245" s="378"/>
      <c r="F245" s="286"/>
      <c r="G245" s="379"/>
      <c r="H245" s="378"/>
      <c r="I245" s="378"/>
      <c r="J245" s="378"/>
      <c r="K245" s="378"/>
      <c r="L245" s="378"/>
      <c r="M245" s="378"/>
      <c r="N245" s="378"/>
      <c r="O245" s="378"/>
      <c r="P245" s="378"/>
      <c r="Q245" s="378"/>
      <c r="R245" s="337">
        <f t="shared" si="1"/>
        <v>1</v>
      </c>
      <c r="S245" s="379">
        <f t="shared" si="2"/>
        <v>1.9223375624759708E-4</v>
      </c>
      <c r="T245" s="338">
        <f t="shared" si="3"/>
        <v>99</v>
      </c>
      <c r="U245" s="379">
        <f t="shared" si="4"/>
        <v>1.361371162033421E-4</v>
      </c>
      <c r="V245" s="361"/>
      <c r="W245" s="409"/>
      <c r="X245" s="5"/>
      <c r="Y245" s="109"/>
    </row>
    <row r="246" spans="1:25" ht="15.75" x14ac:dyDescent="0.25">
      <c r="A246" s="285"/>
      <c r="B246" s="337" t="s">
        <v>159</v>
      </c>
      <c r="C246" s="378"/>
      <c r="D246" s="378"/>
      <c r="E246" s="378"/>
      <c r="F246" s="286"/>
      <c r="G246" s="379"/>
      <c r="H246" s="378"/>
      <c r="I246" s="378"/>
      <c r="J246" s="378"/>
      <c r="K246" s="378"/>
      <c r="L246" s="378"/>
      <c r="M246" s="378"/>
      <c r="N246" s="378"/>
      <c r="O246" s="378"/>
      <c r="P246" s="378"/>
      <c r="Q246" s="378"/>
      <c r="R246" s="337">
        <f t="shared" si="1"/>
        <v>2</v>
      </c>
      <c r="S246" s="379">
        <f t="shared" si="2"/>
        <v>3.8446751249519417E-4</v>
      </c>
      <c r="T246" s="338">
        <f t="shared" si="3"/>
        <v>176</v>
      </c>
      <c r="U246" s="379">
        <f t="shared" si="4"/>
        <v>2.4202153991705261E-4</v>
      </c>
      <c r="V246" s="361"/>
      <c r="W246" s="409"/>
      <c r="X246" s="5"/>
    </row>
    <row r="247" spans="1:25" ht="15.75" x14ac:dyDescent="0.25">
      <c r="A247" s="285"/>
      <c r="B247" s="337" t="s">
        <v>160</v>
      </c>
      <c r="C247" s="378"/>
      <c r="D247" s="378"/>
      <c r="E247" s="378"/>
      <c r="F247" s="286"/>
      <c r="G247" s="379"/>
      <c r="H247" s="378"/>
      <c r="I247" s="378"/>
      <c r="J247" s="378"/>
      <c r="K247" s="378"/>
      <c r="L247" s="378"/>
      <c r="M247" s="378"/>
      <c r="N247" s="378"/>
      <c r="O247" s="378"/>
      <c r="P247" s="378"/>
      <c r="Q247" s="378"/>
      <c r="R247" s="386">
        <f t="shared" si="1"/>
        <v>5</v>
      </c>
      <c r="S247" s="379">
        <f t="shared" si="2"/>
        <v>9.6116878123798542E-4</v>
      </c>
      <c r="T247" s="383">
        <f t="shared" si="3"/>
        <v>887</v>
      </c>
      <c r="U247" s="387">
        <f t="shared" si="4"/>
        <v>1.2197335562865094E-3</v>
      </c>
      <c r="V247" s="361"/>
      <c r="W247" s="409"/>
      <c r="X247" s="5"/>
      <c r="Y247" s="109"/>
    </row>
    <row r="248" spans="1:25" ht="15.75" x14ac:dyDescent="0.25">
      <c r="A248" s="285"/>
      <c r="B248" s="337"/>
      <c r="C248" s="378"/>
      <c r="D248" s="378"/>
      <c r="E248" s="378"/>
      <c r="F248" s="286"/>
      <c r="G248" s="379"/>
      <c r="H248" s="378"/>
      <c r="I248" s="378"/>
      <c r="J248" s="378"/>
      <c r="K248" s="378"/>
      <c r="L248" s="378"/>
      <c r="M248" s="378"/>
      <c r="N248" s="378"/>
      <c r="O248" s="378"/>
      <c r="P248" s="378"/>
      <c r="Q248" s="378"/>
      <c r="R248" s="337"/>
      <c r="S248" s="379"/>
      <c r="T248" s="338"/>
      <c r="U248" s="379"/>
      <c r="V248" s="361"/>
      <c r="W248" s="409"/>
      <c r="X248" s="5"/>
    </row>
    <row r="249" spans="1:25" ht="15.75" x14ac:dyDescent="0.25">
      <c r="A249" s="285"/>
      <c r="B249" s="286"/>
      <c r="C249" s="286"/>
      <c r="D249" s="286"/>
      <c r="E249" s="286"/>
      <c r="F249" s="286"/>
      <c r="G249" s="286"/>
      <c r="H249" s="381"/>
      <c r="I249" s="381"/>
      <c r="J249" s="381"/>
      <c r="K249" s="381"/>
      <c r="L249" s="381"/>
      <c r="M249" s="381"/>
      <c r="N249" s="381"/>
      <c r="O249" s="381"/>
      <c r="P249" s="381"/>
      <c r="Q249" s="381"/>
      <c r="R249" s="337">
        <f>SUM(R240:R248)</f>
        <v>5202</v>
      </c>
      <c r="S249" s="379">
        <f>SUM(S240:S248)</f>
        <v>0.99999999999999989</v>
      </c>
      <c r="T249" s="338">
        <f>SUM(T240:T248)</f>
        <v>727208</v>
      </c>
      <c r="U249" s="379">
        <f>SUM(U240:U248)</f>
        <v>0.99999999999999989</v>
      </c>
      <c r="V249" s="286"/>
      <c r="W249" s="289"/>
      <c r="X249" s="5"/>
    </row>
    <row r="250" spans="1:25" ht="15.75" x14ac:dyDescent="0.25">
      <c r="A250" s="181"/>
      <c r="B250" s="212"/>
      <c r="C250" s="212"/>
      <c r="D250" s="212"/>
      <c r="E250" s="212"/>
      <c r="F250" s="212"/>
      <c r="G250" s="212"/>
      <c r="H250" s="375"/>
      <c r="I250" s="375"/>
      <c r="J250" s="375"/>
      <c r="K250" s="375"/>
      <c r="L250" s="375"/>
      <c r="M250" s="375"/>
      <c r="N250" s="375"/>
      <c r="O250" s="375"/>
      <c r="P250" s="375"/>
      <c r="Q250" s="375"/>
      <c r="R250" s="335"/>
      <c r="S250" s="376"/>
      <c r="T250" s="377"/>
      <c r="U250" s="376"/>
      <c r="V250" s="212"/>
      <c r="W250" s="212"/>
      <c r="X250" s="5"/>
    </row>
    <row r="251" spans="1:25" ht="15.75" x14ac:dyDescent="0.25">
      <c r="A251" s="224"/>
      <c r="B251" s="399" t="s">
        <v>162</v>
      </c>
      <c r="C251" s="400"/>
      <c r="D251" s="400"/>
      <c r="E251" s="400"/>
      <c r="F251" s="407"/>
      <c r="G251" s="400"/>
      <c r="H251" s="400"/>
      <c r="I251" s="400"/>
      <c r="J251" s="400"/>
      <c r="K251" s="400"/>
      <c r="L251" s="400"/>
      <c r="M251" s="400"/>
      <c r="N251" s="400"/>
      <c r="O251" s="400"/>
      <c r="P251" s="400"/>
      <c r="Q251" s="400"/>
      <c r="R251" s="407" t="s">
        <v>102</v>
      </c>
      <c r="S251" s="400" t="s">
        <v>103</v>
      </c>
      <c r="T251" s="407" t="s">
        <v>109</v>
      </c>
      <c r="U251" s="400" t="s">
        <v>103</v>
      </c>
      <c r="V251" s="225"/>
      <c r="W251" s="399"/>
      <c r="X251" s="5"/>
    </row>
    <row r="252" spans="1:25" ht="15.75" x14ac:dyDescent="0.25">
      <c r="A252" s="193"/>
      <c r="B252" s="249" t="s">
        <v>88</v>
      </c>
      <c r="C252" s="265"/>
      <c r="D252" s="265"/>
      <c r="E252" s="265"/>
      <c r="F252" s="250"/>
      <c r="G252" s="265"/>
      <c r="H252" s="265"/>
      <c r="I252" s="265"/>
      <c r="J252" s="265"/>
      <c r="K252" s="265"/>
      <c r="L252" s="265"/>
      <c r="M252" s="265"/>
      <c r="N252" s="265"/>
      <c r="O252" s="265"/>
      <c r="P252" s="265"/>
      <c r="Q252" s="265"/>
      <c r="R252" s="249">
        <v>5106</v>
      </c>
      <c r="S252" s="252">
        <f t="shared" ref="S252:S259" si="5">R252/$R$261</f>
        <v>0.99843566679702778</v>
      </c>
      <c r="T252" s="253">
        <v>714158</v>
      </c>
      <c r="U252" s="252">
        <f t="shared" ref="U252:U259" si="6">T252/$T$261</f>
        <v>0.99817740145528344</v>
      </c>
      <c r="V252" s="266"/>
      <c r="W252" s="408"/>
      <c r="X252" s="5"/>
    </row>
    <row r="253" spans="1:25" ht="15.75" x14ac:dyDescent="0.25">
      <c r="A253" s="285"/>
      <c r="B253" s="337" t="s">
        <v>89</v>
      </c>
      <c r="C253" s="378"/>
      <c r="D253" s="378"/>
      <c r="E253" s="378"/>
      <c r="F253" s="286"/>
      <c r="G253" s="379"/>
      <c r="H253" s="378"/>
      <c r="I253" s="378"/>
      <c r="J253" s="378"/>
      <c r="K253" s="378"/>
      <c r="L253" s="378"/>
      <c r="M253" s="378"/>
      <c r="N253" s="378"/>
      <c r="O253" s="378"/>
      <c r="P253" s="378"/>
      <c r="Q253" s="378"/>
      <c r="R253" s="337">
        <v>6</v>
      </c>
      <c r="S253" s="379">
        <f t="shared" si="5"/>
        <v>1.1732499022291747E-3</v>
      </c>
      <c r="T253" s="338">
        <v>873</v>
      </c>
      <c r="U253" s="379">
        <f t="shared" si="6"/>
        <v>1.2201905901361638E-3</v>
      </c>
      <c r="V253" s="361"/>
      <c r="W253" s="409"/>
      <c r="X253" s="5"/>
      <c r="Y253" s="109"/>
    </row>
    <row r="254" spans="1:25" ht="15.75" x14ac:dyDescent="0.25">
      <c r="A254" s="285"/>
      <c r="B254" s="337" t="s">
        <v>90</v>
      </c>
      <c r="C254" s="378"/>
      <c r="D254" s="378"/>
      <c r="E254" s="378"/>
      <c r="F254" s="286"/>
      <c r="G254" s="379"/>
      <c r="H254" s="378"/>
      <c r="I254" s="378"/>
      <c r="J254" s="378"/>
      <c r="K254" s="378"/>
      <c r="L254" s="378"/>
      <c r="M254" s="378"/>
      <c r="N254" s="378"/>
      <c r="O254" s="378"/>
      <c r="P254" s="378"/>
      <c r="Q254" s="378"/>
      <c r="R254" s="337">
        <v>1</v>
      </c>
      <c r="S254" s="379">
        <f t="shared" si="5"/>
        <v>1.9554165037152912E-4</v>
      </c>
      <c r="T254" s="338">
        <v>102</v>
      </c>
      <c r="U254" s="379">
        <f t="shared" si="6"/>
        <v>1.4256522358979234E-4</v>
      </c>
      <c r="V254" s="361"/>
      <c r="W254" s="409"/>
      <c r="X254" s="5"/>
    </row>
    <row r="255" spans="1:25" ht="15.75" x14ac:dyDescent="0.25">
      <c r="A255" s="285"/>
      <c r="B255" s="337" t="s">
        <v>156</v>
      </c>
      <c r="C255" s="378"/>
      <c r="D255" s="378"/>
      <c r="E255" s="378"/>
      <c r="F255" s="286"/>
      <c r="G255" s="379"/>
      <c r="H255" s="378"/>
      <c r="I255" s="378"/>
      <c r="J255" s="378"/>
      <c r="K255" s="378"/>
      <c r="L255" s="378"/>
      <c r="M255" s="378"/>
      <c r="N255" s="378"/>
      <c r="O255" s="378"/>
      <c r="P255" s="378"/>
      <c r="Q255" s="378"/>
      <c r="R255" s="337">
        <v>0</v>
      </c>
      <c r="S255" s="379">
        <f t="shared" si="5"/>
        <v>0</v>
      </c>
      <c r="T255" s="338">
        <v>0</v>
      </c>
      <c r="U255" s="379">
        <f t="shared" si="6"/>
        <v>0</v>
      </c>
      <c r="V255" s="361"/>
      <c r="W255" s="409"/>
      <c r="X255" s="5"/>
      <c r="Y255" s="109"/>
    </row>
    <row r="256" spans="1:25" ht="15.75" x14ac:dyDescent="0.25">
      <c r="A256" s="285"/>
      <c r="B256" s="337" t="s">
        <v>157</v>
      </c>
      <c r="C256" s="378"/>
      <c r="D256" s="378"/>
      <c r="E256" s="378"/>
      <c r="F256" s="286"/>
      <c r="G256" s="379"/>
      <c r="H256" s="378"/>
      <c r="I256" s="378"/>
      <c r="J256" s="378"/>
      <c r="K256" s="378"/>
      <c r="L256" s="378"/>
      <c r="M256" s="378"/>
      <c r="N256" s="378"/>
      <c r="O256" s="378"/>
      <c r="P256" s="378"/>
      <c r="Q256" s="378"/>
      <c r="R256" s="337">
        <v>0</v>
      </c>
      <c r="S256" s="379">
        <f t="shared" si="5"/>
        <v>0</v>
      </c>
      <c r="T256" s="338">
        <v>0</v>
      </c>
      <c r="U256" s="379">
        <f t="shared" si="6"/>
        <v>0</v>
      </c>
      <c r="V256" s="361"/>
      <c r="W256" s="409"/>
      <c r="X256" s="5"/>
    </row>
    <row r="257" spans="1:25" ht="15.75" x14ac:dyDescent="0.25">
      <c r="A257" s="285"/>
      <c r="B257" s="337" t="s">
        <v>158</v>
      </c>
      <c r="C257" s="378"/>
      <c r="D257" s="378"/>
      <c r="E257" s="378"/>
      <c r="F257" s="286"/>
      <c r="G257" s="379"/>
      <c r="H257" s="378"/>
      <c r="I257" s="378"/>
      <c r="J257" s="378"/>
      <c r="K257" s="378"/>
      <c r="L257" s="378"/>
      <c r="M257" s="378"/>
      <c r="N257" s="378"/>
      <c r="O257" s="378"/>
      <c r="P257" s="378"/>
      <c r="Q257" s="378"/>
      <c r="R257" s="337">
        <v>0</v>
      </c>
      <c r="S257" s="379">
        <f t="shared" si="5"/>
        <v>0</v>
      </c>
      <c r="T257" s="338">
        <v>0</v>
      </c>
      <c r="U257" s="379">
        <f t="shared" si="6"/>
        <v>0</v>
      </c>
      <c r="V257" s="361"/>
      <c r="W257" s="409"/>
      <c r="X257" s="5"/>
      <c r="Y257" s="109"/>
    </row>
    <row r="258" spans="1:25" ht="15.75" x14ac:dyDescent="0.25">
      <c r="A258" s="285"/>
      <c r="B258" s="337" t="s">
        <v>159</v>
      </c>
      <c r="C258" s="378"/>
      <c r="D258" s="378"/>
      <c r="E258" s="378"/>
      <c r="F258" s="286"/>
      <c r="G258" s="379"/>
      <c r="H258" s="378"/>
      <c r="I258" s="378"/>
      <c r="J258" s="378"/>
      <c r="K258" s="378"/>
      <c r="L258" s="378"/>
      <c r="M258" s="378"/>
      <c r="N258" s="378"/>
      <c r="O258" s="378"/>
      <c r="P258" s="378"/>
      <c r="Q258" s="378"/>
      <c r="R258" s="337">
        <v>0</v>
      </c>
      <c r="S258" s="379">
        <f t="shared" si="5"/>
        <v>0</v>
      </c>
      <c r="T258" s="338">
        <v>0</v>
      </c>
      <c r="U258" s="379">
        <f t="shared" si="6"/>
        <v>0</v>
      </c>
      <c r="V258" s="361"/>
      <c r="W258" s="409"/>
      <c r="X258" s="5"/>
    </row>
    <row r="259" spans="1:25" ht="15.75" x14ac:dyDescent="0.25">
      <c r="A259" s="285"/>
      <c r="B259" s="337" t="s">
        <v>160</v>
      </c>
      <c r="C259" s="378"/>
      <c r="D259" s="378"/>
      <c r="E259" s="378"/>
      <c r="F259" s="286"/>
      <c r="G259" s="379"/>
      <c r="H259" s="378"/>
      <c r="I259" s="378"/>
      <c r="J259" s="378"/>
      <c r="K259" s="378"/>
      <c r="L259" s="378"/>
      <c r="M259" s="378"/>
      <c r="N259" s="378"/>
      <c r="O259" s="378"/>
      <c r="P259" s="378"/>
      <c r="Q259" s="378"/>
      <c r="R259" s="337">
        <v>1</v>
      </c>
      <c r="S259" s="379">
        <f t="shared" si="5"/>
        <v>1.9554165037152912E-4</v>
      </c>
      <c r="T259" s="338">
        <v>329</v>
      </c>
      <c r="U259" s="379">
        <f t="shared" si="6"/>
        <v>4.5984273099060466E-4</v>
      </c>
      <c r="V259" s="361"/>
      <c r="W259" s="409"/>
      <c r="X259" s="5"/>
      <c r="Y259" s="109"/>
    </row>
    <row r="260" spans="1:25" ht="15.75" x14ac:dyDescent="0.25">
      <c r="A260" s="285"/>
      <c r="B260" s="337"/>
      <c r="C260" s="378"/>
      <c r="D260" s="378"/>
      <c r="E260" s="378"/>
      <c r="F260" s="286"/>
      <c r="G260" s="379"/>
      <c r="H260" s="378"/>
      <c r="I260" s="378"/>
      <c r="J260" s="378"/>
      <c r="K260" s="378"/>
      <c r="L260" s="378"/>
      <c r="M260" s="378"/>
      <c r="N260" s="378"/>
      <c r="O260" s="378"/>
      <c r="P260" s="378"/>
      <c r="Q260" s="378"/>
      <c r="R260" s="337"/>
      <c r="S260" s="379"/>
      <c r="T260" s="338"/>
      <c r="U260" s="379"/>
      <c r="V260" s="361"/>
      <c r="W260" s="409"/>
      <c r="X260" s="5"/>
    </row>
    <row r="261" spans="1:25" ht="15.75" x14ac:dyDescent="0.25">
      <c r="A261" s="285"/>
      <c r="B261" s="286"/>
      <c r="C261" s="286"/>
      <c r="D261" s="286"/>
      <c r="E261" s="286"/>
      <c r="F261" s="286"/>
      <c r="G261" s="286"/>
      <c r="H261" s="381"/>
      <c r="I261" s="381"/>
      <c r="J261" s="381"/>
      <c r="K261" s="381"/>
      <c r="L261" s="381"/>
      <c r="M261" s="381"/>
      <c r="N261" s="381"/>
      <c r="O261" s="381"/>
      <c r="P261" s="381"/>
      <c r="Q261" s="381"/>
      <c r="R261" s="337">
        <f>SUM(R252:R260)</f>
        <v>5114</v>
      </c>
      <c r="S261" s="379">
        <f>SUM(S252:S260)</f>
        <v>1</v>
      </c>
      <c r="T261" s="338">
        <f>SUM(T252:T260)</f>
        <v>715462</v>
      </c>
      <c r="U261" s="379">
        <f>SUM(U252:U260)</f>
        <v>1</v>
      </c>
      <c r="V261" s="286"/>
      <c r="W261" s="289"/>
      <c r="X261" s="5"/>
    </row>
    <row r="262" spans="1:25" ht="15.75" x14ac:dyDescent="0.25">
      <c r="A262" s="181"/>
      <c r="B262" s="212"/>
      <c r="C262" s="212"/>
      <c r="D262" s="212"/>
      <c r="E262" s="212"/>
      <c r="F262" s="212"/>
      <c r="G262" s="212"/>
      <c r="H262" s="375"/>
      <c r="I262" s="375"/>
      <c r="J262" s="375"/>
      <c r="K262" s="375"/>
      <c r="L262" s="375"/>
      <c r="M262" s="375"/>
      <c r="N262" s="375"/>
      <c r="O262" s="375"/>
      <c r="P262" s="375"/>
      <c r="Q262" s="375"/>
      <c r="R262" s="335"/>
      <c r="S262" s="376"/>
      <c r="T262" s="377"/>
      <c r="U262" s="376"/>
      <c r="V262" s="212"/>
      <c r="W262" s="212"/>
      <c r="X262" s="5"/>
    </row>
    <row r="263" spans="1:25" ht="15.75" x14ac:dyDescent="0.25">
      <c r="A263" s="244"/>
      <c r="B263" s="399" t="s">
        <v>236</v>
      </c>
      <c r="C263" s="400"/>
      <c r="D263" s="400"/>
      <c r="E263" s="400"/>
      <c r="F263" s="407"/>
      <c r="G263" s="400"/>
      <c r="H263" s="400"/>
      <c r="I263" s="400"/>
      <c r="J263" s="400"/>
      <c r="K263" s="400"/>
      <c r="L263" s="400"/>
      <c r="M263" s="400"/>
      <c r="N263" s="400"/>
      <c r="O263" s="400"/>
      <c r="P263" s="400"/>
      <c r="Q263" s="400"/>
      <c r="R263" s="407" t="s">
        <v>102</v>
      </c>
      <c r="S263" s="400" t="s">
        <v>103</v>
      </c>
      <c r="T263" s="407" t="s">
        <v>109</v>
      </c>
      <c r="U263" s="400" t="s">
        <v>103</v>
      </c>
      <c r="V263" s="245"/>
      <c r="W263" s="246"/>
      <c r="X263" s="5"/>
    </row>
    <row r="264" spans="1:25" ht="15.75" x14ac:dyDescent="0.25">
      <c r="A264" s="193"/>
      <c r="B264" s="249" t="s">
        <v>88</v>
      </c>
      <c r="C264" s="265"/>
      <c r="D264" s="265"/>
      <c r="E264" s="265"/>
      <c r="F264" s="250"/>
      <c r="G264" s="265"/>
      <c r="H264" s="265"/>
      <c r="I264" s="265"/>
      <c r="J264" s="265"/>
      <c r="K264" s="265"/>
      <c r="L264" s="265"/>
      <c r="M264" s="265"/>
      <c r="N264" s="265"/>
      <c r="O264" s="265"/>
      <c r="P264" s="265"/>
      <c r="Q264" s="265"/>
      <c r="R264" s="249">
        <v>77</v>
      </c>
      <c r="S264" s="252">
        <f t="shared" ref="S264:S270" si="7">R264/$R$273</f>
        <v>0.875</v>
      </c>
      <c r="T264" s="253">
        <v>10454</v>
      </c>
      <c r="U264" s="252">
        <f t="shared" ref="U264:U271" si="8">T264/$T$273</f>
        <v>0.8900051081219138</v>
      </c>
      <c r="V264" s="250"/>
      <c r="W264" s="250"/>
      <c r="X264" s="5"/>
    </row>
    <row r="265" spans="1:25" ht="15.75" x14ac:dyDescent="0.25">
      <c r="A265" s="285"/>
      <c r="B265" s="337" t="s">
        <v>89</v>
      </c>
      <c r="C265" s="378"/>
      <c r="D265" s="378"/>
      <c r="E265" s="378"/>
      <c r="F265" s="286"/>
      <c r="G265" s="379"/>
      <c r="H265" s="378"/>
      <c r="I265" s="378"/>
      <c r="J265" s="378"/>
      <c r="K265" s="378"/>
      <c r="L265" s="378"/>
      <c r="M265" s="378"/>
      <c r="N265" s="378"/>
      <c r="O265" s="378"/>
      <c r="P265" s="378"/>
      <c r="Q265" s="378"/>
      <c r="R265" s="337">
        <v>1</v>
      </c>
      <c r="S265" s="379">
        <f t="shared" si="7"/>
        <v>1.1363636363636364E-2</v>
      </c>
      <c r="T265" s="338">
        <v>169</v>
      </c>
      <c r="U265" s="379">
        <f t="shared" si="8"/>
        <v>1.4387876723991146E-2</v>
      </c>
      <c r="V265" s="286"/>
      <c r="W265" s="289"/>
      <c r="X265" s="5"/>
    </row>
    <row r="266" spans="1:25" ht="15.75" x14ac:dyDescent="0.25">
      <c r="A266" s="285"/>
      <c r="B266" s="337" t="s">
        <v>90</v>
      </c>
      <c r="C266" s="378"/>
      <c r="D266" s="378"/>
      <c r="E266" s="378"/>
      <c r="F266" s="286"/>
      <c r="G266" s="379"/>
      <c r="H266" s="378"/>
      <c r="I266" s="378"/>
      <c r="J266" s="378"/>
      <c r="K266" s="378"/>
      <c r="L266" s="378"/>
      <c r="M266" s="378"/>
      <c r="N266" s="378"/>
      <c r="O266" s="378"/>
      <c r="P266" s="378"/>
      <c r="Q266" s="378"/>
      <c r="R266" s="337">
        <v>2</v>
      </c>
      <c r="S266" s="379">
        <f t="shared" si="7"/>
        <v>2.2727272727272728E-2</v>
      </c>
      <c r="T266" s="338">
        <v>215</v>
      </c>
      <c r="U266" s="379">
        <f t="shared" si="8"/>
        <v>1.8304103524604119E-2</v>
      </c>
      <c r="V266" s="286"/>
      <c r="W266" s="289"/>
      <c r="X266" s="5"/>
    </row>
    <row r="267" spans="1:25" ht="15.75" x14ac:dyDescent="0.25">
      <c r="A267" s="285"/>
      <c r="B267" s="337" t="s">
        <v>156</v>
      </c>
      <c r="C267" s="378"/>
      <c r="D267" s="378"/>
      <c r="E267" s="378"/>
      <c r="F267" s="286"/>
      <c r="G267" s="379"/>
      <c r="H267" s="378"/>
      <c r="I267" s="378"/>
      <c r="J267" s="378"/>
      <c r="K267" s="378"/>
      <c r="L267" s="378"/>
      <c r="M267" s="378"/>
      <c r="N267" s="378"/>
      <c r="O267" s="378"/>
      <c r="P267" s="378"/>
      <c r="Q267" s="378"/>
      <c r="R267" s="337">
        <v>1</v>
      </c>
      <c r="S267" s="379">
        <f t="shared" si="7"/>
        <v>1.1363636363636364E-2</v>
      </c>
      <c r="T267" s="338">
        <v>75</v>
      </c>
      <c r="U267" s="379">
        <f t="shared" si="8"/>
        <v>6.3851523923037631E-3</v>
      </c>
      <c r="V267" s="286"/>
      <c r="W267" s="289"/>
      <c r="X267" s="5"/>
    </row>
    <row r="268" spans="1:25" ht="15.75" x14ac:dyDescent="0.25">
      <c r="A268" s="285"/>
      <c r="B268" s="337" t="s">
        <v>157</v>
      </c>
      <c r="C268" s="378"/>
      <c r="D268" s="378"/>
      <c r="E268" s="378"/>
      <c r="F268" s="286"/>
      <c r="G268" s="379"/>
      <c r="H268" s="378"/>
      <c r="I268" s="378"/>
      <c r="J268" s="378"/>
      <c r="K268" s="378"/>
      <c r="L268" s="378"/>
      <c r="M268" s="378"/>
      <c r="N268" s="378"/>
      <c r="O268" s="378"/>
      <c r="P268" s="378"/>
      <c r="Q268" s="378"/>
      <c r="R268" s="337">
        <v>0</v>
      </c>
      <c r="S268" s="379">
        <f t="shared" si="7"/>
        <v>0</v>
      </c>
      <c r="T268" s="338">
        <v>0</v>
      </c>
      <c r="U268" s="379">
        <f t="shared" si="8"/>
        <v>0</v>
      </c>
      <c r="V268" s="286"/>
      <c r="W268" s="289"/>
      <c r="X268" s="5"/>
    </row>
    <row r="269" spans="1:25" ht="15.75" x14ac:dyDescent="0.25">
      <c r="A269" s="285"/>
      <c r="B269" s="337" t="s">
        <v>158</v>
      </c>
      <c r="C269" s="378"/>
      <c r="D269" s="378"/>
      <c r="E269" s="378"/>
      <c r="F269" s="286"/>
      <c r="G269" s="379"/>
      <c r="H269" s="378"/>
      <c r="I269" s="378"/>
      <c r="J269" s="378"/>
      <c r="K269" s="378"/>
      <c r="L269" s="378"/>
      <c r="M269" s="378"/>
      <c r="N269" s="378"/>
      <c r="O269" s="378"/>
      <c r="P269" s="378"/>
      <c r="Q269" s="378"/>
      <c r="R269" s="337">
        <v>1</v>
      </c>
      <c r="S269" s="379">
        <f t="shared" si="7"/>
        <v>1.1363636363636364E-2</v>
      </c>
      <c r="T269" s="338">
        <v>99</v>
      </c>
      <c r="U269" s="379">
        <f t="shared" si="8"/>
        <v>8.4284011578409663E-3</v>
      </c>
      <c r="V269" s="286"/>
      <c r="W269" s="289"/>
      <c r="X269" s="5"/>
    </row>
    <row r="270" spans="1:25" ht="15.75" x14ac:dyDescent="0.25">
      <c r="A270" s="285"/>
      <c r="B270" s="337" t="s">
        <v>159</v>
      </c>
      <c r="C270" s="378"/>
      <c r="D270" s="378"/>
      <c r="E270" s="378"/>
      <c r="F270" s="286"/>
      <c r="G270" s="379"/>
      <c r="H270" s="378"/>
      <c r="I270" s="378"/>
      <c r="J270" s="378"/>
      <c r="K270" s="378"/>
      <c r="L270" s="378"/>
      <c r="M270" s="378"/>
      <c r="N270" s="378"/>
      <c r="O270" s="378"/>
      <c r="P270" s="378"/>
      <c r="Q270" s="378"/>
      <c r="R270" s="337">
        <v>2</v>
      </c>
      <c r="S270" s="379">
        <f t="shared" si="7"/>
        <v>2.2727272727272728E-2</v>
      </c>
      <c r="T270" s="338">
        <v>176</v>
      </c>
      <c r="U270" s="379">
        <f t="shared" si="8"/>
        <v>1.4983824280606163E-2</v>
      </c>
      <c r="V270" s="286"/>
      <c r="W270" s="289"/>
      <c r="X270" s="5"/>
    </row>
    <row r="271" spans="1:25" ht="15.75" x14ac:dyDescent="0.25">
      <c r="A271" s="285"/>
      <c r="B271" s="337" t="s">
        <v>160</v>
      </c>
      <c r="C271" s="378"/>
      <c r="D271" s="378"/>
      <c r="E271" s="378"/>
      <c r="F271" s="286"/>
      <c r="G271" s="379"/>
      <c r="H271" s="378"/>
      <c r="I271" s="378"/>
      <c r="J271" s="378"/>
      <c r="K271" s="378"/>
      <c r="L271" s="378"/>
      <c r="M271" s="378"/>
      <c r="N271" s="378"/>
      <c r="O271" s="378"/>
      <c r="P271" s="378"/>
      <c r="Q271" s="378"/>
      <c r="R271" s="337">
        <v>4</v>
      </c>
      <c r="S271" s="379">
        <f>R271/$R$273</f>
        <v>4.5454545454545456E-2</v>
      </c>
      <c r="T271" s="338">
        <v>558</v>
      </c>
      <c r="U271" s="379">
        <f t="shared" si="8"/>
        <v>4.7505533798739993E-2</v>
      </c>
      <c r="V271" s="286"/>
      <c r="W271" s="289"/>
      <c r="X271" s="5"/>
    </row>
    <row r="272" spans="1:25" ht="15.75" x14ac:dyDescent="0.25">
      <c r="A272" s="285"/>
      <c r="B272" s="337"/>
      <c r="C272" s="378"/>
      <c r="D272" s="378"/>
      <c r="E272" s="378"/>
      <c r="F272" s="286"/>
      <c r="G272" s="379"/>
      <c r="H272" s="378"/>
      <c r="I272" s="378"/>
      <c r="J272" s="378"/>
      <c r="K272" s="378"/>
      <c r="L272" s="378"/>
      <c r="M272" s="378"/>
      <c r="N272" s="378"/>
      <c r="O272" s="378"/>
      <c r="P272" s="378"/>
      <c r="Q272" s="378"/>
      <c r="R272" s="337"/>
      <c r="S272" s="379"/>
      <c r="T272" s="338"/>
      <c r="U272" s="379"/>
      <c r="V272" s="286"/>
      <c r="W272" s="289"/>
      <c r="X272" s="5"/>
    </row>
    <row r="273" spans="1:24" ht="15.75" x14ac:dyDescent="0.25">
      <c r="A273" s="285"/>
      <c r="B273" s="286"/>
      <c r="C273" s="286"/>
      <c r="D273" s="286"/>
      <c r="E273" s="286"/>
      <c r="F273" s="286"/>
      <c r="G273" s="286"/>
      <c r="H273" s="381"/>
      <c r="I273" s="381"/>
      <c r="J273" s="381"/>
      <c r="K273" s="381"/>
      <c r="L273" s="381"/>
      <c r="M273" s="381"/>
      <c r="N273" s="381"/>
      <c r="O273" s="381"/>
      <c r="P273" s="381"/>
      <c r="Q273" s="381"/>
      <c r="R273" s="337">
        <f>SUM(R264:R272)</f>
        <v>88</v>
      </c>
      <c r="S273" s="379">
        <f>SUM(S264:S272)</f>
        <v>0.99999999999999989</v>
      </c>
      <c r="T273" s="338">
        <f>SUM(T264:T272)</f>
        <v>11746</v>
      </c>
      <c r="U273" s="379">
        <f>SUM(U264:U272)</f>
        <v>0.99999999999999989</v>
      </c>
      <c r="V273" s="286"/>
      <c r="W273" s="289"/>
      <c r="X273" s="5"/>
    </row>
    <row r="274" spans="1:24" ht="15.75" x14ac:dyDescent="0.25">
      <c r="A274" s="181"/>
      <c r="B274" s="212"/>
      <c r="C274" s="212"/>
      <c r="D274" s="212"/>
      <c r="E274" s="212"/>
      <c r="F274" s="212"/>
      <c r="G274" s="212"/>
      <c r="H274" s="375"/>
      <c r="I274" s="375"/>
      <c r="J274" s="375"/>
      <c r="K274" s="375"/>
      <c r="L274" s="375"/>
      <c r="M274" s="375"/>
      <c r="N274" s="375"/>
      <c r="O274" s="375"/>
      <c r="P274" s="375"/>
      <c r="Q274" s="375"/>
      <c r="R274" s="335"/>
      <c r="S274" s="376"/>
      <c r="T274" s="377"/>
      <c r="U274" s="376"/>
      <c r="V274" s="212"/>
      <c r="W274" s="212"/>
      <c r="X274" s="5"/>
    </row>
    <row r="275" spans="1:24" ht="15.75" x14ac:dyDescent="0.25">
      <c r="A275" s="244"/>
      <c r="B275" s="399" t="s">
        <v>163</v>
      </c>
      <c r="C275" s="245"/>
      <c r="D275" s="245"/>
      <c r="E275" s="245"/>
      <c r="F275" s="245"/>
      <c r="G275" s="245"/>
      <c r="H275" s="247"/>
      <c r="I275" s="247"/>
      <c r="J275" s="247"/>
      <c r="K275" s="247"/>
      <c r="L275" s="247"/>
      <c r="M275" s="247"/>
      <c r="N275" s="247"/>
      <c r="O275" s="247"/>
      <c r="P275" s="247"/>
      <c r="Q275" s="247"/>
      <c r="R275" s="407" t="s">
        <v>102</v>
      </c>
      <c r="S275" s="400" t="s">
        <v>103</v>
      </c>
      <c r="T275" s="407" t="s">
        <v>109</v>
      </c>
      <c r="U275" s="400" t="s">
        <v>103</v>
      </c>
      <c r="V275" s="245"/>
      <c r="W275" s="246"/>
      <c r="X275" s="5"/>
    </row>
    <row r="276" spans="1:24" ht="15.75" x14ac:dyDescent="0.25">
      <c r="A276" s="248"/>
      <c r="B276" s="249" t="s">
        <v>88</v>
      </c>
      <c r="C276" s="250"/>
      <c r="D276" s="250"/>
      <c r="E276" s="250"/>
      <c r="F276" s="250"/>
      <c r="G276" s="250"/>
      <c r="H276" s="251"/>
      <c r="I276" s="251"/>
      <c r="J276" s="251"/>
      <c r="K276" s="251"/>
      <c r="L276" s="251"/>
      <c r="M276" s="251"/>
      <c r="N276" s="251"/>
      <c r="O276" s="251"/>
      <c r="P276" s="251"/>
      <c r="Q276" s="251"/>
      <c r="R276" s="249">
        <v>0</v>
      </c>
      <c r="S276" s="252">
        <v>0</v>
      </c>
      <c r="T276" s="253">
        <v>0</v>
      </c>
      <c r="U276" s="252">
        <v>0</v>
      </c>
      <c r="V276" s="250"/>
      <c r="W276" s="250"/>
      <c r="X276" s="5"/>
    </row>
    <row r="277" spans="1:24" ht="15.75" x14ac:dyDescent="0.25">
      <c r="A277" s="295"/>
      <c r="B277" s="337" t="s">
        <v>89</v>
      </c>
      <c r="C277" s="286"/>
      <c r="D277" s="286"/>
      <c r="E277" s="286"/>
      <c r="F277" s="286"/>
      <c r="G277" s="286"/>
      <c r="H277" s="381"/>
      <c r="I277" s="381"/>
      <c r="J277" s="381"/>
      <c r="K277" s="381"/>
      <c r="L277" s="381"/>
      <c r="M277" s="381"/>
      <c r="N277" s="381"/>
      <c r="O277" s="381"/>
      <c r="P277" s="381"/>
      <c r="Q277" s="381"/>
      <c r="R277" s="337">
        <v>0</v>
      </c>
      <c r="S277" s="379">
        <v>0</v>
      </c>
      <c r="T277" s="338">
        <v>0</v>
      </c>
      <c r="U277" s="379">
        <v>0</v>
      </c>
      <c r="V277" s="286"/>
      <c r="W277" s="289"/>
      <c r="X277" s="5"/>
    </row>
    <row r="278" spans="1:24" ht="15.75" x14ac:dyDescent="0.25">
      <c r="A278" s="295"/>
      <c r="B278" s="337" t="s">
        <v>90</v>
      </c>
      <c r="C278" s="286"/>
      <c r="D278" s="286"/>
      <c r="E278" s="286"/>
      <c r="F278" s="286"/>
      <c r="G278" s="286"/>
      <c r="H278" s="381"/>
      <c r="I278" s="381"/>
      <c r="J278" s="381"/>
      <c r="K278" s="381"/>
      <c r="L278" s="381"/>
      <c r="M278" s="381"/>
      <c r="N278" s="381"/>
      <c r="O278" s="381"/>
      <c r="P278" s="381"/>
      <c r="Q278" s="381"/>
      <c r="R278" s="337">
        <v>0</v>
      </c>
      <c r="S278" s="379">
        <v>0</v>
      </c>
      <c r="T278" s="338">
        <v>0</v>
      </c>
      <c r="U278" s="379">
        <v>0</v>
      </c>
      <c r="V278" s="286"/>
      <c r="W278" s="289"/>
      <c r="X278" s="5"/>
    </row>
    <row r="279" spans="1:24" ht="15.75" x14ac:dyDescent="0.25">
      <c r="A279" s="295"/>
      <c r="B279" s="337" t="s">
        <v>156</v>
      </c>
      <c r="C279" s="286"/>
      <c r="D279" s="286"/>
      <c r="E279" s="286"/>
      <c r="F279" s="286"/>
      <c r="G279" s="286"/>
      <c r="H279" s="381"/>
      <c r="I279" s="381"/>
      <c r="J279" s="381"/>
      <c r="K279" s="381"/>
      <c r="L279" s="381"/>
      <c r="M279" s="381"/>
      <c r="N279" s="381"/>
      <c r="O279" s="381"/>
      <c r="P279" s="381"/>
      <c r="Q279" s="381"/>
      <c r="R279" s="337">
        <v>0</v>
      </c>
      <c r="S279" s="379">
        <v>0</v>
      </c>
      <c r="T279" s="338">
        <v>0</v>
      </c>
      <c r="U279" s="379">
        <v>0</v>
      </c>
      <c r="V279" s="286"/>
      <c r="W279" s="289"/>
      <c r="X279" s="5"/>
    </row>
    <row r="280" spans="1:24" ht="15.75" x14ac:dyDescent="0.25">
      <c r="A280" s="295"/>
      <c r="B280" s="337" t="s">
        <v>157</v>
      </c>
      <c r="C280" s="286"/>
      <c r="D280" s="286"/>
      <c r="E280" s="286"/>
      <c r="F280" s="286"/>
      <c r="G280" s="286"/>
      <c r="H280" s="381"/>
      <c r="I280" s="381"/>
      <c r="J280" s="381"/>
      <c r="K280" s="381"/>
      <c r="L280" s="381"/>
      <c r="M280" s="381"/>
      <c r="N280" s="381"/>
      <c r="O280" s="381"/>
      <c r="P280" s="381"/>
      <c r="Q280" s="381"/>
      <c r="R280" s="337">
        <v>0</v>
      </c>
      <c r="S280" s="379">
        <v>0</v>
      </c>
      <c r="T280" s="338">
        <v>0</v>
      </c>
      <c r="U280" s="379">
        <v>0</v>
      </c>
      <c r="V280" s="286"/>
      <c r="W280" s="289"/>
      <c r="X280" s="5"/>
    </row>
    <row r="281" spans="1:24" ht="15.75" x14ac:dyDescent="0.25">
      <c r="A281" s="295"/>
      <c r="B281" s="337" t="s">
        <v>158</v>
      </c>
      <c r="C281" s="286"/>
      <c r="D281" s="286"/>
      <c r="E281" s="286"/>
      <c r="F281" s="286"/>
      <c r="G281" s="286"/>
      <c r="H281" s="381"/>
      <c r="I281" s="381"/>
      <c r="J281" s="381"/>
      <c r="K281" s="381"/>
      <c r="L281" s="381"/>
      <c r="M281" s="381"/>
      <c r="N281" s="381"/>
      <c r="O281" s="381"/>
      <c r="P281" s="381"/>
      <c r="Q281" s="381"/>
      <c r="R281" s="337">
        <v>0</v>
      </c>
      <c r="S281" s="379">
        <v>0</v>
      </c>
      <c r="T281" s="338">
        <v>0</v>
      </c>
      <c r="U281" s="379">
        <v>0</v>
      </c>
      <c r="V281" s="286"/>
      <c r="W281" s="289"/>
      <c r="X281" s="5"/>
    </row>
    <row r="282" spans="1:24" ht="15.75" x14ac:dyDescent="0.25">
      <c r="A282" s="295"/>
      <c r="B282" s="337" t="s">
        <v>159</v>
      </c>
      <c r="C282" s="286"/>
      <c r="D282" s="286"/>
      <c r="E282" s="286"/>
      <c r="F282" s="286"/>
      <c r="G282" s="286"/>
      <c r="H282" s="381"/>
      <c r="I282" s="381"/>
      <c r="J282" s="381"/>
      <c r="K282" s="381"/>
      <c r="L282" s="381"/>
      <c r="M282" s="381"/>
      <c r="N282" s="381"/>
      <c r="O282" s="381"/>
      <c r="P282" s="381"/>
      <c r="Q282" s="381"/>
      <c r="R282" s="337">
        <v>0</v>
      </c>
      <c r="S282" s="379">
        <v>0</v>
      </c>
      <c r="T282" s="338">
        <v>0</v>
      </c>
      <c r="U282" s="379">
        <v>0</v>
      </c>
      <c r="V282" s="286"/>
      <c r="W282" s="289"/>
      <c r="X282" s="5"/>
    </row>
    <row r="283" spans="1:24" ht="15.75" x14ac:dyDescent="0.25">
      <c r="A283" s="295"/>
      <c r="B283" s="337" t="s">
        <v>160</v>
      </c>
      <c r="C283" s="286"/>
      <c r="D283" s="286"/>
      <c r="E283" s="286"/>
      <c r="F283" s="286"/>
      <c r="G283" s="286"/>
      <c r="H283" s="381"/>
      <c r="I283" s="381"/>
      <c r="J283" s="381"/>
      <c r="K283" s="381"/>
      <c r="L283" s="381"/>
      <c r="M283" s="381"/>
      <c r="N283" s="381"/>
      <c r="O283" s="381"/>
      <c r="P283" s="381"/>
      <c r="Q283" s="381"/>
      <c r="R283" s="337">
        <v>0</v>
      </c>
      <c r="S283" s="379">
        <v>0</v>
      </c>
      <c r="T283" s="338">
        <v>0</v>
      </c>
      <c r="U283" s="379">
        <v>0</v>
      </c>
      <c r="V283" s="286"/>
      <c r="W283" s="289"/>
      <c r="X283" s="5"/>
    </row>
    <row r="284" spans="1:24" ht="15.75" x14ac:dyDescent="0.25">
      <c r="A284" s="295"/>
      <c r="B284" s="337"/>
      <c r="C284" s="286"/>
      <c r="D284" s="286"/>
      <c r="E284" s="286"/>
      <c r="F284" s="286"/>
      <c r="G284" s="286"/>
      <c r="H284" s="381"/>
      <c r="I284" s="381"/>
      <c r="J284" s="381"/>
      <c r="K284" s="381"/>
      <c r="L284" s="381"/>
      <c r="M284" s="381"/>
      <c r="N284" s="381"/>
      <c r="O284" s="381"/>
      <c r="P284" s="381"/>
      <c r="Q284" s="381"/>
      <c r="R284" s="337"/>
      <c r="S284" s="379"/>
      <c r="T284" s="338"/>
      <c r="U284" s="379"/>
      <c r="V284" s="286"/>
      <c r="W284" s="289"/>
      <c r="X284" s="5"/>
    </row>
    <row r="285" spans="1:24" ht="15.75" x14ac:dyDescent="0.25">
      <c r="A285" s="295"/>
      <c r="B285" s="286" t="s">
        <v>114</v>
      </c>
      <c r="C285" s="286"/>
      <c r="D285" s="286"/>
      <c r="E285" s="286"/>
      <c r="F285" s="286"/>
      <c r="G285" s="286"/>
      <c r="H285" s="381"/>
      <c r="I285" s="381"/>
      <c r="J285" s="381"/>
      <c r="K285" s="381"/>
      <c r="L285" s="381"/>
      <c r="M285" s="381"/>
      <c r="N285" s="381"/>
      <c r="O285" s="381"/>
      <c r="P285" s="381"/>
      <c r="Q285" s="381"/>
      <c r="R285" s="337">
        <f>SUM(R276:R283)</f>
        <v>0</v>
      </c>
      <c r="S285" s="379">
        <f>SUM(S276:S283)</f>
        <v>0</v>
      </c>
      <c r="T285" s="338">
        <f>SUM(T276:T283)</f>
        <v>0</v>
      </c>
      <c r="U285" s="379">
        <f>SUM(U276:U283)</f>
        <v>0</v>
      </c>
      <c r="V285" s="286"/>
      <c r="W285" s="289"/>
      <c r="X285" s="5"/>
    </row>
    <row r="286" spans="1:24" ht="15.75" x14ac:dyDescent="0.25">
      <c r="A286" s="295"/>
      <c r="B286" s="286"/>
      <c r="C286" s="286"/>
      <c r="D286" s="286"/>
      <c r="E286" s="286"/>
      <c r="F286" s="286"/>
      <c r="G286" s="286"/>
      <c r="H286" s="381"/>
      <c r="I286" s="381"/>
      <c r="J286" s="381"/>
      <c r="K286" s="381"/>
      <c r="L286" s="381"/>
      <c r="M286" s="381"/>
      <c r="N286" s="381"/>
      <c r="O286" s="381"/>
      <c r="P286" s="381"/>
      <c r="Q286" s="381"/>
      <c r="R286" s="337"/>
      <c r="S286" s="379"/>
      <c r="T286" s="338"/>
      <c r="U286" s="379"/>
      <c r="V286" s="286"/>
      <c r="W286" s="289"/>
      <c r="X286" s="5"/>
    </row>
    <row r="287" spans="1:24" ht="15.75" x14ac:dyDescent="0.25">
      <c r="A287" s="295"/>
      <c r="B287" s="297" t="s">
        <v>164</v>
      </c>
      <c r="C287" s="286"/>
      <c r="D287" s="286"/>
      <c r="E287" s="286"/>
      <c r="F287" s="286"/>
      <c r="G287" s="286"/>
      <c r="H287" s="381"/>
      <c r="I287" s="381"/>
      <c r="J287" s="381"/>
      <c r="K287" s="381"/>
      <c r="L287" s="381"/>
      <c r="M287" s="381"/>
      <c r="N287" s="381"/>
      <c r="O287" s="381"/>
      <c r="P287" s="381"/>
      <c r="Q287" s="381"/>
      <c r="R287" s="384">
        <f>R285+R273+R261</f>
        <v>5202</v>
      </c>
      <c r="S287" s="379"/>
      <c r="T287" s="410">
        <f>+T285+T273+T261</f>
        <v>727208</v>
      </c>
      <c r="U287" s="379"/>
      <c r="V287" s="286"/>
      <c r="W287" s="289"/>
      <c r="X287" s="5"/>
    </row>
    <row r="288" spans="1:24" ht="15.75" x14ac:dyDescent="0.25">
      <c r="A288" s="254"/>
      <c r="B288" s="346"/>
      <c r="C288" s="346"/>
      <c r="D288" s="346"/>
      <c r="E288" s="346"/>
      <c r="F288" s="346"/>
      <c r="G288" s="346"/>
      <c r="H288" s="382"/>
      <c r="I288" s="382"/>
      <c r="J288" s="382"/>
      <c r="K288" s="382"/>
      <c r="L288" s="382"/>
      <c r="M288" s="382"/>
      <c r="N288" s="382"/>
      <c r="O288" s="382"/>
      <c r="P288" s="382"/>
      <c r="Q288" s="382"/>
      <c r="R288" s="382"/>
      <c r="S288" s="382"/>
      <c r="T288" s="383"/>
      <c r="U288" s="382"/>
      <c r="V288" s="346"/>
      <c r="W288" s="346"/>
      <c r="X288" s="5"/>
    </row>
    <row r="289" spans="1:24" ht="15.75" x14ac:dyDescent="0.25">
      <c r="A289" s="254"/>
      <c r="B289" s="255"/>
      <c r="C289" s="255"/>
      <c r="D289" s="255"/>
      <c r="E289" s="255"/>
      <c r="F289" s="255"/>
      <c r="G289" s="255"/>
      <c r="H289" s="256"/>
      <c r="I289" s="256"/>
      <c r="J289" s="256"/>
      <c r="K289" s="256"/>
      <c r="L289" s="256"/>
      <c r="M289" s="256"/>
      <c r="N289" s="256"/>
      <c r="O289" s="256"/>
      <c r="P289" s="256"/>
      <c r="Q289" s="256"/>
      <c r="R289" s="256"/>
      <c r="S289" s="256"/>
      <c r="T289" s="257"/>
      <c r="U289" s="256"/>
      <c r="V289" s="255"/>
      <c r="W289" s="255"/>
      <c r="X289" s="5"/>
    </row>
    <row r="290" spans="1:24" ht="15.75" x14ac:dyDescent="0.25">
      <c r="A290" s="258"/>
      <c r="B290" s="388" t="s">
        <v>91</v>
      </c>
      <c r="C290" s="255"/>
      <c r="D290" s="255"/>
      <c r="E290" s="255"/>
      <c r="F290" s="391" t="s">
        <v>97</v>
      </c>
      <c r="G290" s="255"/>
      <c r="H290" s="388" t="s">
        <v>99</v>
      </c>
      <c r="I290" s="388"/>
      <c r="J290" s="388"/>
      <c r="K290" s="261"/>
      <c r="L290" s="261"/>
      <c r="M290" s="261"/>
      <c r="N290" s="261"/>
      <c r="O290" s="261"/>
      <c r="P290" s="261"/>
      <c r="Q290" s="261"/>
      <c r="R290" s="261"/>
      <c r="S290" s="261"/>
      <c r="T290" s="261"/>
      <c r="U290" s="261"/>
      <c r="V290" s="261"/>
      <c r="W290" s="261"/>
      <c r="X290" s="5"/>
    </row>
    <row r="291" spans="1:24" ht="15.75" x14ac:dyDescent="0.25">
      <c r="A291" s="258"/>
      <c r="B291" s="261"/>
      <c r="C291" s="255"/>
      <c r="D291" s="255"/>
      <c r="E291" s="255"/>
      <c r="F291" s="255"/>
      <c r="G291" s="255"/>
      <c r="H291" s="255"/>
      <c r="I291" s="255"/>
      <c r="J291" s="255"/>
      <c r="K291" s="261"/>
      <c r="L291" s="261"/>
      <c r="M291" s="261"/>
      <c r="N291" s="261"/>
      <c r="O291" s="261"/>
      <c r="P291" s="261"/>
      <c r="Q291" s="261"/>
      <c r="R291" s="261"/>
      <c r="S291" s="261"/>
      <c r="T291" s="261"/>
      <c r="U291" s="261"/>
      <c r="V291" s="261"/>
      <c r="W291" s="261"/>
      <c r="X291" s="5"/>
    </row>
    <row r="292" spans="1:24" ht="15.75" x14ac:dyDescent="0.25">
      <c r="A292" s="258"/>
      <c r="B292" s="388" t="s">
        <v>318</v>
      </c>
      <c r="C292" s="388"/>
      <c r="D292" s="388"/>
      <c r="E292" s="388"/>
      <c r="F292" s="411" t="s">
        <v>148</v>
      </c>
      <c r="G292" s="388"/>
      <c r="H292" s="388" t="s">
        <v>152</v>
      </c>
      <c r="I292" s="388"/>
      <c r="J292" s="388"/>
      <c r="K292" s="261"/>
      <c r="L292" s="261"/>
      <c r="M292" s="261"/>
      <c r="N292" s="261"/>
      <c r="O292" s="261"/>
      <c r="P292" s="261"/>
      <c r="Q292" s="261"/>
      <c r="R292" s="261"/>
      <c r="S292" s="261"/>
      <c r="T292" s="261"/>
      <c r="U292" s="261"/>
      <c r="V292" s="261"/>
      <c r="W292" s="261"/>
      <c r="X292" s="5"/>
    </row>
    <row r="293" spans="1:24" ht="15.75" x14ac:dyDescent="0.25">
      <c r="A293" s="258"/>
      <c r="B293" s="388" t="s">
        <v>319</v>
      </c>
      <c r="C293" s="388"/>
      <c r="D293" s="388"/>
      <c r="E293" s="388"/>
      <c r="F293" s="411" t="s">
        <v>266</v>
      </c>
      <c r="G293" s="388"/>
      <c r="H293" s="388" t="s">
        <v>267</v>
      </c>
      <c r="I293" s="388"/>
      <c r="J293" s="388"/>
      <c r="K293" s="261"/>
      <c r="L293" s="261"/>
      <c r="M293" s="261"/>
      <c r="N293" s="261"/>
      <c r="O293" s="261"/>
      <c r="P293" s="261"/>
      <c r="Q293" s="261"/>
      <c r="R293" s="261"/>
      <c r="S293" s="261"/>
      <c r="T293" s="261"/>
      <c r="U293" s="261"/>
      <c r="V293" s="261"/>
      <c r="W293" s="261"/>
      <c r="X293" s="5"/>
    </row>
    <row r="294" spans="1:24" ht="15.75" x14ac:dyDescent="0.25">
      <c r="A294" s="258"/>
      <c r="B294" s="388" t="s">
        <v>320</v>
      </c>
      <c r="C294" s="388"/>
      <c r="D294" s="388"/>
      <c r="E294" s="388"/>
      <c r="F294" s="411" t="s">
        <v>147</v>
      </c>
      <c r="G294" s="388"/>
      <c r="H294" s="388" t="s">
        <v>153</v>
      </c>
      <c r="I294" s="388"/>
      <c r="J294" s="388"/>
      <c r="K294" s="261"/>
      <c r="L294" s="261"/>
      <c r="M294" s="261"/>
      <c r="N294" s="261"/>
      <c r="O294" s="261"/>
      <c r="P294" s="261"/>
      <c r="Q294" s="261"/>
      <c r="R294" s="261"/>
      <c r="S294" s="261"/>
      <c r="T294" s="261"/>
      <c r="U294" s="261"/>
      <c r="V294" s="261"/>
      <c r="W294" s="261"/>
      <c r="X294" s="5"/>
    </row>
    <row r="295" spans="1:24" ht="15.75" x14ac:dyDescent="0.25">
      <c r="A295" s="258"/>
      <c r="B295" s="388"/>
      <c r="C295" s="388"/>
      <c r="D295" s="388"/>
      <c r="E295" s="388"/>
      <c r="F295" s="388"/>
      <c r="G295" s="263"/>
      <c r="H295" s="261"/>
      <c r="I295" s="261"/>
      <c r="J295" s="261"/>
      <c r="K295" s="261"/>
      <c r="L295" s="261"/>
      <c r="M295" s="261"/>
      <c r="N295" s="261"/>
      <c r="O295" s="261"/>
      <c r="P295" s="261"/>
      <c r="Q295" s="261"/>
      <c r="R295" s="261"/>
      <c r="S295" s="261"/>
      <c r="T295" s="261"/>
      <c r="U295" s="261"/>
      <c r="V295" s="261"/>
      <c r="W295" s="261"/>
      <c r="X295" s="5"/>
    </row>
    <row r="296" spans="1:24" ht="15.75" x14ac:dyDescent="0.25">
      <c r="A296" s="258"/>
      <c r="B296" s="388"/>
      <c r="C296" s="388"/>
      <c r="D296" s="388"/>
      <c r="E296" s="388"/>
      <c r="F296" s="388"/>
      <c r="G296" s="263"/>
      <c r="H296" s="261"/>
      <c r="I296" s="261"/>
      <c r="J296" s="261"/>
      <c r="K296" s="261"/>
      <c r="L296" s="261"/>
      <c r="M296" s="261"/>
      <c r="N296" s="261"/>
      <c r="O296" s="261"/>
      <c r="P296" s="261"/>
      <c r="Q296" s="261"/>
      <c r="R296" s="261"/>
      <c r="S296" s="261"/>
      <c r="T296" s="261"/>
      <c r="U296" s="261"/>
      <c r="V296" s="261"/>
      <c r="W296" s="261"/>
      <c r="X296" s="5"/>
    </row>
    <row r="297" spans="1:24" ht="19.5" thickBot="1" x14ac:dyDescent="0.35">
      <c r="A297" s="258"/>
      <c r="B297" s="264" t="str">
        <f>B201</f>
        <v>PM15 INVESTOR REPORT QUARTER ENDING NOVEMBER 2015</v>
      </c>
      <c r="C297" s="388"/>
      <c r="D297" s="388"/>
      <c r="E297" s="388"/>
      <c r="F297" s="388"/>
      <c r="G297" s="263"/>
      <c r="H297" s="261"/>
      <c r="I297" s="261"/>
      <c r="J297" s="261"/>
      <c r="K297" s="261"/>
      <c r="L297" s="261"/>
      <c r="M297" s="261"/>
      <c r="N297" s="261"/>
      <c r="O297" s="261"/>
      <c r="P297" s="261"/>
      <c r="Q297" s="261"/>
      <c r="R297" s="261"/>
      <c r="S297" s="261"/>
      <c r="T297" s="261"/>
      <c r="U297" s="261"/>
      <c r="V297" s="261"/>
      <c r="W297" s="261"/>
      <c r="X297" s="5"/>
    </row>
    <row r="298" spans="1:24" x14ac:dyDescent="0.2">
      <c r="A298" s="100"/>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00"/>
    </row>
  </sheetData>
  <hyperlinks>
    <hyperlink ref="P237" r:id="rId1" xr:uid="{00000000-0004-0000-2000-000000000000}"/>
    <hyperlink ref="I9" r:id="rId2" xr:uid="{00000000-0004-0000-20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5" max="14" man="1"/>
    <brk id="201" max="14" man="1"/>
  </rowBreaks>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6"/>
  </sheetPr>
  <dimension ref="A1:IV298"/>
  <sheetViews>
    <sheetView showGridLines="0" showOutlineSymbols="0" zoomScale="70" zoomScaleNormal="70" workbookViewId="0"/>
  </sheetViews>
  <sheetFormatPr defaultColWidth="9.6640625" defaultRowHeight="15" x14ac:dyDescent="0.2"/>
  <cols>
    <col min="1" max="1" width="4" style="1" customWidth="1"/>
    <col min="2" max="2" width="71.21875" style="1" customWidth="1"/>
    <col min="3" max="3" width="2.21875" style="1" customWidth="1"/>
    <col min="4" max="4" width="19.33203125" style="1" customWidth="1"/>
    <col min="5" max="5" width="2.21875" style="1" customWidth="1"/>
    <col min="6" max="6" width="25.109375" style="1" customWidth="1"/>
    <col min="7" max="7" width="2.21875" style="1" customWidth="1"/>
    <col min="8" max="8" width="16.21875" style="1" customWidth="1"/>
    <col min="9" max="9" width="2.88671875" style="1" customWidth="1"/>
    <col min="10" max="10" width="16.21875" style="1" customWidth="1"/>
    <col min="11" max="11" width="2.21875" style="1" customWidth="1"/>
    <col min="12" max="12" width="17.88671875" style="1" customWidth="1"/>
    <col min="13" max="13" width="2.33203125" style="1" customWidth="1"/>
    <col min="14" max="14" width="14.88671875" style="1" customWidth="1"/>
    <col min="15" max="15" width="2.33203125" style="1" customWidth="1"/>
    <col min="16" max="16" width="15.5546875" style="1" customWidth="1"/>
    <col min="17" max="17" width="2.21875" style="1" customWidth="1"/>
    <col min="18" max="18" width="15.5546875" style="1" customWidth="1"/>
    <col min="19" max="20" width="12.6640625" style="1" customWidth="1"/>
    <col min="21" max="21" width="7.77734375" style="1" customWidth="1"/>
    <col min="22" max="22" width="14.6640625" style="1" customWidth="1"/>
    <col min="23" max="23" width="11.77734375" style="1" customWidth="1"/>
    <col min="24" max="16384" width="9.6640625" style="1"/>
  </cols>
  <sheetData>
    <row r="1" spans="1:24" ht="20.25" x14ac:dyDescent="0.3">
      <c r="A1" s="179"/>
      <c r="B1" s="274" t="s">
        <v>237</v>
      </c>
      <c r="C1" s="180"/>
      <c r="D1" s="180"/>
      <c r="E1" s="180"/>
      <c r="F1" s="180"/>
      <c r="G1" s="180"/>
      <c r="H1" s="180"/>
      <c r="I1" s="180"/>
      <c r="J1" s="180"/>
      <c r="K1" s="180"/>
      <c r="L1" s="180"/>
      <c r="M1" s="180"/>
      <c r="N1" s="180"/>
      <c r="O1" s="180"/>
      <c r="P1" s="180"/>
      <c r="Q1" s="180"/>
      <c r="R1" s="180"/>
      <c r="S1" s="180"/>
      <c r="T1" s="180"/>
      <c r="U1" s="180"/>
      <c r="V1" s="180"/>
      <c r="W1" s="180"/>
      <c r="X1" s="5"/>
    </row>
    <row r="2" spans="1:24" ht="15.75" x14ac:dyDescent="0.25">
      <c r="A2" s="181"/>
      <c r="B2" s="182"/>
      <c r="C2" s="183"/>
      <c r="D2" s="183"/>
      <c r="E2" s="183"/>
      <c r="F2" s="183"/>
      <c r="G2" s="183"/>
      <c r="H2" s="183"/>
      <c r="I2" s="183"/>
      <c r="J2" s="183"/>
      <c r="K2" s="183"/>
      <c r="L2" s="183"/>
      <c r="M2" s="183"/>
      <c r="N2" s="183"/>
      <c r="O2" s="183"/>
      <c r="P2" s="183"/>
      <c r="Q2" s="183"/>
      <c r="R2" s="183"/>
      <c r="S2" s="183"/>
      <c r="T2" s="183"/>
      <c r="U2" s="183"/>
      <c r="V2" s="183"/>
      <c r="W2" s="183"/>
      <c r="X2" s="5"/>
    </row>
    <row r="3" spans="1:24" ht="15.75" x14ac:dyDescent="0.25">
      <c r="A3" s="184"/>
      <c r="B3" s="185" t="s">
        <v>238</v>
      </c>
      <c r="C3" s="183"/>
      <c r="D3" s="183"/>
      <c r="E3" s="183"/>
      <c r="F3" s="183"/>
      <c r="G3" s="183"/>
      <c r="H3" s="183"/>
      <c r="I3" s="183"/>
      <c r="J3" s="183"/>
      <c r="K3" s="183"/>
      <c r="L3" s="183"/>
      <c r="M3" s="183"/>
      <c r="N3" s="183"/>
      <c r="O3" s="183"/>
      <c r="P3" s="183"/>
      <c r="Q3" s="183"/>
      <c r="R3" s="183"/>
      <c r="S3" s="183"/>
      <c r="T3" s="183"/>
      <c r="U3" s="183"/>
      <c r="V3" s="183"/>
      <c r="W3" s="183"/>
      <c r="X3" s="5"/>
    </row>
    <row r="4" spans="1:24" ht="15.75" x14ac:dyDescent="0.25">
      <c r="A4" s="181"/>
      <c r="B4" s="182"/>
      <c r="C4" s="183"/>
      <c r="D4" s="183"/>
      <c r="E4" s="183"/>
      <c r="F4" s="183"/>
      <c r="G4" s="183"/>
      <c r="H4" s="183"/>
      <c r="I4" s="183"/>
      <c r="J4" s="183"/>
      <c r="K4" s="183"/>
      <c r="L4" s="183"/>
      <c r="M4" s="183"/>
      <c r="N4" s="183"/>
      <c r="O4" s="183"/>
      <c r="P4" s="183"/>
      <c r="Q4" s="183"/>
      <c r="R4" s="183"/>
      <c r="S4" s="183"/>
      <c r="T4" s="183"/>
      <c r="U4" s="183"/>
      <c r="V4" s="183"/>
      <c r="W4" s="183"/>
      <c r="X4" s="5"/>
    </row>
    <row r="5" spans="1:24" ht="15.75" x14ac:dyDescent="0.25">
      <c r="A5" s="181"/>
      <c r="B5" s="275" t="s">
        <v>137</v>
      </c>
      <c r="C5" s="183"/>
      <c r="D5" s="183"/>
      <c r="E5" s="183"/>
      <c r="F5" s="183"/>
      <c r="G5" s="183"/>
      <c r="H5" s="183"/>
      <c r="I5" s="183"/>
      <c r="J5" s="183"/>
      <c r="K5" s="183"/>
      <c r="L5" s="183"/>
      <c r="M5" s="183"/>
      <c r="N5" s="183"/>
      <c r="O5" s="183"/>
      <c r="P5" s="183"/>
      <c r="Q5" s="183"/>
      <c r="R5" s="183"/>
      <c r="S5" s="183"/>
      <c r="T5" s="183"/>
      <c r="U5" s="183"/>
      <c r="V5" s="183"/>
      <c r="W5" s="183"/>
      <c r="X5" s="5"/>
    </row>
    <row r="6" spans="1:24" ht="15.75" x14ac:dyDescent="0.25">
      <c r="A6" s="181"/>
      <c r="B6" s="275" t="s">
        <v>139</v>
      </c>
      <c r="C6" s="183"/>
      <c r="D6" s="183"/>
      <c r="E6" s="183"/>
      <c r="F6" s="183"/>
      <c r="G6" s="183"/>
      <c r="H6" s="183"/>
      <c r="I6" s="183"/>
      <c r="J6" s="183"/>
      <c r="K6" s="183"/>
      <c r="L6" s="183"/>
      <c r="M6" s="183"/>
      <c r="N6" s="183"/>
      <c r="O6" s="183"/>
      <c r="P6" s="183"/>
      <c r="Q6" s="183"/>
      <c r="R6" s="183"/>
      <c r="S6" s="183"/>
      <c r="T6" s="183"/>
      <c r="U6" s="183"/>
      <c r="V6" s="183"/>
      <c r="W6" s="183"/>
      <c r="X6" s="5"/>
    </row>
    <row r="7" spans="1:24" ht="15.75" x14ac:dyDescent="0.25">
      <c r="A7" s="181"/>
      <c r="B7" s="275" t="s">
        <v>138</v>
      </c>
      <c r="C7" s="183"/>
      <c r="D7" s="183"/>
      <c r="E7" s="183"/>
      <c r="F7" s="183"/>
      <c r="G7" s="183"/>
      <c r="H7" s="183"/>
      <c r="I7" s="183"/>
      <c r="J7" s="183"/>
      <c r="K7" s="183"/>
      <c r="L7" s="183"/>
      <c r="M7" s="183"/>
      <c r="N7" s="183"/>
      <c r="O7" s="183"/>
      <c r="P7" s="183"/>
      <c r="Q7" s="183"/>
      <c r="R7" s="183"/>
      <c r="S7" s="183"/>
      <c r="T7" s="183"/>
      <c r="U7" s="183"/>
      <c r="V7" s="183"/>
      <c r="W7" s="183"/>
      <c r="X7" s="5"/>
    </row>
    <row r="8" spans="1:24" ht="15.75" x14ac:dyDescent="0.25">
      <c r="A8" s="181"/>
      <c r="B8" s="186"/>
      <c r="C8" s="183"/>
      <c r="D8" s="183"/>
      <c r="E8" s="183"/>
      <c r="F8" s="183"/>
      <c r="G8" s="183"/>
      <c r="H8" s="183"/>
      <c r="I8" s="183"/>
      <c r="J8" s="183"/>
      <c r="K8" s="183"/>
      <c r="L8" s="183"/>
      <c r="M8" s="183"/>
      <c r="N8" s="183"/>
      <c r="O8" s="183"/>
      <c r="P8" s="183"/>
      <c r="Q8" s="183"/>
      <c r="R8" s="183"/>
      <c r="S8" s="183"/>
      <c r="T8" s="183"/>
      <c r="U8" s="183"/>
      <c r="V8" s="183"/>
      <c r="W8" s="183"/>
      <c r="X8" s="5"/>
    </row>
    <row r="9" spans="1:24" ht="18.75" x14ac:dyDescent="0.3">
      <c r="A9" s="181"/>
      <c r="B9" s="187" t="s">
        <v>166</v>
      </c>
      <c r="C9" s="183"/>
      <c r="D9" s="183"/>
      <c r="E9" s="183"/>
      <c r="F9" s="183"/>
      <c r="G9" s="183"/>
      <c r="H9" s="183"/>
      <c r="I9" s="188" t="s">
        <v>167</v>
      </c>
      <c r="J9" s="183"/>
      <c r="K9" s="183"/>
      <c r="L9" s="188"/>
      <c r="M9" s="183"/>
      <c r="N9" s="188"/>
      <c r="O9" s="183"/>
      <c r="P9" s="183"/>
      <c r="Q9" s="183"/>
      <c r="R9" s="183"/>
      <c r="S9" s="183"/>
      <c r="T9" s="183"/>
      <c r="U9" s="183"/>
      <c r="V9" s="183"/>
      <c r="W9" s="183"/>
      <c r="X9" s="5"/>
    </row>
    <row r="10" spans="1:24" ht="15.75" x14ac:dyDescent="0.25">
      <c r="A10" s="181"/>
      <c r="B10" s="186"/>
      <c r="C10" s="189"/>
      <c r="D10" s="189"/>
      <c r="E10" s="189"/>
      <c r="F10" s="183"/>
      <c r="G10" s="183"/>
      <c r="H10" s="183"/>
      <c r="I10" s="183"/>
      <c r="J10" s="183"/>
      <c r="K10" s="183"/>
      <c r="L10" s="183"/>
      <c r="M10" s="183"/>
      <c r="N10" s="183"/>
      <c r="O10" s="183"/>
      <c r="P10" s="183"/>
      <c r="Q10" s="183"/>
      <c r="R10" s="183"/>
      <c r="S10" s="183"/>
      <c r="T10" s="183"/>
      <c r="U10" s="183"/>
      <c r="V10" s="183"/>
      <c r="W10" s="183"/>
      <c r="X10" s="5"/>
    </row>
    <row r="11" spans="1:24" ht="15.75" x14ac:dyDescent="0.25">
      <c r="A11" s="181"/>
      <c r="B11" s="388" t="s">
        <v>0</v>
      </c>
      <c r="C11" s="183"/>
      <c r="D11" s="183"/>
      <c r="E11" s="183"/>
      <c r="F11" s="183"/>
      <c r="G11" s="183"/>
      <c r="H11" s="183"/>
      <c r="I11" s="183"/>
      <c r="J11" s="183"/>
      <c r="K11" s="183"/>
      <c r="L11" s="183"/>
      <c r="M11" s="183"/>
      <c r="N11" s="183"/>
      <c r="O11" s="183"/>
      <c r="P11" s="183"/>
      <c r="Q11" s="183"/>
      <c r="R11" s="183"/>
      <c r="S11" s="183"/>
      <c r="T11" s="183"/>
      <c r="U11" s="183"/>
      <c r="V11" s="183"/>
      <c r="W11" s="183"/>
      <c r="X11" s="5"/>
    </row>
    <row r="12" spans="1:24" ht="16.5" thickBot="1" x14ac:dyDescent="0.3">
      <c r="A12" s="181"/>
      <c r="B12" s="189"/>
      <c r="C12" s="183"/>
      <c r="D12" s="183"/>
      <c r="E12" s="183"/>
      <c r="F12" s="183"/>
      <c r="G12" s="183"/>
      <c r="H12" s="183"/>
      <c r="I12" s="183"/>
      <c r="J12" s="183"/>
      <c r="K12" s="183"/>
      <c r="L12" s="183"/>
      <c r="M12" s="183"/>
      <c r="N12" s="183"/>
      <c r="O12" s="183"/>
      <c r="P12" s="183"/>
      <c r="Q12" s="183"/>
      <c r="R12" s="183"/>
      <c r="S12" s="183"/>
      <c r="T12" s="183"/>
      <c r="U12" s="183"/>
      <c r="V12" s="183"/>
      <c r="W12" s="183"/>
      <c r="X12" s="5"/>
    </row>
    <row r="13" spans="1:24" ht="15.75" x14ac:dyDescent="0.25">
      <c r="A13" s="179"/>
      <c r="B13" s="180"/>
      <c r="C13" s="180"/>
      <c r="D13" s="180"/>
      <c r="E13" s="180"/>
      <c r="F13" s="180"/>
      <c r="G13" s="180"/>
      <c r="H13" s="180"/>
      <c r="I13" s="180"/>
      <c r="J13" s="180"/>
      <c r="K13" s="180"/>
      <c r="L13" s="180"/>
      <c r="M13" s="180"/>
      <c r="N13" s="180"/>
      <c r="O13" s="180"/>
      <c r="P13" s="180"/>
      <c r="Q13" s="180"/>
      <c r="R13" s="180"/>
      <c r="S13" s="180"/>
      <c r="T13" s="180"/>
      <c r="U13" s="180"/>
      <c r="V13" s="180"/>
      <c r="W13" s="180"/>
      <c r="X13" s="5"/>
    </row>
    <row r="14" spans="1:24" ht="15.75" x14ac:dyDescent="0.25">
      <c r="A14" s="181"/>
      <c r="B14" s="388" t="s">
        <v>1</v>
      </c>
      <c r="C14" s="255"/>
      <c r="D14" s="255"/>
      <c r="E14" s="255"/>
      <c r="F14" s="255"/>
      <c r="G14" s="255"/>
      <c r="H14" s="255"/>
      <c r="I14" s="255"/>
      <c r="J14" s="255"/>
      <c r="K14" s="255"/>
      <c r="L14" s="255"/>
      <c r="M14" s="255"/>
      <c r="N14" s="255"/>
      <c r="O14" s="255"/>
      <c r="P14" s="255"/>
      <c r="Q14" s="255"/>
      <c r="R14" s="255"/>
      <c r="S14" s="255"/>
      <c r="T14" s="255"/>
      <c r="U14" s="255"/>
      <c r="V14" s="276" t="s">
        <v>239</v>
      </c>
      <c r="W14" s="255"/>
      <c r="X14" s="5"/>
    </row>
    <row r="15" spans="1:24" ht="15.75" x14ac:dyDescent="0.25">
      <c r="A15" s="181"/>
      <c r="B15" s="388" t="s">
        <v>2</v>
      </c>
      <c r="C15" s="255"/>
      <c r="D15" s="255"/>
      <c r="E15" s="255"/>
      <c r="F15" s="255"/>
      <c r="G15" s="255"/>
      <c r="H15" s="389"/>
      <c r="I15" s="389"/>
      <c r="J15" s="389"/>
      <c r="K15" s="389"/>
      <c r="L15" s="389"/>
      <c r="M15" s="389"/>
      <c r="N15" s="389"/>
      <c r="O15" s="389"/>
      <c r="P15" s="389"/>
      <c r="Q15" s="389"/>
      <c r="R15" s="389" t="s">
        <v>104</v>
      </c>
      <c r="S15" s="390">
        <v>0.47189999999999999</v>
      </c>
      <c r="T15" s="391" t="s">
        <v>140</v>
      </c>
      <c r="U15" s="390">
        <v>0.52810000000000001</v>
      </c>
      <c r="V15" s="276"/>
      <c r="W15" s="255"/>
      <c r="X15" s="5"/>
    </row>
    <row r="16" spans="1:24" ht="15.75" x14ac:dyDescent="0.25">
      <c r="A16" s="181"/>
      <c r="B16" s="388" t="s">
        <v>3</v>
      </c>
      <c r="C16" s="255"/>
      <c r="D16" s="255"/>
      <c r="E16" s="255"/>
      <c r="F16" s="255"/>
      <c r="G16" s="255"/>
      <c r="H16" s="389"/>
      <c r="I16" s="389"/>
      <c r="J16" s="389"/>
      <c r="K16" s="389"/>
      <c r="L16" s="389"/>
      <c r="M16" s="389"/>
      <c r="N16" s="389"/>
      <c r="O16" s="389"/>
      <c r="P16" s="389"/>
      <c r="Q16" s="389"/>
      <c r="R16" s="389" t="s">
        <v>104</v>
      </c>
      <c r="S16" s="390">
        <v>0.55469999999999997</v>
      </c>
      <c r="T16" s="391" t="s">
        <v>140</v>
      </c>
      <c r="U16" s="390">
        <v>0.44529999999999997</v>
      </c>
      <c r="V16" s="276"/>
      <c r="W16" s="255"/>
      <c r="X16" s="5"/>
    </row>
    <row r="17" spans="1:24" ht="15.75" x14ac:dyDescent="0.25">
      <c r="A17" s="181"/>
      <c r="B17" s="388" t="s">
        <v>4</v>
      </c>
      <c r="C17" s="255"/>
      <c r="D17" s="255"/>
      <c r="E17" s="255"/>
      <c r="F17" s="255"/>
      <c r="G17" s="255"/>
      <c r="H17" s="255"/>
      <c r="I17" s="255"/>
      <c r="J17" s="255"/>
      <c r="K17" s="255"/>
      <c r="L17" s="255"/>
      <c r="M17" s="255"/>
      <c r="N17" s="255"/>
      <c r="O17" s="255"/>
      <c r="P17" s="255"/>
      <c r="Q17" s="255"/>
      <c r="R17" s="255"/>
      <c r="S17" s="255"/>
      <c r="T17" s="255"/>
      <c r="U17" s="255"/>
      <c r="V17" s="392">
        <v>39282</v>
      </c>
      <c r="W17" s="255"/>
      <c r="X17" s="5"/>
    </row>
    <row r="18" spans="1:24" ht="15.75" x14ac:dyDescent="0.25">
      <c r="A18" s="181"/>
      <c r="B18" s="388" t="s">
        <v>5</v>
      </c>
      <c r="C18" s="255"/>
      <c r="D18" s="255"/>
      <c r="E18" s="255"/>
      <c r="F18" s="255"/>
      <c r="G18" s="255"/>
      <c r="H18" s="255"/>
      <c r="I18" s="255"/>
      <c r="J18" s="255"/>
      <c r="K18" s="255"/>
      <c r="L18" s="255"/>
      <c r="M18" s="255"/>
      <c r="N18" s="255"/>
      <c r="O18" s="255"/>
      <c r="P18" s="255"/>
      <c r="Q18" s="255"/>
      <c r="R18" s="255"/>
      <c r="S18" s="255"/>
      <c r="T18" s="255"/>
      <c r="U18" s="255"/>
      <c r="V18" s="392">
        <v>42450</v>
      </c>
      <c r="W18" s="255"/>
      <c r="X18" s="5"/>
    </row>
    <row r="19" spans="1:24" ht="15.75" x14ac:dyDescent="0.25">
      <c r="A19" s="181"/>
      <c r="B19" s="183"/>
      <c r="C19" s="183"/>
      <c r="D19" s="183"/>
      <c r="E19" s="183"/>
      <c r="F19" s="183"/>
      <c r="G19" s="183"/>
      <c r="H19" s="183"/>
      <c r="I19" s="183"/>
      <c r="J19" s="183"/>
      <c r="K19" s="183"/>
      <c r="L19" s="183"/>
      <c r="M19" s="183"/>
      <c r="N19" s="183"/>
      <c r="O19" s="183"/>
      <c r="P19" s="183"/>
      <c r="Q19" s="183"/>
      <c r="R19" s="183"/>
      <c r="S19" s="183"/>
      <c r="T19" s="183"/>
      <c r="U19" s="183"/>
      <c r="V19" s="190"/>
      <c r="W19" s="183"/>
      <c r="X19" s="5"/>
    </row>
    <row r="20" spans="1:24" ht="15.75" x14ac:dyDescent="0.25">
      <c r="A20" s="181"/>
      <c r="B20" s="280" t="s">
        <v>6</v>
      </c>
      <c r="C20" s="255"/>
      <c r="D20" s="255"/>
      <c r="E20" s="255"/>
      <c r="F20" s="255"/>
      <c r="G20" s="255"/>
      <c r="H20" s="255"/>
      <c r="I20" s="255"/>
      <c r="J20" s="255"/>
      <c r="K20" s="255"/>
      <c r="L20" s="255"/>
      <c r="M20" s="255"/>
      <c r="N20" s="255"/>
      <c r="O20" s="255"/>
      <c r="P20" s="255"/>
      <c r="Q20" s="255"/>
      <c r="R20" s="255"/>
      <c r="S20" s="255"/>
      <c r="T20" s="281" t="s">
        <v>105</v>
      </c>
      <c r="U20" s="255"/>
      <c r="V20" s="261"/>
      <c r="W20" s="183"/>
      <c r="X20" s="5"/>
    </row>
    <row r="21" spans="1:24" ht="15.75" x14ac:dyDescent="0.25">
      <c r="A21" s="181"/>
      <c r="B21" s="183"/>
      <c r="C21" s="183"/>
      <c r="D21" s="183"/>
      <c r="E21" s="183"/>
      <c r="F21" s="183"/>
      <c r="G21" s="183"/>
      <c r="H21" s="183"/>
      <c r="I21" s="183"/>
      <c r="J21" s="183"/>
      <c r="K21" s="183"/>
      <c r="L21" s="183"/>
      <c r="M21" s="183"/>
      <c r="N21" s="183"/>
      <c r="O21" s="183"/>
      <c r="P21" s="183"/>
      <c r="Q21" s="183"/>
      <c r="R21" s="183"/>
      <c r="S21" s="183"/>
      <c r="T21" s="183"/>
      <c r="U21" s="183"/>
      <c r="V21" s="192"/>
      <c r="W21" s="183"/>
      <c r="X21" s="5"/>
    </row>
    <row r="22" spans="1:24" ht="15.75" x14ac:dyDescent="0.25">
      <c r="A22" s="224"/>
      <c r="B22" s="225"/>
      <c r="C22" s="226"/>
      <c r="D22" s="226" t="s">
        <v>177</v>
      </c>
      <c r="E22" s="226"/>
      <c r="F22" s="226" t="s">
        <v>178</v>
      </c>
      <c r="G22" s="226"/>
      <c r="H22" s="226" t="s">
        <v>179</v>
      </c>
      <c r="I22" s="226"/>
      <c r="J22" s="226" t="s">
        <v>219</v>
      </c>
      <c r="K22" s="226"/>
      <c r="L22" s="226" t="s">
        <v>180</v>
      </c>
      <c r="M22" s="226"/>
      <c r="N22" s="226" t="s">
        <v>181</v>
      </c>
      <c r="O22" s="226"/>
      <c r="P22" s="226" t="s">
        <v>182</v>
      </c>
      <c r="Q22" s="226"/>
      <c r="R22" s="226"/>
      <c r="S22" s="228"/>
      <c r="T22" s="228"/>
      <c r="U22" s="229"/>
      <c r="V22" s="229"/>
      <c r="W22" s="225"/>
      <c r="X22" s="5"/>
    </row>
    <row r="23" spans="1:24" ht="15.75" x14ac:dyDescent="0.25">
      <c r="A23" s="193"/>
      <c r="B23" s="250" t="s">
        <v>7</v>
      </c>
      <c r="C23" s="282"/>
      <c r="D23" s="282" t="s">
        <v>212</v>
      </c>
      <c r="E23" s="282"/>
      <c r="F23" s="282" t="s">
        <v>141</v>
      </c>
      <c r="G23" s="282"/>
      <c r="H23" s="282" t="s">
        <v>141</v>
      </c>
      <c r="I23" s="282"/>
      <c r="J23" s="282" t="s">
        <v>141</v>
      </c>
      <c r="K23" s="282"/>
      <c r="L23" s="282" t="s">
        <v>183</v>
      </c>
      <c r="M23" s="282"/>
      <c r="N23" s="282" t="s">
        <v>183</v>
      </c>
      <c r="O23" s="282"/>
      <c r="P23" s="282" t="s">
        <v>142</v>
      </c>
      <c r="Q23" s="282"/>
      <c r="R23" s="282"/>
      <c r="S23" s="282"/>
      <c r="T23" s="282"/>
      <c r="U23" s="273"/>
      <c r="V23" s="273"/>
      <c r="W23" s="250"/>
      <c r="X23" s="5"/>
    </row>
    <row r="24" spans="1:24" ht="15.75" x14ac:dyDescent="0.25">
      <c r="A24" s="285"/>
      <c r="B24" s="286" t="s">
        <v>8</v>
      </c>
      <c r="C24" s="287"/>
      <c r="D24" s="287" t="s">
        <v>213</v>
      </c>
      <c r="E24" s="287"/>
      <c r="F24" s="287" t="s">
        <v>143</v>
      </c>
      <c r="G24" s="287"/>
      <c r="H24" s="287" t="s">
        <v>143</v>
      </c>
      <c r="I24" s="287"/>
      <c r="J24" s="287" t="s">
        <v>143</v>
      </c>
      <c r="K24" s="287"/>
      <c r="L24" s="287" t="s">
        <v>165</v>
      </c>
      <c r="M24" s="287"/>
      <c r="N24" s="287" t="s">
        <v>165</v>
      </c>
      <c r="O24" s="287"/>
      <c r="P24" s="287" t="s">
        <v>144</v>
      </c>
      <c r="Q24" s="287"/>
      <c r="R24" s="287"/>
      <c r="S24" s="287"/>
      <c r="T24" s="287"/>
      <c r="U24" s="288"/>
      <c r="V24" s="288"/>
      <c r="W24" s="289"/>
      <c r="X24" s="5"/>
    </row>
    <row r="25" spans="1:24" ht="15.75" x14ac:dyDescent="0.25">
      <c r="A25" s="290"/>
      <c r="B25" s="286" t="s">
        <v>190</v>
      </c>
      <c r="C25" s="292"/>
      <c r="D25" s="287" t="s">
        <v>214</v>
      </c>
      <c r="E25" s="287"/>
      <c r="F25" s="287" t="s">
        <v>143</v>
      </c>
      <c r="G25" s="287"/>
      <c r="H25" s="287" t="s">
        <v>143</v>
      </c>
      <c r="I25" s="287"/>
      <c r="J25" s="287" t="s">
        <v>143</v>
      </c>
      <c r="K25" s="287"/>
      <c r="L25" s="287" t="s">
        <v>165</v>
      </c>
      <c r="M25" s="287"/>
      <c r="N25" s="287" t="s">
        <v>165</v>
      </c>
      <c r="O25" s="287"/>
      <c r="P25" s="287" t="s">
        <v>144</v>
      </c>
      <c r="Q25" s="287"/>
      <c r="R25" s="287"/>
      <c r="S25" s="292"/>
      <c r="T25" s="287"/>
      <c r="U25" s="288"/>
      <c r="V25" s="288"/>
      <c r="W25" s="289"/>
      <c r="X25" s="5"/>
    </row>
    <row r="26" spans="1:24" ht="15.75" x14ac:dyDescent="0.25">
      <c r="A26" s="393"/>
      <c r="B26" s="297" t="s">
        <v>9</v>
      </c>
      <c r="C26" s="292"/>
      <c r="D26" s="292" t="s">
        <v>141</v>
      </c>
      <c r="E26" s="292"/>
      <c r="F26" s="292" t="s">
        <v>141</v>
      </c>
      <c r="G26" s="292"/>
      <c r="H26" s="292" t="s">
        <v>141</v>
      </c>
      <c r="I26" s="292"/>
      <c r="J26" s="292" t="s">
        <v>141</v>
      </c>
      <c r="K26" s="292"/>
      <c r="L26" s="292" t="s">
        <v>183</v>
      </c>
      <c r="M26" s="292"/>
      <c r="N26" s="292" t="s">
        <v>183</v>
      </c>
      <c r="O26" s="292"/>
      <c r="P26" s="292" t="s">
        <v>142</v>
      </c>
      <c r="Q26" s="292"/>
      <c r="R26" s="292"/>
      <c r="S26" s="292"/>
      <c r="T26" s="287"/>
      <c r="U26" s="288"/>
      <c r="V26" s="288"/>
      <c r="W26" s="289"/>
      <c r="X26" s="5"/>
    </row>
    <row r="27" spans="1:24" ht="15.75" x14ac:dyDescent="0.25">
      <c r="A27" s="295"/>
      <c r="B27" s="297" t="s">
        <v>191</v>
      </c>
      <c r="C27" s="287"/>
      <c r="D27" s="292" t="s">
        <v>143</v>
      </c>
      <c r="E27" s="292"/>
      <c r="F27" s="292" t="s">
        <v>143</v>
      </c>
      <c r="G27" s="292"/>
      <c r="H27" s="292" t="s">
        <v>143</v>
      </c>
      <c r="I27" s="292"/>
      <c r="J27" s="292" t="s">
        <v>143</v>
      </c>
      <c r="K27" s="292"/>
      <c r="L27" s="292" t="s">
        <v>307</v>
      </c>
      <c r="M27" s="292"/>
      <c r="N27" s="292" t="s">
        <v>307</v>
      </c>
      <c r="O27" s="292"/>
      <c r="P27" s="292" t="s">
        <v>332</v>
      </c>
      <c r="Q27" s="292"/>
      <c r="R27" s="292"/>
      <c r="S27" s="287"/>
      <c r="T27" s="296"/>
      <c r="U27" s="288"/>
      <c r="V27" s="288"/>
      <c r="W27" s="289"/>
      <c r="X27" s="5"/>
    </row>
    <row r="28" spans="1:24" ht="15.75" x14ac:dyDescent="0.25">
      <c r="A28" s="295"/>
      <c r="B28" s="297" t="s">
        <v>192</v>
      </c>
      <c r="C28" s="287"/>
      <c r="D28" s="292" t="s">
        <v>143</v>
      </c>
      <c r="E28" s="292"/>
      <c r="F28" s="292" t="s">
        <v>143</v>
      </c>
      <c r="G28" s="292"/>
      <c r="H28" s="292" t="s">
        <v>143</v>
      </c>
      <c r="I28" s="292"/>
      <c r="J28" s="292" t="s">
        <v>143</v>
      </c>
      <c r="K28" s="292"/>
      <c r="L28" s="292" t="s">
        <v>329</v>
      </c>
      <c r="M28" s="292"/>
      <c r="N28" s="292" t="s">
        <v>329</v>
      </c>
      <c r="O28" s="292"/>
      <c r="P28" s="292" t="s">
        <v>330</v>
      </c>
      <c r="Q28" s="292"/>
      <c r="R28" s="292"/>
      <c r="S28" s="287"/>
      <c r="T28" s="296"/>
      <c r="U28" s="288"/>
      <c r="V28" s="288"/>
      <c r="W28" s="289"/>
      <c r="X28" s="5"/>
    </row>
    <row r="29" spans="1:24" ht="15.75" x14ac:dyDescent="0.25">
      <c r="A29" s="295"/>
      <c r="B29" s="286" t="s">
        <v>10</v>
      </c>
      <c r="C29" s="298"/>
      <c r="D29" s="287" t="s">
        <v>242</v>
      </c>
      <c r="E29" s="287"/>
      <c r="F29" s="296" t="s">
        <v>244</v>
      </c>
      <c r="G29" s="287"/>
      <c r="H29" s="287" t="s">
        <v>245</v>
      </c>
      <c r="I29" s="287"/>
      <c r="J29" s="287" t="s">
        <v>247</v>
      </c>
      <c r="K29" s="287"/>
      <c r="L29" s="287" t="s">
        <v>248</v>
      </c>
      <c r="M29" s="287"/>
      <c r="N29" s="287" t="s">
        <v>249</v>
      </c>
      <c r="O29" s="287"/>
      <c r="P29" s="287" t="s">
        <v>250</v>
      </c>
      <c r="Q29" s="287"/>
      <c r="R29" s="287"/>
      <c r="S29" s="299"/>
      <c r="T29" s="299"/>
      <c r="U29" s="300"/>
      <c r="V29" s="299"/>
      <c r="W29" s="301"/>
      <c r="X29" s="5"/>
    </row>
    <row r="30" spans="1:24" ht="15.75" x14ac:dyDescent="0.25">
      <c r="A30" s="295"/>
      <c r="B30" s="286" t="s">
        <v>10</v>
      </c>
      <c r="C30" s="298"/>
      <c r="D30" s="287" t="s">
        <v>243</v>
      </c>
      <c r="E30" s="287"/>
      <c r="F30" s="296" t="s">
        <v>118</v>
      </c>
      <c r="G30" s="287"/>
      <c r="H30" s="287" t="s">
        <v>118</v>
      </c>
      <c r="I30" s="287"/>
      <c r="J30" s="287" t="s">
        <v>246</v>
      </c>
      <c r="K30" s="287"/>
      <c r="L30" s="287" t="s">
        <v>118</v>
      </c>
      <c r="M30" s="287"/>
      <c r="N30" s="287" t="s">
        <v>118</v>
      </c>
      <c r="O30" s="287"/>
      <c r="P30" s="287" t="s">
        <v>118</v>
      </c>
      <c r="Q30" s="287"/>
      <c r="R30" s="287"/>
      <c r="S30" s="299"/>
      <c r="T30" s="299"/>
      <c r="U30" s="300"/>
      <c r="V30" s="299"/>
      <c r="W30" s="301"/>
      <c r="X30" s="5"/>
    </row>
    <row r="31" spans="1:24" ht="15.75" x14ac:dyDescent="0.25">
      <c r="A31" s="393"/>
      <c r="B31" s="286" t="s">
        <v>133</v>
      </c>
      <c r="C31" s="310"/>
      <c r="D31" s="303">
        <v>1000000</v>
      </c>
      <c r="E31" s="298"/>
      <c r="F31" s="299">
        <v>209500</v>
      </c>
      <c r="G31" s="299"/>
      <c r="H31" s="304">
        <v>110000</v>
      </c>
      <c r="I31" s="304"/>
      <c r="J31" s="303">
        <v>150000</v>
      </c>
      <c r="K31" s="299"/>
      <c r="L31" s="299">
        <v>17000</v>
      </c>
      <c r="M31" s="299"/>
      <c r="N31" s="304">
        <v>85500</v>
      </c>
      <c r="O31" s="299"/>
      <c r="P31" s="304">
        <v>110500</v>
      </c>
      <c r="Q31" s="299"/>
      <c r="R31" s="304"/>
      <c r="S31" s="312"/>
      <c r="T31" s="312"/>
      <c r="U31" s="306"/>
      <c r="V31" s="312"/>
      <c r="W31" s="301"/>
      <c r="X31" s="5"/>
    </row>
    <row r="32" spans="1:24" ht="15.75" x14ac:dyDescent="0.25">
      <c r="A32" s="295"/>
      <c r="B32" s="286" t="s">
        <v>132</v>
      </c>
      <c r="C32" s="298"/>
      <c r="D32" s="303">
        <f>D31*D38</f>
        <v>678140.5</v>
      </c>
      <c r="E32" s="298"/>
      <c r="F32" s="299">
        <f>F31*F38</f>
        <v>142070.79089999999</v>
      </c>
      <c r="G32" s="299"/>
      <c r="H32" s="304">
        <f>H31*H38</f>
        <v>74596.346000000005</v>
      </c>
      <c r="I32" s="304"/>
      <c r="J32" s="303">
        <f>J31*J38</f>
        <v>101721.07500000001</v>
      </c>
      <c r="K32" s="299"/>
      <c r="L32" s="299">
        <f>L31*L38</f>
        <v>17000</v>
      </c>
      <c r="M32" s="299"/>
      <c r="N32" s="304">
        <f>N31*N38</f>
        <v>85500</v>
      </c>
      <c r="O32" s="299"/>
      <c r="P32" s="304">
        <f>P31*P38</f>
        <v>110500</v>
      </c>
      <c r="Q32" s="299"/>
      <c r="R32" s="304"/>
      <c r="S32" s="299"/>
      <c r="T32" s="299"/>
      <c r="U32" s="300"/>
      <c r="V32" s="299"/>
      <c r="W32" s="301"/>
      <c r="X32" s="5"/>
    </row>
    <row r="33" spans="1:27" ht="15.75" x14ac:dyDescent="0.25">
      <c r="A33" s="295"/>
      <c r="B33" s="297" t="s">
        <v>134</v>
      </c>
      <c r="C33" s="298"/>
      <c r="D33" s="394">
        <f>D37*D31</f>
        <v>668434.5</v>
      </c>
      <c r="E33" s="310"/>
      <c r="F33" s="312">
        <f>F37*F31</f>
        <v>140037.38390000002</v>
      </c>
      <c r="G33" s="312"/>
      <c r="H33" s="395">
        <f>H31*H37</f>
        <v>73528.707999999999</v>
      </c>
      <c r="I33" s="395"/>
      <c r="J33" s="394">
        <f>J37*J31</f>
        <v>100265.175</v>
      </c>
      <c r="K33" s="312"/>
      <c r="L33" s="312">
        <f>L31*L37</f>
        <v>17000</v>
      </c>
      <c r="M33" s="312"/>
      <c r="N33" s="395">
        <f>N31*N37</f>
        <v>85500</v>
      </c>
      <c r="O33" s="312"/>
      <c r="P33" s="395">
        <f>P31*P37</f>
        <v>110500</v>
      </c>
      <c r="Q33" s="312"/>
      <c r="R33" s="395"/>
      <c r="S33" s="299"/>
      <c r="T33" s="299"/>
      <c r="U33" s="300"/>
      <c r="V33" s="299"/>
      <c r="W33" s="301"/>
      <c r="X33" s="5"/>
    </row>
    <row r="34" spans="1:27" ht="15.75" x14ac:dyDescent="0.25">
      <c r="A34" s="393"/>
      <c r="B34" s="286" t="s">
        <v>286</v>
      </c>
      <c r="C34" s="310"/>
      <c r="D34" s="299">
        <v>492951</v>
      </c>
      <c r="E34" s="298"/>
      <c r="F34" s="299">
        <v>209500</v>
      </c>
      <c r="G34" s="299"/>
      <c r="H34" s="299">
        <v>74677</v>
      </c>
      <c r="I34" s="299"/>
      <c r="J34" s="299">
        <v>73943</v>
      </c>
      <c r="K34" s="299"/>
      <c r="L34" s="299">
        <v>17000</v>
      </c>
      <c r="M34" s="299"/>
      <c r="N34" s="299">
        <v>58045</v>
      </c>
      <c r="O34" s="299"/>
      <c r="P34" s="299">
        <v>75017</v>
      </c>
      <c r="Q34" s="299"/>
      <c r="R34" s="299"/>
      <c r="S34" s="312"/>
      <c r="T34" s="312"/>
      <c r="U34" s="306"/>
      <c r="V34" s="299">
        <f>SUM(C34:R34)</f>
        <v>1001133</v>
      </c>
      <c r="W34" s="301"/>
      <c r="X34" s="5"/>
    </row>
    <row r="35" spans="1:27" ht="15.75" x14ac:dyDescent="0.25">
      <c r="A35" s="393"/>
      <c r="B35" s="286" t="s">
        <v>287</v>
      </c>
      <c r="C35" s="310"/>
      <c r="D35" s="299">
        <f>D34*D38</f>
        <v>334290.03761550004</v>
      </c>
      <c r="E35" s="298"/>
      <c r="F35" s="299">
        <f>F34*F38</f>
        <v>142070.79089999999</v>
      </c>
      <c r="G35" s="299"/>
      <c r="H35" s="299">
        <f>H34*H38</f>
        <v>50642.103002199998</v>
      </c>
      <c r="I35" s="299"/>
      <c r="J35" s="299">
        <f>J34*J38</f>
        <v>50143.742991500003</v>
      </c>
      <c r="K35" s="299"/>
      <c r="L35" s="299">
        <f>L34*L38</f>
        <v>17000</v>
      </c>
      <c r="M35" s="299"/>
      <c r="N35" s="299">
        <f>N34*N38</f>
        <v>58045</v>
      </c>
      <c r="O35" s="299"/>
      <c r="P35" s="299">
        <f>P34*P38</f>
        <v>75017</v>
      </c>
      <c r="Q35" s="299"/>
      <c r="R35" s="299"/>
      <c r="S35" s="299"/>
      <c r="T35" s="299"/>
      <c r="U35" s="300"/>
      <c r="V35" s="299">
        <f>SUM(C35:R35)-1</f>
        <v>727207.67450920003</v>
      </c>
      <c r="W35" s="301"/>
      <c r="X35" s="5"/>
    </row>
    <row r="36" spans="1:27" ht="15.75" x14ac:dyDescent="0.25">
      <c r="A36" s="393"/>
      <c r="B36" s="297" t="s">
        <v>288</v>
      </c>
      <c r="C36" s="310"/>
      <c r="D36" s="312">
        <f>D34*D37</f>
        <v>329505.45520950004</v>
      </c>
      <c r="E36" s="310"/>
      <c r="F36" s="312">
        <f>F34*F37</f>
        <v>140037.38390000002</v>
      </c>
      <c r="G36" s="312"/>
      <c r="H36" s="312">
        <f>H34*H37</f>
        <v>49917.302975600003</v>
      </c>
      <c r="I36" s="312"/>
      <c r="J36" s="312">
        <f>J34*J37</f>
        <v>49426.052233500006</v>
      </c>
      <c r="K36" s="312"/>
      <c r="L36" s="312">
        <f>L34*L37</f>
        <v>17000</v>
      </c>
      <c r="M36" s="312"/>
      <c r="N36" s="312">
        <f>N34*N37</f>
        <v>58045</v>
      </c>
      <c r="O36" s="312"/>
      <c r="P36" s="312">
        <f>P34*P37</f>
        <v>75017</v>
      </c>
      <c r="Q36" s="312"/>
      <c r="R36" s="312"/>
      <c r="S36" s="311"/>
      <c r="T36" s="311"/>
      <c r="U36" s="300"/>
      <c r="V36" s="312">
        <f>SUM(C36:R36)</f>
        <v>718948.19431860012</v>
      </c>
      <c r="W36" s="301"/>
      <c r="X36" s="5"/>
    </row>
    <row r="37" spans="1:27" ht="15.75" x14ac:dyDescent="0.25">
      <c r="A37" s="285"/>
      <c r="B37" s="313" t="s">
        <v>130</v>
      </c>
      <c r="C37" s="314"/>
      <c r="D37" s="315">
        <v>0.66843450000000004</v>
      </c>
      <c r="E37" s="315"/>
      <c r="F37" s="315">
        <v>0.66843620000000004</v>
      </c>
      <c r="G37" s="315"/>
      <c r="H37" s="315">
        <v>0.6684428</v>
      </c>
      <c r="I37" s="315"/>
      <c r="J37" s="315">
        <v>0.66843450000000004</v>
      </c>
      <c r="K37" s="315"/>
      <c r="L37" s="315">
        <v>1</v>
      </c>
      <c r="M37" s="315"/>
      <c r="N37" s="315">
        <v>1</v>
      </c>
      <c r="O37" s="315"/>
      <c r="P37" s="315">
        <v>1</v>
      </c>
      <c r="Q37" s="315"/>
      <c r="R37" s="315"/>
      <c r="S37" s="316"/>
      <c r="T37" s="316"/>
      <c r="U37" s="317"/>
      <c r="V37" s="317"/>
      <c r="W37" s="318"/>
      <c r="X37" s="5"/>
    </row>
    <row r="38" spans="1:27" ht="15.75" x14ac:dyDescent="0.25">
      <c r="A38" s="285"/>
      <c r="B38" s="313" t="s">
        <v>131</v>
      </c>
      <c r="C38" s="314"/>
      <c r="D38" s="315">
        <v>0.67814050000000003</v>
      </c>
      <c r="E38" s="315"/>
      <c r="F38" s="315">
        <v>0.67814220000000003</v>
      </c>
      <c r="G38" s="315"/>
      <c r="H38" s="315">
        <v>0.67814859999999999</v>
      </c>
      <c r="I38" s="315"/>
      <c r="J38" s="315">
        <v>0.67814050000000003</v>
      </c>
      <c r="K38" s="315"/>
      <c r="L38" s="315">
        <v>1</v>
      </c>
      <c r="M38" s="315"/>
      <c r="N38" s="315">
        <v>1</v>
      </c>
      <c r="O38" s="315"/>
      <c r="P38" s="315">
        <v>1</v>
      </c>
      <c r="Q38" s="315"/>
      <c r="R38" s="315"/>
      <c r="S38" s="319"/>
      <c r="T38" s="320"/>
      <c r="U38" s="317"/>
      <c r="V38" s="319"/>
      <c r="W38" s="318"/>
      <c r="X38" s="5"/>
    </row>
    <row r="39" spans="1:27" ht="15.75" x14ac:dyDescent="0.25">
      <c r="A39" s="285"/>
      <c r="B39" s="286" t="s">
        <v>11</v>
      </c>
      <c r="C39" s="286"/>
      <c r="D39" s="296" t="s">
        <v>304</v>
      </c>
      <c r="E39" s="286"/>
      <c r="F39" s="296" t="s">
        <v>256</v>
      </c>
      <c r="G39" s="296"/>
      <c r="H39" s="296" t="s">
        <v>257</v>
      </c>
      <c r="I39" s="296"/>
      <c r="J39" s="296" t="s">
        <v>258</v>
      </c>
      <c r="K39" s="296"/>
      <c r="L39" s="296" t="s">
        <v>259</v>
      </c>
      <c r="M39" s="296"/>
      <c r="N39" s="296" t="s">
        <v>259</v>
      </c>
      <c r="O39" s="296"/>
      <c r="P39" s="296" t="s">
        <v>260</v>
      </c>
      <c r="Q39" s="296"/>
      <c r="R39" s="296"/>
      <c r="S39" s="321"/>
      <c r="T39" s="322"/>
      <c r="U39" s="288"/>
      <c r="V39" s="288"/>
      <c r="W39" s="289"/>
      <c r="X39" s="5"/>
    </row>
    <row r="40" spans="1:27" ht="15.75" x14ac:dyDescent="0.25">
      <c r="A40" s="285"/>
      <c r="B40" s="286" t="s">
        <v>12</v>
      </c>
      <c r="C40" s="286"/>
      <c r="D40" s="322">
        <v>6.1050000000000002E-3</v>
      </c>
      <c r="E40" s="286"/>
      <c r="F40" s="322">
        <v>8.4338E-3</v>
      </c>
      <c r="G40" s="321"/>
      <c r="H40" s="322">
        <v>1.1199999999999999E-3</v>
      </c>
      <c r="I40" s="322"/>
      <c r="J40" s="322">
        <v>7.3200000000000001E-3</v>
      </c>
      <c r="K40" s="321"/>
      <c r="L40" s="322">
        <v>1.12338E-2</v>
      </c>
      <c r="M40" s="321"/>
      <c r="N40" s="322">
        <v>4.1200000000000004E-3</v>
      </c>
      <c r="O40" s="321"/>
      <c r="P40" s="322">
        <v>9.7199999999999995E-3</v>
      </c>
      <c r="Q40" s="321"/>
      <c r="R40" s="322"/>
      <c r="S40" s="321"/>
      <c r="T40" s="322"/>
      <c r="U40" s="288"/>
      <c r="V40" s="296"/>
      <c r="W40" s="289"/>
      <c r="X40" s="5"/>
      <c r="AA40" s="1" t="s">
        <v>193</v>
      </c>
    </row>
    <row r="41" spans="1:27" ht="15.75" x14ac:dyDescent="0.25">
      <c r="A41" s="285"/>
      <c r="B41" s="286" t="s">
        <v>13</v>
      </c>
      <c r="C41" s="286"/>
      <c r="D41" s="322">
        <v>3.7699999999999999E-3</v>
      </c>
      <c r="E41" s="286"/>
      <c r="F41" s="322">
        <v>8.4749999999999999E-3</v>
      </c>
      <c r="G41" s="321"/>
      <c r="H41" s="322">
        <v>2.0200000000000001E-3</v>
      </c>
      <c r="I41" s="322"/>
      <c r="J41" s="322">
        <v>5.5719999999999997E-3</v>
      </c>
      <c r="K41" s="321"/>
      <c r="L41" s="322">
        <v>1.1275E-2</v>
      </c>
      <c r="M41" s="321"/>
      <c r="N41" s="322">
        <v>5.0200000000000002E-3</v>
      </c>
      <c r="O41" s="321"/>
      <c r="P41" s="322">
        <v>1.0619999999999999E-2</v>
      </c>
      <c r="Q41" s="321"/>
      <c r="R41" s="322"/>
      <c r="S41" s="321"/>
      <c r="T41" s="322"/>
      <c r="U41" s="288"/>
      <c r="V41" s="321" t="s">
        <v>193</v>
      </c>
      <c r="W41" s="289"/>
      <c r="X41" s="5"/>
    </row>
    <row r="42" spans="1:27" ht="15.75" x14ac:dyDescent="0.25">
      <c r="A42" s="285"/>
      <c r="B42" s="286" t="s">
        <v>289</v>
      </c>
      <c r="C42" s="286"/>
      <c r="D42" s="296" t="s">
        <v>311</v>
      </c>
      <c r="E42" s="286"/>
      <c r="F42" s="296" t="s">
        <v>256</v>
      </c>
      <c r="G42" s="296"/>
      <c r="H42" s="296" t="s">
        <v>261</v>
      </c>
      <c r="I42" s="296"/>
      <c r="J42" s="296" t="s">
        <v>261</v>
      </c>
      <c r="K42" s="296"/>
      <c r="L42" s="296" t="s">
        <v>259</v>
      </c>
      <c r="M42" s="296"/>
      <c r="N42" s="296" t="s">
        <v>263</v>
      </c>
      <c r="O42" s="296"/>
      <c r="P42" s="296" t="s">
        <v>264</v>
      </c>
      <c r="Q42" s="296"/>
      <c r="R42" s="296"/>
      <c r="S42" s="321"/>
      <c r="T42" s="322"/>
      <c r="U42" s="288"/>
      <c r="V42" s="288"/>
      <c r="W42" s="289"/>
      <c r="X42" s="5"/>
    </row>
    <row r="43" spans="1:27" ht="15.75" x14ac:dyDescent="0.25">
      <c r="A43" s="285"/>
      <c r="B43" s="286" t="s">
        <v>290</v>
      </c>
      <c r="C43" s="323"/>
      <c r="D43" s="322">
        <v>7.8306999999999995E-3</v>
      </c>
      <c r="E43" s="322"/>
      <c r="F43" s="322">
        <f>+F40</f>
        <v>8.4338E-3</v>
      </c>
      <c r="G43" s="322"/>
      <c r="H43" s="322">
        <v>8.5838000000000008E-3</v>
      </c>
      <c r="I43" s="322"/>
      <c r="J43" s="322">
        <v>8.6137999999999996E-3</v>
      </c>
      <c r="K43" s="322"/>
      <c r="L43" s="322">
        <f>+L40</f>
        <v>1.12338E-2</v>
      </c>
      <c r="M43" s="322"/>
      <c r="N43" s="322">
        <v>1.1967800000000001E-2</v>
      </c>
      <c r="O43" s="322"/>
      <c r="P43" s="322">
        <v>1.8127799999999999E-2</v>
      </c>
      <c r="Q43" s="321"/>
      <c r="R43" s="322"/>
      <c r="S43" s="296"/>
      <c r="T43" s="296"/>
      <c r="U43" s="288"/>
      <c r="V43" s="321">
        <f>SUMPRODUCT(D43:R43,D35:R35)/V35</f>
        <v>9.5269762097249903E-3</v>
      </c>
      <c r="W43" s="289"/>
      <c r="X43" s="5"/>
    </row>
    <row r="44" spans="1:27" ht="15.75" x14ac:dyDescent="0.25">
      <c r="A44" s="285"/>
      <c r="B44" s="286" t="s">
        <v>291</v>
      </c>
      <c r="C44" s="323"/>
      <c r="D44" s="322">
        <v>7.8718999999999994E-3</v>
      </c>
      <c r="E44" s="322"/>
      <c r="F44" s="322">
        <f>+F41</f>
        <v>8.4749999999999999E-3</v>
      </c>
      <c r="G44" s="322"/>
      <c r="H44" s="322">
        <v>8.6250000000000007E-3</v>
      </c>
      <c r="I44" s="322"/>
      <c r="J44" s="322">
        <v>8.6549999999999995E-3</v>
      </c>
      <c r="K44" s="322"/>
      <c r="L44" s="322">
        <f>+L41</f>
        <v>1.1275E-2</v>
      </c>
      <c r="M44" s="322"/>
      <c r="N44" s="322">
        <v>1.2009000000000001E-2</v>
      </c>
      <c r="O44" s="322"/>
      <c r="P44" s="322">
        <v>1.8169000000000001E-2</v>
      </c>
      <c r="Q44" s="321"/>
      <c r="R44" s="322"/>
      <c r="S44" s="296"/>
      <c r="T44" s="296"/>
      <c r="U44" s="288"/>
      <c r="V44" s="288"/>
      <c r="W44" s="289"/>
      <c r="X44" s="5"/>
    </row>
    <row r="45" spans="1:27" ht="15.75" x14ac:dyDescent="0.25">
      <c r="A45" s="285"/>
      <c r="B45" s="286" t="s">
        <v>14</v>
      </c>
      <c r="C45" s="286"/>
      <c r="D45" s="323">
        <v>40709</v>
      </c>
      <c r="E45" s="323"/>
      <c r="F45" s="323">
        <v>40709</v>
      </c>
      <c r="G45" s="323"/>
      <c r="H45" s="323">
        <v>40709</v>
      </c>
      <c r="I45" s="323"/>
      <c r="J45" s="323">
        <v>40709</v>
      </c>
      <c r="K45" s="323"/>
      <c r="L45" s="323">
        <v>40709</v>
      </c>
      <c r="M45" s="323"/>
      <c r="N45" s="323">
        <v>40709</v>
      </c>
      <c r="O45" s="323"/>
      <c r="P45" s="323">
        <v>40709</v>
      </c>
      <c r="Q45" s="323"/>
      <c r="R45" s="323"/>
      <c r="S45" s="296"/>
      <c r="T45" s="296"/>
      <c r="U45" s="288"/>
      <c r="V45" s="288"/>
      <c r="W45" s="289"/>
      <c r="X45" s="5"/>
    </row>
    <row r="46" spans="1:27" ht="15.75" x14ac:dyDescent="0.25">
      <c r="A46" s="285"/>
      <c r="B46" s="286" t="s">
        <v>15</v>
      </c>
      <c r="C46" s="286"/>
      <c r="D46" s="323">
        <v>41075</v>
      </c>
      <c r="E46" s="323"/>
      <c r="F46" s="323">
        <v>41075</v>
      </c>
      <c r="G46" s="323"/>
      <c r="H46" s="323">
        <v>41075</v>
      </c>
      <c r="I46" s="323"/>
      <c r="J46" s="323">
        <v>41075</v>
      </c>
      <c r="K46" s="296"/>
      <c r="L46" s="323">
        <v>41075</v>
      </c>
      <c r="M46" s="296"/>
      <c r="N46" s="323">
        <v>41075</v>
      </c>
      <c r="O46" s="296"/>
      <c r="P46" s="323">
        <v>41075</v>
      </c>
      <c r="Q46" s="296"/>
      <c r="R46" s="323"/>
      <c r="S46" s="296"/>
      <c r="T46" s="296"/>
      <c r="U46" s="288"/>
      <c r="V46" s="288"/>
      <c r="W46" s="289"/>
      <c r="X46" s="5"/>
    </row>
    <row r="47" spans="1:27" ht="15.75" x14ac:dyDescent="0.25">
      <c r="A47" s="285"/>
      <c r="B47" s="286" t="s">
        <v>119</v>
      </c>
      <c r="C47" s="286"/>
      <c r="D47" s="296" t="s">
        <v>304</v>
      </c>
      <c r="E47" s="286"/>
      <c r="F47" s="296" t="s">
        <v>256</v>
      </c>
      <c r="G47" s="296"/>
      <c r="H47" s="296" t="s">
        <v>257</v>
      </c>
      <c r="I47" s="296"/>
      <c r="J47" s="296" t="s">
        <v>258</v>
      </c>
      <c r="K47" s="296"/>
      <c r="L47" s="296" t="s">
        <v>259</v>
      </c>
      <c r="M47" s="296"/>
      <c r="N47" s="296" t="s">
        <v>259</v>
      </c>
      <c r="O47" s="296"/>
      <c r="P47" s="296" t="s">
        <v>260</v>
      </c>
      <c r="Q47" s="296"/>
      <c r="R47" s="296"/>
      <c r="S47" s="325"/>
      <c r="T47" s="325"/>
      <c r="U47" s="325"/>
      <c r="V47" s="325"/>
      <c r="W47" s="289"/>
      <c r="X47" s="5"/>
    </row>
    <row r="48" spans="1:27" ht="15.75" x14ac:dyDescent="0.25">
      <c r="A48" s="285"/>
      <c r="B48" s="286" t="s">
        <v>292</v>
      </c>
      <c r="C48" s="286"/>
      <c r="D48" s="296" t="s">
        <v>311</v>
      </c>
      <c r="E48" s="286"/>
      <c r="F48" s="296" t="s">
        <v>256</v>
      </c>
      <c r="G48" s="296"/>
      <c r="H48" s="296" t="s">
        <v>261</v>
      </c>
      <c r="I48" s="296"/>
      <c r="J48" s="296" t="s">
        <v>261</v>
      </c>
      <c r="K48" s="296"/>
      <c r="L48" s="296" t="s">
        <v>259</v>
      </c>
      <c r="M48" s="296"/>
      <c r="N48" s="296" t="s">
        <v>263</v>
      </c>
      <c r="O48" s="296"/>
      <c r="P48" s="296" t="s">
        <v>264</v>
      </c>
      <c r="Q48" s="296"/>
      <c r="R48" s="296"/>
      <c r="S48" s="286"/>
      <c r="T48" s="286"/>
      <c r="U48" s="286"/>
      <c r="V48" s="321"/>
      <c r="W48" s="289"/>
      <c r="X48" s="5"/>
    </row>
    <row r="49" spans="1:25" ht="15.75" x14ac:dyDescent="0.25">
      <c r="A49" s="285"/>
      <c r="B49" s="286"/>
      <c r="C49" s="286"/>
      <c r="D49" s="296"/>
      <c r="E49" s="286"/>
      <c r="F49" s="296"/>
      <c r="G49" s="296"/>
      <c r="H49" s="296"/>
      <c r="I49" s="296"/>
      <c r="J49" s="296"/>
      <c r="K49" s="296"/>
      <c r="L49" s="296"/>
      <c r="M49" s="296"/>
      <c r="N49" s="296"/>
      <c r="O49" s="296"/>
      <c r="P49" s="296"/>
      <c r="Q49" s="296"/>
      <c r="R49" s="296"/>
      <c r="S49" s="286"/>
      <c r="T49" s="286"/>
      <c r="U49" s="286"/>
      <c r="V49" s="321" t="s">
        <v>193</v>
      </c>
      <c r="W49" s="289"/>
      <c r="X49" s="5"/>
    </row>
    <row r="50" spans="1:25" ht="15.75" x14ac:dyDescent="0.25">
      <c r="A50" s="285"/>
      <c r="B50" s="286" t="s">
        <v>169</v>
      </c>
      <c r="C50" s="286"/>
      <c r="D50" s="296"/>
      <c r="E50" s="286"/>
      <c r="F50" s="296"/>
      <c r="G50" s="296"/>
      <c r="H50" s="296"/>
      <c r="I50" s="296"/>
      <c r="J50" s="296"/>
      <c r="K50" s="296"/>
      <c r="L50" s="296"/>
      <c r="M50" s="296"/>
      <c r="N50" s="296"/>
      <c r="O50" s="296"/>
      <c r="P50" s="296"/>
      <c r="Q50" s="296"/>
      <c r="R50" s="296"/>
      <c r="S50" s="286"/>
      <c r="T50" s="286"/>
      <c r="U50" s="286"/>
      <c r="V50" s="321">
        <f>SUM(L34:R34)/SUM(D34:J34)</f>
        <v>0.17632136449250416</v>
      </c>
      <c r="W50" s="289"/>
      <c r="X50" s="5"/>
    </row>
    <row r="51" spans="1:25" ht="15.75" x14ac:dyDescent="0.25">
      <c r="A51" s="285"/>
      <c r="B51" s="286" t="s">
        <v>170</v>
      </c>
      <c r="C51" s="286"/>
      <c r="D51" s="286"/>
      <c r="E51" s="286"/>
      <c r="F51" s="326"/>
      <c r="G51" s="286"/>
      <c r="H51" s="286"/>
      <c r="I51" s="286"/>
      <c r="J51" s="286"/>
      <c r="K51" s="286"/>
      <c r="L51" s="286"/>
      <c r="M51" s="286"/>
      <c r="N51" s="286"/>
      <c r="O51" s="286"/>
      <c r="P51" s="286"/>
      <c r="Q51" s="286"/>
      <c r="R51" s="286"/>
      <c r="S51" s="286"/>
      <c r="T51" s="286"/>
      <c r="U51" s="286"/>
      <c r="V51" s="321">
        <f>SUM(L36:R36)/SUM(D36:J36)</f>
        <v>0.26378210879197217</v>
      </c>
      <c r="W51" s="289"/>
      <c r="X51" s="5"/>
    </row>
    <row r="52" spans="1:25" ht="15.75" x14ac:dyDescent="0.25">
      <c r="A52" s="285"/>
      <c r="B52" s="286" t="s">
        <v>171</v>
      </c>
      <c r="C52" s="286"/>
      <c r="D52" s="286"/>
      <c r="E52" s="286"/>
      <c r="F52" s="286"/>
      <c r="G52" s="286"/>
      <c r="H52" s="286"/>
      <c r="I52" s="286"/>
      <c r="J52" s="286"/>
      <c r="K52" s="286"/>
      <c r="L52" s="286"/>
      <c r="M52" s="286"/>
      <c r="N52" s="286"/>
      <c r="O52" s="286"/>
      <c r="P52" s="286"/>
      <c r="Q52" s="286"/>
      <c r="R52" s="286"/>
      <c r="S52" s="286"/>
      <c r="T52" s="296"/>
      <c r="U52" s="296"/>
      <c r="V52" s="299" t="s">
        <v>268</v>
      </c>
      <c r="W52" s="289"/>
      <c r="X52" s="5"/>
    </row>
    <row r="53" spans="1:25" ht="15.75" x14ac:dyDescent="0.25">
      <c r="A53" s="285"/>
      <c r="B53" s="286"/>
      <c r="C53" s="286"/>
      <c r="D53" s="286"/>
      <c r="E53" s="286"/>
      <c r="F53" s="286"/>
      <c r="G53" s="286"/>
      <c r="H53" s="286"/>
      <c r="I53" s="286"/>
      <c r="J53" s="286"/>
      <c r="K53" s="286"/>
      <c r="L53" s="286"/>
      <c r="M53" s="286"/>
      <c r="N53" s="286"/>
      <c r="O53" s="286"/>
      <c r="P53" s="286"/>
      <c r="Q53" s="286"/>
      <c r="R53" s="286"/>
      <c r="S53" s="286"/>
      <c r="T53" s="286"/>
      <c r="U53" s="286"/>
      <c r="V53" s="327"/>
      <c r="W53" s="289"/>
      <c r="X53" s="5"/>
    </row>
    <row r="54" spans="1:25" ht="15.75" x14ac:dyDescent="0.25">
      <c r="A54" s="285"/>
      <c r="B54" s="286" t="s">
        <v>202</v>
      </c>
      <c r="C54" s="286"/>
      <c r="D54" s="286"/>
      <c r="E54" s="286"/>
      <c r="F54" s="286"/>
      <c r="G54" s="286"/>
      <c r="H54" s="286"/>
      <c r="I54" s="286"/>
      <c r="J54" s="286"/>
      <c r="K54" s="286"/>
      <c r="L54" s="286"/>
      <c r="M54" s="286"/>
      <c r="N54" s="286"/>
      <c r="O54" s="286"/>
      <c r="P54" s="286"/>
      <c r="Q54" s="286"/>
      <c r="R54" s="286"/>
      <c r="S54" s="286"/>
      <c r="T54" s="286"/>
      <c r="U54" s="286"/>
      <c r="V54" s="311" t="s">
        <v>203</v>
      </c>
      <c r="W54" s="289"/>
      <c r="X54" s="5"/>
    </row>
    <row r="55" spans="1:25" ht="15.75" x14ac:dyDescent="0.25">
      <c r="A55" s="285"/>
      <c r="B55" s="286" t="s">
        <v>270</v>
      </c>
      <c r="C55" s="286"/>
      <c r="D55" s="286"/>
      <c r="E55" s="286"/>
      <c r="F55" s="286"/>
      <c r="G55" s="286"/>
      <c r="H55" s="286"/>
      <c r="I55" s="286"/>
      <c r="J55" s="286"/>
      <c r="K55" s="286"/>
      <c r="L55" s="286"/>
      <c r="M55" s="286"/>
      <c r="N55" s="286"/>
      <c r="O55" s="286"/>
      <c r="P55" s="286"/>
      <c r="Q55" s="286"/>
      <c r="R55" s="286"/>
      <c r="S55" s="286"/>
      <c r="T55" s="296"/>
      <c r="U55" s="296"/>
      <c r="V55" s="396" t="s">
        <v>111</v>
      </c>
      <c r="W55" s="289"/>
      <c r="X55" s="5"/>
    </row>
    <row r="56" spans="1:25" ht="15.75" x14ac:dyDescent="0.25">
      <c r="A56" s="285"/>
      <c r="B56" s="297" t="s">
        <v>201</v>
      </c>
      <c r="C56" s="297"/>
      <c r="D56" s="297"/>
      <c r="E56" s="297"/>
      <c r="F56" s="297"/>
      <c r="G56" s="297"/>
      <c r="H56" s="297"/>
      <c r="I56" s="297"/>
      <c r="J56" s="297"/>
      <c r="K56" s="297"/>
      <c r="L56" s="297"/>
      <c r="M56" s="297"/>
      <c r="N56" s="297"/>
      <c r="O56" s="297"/>
      <c r="P56" s="297"/>
      <c r="Q56" s="297"/>
      <c r="R56" s="297"/>
      <c r="S56" s="297"/>
      <c r="T56" s="397"/>
      <c r="U56" s="397"/>
      <c r="V56" s="398">
        <v>42444</v>
      </c>
      <c r="W56" s="289"/>
      <c r="X56" s="5"/>
    </row>
    <row r="57" spans="1:25" ht="15.75" x14ac:dyDescent="0.25">
      <c r="A57" s="285"/>
      <c r="B57" s="286" t="s">
        <v>121</v>
      </c>
      <c r="C57" s="286"/>
      <c r="D57" s="286"/>
      <c r="E57" s="286"/>
      <c r="F57" s="286"/>
      <c r="G57" s="286"/>
      <c r="H57" s="332"/>
      <c r="I57" s="332"/>
      <c r="J57" s="332"/>
      <c r="K57" s="332"/>
      <c r="L57" s="332"/>
      <c r="M57" s="332"/>
      <c r="N57" s="332"/>
      <c r="O57" s="332"/>
      <c r="P57" s="332"/>
      <c r="Q57" s="332"/>
      <c r="R57" s="286">
        <f>+V57-T57+1</f>
        <v>91</v>
      </c>
      <c r="S57" s="332"/>
      <c r="T57" s="333">
        <v>42262</v>
      </c>
      <c r="U57" s="334"/>
      <c r="V57" s="333">
        <v>42352</v>
      </c>
      <c r="W57" s="289"/>
      <c r="X57" s="5"/>
    </row>
    <row r="58" spans="1:25" ht="15.75" x14ac:dyDescent="0.25">
      <c r="A58" s="285"/>
      <c r="B58" s="286" t="s">
        <v>122</v>
      </c>
      <c r="C58" s="286"/>
      <c r="D58" s="286"/>
      <c r="E58" s="286"/>
      <c r="F58" s="286"/>
      <c r="G58" s="286"/>
      <c r="H58" s="286"/>
      <c r="I58" s="286"/>
      <c r="J58" s="286"/>
      <c r="K58" s="286"/>
      <c r="L58" s="286"/>
      <c r="M58" s="286"/>
      <c r="N58" s="286"/>
      <c r="O58" s="286"/>
      <c r="P58" s="286"/>
      <c r="Q58" s="286"/>
      <c r="R58" s="286">
        <f>+V58-T58+1</f>
        <v>91</v>
      </c>
      <c r="S58" s="286"/>
      <c r="T58" s="333">
        <v>42353</v>
      </c>
      <c r="U58" s="334"/>
      <c r="V58" s="333">
        <v>42443</v>
      </c>
      <c r="W58" s="289"/>
      <c r="X58" s="5"/>
    </row>
    <row r="59" spans="1:25" ht="15.75" x14ac:dyDescent="0.25">
      <c r="A59" s="285"/>
      <c r="B59" s="286" t="s">
        <v>223</v>
      </c>
      <c r="C59" s="286"/>
      <c r="D59" s="286"/>
      <c r="E59" s="286"/>
      <c r="F59" s="286"/>
      <c r="G59" s="286"/>
      <c r="H59" s="286"/>
      <c r="I59" s="286"/>
      <c r="J59" s="286"/>
      <c r="K59" s="286"/>
      <c r="L59" s="286"/>
      <c r="M59" s="286"/>
      <c r="N59" s="286"/>
      <c r="O59" s="286"/>
      <c r="P59" s="286"/>
      <c r="Q59" s="286"/>
      <c r="R59" s="286"/>
      <c r="S59" s="286"/>
      <c r="T59" s="333"/>
      <c r="U59" s="334"/>
      <c r="V59" s="333" t="s">
        <v>120</v>
      </c>
      <c r="W59" s="289"/>
      <c r="X59" s="5"/>
    </row>
    <row r="60" spans="1:25" ht="15.75" x14ac:dyDescent="0.25">
      <c r="A60" s="285"/>
      <c r="B60" s="286" t="s">
        <v>271</v>
      </c>
      <c r="C60" s="286"/>
      <c r="D60" s="286"/>
      <c r="E60" s="286"/>
      <c r="F60" s="286"/>
      <c r="G60" s="286"/>
      <c r="H60" s="286"/>
      <c r="I60" s="286"/>
      <c r="J60" s="286"/>
      <c r="K60" s="286"/>
      <c r="L60" s="286"/>
      <c r="M60" s="286"/>
      <c r="N60" s="286"/>
      <c r="O60" s="286"/>
      <c r="P60" s="286"/>
      <c r="Q60" s="286"/>
      <c r="R60" s="286"/>
      <c r="S60" s="286"/>
      <c r="T60" s="333"/>
      <c r="U60" s="334"/>
      <c r="V60" s="333" t="s">
        <v>154</v>
      </c>
      <c r="W60" s="289"/>
      <c r="X60" s="5"/>
      <c r="Y60" s="133"/>
    </row>
    <row r="61" spans="1:25" ht="15.75" x14ac:dyDescent="0.25">
      <c r="A61" s="285"/>
      <c r="B61" s="286" t="s">
        <v>16</v>
      </c>
      <c r="C61" s="286"/>
      <c r="D61" s="286"/>
      <c r="E61" s="286"/>
      <c r="F61" s="286"/>
      <c r="G61" s="286"/>
      <c r="H61" s="286"/>
      <c r="I61" s="286"/>
      <c r="J61" s="286"/>
      <c r="K61" s="286"/>
      <c r="L61" s="286"/>
      <c r="M61" s="286"/>
      <c r="N61" s="286"/>
      <c r="O61" s="286"/>
      <c r="P61" s="286"/>
      <c r="Q61" s="286"/>
      <c r="R61" s="286"/>
      <c r="S61" s="286"/>
      <c r="T61" s="333"/>
      <c r="U61" s="334"/>
      <c r="V61" s="333">
        <v>42430</v>
      </c>
      <c r="W61" s="289"/>
      <c r="X61" s="5"/>
    </row>
    <row r="62" spans="1:25" ht="15.75" x14ac:dyDescent="0.25">
      <c r="A62" s="181"/>
      <c r="B62" s="212"/>
      <c r="C62" s="212"/>
      <c r="D62" s="212"/>
      <c r="E62" s="212"/>
      <c r="F62" s="212"/>
      <c r="G62" s="212"/>
      <c r="H62" s="212"/>
      <c r="I62" s="212"/>
      <c r="J62" s="212"/>
      <c r="K62" s="212"/>
      <c r="L62" s="212"/>
      <c r="M62" s="212"/>
      <c r="N62" s="212"/>
      <c r="O62" s="212"/>
      <c r="P62" s="212"/>
      <c r="Q62" s="212"/>
      <c r="R62" s="212"/>
      <c r="S62" s="212"/>
      <c r="T62" s="283"/>
      <c r="U62" s="284"/>
      <c r="V62" s="283"/>
      <c r="W62" s="212"/>
      <c r="X62" s="5"/>
    </row>
    <row r="63" spans="1:25" ht="15.75" x14ac:dyDescent="0.25">
      <c r="A63" s="181"/>
      <c r="B63" s="183"/>
      <c r="C63" s="183"/>
      <c r="D63" s="183"/>
      <c r="E63" s="183"/>
      <c r="F63" s="183"/>
      <c r="G63" s="183"/>
      <c r="H63" s="183"/>
      <c r="I63" s="183"/>
      <c r="J63" s="183"/>
      <c r="K63" s="183"/>
      <c r="L63" s="183"/>
      <c r="M63" s="183"/>
      <c r="N63" s="183"/>
      <c r="O63" s="183"/>
      <c r="P63" s="183"/>
      <c r="Q63" s="183"/>
      <c r="R63" s="183"/>
      <c r="S63" s="183"/>
      <c r="T63" s="195"/>
      <c r="U63" s="196"/>
      <c r="V63" s="195"/>
      <c r="W63" s="183"/>
      <c r="X63" s="5"/>
    </row>
    <row r="64" spans="1:25" ht="19.5" thickBot="1" x14ac:dyDescent="0.35">
      <c r="A64" s="197"/>
      <c r="B64" s="270" t="s">
        <v>334</v>
      </c>
      <c r="C64" s="198"/>
      <c r="D64" s="198"/>
      <c r="E64" s="198"/>
      <c r="F64" s="198"/>
      <c r="G64" s="198"/>
      <c r="H64" s="198"/>
      <c r="I64" s="198"/>
      <c r="J64" s="198"/>
      <c r="K64" s="198"/>
      <c r="L64" s="198"/>
      <c r="M64" s="198"/>
      <c r="N64" s="198"/>
      <c r="O64" s="198"/>
      <c r="P64" s="198"/>
      <c r="Q64" s="198"/>
      <c r="R64" s="198"/>
      <c r="S64" s="198"/>
      <c r="T64" s="198"/>
      <c r="U64" s="198"/>
      <c r="V64" s="199"/>
      <c r="W64" s="200"/>
      <c r="X64" s="5"/>
    </row>
    <row r="65" spans="1:24" ht="15.75" x14ac:dyDescent="0.25">
      <c r="A65" s="224"/>
      <c r="B65" s="230" t="s">
        <v>17</v>
      </c>
      <c r="C65" s="225"/>
      <c r="D65" s="225"/>
      <c r="E65" s="225"/>
      <c r="F65" s="225"/>
      <c r="G65" s="225"/>
      <c r="H65" s="225"/>
      <c r="I65" s="225"/>
      <c r="J65" s="225"/>
      <c r="K65" s="225"/>
      <c r="L65" s="225"/>
      <c r="M65" s="225"/>
      <c r="N65" s="225"/>
      <c r="O65" s="225"/>
      <c r="P65" s="225"/>
      <c r="Q65" s="225"/>
      <c r="R65" s="225"/>
      <c r="S65" s="225"/>
      <c r="T65" s="225"/>
      <c r="U65" s="225"/>
      <c r="V65" s="231"/>
      <c r="W65" s="225"/>
      <c r="X65" s="5"/>
    </row>
    <row r="66" spans="1:24" ht="15.75" x14ac:dyDescent="0.25">
      <c r="A66" s="181"/>
      <c r="B66" s="189"/>
      <c r="C66" s="183"/>
      <c r="D66" s="183"/>
      <c r="E66" s="183"/>
      <c r="F66" s="183"/>
      <c r="G66" s="183"/>
      <c r="H66" s="183"/>
      <c r="I66" s="183"/>
      <c r="J66" s="183"/>
      <c r="K66" s="183"/>
      <c r="L66" s="183"/>
      <c r="M66" s="183"/>
      <c r="N66" s="183"/>
      <c r="O66" s="183"/>
      <c r="P66" s="183"/>
      <c r="Q66" s="183"/>
      <c r="R66" s="183"/>
      <c r="S66" s="183"/>
      <c r="T66" s="183"/>
      <c r="U66" s="183"/>
      <c r="V66" s="202"/>
      <c r="W66" s="183"/>
      <c r="X66" s="5"/>
    </row>
    <row r="67" spans="1:24" ht="47.25" x14ac:dyDescent="0.25">
      <c r="A67" s="181"/>
      <c r="B67" s="203" t="s">
        <v>18</v>
      </c>
      <c r="C67" s="204"/>
      <c r="D67" s="204"/>
      <c r="E67" s="204"/>
      <c r="F67" s="204"/>
      <c r="G67" s="204"/>
      <c r="H67" s="204"/>
      <c r="I67" s="204"/>
      <c r="J67" s="204"/>
      <c r="K67" s="204"/>
      <c r="L67" s="204" t="s">
        <v>94</v>
      </c>
      <c r="M67" s="204"/>
      <c r="N67" s="204" t="s">
        <v>96</v>
      </c>
      <c r="O67" s="204"/>
      <c r="P67" s="204" t="s">
        <v>98</v>
      </c>
      <c r="Q67" s="204"/>
      <c r="R67" s="204" t="s">
        <v>100</v>
      </c>
      <c r="S67" s="204"/>
      <c r="T67" s="204" t="s">
        <v>106</v>
      </c>
      <c r="U67" s="204"/>
      <c r="V67" s="205" t="s">
        <v>112</v>
      </c>
      <c r="W67" s="206"/>
      <c r="X67" s="5"/>
    </row>
    <row r="68" spans="1:24" ht="15.75" x14ac:dyDescent="0.25">
      <c r="A68" s="285"/>
      <c r="B68" s="286" t="s">
        <v>19</v>
      </c>
      <c r="C68" s="337"/>
      <c r="D68" s="337"/>
      <c r="E68" s="337"/>
      <c r="F68" s="337"/>
      <c r="G68" s="337"/>
      <c r="H68" s="337"/>
      <c r="I68" s="337"/>
      <c r="J68" s="337"/>
      <c r="K68" s="337"/>
      <c r="L68" s="337">
        <v>812446</v>
      </c>
      <c r="M68" s="337"/>
      <c r="N68" s="338">
        <v>727208</v>
      </c>
      <c r="O68" s="337"/>
      <c r="P68" s="337">
        <f>8260+46</f>
        <v>8306</v>
      </c>
      <c r="Q68" s="337"/>
      <c r="R68" s="337">
        <v>46</v>
      </c>
      <c r="S68" s="337"/>
      <c r="T68" s="337">
        <v>0</v>
      </c>
      <c r="U68" s="337"/>
      <c r="V68" s="338">
        <f>+N68-P68+R68-T68</f>
        <v>718948</v>
      </c>
      <c r="W68" s="289"/>
      <c r="X68" s="5"/>
    </row>
    <row r="69" spans="1:24" ht="15.75" x14ac:dyDescent="0.25">
      <c r="A69" s="285"/>
      <c r="B69" s="286" t="s">
        <v>20</v>
      </c>
      <c r="C69" s="337"/>
      <c r="D69" s="337"/>
      <c r="E69" s="337"/>
      <c r="F69" s="337"/>
      <c r="G69" s="337"/>
      <c r="H69" s="337"/>
      <c r="I69" s="337"/>
      <c r="J69" s="337"/>
      <c r="K69" s="337"/>
      <c r="L69" s="337">
        <v>0</v>
      </c>
      <c r="M69" s="337"/>
      <c r="N69" s="338">
        <v>0</v>
      </c>
      <c r="O69" s="337"/>
      <c r="P69" s="337">
        <v>0</v>
      </c>
      <c r="Q69" s="337"/>
      <c r="R69" s="337">
        <v>0</v>
      </c>
      <c r="S69" s="337"/>
      <c r="T69" s="337">
        <v>0</v>
      </c>
      <c r="U69" s="337"/>
      <c r="V69" s="338">
        <f>+L69-P69</f>
        <v>0</v>
      </c>
      <c r="W69" s="289"/>
      <c r="X69" s="5"/>
    </row>
    <row r="70" spans="1:24" ht="15.75" x14ac:dyDescent="0.25">
      <c r="A70" s="285"/>
      <c r="B70" s="286"/>
      <c r="C70" s="337"/>
      <c r="D70" s="337"/>
      <c r="E70" s="337"/>
      <c r="F70" s="337"/>
      <c r="G70" s="337"/>
      <c r="H70" s="337"/>
      <c r="I70" s="337"/>
      <c r="J70" s="337"/>
      <c r="K70" s="337"/>
      <c r="L70" s="337"/>
      <c r="M70" s="337"/>
      <c r="N70" s="338"/>
      <c r="O70" s="337"/>
      <c r="P70" s="337"/>
      <c r="Q70" s="337"/>
      <c r="R70" s="337"/>
      <c r="S70" s="337"/>
      <c r="T70" s="337"/>
      <c r="U70" s="337"/>
      <c r="V70" s="338"/>
      <c r="W70" s="289"/>
      <c r="X70" s="5"/>
    </row>
    <row r="71" spans="1:24" ht="15.75" x14ac:dyDescent="0.25">
      <c r="A71" s="285"/>
      <c r="B71" s="286" t="s">
        <v>21</v>
      </c>
      <c r="C71" s="337"/>
      <c r="D71" s="337"/>
      <c r="E71" s="337"/>
      <c r="F71" s="337"/>
      <c r="G71" s="337"/>
      <c r="H71" s="337"/>
      <c r="I71" s="337"/>
      <c r="J71" s="337"/>
      <c r="K71" s="337"/>
      <c r="L71" s="337">
        <f>SUM(L68:L70)</f>
        <v>812446</v>
      </c>
      <c r="M71" s="337"/>
      <c r="N71" s="337">
        <f>N68+N69</f>
        <v>727208</v>
      </c>
      <c r="O71" s="337"/>
      <c r="P71" s="337">
        <f>SUM(P68:P70)</f>
        <v>8306</v>
      </c>
      <c r="Q71" s="337"/>
      <c r="R71" s="337">
        <f>SUM(R68:R70)</f>
        <v>46</v>
      </c>
      <c r="S71" s="337"/>
      <c r="T71" s="337">
        <f>SUM(T68:T70)</f>
        <v>0</v>
      </c>
      <c r="U71" s="337"/>
      <c r="V71" s="337">
        <f>SUM(V68:V70)</f>
        <v>718948</v>
      </c>
      <c r="W71" s="289"/>
      <c r="X71" s="5"/>
    </row>
    <row r="72" spans="1:24" ht="15.75" x14ac:dyDescent="0.25">
      <c r="A72" s="181"/>
      <c r="B72" s="212"/>
      <c r="C72" s="335"/>
      <c r="D72" s="335"/>
      <c r="E72" s="335"/>
      <c r="F72" s="335"/>
      <c r="G72" s="335"/>
      <c r="H72" s="335"/>
      <c r="I72" s="335"/>
      <c r="J72" s="335"/>
      <c r="K72" s="335"/>
      <c r="L72" s="335"/>
      <c r="M72" s="335"/>
      <c r="N72" s="335"/>
      <c r="O72" s="335"/>
      <c r="P72" s="335"/>
      <c r="Q72" s="335"/>
      <c r="R72" s="335"/>
      <c r="S72" s="335"/>
      <c r="T72" s="335"/>
      <c r="U72" s="335"/>
      <c r="V72" s="336"/>
      <c r="W72" s="212"/>
      <c r="X72" s="5"/>
    </row>
    <row r="73" spans="1:24" ht="15.75" x14ac:dyDescent="0.25">
      <c r="A73" s="181"/>
      <c r="B73" s="185" t="s">
        <v>22</v>
      </c>
      <c r="C73" s="207"/>
      <c r="D73" s="207"/>
      <c r="E73" s="207"/>
      <c r="F73" s="207"/>
      <c r="G73" s="207"/>
      <c r="H73" s="207"/>
      <c r="I73" s="207"/>
      <c r="J73" s="207"/>
      <c r="K73" s="207"/>
      <c r="L73" s="207"/>
      <c r="M73" s="207"/>
      <c r="N73" s="207"/>
      <c r="O73" s="207"/>
      <c r="P73" s="207"/>
      <c r="Q73" s="207"/>
      <c r="R73" s="207"/>
      <c r="S73" s="207"/>
      <c r="T73" s="207"/>
      <c r="U73" s="207"/>
      <c r="V73" s="208"/>
      <c r="W73" s="183"/>
      <c r="X73" s="5"/>
    </row>
    <row r="74" spans="1:24" ht="15.75" x14ac:dyDescent="0.25">
      <c r="A74" s="181"/>
      <c r="B74" s="183"/>
      <c r="C74" s="207"/>
      <c r="D74" s="207"/>
      <c r="E74" s="207"/>
      <c r="F74" s="207"/>
      <c r="G74" s="207"/>
      <c r="H74" s="207"/>
      <c r="I74" s="207"/>
      <c r="J74" s="207"/>
      <c r="K74" s="207"/>
      <c r="L74" s="207"/>
      <c r="M74" s="207"/>
      <c r="N74" s="207"/>
      <c r="O74" s="207"/>
      <c r="P74" s="207"/>
      <c r="Q74" s="207"/>
      <c r="R74" s="207"/>
      <c r="S74" s="207"/>
      <c r="T74" s="207"/>
      <c r="U74" s="207"/>
      <c r="V74" s="208"/>
      <c r="W74" s="183"/>
      <c r="X74" s="5"/>
    </row>
    <row r="75" spans="1:24" ht="15.75" x14ac:dyDescent="0.25">
      <c r="A75" s="285"/>
      <c r="B75" s="286" t="s">
        <v>19</v>
      </c>
      <c r="C75" s="337"/>
      <c r="D75" s="337"/>
      <c r="E75" s="337"/>
      <c r="F75" s="337"/>
      <c r="G75" s="337"/>
      <c r="H75" s="337"/>
      <c r="I75" s="337"/>
      <c r="J75" s="337"/>
      <c r="K75" s="337"/>
      <c r="L75" s="337"/>
      <c r="M75" s="337"/>
      <c r="N75" s="337"/>
      <c r="O75" s="337"/>
      <c r="P75" s="337"/>
      <c r="Q75" s="337"/>
      <c r="R75" s="337"/>
      <c r="S75" s="337"/>
      <c r="T75" s="337"/>
      <c r="U75" s="337"/>
      <c r="V75" s="337"/>
      <c r="W75" s="289"/>
      <c r="X75" s="5"/>
    </row>
    <row r="76" spans="1:24" ht="15.75" x14ac:dyDescent="0.25">
      <c r="A76" s="285"/>
      <c r="B76" s="286" t="s">
        <v>20</v>
      </c>
      <c r="C76" s="337"/>
      <c r="D76" s="337"/>
      <c r="E76" s="337"/>
      <c r="F76" s="337"/>
      <c r="G76" s="337"/>
      <c r="H76" s="337"/>
      <c r="I76" s="337"/>
      <c r="J76" s="337"/>
      <c r="K76" s="337"/>
      <c r="L76" s="337"/>
      <c r="M76" s="337"/>
      <c r="N76" s="337"/>
      <c r="O76" s="337"/>
      <c r="P76" s="337"/>
      <c r="Q76" s="337"/>
      <c r="R76" s="337"/>
      <c r="S76" s="337"/>
      <c r="T76" s="337"/>
      <c r="U76" s="337"/>
      <c r="V76" s="337"/>
      <c r="W76" s="289"/>
      <c r="X76" s="5"/>
    </row>
    <row r="77" spans="1:24" ht="15.75" x14ac:dyDescent="0.25">
      <c r="A77" s="285"/>
      <c r="B77" s="286"/>
      <c r="C77" s="337"/>
      <c r="D77" s="337"/>
      <c r="E77" s="337"/>
      <c r="F77" s="337"/>
      <c r="G77" s="337"/>
      <c r="H77" s="337"/>
      <c r="I77" s="337"/>
      <c r="J77" s="337"/>
      <c r="K77" s="337"/>
      <c r="L77" s="337"/>
      <c r="M77" s="337"/>
      <c r="N77" s="337"/>
      <c r="O77" s="337"/>
      <c r="P77" s="337"/>
      <c r="Q77" s="337"/>
      <c r="R77" s="337"/>
      <c r="S77" s="337"/>
      <c r="T77" s="337"/>
      <c r="U77" s="337"/>
      <c r="V77" s="337"/>
      <c r="W77" s="289"/>
      <c r="X77" s="5"/>
    </row>
    <row r="78" spans="1:24" ht="15.75" x14ac:dyDescent="0.25">
      <c r="A78" s="285"/>
      <c r="B78" s="286" t="s">
        <v>21</v>
      </c>
      <c r="C78" s="337"/>
      <c r="D78" s="337"/>
      <c r="E78" s="337"/>
      <c r="F78" s="337"/>
      <c r="G78" s="337"/>
      <c r="H78" s="337"/>
      <c r="I78" s="337"/>
      <c r="J78" s="337"/>
      <c r="K78" s="337"/>
      <c r="L78" s="337"/>
      <c r="M78" s="337"/>
      <c r="N78" s="337"/>
      <c r="O78" s="337"/>
      <c r="P78" s="337"/>
      <c r="Q78" s="337"/>
      <c r="R78" s="337"/>
      <c r="S78" s="337"/>
      <c r="T78" s="337"/>
      <c r="U78" s="337"/>
      <c r="V78" s="337"/>
      <c r="W78" s="289"/>
      <c r="X78" s="5"/>
    </row>
    <row r="79" spans="1:24" ht="15.75" x14ac:dyDescent="0.25">
      <c r="A79" s="285"/>
      <c r="B79" s="286"/>
      <c r="C79" s="337"/>
      <c r="D79" s="337"/>
      <c r="E79" s="337"/>
      <c r="F79" s="337"/>
      <c r="G79" s="337"/>
      <c r="H79" s="337"/>
      <c r="I79" s="337"/>
      <c r="J79" s="337"/>
      <c r="K79" s="337"/>
      <c r="L79" s="337"/>
      <c r="M79" s="337"/>
      <c r="N79" s="337"/>
      <c r="O79" s="337"/>
      <c r="P79" s="337"/>
      <c r="Q79" s="337"/>
      <c r="R79" s="337"/>
      <c r="S79" s="337"/>
      <c r="T79" s="337"/>
      <c r="U79" s="337"/>
      <c r="V79" s="337"/>
      <c r="W79" s="289"/>
      <c r="X79" s="5"/>
    </row>
    <row r="80" spans="1:24" ht="15.75" x14ac:dyDescent="0.25">
      <c r="A80" s="285"/>
      <c r="B80" s="286" t="s">
        <v>23</v>
      </c>
      <c r="C80" s="337"/>
      <c r="D80" s="337"/>
      <c r="E80" s="337"/>
      <c r="F80" s="337"/>
      <c r="G80" s="337"/>
      <c r="H80" s="337"/>
      <c r="I80" s="337"/>
      <c r="J80" s="337"/>
      <c r="K80" s="337"/>
      <c r="L80" s="337">
        <v>0</v>
      </c>
      <c r="M80" s="337"/>
      <c r="N80" s="337">
        <v>0</v>
      </c>
      <c r="O80" s="337"/>
      <c r="P80" s="337"/>
      <c r="Q80" s="337"/>
      <c r="R80" s="337"/>
      <c r="S80" s="337"/>
      <c r="T80" s="337"/>
      <c r="U80" s="337"/>
      <c r="V80" s="338">
        <v>0</v>
      </c>
      <c r="W80" s="289"/>
      <c r="X80" s="5"/>
    </row>
    <row r="81" spans="1:24" ht="15.75" x14ac:dyDescent="0.25">
      <c r="A81" s="285"/>
      <c r="B81" s="286" t="s">
        <v>117</v>
      </c>
      <c r="C81" s="337"/>
      <c r="D81" s="337"/>
      <c r="E81" s="337"/>
      <c r="F81" s="337"/>
      <c r="G81" s="337"/>
      <c r="H81" s="337"/>
      <c r="I81" s="337"/>
      <c r="J81" s="337"/>
      <c r="K81" s="337"/>
      <c r="L81" s="337">
        <v>188687</v>
      </c>
      <c r="M81" s="337"/>
      <c r="N81" s="337">
        <v>0</v>
      </c>
      <c r="O81" s="337"/>
      <c r="P81" s="337">
        <v>0</v>
      </c>
      <c r="Q81" s="337"/>
      <c r="R81" s="337"/>
      <c r="S81" s="337"/>
      <c r="T81" s="337"/>
      <c r="U81" s="337"/>
      <c r="V81" s="337">
        <f>SUM(N81:R81)</f>
        <v>0</v>
      </c>
      <c r="W81" s="289"/>
      <c r="X81" s="5"/>
    </row>
    <row r="82" spans="1:24" ht="15.75" x14ac:dyDescent="0.25">
      <c r="A82" s="285"/>
      <c r="B82" s="286"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89"/>
      <c r="X82" s="5"/>
    </row>
    <row r="83" spans="1:24" ht="15.75" x14ac:dyDescent="0.25">
      <c r="A83" s="285"/>
      <c r="B83" s="286" t="s">
        <v>25</v>
      </c>
      <c r="C83" s="337"/>
      <c r="D83" s="337"/>
      <c r="E83" s="337"/>
      <c r="F83" s="337"/>
      <c r="G83" s="337"/>
      <c r="H83" s="337"/>
      <c r="I83" s="337"/>
      <c r="J83" s="337"/>
      <c r="K83" s="337"/>
      <c r="L83" s="337">
        <v>0</v>
      </c>
      <c r="M83" s="337"/>
      <c r="N83" s="337">
        <v>0</v>
      </c>
      <c r="O83" s="337"/>
      <c r="P83" s="337"/>
      <c r="Q83" s="337"/>
      <c r="R83" s="337"/>
      <c r="S83" s="337"/>
      <c r="T83" s="337"/>
      <c r="U83" s="337"/>
      <c r="V83" s="337">
        <v>0</v>
      </c>
      <c r="W83" s="289"/>
      <c r="X83" s="5"/>
    </row>
    <row r="84" spans="1:24" ht="15.75" x14ac:dyDescent="0.25">
      <c r="A84" s="285"/>
      <c r="B84" s="286" t="s">
        <v>26</v>
      </c>
      <c r="C84" s="337"/>
      <c r="D84" s="337"/>
      <c r="E84" s="337"/>
      <c r="F84" s="337"/>
      <c r="G84" s="337"/>
      <c r="H84" s="337"/>
      <c r="I84" s="337"/>
      <c r="J84" s="337"/>
      <c r="K84" s="337"/>
      <c r="L84" s="337">
        <f>SUM(L71:L83)</f>
        <v>1001133</v>
      </c>
      <c r="M84" s="337"/>
      <c r="N84" s="337">
        <f>SUM(N71:N83)</f>
        <v>727208</v>
      </c>
      <c r="O84" s="337"/>
      <c r="P84" s="337"/>
      <c r="Q84" s="337"/>
      <c r="R84" s="337"/>
      <c r="S84" s="337"/>
      <c r="T84" s="337"/>
      <c r="U84" s="337"/>
      <c r="V84" s="337">
        <f>SUM(V71:V83)</f>
        <v>718948</v>
      </c>
      <c r="W84" s="289"/>
      <c r="X84" s="5"/>
    </row>
    <row r="85" spans="1:24" ht="15.75" x14ac:dyDescent="0.25">
      <c r="A85" s="181"/>
      <c r="B85" s="212"/>
      <c r="C85" s="335"/>
      <c r="D85" s="335"/>
      <c r="E85" s="335"/>
      <c r="F85" s="335"/>
      <c r="G85" s="335"/>
      <c r="H85" s="335"/>
      <c r="I85" s="335"/>
      <c r="J85" s="335"/>
      <c r="K85" s="335"/>
      <c r="L85" s="335"/>
      <c r="M85" s="335"/>
      <c r="N85" s="335"/>
      <c r="O85" s="335"/>
      <c r="P85" s="335"/>
      <c r="Q85" s="335"/>
      <c r="R85" s="335"/>
      <c r="S85" s="335"/>
      <c r="T85" s="335"/>
      <c r="U85" s="335"/>
      <c r="V85" s="336"/>
      <c r="W85" s="212"/>
      <c r="X85" s="5"/>
    </row>
    <row r="86" spans="1:24" ht="15.75" x14ac:dyDescent="0.25">
      <c r="A86" s="181"/>
      <c r="B86" s="183"/>
      <c r="C86" s="183"/>
      <c r="D86" s="183"/>
      <c r="E86" s="183"/>
      <c r="F86" s="183"/>
      <c r="G86" s="183"/>
      <c r="H86" s="183"/>
      <c r="I86" s="183"/>
      <c r="J86" s="183"/>
      <c r="K86" s="183"/>
      <c r="L86" s="183"/>
      <c r="M86" s="183"/>
      <c r="N86" s="183"/>
      <c r="O86" s="183"/>
      <c r="P86" s="183"/>
      <c r="Q86" s="183"/>
      <c r="R86" s="183"/>
      <c r="S86" s="183"/>
      <c r="T86" s="183"/>
      <c r="U86" s="183"/>
      <c r="V86" s="183"/>
      <c r="W86" s="183"/>
      <c r="X86" s="5"/>
    </row>
    <row r="87" spans="1:24" ht="15.75" x14ac:dyDescent="0.25">
      <c r="A87" s="224"/>
      <c r="B87" s="399" t="s">
        <v>27</v>
      </c>
      <c r="C87" s="399"/>
      <c r="D87" s="399"/>
      <c r="E87" s="399"/>
      <c r="F87" s="399"/>
      <c r="G87" s="399"/>
      <c r="H87" s="400"/>
      <c r="I87" s="400"/>
      <c r="J87" s="400"/>
      <c r="K87" s="400"/>
      <c r="L87" s="401" t="s">
        <v>95</v>
      </c>
      <c r="M87" s="400"/>
      <c r="N87" s="402">
        <f>+T202</f>
        <v>42429</v>
      </c>
      <c r="O87" s="400"/>
      <c r="P87" s="400"/>
      <c r="Q87" s="400"/>
      <c r="R87" s="400"/>
      <c r="S87" s="400"/>
      <c r="T87" s="400" t="s">
        <v>107</v>
      </c>
      <c r="U87" s="400"/>
      <c r="V87" s="400" t="s">
        <v>113</v>
      </c>
      <c r="W87" s="225"/>
      <c r="X87" s="5"/>
    </row>
    <row r="88" spans="1:24" ht="15.75" x14ac:dyDescent="0.25">
      <c r="A88" s="248"/>
      <c r="B88" s="250" t="s">
        <v>28</v>
      </c>
      <c r="C88" s="194"/>
      <c r="D88" s="194"/>
      <c r="E88" s="194"/>
      <c r="F88" s="194"/>
      <c r="G88" s="194"/>
      <c r="H88" s="194"/>
      <c r="I88" s="194"/>
      <c r="J88" s="194"/>
      <c r="K88" s="194"/>
      <c r="L88" s="194"/>
      <c r="M88" s="194"/>
      <c r="N88" s="194"/>
      <c r="O88" s="194"/>
      <c r="P88" s="194"/>
      <c r="Q88" s="194"/>
      <c r="R88" s="194"/>
      <c r="S88" s="194"/>
      <c r="T88" s="249">
        <v>0</v>
      </c>
      <c r="U88" s="250"/>
      <c r="V88" s="253">
        <v>0</v>
      </c>
      <c r="W88" s="194"/>
      <c r="X88" s="5"/>
    </row>
    <row r="89" spans="1:24" ht="15.75" x14ac:dyDescent="0.25">
      <c r="A89" s="295"/>
      <c r="B89" s="286" t="s">
        <v>29</v>
      </c>
      <c r="C89" s="314"/>
      <c r="D89" s="314"/>
      <c r="E89" s="314"/>
      <c r="F89" s="314"/>
      <c r="G89" s="314"/>
      <c r="H89" s="339"/>
      <c r="I89" s="339"/>
      <c r="J89" s="339"/>
      <c r="K89" s="340"/>
      <c r="L89" s="339"/>
      <c r="M89" s="314"/>
      <c r="N89" s="341"/>
      <c r="O89" s="314"/>
      <c r="P89" s="314"/>
      <c r="Q89" s="314"/>
      <c r="R89" s="314"/>
      <c r="S89" s="314"/>
      <c r="T89" s="337">
        <f>8306+27</f>
        <v>8333</v>
      </c>
      <c r="U89" s="286"/>
      <c r="V89" s="338"/>
      <c r="W89" s="318"/>
      <c r="X89" s="5"/>
    </row>
    <row r="90" spans="1:24" ht="15.75" x14ac:dyDescent="0.25">
      <c r="A90" s="295"/>
      <c r="B90" s="286" t="s">
        <v>215</v>
      </c>
      <c r="C90" s="314"/>
      <c r="D90" s="314"/>
      <c r="E90" s="314"/>
      <c r="F90" s="314"/>
      <c r="G90" s="314"/>
      <c r="H90" s="339"/>
      <c r="I90" s="339"/>
      <c r="J90" s="339"/>
      <c r="K90" s="340"/>
      <c r="L90" s="339"/>
      <c r="M90" s="314"/>
      <c r="N90" s="341"/>
      <c r="O90" s="314"/>
      <c r="P90" s="314"/>
      <c r="Q90" s="314"/>
      <c r="R90" s="314"/>
      <c r="S90" s="314"/>
      <c r="T90" s="337"/>
      <c r="U90" s="286"/>
      <c r="V90" s="338">
        <f>3268+2481-723-487</f>
        <v>4539</v>
      </c>
      <c r="W90" s="318"/>
      <c r="X90" s="5"/>
    </row>
    <row r="91" spans="1:24" ht="15.75" x14ac:dyDescent="0.25">
      <c r="A91" s="295"/>
      <c r="B91" s="286" t="s">
        <v>210</v>
      </c>
      <c r="C91" s="314"/>
      <c r="D91" s="314"/>
      <c r="E91" s="314"/>
      <c r="F91" s="314"/>
      <c r="G91" s="314"/>
      <c r="H91" s="339"/>
      <c r="I91" s="339"/>
      <c r="J91" s="339"/>
      <c r="K91" s="340"/>
      <c r="L91" s="339"/>
      <c r="M91" s="314"/>
      <c r="N91" s="341"/>
      <c r="O91" s="314"/>
      <c r="P91" s="314"/>
      <c r="Q91" s="314"/>
      <c r="R91" s="314"/>
      <c r="S91" s="314"/>
      <c r="T91" s="337"/>
      <c r="U91" s="286"/>
      <c r="V91" s="338">
        <f>13+114</f>
        <v>127</v>
      </c>
      <c r="W91" s="318"/>
      <c r="X91" s="5"/>
    </row>
    <row r="92" spans="1:24" ht="15.75" x14ac:dyDescent="0.25">
      <c r="A92" s="295"/>
      <c r="B92" s="286" t="s">
        <v>211</v>
      </c>
      <c r="C92" s="314"/>
      <c r="D92" s="314"/>
      <c r="E92" s="314"/>
      <c r="F92" s="314"/>
      <c r="G92" s="314"/>
      <c r="H92" s="339"/>
      <c r="I92" s="339"/>
      <c r="J92" s="339"/>
      <c r="K92" s="340"/>
      <c r="L92" s="339"/>
      <c r="M92" s="314"/>
      <c r="N92" s="341"/>
      <c r="O92" s="314"/>
      <c r="P92" s="314"/>
      <c r="Q92" s="314"/>
      <c r="R92" s="314"/>
      <c r="S92" s="314"/>
      <c r="T92" s="337"/>
      <c r="U92" s="286"/>
      <c r="V92" s="338">
        <v>32</v>
      </c>
      <c r="W92" s="318"/>
      <c r="X92" s="5"/>
    </row>
    <row r="93" spans="1:24" ht="15.75" x14ac:dyDescent="0.25">
      <c r="A93" s="295"/>
      <c r="B93" s="286" t="s">
        <v>233</v>
      </c>
      <c r="C93" s="314"/>
      <c r="D93" s="314"/>
      <c r="E93" s="314"/>
      <c r="F93" s="314"/>
      <c r="G93" s="314"/>
      <c r="H93" s="339"/>
      <c r="I93" s="339"/>
      <c r="J93" s="339"/>
      <c r="K93" s="340"/>
      <c r="L93" s="339"/>
      <c r="M93" s="314"/>
      <c r="N93" s="341"/>
      <c r="O93" s="314"/>
      <c r="P93" s="314"/>
      <c r="Q93" s="314"/>
      <c r="R93" s="314"/>
      <c r="S93" s="314"/>
      <c r="T93" s="337"/>
      <c r="U93" s="286"/>
      <c r="V93" s="338">
        <v>0</v>
      </c>
      <c r="W93" s="318"/>
      <c r="X93" s="5"/>
    </row>
    <row r="94" spans="1:24" ht="15.75" x14ac:dyDescent="0.25">
      <c r="A94" s="295"/>
      <c r="B94" s="286" t="s">
        <v>235</v>
      </c>
      <c r="C94" s="314"/>
      <c r="D94" s="314"/>
      <c r="E94" s="314"/>
      <c r="F94" s="314"/>
      <c r="G94" s="314"/>
      <c r="H94" s="339"/>
      <c r="I94" s="339"/>
      <c r="J94" s="339"/>
      <c r="K94" s="340"/>
      <c r="L94" s="339"/>
      <c r="M94" s="314"/>
      <c r="N94" s="341"/>
      <c r="O94" s="314"/>
      <c r="P94" s="314"/>
      <c r="Q94" s="314"/>
      <c r="R94" s="314"/>
      <c r="S94" s="314"/>
      <c r="T94" s="337"/>
      <c r="U94" s="286"/>
      <c r="V94" s="338">
        <v>0</v>
      </c>
      <c r="W94" s="318"/>
      <c r="X94" s="5"/>
    </row>
    <row r="95" spans="1:24" ht="15.75" x14ac:dyDescent="0.25">
      <c r="A95" s="295"/>
      <c r="B95" s="286" t="s">
        <v>135</v>
      </c>
      <c r="C95" s="314"/>
      <c r="D95" s="314"/>
      <c r="E95" s="314"/>
      <c r="F95" s="314"/>
      <c r="G95" s="314"/>
      <c r="H95" s="314"/>
      <c r="I95" s="314"/>
      <c r="J95" s="314"/>
      <c r="K95" s="314"/>
      <c r="L95" s="314"/>
      <c r="M95" s="314"/>
      <c r="N95" s="314"/>
      <c r="O95" s="314"/>
      <c r="P95" s="314"/>
      <c r="Q95" s="314"/>
      <c r="R95" s="314"/>
      <c r="S95" s="314"/>
      <c r="T95" s="337"/>
      <c r="U95" s="286"/>
      <c r="V95" s="338">
        <v>0</v>
      </c>
      <c r="W95" s="318"/>
      <c r="X95" s="5"/>
    </row>
    <row r="96" spans="1:24" ht="15.75" x14ac:dyDescent="0.25">
      <c r="A96" s="295"/>
      <c r="B96" s="286" t="s">
        <v>272</v>
      </c>
      <c r="C96" s="314"/>
      <c r="D96" s="314"/>
      <c r="E96" s="314"/>
      <c r="F96" s="314"/>
      <c r="G96" s="314"/>
      <c r="H96" s="314"/>
      <c r="I96" s="314"/>
      <c r="J96" s="314"/>
      <c r="K96" s="314"/>
      <c r="L96" s="314"/>
      <c r="M96" s="314"/>
      <c r="N96" s="314"/>
      <c r="O96" s="314"/>
      <c r="P96" s="314"/>
      <c r="Q96" s="314"/>
      <c r="R96" s="314"/>
      <c r="S96" s="314"/>
      <c r="T96" s="337"/>
      <c r="U96" s="286"/>
      <c r="V96" s="338">
        <v>0</v>
      </c>
      <c r="W96" s="318"/>
      <c r="X96" s="5"/>
    </row>
    <row r="97" spans="1:25" ht="15.75" x14ac:dyDescent="0.25">
      <c r="A97" s="295"/>
      <c r="B97" s="286" t="s">
        <v>30</v>
      </c>
      <c r="C97" s="314"/>
      <c r="D97" s="314"/>
      <c r="E97" s="314"/>
      <c r="F97" s="314"/>
      <c r="G97" s="314"/>
      <c r="H97" s="314"/>
      <c r="I97" s="314"/>
      <c r="J97" s="314"/>
      <c r="K97" s="314"/>
      <c r="L97" s="314"/>
      <c r="M97" s="314"/>
      <c r="N97" s="314"/>
      <c r="O97" s="314"/>
      <c r="P97" s="314"/>
      <c r="Q97" s="314"/>
      <c r="R97" s="314"/>
      <c r="S97" s="314"/>
      <c r="T97" s="337">
        <f>SUM(T88:T96)</f>
        <v>8333</v>
      </c>
      <c r="U97" s="286"/>
      <c r="V97" s="337">
        <f>SUM(V88:V96)</f>
        <v>4698</v>
      </c>
      <c r="W97" s="318"/>
      <c r="X97" s="5"/>
    </row>
    <row r="98" spans="1:25" ht="15.75" x14ac:dyDescent="0.25">
      <c r="A98" s="295"/>
      <c r="B98" s="286" t="s">
        <v>161</v>
      </c>
      <c r="C98" s="314"/>
      <c r="D98" s="314"/>
      <c r="E98" s="314"/>
      <c r="F98" s="314"/>
      <c r="G98" s="314"/>
      <c r="H98" s="314"/>
      <c r="I98" s="314"/>
      <c r="J98" s="314"/>
      <c r="K98" s="314"/>
      <c r="L98" s="314"/>
      <c r="M98" s="314"/>
      <c r="N98" s="314"/>
      <c r="O98" s="314"/>
      <c r="P98" s="314"/>
      <c r="Q98" s="314"/>
      <c r="R98" s="314"/>
      <c r="S98" s="314"/>
      <c r="T98" s="337">
        <f>-V98</f>
        <v>0</v>
      </c>
      <c r="U98" s="286"/>
      <c r="V98" s="337">
        <v>0</v>
      </c>
      <c r="W98" s="318"/>
      <c r="X98" s="5"/>
    </row>
    <row r="99" spans="1:25" ht="15.75" x14ac:dyDescent="0.25">
      <c r="A99" s="295"/>
      <c r="B99" s="286" t="s">
        <v>31</v>
      </c>
      <c r="C99" s="314"/>
      <c r="D99" s="314"/>
      <c r="E99" s="314"/>
      <c r="F99" s="314"/>
      <c r="G99" s="314"/>
      <c r="H99" s="314"/>
      <c r="I99" s="314"/>
      <c r="J99" s="314"/>
      <c r="K99" s="314"/>
      <c r="L99" s="314"/>
      <c r="M99" s="314"/>
      <c r="N99" s="314"/>
      <c r="O99" s="314"/>
      <c r="P99" s="314"/>
      <c r="Q99" s="314"/>
      <c r="R99" s="314"/>
      <c r="S99" s="314"/>
      <c r="T99" s="337">
        <f>-V99</f>
        <v>0</v>
      </c>
      <c r="U99" s="286"/>
      <c r="V99" s="338">
        <v>0</v>
      </c>
      <c r="W99" s="318"/>
      <c r="X99" s="5"/>
    </row>
    <row r="100" spans="1:25" ht="15.75" x14ac:dyDescent="0.25">
      <c r="A100" s="295"/>
      <c r="B100" s="286" t="s">
        <v>274</v>
      </c>
      <c r="C100" s="314"/>
      <c r="D100" s="314"/>
      <c r="E100" s="314"/>
      <c r="F100" s="314"/>
      <c r="G100" s="314"/>
      <c r="H100" s="314"/>
      <c r="I100" s="314"/>
      <c r="J100" s="314"/>
      <c r="K100" s="314"/>
      <c r="L100" s="314"/>
      <c r="M100" s="314"/>
      <c r="N100" s="314"/>
      <c r="O100" s="314"/>
      <c r="P100" s="314"/>
      <c r="Q100" s="314"/>
      <c r="R100" s="314"/>
      <c r="S100" s="314"/>
      <c r="T100" s="337"/>
      <c r="U100" s="286"/>
      <c r="V100" s="338">
        <v>-19</v>
      </c>
      <c r="W100" s="318"/>
      <c r="X100" s="5"/>
    </row>
    <row r="101" spans="1:25" ht="15.75" x14ac:dyDescent="0.25">
      <c r="A101" s="295"/>
      <c r="B101" s="286" t="s">
        <v>32</v>
      </c>
      <c r="C101" s="314"/>
      <c r="D101" s="314"/>
      <c r="E101" s="314"/>
      <c r="F101" s="314"/>
      <c r="G101" s="314"/>
      <c r="H101" s="314"/>
      <c r="I101" s="314"/>
      <c r="J101" s="314"/>
      <c r="K101" s="314"/>
      <c r="L101" s="314"/>
      <c r="M101" s="314"/>
      <c r="N101" s="314"/>
      <c r="O101" s="314"/>
      <c r="P101" s="314"/>
      <c r="Q101" s="314"/>
      <c r="R101" s="314"/>
      <c r="S101" s="314"/>
      <c r="T101" s="337">
        <f>T97+T99+T98</f>
        <v>8333</v>
      </c>
      <c r="U101" s="286"/>
      <c r="V101" s="337">
        <f>V97+V99+V98+V100</f>
        <v>4679</v>
      </c>
      <c r="W101" s="318"/>
      <c r="X101" s="5"/>
    </row>
    <row r="102" spans="1:25" ht="15.75" x14ac:dyDescent="0.25">
      <c r="A102" s="285"/>
      <c r="B102" s="342" t="s">
        <v>33</v>
      </c>
      <c r="C102" s="314"/>
      <c r="D102" s="314"/>
      <c r="E102" s="314"/>
      <c r="F102" s="314"/>
      <c r="G102" s="314"/>
      <c r="H102" s="314"/>
      <c r="I102" s="314"/>
      <c r="J102" s="314"/>
      <c r="K102" s="314"/>
      <c r="L102" s="314"/>
      <c r="M102" s="314"/>
      <c r="N102" s="314"/>
      <c r="O102" s="314"/>
      <c r="P102" s="314"/>
      <c r="Q102" s="314"/>
      <c r="R102" s="314"/>
      <c r="S102" s="314"/>
      <c r="T102" s="337"/>
      <c r="U102" s="286"/>
      <c r="V102" s="338"/>
      <c r="W102" s="318"/>
      <c r="X102" s="5"/>
    </row>
    <row r="103" spans="1:25" ht="15.75" x14ac:dyDescent="0.25">
      <c r="A103" s="295">
        <v>1</v>
      </c>
      <c r="B103" s="286" t="s">
        <v>34</v>
      </c>
      <c r="C103" s="286"/>
      <c r="D103" s="286"/>
      <c r="E103" s="314"/>
      <c r="F103" s="314"/>
      <c r="G103" s="314"/>
      <c r="H103" s="314"/>
      <c r="I103" s="314"/>
      <c r="J103" s="314"/>
      <c r="K103" s="314"/>
      <c r="L103" s="314"/>
      <c r="M103" s="314"/>
      <c r="N103" s="314"/>
      <c r="O103" s="314"/>
      <c r="P103" s="314"/>
      <c r="Q103" s="314"/>
      <c r="R103" s="314"/>
      <c r="S103" s="314"/>
      <c r="T103" s="286"/>
      <c r="U103" s="286"/>
      <c r="V103" s="338">
        <v>0</v>
      </c>
      <c r="W103" s="318"/>
      <c r="X103" s="5"/>
    </row>
    <row r="104" spans="1:25" ht="15.75" x14ac:dyDescent="0.25">
      <c r="A104" s="295">
        <f>+A103+1</f>
        <v>2</v>
      </c>
      <c r="B104" s="286" t="s">
        <v>314</v>
      </c>
      <c r="C104" s="286"/>
      <c r="D104" s="286"/>
      <c r="E104" s="314"/>
      <c r="F104" s="314"/>
      <c r="G104" s="314"/>
      <c r="H104" s="314"/>
      <c r="I104" s="314"/>
      <c r="J104" s="314"/>
      <c r="K104" s="314"/>
      <c r="L104" s="314"/>
      <c r="M104" s="314"/>
      <c r="N104" s="314"/>
      <c r="O104" s="314"/>
      <c r="P104" s="314"/>
      <c r="Q104" s="314"/>
      <c r="R104" s="314"/>
      <c r="S104" s="314"/>
      <c r="T104" s="286"/>
      <c r="U104" s="286"/>
      <c r="V104" s="338">
        <v>-2</v>
      </c>
      <c r="W104" s="318"/>
      <c r="X104" s="5"/>
    </row>
    <row r="105" spans="1:25" ht="15.75" x14ac:dyDescent="0.25">
      <c r="A105" s="295">
        <f>+A104+1</f>
        <v>3</v>
      </c>
      <c r="B105" s="412" t="s">
        <v>316</v>
      </c>
      <c r="C105" s="286"/>
      <c r="D105" s="286"/>
      <c r="E105" s="314"/>
      <c r="F105" s="314"/>
      <c r="G105" s="314"/>
      <c r="H105" s="314"/>
      <c r="I105" s="314"/>
      <c r="J105" s="314"/>
      <c r="K105" s="314"/>
      <c r="L105" s="314"/>
      <c r="M105" s="314"/>
      <c r="N105" s="314"/>
      <c r="O105" s="314"/>
      <c r="P105" s="314"/>
      <c r="Q105" s="314"/>
      <c r="R105" s="314"/>
      <c r="S105" s="314"/>
      <c r="T105" s="286"/>
      <c r="U105" s="286"/>
      <c r="V105" s="338">
        <f>-276-124-9</f>
        <v>-409</v>
      </c>
      <c r="W105" s="318"/>
      <c r="X105" s="5"/>
    </row>
    <row r="106" spans="1:25" ht="15.75" x14ac:dyDescent="0.25">
      <c r="A106" s="295" t="s">
        <v>127</v>
      </c>
      <c r="B106" s="286" t="s">
        <v>116</v>
      </c>
      <c r="C106" s="286"/>
      <c r="D106" s="286"/>
      <c r="E106" s="314"/>
      <c r="F106" s="314"/>
      <c r="G106" s="314"/>
      <c r="H106" s="314"/>
      <c r="I106" s="314"/>
      <c r="J106" s="314"/>
      <c r="K106" s="314"/>
      <c r="L106" s="314"/>
      <c r="M106" s="314"/>
      <c r="N106" s="314"/>
      <c r="O106" s="314"/>
      <c r="P106" s="314"/>
      <c r="Q106" s="314"/>
      <c r="R106" s="314"/>
      <c r="S106" s="314"/>
      <c r="T106" s="286"/>
      <c r="U106" s="286"/>
      <c r="V106" s="338">
        <v>0</v>
      </c>
      <c r="W106" s="318"/>
      <c r="X106" s="5"/>
    </row>
    <row r="107" spans="1:25" ht="15.75" x14ac:dyDescent="0.25">
      <c r="A107" s="295" t="s">
        <v>128</v>
      </c>
      <c r="B107" s="286" t="s">
        <v>220</v>
      </c>
      <c r="C107" s="286"/>
      <c r="D107" s="286"/>
      <c r="E107" s="314"/>
      <c r="F107" s="314"/>
      <c r="G107" s="314"/>
      <c r="H107" s="314"/>
      <c r="I107" s="314"/>
      <c r="J107" s="314"/>
      <c r="K107" s="314"/>
      <c r="L107" s="314"/>
      <c r="M107" s="314"/>
      <c r="N107" s="314"/>
      <c r="O107" s="314"/>
      <c r="P107" s="314"/>
      <c r="Q107" s="314"/>
      <c r="R107" s="314"/>
      <c r="S107" s="314"/>
      <c r="T107" s="286"/>
      <c r="U107" s="286"/>
      <c r="V107" s="338">
        <f>-1168+299</f>
        <v>-869</v>
      </c>
      <c r="W107" s="318"/>
      <c r="X107" s="5"/>
      <c r="Y107" s="109"/>
    </row>
    <row r="108" spans="1:25" ht="15.75" x14ac:dyDescent="0.25">
      <c r="A108" s="295" t="s">
        <v>150</v>
      </c>
      <c r="B108" s="286" t="s">
        <v>184</v>
      </c>
      <c r="C108" s="286"/>
      <c r="D108" s="286"/>
      <c r="E108" s="314"/>
      <c r="F108" s="314"/>
      <c r="G108" s="314"/>
      <c r="H108" s="314"/>
      <c r="I108" s="314"/>
      <c r="J108" s="314"/>
      <c r="K108" s="314"/>
      <c r="L108" s="314"/>
      <c r="M108" s="314"/>
      <c r="N108" s="314"/>
      <c r="O108" s="314"/>
      <c r="P108" s="314"/>
      <c r="Q108" s="314"/>
      <c r="R108" s="314"/>
      <c r="S108" s="314"/>
      <c r="T108" s="286"/>
      <c r="U108" s="286"/>
      <c r="V108" s="338">
        <v>-299</v>
      </c>
      <c r="W108" s="318"/>
      <c r="X108" s="5"/>
      <c r="Y108" s="109"/>
    </row>
    <row r="109" spans="1:25" ht="15.75" x14ac:dyDescent="0.25">
      <c r="A109" s="295" t="s">
        <v>205</v>
      </c>
      <c r="B109" s="286" t="s">
        <v>185</v>
      </c>
      <c r="C109" s="286"/>
      <c r="D109" s="286"/>
      <c r="E109" s="314"/>
      <c r="F109" s="314"/>
      <c r="G109" s="314"/>
      <c r="H109" s="314"/>
      <c r="I109" s="314"/>
      <c r="J109" s="314"/>
      <c r="K109" s="314"/>
      <c r="L109" s="314"/>
      <c r="M109" s="314"/>
      <c r="N109" s="314"/>
      <c r="O109" s="314"/>
      <c r="P109" s="314"/>
      <c r="Q109" s="314"/>
      <c r="R109" s="314"/>
      <c r="S109" s="314"/>
      <c r="T109" s="286"/>
      <c r="U109" s="286"/>
      <c r="V109" s="338">
        <v>-173</v>
      </c>
      <c r="W109" s="318"/>
      <c r="X109" s="5"/>
      <c r="Y109" s="109"/>
    </row>
    <row r="110" spans="1:25" ht="15.75" x14ac:dyDescent="0.25">
      <c r="A110" s="295" t="s">
        <v>206</v>
      </c>
      <c r="B110" s="286" t="s">
        <v>186</v>
      </c>
      <c r="C110" s="286"/>
      <c r="D110" s="286"/>
      <c r="E110" s="314"/>
      <c r="F110" s="314"/>
      <c r="G110" s="314"/>
      <c r="H110" s="314"/>
      <c r="I110" s="314"/>
      <c r="J110" s="314"/>
      <c r="K110" s="314"/>
      <c r="L110" s="314"/>
      <c r="M110" s="314"/>
      <c r="N110" s="314"/>
      <c r="O110" s="314"/>
      <c r="P110" s="314"/>
      <c r="Q110" s="314"/>
      <c r="R110" s="314"/>
      <c r="S110" s="314"/>
      <c r="T110" s="286"/>
      <c r="U110" s="286"/>
      <c r="V110" s="338">
        <v>-48</v>
      </c>
      <c r="W110" s="318"/>
      <c r="X110" s="5"/>
      <c r="Y110" s="109"/>
    </row>
    <row r="111" spans="1:25" ht="15.75" x14ac:dyDescent="0.25">
      <c r="A111" s="295">
        <v>6</v>
      </c>
      <c r="B111" s="286" t="s">
        <v>196</v>
      </c>
      <c r="C111" s="286"/>
      <c r="D111" s="286"/>
      <c r="E111" s="314"/>
      <c r="F111" s="314"/>
      <c r="G111" s="314"/>
      <c r="H111" s="314"/>
      <c r="I111" s="314"/>
      <c r="J111" s="314"/>
      <c r="K111" s="314"/>
      <c r="L111" s="314"/>
      <c r="M111" s="314"/>
      <c r="N111" s="314"/>
      <c r="O111" s="314"/>
      <c r="P111" s="314"/>
      <c r="Q111" s="314"/>
      <c r="R111" s="314"/>
      <c r="S111" s="314"/>
      <c r="T111" s="286"/>
      <c r="U111" s="286"/>
      <c r="V111" s="338">
        <v>-339</v>
      </c>
      <c r="W111" s="318"/>
      <c r="X111" s="5"/>
      <c r="Y111" s="109"/>
    </row>
    <row r="112" spans="1:25" ht="15.75" x14ac:dyDescent="0.25">
      <c r="A112" s="295">
        <v>7</v>
      </c>
      <c r="B112" s="412" t="s">
        <v>315</v>
      </c>
      <c r="C112" s="286"/>
      <c r="D112" s="286"/>
      <c r="E112" s="314"/>
      <c r="F112" s="314"/>
      <c r="G112" s="314"/>
      <c r="H112" s="314"/>
      <c r="I112" s="314"/>
      <c r="J112" s="314"/>
      <c r="K112" s="314"/>
      <c r="L112" s="314"/>
      <c r="M112" s="314"/>
      <c r="N112" s="314"/>
      <c r="O112" s="314"/>
      <c r="P112" s="314"/>
      <c r="Q112" s="314"/>
      <c r="R112" s="314"/>
      <c r="S112" s="314"/>
      <c r="T112" s="286"/>
      <c r="U112" s="286"/>
      <c r="V112" s="338">
        <v>0</v>
      </c>
      <c r="W112" s="318"/>
      <c r="X112" s="5"/>
      <c r="Y112" s="109"/>
    </row>
    <row r="113" spans="1:24" ht="15.75" x14ac:dyDescent="0.25">
      <c r="A113" s="295">
        <v>8</v>
      </c>
      <c r="B113" s="286" t="s">
        <v>35</v>
      </c>
      <c r="C113" s="286"/>
      <c r="D113" s="286"/>
      <c r="E113" s="314"/>
      <c r="F113" s="314"/>
      <c r="G113" s="314"/>
      <c r="H113" s="314"/>
      <c r="I113" s="314"/>
      <c r="J113" s="314"/>
      <c r="K113" s="314"/>
      <c r="L113" s="314"/>
      <c r="M113" s="314"/>
      <c r="N113" s="314"/>
      <c r="O113" s="314"/>
      <c r="P113" s="314"/>
      <c r="Q113" s="314"/>
      <c r="R113" s="314"/>
      <c r="S113" s="314"/>
      <c r="T113" s="286"/>
      <c r="U113" s="286"/>
      <c r="V113" s="338">
        <v>-9</v>
      </c>
      <c r="W113" s="318"/>
      <c r="X113" s="5"/>
    </row>
    <row r="114" spans="1:24" ht="15.75" x14ac:dyDescent="0.25">
      <c r="A114" s="295">
        <f t="shared" ref="A114:A119" si="0">+A113+1</f>
        <v>9</v>
      </c>
      <c r="B114" s="286" t="s">
        <v>45</v>
      </c>
      <c r="C114" s="286"/>
      <c r="D114" s="286"/>
      <c r="E114" s="314"/>
      <c r="F114" s="314"/>
      <c r="G114" s="314"/>
      <c r="H114" s="314"/>
      <c r="I114" s="314"/>
      <c r="J114" s="314"/>
      <c r="K114" s="314"/>
      <c r="L114" s="314"/>
      <c r="M114" s="314"/>
      <c r="N114" s="314"/>
      <c r="O114" s="314"/>
      <c r="P114" s="314"/>
      <c r="Q114" s="314"/>
      <c r="R114" s="314"/>
      <c r="S114" s="314"/>
      <c r="T114" s="337">
        <f>-V114</f>
        <v>-27</v>
      </c>
      <c r="U114" s="286"/>
      <c r="V114" s="338">
        <v>27</v>
      </c>
      <c r="W114" s="318"/>
      <c r="X114" s="5"/>
    </row>
    <row r="115" spans="1:24" ht="15.75" x14ac:dyDescent="0.25">
      <c r="A115" s="295">
        <f t="shared" si="0"/>
        <v>10</v>
      </c>
      <c r="B115" s="286" t="s">
        <v>125</v>
      </c>
      <c r="C115" s="286"/>
      <c r="D115" s="286"/>
      <c r="E115" s="314"/>
      <c r="F115" s="314"/>
      <c r="G115" s="314"/>
      <c r="H115" s="314"/>
      <c r="I115" s="314"/>
      <c r="J115" s="314"/>
      <c r="K115" s="314"/>
      <c r="L115" s="314"/>
      <c r="M115" s="314"/>
      <c r="N115" s="314"/>
      <c r="O115" s="314"/>
      <c r="P115" s="314"/>
      <c r="Q115" s="314"/>
      <c r="R115" s="314"/>
      <c r="S115" s="314"/>
      <c r="T115" s="286"/>
      <c r="U115" s="286"/>
      <c r="V115" s="338">
        <v>0</v>
      </c>
      <c r="W115" s="318"/>
      <c r="X115" s="5"/>
    </row>
    <row r="116" spans="1:24" ht="15.75" x14ac:dyDescent="0.25">
      <c r="A116" s="295">
        <f t="shared" si="0"/>
        <v>11</v>
      </c>
      <c r="B116" s="286" t="s">
        <v>225</v>
      </c>
      <c r="C116" s="286"/>
      <c r="D116" s="286"/>
      <c r="E116" s="314"/>
      <c r="F116" s="314"/>
      <c r="G116" s="314"/>
      <c r="H116" s="314"/>
      <c r="I116" s="314"/>
      <c r="J116" s="314"/>
      <c r="K116" s="314"/>
      <c r="L116" s="314"/>
      <c r="M116" s="314"/>
      <c r="N116" s="314"/>
      <c r="O116" s="314"/>
      <c r="P116" s="314"/>
      <c r="Q116" s="314"/>
      <c r="R116" s="314"/>
      <c r="S116" s="314"/>
      <c r="T116" s="286"/>
      <c r="U116" s="286"/>
      <c r="V116" s="338">
        <v>0</v>
      </c>
      <c r="W116" s="318"/>
      <c r="X116" s="5"/>
    </row>
    <row r="117" spans="1:24" ht="15.75" x14ac:dyDescent="0.25">
      <c r="A117" s="295">
        <f t="shared" si="0"/>
        <v>12</v>
      </c>
      <c r="B117" s="286" t="s">
        <v>36</v>
      </c>
      <c r="C117" s="286"/>
      <c r="D117" s="286"/>
      <c r="E117" s="314"/>
      <c r="F117" s="314"/>
      <c r="G117" s="314"/>
      <c r="H117" s="314"/>
      <c r="I117" s="314"/>
      <c r="J117" s="314"/>
      <c r="K117" s="314"/>
      <c r="L117" s="314"/>
      <c r="M117" s="314"/>
      <c r="N117" s="314"/>
      <c r="O117" s="314"/>
      <c r="P117" s="314"/>
      <c r="Q117" s="314"/>
      <c r="R117" s="314"/>
      <c r="S117" s="314"/>
      <c r="T117" s="286"/>
      <c r="U117" s="286"/>
      <c r="V117" s="338">
        <v>0</v>
      </c>
      <c r="W117" s="318"/>
      <c r="X117" s="5"/>
    </row>
    <row r="118" spans="1:24" ht="15.75" x14ac:dyDescent="0.25">
      <c r="A118" s="295">
        <f t="shared" si="0"/>
        <v>13</v>
      </c>
      <c r="B118" s="286" t="s">
        <v>149</v>
      </c>
      <c r="C118" s="286"/>
      <c r="D118" s="286"/>
      <c r="E118" s="314"/>
      <c r="F118" s="314"/>
      <c r="G118" s="314"/>
      <c r="H118" s="314"/>
      <c r="I118" s="314"/>
      <c r="J118" s="314"/>
      <c r="K118" s="314"/>
      <c r="L118" s="314"/>
      <c r="M118" s="314"/>
      <c r="N118" s="314"/>
      <c r="O118" s="314"/>
      <c r="P118" s="314"/>
      <c r="Q118" s="314"/>
      <c r="R118" s="314"/>
      <c r="S118" s="314"/>
      <c r="T118" s="286"/>
      <c r="U118" s="286"/>
      <c r="V118" s="338">
        <v>-275</v>
      </c>
      <c r="W118" s="318"/>
      <c r="X118" s="5"/>
    </row>
    <row r="119" spans="1:24" ht="15.75" x14ac:dyDescent="0.25">
      <c r="A119" s="295">
        <f t="shared" si="0"/>
        <v>14</v>
      </c>
      <c r="B119" s="286" t="s">
        <v>126</v>
      </c>
      <c r="C119" s="286"/>
      <c r="D119" s="286"/>
      <c r="E119" s="314"/>
      <c r="F119" s="314"/>
      <c r="G119" s="314"/>
      <c r="H119" s="314"/>
      <c r="I119" s="314"/>
      <c r="J119" s="314"/>
      <c r="K119" s="314"/>
      <c r="L119" s="314"/>
      <c r="M119" s="314"/>
      <c r="N119" s="314"/>
      <c r="O119" s="314"/>
      <c r="P119" s="314"/>
      <c r="Q119" s="314"/>
      <c r="R119" s="314"/>
      <c r="S119" s="314"/>
      <c r="T119" s="286"/>
      <c r="U119" s="286"/>
      <c r="V119" s="338">
        <f>-V101-SUM(V103:V118)</f>
        <v>-2283</v>
      </c>
      <c r="W119" s="318"/>
      <c r="X119" s="5"/>
    </row>
    <row r="120" spans="1:24" ht="15.75" x14ac:dyDescent="0.25">
      <c r="A120" s="285"/>
      <c r="B120" s="342" t="s">
        <v>37</v>
      </c>
      <c r="C120" s="314"/>
      <c r="D120" s="314"/>
      <c r="E120" s="314"/>
      <c r="F120" s="314"/>
      <c r="G120" s="314"/>
      <c r="H120" s="314"/>
      <c r="I120" s="314"/>
      <c r="J120" s="314"/>
      <c r="K120" s="314"/>
      <c r="L120" s="314"/>
      <c r="M120" s="314"/>
      <c r="N120" s="314"/>
      <c r="O120" s="314"/>
      <c r="P120" s="314"/>
      <c r="Q120" s="314"/>
      <c r="R120" s="314"/>
      <c r="S120" s="314"/>
      <c r="T120" s="286"/>
      <c r="U120" s="286"/>
      <c r="V120" s="343"/>
      <c r="W120" s="318"/>
      <c r="X120" s="5"/>
    </row>
    <row r="121" spans="1:24" ht="15.75" x14ac:dyDescent="0.25">
      <c r="A121" s="285"/>
      <c r="B121" s="286" t="s">
        <v>173</v>
      </c>
      <c r="C121" s="314"/>
      <c r="D121" s="314"/>
      <c r="E121" s="314"/>
      <c r="F121" s="314"/>
      <c r="G121" s="314"/>
      <c r="H121" s="314"/>
      <c r="I121" s="314"/>
      <c r="J121" s="314"/>
      <c r="K121" s="314"/>
      <c r="L121" s="314"/>
      <c r="M121" s="314"/>
      <c r="N121" s="314"/>
      <c r="O121" s="314"/>
      <c r="P121" s="314"/>
      <c r="Q121" s="314"/>
      <c r="R121" s="314"/>
      <c r="S121" s="314"/>
      <c r="T121" s="337">
        <f>-T186</f>
        <v>0</v>
      </c>
      <c r="U121" s="337"/>
      <c r="V121" s="338"/>
      <c r="W121" s="318"/>
      <c r="X121" s="5"/>
    </row>
    <row r="122" spans="1:24" ht="15.75" x14ac:dyDescent="0.25">
      <c r="A122" s="285"/>
      <c r="B122" s="286" t="s">
        <v>174</v>
      </c>
      <c r="C122" s="314"/>
      <c r="D122" s="314"/>
      <c r="E122" s="314"/>
      <c r="F122" s="314"/>
      <c r="G122" s="314"/>
      <c r="H122" s="314"/>
      <c r="I122" s="314"/>
      <c r="J122" s="314"/>
      <c r="K122" s="314"/>
      <c r="L122" s="314"/>
      <c r="M122" s="314"/>
      <c r="N122" s="314"/>
      <c r="O122" s="314"/>
      <c r="P122" s="314"/>
      <c r="Q122" s="314"/>
      <c r="R122" s="314"/>
      <c r="S122" s="314"/>
      <c r="T122" s="337">
        <v>0</v>
      </c>
      <c r="U122" s="337"/>
      <c r="V122" s="338"/>
      <c r="W122" s="318"/>
      <c r="X122" s="5"/>
    </row>
    <row r="123" spans="1:24" ht="15.75" x14ac:dyDescent="0.25">
      <c r="A123" s="285"/>
      <c r="B123" s="286" t="s">
        <v>38</v>
      </c>
      <c r="C123" s="314"/>
      <c r="D123" s="314"/>
      <c r="E123" s="314"/>
      <c r="F123" s="314"/>
      <c r="G123" s="314"/>
      <c r="H123" s="314"/>
      <c r="I123" s="314"/>
      <c r="J123" s="314"/>
      <c r="K123" s="314"/>
      <c r="L123" s="314"/>
      <c r="M123" s="314"/>
      <c r="N123" s="314"/>
      <c r="O123" s="314"/>
      <c r="P123" s="314"/>
      <c r="Q123" s="314"/>
      <c r="R123" s="314"/>
      <c r="S123" s="314"/>
      <c r="T123" s="337">
        <f>-S186</f>
        <v>-46</v>
      </c>
      <c r="U123" s="337"/>
      <c r="V123" s="338"/>
      <c r="W123" s="318"/>
      <c r="X123" s="5"/>
    </row>
    <row r="124" spans="1:24" ht="15.75" x14ac:dyDescent="0.25">
      <c r="A124" s="285"/>
      <c r="B124" s="286" t="s">
        <v>197</v>
      </c>
      <c r="C124" s="314"/>
      <c r="D124" s="314"/>
      <c r="E124" s="314"/>
      <c r="F124" s="314"/>
      <c r="G124" s="314"/>
      <c r="H124" s="314"/>
      <c r="I124" s="314"/>
      <c r="J124" s="314"/>
      <c r="K124" s="314"/>
      <c r="L124" s="314"/>
      <c r="M124" s="314"/>
      <c r="N124" s="314"/>
      <c r="O124" s="314"/>
      <c r="P124" s="314"/>
      <c r="Q124" s="314"/>
      <c r="R124" s="314"/>
      <c r="S124" s="314"/>
      <c r="T124" s="337">
        <v>-4785</v>
      </c>
      <c r="U124" s="337"/>
      <c r="V124" s="338"/>
      <c r="W124" s="318"/>
      <c r="X124" s="5"/>
    </row>
    <row r="125" spans="1:24" ht="15.75" x14ac:dyDescent="0.25">
      <c r="A125" s="285"/>
      <c r="B125" s="286" t="s">
        <v>195</v>
      </c>
      <c r="C125" s="314"/>
      <c r="D125" s="314"/>
      <c r="E125" s="314"/>
      <c r="F125" s="314"/>
      <c r="G125" s="314"/>
      <c r="H125" s="314"/>
      <c r="I125" s="314"/>
      <c r="J125" s="314"/>
      <c r="K125" s="314"/>
      <c r="L125" s="314"/>
      <c r="M125" s="314"/>
      <c r="N125" s="314"/>
      <c r="O125" s="314"/>
      <c r="P125" s="314"/>
      <c r="Q125" s="314"/>
      <c r="R125" s="314"/>
      <c r="S125" s="314"/>
      <c r="T125" s="337">
        <v>-2033</v>
      </c>
      <c r="U125" s="337"/>
      <c r="V125" s="338"/>
      <c r="W125" s="318"/>
      <c r="X125" s="5"/>
    </row>
    <row r="126" spans="1:24" ht="15.75" x14ac:dyDescent="0.25">
      <c r="A126" s="285"/>
      <c r="B126" s="286" t="s">
        <v>194</v>
      </c>
      <c r="C126" s="314"/>
      <c r="D126" s="314"/>
      <c r="E126" s="314"/>
      <c r="F126" s="314"/>
      <c r="G126" s="314"/>
      <c r="H126" s="314"/>
      <c r="I126" s="314"/>
      <c r="J126" s="314"/>
      <c r="K126" s="314"/>
      <c r="L126" s="314"/>
      <c r="M126" s="314"/>
      <c r="N126" s="314"/>
      <c r="O126" s="314"/>
      <c r="P126" s="314"/>
      <c r="Q126" s="314"/>
      <c r="R126" s="314"/>
      <c r="S126" s="314"/>
      <c r="T126" s="337">
        <v>-725</v>
      </c>
      <c r="U126" s="337"/>
      <c r="V126" s="338"/>
      <c r="W126" s="318"/>
      <c r="X126" s="5"/>
    </row>
    <row r="127" spans="1:24" ht="15.75" x14ac:dyDescent="0.25">
      <c r="A127" s="285"/>
      <c r="B127" s="286" t="s">
        <v>222</v>
      </c>
      <c r="C127" s="314"/>
      <c r="D127" s="314"/>
      <c r="E127" s="314"/>
      <c r="F127" s="314"/>
      <c r="G127" s="314"/>
      <c r="H127" s="314"/>
      <c r="I127" s="314"/>
      <c r="J127" s="314"/>
      <c r="K127" s="314"/>
      <c r="L127" s="314"/>
      <c r="M127" s="314"/>
      <c r="N127" s="314"/>
      <c r="O127" s="314"/>
      <c r="P127" s="314"/>
      <c r="Q127" s="314"/>
      <c r="R127" s="314"/>
      <c r="S127" s="314"/>
      <c r="T127" s="337">
        <v>-717</v>
      </c>
      <c r="U127" s="337"/>
      <c r="V127" s="338"/>
      <c r="W127" s="318"/>
      <c r="X127" s="5"/>
    </row>
    <row r="128" spans="1:24" ht="15.75" x14ac:dyDescent="0.25">
      <c r="A128" s="285"/>
      <c r="B128" s="286" t="s">
        <v>189</v>
      </c>
      <c r="C128" s="314"/>
      <c r="D128" s="314"/>
      <c r="E128" s="314"/>
      <c r="F128" s="314"/>
      <c r="G128" s="314"/>
      <c r="H128" s="314"/>
      <c r="I128" s="314"/>
      <c r="J128" s="314"/>
      <c r="K128" s="314"/>
      <c r="L128" s="314"/>
      <c r="M128" s="314"/>
      <c r="N128" s="314"/>
      <c r="O128" s="314"/>
      <c r="P128" s="314"/>
      <c r="Q128" s="314"/>
      <c r="R128" s="314"/>
      <c r="S128" s="314"/>
      <c r="T128" s="337">
        <v>0</v>
      </c>
      <c r="U128" s="337"/>
      <c r="V128" s="338"/>
      <c r="W128" s="318"/>
      <c r="X128" s="5"/>
    </row>
    <row r="129" spans="1:24" ht="15.75" x14ac:dyDescent="0.25">
      <c r="A129" s="285"/>
      <c r="B129" s="286" t="s">
        <v>188</v>
      </c>
      <c r="C129" s="314"/>
      <c r="D129" s="314"/>
      <c r="E129" s="314"/>
      <c r="F129" s="314"/>
      <c r="G129" s="314"/>
      <c r="H129" s="314"/>
      <c r="I129" s="314"/>
      <c r="J129" s="314"/>
      <c r="K129" s="314"/>
      <c r="L129" s="314"/>
      <c r="M129" s="314"/>
      <c r="N129" s="314"/>
      <c r="O129" s="314"/>
      <c r="P129" s="314"/>
      <c r="Q129" s="314"/>
      <c r="R129" s="314"/>
      <c r="S129" s="314"/>
      <c r="T129" s="337">
        <v>0</v>
      </c>
      <c r="U129" s="337"/>
      <c r="V129" s="338"/>
      <c r="W129" s="318"/>
      <c r="X129" s="5"/>
    </row>
    <row r="130" spans="1:24" ht="15.75" x14ac:dyDescent="0.25">
      <c r="A130" s="285"/>
      <c r="B130" s="286" t="s">
        <v>187</v>
      </c>
      <c r="C130" s="314"/>
      <c r="D130" s="314"/>
      <c r="E130" s="314"/>
      <c r="F130" s="314"/>
      <c r="G130" s="314"/>
      <c r="H130" s="314"/>
      <c r="I130" s="314"/>
      <c r="J130" s="314"/>
      <c r="K130" s="314"/>
      <c r="L130" s="314"/>
      <c r="M130" s="314"/>
      <c r="N130" s="314"/>
      <c r="O130" s="314"/>
      <c r="P130" s="314"/>
      <c r="Q130" s="314"/>
      <c r="R130" s="314"/>
      <c r="S130" s="314"/>
      <c r="T130" s="337">
        <v>0</v>
      </c>
      <c r="U130" s="337"/>
      <c r="V130" s="338"/>
      <c r="W130" s="318"/>
      <c r="X130" s="5"/>
    </row>
    <row r="131" spans="1:24" ht="15.75" x14ac:dyDescent="0.25">
      <c r="A131" s="285"/>
      <c r="B131" s="286" t="s">
        <v>39</v>
      </c>
      <c r="C131" s="314"/>
      <c r="D131" s="314"/>
      <c r="E131" s="314"/>
      <c r="F131" s="314"/>
      <c r="G131" s="314"/>
      <c r="H131" s="314"/>
      <c r="I131" s="314"/>
      <c r="J131" s="314"/>
      <c r="K131" s="314"/>
      <c r="L131" s="314"/>
      <c r="M131" s="314"/>
      <c r="N131" s="314"/>
      <c r="O131" s="314"/>
      <c r="P131" s="314"/>
      <c r="Q131" s="314"/>
      <c r="R131" s="314"/>
      <c r="S131" s="314"/>
      <c r="T131" s="337">
        <f>SUM(T121:T130)</f>
        <v>-8306</v>
      </c>
      <c r="U131" s="337"/>
      <c r="V131" s="337">
        <f>SUM(V102:V129)</f>
        <v>-4679</v>
      </c>
      <c r="W131" s="318"/>
      <c r="X131" s="5"/>
    </row>
    <row r="132" spans="1:24" ht="15.75" x14ac:dyDescent="0.25">
      <c r="A132" s="285"/>
      <c r="B132" s="286" t="s">
        <v>40</v>
      </c>
      <c r="C132" s="314"/>
      <c r="D132" s="314"/>
      <c r="E132" s="314"/>
      <c r="F132" s="314"/>
      <c r="G132" s="314"/>
      <c r="H132" s="314"/>
      <c r="I132" s="314"/>
      <c r="J132" s="314"/>
      <c r="K132" s="314"/>
      <c r="L132" s="314"/>
      <c r="M132" s="314"/>
      <c r="N132" s="314"/>
      <c r="O132" s="314"/>
      <c r="P132" s="314"/>
      <c r="Q132" s="314"/>
      <c r="R132" s="314"/>
      <c r="S132" s="314"/>
      <c r="T132" s="337">
        <f>T101+T131+T114</f>
        <v>0</v>
      </c>
      <c r="U132" s="337"/>
      <c r="V132" s="337">
        <f>V101+V131</f>
        <v>0</v>
      </c>
      <c r="W132" s="318"/>
      <c r="X132" s="5"/>
    </row>
    <row r="133" spans="1:24" ht="15.75" x14ac:dyDescent="0.25">
      <c r="A133" s="181"/>
      <c r="B133" s="212"/>
      <c r="C133" s="212"/>
      <c r="D133" s="212"/>
      <c r="E133" s="212"/>
      <c r="F133" s="212"/>
      <c r="G133" s="212"/>
      <c r="H133" s="212"/>
      <c r="I133" s="212"/>
      <c r="J133" s="212"/>
      <c r="K133" s="212"/>
      <c r="L133" s="212"/>
      <c r="M133" s="212"/>
      <c r="N133" s="212"/>
      <c r="O133" s="212"/>
      <c r="P133" s="212"/>
      <c r="Q133" s="212"/>
      <c r="R133" s="212"/>
      <c r="S133" s="212"/>
      <c r="T133" s="335"/>
      <c r="U133" s="335"/>
      <c r="V133" s="335"/>
      <c r="W133" s="212"/>
      <c r="X133" s="5"/>
    </row>
    <row r="134" spans="1:24" ht="15.75" x14ac:dyDescent="0.25">
      <c r="A134" s="181"/>
      <c r="B134" s="183"/>
      <c r="C134" s="183"/>
      <c r="D134" s="183"/>
      <c r="E134" s="183"/>
      <c r="F134" s="183"/>
      <c r="G134" s="183"/>
      <c r="H134" s="183"/>
      <c r="I134" s="183"/>
      <c r="J134" s="183"/>
      <c r="K134" s="183"/>
      <c r="L134" s="183"/>
      <c r="M134" s="183"/>
      <c r="N134" s="183"/>
      <c r="O134" s="183"/>
      <c r="P134" s="183"/>
      <c r="Q134" s="183"/>
      <c r="R134" s="183"/>
      <c r="S134" s="183"/>
      <c r="T134" s="183"/>
      <c r="U134" s="183"/>
      <c r="V134" s="202"/>
      <c r="W134" s="183"/>
      <c r="X134" s="5"/>
    </row>
    <row r="135" spans="1:24" ht="19.5" thickBot="1" x14ac:dyDescent="0.35">
      <c r="A135" s="197"/>
      <c r="B135" s="270" t="str">
        <f>B64</f>
        <v>PM15 INVESTOR REPORT QUARTER ENDING FEBRUARY 2016</v>
      </c>
      <c r="C135" s="198"/>
      <c r="D135" s="198"/>
      <c r="E135" s="198"/>
      <c r="F135" s="198"/>
      <c r="G135" s="198"/>
      <c r="H135" s="198"/>
      <c r="I135" s="198"/>
      <c r="J135" s="198"/>
      <c r="K135" s="198"/>
      <c r="L135" s="198"/>
      <c r="M135" s="198"/>
      <c r="N135" s="198"/>
      <c r="O135" s="198"/>
      <c r="P135" s="198"/>
      <c r="Q135" s="198"/>
      <c r="R135" s="198"/>
      <c r="S135" s="198"/>
      <c r="T135" s="198"/>
      <c r="U135" s="198"/>
      <c r="V135" s="209"/>
      <c r="W135" s="200"/>
      <c r="X135" s="5"/>
    </row>
    <row r="136" spans="1:24" ht="15.75" x14ac:dyDescent="0.25">
      <c r="A136" s="236"/>
      <c r="B136" s="403" t="s">
        <v>41</v>
      </c>
      <c r="C136" s="238"/>
      <c r="D136" s="238"/>
      <c r="E136" s="238"/>
      <c r="F136" s="238"/>
      <c r="G136" s="238"/>
      <c r="H136" s="238"/>
      <c r="I136" s="238"/>
      <c r="J136" s="238"/>
      <c r="K136" s="238"/>
      <c r="L136" s="238"/>
      <c r="M136" s="238"/>
      <c r="N136" s="238"/>
      <c r="O136" s="238"/>
      <c r="P136" s="238"/>
      <c r="Q136" s="238"/>
      <c r="R136" s="238"/>
      <c r="S136" s="238"/>
      <c r="T136" s="238"/>
      <c r="U136" s="238"/>
      <c r="V136" s="239"/>
      <c r="W136" s="238"/>
      <c r="X136" s="5"/>
    </row>
    <row r="137" spans="1:24" ht="15.75" x14ac:dyDescent="0.25">
      <c r="A137" s="181"/>
      <c r="B137" s="191"/>
      <c r="C137" s="183"/>
      <c r="D137" s="183"/>
      <c r="E137" s="183"/>
      <c r="F137" s="183"/>
      <c r="G137" s="183"/>
      <c r="H137" s="183"/>
      <c r="I137" s="183"/>
      <c r="J137" s="183"/>
      <c r="K137" s="183"/>
      <c r="L137" s="183"/>
      <c r="M137" s="183"/>
      <c r="N137" s="183"/>
      <c r="O137" s="183"/>
      <c r="P137" s="183"/>
      <c r="Q137" s="183"/>
      <c r="R137" s="183"/>
      <c r="S137" s="183"/>
      <c r="T137" s="183"/>
      <c r="U137" s="183"/>
      <c r="V137" s="202"/>
      <c r="W137" s="183"/>
      <c r="X137" s="5"/>
    </row>
    <row r="138" spans="1:24" ht="15.75" x14ac:dyDescent="0.25">
      <c r="A138" s="181"/>
      <c r="B138" s="210" t="s">
        <v>42</v>
      </c>
      <c r="C138" s="183"/>
      <c r="D138" s="183"/>
      <c r="E138" s="183"/>
      <c r="F138" s="183"/>
      <c r="G138" s="183"/>
      <c r="H138" s="183"/>
      <c r="I138" s="183"/>
      <c r="J138" s="183"/>
      <c r="K138" s="183"/>
      <c r="L138" s="183"/>
      <c r="M138" s="183"/>
      <c r="N138" s="183"/>
      <c r="O138" s="183"/>
      <c r="P138" s="183"/>
      <c r="Q138" s="183"/>
      <c r="R138" s="183"/>
      <c r="S138" s="183"/>
      <c r="T138" s="183"/>
      <c r="U138" s="183"/>
      <c r="V138" s="202"/>
      <c r="W138" s="183"/>
      <c r="X138" s="5"/>
    </row>
    <row r="139" spans="1:24" ht="15.75" x14ac:dyDescent="0.25">
      <c r="A139" s="285"/>
      <c r="B139" s="286" t="s">
        <v>43</v>
      </c>
      <c r="C139" s="286"/>
      <c r="D139" s="286"/>
      <c r="E139" s="286"/>
      <c r="F139" s="286"/>
      <c r="G139" s="286"/>
      <c r="H139" s="286"/>
      <c r="I139" s="286"/>
      <c r="J139" s="286"/>
      <c r="K139" s="286"/>
      <c r="L139" s="286"/>
      <c r="M139" s="286"/>
      <c r="N139" s="286"/>
      <c r="O139" s="286"/>
      <c r="P139" s="286"/>
      <c r="Q139" s="286"/>
      <c r="R139" s="286"/>
      <c r="S139" s="286"/>
      <c r="T139" s="286"/>
      <c r="U139" s="286"/>
      <c r="V139" s="338">
        <f>+V34*0.019</f>
        <v>19021.526999999998</v>
      </c>
      <c r="W139" s="289"/>
      <c r="X139" s="5"/>
    </row>
    <row r="140" spans="1:24" ht="15.75" x14ac:dyDescent="0.25">
      <c r="A140" s="285"/>
      <c r="B140" s="286" t="s">
        <v>44</v>
      </c>
      <c r="C140" s="286"/>
      <c r="D140" s="286"/>
      <c r="E140" s="286"/>
      <c r="F140" s="286"/>
      <c r="G140" s="286"/>
      <c r="H140" s="286"/>
      <c r="I140" s="286"/>
      <c r="J140" s="286"/>
      <c r="K140" s="286"/>
      <c r="L140" s="286"/>
      <c r="M140" s="286"/>
      <c r="N140" s="286"/>
      <c r="O140" s="286"/>
      <c r="P140" s="286"/>
      <c r="Q140" s="286"/>
      <c r="R140" s="286"/>
      <c r="S140" s="286"/>
      <c r="T140" s="286"/>
      <c r="U140" s="286"/>
      <c r="V140" s="338">
        <v>19022</v>
      </c>
      <c r="W140" s="289"/>
      <c r="X140" s="5"/>
    </row>
    <row r="141" spans="1:24" ht="15.75" x14ac:dyDescent="0.25">
      <c r="A141" s="285"/>
      <c r="B141" s="286" t="s">
        <v>136</v>
      </c>
      <c r="C141" s="286"/>
      <c r="D141" s="286"/>
      <c r="E141" s="286"/>
      <c r="F141" s="286"/>
      <c r="G141" s="286"/>
      <c r="H141" s="286"/>
      <c r="I141" s="286"/>
      <c r="J141" s="286"/>
      <c r="K141" s="286"/>
      <c r="L141" s="286"/>
      <c r="M141" s="286"/>
      <c r="N141" s="286"/>
      <c r="O141" s="286"/>
      <c r="P141" s="286"/>
      <c r="Q141" s="286"/>
      <c r="R141" s="286"/>
      <c r="S141" s="286"/>
      <c r="T141" s="286"/>
      <c r="U141" s="286"/>
      <c r="V141" s="338"/>
      <c r="W141" s="289"/>
      <c r="X141" s="5"/>
    </row>
    <row r="142" spans="1:24" ht="15.75" x14ac:dyDescent="0.25">
      <c r="A142" s="285"/>
      <c r="B142" s="286" t="s">
        <v>123</v>
      </c>
      <c r="C142" s="286"/>
      <c r="D142" s="286"/>
      <c r="E142" s="286"/>
      <c r="F142" s="286"/>
      <c r="G142" s="286"/>
      <c r="H142" s="286"/>
      <c r="I142" s="286"/>
      <c r="J142" s="286"/>
      <c r="K142" s="286"/>
      <c r="L142" s="286"/>
      <c r="M142" s="286"/>
      <c r="N142" s="286"/>
      <c r="O142" s="286"/>
      <c r="P142" s="286"/>
      <c r="Q142" s="286"/>
      <c r="R142" s="286"/>
      <c r="S142" s="286"/>
      <c r="T142" s="286"/>
      <c r="U142" s="286"/>
      <c r="V142" s="338">
        <v>0</v>
      </c>
      <c r="W142" s="289"/>
      <c r="X142" s="5"/>
    </row>
    <row r="143" spans="1:24" ht="15.75" x14ac:dyDescent="0.25">
      <c r="A143" s="285"/>
      <c r="B143" s="286" t="s">
        <v>124</v>
      </c>
      <c r="C143" s="286"/>
      <c r="D143" s="286"/>
      <c r="E143" s="286"/>
      <c r="F143" s="286"/>
      <c r="G143" s="286"/>
      <c r="H143" s="286"/>
      <c r="I143" s="286"/>
      <c r="J143" s="286"/>
      <c r="K143" s="286"/>
      <c r="L143" s="286"/>
      <c r="M143" s="286"/>
      <c r="N143" s="286"/>
      <c r="O143" s="286"/>
      <c r="P143" s="286"/>
      <c r="Q143" s="286"/>
      <c r="R143" s="286"/>
      <c r="S143" s="286"/>
      <c r="T143" s="286"/>
      <c r="U143" s="286"/>
      <c r="V143" s="338">
        <v>0</v>
      </c>
      <c r="W143" s="289"/>
      <c r="X143" s="5"/>
    </row>
    <row r="144" spans="1:24" ht="15.75" x14ac:dyDescent="0.25">
      <c r="A144" s="285"/>
      <c r="B144" s="286" t="s">
        <v>175</v>
      </c>
      <c r="C144" s="286"/>
      <c r="D144" s="286"/>
      <c r="E144" s="286"/>
      <c r="F144" s="286"/>
      <c r="G144" s="286"/>
      <c r="H144" s="286"/>
      <c r="I144" s="286"/>
      <c r="J144" s="286"/>
      <c r="K144" s="286"/>
      <c r="L144" s="286"/>
      <c r="M144" s="286"/>
      <c r="N144" s="286"/>
      <c r="O144" s="286"/>
      <c r="P144" s="286"/>
      <c r="Q144" s="286"/>
      <c r="R144" s="286"/>
      <c r="S144" s="286"/>
      <c r="T144" s="286"/>
      <c r="U144" s="286"/>
      <c r="V144" s="338">
        <v>0</v>
      </c>
      <c r="W144" s="289"/>
      <c r="X144" s="5"/>
    </row>
    <row r="145" spans="1:25" ht="15.75" x14ac:dyDescent="0.25">
      <c r="A145" s="285"/>
      <c r="B145" s="286" t="s">
        <v>45</v>
      </c>
      <c r="C145" s="286"/>
      <c r="D145" s="286"/>
      <c r="E145" s="286"/>
      <c r="F145" s="286"/>
      <c r="G145" s="286"/>
      <c r="H145" s="286"/>
      <c r="I145" s="286"/>
      <c r="J145" s="286"/>
      <c r="K145" s="286"/>
      <c r="L145" s="286"/>
      <c r="M145" s="286"/>
      <c r="N145" s="286"/>
      <c r="O145" s="286"/>
      <c r="P145" s="286"/>
      <c r="Q145" s="286"/>
      <c r="R145" s="286"/>
      <c r="S145" s="286"/>
      <c r="T145" s="286"/>
      <c r="U145" s="286"/>
      <c r="V145" s="338">
        <v>0</v>
      </c>
      <c r="W145" s="289"/>
      <c r="X145" s="5"/>
    </row>
    <row r="146" spans="1:25" ht="15.75" x14ac:dyDescent="0.25">
      <c r="A146" s="285"/>
      <c r="B146" s="286" t="s">
        <v>129</v>
      </c>
      <c r="C146" s="286"/>
      <c r="D146" s="286"/>
      <c r="E146" s="286"/>
      <c r="F146" s="286"/>
      <c r="G146" s="286"/>
      <c r="H146" s="286"/>
      <c r="I146" s="286"/>
      <c r="J146" s="286"/>
      <c r="K146" s="286"/>
      <c r="L146" s="286"/>
      <c r="M146" s="286"/>
      <c r="N146" s="286"/>
      <c r="O146" s="286"/>
      <c r="P146" s="286"/>
      <c r="Q146" s="286"/>
      <c r="R146" s="286"/>
      <c r="S146" s="286"/>
      <c r="T146" s="286"/>
      <c r="U146" s="286"/>
      <c r="V146" s="338">
        <v>0</v>
      </c>
      <c r="W146" s="289"/>
      <c r="X146" s="5"/>
    </row>
    <row r="147" spans="1:25" ht="15.75" x14ac:dyDescent="0.25">
      <c r="A147" s="285"/>
      <c r="B147" s="286" t="s">
        <v>241</v>
      </c>
      <c r="C147" s="286"/>
      <c r="D147" s="286"/>
      <c r="E147" s="286"/>
      <c r="F147" s="286"/>
      <c r="G147" s="286"/>
      <c r="H147" s="286"/>
      <c r="I147" s="286"/>
      <c r="J147" s="286"/>
      <c r="K147" s="286"/>
      <c r="L147" s="286"/>
      <c r="M147" s="286"/>
      <c r="N147" s="286"/>
      <c r="O147" s="286"/>
      <c r="P147" s="286"/>
      <c r="Q147" s="286"/>
      <c r="R147" s="286"/>
      <c r="S147" s="286"/>
      <c r="T147" s="286"/>
      <c r="U147" s="286"/>
      <c r="V147" s="338">
        <v>0</v>
      </c>
      <c r="W147" s="289"/>
      <c r="X147" s="5"/>
      <c r="Y147" s="109"/>
    </row>
    <row r="148" spans="1:25" ht="15.75" x14ac:dyDescent="0.25">
      <c r="A148" s="285"/>
      <c r="B148" s="286" t="s">
        <v>46</v>
      </c>
      <c r="C148" s="286"/>
      <c r="D148" s="286"/>
      <c r="E148" s="286"/>
      <c r="F148" s="286"/>
      <c r="G148" s="286"/>
      <c r="H148" s="286"/>
      <c r="I148" s="286"/>
      <c r="J148" s="286"/>
      <c r="K148" s="286"/>
      <c r="L148" s="286"/>
      <c r="M148" s="286"/>
      <c r="N148" s="286"/>
      <c r="O148" s="286"/>
      <c r="P148" s="286"/>
      <c r="Q148" s="286"/>
      <c r="R148" s="286"/>
      <c r="S148" s="286"/>
      <c r="T148" s="286"/>
      <c r="U148" s="286"/>
      <c r="V148" s="338">
        <f>SUM(V140:V147)</f>
        <v>19022</v>
      </c>
      <c r="W148" s="289"/>
      <c r="X148" s="5"/>
    </row>
    <row r="149" spans="1:25" ht="15.75" x14ac:dyDescent="0.25">
      <c r="A149" s="285"/>
      <c r="B149" s="314"/>
      <c r="C149" s="314"/>
      <c r="D149" s="314"/>
      <c r="E149" s="314"/>
      <c r="F149" s="314"/>
      <c r="G149" s="314"/>
      <c r="H149" s="314"/>
      <c r="I149" s="314"/>
      <c r="J149" s="314"/>
      <c r="K149" s="314"/>
      <c r="L149" s="314"/>
      <c r="M149" s="314"/>
      <c r="N149" s="314"/>
      <c r="O149" s="314"/>
      <c r="P149" s="314"/>
      <c r="Q149" s="314"/>
      <c r="R149" s="314"/>
      <c r="S149" s="314"/>
      <c r="T149" s="314"/>
      <c r="U149" s="314"/>
      <c r="V149" s="345"/>
      <c r="W149" s="318"/>
      <c r="X149" s="5"/>
    </row>
    <row r="150" spans="1:25" ht="15.75" x14ac:dyDescent="0.25">
      <c r="A150" s="285"/>
      <c r="B150" s="342" t="s">
        <v>269</v>
      </c>
      <c r="C150" s="314"/>
      <c r="D150" s="314"/>
      <c r="E150" s="314"/>
      <c r="F150" s="314"/>
      <c r="G150" s="314"/>
      <c r="H150" s="314"/>
      <c r="I150" s="314"/>
      <c r="J150" s="314"/>
      <c r="K150" s="314"/>
      <c r="L150" s="314"/>
      <c r="M150" s="314"/>
      <c r="N150" s="314"/>
      <c r="O150" s="314"/>
      <c r="P150" s="314"/>
      <c r="Q150" s="314"/>
      <c r="R150" s="314"/>
      <c r="S150" s="314"/>
      <c r="T150" s="314"/>
      <c r="U150" s="314"/>
      <c r="V150" s="345"/>
      <c r="W150" s="318"/>
      <c r="X150" s="5"/>
    </row>
    <row r="151" spans="1:25" ht="15.75" x14ac:dyDescent="0.25">
      <c r="A151" s="285"/>
      <c r="B151" s="286" t="s">
        <v>155</v>
      </c>
      <c r="C151" s="286"/>
      <c r="D151" s="286"/>
      <c r="E151" s="286"/>
      <c r="F151" s="286"/>
      <c r="G151" s="286"/>
      <c r="H151" s="286"/>
      <c r="I151" s="286"/>
      <c r="J151" s="286"/>
      <c r="K151" s="286"/>
      <c r="L151" s="286"/>
      <c r="M151" s="286"/>
      <c r="N151" s="286"/>
      <c r="O151" s="286"/>
      <c r="P151" s="286"/>
      <c r="Q151" s="286"/>
      <c r="R151" s="286"/>
      <c r="S151" s="286"/>
      <c r="T151" s="286"/>
      <c r="U151" s="286"/>
      <c r="V151" s="338">
        <v>0</v>
      </c>
      <c r="W151" s="289"/>
      <c r="X151" s="5"/>
    </row>
    <row r="152" spans="1:25" ht="15.75" x14ac:dyDescent="0.25">
      <c r="A152" s="285"/>
      <c r="B152" s="286" t="s">
        <v>172</v>
      </c>
      <c r="C152" s="286"/>
      <c r="D152" s="286"/>
      <c r="E152" s="286"/>
      <c r="F152" s="286"/>
      <c r="G152" s="286"/>
      <c r="H152" s="286"/>
      <c r="I152" s="286"/>
      <c r="J152" s="286"/>
      <c r="K152" s="286"/>
      <c r="L152" s="286"/>
      <c r="M152" s="286"/>
      <c r="N152" s="286"/>
      <c r="O152" s="286"/>
      <c r="P152" s="286"/>
      <c r="Q152" s="286"/>
      <c r="R152" s="286"/>
      <c r="S152" s="286"/>
      <c r="T152" s="286"/>
      <c r="U152" s="286"/>
      <c r="V152" s="338">
        <v>0</v>
      </c>
      <c r="W152" s="289"/>
      <c r="X152" s="5"/>
    </row>
    <row r="153" spans="1:25" ht="15.75" x14ac:dyDescent="0.25">
      <c r="A153" s="285"/>
      <c r="B153" s="286" t="s">
        <v>226</v>
      </c>
      <c r="C153" s="286"/>
      <c r="D153" s="286"/>
      <c r="E153" s="286"/>
      <c r="F153" s="286"/>
      <c r="G153" s="286"/>
      <c r="H153" s="286"/>
      <c r="I153" s="286"/>
      <c r="J153" s="286"/>
      <c r="K153" s="286"/>
      <c r="L153" s="286"/>
      <c r="M153" s="286"/>
      <c r="N153" s="286"/>
      <c r="O153" s="286"/>
      <c r="P153" s="286"/>
      <c r="Q153" s="286"/>
      <c r="R153" s="286"/>
      <c r="S153" s="286"/>
      <c r="T153" s="286"/>
      <c r="U153" s="286"/>
      <c r="V153" s="338">
        <v>0</v>
      </c>
      <c r="W153" s="289"/>
      <c r="X153" s="5"/>
    </row>
    <row r="154" spans="1:25" ht="15.75" x14ac:dyDescent="0.25">
      <c r="A154" s="285"/>
      <c r="B154" s="314"/>
      <c r="C154" s="314"/>
      <c r="D154" s="314"/>
      <c r="E154" s="314"/>
      <c r="F154" s="314"/>
      <c r="G154" s="314"/>
      <c r="H154" s="314"/>
      <c r="I154" s="314"/>
      <c r="J154" s="314"/>
      <c r="K154" s="314"/>
      <c r="L154" s="314"/>
      <c r="M154" s="314"/>
      <c r="N154" s="314"/>
      <c r="O154" s="314"/>
      <c r="P154" s="314"/>
      <c r="Q154" s="314"/>
      <c r="R154" s="314"/>
      <c r="S154" s="314"/>
      <c r="T154" s="314"/>
      <c r="U154" s="314"/>
      <c r="V154" s="345"/>
      <c r="W154" s="318"/>
      <c r="X154" s="5"/>
    </row>
    <row r="155" spans="1:25" ht="15.75" x14ac:dyDescent="0.25">
      <c r="A155" s="181"/>
      <c r="B155" s="212"/>
      <c r="C155" s="212"/>
      <c r="D155" s="212"/>
      <c r="E155" s="212"/>
      <c r="F155" s="212"/>
      <c r="G155" s="212"/>
      <c r="H155" s="212"/>
      <c r="I155" s="212"/>
      <c r="J155" s="212"/>
      <c r="K155" s="212"/>
      <c r="L155" s="212"/>
      <c r="M155" s="212"/>
      <c r="N155" s="212"/>
      <c r="O155" s="212"/>
      <c r="P155" s="212"/>
      <c r="Q155" s="212"/>
      <c r="R155" s="212"/>
      <c r="S155" s="212"/>
      <c r="T155" s="212"/>
      <c r="U155" s="212"/>
      <c r="V155" s="344"/>
      <c r="W155" s="212"/>
      <c r="X155" s="5"/>
    </row>
    <row r="156" spans="1:25" ht="15.75" x14ac:dyDescent="0.25">
      <c r="A156" s="181"/>
      <c r="B156" s="210" t="s">
        <v>24</v>
      </c>
      <c r="C156" s="183"/>
      <c r="D156" s="183"/>
      <c r="E156" s="183"/>
      <c r="F156" s="183"/>
      <c r="G156" s="183"/>
      <c r="H156" s="183"/>
      <c r="I156" s="183"/>
      <c r="J156" s="183"/>
      <c r="K156" s="183"/>
      <c r="L156" s="183"/>
      <c r="M156" s="183"/>
      <c r="N156" s="183"/>
      <c r="O156" s="183"/>
      <c r="P156" s="183"/>
      <c r="Q156" s="183"/>
      <c r="R156" s="183"/>
      <c r="S156" s="183"/>
      <c r="T156" s="183"/>
      <c r="U156" s="183"/>
      <c r="V156" s="202"/>
      <c r="W156" s="183"/>
      <c r="X156" s="5"/>
    </row>
    <row r="157" spans="1:25" ht="15.75" x14ac:dyDescent="0.25">
      <c r="A157" s="285"/>
      <c r="B157" s="286" t="s">
        <v>47</v>
      </c>
      <c r="C157" s="286"/>
      <c r="D157" s="286"/>
      <c r="E157" s="286"/>
      <c r="F157" s="286"/>
      <c r="G157" s="286"/>
      <c r="H157" s="286"/>
      <c r="I157" s="286"/>
      <c r="J157" s="286"/>
      <c r="K157" s="286"/>
      <c r="L157" s="286"/>
      <c r="M157" s="286"/>
      <c r="N157" s="286"/>
      <c r="O157" s="286"/>
      <c r="P157" s="286"/>
      <c r="Q157" s="286"/>
      <c r="R157" s="286"/>
      <c r="S157" s="286"/>
      <c r="T157" s="286"/>
      <c r="U157" s="286"/>
      <c r="V157" s="343" t="s">
        <v>118</v>
      </c>
      <c r="W157" s="318"/>
      <c r="X157" s="5"/>
    </row>
    <row r="158" spans="1:25" ht="15.75" x14ac:dyDescent="0.25">
      <c r="A158" s="285"/>
      <c r="B158" s="286" t="s">
        <v>48</v>
      </c>
      <c r="C158" s="288"/>
      <c r="D158" s="288"/>
      <c r="E158" s="288"/>
      <c r="F158" s="288"/>
      <c r="G158" s="288"/>
      <c r="H158" s="288"/>
      <c r="I158" s="288"/>
      <c r="J158" s="288"/>
      <c r="K158" s="288"/>
      <c r="L158" s="288"/>
      <c r="M158" s="288"/>
      <c r="N158" s="288"/>
      <c r="O158" s="288"/>
      <c r="P158" s="288"/>
      <c r="Q158" s="288"/>
      <c r="R158" s="288"/>
      <c r="S158" s="288"/>
      <c r="T158" s="288"/>
      <c r="U158" s="288"/>
      <c r="V158" s="343" t="s">
        <v>118</v>
      </c>
      <c r="W158" s="318"/>
      <c r="X158" s="5"/>
    </row>
    <row r="159" spans="1:25" ht="15.75" x14ac:dyDescent="0.25">
      <c r="A159" s="285"/>
      <c r="B159" s="286" t="s">
        <v>49</v>
      </c>
      <c r="C159" s="286"/>
      <c r="D159" s="286"/>
      <c r="E159" s="286"/>
      <c r="F159" s="286"/>
      <c r="G159" s="286"/>
      <c r="H159" s="286"/>
      <c r="I159" s="286"/>
      <c r="J159" s="286"/>
      <c r="K159" s="286"/>
      <c r="L159" s="286"/>
      <c r="M159" s="286"/>
      <c r="N159" s="286"/>
      <c r="O159" s="286"/>
      <c r="P159" s="286"/>
      <c r="Q159" s="286"/>
      <c r="R159" s="286"/>
      <c r="S159" s="286"/>
      <c r="T159" s="286"/>
      <c r="U159" s="286"/>
      <c r="V159" s="343" t="s">
        <v>118</v>
      </c>
      <c r="W159" s="318"/>
      <c r="X159" s="5"/>
    </row>
    <row r="160" spans="1:25" ht="15.75" x14ac:dyDescent="0.25">
      <c r="A160" s="285"/>
      <c r="B160" s="286" t="s">
        <v>50</v>
      </c>
      <c r="C160" s="286"/>
      <c r="D160" s="286"/>
      <c r="E160" s="286"/>
      <c r="F160" s="286"/>
      <c r="G160" s="286"/>
      <c r="H160" s="286"/>
      <c r="I160" s="286"/>
      <c r="J160" s="286"/>
      <c r="K160" s="286"/>
      <c r="L160" s="286"/>
      <c r="M160" s="286"/>
      <c r="N160" s="286"/>
      <c r="O160" s="286"/>
      <c r="P160" s="286"/>
      <c r="Q160" s="286"/>
      <c r="R160" s="286"/>
      <c r="S160" s="286"/>
      <c r="T160" s="286"/>
      <c r="U160" s="286"/>
      <c r="V160" s="343" t="s">
        <v>118</v>
      </c>
      <c r="W160" s="318"/>
      <c r="X160" s="5"/>
    </row>
    <row r="161" spans="1:256" ht="15.75" x14ac:dyDescent="0.25">
      <c r="A161" s="181"/>
      <c r="B161" s="212"/>
      <c r="C161" s="212"/>
      <c r="D161" s="212"/>
      <c r="E161" s="212"/>
      <c r="F161" s="212"/>
      <c r="G161" s="212"/>
      <c r="H161" s="212"/>
      <c r="I161" s="212"/>
      <c r="J161" s="212"/>
      <c r="K161" s="212"/>
      <c r="L161" s="212"/>
      <c r="M161" s="212"/>
      <c r="N161" s="212"/>
      <c r="O161" s="212"/>
      <c r="P161" s="212"/>
      <c r="Q161" s="212"/>
      <c r="R161" s="212"/>
      <c r="S161" s="212"/>
      <c r="T161" s="212"/>
      <c r="U161" s="212"/>
      <c r="V161" s="344"/>
      <c r="W161" s="212"/>
      <c r="X161" s="5"/>
    </row>
    <row r="162" spans="1:256" ht="15.75" x14ac:dyDescent="0.25">
      <c r="A162" s="181"/>
      <c r="B162" s="210" t="s">
        <v>51</v>
      </c>
      <c r="C162" s="183"/>
      <c r="D162" s="183"/>
      <c r="E162" s="183"/>
      <c r="F162" s="183"/>
      <c r="G162" s="183"/>
      <c r="H162" s="183"/>
      <c r="I162" s="183"/>
      <c r="J162" s="183"/>
      <c r="K162" s="183"/>
      <c r="L162" s="183"/>
      <c r="M162" s="183"/>
      <c r="N162" s="183"/>
      <c r="O162" s="183"/>
      <c r="P162" s="183"/>
      <c r="Q162" s="183"/>
      <c r="R162" s="183"/>
      <c r="S162" s="183"/>
      <c r="T162" s="183"/>
      <c r="U162" s="183"/>
      <c r="V162" s="211"/>
      <c r="W162" s="183"/>
      <c r="X162" s="5"/>
    </row>
    <row r="163" spans="1:256" ht="15.75" x14ac:dyDescent="0.25">
      <c r="A163" s="285"/>
      <c r="B163" s="286" t="s">
        <v>52</v>
      </c>
      <c r="C163" s="286"/>
      <c r="D163" s="286"/>
      <c r="E163" s="286"/>
      <c r="F163" s="286"/>
      <c r="G163" s="286"/>
      <c r="H163" s="286"/>
      <c r="I163" s="286"/>
      <c r="J163" s="286"/>
      <c r="K163" s="286"/>
      <c r="L163" s="286"/>
      <c r="M163" s="286"/>
      <c r="N163" s="286"/>
      <c r="O163" s="286"/>
      <c r="P163" s="286"/>
      <c r="Q163" s="286"/>
      <c r="R163" s="286"/>
      <c r="S163" s="286"/>
      <c r="T163" s="286"/>
      <c r="U163" s="286"/>
      <c r="V163" s="338">
        <v>0</v>
      </c>
      <c r="W163" s="289"/>
      <c r="X163" s="5"/>
    </row>
    <row r="164" spans="1:256" ht="15.75" x14ac:dyDescent="0.25">
      <c r="A164" s="285"/>
      <c r="B164" s="286" t="s">
        <v>53</v>
      </c>
      <c r="C164" s="286"/>
      <c r="D164" s="286"/>
      <c r="E164" s="286"/>
      <c r="F164" s="286"/>
      <c r="G164" s="286"/>
      <c r="H164" s="286"/>
      <c r="I164" s="286"/>
      <c r="J164" s="286"/>
      <c r="K164" s="286"/>
      <c r="L164" s="286"/>
      <c r="M164" s="286"/>
      <c r="N164" s="286"/>
      <c r="O164" s="286"/>
      <c r="P164" s="286"/>
      <c r="Q164" s="286"/>
      <c r="R164" s="286"/>
      <c r="S164" s="286"/>
      <c r="T164" s="286"/>
      <c r="U164" s="286"/>
      <c r="V164" s="338">
        <v>-27</v>
      </c>
      <c r="W164" s="289"/>
      <c r="X164" s="5"/>
    </row>
    <row r="165" spans="1:256" ht="15.75" x14ac:dyDescent="0.25">
      <c r="A165" s="285"/>
      <c r="B165" s="286" t="s">
        <v>54</v>
      </c>
      <c r="C165" s="286"/>
      <c r="D165" s="286"/>
      <c r="E165" s="286"/>
      <c r="F165" s="286"/>
      <c r="G165" s="286"/>
      <c r="H165" s="286"/>
      <c r="I165" s="286"/>
      <c r="J165" s="286"/>
      <c r="K165" s="286"/>
      <c r="L165" s="286"/>
      <c r="M165" s="286"/>
      <c r="N165" s="286"/>
      <c r="O165" s="286"/>
      <c r="P165" s="286"/>
      <c r="Q165" s="286"/>
      <c r="R165" s="286"/>
      <c r="S165" s="286"/>
      <c r="T165" s="286"/>
      <c r="U165" s="286"/>
      <c r="V165" s="338">
        <f>V164+V163</f>
        <v>-27</v>
      </c>
      <c r="W165" s="289"/>
      <c r="X165" s="5"/>
    </row>
    <row r="166" spans="1:256" ht="15.75" x14ac:dyDescent="0.25">
      <c r="A166" s="285"/>
      <c r="B166" s="286" t="s">
        <v>303</v>
      </c>
      <c r="C166" s="286"/>
      <c r="D166" s="286"/>
      <c r="E166" s="286"/>
      <c r="F166" s="286"/>
      <c r="G166" s="286"/>
      <c r="H166" s="286"/>
      <c r="I166" s="286"/>
      <c r="J166" s="286"/>
      <c r="K166" s="286"/>
      <c r="L166" s="286"/>
      <c r="M166" s="286"/>
      <c r="N166" s="286"/>
      <c r="O166" s="286"/>
      <c r="P166" s="286"/>
      <c r="Q166" s="286"/>
      <c r="R166" s="286"/>
      <c r="S166" s="286"/>
      <c r="T166" s="286"/>
      <c r="U166" s="286"/>
      <c r="V166" s="338">
        <f>V114</f>
        <v>27</v>
      </c>
      <c r="W166" s="289"/>
      <c r="X166" s="5"/>
    </row>
    <row r="167" spans="1:256" ht="15.75" x14ac:dyDescent="0.25">
      <c r="A167" s="285"/>
      <c r="B167" s="286" t="s">
        <v>55</v>
      </c>
      <c r="C167" s="286"/>
      <c r="D167" s="286"/>
      <c r="E167" s="286"/>
      <c r="F167" s="286"/>
      <c r="G167" s="286"/>
      <c r="H167" s="286"/>
      <c r="I167" s="286"/>
      <c r="J167" s="286"/>
      <c r="K167" s="286"/>
      <c r="L167" s="286"/>
      <c r="M167" s="286"/>
      <c r="N167" s="286"/>
      <c r="O167" s="286"/>
      <c r="P167" s="286"/>
      <c r="Q167" s="286"/>
      <c r="R167" s="286"/>
      <c r="S167" s="286"/>
      <c r="T167" s="286"/>
      <c r="U167" s="286"/>
      <c r="V167" s="338">
        <f>V165+V166</f>
        <v>0</v>
      </c>
      <c r="W167" s="289"/>
      <c r="X167" s="5"/>
    </row>
    <row r="168" spans="1:256" ht="15.75" x14ac:dyDescent="0.25">
      <c r="A168" s="285"/>
      <c r="B168" s="286" t="s">
        <v>274</v>
      </c>
      <c r="C168" s="286"/>
      <c r="D168" s="286"/>
      <c r="E168" s="286"/>
      <c r="F168" s="286"/>
      <c r="G168" s="286"/>
      <c r="H168" s="286"/>
      <c r="I168" s="286"/>
      <c r="J168" s="286"/>
      <c r="K168" s="286"/>
      <c r="L168" s="286"/>
      <c r="M168" s="286"/>
      <c r="N168" s="286"/>
      <c r="O168" s="286"/>
      <c r="P168" s="286"/>
      <c r="Q168" s="286"/>
      <c r="R168" s="286"/>
      <c r="S168" s="286"/>
      <c r="T168" s="286"/>
      <c r="U168" s="286"/>
      <c r="V168" s="338">
        <f>-V100</f>
        <v>19</v>
      </c>
      <c r="W168" s="289"/>
      <c r="X168" s="5"/>
    </row>
    <row r="169" spans="1:256" ht="16.5" thickBot="1" x14ac:dyDescent="0.3">
      <c r="A169" s="181"/>
      <c r="B169" s="212"/>
      <c r="C169" s="212"/>
      <c r="D169" s="212"/>
      <c r="E169" s="212"/>
      <c r="F169" s="212"/>
      <c r="G169" s="212"/>
      <c r="H169" s="212"/>
      <c r="I169" s="212"/>
      <c r="J169" s="212"/>
      <c r="K169" s="212"/>
      <c r="L169" s="212"/>
      <c r="M169" s="212"/>
      <c r="N169" s="212"/>
      <c r="O169" s="212"/>
      <c r="P169" s="212"/>
      <c r="Q169" s="212"/>
      <c r="R169" s="212"/>
      <c r="S169" s="212"/>
      <c r="T169" s="212"/>
      <c r="U169" s="212"/>
      <c r="V169" s="344"/>
      <c r="W169" s="212"/>
      <c r="X169" s="5"/>
    </row>
    <row r="170" spans="1:256" ht="15.75" x14ac:dyDescent="0.25">
      <c r="A170" s="179"/>
      <c r="B170" s="180"/>
      <c r="C170" s="180"/>
      <c r="D170" s="180"/>
      <c r="E170" s="180"/>
      <c r="F170" s="180"/>
      <c r="G170" s="180"/>
      <c r="H170" s="180"/>
      <c r="I170" s="180"/>
      <c r="J170" s="180"/>
      <c r="K170" s="180"/>
      <c r="L170" s="180"/>
      <c r="M170" s="180"/>
      <c r="N170" s="180"/>
      <c r="O170" s="180"/>
      <c r="P170" s="180"/>
      <c r="Q170" s="180"/>
      <c r="R170" s="180"/>
      <c r="S170" s="180"/>
      <c r="T170" s="180"/>
      <c r="U170" s="180"/>
      <c r="V170" s="201"/>
      <c r="W170" s="180"/>
      <c r="X170" s="5"/>
    </row>
    <row r="171" spans="1:256" s="158" customFormat="1" ht="15.75" x14ac:dyDescent="0.25">
      <c r="A171" s="181"/>
      <c r="B171" s="210" t="s">
        <v>230</v>
      </c>
      <c r="C171" s="212"/>
      <c r="D171" s="212"/>
      <c r="E171" s="212"/>
      <c r="F171" s="212"/>
      <c r="G171" s="212"/>
      <c r="H171" s="212"/>
      <c r="I171" s="212"/>
      <c r="J171" s="212"/>
      <c r="K171" s="212"/>
      <c r="L171" s="212"/>
      <c r="M171" s="212"/>
      <c r="N171" s="212"/>
      <c r="O171" s="212"/>
      <c r="P171" s="212"/>
      <c r="Q171" s="212"/>
      <c r="R171" s="212"/>
      <c r="S171" s="212"/>
      <c r="T171" s="212"/>
      <c r="U171" s="212"/>
      <c r="V171" s="213"/>
      <c r="W171" s="212"/>
      <c r="X171" s="5"/>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s="160" customFormat="1" ht="15.75" x14ac:dyDescent="0.25">
      <c r="A172" s="285"/>
      <c r="B172" s="286" t="s">
        <v>231</v>
      </c>
      <c r="C172" s="286"/>
      <c r="D172" s="286"/>
      <c r="E172" s="286"/>
      <c r="F172" s="286"/>
      <c r="G172" s="286"/>
      <c r="H172" s="286"/>
      <c r="I172" s="286"/>
      <c r="J172" s="286"/>
      <c r="K172" s="286"/>
      <c r="L172" s="286"/>
      <c r="M172" s="286"/>
      <c r="N172" s="286"/>
      <c r="O172" s="286"/>
      <c r="P172" s="286"/>
      <c r="Q172" s="286"/>
      <c r="R172" s="286"/>
      <c r="S172" s="286"/>
      <c r="T172" s="286"/>
      <c r="U172" s="286"/>
      <c r="V172" s="338">
        <f>+'Aug 08'!V173</f>
        <v>0</v>
      </c>
      <c r="W172" s="289"/>
      <c r="X172" s="5"/>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s="160" customFormat="1" ht="15.75" x14ac:dyDescent="0.25">
      <c r="A173" s="285"/>
      <c r="B173" s="286" t="s">
        <v>234</v>
      </c>
      <c r="C173" s="286"/>
      <c r="D173" s="286"/>
      <c r="E173" s="286"/>
      <c r="F173" s="286"/>
      <c r="G173" s="286"/>
      <c r="H173" s="286"/>
      <c r="I173" s="286"/>
      <c r="J173" s="286"/>
      <c r="K173" s="286"/>
      <c r="L173" s="286"/>
      <c r="M173" s="286"/>
      <c r="N173" s="286"/>
      <c r="O173" s="286"/>
      <c r="P173" s="286"/>
      <c r="Q173" s="286"/>
      <c r="R173" s="286"/>
      <c r="S173" s="286"/>
      <c r="T173" s="286"/>
      <c r="U173" s="286"/>
      <c r="V173" s="338">
        <f>+V94</f>
        <v>0</v>
      </c>
      <c r="W173" s="289"/>
      <c r="X173" s="5"/>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s="160" customFormat="1" ht="15.75" x14ac:dyDescent="0.25">
      <c r="A174" s="285"/>
      <c r="B174" s="286" t="s">
        <v>232</v>
      </c>
      <c r="C174" s="286"/>
      <c r="D174" s="286"/>
      <c r="E174" s="286"/>
      <c r="F174" s="286"/>
      <c r="G174" s="286"/>
      <c r="H174" s="286"/>
      <c r="I174" s="286"/>
      <c r="J174" s="286"/>
      <c r="K174" s="286"/>
      <c r="L174" s="286"/>
      <c r="M174" s="286"/>
      <c r="N174" s="286"/>
      <c r="O174" s="286"/>
      <c r="P174" s="286"/>
      <c r="Q174" s="286"/>
      <c r="R174" s="286"/>
      <c r="S174" s="286"/>
      <c r="T174" s="286"/>
      <c r="U174" s="286"/>
      <c r="V174" s="338">
        <f>+V172-V173</f>
        <v>0</v>
      </c>
      <c r="W174" s="289"/>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6.5" thickBot="1" x14ac:dyDescent="0.3">
      <c r="A175" s="197"/>
      <c r="B175" s="212"/>
      <c r="C175" s="212"/>
      <c r="D175" s="212"/>
      <c r="E175" s="212"/>
      <c r="F175" s="212"/>
      <c r="G175" s="212"/>
      <c r="H175" s="212"/>
      <c r="I175" s="212"/>
      <c r="J175" s="212"/>
      <c r="K175" s="212"/>
      <c r="L175" s="212"/>
      <c r="M175" s="212"/>
      <c r="N175" s="212"/>
      <c r="O175" s="212"/>
      <c r="P175" s="212"/>
      <c r="Q175" s="212"/>
      <c r="R175" s="212"/>
      <c r="S175" s="212"/>
      <c r="T175" s="212"/>
      <c r="U175" s="212"/>
      <c r="V175" s="344"/>
      <c r="W175" s="212"/>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4" customFormat="1" ht="15.75" x14ac:dyDescent="0.25">
      <c r="A176" s="179"/>
      <c r="B176" s="180"/>
      <c r="C176" s="180"/>
      <c r="D176" s="180"/>
      <c r="E176" s="180"/>
      <c r="F176" s="180"/>
      <c r="G176" s="180"/>
      <c r="H176" s="180"/>
      <c r="I176" s="180"/>
      <c r="J176" s="180"/>
      <c r="K176" s="180"/>
      <c r="L176" s="180"/>
      <c r="M176" s="180"/>
      <c r="N176" s="180"/>
      <c r="O176" s="180"/>
      <c r="P176" s="180"/>
      <c r="Q176" s="180"/>
      <c r="R176" s="180"/>
      <c r="S176" s="180"/>
      <c r="T176" s="180"/>
      <c r="U176" s="180"/>
      <c r="V176" s="201"/>
      <c r="W176" s="180"/>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4" ht="15.75" x14ac:dyDescent="0.25">
      <c r="A177" s="181"/>
      <c r="B177" s="210" t="s">
        <v>56</v>
      </c>
      <c r="C177" s="183"/>
      <c r="D177" s="183"/>
      <c r="E177" s="183"/>
      <c r="F177" s="183"/>
      <c r="G177" s="183"/>
      <c r="H177" s="183"/>
      <c r="I177" s="183"/>
      <c r="J177" s="183"/>
      <c r="K177" s="183"/>
      <c r="L177" s="183"/>
      <c r="M177" s="183"/>
      <c r="N177" s="183"/>
      <c r="O177" s="183"/>
      <c r="P177" s="183"/>
      <c r="Q177" s="183"/>
      <c r="R177" s="183"/>
      <c r="S177" s="183"/>
      <c r="T177" s="183"/>
      <c r="U177" s="183"/>
      <c r="V177" s="202"/>
      <c r="W177" s="183"/>
      <c r="X177" s="5"/>
    </row>
    <row r="178" spans="1:24" ht="15.75" x14ac:dyDescent="0.25">
      <c r="A178" s="181"/>
      <c r="B178" s="191"/>
      <c r="C178" s="183"/>
      <c r="D178" s="183"/>
      <c r="E178" s="183"/>
      <c r="F178" s="183"/>
      <c r="G178" s="183"/>
      <c r="H178" s="183"/>
      <c r="I178" s="183"/>
      <c r="J178" s="183"/>
      <c r="K178" s="183"/>
      <c r="L178" s="183"/>
      <c r="M178" s="183"/>
      <c r="N178" s="183"/>
      <c r="O178" s="183"/>
      <c r="P178" s="183"/>
      <c r="Q178" s="183"/>
      <c r="R178" s="183"/>
      <c r="S178" s="183"/>
      <c r="T178" s="183"/>
      <c r="U178" s="183"/>
      <c r="V178" s="202"/>
      <c r="W178" s="183"/>
      <c r="X178" s="5"/>
    </row>
    <row r="179" spans="1:24" ht="15.75" x14ac:dyDescent="0.25">
      <c r="A179" s="285"/>
      <c r="B179" s="286" t="s">
        <v>57</v>
      </c>
      <c r="C179" s="286"/>
      <c r="D179" s="286"/>
      <c r="E179" s="286"/>
      <c r="F179" s="286"/>
      <c r="G179" s="286"/>
      <c r="H179" s="286"/>
      <c r="I179" s="286"/>
      <c r="J179" s="286"/>
      <c r="K179" s="286"/>
      <c r="L179" s="286"/>
      <c r="M179" s="286"/>
      <c r="N179" s="286"/>
      <c r="O179" s="286"/>
      <c r="P179" s="286"/>
      <c r="Q179" s="286"/>
      <c r="R179" s="286"/>
      <c r="S179" s="286"/>
      <c r="T179" s="286"/>
      <c r="U179" s="286"/>
      <c r="V179" s="338">
        <f>V71</f>
        <v>718948</v>
      </c>
      <c r="W179" s="289"/>
      <c r="X179" s="5"/>
    </row>
    <row r="180" spans="1:24" ht="15.75" x14ac:dyDescent="0.25">
      <c r="A180" s="285"/>
      <c r="B180" s="286" t="s">
        <v>58</v>
      </c>
      <c r="C180" s="286"/>
      <c r="D180" s="286"/>
      <c r="E180" s="286"/>
      <c r="F180" s="286"/>
      <c r="G180" s="286"/>
      <c r="H180" s="286"/>
      <c r="I180" s="286"/>
      <c r="J180" s="286"/>
      <c r="K180" s="286"/>
      <c r="L180" s="286"/>
      <c r="M180" s="286"/>
      <c r="N180" s="286"/>
      <c r="O180" s="286"/>
      <c r="P180" s="286"/>
      <c r="Q180" s="286"/>
      <c r="R180" s="286"/>
      <c r="S180" s="286"/>
      <c r="T180" s="286"/>
      <c r="U180" s="286"/>
      <c r="V180" s="338">
        <f>V84</f>
        <v>718948</v>
      </c>
      <c r="W180" s="289"/>
      <c r="X180" s="5"/>
    </row>
    <row r="181" spans="1:24" ht="16.5" thickBot="1" x14ac:dyDescent="0.3">
      <c r="A181" s="181"/>
      <c r="B181" s="212"/>
      <c r="C181" s="212"/>
      <c r="D181" s="212"/>
      <c r="E181" s="212"/>
      <c r="F181" s="212"/>
      <c r="G181" s="212"/>
      <c r="H181" s="212"/>
      <c r="I181" s="212"/>
      <c r="J181" s="212"/>
      <c r="K181" s="212"/>
      <c r="L181" s="212"/>
      <c r="M181" s="212"/>
      <c r="N181" s="212"/>
      <c r="O181" s="212"/>
      <c r="P181" s="212"/>
      <c r="Q181" s="212"/>
      <c r="R181" s="212"/>
      <c r="S181" s="212"/>
      <c r="T181" s="212"/>
      <c r="U181" s="212"/>
      <c r="V181" s="344"/>
      <c r="W181" s="212"/>
      <c r="X181" s="5"/>
    </row>
    <row r="182" spans="1:24" ht="15.75" x14ac:dyDescent="0.25">
      <c r="A182" s="179"/>
      <c r="B182" s="180"/>
      <c r="C182" s="180"/>
      <c r="D182" s="180"/>
      <c r="E182" s="180"/>
      <c r="F182" s="180"/>
      <c r="G182" s="180"/>
      <c r="H182" s="180"/>
      <c r="I182" s="180"/>
      <c r="J182" s="180"/>
      <c r="K182" s="180"/>
      <c r="L182" s="180"/>
      <c r="M182" s="180"/>
      <c r="N182" s="180"/>
      <c r="O182" s="180"/>
      <c r="P182" s="180"/>
      <c r="Q182" s="180"/>
      <c r="R182" s="180"/>
      <c r="S182" s="180"/>
      <c r="T182" s="180"/>
      <c r="U182" s="180"/>
      <c r="V182" s="201"/>
      <c r="W182" s="180"/>
      <c r="X182" s="5"/>
    </row>
    <row r="183" spans="1:24" ht="15.75" x14ac:dyDescent="0.25">
      <c r="A183" s="181"/>
      <c r="B183" s="210" t="s">
        <v>59</v>
      </c>
      <c r="C183" s="206"/>
      <c r="D183" s="206"/>
      <c r="E183" s="206"/>
      <c r="F183" s="206"/>
      <c r="G183" s="206"/>
      <c r="H183" s="214"/>
      <c r="I183" s="214"/>
      <c r="J183" s="214"/>
      <c r="K183" s="214"/>
      <c r="L183" s="214"/>
      <c r="M183" s="214"/>
      <c r="N183" s="214"/>
      <c r="O183" s="214"/>
      <c r="P183" s="214"/>
      <c r="Q183" s="214"/>
      <c r="R183" s="214"/>
      <c r="S183" s="214" t="s">
        <v>101</v>
      </c>
      <c r="T183" s="214" t="s">
        <v>176</v>
      </c>
      <c r="U183" s="185"/>
      <c r="V183" s="215" t="s">
        <v>114</v>
      </c>
      <c r="W183" s="216"/>
      <c r="X183" s="5"/>
    </row>
    <row r="184" spans="1:24" ht="15.75" x14ac:dyDescent="0.25">
      <c r="A184" s="285"/>
      <c r="B184" s="286" t="s">
        <v>60</v>
      </c>
      <c r="C184" s="286"/>
      <c r="D184" s="286"/>
      <c r="E184" s="286"/>
      <c r="F184" s="286"/>
      <c r="G184" s="286"/>
      <c r="H184" s="286"/>
      <c r="I184" s="286"/>
      <c r="J184" s="286"/>
      <c r="K184" s="286"/>
      <c r="L184" s="286"/>
      <c r="M184" s="286"/>
      <c r="N184" s="286"/>
      <c r="O184" s="286"/>
      <c r="P184" s="286"/>
      <c r="Q184" s="286"/>
      <c r="R184" s="286"/>
      <c r="S184" s="338">
        <f>+V34*0.16</f>
        <v>160181.28</v>
      </c>
      <c r="T184" s="325"/>
      <c r="U184" s="286"/>
      <c r="V184" s="338"/>
      <c r="W184" s="289"/>
      <c r="X184" s="5"/>
    </row>
    <row r="185" spans="1:24" ht="15.75" x14ac:dyDescent="0.25">
      <c r="A185" s="285"/>
      <c r="B185" s="286" t="s">
        <v>61</v>
      </c>
      <c r="C185" s="286"/>
      <c r="D185" s="286"/>
      <c r="E185" s="286"/>
      <c r="F185" s="286"/>
      <c r="G185" s="286"/>
      <c r="H185" s="286"/>
      <c r="I185" s="286"/>
      <c r="J185" s="286"/>
      <c r="K185" s="286"/>
      <c r="L185" s="286"/>
      <c r="M185" s="286"/>
      <c r="N185" s="286"/>
      <c r="O185" s="286"/>
      <c r="P185" s="286"/>
      <c r="Q185" s="286"/>
      <c r="R185" s="286"/>
      <c r="S185" s="338">
        <f>+'Nov 15'!S187</f>
        <v>12742</v>
      </c>
      <c r="T185" s="338">
        <f>+'Nov 15'!T187</f>
        <v>6095</v>
      </c>
      <c r="U185" s="286"/>
      <c r="V185" s="338">
        <f>S185+T185</f>
        <v>18837</v>
      </c>
      <c r="W185" s="289"/>
      <c r="X185" s="5"/>
    </row>
    <row r="186" spans="1:24" ht="15.75" x14ac:dyDescent="0.25">
      <c r="A186" s="285"/>
      <c r="B186" s="286" t="s">
        <v>62</v>
      </c>
      <c r="C186" s="286"/>
      <c r="D186" s="286"/>
      <c r="E186" s="286"/>
      <c r="F186" s="286"/>
      <c r="G186" s="286"/>
      <c r="H186" s="286"/>
      <c r="I186" s="286"/>
      <c r="J186" s="286"/>
      <c r="K186" s="286"/>
      <c r="L186" s="286"/>
      <c r="M186" s="286"/>
      <c r="N186" s="286"/>
      <c r="O186" s="286"/>
      <c r="P186" s="286"/>
      <c r="Q186" s="286"/>
      <c r="R186" s="286"/>
      <c r="S186" s="337">
        <v>46</v>
      </c>
      <c r="T186" s="337">
        <v>0</v>
      </c>
      <c r="U186" s="286"/>
      <c r="V186" s="338">
        <f>S186+T186</f>
        <v>46</v>
      </c>
      <c r="W186" s="289"/>
      <c r="X186" s="5"/>
    </row>
    <row r="187" spans="1:24" ht="15.75" x14ac:dyDescent="0.25">
      <c r="A187" s="285"/>
      <c r="B187" s="286" t="s">
        <v>63</v>
      </c>
      <c r="C187" s="286"/>
      <c r="D187" s="286"/>
      <c r="E187" s="286"/>
      <c r="F187" s="286"/>
      <c r="G187" s="286"/>
      <c r="H187" s="286"/>
      <c r="I187" s="286"/>
      <c r="J187" s="286"/>
      <c r="K187" s="286"/>
      <c r="L187" s="286"/>
      <c r="M187" s="286"/>
      <c r="N187" s="286"/>
      <c r="O187" s="286"/>
      <c r="P187" s="286"/>
      <c r="Q187" s="286"/>
      <c r="R187" s="286"/>
      <c r="S187" s="338">
        <f>S185+S186</f>
        <v>12788</v>
      </c>
      <c r="T187" s="338">
        <f>T186+T185</f>
        <v>6095</v>
      </c>
      <c r="U187" s="286"/>
      <c r="V187" s="338">
        <f>S187+T187</f>
        <v>18883</v>
      </c>
      <c r="W187" s="289"/>
      <c r="X187" s="5"/>
    </row>
    <row r="188" spans="1:24" ht="15.75" x14ac:dyDescent="0.25">
      <c r="A188" s="285"/>
      <c r="B188" s="286" t="s">
        <v>64</v>
      </c>
      <c r="C188" s="286"/>
      <c r="D188" s="286"/>
      <c r="E188" s="286"/>
      <c r="F188" s="286"/>
      <c r="G188" s="286"/>
      <c r="H188" s="286"/>
      <c r="I188" s="286"/>
      <c r="J188" s="286"/>
      <c r="K188" s="286"/>
      <c r="L188" s="286"/>
      <c r="M188" s="286"/>
      <c r="N188" s="286"/>
      <c r="O188" s="286"/>
      <c r="P188" s="286"/>
      <c r="Q188" s="286"/>
      <c r="R188" s="286"/>
      <c r="S188" s="338">
        <f>S184-S187-T187</f>
        <v>141298.28</v>
      </c>
      <c r="T188" s="325"/>
      <c r="U188" s="286"/>
      <c r="V188" s="338"/>
      <c r="W188" s="289"/>
      <c r="X188" s="5"/>
    </row>
    <row r="189" spans="1:24" ht="16.5" thickBot="1" x14ac:dyDescent="0.3">
      <c r="A189" s="181"/>
      <c r="B189" s="212"/>
      <c r="C189" s="212"/>
      <c r="D189" s="212"/>
      <c r="E189" s="212"/>
      <c r="F189" s="212"/>
      <c r="G189" s="212"/>
      <c r="H189" s="212"/>
      <c r="I189" s="212"/>
      <c r="J189" s="212"/>
      <c r="K189" s="212"/>
      <c r="L189" s="212"/>
      <c r="M189" s="212"/>
      <c r="N189" s="212"/>
      <c r="O189" s="212"/>
      <c r="P189" s="212"/>
      <c r="Q189" s="212"/>
      <c r="R189" s="212"/>
      <c r="S189" s="212"/>
      <c r="T189" s="212"/>
      <c r="U189" s="212"/>
      <c r="V189" s="344"/>
      <c r="W189" s="212"/>
      <c r="X189" s="5"/>
    </row>
    <row r="190" spans="1:24" ht="15.75" x14ac:dyDescent="0.25">
      <c r="A190" s="179"/>
      <c r="B190" s="180"/>
      <c r="C190" s="180"/>
      <c r="D190" s="180"/>
      <c r="E190" s="180"/>
      <c r="F190" s="180"/>
      <c r="G190" s="180"/>
      <c r="H190" s="180"/>
      <c r="I190" s="180"/>
      <c r="J190" s="180"/>
      <c r="K190" s="180"/>
      <c r="L190" s="180"/>
      <c r="M190" s="180"/>
      <c r="N190" s="180"/>
      <c r="O190" s="180"/>
      <c r="P190" s="180"/>
      <c r="Q190" s="180"/>
      <c r="R190" s="180"/>
      <c r="S190" s="180"/>
      <c r="T190" s="180"/>
      <c r="U190" s="180"/>
      <c r="V190" s="201"/>
      <c r="W190" s="180"/>
      <c r="X190" s="5"/>
    </row>
    <row r="191" spans="1:24" ht="15.75" x14ac:dyDescent="0.25">
      <c r="A191" s="181"/>
      <c r="B191" s="210" t="s">
        <v>65</v>
      </c>
      <c r="C191" s="183"/>
      <c r="D191" s="183"/>
      <c r="E191" s="183"/>
      <c r="F191" s="183"/>
      <c r="G191" s="183"/>
      <c r="H191" s="183"/>
      <c r="I191" s="183"/>
      <c r="J191" s="183"/>
      <c r="K191" s="183"/>
      <c r="L191" s="183"/>
      <c r="M191" s="183"/>
      <c r="N191" s="183"/>
      <c r="O191" s="183"/>
      <c r="P191" s="183"/>
      <c r="Q191" s="183"/>
      <c r="R191" s="183"/>
      <c r="S191" s="183"/>
      <c r="T191" s="183"/>
      <c r="U191" s="183"/>
      <c r="V191" s="217"/>
      <c r="W191" s="183"/>
      <c r="X191" s="5"/>
    </row>
    <row r="192" spans="1:24" ht="15.75" x14ac:dyDescent="0.25">
      <c r="A192" s="285"/>
      <c r="B192" s="286" t="s">
        <v>66</v>
      </c>
      <c r="C192" s="286"/>
      <c r="D192" s="286"/>
      <c r="E192" s="286"/>
      <c r="F192" s="286"/>
      <c r="G192" s="286"/>
      <c r="H192" s="286"/>
      <c r="I192" s="286"/>
      <c r="J192" s="286"/>
      <c r="K192" s="286"/>
      <c r="L192" s="286"/>
      <c r="M192" s="286"/>
      <c r="N192" s="286"/>
      <c r="O192" s="286"/>
      <c r="P192" s="286"/>
      <c r="Q192" s="286"/>
      <c r="R192" s="286"/>
      <c r="S192" s="286"/>
      <c r="T192" s="286"/>
      <c r="U192" s="286"/>
      <c r="V192" s="343">
        <f>(V101+V103+V104+V105+V106)/-(V107+V108)</f>
        <v>3.654109589041096</v>
      </c>
      <c r="W192" s="289" t="s">
        <v>115</v>
      </c>
      <c r="X192" s="5"/>
    </row>
    <row r="193" spans="1:24" ht="15.75" x14ac:dyDescent="0.25">
      <c r="A193" s="285"/>
      <c r="B193" s="286" t="s">
        <v>67</v>
      </c>
      <c r="C193" s="286"/>
      <c r="D193" s="286"/>
      <c r="E193" s="286"/>
      <c r="F193" s="286"/>
      <c r="G193" s="286"/>
      <c r="H193" s="286"/>
      <c r="I193" s="286"/>
      <c r="J193" s="286"/>
      <c r="K193" s="286"/>
      <c r="L193" s="286"/>
      <c r="M193" s="286"/>
      <c r="N193" s="286"/>
      <c r="O193" s="286"/>
      <c r="P193" s="286"/>
      <c r="Q193" s="286"/>
      <c r="R193" s="286"/>
      <c r="S193" s="286"/>
      <c r="T193" s="286"/>
      <c r="U193" s="286"/>
      <c r="V193" s="347">
        <v>2.0499999999999998</v>
      </c>
      <c r="W193" s="289" t="s">
        <v>115</v>
      </c>
      <c r="X193" s="5"/>
    </row>
    <row r="194" spans="1:24" ht="15.75" x14ac:dyDescent="0.25">
      <c r="A194" s="285"/>
      <c r="B194" s="286" t="s">
        <v>68</v>
      </c>
      <c r="C194" s="286"/>
      <c r="D194" s="286"/>
      <c r="E194" s="286"/>
      <c r="F194" s="286"/>
      <c r="G194" s="286"/>
      <c r="H194" s="286"/>
      <c r="I194" s="286"/>
      <c r="J194" s="286"/>
      <c r="K194" s="286"/>
      <c r="L194" s="286"/>
      <c r="M194" s="286"/>
      <c r="N194" s="286"/>
      <c r="O194" s="286"/>
      <c r="P194" s="286"/>
      <c r="Q194" s="286"/>
      <c r="R194" s="286"/>
      <c r="S194" s="286"/>
      <c r="T194" s="286"/>
      <c r="U194" s="286"/>
      <c r="V194" s="343">
        <f>(V101+V103+V104+V105+V106+V107+V108)/-(V109+V110)</f>
        <v>14.027149321266968</v>
      </c>
      <c r="W194" s="289" t="s">
        <v>115</v>
      </c>
      <c r="X194" s="5"/>
    </row>
    <row r="195" spans="1:24" ht="15.75" x14ac:dyDescent="0.25">
      <c r="A195" s="285"/>
      <c r="B195" s="286" t="s">
        <v>69</v>
      </c>
      <c r="C195" s="286"/>
      <c r="D195" s="286"/>
      <c r="E195" s="286"/>
      <c r="F195" s="286"/>
      <c r="G195" s="286"/>
      <c r="H195" s="286"/>
      <c r="I195" s="286"/>
      <c r="J195" s="286"/>
      <c r="K195" s="286"/>
      <c r="L195" s="286"/>
      <c r="M195" s="286"/>
      <c r="N195" s="286"/>
      <c r="O195" s="286"/>
      <c r="P195" s="286"/>
      <c r="Q195" s="286"/>
      <c r="R195" s="286"/>
      <c r="S195" s="286"/>
      <c r="T195" s="286"/>
      <c r="U195" s="286"/>
      <c r="V195" s="347">
        <v>9.32</v>
      </c>
      <c r="W195" s="289" t="s">
        <v>115</v>
      </c>
      <c r="X195" s="5"/>
    </row>
    <row r="196" spans="1:24" ht="15.75" x14ac:dyDescent="0.25">
      <c r="A196" s="285"/>
      <c r="B196" s="286" t="s">
        <v>198</v>
      </c>
      <c r="C196" s="286"/>
      <c r="D196" s="286"/>
      <c r="E196" s="286"/>
      <c r="F196" s="286"/>
      <c r="G196" s="286"/>
      <c r="H196" s="286"/>
      <c r="I196" s="286"/>
      <c r="J196" s="286"/>
      <c r="K196" s="286"/>
      <c r="L196" s="286"/>
      <c r="M196" s="286"/>
      <c r="N196" s="286"/>
      <c r="O196" s="286"/>
      <c r="P196" s="286"/>
      <c r="Q196" s="286"/>
      <c r="R196" s="286"/>
      <c r="S196" s="286"/>
      <c r="T196" s="286"/>
      <c r="U196" s="286"/>
      <c r="V196" s="343">
        <f>(V101+V103+V104+V105+V106+V107+V108+V109+V110)/-(V111)</f>
        <v>8.4926253687315629</v>
      </c>
      <c r="W196" s="289" t="s">
        <v>115</v>
      </c>
      <c r="X196" s="5"/>
    </row>
    <row r="197" spans="1:24" ht="15.75" x14ac:dyDescent="0.25">
      <c r="A197" s="285"/>
      <c r="B197" s="286" t="s">
        <v>199</v>
      </c>
      <c r="C197" s="286"/>
      <c r="D197" s="286"/>
      <c r="E197" s="286"/>
      <c r="F197" s="286"/>
      <c r="G197" s="286"/>
      <c r="H197" s="286"/>
      <c r="I197" s="286"/>
      <c r="J197" s="286"/>
      <c r="K197" s="286"/>
      <c r="L197" s="286"/>
      <c r="M197" s="286"/>
      <c r="N197" s="286"/>
      <c r="O197" s="286"/>
      <c r="P197" s="286"/>
      <c r="Q197" s="286"/>
      <c r="R197" s="286"/>
      <c r="S197" s="286"/>
      <c r="T197" s="286"/>
      <c r="U197" s="286"/>
      <c r="V197" s="347">
        <v>6.84</v>
      </c>
      <c r="W197" s="289" t="s">
        <v>115</v>
      </c>
      <c r="X197" s="5"/>
    </row>
    <row r="198" spans="1:24" ht="15.75" x14ac:dyDescent="0.25">
      <c r="A198" s="285"/>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9"/>
      <c r="X198" s="5"/>
    </row>
    <row r="199" spans="1:24" ht="15.75" x14ac:dyDescent="0.25">
      <c r="A199" s="181"/>
      <c r="B199" s="346"/>
      <c r="C199" s="346"/>
      <c r="D199" s="346"/>
      <c r="E199" s="346"/>
      <c r="F199" s="346"/>
      <c r="G199" s="346"/>
      <c r="H199" s="346"/>
      <c r="I199" s="346"/>
      <c r="J199" s="346"/>
      <c r="K199" s="346"/>
      <c r="L199" s="346"/>
      <c r="M199" s="346"/>
      <c r="N199" s="346"/>
      <c r="O199" s="346"/>
      <c r="P199" s="346"/>
      <c r="Q199" s="346"/>
      <c r="R199" s="346"/>
      <c r="S199" s="346"/>
      <c r="T199" s="346"/>
      <c r="U199" s="346"/>
      <c r="V199" s="346"/>
      <c r="W199" s="346"/>
      <c r="X199" s="5"/>
    </row>
    <row r="200" spans="1:24" ht="15.75" x14ac:dyDescent="0.25">
      <c r="A200" s="181"/>
      <c r="B200" s="255"/>
      <c r="C200" s="255"/>
      <c r="D200" s="255"/>
      <c r="E200" s="255"/>
      <c r="F200" s="255"/>
      <c r="G200" s="255"/>
      <c r="H200" s="255"/>
      <c r="I200" s="255"/>
      <c r="J200" s="255"/>
      <c r="K200" s="255"/>
      <c r="L200" s="255"/>
      <c r="M200" s="255"/>
      <c r="N200" s="255"/>
      <c r="O200" s="255"/>
      <c r="P200" s="255"/>
      <c r="Q200" s="255"/>
      <c r="R200" s="255"/>
      <c r="S200" s="255"/>
      <c r="T200" s="255"/>
      <c r="U200" s="255"/>
      <c r="V200" s="255"/>
      <c r="W200" s="255"/>
      <c r="X200" s="5"/>
    </row>
    <row r="201" spans="1:24" ht="19.5" thickBot="1" x14ac:dyDescent="0.35">
      <c r="A201" s="197"/>
      <c r="B201" s="270" t="str">
        <f>B135</f>
        <v>PM15 INVESTOR REPORT QUARTER ENDING FEBRUARY 2016</v>
      </c>
      <c r="C201" s="271"/>
      <c r="D201" s="271"/>
      <c r="E201" s="271"/>
      <c r="F201" s="271"/>
      <c r="G201" s="271"/>
      <c r="H201" s="271"/>
      <c r="I201" s="271"/>
      <c r="J201" s="271"/>
      <c r="K201" s="271"/>
      <c r="L201" s="271"/>
      <c r="M201" s="271"/>
      <c r="N201" s="271"/>
      <c r="O201" s="271"/>
      <c r="P201" s="271"/>
      <c r="Q201" s="271"/>
      <c r="R201" s="271"/>
      <c r="S201" s="271"/>
      <c r="T201" s="271"/>
      <c r="U201" s="271"/>
      <c r="V201" s="271"/>
      <c r="W201" s="272"/>
      <c r="X201" s="5"/>
    </row>
    <row r="202" spans="1:24" ht="15.75" x14ac:dyDescent="0.25">
      <c r="A202" s="236"/>
      <c r="B202" s="403" t="s">
        <v>70</v>
      </c>
      <c r="C202" s="404"/>
      <c r="D202" s="404"/>
      <c r="E202" s="404"/>
      <c r="F202" s="404"/>
      <c r="G202" s="405"/>
      <c r="H202" s="405"/>
      <c r="I202" s="405"/>
      <c r="J202" s="405"/>
      <c r="K202" s="405"/>
      <c r="L202" s="405"/>
      <c r="M202" s="405"/>
      <c r="N202" s="405"/>
      <c r="O202" s="405"/>
      <c r="P202" s="405"/>
      <c r="Q202" s="405"/>
      <c r="R202" s="405"/>
      <c r="S202" s="405"/>
      <c r="T202" s="405">
        <v>42429</v>
      </c>
      <c r="U202" s="238"/>
      <c r="V202" s="238"/>
      <c r="W202" s="238"/>
      <c r="X202" s="5"/>
    </row>
    <row r="203" spans="1:24" ht="15.75" x14ac:dyDescent="0.25">
      <c r="A203" s="218"/>
      <c r="B203" s="219"/>
      <c r="C203" s="220"/>
      <c r="D203" s="220"/>
      <c r="E203" s="220"/>
      <c r="F203" s="220"/>
      <c r="G203" s="221"/>
      <c r="H203" s="221"/>
      <c r="I203" s="221"/>
      <c r="J203" s="221"/>
      <c r="K203" s="221"/>
      <c r="L203" s="221"/>
      <c r="M203" s="221"/>
      <c r="N203" s="221"/>
      <c r="O203" s="221"/>
      <c r="P203" s="221"/>
      <c r="Q203" s="221"/>
      <c r="R203" s="221"/>
      <c r="S203" s="221"/>
      <c r="T203" s="221"/>
      <c r="U203" s="183"/>
      <c r="V203" s="183"/>
      <c r="W203" s="183"/>
      <c r="X203" s="5"/>
    </row>
    <row r="204" spans="1:24" ht="15.75" x14ac:dyDescent="0.25">
      <c r="A204" s="350"/>
      <c r="B204" s="286" t="s">
        <v>71</v>
      </c>
      <c r="C204" s="406"/>
      <c r="D204" s="406"/>
      <c r="E204" s="406"/>
      <c r="F204" s="406"/>
      <c r="G204" s="397"/>
      <c r="H204" s="397"/>
      <c r="I204" s="397"/>
      <c r="J204" s="397"/>
      <c r="K204" s="397"/>
      <c r="L204" s="397"/>
      <c r="M204" s="397"/>
      <c r="N204" s="397"/>
      <c r="O204" s="397"/>
      <c r="P204" s="397"/>
      <c r="Q204" s="397"/>
      <c r="R204" s="397"/>
      <c r="S204" s="397"/>
      <c r="T204" s="321">
        <v>5.3830000000000003E-2</v>
      </c>
      <c r="U204" s="286"/>
      <c r="V204" s="286"/>
      <c r="W204" s="289"/>
      <c r="X204" s="5"/>
    </row>
    <row r="205" spans="1:24" ht="15.75" x14ac:dyDescent="0.25">
      <c r="A205" s="350"/>
      <c r="B205" s="286" t="s">
        <v>151</v>
      </c>
      <c r="C205" s="406"/>
      <c r="D205" s="406"/>
      <c r="E205" s="406"/>
      <c r="F205" s="406"/>
      <c r="G205" s="397"/>
      <c r="H205" s="397"/>
      <c r="I205" s="397"/>
      <c r="J205" s="397"/>
      <c r="K205" s="397"/>
      <c r="L205" s="397"/>
      <c r="M205" s="397"/>
      <c r="N205" s="397"/>
      <c r="O205" s="397"/>
      <c r="P205" s="397"/>
      <c r="Q205" s="397"/>
      <c r="R205" s="397"/>
      <c r="S205" s="397"/>
      <c r="T205" s="321">
        <v>6.25E-2</v>
      </c>
      <c r="U205" s="286"/>
      <c r="V205" s="286"/>
      <c r="W205" s="289"/>
      <c r="X205" s="5"/>
    </row>
    <row r="206" spans="1:24" ht="15.75" x14ac:dyDescent="0.25">
      <c r="A206" s="350"/>
      <c r="B206" s="286" t="s">
        <v>72</v>
      </c>
      <c r="C206" s="406"/>
      <c r="D206" s="406"/>
      <c r="E206" s="406"/>
      <c r="F206" s="406"/>
      <c r="G206" s="397"/>
      <c r="H206" s="397"/>
      <c r="I206" s="397"/>
      <c r="J206" s="397"/>
      <c r="K206" s="397"/>
      <c r="L206" s="397"/>
      <c r="M206" s="397"/>
      <c r="N206" s="397"/>
      <c r="O206" s="397"/>
      <c r="P206" s="397"/>
      <c r="Q206" s="397"/>
      <c r="R206" s="397"/>
      <c r="S206" s="397"/>
      <c r="T206" s="321">
        <f>T204-T205</f>
        <v>-8.6699999999999972E-3</v>
      </c>
      <c r="U206" s="286"/>
      <c r="V206" s="286"/>
      <c r="W206" s="289"/>
      <c r="X206" s="5"/>
    </row>
    <row r="207" spans="1:24" ht="15.75" x14ac:dyDescent="0.25">
      <c r="A207" s="350"/>
      <c r="B207" s="286" t="s">
        <v>73</v>
      </c>
      <c r="C207" s="406"/>
      <c r="D207" s="406"/>
      <c r="E207" s="406"/>
      <c r="F207" s="406"/>
      <c r="G207" s="397"/>
      <c r="H207" s="397"/>
      <c r="I207" s="397"/>
      <c r="J207" s="397"/>
      <c r="K207" s="397"/>
      <c r="L207" s="397"/>
      <c r="M207" s="397"/>
      <c r="N207" s="397"/>
      <c r="O207" s="397"/>
      <c r="P207" s="397"/>
      <c r="Q207" s="397"/>
      <c r="R207" s="397"/>
      <c r="S207" s="397"/>
      <c r="T207" s="321">
        <v>2.512E-2</v>
      </c>
      <c r="U207" s="286"/>
      <c r="V207" s="286"/>
      <c r="W207" s="289"/>
      <c r="X207" s="5"/>
    </row>
    <row r="208" spans="1:24" ht="15.75" x14ac:dyDescent="0.25">
      <c r="A208" s="350"/>
      <c r="B208" s="286" t="s">
        <v>218</v>
      </c>
      <c r="C208" s="406"/>
      <c r="D208" s="406"/>
      <c r="E208" s="406"/>
      <c r="F208" s="406"/>
      <c r="G208" s="397"/>
      <c r="H208" s="397"/>
      <c r="I208" s="397"/>
      <c r="J208" s="397"/>
      <c r="K208" s="397"/>
      <c r="L208" s="397"/>
      <c r="M208" s="397"/>
      <c r="N208" s="397"/>
      <c r="O208" s="397"/>
      <c r="P208" s="397"/>
      <c r="Q208" s="397"/>
      <c r="R208" s="397"/>
      <c r="S208" s="397"/>
      <c r="T208" s="321">
        <f>V43</f>
        <v>9.5269762097249903E-3</v>
      </c>
      <c r="U208" s="286"/>
      <c r="V208" s="286"/>
      <c r="W208" s="289"/>
      <c r="X208" s="5"/>
    </row>
    <row r="209" spans="1:24" ht="15.75" x14ac:dyDescent="0.25">
      <c r="A209" s="350"/>
      <c r="B209" s="286" t="s">
        <v>74</v>
      </c>
      <c r="C209" s="406"/>
      <c r="D209" s="406"/>
      <c r="E209" s="406"/>
      <c r="F209" s="406"/>
      <c r="G209" s="397"/>
      <c r="H209" s="397"/>
      <c r="I209" s="397"/>
      <c r="J209" s="397"/>
      <c r="K209" s="397"/>
      <c r="L209" s="397"/>
      <c r="M209" s="397"/>
      <c r="N209" s="397"/>
      <c r="O209" s="397"/>
      <c r="P209" s="397"/>
      <c r="Q209" s="397"/>
      <c r="R209" s="397"/>
      <c r="S209" s="397"/>
      <c r="T209" s="321">
        <f>T207-T208</f>
        <v>1.559302379027501E-2</v>
      </c>
      <c r="U209" s="286"/>
      <c r="V209" s="286"/>
      <c r="W209" s="289"/>
      <c r="X209" s="5"/>
    </row>
    <row r="210" spans="1:24" ht="15.75" x14ac:dyDescent="0.25">
      <c r="A210" s="350"/>
      <c r="B210" s="286" t="s">
        <v>227</v>
      </c>
      <c r="C210" s="406"/>
      <c r="D210" s="406"/>
      <c r="E210" s="406"/>
      <c r="F210" s="406"/>
      <c r="G210" s="397"/>
      <c r="H210" s="397"/>
      <c r="I210" s="397"/>
      <c r="J210" s="397"/>
      <c r="K210" s="397"/>
      <c r="L210" s="397"/>
      <c r="M210" s="397"/>
      <c r="N210" s="397"/>
      <c r="O210" s="397"/>
      <c r="P210" s="397"/>
      <c r="Q210" s="397"/>
      <c r="R210" s="397"/>
      <c r="S210" s="397"/>
      <c r="T210" s="321">
        <f>V101/N71</f>
        <v>6.4341976435902792E-3</v>
      </c>
      <c r="U210" s="286"/>
      <c r="V210" s="286"/>
      <c r="W210" s="289"/>
      <c r="X210" s="5"/>
    </row>
    <row r="211" spans="1:24" ht="15.75" x14ac:dyDescent="0.25">
      <c r="A211" s="350"/>
      <c r="B211" s="286" t="s">
        <v>207</v>
      </c>
      <c r="C211" s="406"/>
      <c r="D211" s="406"/>
      <c r="E211" s="406"/>
      <c r="F211" s="406"/>
      <c r="G211" s="397"/>
      <c r="H211" s="397"/>
      <c r="I211" s="397"/>
      <c r="J211" s="397"/>
      <c r="K211" s="397"/>
      <c r="L211" s="397"/>
      <c r="M211" s="397"/>
      <c r="N211" s="397"/>
      <c r="O211" s="397"/>
      <c r="P211" s="397"/>
      <c r="Q211" s="397"/>
      <c r="R211" s="397"/>
      <c r="S211" s="397"/>
      <c r="T211" s="352">
        <v>51105</v>
      </c>
      <c r="U211" s="286"/>
      <c r="V211" s="286"/>
      <c r="W211" s="289"/>
      <c r="X211" s="5"/>
    </row>
    <row r="212" spans="1:24" ht="15.75" x14ac:dyDescent="0.25">
      <c r="A212" s="350"/>
      <c r="B212" s="286" t="s">
        <v>208</v>
      </c>
      <c r="C212" s="406"/>
      <c r="D212" s="406"/>
      <c r="E212" s="406"/>
      <c r="F212" s="406"/>
      <c r="G212" s="397"/>
      <c r="H212" s="397"/>
      <c r="I212" s="397"/>
      <c r="J212" s="397"/>
      <c r="K212" s="397"/>
      <c r="L212" s="397"/>
      <c r="M212" s="397"/>
      <c r="N212" s="397"/>
      <c r="O212" s="397"/>
      <c r="P212" s="397"/>
      <c r="Q212" s="397"/>
      <c r="R212" s="397"/>
      <c r="S212" s="397"/>
      <c r="T212" s="352">
        <v>51105</v>
      </c>
      <c r="U212" s="286"/>
      <c r="V212" s="286"/>
      <c r="W212" s="289"/>
      <c r="X212" s="5"/>
    </row>
    <row r="213" spans="1:24" ht="15.75" x14ac:dyDescent="0.25">
      <c r="A213" s="350"/>
      <c r="B213" s="286" t="s">
        <v>209</v>
      </c>
      <c r="C213" s="406"/>
      <c r="D213" s="406"/>
      <c r="E213" s="406"/>
      <c r="F213" s="406"/>
      <c r="G213" s="397"/>
      <c r="H213" s="397"/>
      <c r="I213" s="397"/>
      <c r="J213" s="397"/>
      <c r="K213" s="397"/>
      <c r="L213" s="397"/>
      <c r="M213" s="397"/>
      <c r="N213" s="397"/>
      <c r="O213" s="397"/>
      <c r="P213" s="397"/>
      <c r="Q213" s="397"/>
      <c r="R213" s="397"/>
      <c r="S213" s="397"/>
      <c r="T213" s="352">
        <v>51105</v>
      </c>
      <c r="U213" s="286"/>
      <c r="V213" s="286"/>
      <c r="W213" s="289"/>
      <c r="X213" s="5"/>
    </row>
    <row r="214" spans="1:24" ht="15.75" x14ac:dyDescent="0.25">
      <c r="A214" s="350"/>
      <c r="B214" s="286" t="s">
        <v>75</v>
      </c>
      <c r="C214" s="406"/>
      <c r="D214" s="406"/>
      <c r="E214" s="406"/>
      <c r="F214" s="406"/>
      <c r="G214" s="397"/>
      <c r="H214" s="397"/>
      <c r="I214" s="397"/>
      <c r="J214" s="397"/>
      <c r="K214" s="397"/>
      <c r="L214" s="397"/>
      <c r="M214" s="397"/>
      <c r="N214" s="397"/>
      <c r="O214" s="397"/>
      <c r="P214" s="397"/>
      <c r="Q214" s="397"/>
      <c r="R214" s="397"/>
      <c r="S214" s="397"/>
      <c r="T214" s="327">
        <v>21.06</v>
      </c>
      <c r="U214" s="286" t="s">
        <v>110</v>
      </c>
      <c r="V214" s="286"/>
      <c r="W214" s="289"/>
      <c r="X214" s="5"/>
    </row>
    <row r="215" spans="1:24" ht="15.75" x14ac:dyDescent="0.25">
      <c r="A215" s="350"/>
      <c r="B215" s="286" t="s">
        <v>76</v>
      </c>
      <c r="C215" s="406"/>
      <c r="D215" s="406"/>
      <c r="E215" s="406"/>
      <c r="F215" s="406"/>
      <c r="G215" s="397"/>
      <c r="H215" s="397"/>
      <c r="I215" s="397"/>
      <c r="J215" s="397"/>
      <c r="K215" s="397"/>
      <c r="L215" s="397"/>
      <c r="M215" s="397"/>
      <c r="N215" s="397"/>
      <c r="O215" s="397"/>
      <c r="P215" s="397"/>
      <c r="Q215" s="397"/>
      <c r="R215" s="397"/>
      <c r="S215" s="397"/>
      <c r="T215" s="327">
        <v>12.81</v>
      </c>
      <c r="U215" s="286" t="s">
        <v>110</v>
      </c>
      <c r="V215" s="286"/>
      <c r="W215" s="289"/>
      <c r="X215" s="5"/>
    </row>
    <row r="216" spans="1:24" ht="15.75" x14ac:dyDescent="0.25">
      <c r="A216" s="350"/>
      <c r="B216" s="286" t="s">
        <v>77</v>
      </c>
      <c r="C216" s="406"/>
      <c r="D216" s="406"/>
      <c r="E216" s="406"/>
      <c r="F216" s="406"/>
      <c r="G216" s="397"/>
      <c r="H216" s="397"/>
      <c r="I216" s="397"/>
      <c r="J216" s="397"/>
      <c r="K216" s="397"/>
      <c r="L216" s="397"/>
      <c r="M216" s="397"/>
      <c r="N216" s="397"/>
      <c r="O216" s="397"/>
      <c r="P216" s="397"/>
      <c r="Q216" s="397"/>
      <c r="R216" s="397"/>
      <c r="S216" s="397"/>
      <c r="T216" s="321">
        <f>+P68/N68</f>
        <v>1.1421766537221812E-2</v>
      </c>
      <c r="U216" s="286"/>
      <c r="V216" s="286"/>
      <c r="W216" s="289"/>
      <c r="X216" s="5"/>
    </row>
    <row r="217" spans="1:24" ht="15.75" x14ac:dyDescent="0.25">
      <c r="A217" s="350"/>
      <c r="B217" s="286" t="s">
        <v>78</v>
      </c>
      <c r="C217" s="406"/>
      <c r="D217" s="406"/>
      <c r="E217" s="406"/>
      <c r="F217" s="406"/>
      <c r="G217" s="397"/>
      <c r="H217" s="397"/>
      <c r="I217" s="397"/>
      <c r="J217" s="397"/>
      <c r="K217" s="397"/>
      <c r="L217" s="397"/>
      <c r="M217" s="397"/>
      <c r="N217" s="397"/>
      <c r="O217" s="397"/>
      <c r="P217" s="397"/>
      <c r="Q217" s="397"/>
      <c r="R217" s="397"/>
      <c r="S217" s="397"/>
      <c r="T217" s="321">
        <v>3.95E-2</v>
      </c>
      <c r="U217" s="286"/>
      <c r="V217" s="286"/>
      <c r="W217" s="289"/>
      <c r="X217" s="5"/>
    </row>
    <row r="218" spans="1:24" ht="15.75" x14ac:dyDescent="0.25">
      <c r="A218" s="218"/>
      <c r="B218" s="348"/>
      <c r="C218" s="348"/>
      <c r="D218" s="348"/>
      <c r="E218" s="348"/>
      <c r="F218" s="348"/>
      <c r="G218" s="212"/>
      <c r="H218" s="212"/>
      <c r="I218" s="212"/>
      <c r="J218" s="212"/>
      <c r="K218" s="212"/>
      <c r="L218" s="212"/>
      <c r="M218" s="212"/>
      <c r="N218" s="212"/>
      <c r="O218" s="212"/>
      <c r="P218" s="212"/>
      <c r="Q218" s="212"/>
      <c r="R218" s="212"/>
      <c r="S218" s="212"/>
      <c r="T218" s="344"/>
      <c r="U218" s="212"/>
      <c r="V218" s="349"/>
      <c r="W218" s="212"/>
      <c r="X218" s="5"/>
    </row>
    <row r="219" spans="1:24" ht="15.75" x14ac:dyDescent="0.25">
      <c r="A219" s="242"/>
      <c r="B219" s="399" t="s">
        <v>79</v>
      </c>
      <c r="C219" s="400"/>
      <c r="D219" s="400"/>
      <c r="E219" s="400"/>
      <c r="F219" s="407"/>
      <c r="G219" s="400"/>
      <c r="H219" s="400"/>
      <c r="I219" s="400"/>
      <c r="J219" s="400"/>
      <c r="K219" s="400"/>
      <c r="L219" s="400"/>
      <c r="M219" s="400"/>
      <c r="N219" s="400"/>
      <c r="O219" s="400"/>
      <c r="P219" s="400"/>
      <c r="Q219" s="400"/>
      <c r="R219" s="400"/>
      <c r="S219" s="400" t="s">
        <v>102</v>
      </c>
      <c r="T219" s="407" t="s">
        <v>108</v>
      </c>
      <c r="U219" s="225"/>
      <c r="V219" s="225"/>
      <c r="W219" s="225"/>
      <c r="X219" s="5"/>
    </row>
    <row r="220" spans="1:24" ht="15.75" x14ac:dyDescent="0.25">
      <c r="A220" s="222"/>
      <c r="B220" s="250" t="s">
        <v>80</v>
      </c>
      <c r="C220" s="249"/>
      <c r="D220" s="249"/>
      <c r="E220" s="249"/>
      <c r="F220" s="250"/>
      <c r="G220" s="250"/>
      <c r="H220" s="268"/>
      <c r="I220" s="268"/>
      <c r="J220" s="268"/>
      <c r="K220" s="268"/>
      <c r="L220" s="268"/>
      <c r="M220" s="268"/>
      <c r="N220" s="268"/>
      <c r="O220" s="268"/>
      <c r="P220" s="268"/>
      <c r="Q220" s="268"/>
      <c r="R220" s="268"/>
      <c r="S220" s="268">
        <v>1</v>
      </c>
      <c r="T220" s="269">
        <v>100</v>
      </c>
      <c r="U220" s="250"/>
      <c r="V220" s="266"/>
      <c r="W220" s="223"/>
      <c r="X220" s="5"/>
    </row>
    <row r="221" spans="1:24" ht="15.75" x14ac:dyDescent="0.25">
      <c r="A221" s="358"/>
      <c r="B221" s="286" t="s">
        <v>145</v>
      </c>
      <c r="C221" s="337"/>
      <c r="D221" s="337"/>
      <c r="E221" s="337"/>
      <c r="F221" s="286"/>
      <c r="G221" s="286"/>
      <c r="H221" s="296"/>
      <c r="I221" s="296"/>
      <c r="J221" s="296"/>
      <c r="K221" s="296"/>
      <c r="L221" s="296"/>
      <c r="M221" s="296"/>
      <c r="N221" s="296"/>
      <c r="O221" s="296"/>
      <c r="P221" s="296"/>
      <c r="Q221" s="296"/>
      <c r="R221" s="296"/>
      <c r="S221" s="359">
        <f>+R273</f>
        <v>90</v>
      </c>
      <c r="T221" s="360">
        <f>+T273</f>
        <v>12004</v>
      </c>
      <c r="U221" s="286"/>
      <c r="V221" s="361"/>
      <c r="W221" s="362"/>
      <c r="X221" s="5"/>
    </row>
    <row r="222" spans="1:24" ht="15.75" x14ac:dyDescent="0.25">
      <c r="A222" s="358"/>
      <c r="B222" s="286" t="s">
        <v>81</v>
      </c>
      <c r="C222" s="337"/>
      <c r="D222" s="337"/>
      <c r="E222" s="337"/>
      <c r="F222" s="286"/>
      <c r="G222" s="286"/>
      <c r="H222" s="296"/>
      <c r="I222" s="296"/>
      <c r="J222" s="296"/>
      <c r="K222" s="296"/>
      <c r="L222" s="296"/>
      <c r="M222" s="296"/>
      <c r="N222" s="296"/>
      <c r="O222" s="296"/>
      <c r="P222" s="296"/>
      <c r="Q222" s="296"/>
      <c r="R222" s="296"/>
      <c r="S222" s="359">
        <f>+R285</f>
        <v>0</v>
      </c>
      <c r="T222" s="360">
        <f>+T285</f>
        <v>0</v>
      </c>
      <c r="U222" s="286"/>
      <c r="V222" s="361"/>
      <c r="W222" s="362"/>
      <c r="X222" s="5"/>
    </row>
    <row r="223" spans="1:24" ht="15.75" x14ac:dyDescent="0.25">
      <c r="A223" s="358"/>
      <c r="B223" s="313" t="s">
        <v>82</v>
      </c>
      <c r="C223" s="363"/>
      <c r="D223" s="363"/>
      <c r="E223" s="363"/>
      <c r="F223" s="314"/>
      <c r="G223" s="314"/>
      <c r="H223" s="314"/>
      <c r="I223" s="314"/>
      <c r="J223" s="314"/>
      <c r="K223" s="314"/>
      <c r="L223" s="314"/>
      <c r="M223" s="314"/>
      <c r="N223" s="314"/>
      <c r="O223" s="314"/>
      <c r="P223" s="314"/>
      <c r="Q223" s="314"/>
      <c r="R223" s="314"/>
      <c r="S223" s="286"/>
      <c r="T223" s="360">
        <v>0</v>
      </c>
      <c r="U223" s="314"/>
      <c r="V223" s="364"/>
      <c r="W223" s="362"/>
      <c r="X223" s="5"/>
    </row>
    <row r="224" spans="1:24" ht="15.75" x14ac:dyDescent="0.25">
      <c r="A224" s="358"/>
      <c r="B224" s="313" t="s">
        <v>228</v>
      </c>
      <c r="C224" s="363"/>
      <c r="D224" s="363"/>
      <c r="E224" s="363"/>
      <c r="F224" s="314"/>
      <c r="G224" s="314"/>
      <c r="H224" s="314"/>
      <c r="I224" s="314"/>
      <c r="J224" s="314"/>
      <c r="K224" s="314"/>
      <c r="L224" s="314"/>
      <c r="M224" s="314"/>
      <c r="N224" s="314"/>
      <c r="O224" s="314"/>
      <c r="P224" s="314"/>
      <c r="Q224" s="314"/>
      <c r="R224" s="314"/>
      <c r="S224" s="286"/>
      <c r="T224" s="360">
        <f>+N81</f>
        <v>0</v>
      </c>
      <c r="U224" s="314"/>
      <c r="V224" s="364"/>
      <c r="W224" s="362"/>
      <c r="X224" s="5"/>
    </row>
    <row r="225" spans="1:24" ht="15.75" x14ac:dyDescent="0.25">
      <c r="A225" s="365"/>
      <c r="B225" s="313" t="s">
        <v>83</v>
      </c>
      <c r="C225" s="366"/>
      <c r="D225" s="366"/>
      <c r="E225" s="366"/>
      <c r="F225" s="366"/>
      <c r="G225" s="314"/>
      <c r="H225" s="314"/>
      <c r="I225" s="314"/>
      <c r="J225" s="314"/>
      <c r="K225" s="314"/>
      <c r="L225" s="314"/>
      <c r="M225" s="314"/>
      <c r="N225" s="314"/>
      <c r="O225" s="314"/>
      <c r="P225" s="314"/>
      <c r="Q225" s="314"/>
      <c r="R225" s="314"/>
      <c r="S225" s="286"/>
      <c r="T225" s="360"/>
      <c r="U225" s="314"/>
      <c r="V225" s="364"/>
      <c r="W225" s="367"/>
      <c r="X225" s="5"/>
    </row>
    <row r="226" spans="1:24" ht="15.75" x14ac:dyDescent="0.25">
      <c r="A226" s="365"/>
      <c r="B226" s="286" t="s">
        <v>84</v>
      </c>
      <c r="C226" s="366"/>
      <c r="D226" s="366"/>
      <c r="E226" s="366"/>
      <c r="F226" s="366"/>
      <c r="G226" s="314"/>
      <c r="H226" s="314"/>
      <c r="I226" s="314"/>
      <c r="J226" s="314"/>
      <c r="K226" s="314"/>
      <c r="L226" s="314"/>
      <c r="M226" s="314"/>
      <c r="N226" s="314"/>
      <c r="O226" s="314"/>
      <c r="P226" s="314"/>
      <c r="Q226" s="314"/>
      <c r="R226" s="314"/>
      <c r="S226" s="296"/>
      <c r="T226" s="360">
        <f>V164</f>
        <v>-27</v>
      </c>
      <c r="U226" s="314"/>
      <c r="V226" s="364"/>
      <c r="W226" s="367"/>
      <c r="X226" s="5"/>
    </row>
    <row r="227" spans="1:24" ht="15.75" x14ac:dyDescent="0.25">
      <c r="A227" s="358"/>
      <c r="B227" s="286" t="s">
        <v>85</v>
      </c>
      <c r="C227" s="363"/>
      <c r="D227" s="363"/>
      <c r="E227" s="363"/>
      <c r="F227" s="363"/>
      <c r="G227" s="314"/>
      <c r="H227" s="314"/>
      <c r="I227" s="314"/>
      <c r="J227" s="314"/>
      <c r="K227" s="314"/>
      <c r="L227" s="314"/>
      <c r="M227" s="314"/>
      <c r="N227" s="314"/>
      <c r="O227" s="314"/>
      <c r="P227" s="314"/>
      <c r="Q227" s="314"/>
      <c r="R227" s="314"/>
      <c r="S227" s="296"/>
      <c r="T227" s="360">
        <f>'Nov 15'!T227+T226</f>
        <v>8054</v>
      </c>
      <c r="U227" s="314"/>
      <c r="V227" s="364"/>
      <c r="W227" s="367"/>
      <c r="X227" s="5"/>
    </row>
    <row r="228" spans="1:24" ht="15.75" x14ac:dyDescent="0.25">
      <c r="A228" s="365"/>
      <c r="B228" s="313" t="s">
        <v>285</v>
      </c>
      <c r="C228" s="366"/>
      <c r="D228" s="366"/>
      <c r="E228" s="366"/>
      <c r="F228" s="366"/>
      <c r="G228" s="314"/>
      <c r="H228" s="314"/>
      <c r="I228" s="314"/>
      <c r="J228" s="314"/>
      <c r="K228" s="314"/>
      <c r="L228" s="314"/>
      <c r="M228" s="314"/>
      <c r="N228" s="314"/>
      <c r="O228" s="314"/>
      <c r="P228" s="314"/>
      <c r="Q228" s="314"/>
      <c r="R228" s="314"/>
      <c r="S228" s="296"/>
      <c r="T228" s="360"/>
      <c r="U228" s="314"/>
      <c r="V228" s="364"/>
      <c r="W228" s="367"/>
      <c r="X228" s="5"/>
    </row>
    <row r="229" spans="1:24" ht="15.75" x14ac:dyDescent="0.25">
      <c r="A229" s="365"/>
      <c r="B229" s="286" t="s">
        <v>282</v>
      </c>
      <c r="C229" s="366"/>
      <c r="D229" s="366"/>
      <c r="E229" s="366"/>
      <c r="F229" s="366"/>
      <c r="G229" s="314"/>
      <c r="H229" s="314"/>
      <c r="I229" s="314"/>
      <c r="J229" s="314"/>
      <c r="K229" s="314"/>
      <c r="L229" s="314"/>
      <c r="M229" s="314"/>
      <c r="N229" s="314"/>
      <c r="O229" s="314"/>
      <c r="P229" s="314"/>
      <c r="Q229" s="314"/>
      <c r="R229" s="314"/>
      <c r="S229" s="296">
        <v>0</v>
      </c>
      <c r="T229" s="360">
        <v>0</v>
      </c>
      <c r="U229" s="314"/>
      <c r="V229" s="364"/>
      <c r="W229" s="367"/>
      <c r="X229" s="5"/>
    </row>
    <row r="230" spans="1:24" ht="15.75" x14ac:dyDescent="0.25">
      <c r="A230" s="358"/>
      <c r="B230" s="286" t="s">
        <v>86</v>
      </c>
      <c r="C230" s="368"/>
      <c r="D230" s="368"/>
      <c r="E230" s="368"/>
      <c r="F230" s="369"/>
      <c r="G230" s="314"/>
      <c r="H230" s="314"/>
      <c r="I230" s="314"/>
      <c r="J230" s="314"/>
      <c r="K230" s="314"/>
      <c r="L230" s="314"/>
      <c r="M230" s="314"/>
      <c r="N230" s="314"/>
      <c r="O230" s="314"/>
      <c r="P230" s="314"/>
      <c r="Q230" s="314"/>
      <c r="R230" s="314"/>
      <c r="S230" s="286"/>
      <c r="T230" s="370">
        <v>0</v>
      </c>
      <c r="U230" s="314"/>
      <c r="V230" s="364"/>
      <c r="W230" s="367"/>
      <c r="X230" s="5"/>
    </row>
    <row r="231" spans="1:24" ht="15.75" x14ac:dyDescent="0.25">
      <c r="A231" s="358"/>
      <c r="B231" s="286" t="s">
        <v>87</v>
      </c>
      <c r="C231" s="368"/>
      <c r="D231" s="368"/>
      <c r="E231" s="368"/>
      <c r="F231" s="369"/>
      <c r="G231" s="314"/>
      <c r="H231" s="314"/>
      <c r="I231" s="314"/>
      <c r="J231" s="314"/>
      <c r="K231" s="314"/>
      <c r="L231" s="314"/>
      <c r="M231" s="314"/>
      <c r="N231" s="314"/>
      <c r="O231" s="314"/>
      <c r="P231" s="314"/>
      <c r="Q231" s="314"/>
      <c r="R231" s="314"/>
      <c r="S231" s="286"/>
      <c r="T231" s="370">
        <v>0</v>
      </c>
      <c r="U231" s="314"/>
      <c r="V231" s="364"/>
      <c r="W231" s="367"/>
      <c r="X231" s="5"/>
    </row>
    <row r="232" spans="1:24" ht="15.75" x14ac:dyDescent="0.25">
      <c r="A232" s="358"/>
      <c r="B232" s="313" t="s">
        <v>216</v>
      </c>
      <c r="C232" s="368"/>
      <c r="D232" s="368"/>
      <c r="E232" s="368"/>
      <c r="F232" s="369"/>
      <c r="G232" s="314"/>
      <c r="H232" s="314"/>
      <c r="I232" s="314"/>
      <c r="J232" s="314"/>
      <c r="K232" s="314"/>
      <c r="L232" s="314"/>
      <c r="M232" s="314"/>
      <c r="N232" s="314"/>
      <c r="O232" s="314"/>
      <c r="P232" s="314"/>
      <c r="Q232" s="314"/>
      <c r="R232" s="314"/>
      <c r="S232" s="286"/>
      <c r="T232" s="371"/>
      <c r="U232" s="314"/>
      <c r="V232" s="364"/>
      <c r="W232" s="367"/>
      <c r="X232" s="5"/>
    </row>
    <row r="233" spans="1:24" ht="15.75" x14ac:dyDescent="0.25">
      <c r="A233" s="358"/>
      <c r="B233" s="286" t="s">
        <v>282</v>
      </c>
      <c r="C233" s="368"/>
      <c r="D233" s="368"/>
      <c r="E233" s="368"/>
      <c r="F233" s="369"/>
      <c r="G233" s="314"/>
      <c r="H233" s="314"/>
      <c r="I233" s="314"/>
      <c r="J233" s="314"/>
      <c r="K233" s="314"/>
      <c r="L233" s="314"/>
      <c r="M233" s="314"/>
      <c r="N233" s="314"/>
      <c r="O233" s="314"/>
      <c r="P233" s="314"/>
      <c r="Q233" s="314"/>
      <c r="R233" s="314"/>
      <c r="S233" s="296">
        <v>2</v>
      </c>
      <c r="T233" s="360">
        <v>146</v>
      </c>
      <c r="U233" s="314"/>
      <c r="V233" s="364"/>
      <c r="W233" s="367"/>
      <c r="X233" s="5"/>
    </row>
    <row r="234" spans="1:24" ht="15.75" x14ac:dyDescent="0.25">
      <c r="A234" s="358"/>
      <c r="B234" s="286" t="s">
        <v>217</v>
      </c>
      <c r="C234" s="368"/>
      <c r="D234" s="368"/>
      <c r="E234" s="368"/>
      <c r="F234" s="369"/>
      <c r="G234" s="314"/>
      <c r="H234" s="314"/>
      <c r="I234" s="314"/>
      <c r="J234" s="314"/>
      <c r="K234" s="314"/>
      <c r="L234" s="314"/>
      <c r="M234" s="314"/>
      <c r="N234" s="314"/>
      <c r="O234" s="314"/>
      <c r="P234" s="314"/>
      <c r="Q234" s="314"/>
      <c r="R234" s="314"/>
      <c r="S234" s="286"/>
      <c r="T234" s="370">
        <v>2.14</v>
      </c>
      <c r="U234" s="314"/>
      <c r="V234" s="364"/>
      <c r="W234" s="367"/>
      <c r="X234" s="5"/>
    </row>
    <row r="235" spans="1:24" ht="15.75" x14ac:dyDescent="0.25">
      <c r="A235" s="358"/>
      <c r="B235" s="366"/>
      <c r="C235" s="368"/>
      <c r="D235" s="368"/>
      <c r="E235" s="368"/>
      <c r="F235" s="369"/>
      <c r="G235" s="314"/>
      <c r="H235" s="314"/>
      <c r="I235" s="314"/>
      <c r="J235" s="314"/>
      <c r="K235" s="314"/>
      <c r="L235" s="314"/>
      <c r="M235" s="314"/>
      <c r="N235" s="314"/>
      <c r="O235" s="314"/>
      <c r="P235" s="314"/>
      <c r="Q235" s="314"/>
      <c r="R235" s="314"/>
      <c r="S235" s="286"/>
      <c r="T235" s="371"/>
      <c r="U235" s="314"/>
      <c r="V235" s="364"/>
      <c r="W235" s="367"/>
      <c r="X235" s="5"/>
    </row>
    <row r="236" spans="1:24" ht="15.75" x14ac:dyDescent="0.25">
      <c r="A236" s="358"/>
      <c r="B236" s="366"/>
      <c r="C236" s="368"/>
      <c r="D236" s="368"/>
      <c r="E236" s="368"/>
      <c r="F236" s="369"/>
      <c r="G236" s="314"/>
      <c r="H236" s="314"/>
      <c r="I236" s="314"/>
      <c r="J236" s="314"/>
      <c r="K236" s="314"/>
      <c r="L236" s="314"/>
      <c r="M236" s="314"/>
      <c r="N236" s="314"/>
      <c r="O236" s="314"/>
      <c r="P236" s="314"/>
      <c r="Q236" s="314"/>
      <c r="R236" s="314"/>
      <c r="S236" s="314"/>
      <c r="T236" s="372"/>
      <c r="U236" s="314"/>
      <c r="V236" s="364"/>
      <c r="W236" s="367"/>
      <c r="X236" s="5"/>
    </row>
    <row r="237" spans="1:24" ht="18.75" x14ac:dyDescent="0.3">
      <c r="A237" s="358"/>
      <c r="B237" s="373" t="s">
        <v>168</v>
      </c>
      <c r="C237" s="368"/>
      <c r="D237" s="368"/>
      <c r="E237" s="368"/>
      <c r="F237" s="369"/>
      <c r="G237" s="314"/>
      <c r="H237" s="314"/>
      <c r="I237" s="314"/>
      <c r="J237" s="314"/>
      <c r="K237" s="314"/>
      <c r="L237" s="314"/>
      <c r="M237" s="314"/>
      <c r="N237" s="314"/>
      <c r="O237" s="314"/>
      <c r="P237" s="374" t="s">
        <v>167</v>
      </c>
      <c r="Q237" s="314"/>
      <c r="R237" s="314"/>
      <c r="S237" s="314"/>
      <c r="T237" s="372"/>
      <c r="U237" s="314"/>
      <c r="V237" s="364"/>
      <c r="W237" s="367"/>
      <c r="X237" s="5"/>
    </row>
    <row r="238" spans="1:24" ht="15.75" x14ac:dyDescent="0.25">
      <c r="A238" s="353"/>
      <c r="B238" s="348"/>
      <c r="C238" s="354"/>
      <c r="D238" s="354"/>
      <c r="E238" s="354"/>
      <c r="F238" s="355"/>
      <c r="G238" s="212"/>
      <c r="H238" s="212"/>
      <c r="I238" s="212"/>
      <c r="J238" s="212"/>
      <c r="K238" s="212"/>
      <c r="L238" s="212"/>
      <c r="M238" s="212"/>
      <c r="N238" s="212"/>
      <c r="O238" s="212"/>
      <c r="P238" s="212"/>
      <c r="Q238" s="212"/>
      <c r="R238" s="212"/>
      <c r="S238" s="212"/>
      <c r="T238" s="356"/>
      <c r="U238" s="212"/>
      <c r="V238" s="349"/>
      <c r="W238" s="357"/>
      <c r="X238" s="5"/>
    </row>
    <row r="239" spans="1:24" ht="15.75" x14ac:dyDescent="0.25">
      <c r="A239" s="224"/>
      <c r="B239" s="399" t="s">
        <v>297</v>
      </c>
      <c r="C239" s="400"/>
      <c r="D239" s="400"/>
      <c r="E239" s="400"/>
      <c r="F239" s="407"/>
      <c r="G239" s="400"/>
      <c r="H239" s="400"/>
      <c r="I239" s="400"/>
      <c r="J239" s="400"/>
      <c r="K239" s="400"/>
      <c r="L239" s="400"/>
      <c r="M239" s="400"/>
      <c r="N239" s="400"/>
      <c r="O239" s="400"/>
      <c r="P239" s="400"/>
      <c r="Q239" s="400"/>
      <c r="R239" s="407" t="s">
        <v>102</v>
      </c>
      <c r="S239" s="400" t="s">
        <v>103</v>
      </c>
      <c r="T239" s="407" t="s">
        <v>109</v>
      </c>
      <c r="U239" s="400" t="s">
        <v>103</v>
      </c>
      <c r="V239" s="225"/>
      <c r="W239" s="399"/>
      <c r="X239" s="5"/>
    </row>
    <row r="240" spans="1:24" ht="15.75" x14ac:dyDescent="0.25">
      <c r="A240" s="193"/>
      <c r="B240" s="249" t="s">
        <v>88</v>
      </c>
      <c r="C240" s="265"/>
      <c r="D240" s="265"/>
      <c r="E240" s="265"/>
      <c r="F240" s="250"/>
      <c r="G240" s="265"/>
      <c r="H240" s="265"/>
      <c r="I240" s="265"/>
      <c r="J240" s="265"/>
      <c r="K240" s="265"/>
      <c r="L240" s="265"/>
      <c r="M240" s="265"/>
      <c r="N240" s="265"/>
      <c r="O240" s="265"/>
      <c r="P240" s="265"/>
      <c r="Q240" s="265"/>
      <c r="R240" s="249">
        <f t="shared" ref="R240:R247" si="1">+R252+R264+R276</f>
        <v>5123</v>
      </c>
      <c r="S240" s="252">
        <f t="shared" ref="S240:S247" si="2">R240/$R$249</f>
        <v>0.99495047582054763</v>
      </c>
      <c r="T240" s="253">
        <f t="shared" ref="T240:T247" si="3">+T252+T264+T276</f>
        <v>714983</v>
      </c>
      <c r="U240" s="252">
        <f t="shared" ref="U240:U247" si="4">T240/$T$249</f>
        <v>0.99448499752416031</v>
      </c>
      <c r="V240" s="266"/>
      <c r="W240" s="408"/>
      <c r="X240" s="5"/>
    </row>
    <row r="241" spans="1:25" ht="15.75" x14ac:dyDescent="0.25">
      <c r="A241" s="285"/>
      <c r="B241" s="337" t="s">
        <v>89</v>
      </c>
      <c r="C241" s="378"/>
      <c r="D241" s="378"/>
      <c r="E241" s="378"/>
      <c r="F241" s="286"/>
      <c r="G241" s="379"/>
      <c r="H241" s="378"/>
      <c r="I241" s="378"/>
      <c r="J241" s="378"/>
      <c r="K241" s="378"/>
      <c r="L241" s="378"/>
      <c r="M241" s="378"/>
      <c r="N241" s="378"/>
      <c r="O241" s="378"/>
      <c r="P241" s="378"/>
      <c r="Q241" s="378"/>
      <c r="R241" s="337">
        <f t="shared" si="1"/>
        <v>11</v>
      </c>
      <c r="S241" s="379">
        <f t="shared" si="2"/>
        <v>2.1363371528452125E-3</v>
      </c>
      <c r="T241" s="338">
        <f t="shared" si="3"/>
        <v>1830</v>
      </c>
      <c r="U241" s="379">
        <f t="shared" si="4"/>
        <v>2.5453857580798613E-3</v>
      </c>
      <c r="V241" s="361"/>
      <c r="W241" s="409"/>
      <c r="X241" s="5"/>
      <c r="Y241" s="109"/>
    </row>
    <row r="242" spans="1:25" ht="15.75" x14ac:dyDescent="0.25">
      <c r="A242" s="285"/>
      <c r="B242" s="337" t="s">
        <v>90</v>
      </c>
      <c r="C242" s="378"/>
      <c r="D242" s="378"/>
      <c r="E242" s="378"/>
      <c r="F242" s="286"/>
      <c r="G242" s="379"/>
      <c r="H242" s="378"/>
      <c r="I242" s="378"/>
      <c r="J242" s="378"/>
      <c r="K242" s="378"/>
      <c r="L242" s="378"/>
      <c r="M242" s="378"/>
      <c r="N242" s="378"/>
      <c r="O242" s="378"/>
      <c r="P242" s="378"/>
      <c r="Q242" s="378"/>
      <c r="R242" s="337">
        <f t="shared" si="1"/>
        <v>5</v>
      </c>
      <c r="S242" s="379">
        <f t="shared" si="2"/>
        <v>9.7106234220236938E-4</v>
      </c>
      <c r="T242" s="338">
        <f t="shared" si="3"/>
        <v>727</v>
      </c>
      <c r="U242" s="379">
        <f t="shared" si="4"/>
        <v>1.0111996973355515E-3</v>
      </c>
      <c r="V242" s="361"/>
      <c r="W242" s="409"/>
      <c r="X242" s="5"/>
    </row>
    <row r="243" spans="1:25" ht="15.75" x14ac:dyDescent="0.25">
      <c r="A243" s="285"/>
      <c r="B243" s="337" t="s">
        <v>156</v>
      </c>
      <c r="C243" s="378"/>
      <c r="D243" s="378"/>
      <c r="E243" s="378"/>
      <c r="F243" s="286"/>
      <c r="G243" s="379"/>
      <c r="H243" s="378"/>
      <c r="I243" s="378"/>
      <c r="J243" s="378"/>
      <c r="K243" s="378"/>
      <c r="L243" s="378"/>
      <c r="M243" s="378"/>
      <c r="N243" s="378"/>
      <c r="O243" s="378"/>
      <c r="P243" s="378"/>
      <c r="Q243" s="378"/>
      <c r="R243" s="337">
        <f t="shared" si="1"/>
        <v>0</v>
      </c>
      <c r="S243" s="379">
        <f t="shared" si="2"/>
        <v>0</v>
      </c>
      <c r="T243" s="338">
        <f t="shared" si="3"/>
        <v>0</v>
      </c>
      <c r="U243" s="379">
        <f t="shared" si="4"/>
        <v>0</v>
      </c>
      <c r="V243" s="361"/>
      <c r="W243" s="409"/>
      <c r="X243" s="5"/>
      <c r="Y243" s="109"/>
    </row>
    <row r="244" spans="1:25" ht="15.75" x14ac:dyDescent="0.25">
      <c r="A244" s="285"/>
      <c r="B244" s="337" t="s">
        <v>157</v>
      </c>
      <c r="C244" s="378"/>
      <c r="D244" s="378"/>
      <c r="E244" s="378"/>
      <c r="F244" s="286"/>
      <c r="G244" s="379"/>
      <c r="H244" s="378"/>
      <c r="I244" s="378"/>
      <c r="J244" s="378"/>
      <c r="K244" s="378"/>
      <c r="L244" s="378"/>
      <c r="M244" s="378"/>
      <c r="N244" s="378"/>
      <c r="O244" s="378"/>
      <c r="P244" s="378"/>
      <c r="Q244" s="378"/>
      <c r="R244" s="337">
        <f t="shared" si="1"/>
        <v>0</v>
      </c>
      <c r="S244" s="379">
        <f t="shared" si="2"/>
        <v>0</v>
      </c>
      <c r="T244" s="338">
        <f t="shared" si="3"/>
        <v>0</v>
      </c>
      <c r="U244" s="379">
        <f t="shared" si="4"/>
        <v>0</v>
      </c>
      <c r="V244" s="361"/>
      <c r="W244" s="409"/>
      <c r="X244" s="5"/>
    </row>
    <row r="245" spans="1:25" ht="15.75" x14ac:dyDescent="0.25">
      <c r="A245" s="285"/>
      <c r="B245" s="337" t="s">
        <v>158</v>
      </c>
      <c r="C245" s="378"/>
      <c r="D245" s="378"/>
      <c r="E245" s="378"/>
      <c r="F245" s="286"/>
      <c r="G245" s="379"/>
      <c r="H245" s="378"/>
      <c r="I245" s="378"/>
      <c r="J245" s="378"/>
      <c r="K245" s="378"/>
      <c r="L245" s="378"/>
      <c r="M245" s="378"/>
      <c r="N245" s="378"/>
      <c r="O245" s="378"/>
      <c r="P245" s="378"/>
      <c r="Q245" s="378"/>
      <c r="R245" s="337">
        <f t="shared" si="1"/>
        <v>1</v>
      </c>
      <c r="S245" s="379">
        <f t="shared" si="2"/>
        <v>1.9421246844047389E-4</v>
      </c>
      <c r="T245" s="338">
        <f t="shared" si="3"/>
        <v>95</v>
      </c>
      <c r="U245" s="379">
        <f t="shared" si="4"/>
        <v>1.3213751203146819E-4</v>
      </c>
      <c r="V245" s="361"/>
      <c r="W245" s="409"/>
      <c r="X245" s="5"/>
      <c r="Y245" s="109"/>
    </row>
    <row r="246" spans="1:25" ht="15.75" x14ac:dyDescent="0.25">
      <c r="A246" s="285"/>
      <c r="B246" s="337" t="s">
        <v>159</v>
      </c>
      <c r="C246" s="378"/>
      <c r="D246" s="378"/>
      <c r="E246" s="378"/>
      <c r="F246" s="286"/>
      <c r="G246" s="379"/>
      <c r="H246" s="378"/>
      <c r="I246" s="378"/>
      <c r="J246" s="378"/>
      <c r="K246" s="378"/>
      <c r="L246" s="378"/>
      <c r="M246" s="378"/>
      <c r="N246" s="378"/>
      <c r="O246" s="378"/>
      <c r="P246" s="378"/>
      <c r="Q246" s="378"/>
      <c r="R246" s="337">
        <f t="shared" si="1"/>
        <v>1</v>
      </c>
      <c r="S246" s="379">
        <f t="shared" si="2"/>
        <v>1.9421246844047389E-4</v>
      </c>
      <c r="T246" s="338">
        <f t="shared" si="3"/>
        <v>69</v>
      </c>
      <c r="U246" s="379">
        <f t="shared" si="4"/>
        <v>9.597356137022427E-5</v>
      </c>
      <c r="V246" s="361"/>
      <c r="W246" s="409"/>
      <c r="X246" s="5"/>
    </row>
    <row r="247" spans="1:25" ht="15.75" x14ac:dyDescent="0.25">
      <c r="A247" s="285"/>
      <c r="B247" s="337" t="s">
        <v>160</v>
      </c>
      <c r="C247" s="378"/>
      <c r="D247" s="378"/>
      <c r="E247" s="378"/>
      <c r="F247" s="286"/>
      <c r="G247" s="379"/>
      <c r="H247" s="378"/>
      <c r="I247" s="378"/>
      <c r="J247" s="378"/>
      <c r="K247" s="378"/>
      <c r="L247" s="378"/>
      <c r="M247" s="378"/>
      <c r="N247" s="378"/>
      <c r="O247" s="378"/>
      <c r="P247" s="378"/>
      <c r="Q247" s="378"/>
      <c r="R247" s="386">
        <f t="shared" si="1"/>
        <v>8</v>
      </c>
      <c r="S247" s="379">
        <f t="shared" si="2"/>
        <v>1.5536997475237911E-3</v>
      </c>
      <c r="T247" s="383">
        <f t="shared" si="3"/>
        <v>1244</v>
      </c>
      <c r="U247" s="387">
        <f t="shared" si="4"/>
        <v>1.7303059470225941E-3</v>
      </c>
      <c r="V247" s="361"/>
      <c r="W247" s="409"/>
      <c r="X247" s="5"/>
      <c r="Y247" s="109"/>
    </row>
    <row r="248" spans="1:25" ht="15.75" x14ac:dyDescent="0.25">
      <c r="A248" s="285"/>
      <c r="B248" s="337"/>
      <c r="C248" s="378"/>
      <c r="D248" s="378"/>
      <c r="E248" s="378"/>
      <c r="F248" s="286"/>
      <c r="G248" s="379"/>
      <c r="H248" s="378"/>
      <c r="I248" s="378"/>
      <c r="J248" s="378"/>
      <c r="K248" s="378"/>
      <c r="L248" s="378"/>
      <c r="M248" s="378"/>
      <c r="N248" s="378"/>
      <c r="O248" s="378"/>
      <c r="P248" s="378"/>
      <c r="Q248" s="378"/>
      <c r="R248" s="337"/>
      <c r="S248" s="379"/>
      <c r="T248" s="338"/>
      <c r="U248" s="379"/>
      <c r="V248" s="361"/>
      <c r="W248" s="409"/>
      <c r="X248" s="5"/>
    </row>
    <row r="249" spans="1:25" ht="15.75" x14ac:dyDescent="0.25">
      <c r="A249" s="285"/>
      <c r="B249" s="286"/>
      <c r="C249" s="286"/>
      <c r="D249" s="286"/>
      <c r="E249" s="286"/>
      <c r="F249" s="286"/>
      <c r="G249" s="286"/>
      <c r="H249" s="381"/>
      <c r="I249" s="381"/>
      <c r="J249" s="381"/>
      <c r="K249" s="381"/>
      <c r="L249" s="381"/>
      <c r="M249" s="381"/>
      <c r="N249" s="381"/>
      <c r="O249" s="381"/>
      <c r="P249" s="381"/>
      <c r="Q249" s="381"/>
      <c r="R249" s="337">
        <f>SUM(R240:R248)</f>
        <v>5149</v>
      </c>
      <c r="S249" s="379">
        <f>SUM(S240:S248)</f>
        <v>0.99999999999999989</v>
      </c>
      <c r="T249" s="338">
        <f>SUM(T240:T248)</f>
        <v>718948</v>
      </c>
      <c r="U249" s="379">
        <f>SUM(U240:U248)</f>
        <v>1</v>
      </c>
      <c r="V249" s="286"/>
      <c r="W249" s="289"/>
      <c r="X249" s="5"/>
    </row>
    <row r="250" spans="1:25" ht="15.75" x14ac:dyDescent="0.25">
      <c r="A250" s="181"/>
      <c r="B250" s="212"/>
      <c r="C250" s="212"/>
      <c r="D250" s="212"/>
      <c r="E250" s="212"/>
      <c r="F250" s="212"/>
      <c r="G250" s="212"/>
      <c r="H250" s="375"/>
      <c r="I250" s="375"/>
      <c r="J250" s="375"/>
      <c r="K250" s="375"/>
      <c r="L250" s="375"/>
      <c r="M250" s="375"/>
      <c r="N250" s="375"/>
      <c r="O250" s="375"/>
      <c r="P250" s="375"/>
      <c r="Q250" s="375"/>
      <c r="R250" s="335"/>
      <c r="S250" s="376"/>
      <c r="T250" s="377"/>
      <c r="U250" s="376"/>
      <c r="V250" s="212"/>
      <c r="W250" s="212"/>
      <c r="X250" s="5"/>
    </row>
    <row r="251" spans="1:25" ht="15.75" x14ac:dyDescent="0.25">
      <c r="A251" s="224"/>
      <c r="B251" s="399" t="s">
        <v>162</v>
      </c>
      <c r="C251" s="400"/>
      <c r="D251" s="400"/>
      <c r="E251" s="400"/>
      <c r="F251" s="407"/>
      <c r="G251" s="400"/>
      <c r="H251" s="400"/>
      <c r="I251" s="400"/>
      <c r="J251" s="400"/>
      <c r="K251" s="400"/>
      <c r="L251" s="400"/>
      <c r="M251" s="400"/>
      <c r="N251" s="400"/>
      <c r="O251" s="400"/>
      <c r="P251" s="400"/>
      <c r="Q251" s="400"/>
      <c r="R251" s="407" t="s">
        <v>102</v>
      </c>
      <c r="S251" s="400" t="s">
        <v>103</v>
      </c>
      <c r="T251" s="407" t="s">
        <v>109</v>
      </c>
      <c r="U251" s="400" t="s">
        <v>103</v>
      </c>
      <c r="V251" s="225"/>
      <c r="W251" s="399"/>
      <c r="X251" s="5"/>
    </row>
    <row r="252" spans="1:25" ht="15.75" x14ac:dyDescent="0.25">
      <c r="A252" s="193"/>
      <c r="B252" s="249" t="s">
        <v>88</v>
      </c>
      <c r="C252" s="265"/>
      <c r="D252" s="265"/>
      <c r="E252" s="265"/>
      <c r="F252" s="250"/>
      <c r="G252" s="265"/>
      <c r="H252" s="265"/>
      <c r="I252" s="265"/>
      <c r="J252" s="265"/>
      <c r="K252" s="265"/>
      <c r="L252" s="265"/>
      <c r="M252" s="265"/>
      <c r="N252" s="265"/>
      <c r="O252" s="265"/>
      <c r="P252" s="265"/>
      <c r="Q252" s="265"/>
      <c r="R252" s="249">
        <v>5047</v>
      </c>
      <c r="S252" s="252">
        <f t="shared" ref="S252:S259" si="5">R252/$R$261</f>
        <v>0.99762798972128874</v>
      </c>
      <c r="T252" s="253">
        <v>704896</v>
      </c>
      <c r="U252" s="252">
        <f t="shared" ref="U252:U259" si="6">T252/$T$261</f>
        <v>0.99710302371899329</v>
      </c>
      <c r="V252" s="266"/>
      <c r="W252" s="408"/>
      <c r="X252" s="5"/>
    </row>
    <row r="253" spans="1:25" ht="15.75" x14ac:dyDescent="0.25">
      <c r="A253" s="285"/>
      <c r="B253" s="337" t="s">
        <v>89</v>
      </c>
      <c r="C253" s="378"/>
      <c r="D253" s="378"/>
      <c r="E253" s="378"/>
      <c r="F253" s="286"/>
      <c r="G253" s="379"/>
      <c r="H253" s="378"/>
      <c r="I253" s="378"/>
      <c r="J253" s="378"/>
      <c r="K253" s="378"/>
      <c r="L253" s="378"/>
      <c r="M253" s="378"/>
      <c r="N253" s="378"/>
      <c r="O253" s="378"/>
      <c r="P253" s="378"/>
      <c r="Q253" s="378"/>
      <c r="R253" s="337">
        <v>9</v>
      </c>
      <c r="S253" s="379">
        <f t="shared" si="5"/>
        <v>1.7790077090334058E-3</v>
      </c>
      <c r="T253" s="338">
        <v>1469</v>
      </c>
      <c r="U253" s="379">
        <f t="shared" si="6"/>
        <v>2.0779580843744341E-3</v>
      </c>
      <c r="V253" s="361"/>
      <c r="W253" s="409"/>
      <c r="X253" s="5"/>
      <c r="Y253" s="109"/>
    </row>
    <row r="254" spans="1:25" ht="15.75" x14ac:dyDescent="0.25">
      <c r="A254" s="285"/>
      <c r="B254" s="337" t="s">
        <v>90</v>
      </c>
      <c r="C254" s="378"/>
      <c r="D254" s="378"/>
      <c r="E254" s="378"/>
      <c r="F254" s="286"/>
      <c r="G254" s="379"/>
      <c r="H254" s="378"/>
      <c r="I254" s="378"/>
      <c r="J254" s="378"/>
      <c r="K254" s="378"/>
      <c r="L254" s="378"/>
      <c r="M254" s="378"/>
      <c r="N254" s="378"/>
      <c r="O254" s="378"/>
      <c r="P254" s="378"/>
      <c r="Q254" s="378"/>
      <c r="R254" s="337">
        <v>0</v>
      </c>
      <c r="S254" s="379">
        <f t="shared" si="5"/>
        <v>0</v>
      </c>
      <c r="T254" s="338">
        <v>0</v>
      </c>
      <c r="U254" s="379">
        <f t="shared" si="6"/>
        <v>0</v>
      </c>
      <c r="V254" s="361"/>
      <c r="W254" s="409"/>
      <c r="X254" s="5"/>
    </row>
    <row r="255" spans="1:25" ht="15.75" x14ac:dyDescent="0.25">
      <c r="A255" s="285"/>
      <c r="B255" s="337" t="s">
        <v>156</v>
      </c>
      <c r="C255" s="378"/>
      <c r="D255" s="378"/>
      <c r="E255" s="378"/>
      <c r="F255" s="286"/>
      <c r="G255" s="379"/>
      <c r="H255" s="378"/>
      <c r="I255" s="378"/>
      <c r="J255" s="378"/>
      <c r="K255" s="378"/>
      <c r="L255" s="378"/>
      <c r="M255" s="378"/>
      <c r="N255" s="378"/>
      <c r="O255" s="378"/>
      <c r="P255" s="378"/>
      <c r="Q255" s="378"/>
      <c r="R255" s="337">
        <v>0</v>
      </c>
      <c r="S255" s="379">
        <f t="shared" si="5"/>
        <v>0</v>
      </c>
      <c r="T255" s="338">
        <v>0</v>
      </c>
      <c r="U255" s="379">
        <f t="shared" si="6"/>
        <v>0</v>
      </c>
      <c r="V255" s="361"/>
      <c r="W255" s="409"/>
      <c r="X255" s="5"/>
      <c r="Y255" s="109"/>
    </row>
    <row r="256" spans="1:25" ht="15.75" x14ac:dyDescent="0.25">
      <c r="A256" s="285"/>
      <c r="B256" s="337" t="s">
        <v>157</v>
      </c>
      <c r="C256" s="378"/>
      <c r="D256" s="378"/>
      <c r="E256" s="378"/>
      <c r="F256" s="286"/>
      <c r="G256" s="379"/>
      <c r="H256" s="378"/>
      <c r="I256" s="378"/>
      <c r="J256" s="378"/>
      <c r="K256" s="378"/>
      <c r="L256" s="378"/>
      <c r="M256" s="378"/>
      <c r="N256" s="378"/>
      <c r="O256" s="378"/>
      <c r="P256" s="378"/>
      <c r="Q256" s="378"/>
      <c r="R256" s="337">
        <v>0</v>
      </c>
      <c r="S256" s="379">
        <f t="shared" si="5"/>
        <v>0</v>
      </c>
      <c r="T256" s="338">
        <v>0</v>
      </c>
      <c r="U256" s="379">
        <f t="shared" si="6"/>
        <v>0</v>
      </c>
      <c r="V256" s="361"/>
      <c r="W256" s="409"/>
      <c r="X256" s="5"/>
    </row>
    <row r="257" spans="1:25" ht="15.75" x14ac:dyDescent="0.25">
      <c r="A257" s="285"/>
      <c r="B257" s="337" t="s">
        <v>158</v>
      </c>
      <c r="C257" s="378"/>
      <c r="D257" s="378"/>
      <c r="E257" s="378"/>
      <c r="F257" s="286"/>
      <c r="G257" s="379"/>
      <c r="H257" s="378"/>
      <c r="I257" s="378"/>
      <c r="J257" s="378"/>
      <c r="K257" s="378"/>
      <c r="L257" s="378"/>
      <c r="M257" s="378"/>
      <c r="N257" s="378"/>
      <c r="O257" s="378"/>
      <c r="P257" s="378"/>
      <c r="Q257" s="378"/>
      <c r="R257" s="337">
        <v>0</v>
      </c>
      <c r="S257" s="379">
        <f t="shared" si="5"/>
        <v>0</v>
      </c>
      <c r="T257" s="338">
        <v>0</v>
      </c>
      <c r="U257" s="379">
        <f t="shared" si="6"/>
        <v>0</v>
      </c>
      <c r="V257" s="361"/>
      <c r="W257" s="409"/>
      <c r="X257" s="5"/>
      <c r="Y257" s="109"/>
    </row>
    <row r="258" spans="1:25" ht="15.75" x14ac:dyDescent="0.25">
      <c r="A258" s="285"/>
      <c r="B258" s="337" t="s">
        <v>159</v>
      </c>
      <c r="C258" s="378"/>
      <c r="D258" s="378"/>
      <c r="E258" s="378"/>
      <c r="F258" s="286"/>
      <c r="G258" s="379"/>
      <c r="H258" s="378"/>
      <c r="I258" s="378"/>
      <c r="J258" s="378"/>
      <c r="K258" s="378"/>
      <c r="L258" s="378"/>
      <c r="M258" s="378"/>
      <c r="N258" s="378"/>
      <c r="O258" s="378"/>
      <c r="P258" s="378"/>
      <c r="Q258" s="378"/>
      <c r="R258" s="337">
        <v>0</v>
      </c>
      <c r="S258" s="379">
        <f t="shared" si="5"/>
        <v>0</v>
      </c>
      <c r="T258" s="338">
        <v>0</v>
      </c>
      <c r="U258" s="379">
        <f t="shared" si="6"/>
        <v>0</v>
      </c>
      <c r="V258" s="361"/>
      <c r="W258" s="409"/>
      <c r="X258" s="5"/>
    </row>
    <row r="259" spans="1:25" ht="15.75" x14ac:dyDescent="0.25">
      <c r="A259" s="285"/>
      <c r="B259" s="337" t="s">
        <v>160</v>
      </c>
      <c r="C259" s="378"/>
      <c r="D259" s="378"/>
      <c r="E259" s="378"/>
      <c r="F259" s="286"/>
      <c r="G259" s="379"/>
      <c r="H259" s="378"/>
      <c r="I259" s="378"/>
      <c r="J259" s="378"/>
      <c r="K259" s="378"/>
      <c r="L259" s="378"/>
      <c r="M259" s="378"/>
      <c r="N259" s="378"/>
      <c r="O259" s="378"/>
      <c r="P259" s="378"/>
      <c r="Q259" s="378"/>
      <c r="R259" s="337">
        <v>3</v>
      </c>
      <c r="S259" s="379">
        <f t="shared" si="5"/>
        <v>5.9300256967780192E-4</v>
      </c>
      <c r="T259" s="338">
        <v>579</v>
      </c>
      <c r="U259" s="379">
        <f t="shared" si="6"/>
        <v>8.1901819663226507E-4</v>
      </c>
      <c r="V259" s="361"/>
      <c r="W259" s="409"/>
      <c r="X259" s="5"/>
      <c r="Y259" s="109"/>
    </row>
    <row r="260" spans="1:25" ht="15.75" x14ac:dyDescent="0.25">
      <c r="A260" s="285"/>
      <c r="B260" s="337"/>
      <c r="C260" s="378"/>
      <c r="D260" s="378"/>
      <c r="E260" s="378"/>
      <c r="F260" s="286"/>
      <c r="G260" s="379"/>
      <c r="H260" s="378"/>
      <c r="I260" s="378"/>
      <c r="J260" s="378"/>
      <c r="K260" s="378"/>
      <c r="L260" s="378"/>
      <c r="M260" s="378"/>
      <c r="N260" s="378"/>
      <c r="O260" s="378"/>
      <c r="P260" s="378"/>
      <c r="Q260" s="378"/>
      <c r="R260" s="337"/>
      <c r="S260" s="379"/>
      <c r="T260" s="338"/>
      <c r="U260" s="379"/>
      <c r="V260" s="361"/>
      <c r="W260" s="409"/>
      <c r="X260" s="5"/>
    </row>
    <row r="261" spans="1:25" ht="15.75" x14ac:dyDescent="0.25">
      <c r="A261" s="285"/>
      <c r="B261" s="286"/>
      <c r="C261" s="286"/>
      <c r="D261" s="286"/>
      <c r="E261" s="286"/>
      <c r="F261" s="286"/>
      <c r="G261" s="286"/>
      <c r="H261" s="381"/>
      <c r="I261" s="381"/>
      <c r="J261" s="381"/>
      <c r="K261" s="381"/>
      <c r="L261" s="381"/>
      <c r="M261" s="381"/>
      <c r="N261" s="381"/>
      <c r="O261" s="381"/>
      <c r="P261" s="381"/>
      <c r="Q261" s="381"/>
      <c r="R261" s="337">
        <f>SUM(R252:R260)</f>
        <v>5059</v>
      </c>
      <c r="S261" s="379">
        <f>SUM(S252:S260)</f>
        <v>0.99999999999999989</v>
      </c>
      <c r="T261" s="338">
        <f>SUM(T252:T260)</f>
        <v>706944</v>
      </c>
      <c r="U261" s="379">
        <f>SUM(U252:U260)</f>
        <v>0.99999999999999989</v>
      </c>
      <c r="V261" s="286"/>
      <c r="W261" s="289"/>
      <c r="X261" s="5"/>
    </row>
    <row r="262" spans="1:25" ht="15.75" x14ac:dyDescent="0.25">
      <c r="A262" s="181"/>
      <c r="B262" s="212"/>
      <c r="C262" s="212"/>
      <c r="D262" s="212"/>
      <c r="E262" s="212"/>
      <c r="F262" s="212"/>
      <c r="G262" s="212"/>
      <c r="H262" s="375"/>
      <c r="I262" s="375"/>
      <c r="J262" s="375"/>
      <c r="K262" s="375"/>
      <c r="L262" s="375"/>
      <c r="M262" s="375"/>
      <c r="N262" s="375"/>
      <c r="O262" s="375"/>
      <c r="P262" s="375"/>
      <c r="Q262" s="375"/>
      <c r="R262" s="335"/>
      <c r="S262" s="376"/>
      <c r="T262" s="377"/>
      <c r="U262" s="376"/>
      <c r="V262" s="212"/>
      <c r="W262" s="212"/>
      <c r="X262" s="5"/>
    </row>
    <row r="263" spans="1:25" ht="15.75" x14ac:dyDescent="0.25">
      <c r="A263" s="244"/>
      <c r="B263" s="399" t="s">
        <v>236</v>
      </c>
      <c r="C263" s="400"/>
      <c r="D263" s="400"/>
      <c r="E263" s="400"/>
      <c r="F263" s="407"/>
      <c r="G263" s="400"/>
      <c r="H263" s="400"/>
      <c r="I263" s="400"/>
      <c r="J263" s="400"/>
      <c r="K263" s="400"/>
      <c r="L263" s="400"/>
      <c r="M263" s="400"/>
      <c r="N263" s="400"/>
      <c r="O263" s="400"/>
      <c r="P263" s="400"/>
      <c r="Q263" s="400"/>
      <c r="R263" s="407" t="s">
        <v>102</v>
      </c>
      <c r="S263" s="400" t="s">
        <v>103</v>
      </c>
      <c r="T263" s="407" t="s">
        <v>109</v>
      </c>
      <c r="U263" s="400" t="s">
        <v>103</v>
      </c>
      <c r="V263" s="245"/>
      <c r="W263" s="246"/>
      <c r="X263" s="5"/>
    </row>
    <row r="264" spans="1:25" ht="15.75" x14ac:dyDescent="0.25">
      <c r="A264" s="193"/>
      <c r="B264" s="249" t="s">
        <v>88</v>
      </c>
      <c r="C264" s="265"/>
      <c r="D264" s="265"/>
      <c r="E264" s="265"/>
      <c r="F264" s="250"/>
      <c r="G264" s="265"/>
      <c r="H264" s="265"/>
      <c r="I264" s="265"/>
      <c r="J264" s="265"/>
      <c r="K264" s="265"/>
      <c r="L264" s="265"/>
      <c r="M264" s="265"/>
      <c r="N264" s="265"/>
      <c r="O264" s="265"/>
      <c r="P264" s="265"/>
      <c r="Q264" s="265"/>
      <c r="R264" s="249">
        <v>76</v>
      </c>
      <c r="S264" s="252">
        <f t="shared" ref="S264:S270" si="7">R264/$R$273</f>
        <v>0.84444444444444444</v>
      </c>
      <c r="T264" s="253">
        <v>10087</v>
      </c>
      <c r="U264" s="252">
        <f t="shared" ref="U264:U271" si="8">T264/$T$273</f>
        <v>0.84030323225591474</v>
      </c>
      <c r="V264" s="250"/>
      <c r="W264" s="250"/>
      <c r="X264" s="5"/>
    </row>
    <row r="265" spans="1:25" ht="15.75" x14ac:dyDescent="0.25">
      <c r="A265" s="285"/>
      <c r="B265" s="337" t="s">
        <v>89</v>
      </c>
      <c r="C265" s="378"/>
      <c r="D265" s="378"/>
      <c r="E265" s="378"/>
      <c r="F265" s="286"/>
      <c r="G265" s="379"/>
      <c r="H265" s="378"/>
      <c r="I265" s="378"/>
      <c r="J265" s="378"/>
      <c r="K265" s="378"/>
      <c r="L265" s="378"/>
      <c r="M265" s="378"/>
      <c r="N265" s="378"/>
      <c r="O265" s="378"/>
      <c r="P265" s="378"/>
      <c r="Q265" s="378"/>
      <c r="R265" s="337">
        <v>2</v>
      </c>
      <c r="S265" s="379">
        <f t="shared" si="7"/>
        <v>2.2222222222222223E-2</v>
      </c>
      <c r="T265" s="338">
        <v>361</v>
      </c>
      <c r="U265" s="379">
        <f t="shared" si="8"/>
        <v>3.0073308897034322E-2</v>
      </c>
      <c r="V265" s="286"/>
      <c r="W265" s="289"/>
      <c r="X265" s="5"/>
    </row>
    <row r="266" spans="1:25" ht="15.75" x14ac:dyDescent="0.25">
      <c r="A266" s="285"/>
      <c r="B266" s="337" t="s">
        <v>90</v>
      </c>
      <c r="C266" s="378"/>
      <c r="D266" s="378"/>
      <c r="E266" s="378"/>
      <c r="F266" s="286"/>
      <c r="G266" s="379"/>
      <c r="H266" s="378"/>
      <c r="I266" s="378"/>
      <c r="J266" s="378"/>
      <c r="K266" s="378"/>
      <c r="L266" s="378"/>
      <c r="M266" s="378"/>
      <c r="N266" s="378"/>
      <c r="O266" s="378"/>
      <c r="P266" s="378"/>
      <c r="Q266" s="378"/>
      <c r="R266" s="337">
        <v>5</v>
      </c>
      <c r="S266" s="379">
        <f t="shared" si="7"/>
        <v>5.5555555555555552E-2</v>
      </c>
      <c r="T266" s="338">
        <v>727</v>
      </c>
      <c r="U266" s="379">
        <f t="shared" si="8"/>
        <v>6.0563145618127291E-2</v>
      </c>
      <c r="V266" s="286"/>
      <c r="W266" s="289"/>
      <c r="X266" s="5"/>
    </row>
    <row r="267" spans="1:25" ht="15.75" x14ac:dyDescent="0.25">
      <c r="A267" s="285"/>
      <c r="B267" s="337" t="s">
        <v>156</v>
      </c>
      <c r="C267" s="378"/>
      <c r="D267" s="378"/>
      <c r="E267" s="378"/>
      <c r="F267" s="286"/>
      <c r="G267" s="379"/>
      <c r="H267" s="378"/>
      <c r="I267" s="378"/>
      <c r="J267" s="378"/>
      <c r="K267" s="378"/>
      <c r="L267" s="378"/>
      <c r="M267" s="378"/>
      <c r="N267" s="378"/>
      <c r="O267" s="378"/>
      <c r="P267" s="378"/>
      <c r="Q267" s="378"/>
      <c r="R267" s="337">
        <v>0</v>
      </c>
      <c r="S267" s="379">
        <f t="shared" si="7"/>
        <v>0</v>
      </c>
      <c r="T267" s="338">
        <v>0</v>
      </c>
      <c r="U267" s="379">
        <f t="shared" si="8"/>
        <v>0</v>
      </c>
      <c r="V267" s="286"/>
      <c r="W267" s="289"/>
      <c r="X267" s="5"/>
    </row>
    <row r="268" spans="1:25" ht="15.75" x14ac:dyDescent="0.25">
      <c r="A268" s="285"/>
      <c r="B268" s="337" t="s">
        <v>157</v>
      </c>
      <c r="C268" s="378"/>
      <c r="D268" s="378"/>
      <c r="E268" s="378"/>
      <c r="F268" s="286"/>
      <c r="G268" s="379"/>
      <c r="H268" s="378"/>
      <c r="I268" s="378"/>
      <c r="J268" s="378"/>
      <c r="K268" s="378"/>
      <c r="L268" s="378"/>
      <c r="M268" s="378"/>
      <c r="N268" s="378"/>
      <c r="O268" s="378"/>
      <c r="P268" s="378"/>
      <c r="Q268" s="378"/>
      <c r="R268" s="337">
        <v>0</v>
      </c>
      <c r="S268" s="379">
        <f t="shared" si="7"/>
        <v>0</v>
      </c>
      <c r="T268" s="338">
        <v>0</v>
      </c>
      <c r="U268" s="379">
        <f t="shared" si="8"/>
        <v>0</v>
      </c>
      <c r="V268" s="286"/>
      <c r="W268" s="289"/>
      <c r="X268" s="5"/>
    </row>
    <row r="269" spans="1:25" ht="15.75" x14ac:dyDescent="0.25">
      <c r="A269" s="285"/>
      <c r="B269" s="337" t="s">
        <v>158</v>
      </c>
      <c r="C269" s="378"/>
      <c r="D269" s="378"/>
      <c r="E269" s="378"/>
      <c r="F269" s="286"/>
      <c r="G269" s="379"/>
      <c r="H269" s="378"/>
      <c r="I269" s="378"/>
      <c r="J269" s="378"/>
      <c r="K269" s="378"/>
      <c r="L269" s="378"/>
      <c r="M269" s="378"/>
      <c r="N269" s="378"/>
      <c r="O269" s="378"/>
      <c r="P269" s="378"/>
      <c r="Q269" s="378"/>
      <c r="R269" s="337">
        <v>1</v>
      </c>
      <c r="S269" s="379">
        <f t="shared" si="7"/>
        <v>1.1111111111111112E-2</v>
      </c>
      <c r="T269" s="338">
        <v>95</v>
      </c>
      <c r="U269" s="379">
        <f t="shared" si="8"/>
        <v>7.9140286571142953E-3</v>
      </c>
      <c r="V269" s="286"/>
      <c r="W269" s="289"/>
      <c r="X269" s="5"/>
    </row>
    <row r="270" spans="1:25" ht="15.75" x14ac:dyDescent="0.25">
      <c r="A270" s="285"/>
      <c r="B270" s="337" t="s">
        <v>159</v>
      </c>
      <c r="C270" s="378"/>
      <c r="D270" s="378"/>
      <c r="E270" s="378"/>
      <c r="F270" s="286"/>
      <c r="G270" s="379"/>
      <c r="H270" s="378"/>
      <c r="I270" s="378"/>
      <c r="J270" s="378"/>
      <c r="K270" s="378"/>
      <c r="L270" s="378"/>
      <c r="M270" s="378"/>
      <c r="N270" s="378"/>
      <c r="O270" s="378"/>
      <c r="P270" s="378"/>
      <c r="Q270" s="378"/>
      <c r="R270" s="337">
        <v>1</v>
      </c>
      <c r="S270" s="379">
        <f t="shared" si="7"/>
        <v>1.1111111111111112E-2</v>
      </c>
      <c r="T270" s="338">
        <v>69</v>
      </c>
      <c r="U270" s="379">
        <f t="shared" si="8"/>
        <v>5.74808397200933E-3</v>
      </c>
      <c r="V270" s="286"/>
      <c r="W270" s="289"/>
      <c r="X270" s="5"/>
    </row>
    <row r="271" spans="1:25" ht="15.75" x14ac:dyDescent="0.25">
      <c r="A271" s="285"/>
      <c r="B271" s="337" t="s">
        <v>160</v>
      </c>
      <c r="C271" s="378"/>
      <c r="D271" s="378"/>
      <c r="E271" s="378"/>
      <c r="F271" s="286"/>
      <c r="G271" s="379"/>
      <c r="H271" s="378"/>
      <c r="I271" s="378"/>
      <c r="J271" s="378"/>
      <c r="K271" s="378"/>
      <c r="L271" s="378"/>
      <c r="M271" s="378"/>
      <c r="N271" s="378"/>
      <c r="O271" s="378"/>
      <c r="P271" s="378"/>
      <c r="Q271" s="378"/>
      <c r="R271" s="337">
        <v>5</v>
      </c>
      <c r="S271" s="379">
        <f>R271/$R$273</f>
        <v>5.5555555555555552E-2</v>
      </c>
      <c r="T271" s="338">
        <v>665</v>
      </c>
      <c r="U271" s="379">
        <f t="shared" si="8"/>
        <v>5.5398200599800065E-2</v>
      </c>
      <c r="V271" s="286"/>
      <c r="W271" s="289"/>
      <c r="X271" s="5"/>
    </row>
    <row r="272" spans="1:25" ht="15.75" x14ac:dyDescent="0.25">
      <c r="A272" s="285"/>
      <c r="B272" s="337"/>
      <c r="C272" s="378"/>
      <c r="D272" s="378"/>
      <c r="E272" s="378"/>
      <c r="F272" s="286"/>
      <c r="G272" s="379"/>
      <c r="H272" s="378"/>
      <c r="I272" s="378"/>
      <c r="J272" s="378"/>
      <c r="K272" s="378"/>
      <c r="L272" s="378"/>
      <c r="M272" s="378"/>
      <c r="N272" s="378"/>
      <c r="O272" s="378"/>
      <c r="P272" s="378"/>
      <c r="Q272" s="378"/>
      <c r="R272" s="337"/>
      <c r="S272" s="379"/>
      <c r="T272" s="338"/>
      <c r="U272" s="379"/>
      <c r="V272" s="286"/>
      <c r="W272" s="289"/>
      <c r="X272" s="5"/>
    </row>
    <row r="273" spans="1:24" ht="15.75" x14ac:dyDescent="0.25">
      <c r="A273" s="285"/>
      <c r="B273" s="286"/>
      <c r="C273" s="286"/>
      <c r="D273" s="286"/>
      <c r="E273" s="286"/>
      <c r="F273" s="286"/>
      <c r="G273" s="286"/>
      <c r="H273" s="381"/>
      <c r="I273" s="381"/>
      <c r="J273" s="381"/>
      <c r="K273" s="381"/>
      <c r="L273" s="381"/>
      <c r="M273" s="381"/>
      <c r="N273" s="381"/>
      <c r="O273" s="381"/>
      <c r="P273" s="381"/>
      <c r="Q273" s="381"/>
      <c r="R273" s="337">
        <f>SUM(R264:R272)</f>
        <v>90</v>
      </c>
      <c r="S273" s="379">
        <f>SUM(S264:S272)</f>
        <v>1</v>
      </c>
      <c r="T273" s="338">
        <f>SUM(T264:T272)</f>
        <v>12004</v>
      </c>
      <c r="U273" s="379">
        <f>SUM(U264:U272)</f>
        <v>1</v>
      </c>
      <c r="V273" s="286"/>
      <c r="W273" s="289"/>
      <c r="X273" s="5"/>
    </row>
    <row r="274" spans="1:24" ht="15.75" x14ac:dyDescent="0.25">
      <c r="A274" s="181"/>
      <c r="B274" s="212"/>
      <c r="C274" s="212"/>
      <c r="D274" s="212"/>
      <c r="E274" s="212"/>
      <c r="F274" s="212"/>
      <c r="G274" s="212"/>
      <c r="H274" s="375"/>
      <c r="I274" s="375"/>
      <c r="J274" s="375"/>
      <c r="K274" s="375"/>
      <c r="L274" s="375"/>
      <c r="M274" s="375"/>
      <c r="N274" s="375"/>
      <c r="O274" s="375"/>
      <c r="P274" s="375"/>
      <c r="Q274" s="375"/>
      <c r="R274" s="335"/>
      <c r="S274" s="376"/>
      <c r="T274" s="377"/>
      <c r="U274" s="376"/>
      <c r="V274" s="212"/>
      <c r="W274" s="212"/>
      <c r="X274" s="5"/>
    </row>
    <row r="275" spans="1:24" ht="15.75" x14ac:dyDescent="0.25">
      <c r="A275" s="244"/>
      <c r="B275" s="399" t="s">
        <v>163</v>
      </c>
      <c r="C275" s="245"/>
      <c r="D275" s="245"/>
      <c r="E275" s="245"/>
      <c r="F275" s="245"/>
      <c r="G275" s="245"/>
      <c r="H275" s="247"/>
      <c r="I275" s="247"/>
      <c r="J275" s="247"/>
      <c r="K275" s="247"/>
      <c r="L275" s="247"/>
      <c r="M275" s="247"/>
      <c r="N275" s="247"/>
      <c r="O275" s="247"/>
      <c r="P275" s="247"/>
      <c r="Q275" s="247"/>
      <c r="R275" s="407" t="s">
        <v>102</v>
      </c>
      <c r="S275" s="400" t="s">
        <v>103</v>
      </c>
      <c r="T275" s="407" t="s">
        <v>109</v>
      </c>
      <c r="U275" s="400" t="s">
        <v>103</v>
      </c>
      <c r="V275" s="245"/>
      <c r="W275" s="246"/>
      <c r="X275" s="5"/>
    </row>
    <row r="276" spans="1:24" ht="15.75" x14ac:dyDescent="0.25">
      <c r="A276" s="248"/>
      <c r="B276" s="249" t="s">
        <v>88</v>
      </c>
      <c r="C276" s="250"/>
      <c r="D276" s="250"/>
      <c r="E276" s="250"/>
      <c r="F276" s="250"/>
      <c r="G276" s="250"/>
      <c r="H276" s="251"/>
      <c r="I276" s="251"/>
      <c r="J276" s="251"/>
      <c r="K276" s="251"/>
      <c r="L276" s="251"/>
      <c r="M276" s="251"/>
      <c r="N276" s="251"/>
      <c r="O276" s="251"/>
      <c r="P276" s="251"/>
      <c r="Q276" s="251"/>
      <c r="R276" s="249">
        <v>0</v>
      </c>
      <c r="S276" s="252">
        <v>0</v>
      </c>
      <c r="T276" s="253">
        <v>0</v>
      </c>
      <c r="U276" s="252">
        <v>0</v>
      </c>
      <c r="V276" s="250"/>
      <c r="W276" s="250"/>
      <c r="X276" s="5"/>
    </row>
    <row r="277" spans="1:24" ht="15.75" x14ac:dyDescent="0.25">
      <c r="A277" s="295"/>
      <c r="B277" s="337" t="s">
        <v>89</v>
      </c>
      <c r="C277" s="286"/>
      <c r="D277" s="286"/>
      <c r="E277" s="286"/>
      <c r="F277" s="286"/>
      <c r="G277" s="286"/>
      <c r="H277" s="381"/>
      <c r="I277" s="381"/>
      <c r="J277" s="381"/>
      <c r="K277" s="381"/>
      <c r="L277" s="381"/>
      <c r="M277" s="381"/>
      <c r="N277" s="381"/>
      <c r="O277" s="381"/>
      <c r="P277" s="381"/>
      <c r="Q277" s="381"/>
      <c r="R277" s="337">
        <v>0</v>
      </c>
      <c r="S277" s="379">
        <v>0</v>
      </c>
      <c r="T277" s="338">
        <v>0</v>
      </c>
      <c r="U277" s="379">
        <v>0</v>
      </c>
      <c r="V277" s="286"/>
      <c r="W277" s="289"/>
      <c r="X277" s="5"/>
    </row>
    <row r="278" spans="1:24" ht="15.75" x14ac:dyDescent="0.25">
      <c r="A278" s="295"/>
      <c r="B278" s="337" t="s">
        <v>90</v>
      </c>
      <c r="C278" s="286"/>
      <c r="D278" s="286"/>
      <c r="E278" s="286"/>
      <c r="F278" s="286"/>
      <c r="G278" s="286"/>
      <c r="H278" s="381"/>
      <c r="I278" s="381"/>
      <c r="J278" s="381"/>
      <c r="K278" s="381"/>
      <c r="L278" s="381"/>
      <c r="M278" s="381"/>
      <c r="N278" s="381"/>
      <c r="O278" s="381"/>
      <c r="P278" s="381"/>
      <c r="Q278" s="381"/>
      <c r="R278" s="337">
        <v>0</v>
      </c>
      <c r="S278" s="379">
        <v>0</v>
      </c>
      <c r="T278" s="338">
        <v>0</v>
      </c>
      <c r="U278" s="379">
        <v>0</v>
      </c>
      <c r="V278" s="286"/>
      <c r="W278" s="289"/>
      <c r="X278" s="5"/>
    </row>
    <row r="279" spans="1:24" ht="15.75" x14ac:dyDescent="0.25">
      <c r="A279" s="295"/>
      <c r="B279" s="337" t="s">
        <v>156</v>
      </c>
      <c r="C279" s="286"/>
      <c r="D279" s="286"/>
      <c r="E279" s="286"/>
      <c r="F279" s="286"/>
      <c r="G279" s="286"/>
      <c r="H279" s="381"/>
      <c r="I279" s="381"/>
      <c r="J279" s="381"/>
      <c r="K279" s="381"/>
      <c r="L279" s="381"/>
      <c r="M279" s="381"/>
      <c r="N279" s="381"/>
      <c r="O279" s="381"/>
      <c r="P279" s="381"/>
      <c r="Q279" s="381"/>
      <c r="R279" s="337">
        <v>0</v>
      </c>
      <c r="S279" s="379">
        <v>0</v>
      </c>
      <c r="T279" s="338">
        <v>0</v>
      </c>
      <c r="U279" s="379">
        <v>0</v>
      </c>
      <c r="V279" s="286"/>
      <c r="W279" s="289"/>
      <c r="X279" s="5"/>
    </row>
    <row r="280" spans="1:24" ht="15.75" x14ac:dyDescent="0.25">
      <c r="A280" s="295"/>
      <c r="B280" s="337" t="s">
        <v>157</v>
      </c>
      <c r="C280" s="286"/>
      <c r="D280" s="286"/>
      <c r="E280" s="286"/>
      <c r="F280" s="286"/>
      <c r="G280" s="286"/>
      <c r="H280" s="381"/>
      <c r="I280" s="381"/>
      <c r="J280" s="381"/>
      <c r="K280" s="381"/>
      <c r="L280" s="381"/>
      <c r="M280" s="381"/>
      <c r="N280" s="381"/>
      <c r="O280" s="381"/>
      <c r="P280" s="381"/>
      <c r="Q280" s="381"/>
      <c r="R280" s="337">
        <v>0</v>
      </c>
      <c r="S280" s="379">
        <v>0</v>
      </c>
      <c r="T280" s="338">
        <v>0</v>
      </c>
      <c r="U280" s="379">
        <v>0</v>
      </c>
      <c r="V280" s="286"/>
      <c r="W280" s="289"/>
      <c r="X280" s="5"/>
    </row>
    <row r="281" spans="1:24" ht="15.75" x14ac:dyDescent="0.25">
      <c r="A281" s="295"/>
      <c r="B281" s="337" t="s">
        <v>158</v>
      </c>
      <c r="C281" s="286"/>
      <c r="D281" s="286"/>
      <c r="E281" s="286"/>
      <c r="F281" s="286"/>
      <c r="G281" s="286"/>
      <c r="H281" s="381"/>
      <c r="I281" s="381"/>
      <c r="J281" s="381"/>
      <c r="K281" s="381"/>
      <c r="L281" s="381"/>
      <c r="M281" s="381"/>
      <c r="N281" s="381"/>
      <c r="O281" s="381"/>
      <c r="P281" s="381"/>
      <c r="Q281" s="381"/>
      <c r="R281" s="337">
        <v>0</v>
      </c>
      <c r="S281" s="379">
        <v>0</v>
      </c>
      <c r="T281" s="338">
        <v>0</v>
      </c>
      <c r="U281" s="379">
        <v>0</v>
      </c>
      <c r="V281" s="286"/>
      <c r="W281" s="289"/>
      <c r="X281" s="5"/>
    </row>
    <row r="282" spans="1:24" ht="15.75" x14ac:dyDescent="0.25">
      <c r="A282" s="295"/>
      <c r="B282" s="337" t="s">
        <v>159</v>
      </c>
      <c r="C282" s="286"/>
      <c r="D282" s="286"/>
      <c r="E282" s="286"/>
      <c r="F282" s="286"/>
      <c r="G282" s="286"/>
      <c r="H282" s="381"/>
      <c r="I282" s="381"/>
      <c r="J282" s="381"/>
      <c r="K282" s="381"/>
      <c r="L282" s="381"/>
      <c r="M282" s="381"/>
      <c r="N282" s="381"/>
      <c r="O282" s="381"/>
      <c r="P282" s="381"/>
      <c r="Q282" s="381"/>
      <c r="R282" s="337">
        <v>0</v>
      </c>
      <c r="S282" s="379">
        <v>0</v>
      </c>
      <c r="T282" s="338">
        <v>0</v>
      </c>
      <c r="U282" s="379">
        <v>0</v>
      </c>
      <c r="V282" s="286"/>
      <c r="W282" s="289"/>
      <c r="X282" s="5"/>
    </row>
    <row r="283" spans="1:24" ht="15.75" x14ac:dyDescent="0.25">
      <c r="A283" s="295"/>
      <c r="B283" s="337" t="s">
        <v>160</v>
      </c>
      <c r="C283" s="286"/>
      <c r="D283" s="286"/>
      <c r="E283" s="286"/>
      <c r="F283" s="286"/>
      <c r="G283" s="286"/>
      <c r="H283" s="381"/>
      <c r="I283" s="381"/>
      <c r="J283" s="381"/>
      <c r="K283" s="381"/>
      <c r="L283" s="381"/>
      <c r="M283" s="381"/>
      <c r="N283" s="381"/>
      <c r="O283" s="381"/>
      <c r="P283" s="381"/>
      <c r="Q283" s="381"/>
      <c r="R283" s="337">
        <v>0</v>
      </c>
      <c r="S283" s="379">
        <v>0</v>
      </c>
      <c r="T283" s="338">
        <v>0</v>
      </c>
      <c r="U283" s="379">
        <v>0</v>
      </c>
      <c r="V283" s="286"/>
      <c r="W283" s="289"/>
      <c r="X283" s="5"/>
    </row>
    <row r="284" spans="1:24" ht="15.75" x14ac:dyDescent="0.25">
      <c r="A284" s="295"/>
      <c r="B284" s="337"/>
      <c r="C284" s="286"/>
      <c r="D284" s="286"/>
      <c r="E284" s="286"/>
      <c r="F284" s="286"/>
      <c r="G284" s="286"/>
      <c r="H284" s="381"/>
      <c r="I284" s="381"/>
      <c r="J284" s="381"/>
      <c r="K284" s="381"/>
      <c r="L284" s="381"/>
      <c r="M284" s="381"/>
      <c r="N284" s="381"/>
      <c r="O284" s="381"/>
      <c r="P284" s="381"/>
      <c r="Q284" s="381"/>
      <c r="R284" s="337"/>
      <c r="S284" s="379"/>
      <c r="T284" s="338"/>
      <c r="U284" s="379"/>
      <c r="V284" s="286"/>
      <c r="W284" s="289"/>
      <c r="X284" s="5"/>
    </row>
    <row r="285" spans="1:24" ht="15.75" x14ac:dyDescent="0.25">
      <c r="A285" s="295"/>
      <c r="B285" s="286" t="s">
        <v>114</v>
      </c>
      <c r="C285" s="286"/>
      <c r="D285" s="286"/>
      <c r="E285" s="286"/>
      <c r="F285" s="286"/>
      <c r="G285" s="286"/>
      <c r="H285" s="381"/>
      <c r="I285" s="381"/>
      <c r="J285" s="381"/>
      <c r="K285" s="381"/>
      <c r="L285" s="381"/>
      <c r="M285" s="381"/>
      <c r="N285" s="381"/>
      <c r="O285" s="381"/>
      <c r="P285" s="381"/>
      <c r="Q285" s="381"/>
      <c r="R285" s="337">
        <f>SUM(R276:R283)</f>
        <v>0</v>
      </c>
      <c r="S285" s="379">
        <f>SUM(S276:S283)</f>
        <v>0</v>
      </c>
      <c r="T285" s="338">
        <f>SUM(T276:T283)</f>
        <v>0</v>
      </c>
      <c r="U285" s="379">
        <f>SUM(U276:U283)</f>
        <v>0</v>
      </c>
      <c r="V285" s="286"/>
      <c r="W285" s="289"/>
      <c r="X285" s="5"/>
    </row>
    <row r="286" spans="1:24" ht="15.75" x14ac:dyDescent="0.25">
      <c r="A286" s="295"/>
      <c r="B286" s="286"/>
      <c r="C286" s="286"/>
      <c r="D286" s="286"/>
      <c r="E286" s="286"/>
      <c r="F286" s="286"/>
      <c r="G286" s="286"/>
      <c r="H286" s="381"/>
      <c r="I286" s="381"/>
      <c r="J286" s="381"/>
      <c r="K286" s="381"/>
      <c r="L286" s="381"/>
      <c r="M286" s="381"/>
      <c r="N286" s="381"/>
      <c r="O286" s="381"/>
      <c r="P286" s="381"/>
      <c r="Q286" s="381"/>
      <c r="R286" s="337"/>
      <c r="S286" s="379"/>
      <c r="T286" s="338"/>
      <c r="U286" s="379"/>
      <c r="V286" s="286"/>
      <c r="W286" s="289"/>
      <c r="X286" s="5"/>
    </row>
    <row r="287" spans="1:24" ht="15.75" x14ac:dyDescent="0.25">
      <c r="A287" s="295"/>
      <c r="B287" s="297" t="s">
        <v>164</v>
      </c>
      <c r="C287" s="286"/>
      <c r="D287" s="286"/>
      <c r="E287" s="286"/>
      <c r="F287" s="286"/>
      <c r="G287" s="286"/>
      <c r="H287" s="381"/>
      <c r="I287" s="381"/>
      <c r="J287" s="381"/>
      <c r="K287" s="381"/>
      <c r="L287" s="381"/>
      <c r="M287" s="381"/>
      <c r="N287" s="381"/>
      <c r="O287" s="381"/>
      <c r="P287" s="381"/>
      <c r="Q287" s="381"/>
      <c r="R287" s="384">
        <f>R285+R273+R261</f>
        <v>5149</v>
      </c>
      <c r="S287" s="379"/>
      <c r="T287" s="410">
        <f>+T285+T273+T261</f>
        <v>718948</v>
      </c>
      <c r="U287" s="379"/>
      <c r="V287" s="286"/>
      <c r="W287" s="289"/>
      <c r="X287" s="5"/>
    </row>
    <row r="288" spans="1:24" ht="15.75" x14ac:dyDescent="0.25">
      <c r="A288" s="254"/>
      <c r="B288" s="346"/>
      <c r="C288" s="346"/>
      <c r="D288" s="346"/>
      <c r="E288" s="346"/>
      <c r="F288" s="346"/>
      <c r="G288" s="346"/>
      <c r="H288" s="382"/>
      <c r="I288" s="382"/>
      <c r="J288" s="382"/>
      <c r="K288" s="382"/>
      <c r="L288" s="382"/>
      <c r="M288" s="382"/>
      <c r="N288" s="382"/>
      <c r="O288" s="382"/>
      <c r="P288" s="382"/>
      <c r="Q288" s="382"/>
      <c r="R288" s="382"/>
      <c r="S288" s="382"/>
      <c r="T288" s="383"/>
      <c r="U288" s="382"/>
      <c r="V288" s="346"/>
      <c r="W288" s="346"/>
      <c r="X288" s="5"/>
    </row>
    <row r="289" spans="1:24" ht="15.75" x14ac:dyDescent="0.25">
      <c r="A289" s="254"/>
      <c r="B289" s="255"/>
      <c r="C289" s="255"/>
      <c r="D289" s="255"/>
      <c r="E289" s="255"/>
      <c r="F289" s="255"/>
      <c r="G289" s="255"/>
      <c r="H289" s="256"/>
      <c r="I289" s="256"/>
      <c r="J289" s="256"/>
      <c r="K289" s="256"/>
      <c r="L289" s="256"/>
      <c r="M289" s="256"/>
      <c r="N289" s="256"/>
      <c r="O289" s="256"/>
      <c r="P289" s="256"/>
      <c r="Q289" s="256"/>
      <c r="R289" s="256"/>
      <c r="S289" s="256"/>
      <c r="T289" s="257"/>
      <c r="U289" s="256"/>
      <c r="V289" s="255"/>
      <c r="W289" s="255"/>
      <c r="X289" s="5"/>
    </row>
    <row r="290" spans="1:24" ht="15.75" x14ac:dyDescent="0.25">
      <c r="A290" s="258"/>
      <c r="B290" s="388" t="s">
        <v>91</v>
      </c>
      <c r="C290" s="255"/>
      <c r="D290" s="255"/>
      <c r="E290" s="255"/>
      <c r="F290" s="391" t="s">
        <v>97</v>
      </c>
      <c r="G290" s="255"/>
      <c r="H290" s="388" t="s">
        <v>99</v>
      </c>
      <c r="I290" s="388"/>
      <c r="J290" s="388"/>
      <c r="K290" s="261"/>
      <c r="L290" s="261"/>
      <c r="M290" s="261"/>
      <c r="N290" s="261"/>
      <c r="O290" s="261"/>
      <c r="P290" s="261"/>
      <c r="Q290" s="261"/>
      <c r="R290" s="261"/>
      <c r="S290" s="261"/>
      <c r="T290" s="261"/>
      <c r="U290" s="261"/>
      <c r="V290" s="261"/>
      <c r="W290" s="261"/>
      <c r="X290" s="5"/>
    </row>
    <row r="291" spans="1:24" ht="15.75" x14ac:dyDescent="0.25">
      <c r="A291" s="258"/>
      <c r="B291" s="261"/>
      <c r="C291" s="255"/>
      <c r="D291" s="255"/>
      <c r="E291" s="255"/>
      <c r="F291" s="255"/>
      <c r="G291" s="255"/>
      <c r="H291" s="255"/>
      <c r="I291" s="255"/>
      <c r="J291" s="255"/>
      <c r="K291" s="261"/>
      <c r="L291" s="261"/>
      <c r="M291" s="261"/>
      <c r="N291" s="261"/>
      <c r="O291" s="261"/>
      <c r="P291" s="261"/>
      <c r="Q291" s="261"/>
      <c r="R291" s="261"/>
      <c r="S291" s="261"/>
      <c r="T291" s="261"/>
      <c r="U291" s="261"/>
      <c r="V291" s="261"/>
      <c r="W291" s="261"/>
      <c r="X291" s="5"/>
    </row>
    <row r="292" spans="1:24" ht="15.75" x14ac:dyDescent="0.25">
      <c r="A292" s="258"/>
      <c r="B292" s="388" t="s">
        <v>318</v>
      </c>
      <c r="C292" s="388"/>
      <c r="D292" s="388"/>
      <c r="E292" s="388"/>
      <c r="F292" s="411" t="s">
        <v>148</v>
      </c>
      <c r="G292" s="388"/>
      <c r="H292" s="388" t="s">
        <v>152</v>
      </c>
      <c r="I292" s="388"/>
      <c r="J292" s="388"/>
      <c r="K292" s="261"/>
      <c r="L292" s="261"/>
      <c r="M292" s="261"/>
      <c r="N292" s="261"/>
      <c r="O292" s="261"/>
      <c r="P292" s="261"/>
      <c r="Q292" s="261"/>
      <c r="R292" s="261"/>
      <c r="S292" s="261"/>
      <c r="T292" s="261"/>
      <c r="U292" s="261"/>
      <c r="V292" s="261"/>
      <c r="W292" s="261"/>
      <c r="X292" s="5"/>
    </row>
    <row r="293" spans="1:24" ht="15.75" x14ac:dyDescent="0.25">
      <c r="A293" s="258"/>
      <c r="B293" s="388" t="s">
        <v>319</v>
      </c>
      <c r="C293" s="388"/>
      <c r="D293" s="388"/>
      <c r="E293" s="388"/>
      <c r="F293" s="411" t="s">
        <v>266</v>
      </c>
      <c r="G293" s="388"/>
      <c r="H293" s="388" t="s">
        <v>267</v>
      </c>
      <c r="I293" s="388"/>
      <c r="J293" s="388"/>
      <c r="K293" s="261"/>
      <c r="L293" s="261"/>
      <c r="M293" s="261"/>
      <c r="N293" s="261"/>
      <c r="O293" s="261"/>
      <c r="P293" s="261"/>
      <c r="Q293" s="261"/>
      <c r="R293" s="261"/>
      <c r="S293" s="261"/>
      <c r="T293" s="261"/>
      <c r="U293" s="261"/>
      <c r="V293" s="261"/>
      <c r="W293" s="261"/>
      <c r="X293" s="5"/>
    </row>
    <row r="294" spans="1:24" ht="15.75" x14ac:dyDescent="0.25">
      <c r="A294" s="258"/>
      <c r="B294" s="388" t="s">
        <v>320</v>
      </c>
      <c r="C294" s="388"/>
      <c r="D294" s="388"/>
      <c r="E294" s="388"/>
      <c r="F294" s="411" t="s">
        <v>147</v>
      </c>
      <c r="G294" s="388"/>
      <c r="H294" s="388" t="s">
        <v>153</v>
      </c>
      <c r="I294" s="388"/>
      <c r="J294" s="388"/>
      <c r="K294" s="261"/>
      <c r="L294" s="261"/>
      <c r="M294" s="261"/>
      <c r="N294" s="261"/>
      <c r="O294" s="261"/>
      <c r="P294" s="261"/>
      <c r="Q294" s="261"/>
      <c r="R294" s="261"/>
      <c r="S294" s="261"/>
      <c r="T294" s="261"/>
      <c r="U294" s="261"/>
      <c r="V294" s="261"/>
      <c r="W294" s="261"/>
      <c r="X294" s="5"/>
    </row>
    <row r="295" spans="1:24" ht="15.75" x14ac:dyDescent="0.25">
      <c r="A295" s="258"/>
      <c r="B295" s="388"/>
      <c r="C295" s="388"/>
      <c r="D295" s="388"/>
      <c r="E295" s="388"/>
      <c r="F295" s="388"/>
      <c r="G295" s="263"/>
      <c r="H295" s="261"/>
      <c r="I295" s="261"/>
      <c r="J295" s="261"/>
      <c r="K295" s="261"/>
      <c r="L295" s="261"/>
      <c r="M295" s="261"/>
      <c r="N295" s="261"/>
      <c r="O295" s="261"/>
      <c r="P295" s="261"/>
      <c r="Q295" s="261"/>
      <c r="R295" s="261"/>
      <c r="S295" s="261"/>
      <c r="T295" s="261"/>
      <c r="U295" s="261"/>
      <c r="V295" s="261"/>
      <c r="W295" s="261"/>
      <c r="X295" s="5"/>
    </row>
    <row r="296" spans="1:24" ht="15.75" x14ac:dyDescent="0.25">
      <c r="A296" s="258"/>
      <c r="B296" s="388"/>
      <c r="C296" s="388"/>
      <c r="D296" s="388"/>
      <c r="E296" s="388"/>
      <c r="F296" s="388"/>
      <c r="G296" s="263"/>
      <c r="H296" s="261"/>
      <c r="I296" s="261"/>
      <c r="J296" s="261"/>
      <c r="K296" s="261"/>
      <c r="L296" s="261"/>
      <c r="M296" s="261"/>
      <c r="N296" s="261"/>
      <c r="O296" s="261"/>
      <c r="P296" s="261"/>
      <c r="Q296" s="261"/>
      <c r="R296" s="261"/>
      <c r="S296" s="261"/>
      <c r="T296" s="261"/>
      <c r="U296" s="261"/>
      <c r="V296" s="261"/>
      <c r="W296" s="261"/>
      <c r="X296" s="5"/>
    </row>
    <row r="297" spans="1:24" ht="19.5" thickBot="1" x14ac:dyDescent="0.35">
      <c r="A297" s="258"/>
      <c r="B297" s="264" t="str">
        <f>B201</f>
        <v>PM15 INVESTOR REPORT QUARTER ENDING FEBRUARY 2016</v>
      </c>
      <c r="C297" s="388"/>
      <c r="D297" s="388"/>
      <c r="E297" s="388"/>
      <c r="F297" s="388"/>
      <c r="G297" s="263"/>
      <c r="H297" s="261"/>
      <c r="I297" s="261"/>
      <c r="J297" s="261"/>
      <c r="K297" s="261"/>
      <c r="L297" s="261"/>
      <c r="M297" s="261"/>
      <c r="N297" s="261"/>
      <c r="O297" s="261"/>
      <c r="P297" s="261"/>
      <c r="Q297" s="261"/>
      <c r="R297" s="261"/>
      <c r="S297" s="261"/>
      <c r="T297" s="261"/>
      <c r="U297" s="261"/>
      <c r="V297" s="261"/>
      <c r="W297" s="261"/>
      <c r="X297" s="5"/>
    </row>
    <row r="298" spans="1:24" x14ac:dyDescent="0.2">
      <c r="A298" s="100"/>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00"/>
    </row>
  </sheetData>
  <hyperlinks>
    <hyperlink ref="P237" r:id="rId1" xr:uid="{00000000-0004-0000-2100-000000000000}"/>
    <hyperlink ref="I9" r:id="rId2" xr:uid="{00000000-0004-0000-21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5" max="14" man="1"/>
    <brk id="201" max="14" man="1"/>
  </rowBreaks>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4"/>
  </sheetPr>
  <dimension ref="A1:IV298"/>
  <sheetViews>
    <sheetView showGridLines="0" showOutlineSymbols="0" zoomScale="70" zoomScaleNormal="70" workbookViewId="0"/>
  </sheetViews>
  <sheetFormatPr defaultColWidth="9.6640625" defaultRowHeight="15" x14ac:dyDescent="0.2"/>
  <cols>
    <col min="1" max="1" width="4" style="1" customWidth="1"/>
    <col min="2" max="2" width="71.21875" style="1" customWidth="1"/>
    <col min="3" max="3" width="2.21875" style="1" customWidth="1"/>
    <col min="4" max="4" width="19.33203125" style="1" customWidth="1"/>
    <col min="5" max="5" width="2.21875" style="1" customWidth="1"/>
    <col min="6" max="6" width="25.109375" style="1" customWidth="1"/>
    <col min="7" max="7" width="2.21875" style="1" customWidth="1"/>
    <col min="8" max="8" width="16.21875" style="1" customWidth="1"/>
    <col min="9" max="9" width="2.88671875" style="1" customWidth="1"/>
    <col min="10" max="10" width="16.21875" style="1" customWidth="1"/>
    <col min="11" max="11" width="2.21875" style="1" customWidth="1"/>
    <col min="12" max="12" width="17.88671875" style="1" customWidth="1"/>
    <col min="13" max="13" width="2.33203125" style="1" customWidth="1"/>
    <col min="14" max="14" width="14.88671875" style="1" customWidth="1"/>
    <col min="15" max="15" width="2.33203125" style="1" customWidth="1"/>
    <col min="16" max="16" width="15.5546875" style="1" customWidth="1"/>
    <col min="17" max="17" width="2.21875" style="1" customWidth="1"/>
    <col min="18" max="18" width="15.5546875" style="1" customWidth="1"/>
    <col min="19" max="20" width="12.6640625" style="1" customWidth="1"/>
    <col min="21" max="21" width="7.77734375" style="1" customWidth="1"/>
    <col min="22" max="22" width="14.6640625" style="1" customWidth="1"/>
    <col min="23" max="23" width="11.77734375" style="1" customWidth="1"/>
    <col min="24" max="16384" width="9.6640625" style="1"/>
  </cols>
  <sheetData>
    <row r="1" spans="1:24" ht="20.25" x14ac:dyDescent="0.3">
      <c r="A1" s="179"/>
      <c r="B1" s="274" t="s">
        <v>237</v>
      </c>
      <c r="C1" s="180"/>
      <c r="D1" s="180"/>
      <c r="E1" s="180"/>
      <c r="F1" s="180"/>
      <c r="G1" s="180"/>
      <c r="H1" s="180"/>
      <c r="I1" s="180"/>
      <c r="J1" s="180"/>
      <c r="K1" s="180"/>
      <c r="L1" s="180"/>
      <c r="M1" s="180"/>
      <c r="N1" s="180"/>
      <c r="O1" s="180"/>
      <c r="P1" s="180"/>
      <c r="Q1" s="180"/>
      <c r="R1" s="180"/>
      <c r="S1" s="180"/>
      <c r="T1" s="180"/>
      <c r="U1" s="180"/>
      <c r="V1" s="180"/>
      <c r="W1" s="180"/>
      <c r="X1" s="5"/>
    </row>
    <row r="2" spans="1:24" ht="15.75" x14ac:dyDescent="0.25">
      <c r="A2" s="181"/>
      <c r="B2" s="182"/>
      <c r="C2" s="183"/>
      <c r="D2" s="183"/>
      <c r="E2" s="183"/>
      <c r="F2" s="183"/>
      <c r="G2" s="183"/>
      <c r="H2" s="183"/>
      <c r="I2" s="183"/>
      <c r="J2" s="183"/>
      <c r="K2" s="183"/>
      <c r="L2" s="183"/>
      <c r="M2" s="183"/>
      <c r="N2" s="183"/>
      <c r="O2" s="183"/>
      <c r="P2" s="183"/>
      <c r="Q2" s="183"/>
      <c r="R2" s="183"/>
      <c r="S2" s="183"/>
      <c r="T2" s="183"/>
      <c r="U2" s="183"/>
      <c r="V2" s="183"/>
      <c r="W2" s="183"/>
      <c r="X2" s="5"/>
    </row>
    <row r="3" spans="1:24" ht="15.75" x14ac:dyDescent="0.25">
      <c r="A3" s="184"/>
      <c r="B3" s="185" t="s">
        <v>238</v>
      </c>
      <c r="C3" s="183"/>
      <c r="D3" s="183"/>
      <c r="E3" s="183"/>
      <c r="F3" s="183"/>
      <c r="G3" s="183"/>
      <c r="H3" s="183"/>
      <c r="I3" s="183"/>
      <c r="J3" s="183"/>
      <c r="K3" s="183"/>
      <c r="L3" s="183"/>
      <c r="M3" s="183"/>
      <c r="N3" s="183"/>
      <c r="O3" s="183"/>
      <c r="P3" s="183"/>
      <c r="Q3" s="183"/>
      <c r="R3" s="183"/>
      <c r="S3" s="183"/>
      <c r="T3" s="183"/>
      <c r="U3" s="183"/>
      <c r="V3" s="183"/>
      <c r="W3" s="183"/>
      <c r="X3" s="5"/>
    </row>
    <row r="4" spans="1:24" ht="15.75" x14ac:dyDescent="0.25">
      <c r="A4" s="181"/>
      <c r="B4" s="182"/>
      <c r="C4" s="183"/>
      <c r="D4" s="183"/>
      <c r="E4" s="183"/>
      <c r="F4" s="183"/>
      <c r="G4" s="183"/>
      <c r="H4" s="183"/>
      <c r="I4" s="183"/>
      <c r="J4" s="183"/>
      <c r="K4" s="183"/>
      <c r="L4" s="183"/>
      <c r="M4" s="183"/>
      <c r="N4" s="183"/>
      <c r="O4" s="183"/>
      <c r="P4" s="183"/>
      <c r="Q4" s="183"/>
      <c r="R4" s="183"/>
      <c r="S4" s="183"/>
      <c r="T4" s="183"/>
      <c r="U4" s="183"/>
      <c r="V4" s="183"/>
      <c r="W4" s="183"/>
      <c r="X4" s="5"/>
    </row>
    <row r="5" spans="1:24" ht="15.75" x14ac:dyDescent="0.25">
      <c r="A5" s="181"/>
      <c r="B5" s="275" t="s">
        <v>137</v>
      </c>
      <c r="C5" s="183"/>
      <c r="D5" s="183"/>
      <c r="E5" s="183"/>
      <c r="F5" s="183"/>
      <c r="G5" s="183"/>
      <c r="H5" s="183"/>
      <c r="I5" s="183"/>
      <c r="J5" s="183"/>
      <c r="K5" s="183"/>
      <c r="L5" s="183"/>
      <c r="M5" s="183"/>
      <c r="N5" s="183"/>
      <c r="O5" s="183"/>
      <c r="P5" s="183"/>
      <c r="Q5" s="183"/>
      <c r="R5" s="183"/>
      <c r="S5" s="183"/>
      <c r="T5" s="183"/>
      <c r="U5" s="183"/>
      <c r="V5" s="183"/>
      <c r="W5" s="183"/>
      <c r="X5" s="5"/>
    </row>
    <row r="6" spans="1:24" ht="15.75" x14ac:dyDescent="0.25">
      <c r="A6" s="181"/>
      <c r="B6" s="275" t="s">
        <v>139</v>
      </c>
      <c r="C6" s="183"/>
      <c r="D6" s="183"/>
      <c r="E6" s="183"/>
      <c r="F6" s="183"/>
      <c r="G6" s="183"/>
      <c r="H6" s="183"/>
      <c r="I6" s="183"/>
      <c r="J6" s="183"/>
      <c r="K6" s="183"/>
      <c r="L6" s="183"/>
      <c r="M6" s="183"/>
      <c r="N6" s="183"/>
      <c r="O6" s="183"/>
      <c r="P6" s="183"/>
      <c r="Q6" s="183"/>
      <c r="R6" s="183"/>
      <c r="S6" s="183"/>
      <c r="T6" s="183"/>
      <c r="U6" s="183"/>
      <c r="V6" s="183"/>
      <c r="W6" s="183"/>
      <c r="X6" s="5"/>
    </row>
    <row r="7" spans="1:24" ht="15.75" x14ac:dyDescent="0.25">
      <c r="A7" s="181"/>
      <c r="B7" s="275" t="s">
        <v>138</v>
      </c>
      <c r="C7" s="183"/>
      <c r="D7" s="183"/>
      <c r="E7" s="183"/>
      <c r="F7" s="183"/>
      <c r="G7" s="183"/>
      <c r="H7" s="183"/>
      <c r="I7" s="183"/>
      <c r="J7" s="183"/>
      <c r="K7" s="183"/>
      <c r="L7" s="183"/>
      <c r="M7" s="183"/>
      <c r="N7" s="183"/>
      <c r="O7" s="183"/>
      <c r="P7" s="183"/>
      <c r="Q7" s="183"/>
      <c r="R7" s="183"/>
      <c r="S7" s="183"/>
      <c r="T7" s="183"/>
      <c r="U7" s="183"/>
      <c r="V7" s="183"/>
      <c r="W7" s="183"/>
      <c r="X7" s="5"/>
    </row>
    <row r="8" spans="1:24" ht="15.75" x14ac:dyDescent="0.25">
      <c r="A8" s="181"/>
      <c r="B8" s="186"/>
      <c r="C8" s="183"/>
      <c r="D8" s="183"/>
      <c r="E8" s="183"/>
      <c r="F8" s="183"/>
      <c r="G8" s="183"/>
      <c r="H8" s="183"/>
      <c r="I8" s="183"/>
      <c r="J8" s="183"/>
      <c r="K8" s="183"/>
      <c r="L8" s="183"/>
      <c r="M8" s="183"/>
      <c r="N8" s="183"/>
      <c r="O8" s="183"/>
      <c r="P8" s="183"/>
      <c r="Q8" s="183"/>
      <c r="R8" s="183"/>
      <c r="S8" s="183"/>
      <c r="T8" s="183"/>
      <c r="U8" s="183"/>
      <c r="V8" s="183"/>
      <c r="W8" s="183"/>
      <c r="X8" s="5"/>
    </row>
    <row r="9" spans="1:24" ht="18.75" x14ac:dyDescent="0.3">
      <c r="A9" s="181"/>
      <c r="B9" s="187" t="s">
        <v>166</v>
      </c>
      <c r="C9" s="183"/>
      <c r="D9" s="183"/>
      <c r="E9" s="183"/>
      <c r="F9" s="183"/>
      <c r="G9" s="183"/>
      <c r="H9" s="183"/>
      <c r="I9" s="188" t="s">
        <v>167</v>
      </c>
      <c r="J9" s="183"/>
      <c r="K9" s="183"/>
      <c r="L9" s="188"/>
      <c r="M9" s="183"/>
      <c r="N9" s="188"/>
      <c r="O9" s="183"/>
      <c r="P9" s="183"/>
      <c r="Q9" s="183"/>
      <c r="R9" s="183"/>
      <c r="S9" s="183"/>
      <c r="T9" s="183"/>
      <c r="U9" s="183"/>
      <c r="V9" s="183"/>
      <c r="W9" s="183"/>
      <c r="X9" s="5"/>
    </row>
    <row r="10" spans="1:24" ht="15.75" x14ac:dyDescent="0.25">
      <c r="A10" s="181"/>
      <c r="B10" s="186"/>
      <c r="C10" s="189"/>
      <c r="D10" s="189"/>
      <c r="E10" s="189"/>
      <c r="F10" s="183"/>
      <c r="G10" s="183"/>
      <c r="H10" s="183"/>
      <c r="I10" s="183"/>
      <c r="J10" s="183"/>
      <c r="K10" s="183"/>
      <c r="L10" s="183"/>
      <c r="M10" s="183"/>
      <c r="N10" s="183"/>
      <c r="O10" s="183"/>
      <c r="P10" s="183"/>
      <c r="Q10" s="183"/>
      <c r="R10" s="183"/>
      <c r="S10" s="183"/>
      <c r="T10" s="183"/>
      <c r="U10" s="183"/>
      <c r="V10" s="183"/>
      <c r="W10" s="183"/>
      <c r="X10" s="5"/>
    </row>
    <row r="11" spans="1:24" ht="15.75" x14ac:dyDescent="0.25">
      <c r="A11" s="181"/>
      <c r="B11" s="388" t="s">
        <v>0</v>
      </c>
      <c r="C11" s="183"/>
      <c r="D11" s="183"/>
      <c r="E11" s="183"/>
      <c r="F11" s="183"/>
      <c r="G11" s="183"/>
      <c r="H11" s="183"/>
      <c r="I11" s="183"/>
      <c r="J11" s="183"/>
      <c r="K11" s="183"/>
      <c r="L11" s="183"/>
      <c r="M11" s="183"/>
      <c r="N11" s="183"/>
      <c r="O11" s="183"/>
      <c r="P11" s="183"/>
      <c r="Q11" s="183"/>
      <c r="R11" s="183"/>
      <c r="S11" s="183"/>
      <c r="T11" s="183"/>
      <c r="U11" s="183"/>
      <c r="V11" s="183"/>
      <c r="W11" s="183"/>
      <c r="X11" s="5"/>
    </row>
    <row r="12" spans="1:24" ht="16.5" thickBot="1" x14ac:dyDescent="0.3">
      <c r="A12" s="181"/>
      <c r="B12" s="189"/>
      <c r="C12" s="183"/>
      <c r="D12" s="183"/>
      <c r="E12" s="183"/>
      <c r="F12" s="183"/>
      <c r="G12" s="183"/>
      <c r="H12" s="183"/>
      <c r="I12" s="183"/>
      <c r="J12" s="183"/>
      <c r="K12" s="183"/>
      <c r="L12" s="183"/>
      <c r="M12" s="183"/>
      <c r="N12" s="183"/>
      <c r="O12" s="183"/>
      <c r="P12" s="183"/>
      <c r="Q12" s="183"/>
      <c r="R12" s="183"/>
      <c r="S12" s="183"/>
      <c r="T12" s="183"/>
      <c r="U12" s="183"/>
      <c r="V12" s="183"/>
      <c r="W12" s="183"/>
      <c r="X12" s="5"/>
    </row>
    <row r="13" spans="1:24" ht="15.75" x14ac:dyDescent="0.25">
      <c r="A13" s="179"/>
      <c r="B13" s="180"/>
      <c r="C13" s="180"/>
      <c r="D13" s="180"/>
      <c r="E13" s="180"/>
      <c r="F13" s="180"/>
      <c r="G13" s="180"/>
      <c r="H13" s="180"/>
      <c r="I13" s="180"/>
      <c r="J13" s="180"/>
      <c r="K13" s="180"/>
      <c r="L13" s="180"/>
      <c r="M13" s="180"/>
      <c r="N13" s="180"/>
      <c r="O13" s="180"/>
      <c r="P13" s="180"/>
      <c r="Q13" s="180"/>
      <c r="R13" s="180"/>
      <c r="S13" s="180"/>
      <c r="T13" s="180"/>
      <c r="U13" s="180"/>
      <c r="V13" s="180"/>
      <c r="W13" s="180"/>
      <c r="X13" s="5"/>
    </row>
    <row r="14" spans="1:24" ht="15.75" x14ac:dyDescent="0.25">
      <c r="A14" s="181"/>
      <c r="B14" s="388" t="s">
        <v>1</v>
      </c>
      <c r="C14" s="255"/>
      <c r="D14" s="255"/>
      <c r="E14" s="255"/>
      <c r="F14" s="255"/>
      <c r="G14" s="255"/>
      <c r="H14" s="255"/>
      <c r="I14" s="255"/>
      <c r="J14" s="255"/>
      <c r="K14" s="255"/>
      <c r="L14" s="255"/>
      <c r="M14" s="255"/>
      <c r="N14" s="255"/>
      <c r="O14" s="255"/>
      <c r="P14" s="255"/>
      <c r="Q14" s="255"/>
      <c r="R14" s="255"/>
      <c r="S14" s="255"/>
      <c r="T14" s="255"/>
      <c r="U14" s="255"/>
      <c r="V14" s="276" t="s">
        <v>239</v>
      </c>
      <c r="W14" s="255"/>
      <c r="X14" s="5"/>
    </row>
    <row r="15" spans="1:24" ht="15.75" x14ac:dyDescent="0.25">
      <c r="A15" s="181"/>
      <c r="B15" s="388" t="s">
        <v>2</v>
      </c>
      <c r="C15" s="255"/>
      <c r="D15" s="255"/>
      <c r="E15" s="255"/>
      <c r="F15" s="255"/>
      <c r="G15" s="255"/>
      <c r="H15" s="389"/>
      <c r="I15" s="389"/>
      <c r="J15" s="389"/>
      <c r="K15" s="389"/>
      <c r="L15" s="389"/>
      <c r="M15" s="389"/>
      <c r="N15" s="389"/>
      <c r="O15" s="389"/>
      <c r="P15" s="389"/>
      <c r="Q15" s="389"/>
      <c r="R15" s="389" t="s">
        <v>104</v>
      </c>
      <c r="S15" s="390">
        <v>0.47189999999999999</v>
      </c>
      <c r="T15" s="391" t="s">
        <v>140</v>
      </c>
      <c r="U15" s="390">
        <v>0.52810000000000001</v>
      </c>
      <c r="V15" s="276"/>
      <c r="W15" s="255"/>
      <c r="X15" s="5"/>
    </row>
    <row r="16" spans="1:24" ht="15.75" x14ac:dyDescent="0.25">
      <c r="A16" s="181"/>
      <c r="B16" s="388" t="s">
        <v>3</v>
      </c>
      <c r="C16" s="255"/>
      <c r="D16" s="255"/>
      <c r="E16" s="255"/>
      <c r="F16" s="255"/>
      <c r="G16" s="255"/>
      <c r="H16" s="389"/>
      <c r="I16" s="389"/>
      <c r="J16" s="389"/>
      <c r="K16" s="389"/>
      <c r="L16" s="389"/>
      <c r="M16" s="389"/>
      <c r="N16" s="389"/>
      <c r="O16" s="389"/>
      <c r="P16" s="389"/>
      <c r="Q16" s="389"/>
      <c r="R16" s="389" t="s">
        <v>104</v>
      </c>
      <c r="S16" s="390">
        <v>0.55269999999999997</v>
      </c>
      <c r="T16" s="391" t="s">
        <v>140</v>
      </c>
      <c r="U16" s="390">
        <v>0.44729999999999998</v>
      </c>
      <c r="V16" s="276"/>
      <c r="W16" s="255"/>
      <c r="X16" s="5"/>
    </row>
    <row r="17" spans="1:24" ht="15.75" x14ac:dyDescent="0.25">
      <c r="A17" s="181"/>
      <c r="B17" s="388" t="s">
        <v>4</v>
      </c>
      <c r="C17" s="255"/>
      <c r="D17" s="255"/>
      <c r="E17" s="255"/>
      <c r="F17" s="255"/>
      <c r="G17" s="255"/>
      <c r="H17" s="255"/>
      <c r="I17" s="255"/>
      <c r="J17" s="255"/>
      <c r="K17" s="255"/>
      <c r="L17" s="255"/>
      <c r="M17" s="255"/>
      <c r="N17" s="255"/>
      <c r="O17" s="255"/>
      <c r="P17" s="255"/>
      <c r="Q17" s="255"/>
      <c r="R17" s="255"/>
      <c r="S17" s="255"/>
      <c r="T17" s="255"/>
      <c r="U17" s="255"/>
      <c r="V17" s="392">
        <v>39282</v>
      </c>
      <c r="W17" s="255"/>
      <c r="X17" s="5"/>
    </row>
    <row r="18" spans="1:24" ht="15.75" x14ac:dyDescent="0.25">
      <c r="A18" s="181"/>
      <c r="B18" s="388" t="s">
        <v>5</v>
      </c>
      <c r="C18" s="255"/>
      <c r="D18" s="255"/>
      <c r="E18" s="255"/>
      <c r="F18" s="255"/>
      <c r="G18" s="255"/>
      <c r="H18" s="255"/>
      <c r="I18" s="255"/>
      <c r="J18" s="255"/>
      <c r="K18" s="255"/>
      <c r="L18" s="255"/>
      <c r="M18" s="255"/>
      <c r="N18" s="255"/>
      <c r="O18" s="255"/>
      <c r="P18" s="255"/>
      <c r="Q18" s="255"/>
      <c r="R18" s="255"/>
      <c r="S18" s="255"/>
      <c r="T18" s="255"/>
      <c r="U18" s="255"/>
      <c r="V18" s="392">
        <v>42542</v>
      </c>
      <c r="W18" s="255"/>
      <c r="X18" s="5"/>
    </row>
    <row r="19" spans="1:24" ht="15.75" x14ac:dyDescent="0.25">
      <c r="A19" s="181"/>
      <c r="B19" s="183"/>
      <c r="C19" s="183"/>
      <c r="D19" s="183"/>
      <c r="E19" s="183"/>
      <c r="F19" s="183"/>
      <c r="G19" s="183"/>
      <c r="H19" s="183"/>
      <c r="I19" s="183"/>
      <c r="J19" s="183"/>
      <c r="K19" s="183"/>
      <c r="L19" s="183"/>
      <c r="M19" s="183"/>
      <c r="N19" s="183"/>
      <c r="O19" s="183"/>
      <c r="P19" s="183"/>
      <c r="Q19" s="183"/>
      <c r="R19" s="183"/>
      <c r="S19" s="183"/>
      <c r="T19" s="183"/>
      <c r="U19" s="183"/>
      <c r="V19" s="190"/>
      <c r="W19" s="183"/>
      <c r="X19" s="5"/>
    </row>
    <row r="20" spans="1:24" ht="15.75" x14ac:dyDescent="0.25">
      <c r="A20" s="181"/>
      <c r="B20" s="280" t="s">
        <v>6</v>
      </c>
      <c r="C20" s="255"/>
      <c r="D20" s="255"/>
      <c r="E20" s="255"/>
      <c r="F20" s="255"/>
      <c r="G20" s="255"/>
      <c r="H20" s="255"/>
      <c r="I20" s="255"/>
      <c r="J20" s="255"/>
      <c r="K20" s="255"/>
      <c r="L20" s="255"/>
      <c r="M20" s="255"/>
      <c r="N20" s="255"/>
      <c r="O20" s="255"/>
      <c r="P20" s="255"/>
      <c r="Q20" s="255"/>
      <c r="R20" s="255"/>
      <c r="S20" s="255"/>
      <c r="T20" s="281" t="s">
        <v>105</v>
      </c>
      <c r="U20" s="255"/>
      <c r="V20" s="261"/>
      <c r="W20" s="183"/>
      <c r="X20" s="5"/>
    </row>
    <row r="21" spans="1:24" ht="15.75" x14ac:dyDescent="0.25">
      <c r="A21" s="181"/>
      <c r="B21" s="183"/>
      <c r="C21" s="183"/>
      <c r="D21" s="183"/>
      <c r="E21" s="183"/>
      <c r="F21" s="183"/>
      <c r="G21" s="183"/>
      <c r="H21" s="183"/>
      <c r="I21" s="183"/>
      <c r="J21" s="183"/>
      <c r="K21" s="183"/>
      <c r="L21" s="183"/>
      <c r="M21" s="183"/>
      <c r="N21" s="183"/>
      <c r="O21" s="183"/>
      <c r="P21" s="183"/>
      <c r="Q21" s="183"/>
      <c r="R21" s="183"/>
      <c r="S21" s="183"/>
      <c r="T21" s="183"/>
      <c r="U21" s="183"/>
      <c r="V21" s="192"/>
      <c r="W21" s="183"/>
      <c r="X21" s="5"/>
    </row>
    <row r="22" spans="1:24" ht="15.75" x14ac:dyDescent="0.25">
      <c r="A22" s="224"/>
      <c r="B22" s="225"/>
      <c r="C22" s="226"/>
      <c r="D22" s="226" t="s">
        <v>177</v>
      </c>
      <c r="E22" s="226"/>
      <c r="F22" s="226" t="s">
        <v>178</v>
      </c>
      <c r="G22" s="226"/>
      <c r="H22" s="226" t="s">
        <v>179</v>
      </c>
      <c r="I22" s="226"/>
      <c r="J22" s="226" t="s">
        <v>219</v>
      </c>
      <c r="K22" s="226"/>
      <c r="L22" s="226" t="s">
        <v>180</v>
      </c>
      <c r="M22" s="226"/>
      <c r="N22" s="226" t="s">
        <v>181</v>
      </c>
      <c r="O22" s="226"/>
      <c r="P22" s="226" t="s">
        <v>182</v>
      </c>
      <c r="Q22" s="226"/>
      <c r="R22" s="226"/>
      <c r="S22" s="228"/>
      <c r="T22" s="228"/>
      <c r="U22" s="229"/>
      <c r="V22" s="229"/>
      <c r="W22" s="225"/>
      <c r="X22" s="5"/>
    </row>
    <row r="23" spans="1:24" ht="15.75" x14ac:dyDescent="0.25">
      <c r="A23" s="193"/>
      <c r="B23" s="250" t="s">
        <v>7</v>
      </c>
      <c r="C23" s="282"/>
      <c r="D23" s="282" t="s">
        <v>212</v>
      </c>
      <c r="E23" s="282"/>
      <c r="F23" s="282" t="s">
        <v>141</v>
      </c>
      <c r="G23" s="282"/>
      <c r="H23" s="282" t="s">
        <v>141</v>
      </c>
      <c r="I23" s="282"/>
      <c r="J23" s="282" t="s">
        <v>141</v>
      </c>
      <c r="K23" s="282"/>
      <c r="L23" s="282" t="s">
        <v>183</v>
      </c>
      <c r="M23" s="282"/>
      <c r="N23" s="282" t="s">
        <v>183</v>
      </c>
      <c r="O23" s="282"/>
      <c r="P23" s="282" t="s">
        <v>142</v>
      </c>
      <c r="Q23" s="282"/>
      <c r="R23" s="282"/>
      <c r="S23" s="282"/>
      <c r="T23" s="282"/>
      <c r="U23" s="273"/>
      <c r="V23" s="273"/>
      <c r="W23" s="250"/>
      <c r="X23" s="5"/>
    </row>
    <row r="24" spans="1:24" ht="15.75" x14ac:dyDescent="0.25">
      <c r="A24" s="285"/>
      <c r="B24" s="286" t="s">
        <v>8</v>
      </c>
      <c r="C24" s="287"/>
      <c r="D24" s="287" t="s">
        <v>213</v>
      </c>
      <c r="E24" s="287"/>
      <c r="F24" s="287" t="s">
        <v>143</v>
      </c>
      <c r="G24" s="287"/>
      <c r="H24" s="287" t="s">
        <v>143</v>
      </c>
      <c r="I24" s="287"/>
      <c r="J24" s="287" t="s">
        <v>143</v>
      </c>
      <c r="K24" s="287"/>
      <c r="L24" s="287" t="s">
        <v>165</v>
      </c>
      <c r="M24" s="287"/>
      <c r="N24" s="287" t="s">
        <v>165</v>
      </c>
      <c r="O24" s="287"/>
      <c r="P24" s="287" t="s">
        <v>144</v>
      </c>
      <c r="Q24" s="287"/>
      <c r="R24" s="287"/>
      <c r="S24" s="287"/>
      <c r="T24" s="287"/>
      <c r="U24" s="288"/>
      <c r="V24" s="288"/>
      <c r="W24" s="289"/>
      <c r="X24" s="5"/>
    </row>
    <row r="25" spans="1:24" ht="15.75" x14ac:dyDescent="0.25">
      <c r="A25" s="290"/>
      <c r="B25" s="286" t="s">
        <v>190</v>
      </c>
      <c r="C25" s="292"/>
      <c r="D25" s="287" t="s">
        <v>214</v>
      </c>
      <c r="E25" s="287"/>
      <c r="F25" s="287" t="s">
        <v>143</v>
      </c>
      <c r="G25" s="287"/>
      <c r="H25" s="287" t="s">
        <v>143</v>
      </c>
      <c r="I25" s="287"/>
      <c r="J25" s="287" t="s">
        <v>143</v>
      </c>
      <c r="K25" s="287"/>
      <c r="L25" s="287" t="s">
        <v>165</v>
      </c>
      <c r="M25" s="287"/>
      <c r="N25" s="287" t="s">
        <v>165</v>
      </c>
      <c r="O25" s="287"/>
      <c r="P25" s="287" t="s">
        <v>144</v>
      </c>
      <c r="Q25" s="287"/>
      <c r="R25" s="287"/>
      <c r="S25" s="292"/>
      <c r="T25" s="287"/>
      <c r="U25" s="288"/>
      <c r="V25" s="288"/>
      <c r="W25" s="289"/>
      <c r="X25" s="5"/>
    </row>
    <row r="26" spans="1:24" ht="15.75" x14ac:dyDescent="0.25">
      <c r="A26" s="393"/>
      <c r="B26" s="297" t="s">
        <v>9</v>
      </c>
      <c r="C26" s="292"/>
      <c r="D26" s="292" t="s">
        <v>141</v>
      </c>
      <c r="E26" s="292"/>
      <c r="F26" s="292" t="s">
        <v>141</v>
      </c>
      <c r="G26" s="292"/>
      <c r="H26" s="292" t="s">
        <v>141</v>
      </c>
      <c r="I26" s="292"/>
      <c r="J26" s="292" t="s">
        <v>141</v>
      </c>
      <c r="K26" s="292"/>
      <c r="L26" s="292" t="s">
        <v>183</v>
      </c>
      <c r="M26" s="292"/>
      <c r="N26" s="292" t="s">
        <v>183</v>
      </c>
      <c r="O26" s="292"/>
      <c r="P26" s="292" t="s">
        <v>142</v>
      </c>
      <c r="Q26" s="292"/>
      <c r="R26" s="292"/>
      <c r="S26" s="292"/>
      <c r="T26" s="287"/>
      <c r="U26" s="288"/>
      <c r="V26" s="288"/>
      <c r="W26" s="289"/>
      <c r="X26" s="5"/>
    </row>
    <row r="27" spans="1:24" ht="15.75" x14ac:dyDescent="0.25">
      <c r="A27" s="295"/>
      <c r="B27" s="297" t="s">
        <v>191</v>
      </c>
      <c r="C27" s="287"/>
      <c r="D27" s="292" t="s">
        <v>143</v>
      </c>
      <c r="E27" s="292"/>
      <c r="F27" s="292" t="s">
        <v>143</v>
      </c>
      <c r="G27" s="292"/>
      <c r="H27" s="292" t="s">
        <v>143</v>
      </c>
      <c r="I27" s="292"/>
      <c r="J27" s="292" t="s">
        <v>143</v>
      </c>
      <c r="K27" s="292"/>
      <c r="L27" s="292" t="s">
        <v>307</v>
      </c>
      <c r="M27" s="292"/>
      <c r="N27" s="292" t="s">
        <v>307</v>
      </c>
      <c r="O27" s="292"/>
      <c r="P27" s="292" t="s">
        <v>332</v>
      </c>
      <c r="Q27" s="292"/>
      <c r="R27" s="292"/>
      <c r="S27" s="287"/>
      <c r="T27" s="296"/>
      <c r="U27" s="288"/>
      <c r="V27" s="288"/>
      <c r="W27" s="289"/>
      <c r="X27" s="5"/>
    </row>
    <row r="28" spans="1:24" ht="15.75" x14ac:dyDescent="0.25">
      <c r="A28" s="295"/>
      <c r="B28" s="297" t="s">
        <v>192</v>
      </c>
      <c r="C28" s="287"/>
      <c r="D28" s="292" t="s">
        <v>143</v>
      </c>
      <c r="E28" s="292"/>
      <c r="F28" s="292" t="s">
        <v>143</v>
      </c>
      <c r="G28" s="292"/>
      <c r="H28" s="292" t="s">
        <v>143</v>
      </c>
      <c r="I28" s="292"/>
      <c r="J28" s="292" t="s">
        <v>143</v>
      </c>
      <c r="K28" s="292"/>
      <c r="L28" s="292" t="s">
        <v>329</v>
      </c>
      <c r="M28" s="292"/>
      <c r="N28" s="292" t="s">
        <v>329</v>
      </c>
      <c r="O28" s="292"/>
      <c r="P28" s="292" t="s">
        <v>330</v>
      </c>
      <c r="Q28" s="292"/>
      <c r="R28" s="292"/>
      <c r="S28" s="287"/>
      <c r="T28" s="296"/>
      <c r="U28" s="288"/>
      <c r="V28" s="288"/>
      <c r="W28" s="289"/>
      <c r="X28" s="5"/>
    </row>
    <row r="29" spans="1:24" ht="15.75" x14ac:dyDescent="0.25">
      <c r="A29" s="295"/>
      <c r="B29" s="286" t="s">
        <v>10</v>
      </c>
      <c r="C29" s="298"/>
      <c r="D29" s="287" t="s">
        <v>242</v>
      </c>
      <c r="E29" s="287"/>
      <c r="F29" s="296" t="s">
        <v>244</v>
      </c>
      <c r="G29" s="287"/>
      <c r="H29" s="287" t="s">
        <v>245</v>
      </c>
      <c r="I29" s="287"/>
      <c r="J29" s="287" t="s">
        <v>247</v>
      </c>
      <c r="K29" s="287"/>
      <c r="L29" s="287" t="s">
        <v>248</v>
      </c>
      <c r="M29" s="287"/>
      <c r="N29" s="287" t="s">
        <v>249</v>
      </c>
      <c r="O29" s="287"/>
      <c r="P29" s="287" t="s">
        <v>250</v>
      </c>
      <c r="Q29" s="287"/>
      <c r="R29" s="287"/>
      <c r="S29" s="299"/>
      <c r="T29" s="299"/>
      <c r="U29" s="300"/>
      <c r="V29" s="299"/>
      <c r="W29" s="301"/>
      <c r="X29" s="5"/>
    </row>
    <row r="30" spans="1:24" ht="15.75" x14ac:dyDescent="0.25">
      <c r="A30" s="295"/>
      <c r="B30" s="286" t="s">
        <v>10</v>
      </c>
      <c r="C30" s="298"/>
      <c r="D30" s="287" t="s">
        <v>243</v>
      </c>
      <c r="E30" s="287"/>
      <c r="F30" s="296" t="s">
        <v>118</v>
      </c>
      <c r="G30" s="287"/>
      <c r="H30" s="287" t="s">
        <v>118</v>
      </c>
      <c r="I30" s="287"/>
      <c r="J30" s="287" t="s">
        <v>246</v>
      </c>
      <c r="K30" s="287"/>
      <c r="L30" s="287" t="s">
        <v>118</v>
      </c>
      <c r="M30" s="287"/>
      <c r="N30" s="287" t="s">
        <v>118</v>
      </c>
      <c r="O30" s="287"/>
      <c r="P30" s="287" t="s">
        <v>118</v>
      </c>
      <c r="Q30" s="287"/>
      <c r="R30" s="287"/>
      <c r="S30" s="299"/>
      <c r="T30" s="299"/>
      <c r="U30" s="300"/>
      <c r="V30" s="299"/>
      <c r="W30" s="301"/>
      <c r="X30" s="5"/>
    </row>
    <row r="31" spans="1:24" ht="15.75" x14ac:dyDescent="0.25">
      <c r="A31" s="393"/>
      <c r="B31" s="286" t="s">
        <v>133</v>
      </c>
      <c r="C31" s="310"/>
      <c r="D31" s="303">
        <v>1000000</v>
      </c>
      <c r="E31" s="298"/>
      <c r="F31" s="299">
        <v>209500</v>
      </c>
      <c r="G31" s="299"/>
      <c r="H31" s="304">
        <v>110000</v>
      </c>
      <c r="I31" s="304"/>
      <c r="J31" s="303">
        <v>150000</v>
      </c>
      <c r="K31" s="299"/>
      <c r="L31" s="299">
        <v>17000</v>
      </c>
      <c r="M31" s="299"/>
      <c r="N31" s="304">
        <v>85500</v>
      </c>
      <c r="O31" s="299"/>
      <c r="P31" s="304">
        <v>110500</v>
      </c>
      <c r="Q31" s="299"/>
      <c r="R31" s="304"/>
      <c r="S31" s="312"/>
      <c r="T31" s="312"/>
      <c r="U31" s="306"/>
      <c r="V31" s="312"/>
      <c r="W31" s="301"/>
      <c r="X31" s="5"/>
    </row>
    <row r="32" spans="1:24" ht="15.75" x14ac:dyDescent="0.25">
      <c r="A32" s="295"/>
      <c r="B32" s="286" t="s">
        <v>132</v>
      </c>
      <c r="C32" s="298"/>
      <c r="D32" s="303">
        <f>D31*D38</f>
        <v>668434.5</v>
      </c>
      <c r="E32" s="298"/>
      <c r="F32" s="299">
        <f>F31*F38</f>
        <v>140037.38390000002</v>
      </c>
      <c r="G32" s="299"/>
      <c r="H32" s="304">
        <f>H31*H38</f>
        <v>73528.707999999999</v>
      </c>
      <c r="I32" s="304"/>
      <c r="J32" s="303">
        <f>J31*J38</f>
        <v>100265.175</v>
      </c>
      <c r="K32" s="299"/>
      <c r="L32" s="299">
        <f>L31*L38</f>
        <v>17000</v>
      </c>
      <c r="M32" s="299"/>
      <c r="N32" s="304">
        <f>N31*N38</f>
        <v>85500</v>
      </c>
      <c r="O32" s="299"/>
      <c r="P32" s="304">
        <f>P31*P38</f>
        <v>110500</v>
      </c>
      <c r="Q32" s="299"/>
      <c r="R32" s="304"/>
      <c r="S32" s="299"/>
      <c r="T32" s="299"/>
      <c r="U32" s="300"/>
      <c r="V32" s="299"/>
      <c r="W32" s="301"/>
      <c r="X32" s="5"/>
    </row>
    <row r="33" spans="1:27" ht="15.75" x14ac:dyDescent="0.25">
      <c r="A33" s="295"/>
      <c r="B33" s="297" t="s">
        <v>134</v>
      </c>
      <c r="C33" s="298"/>
      <c r="D33" s="394">
        <f>D37*D31</f>
        <v>650507</v>
      </c>
      <c r="E33" s="310"/>
      <c r="F33" s="312">
        <f>F37*F31</f>
        <v>136281.59359999999</v>
      </c>
      <c r="G33" s="312"/>
      <c r="H33" s="395">
        <f>H31*H37</f>
        <v>71556.737999999998</v>
      </c>
      <c r="I33" s="395"/>
      <c r="J33" s="394">
        <f>J37*J31</f>
        <v>97576.049999999988</v>
      </c>
      <c r="K33" s="312"/>
      <c r="L33" s="312">
        <f>L31*L37</f>
        <v>17000</v>
      </c>
      <c r="M33" s="312"/>
      <c r="N33" s="395">
        <f>N31*N37</f>
        <v>85500</v>
      </c>
      <c r="O33" s="312"/>
      <c r="P33" s="395">
        <f>P31*P37</f>
        <v>110500</v>
      </c>
      <c r="Q33" s="312"/>
      <c r="R33" s="395"/>
      <c r="S33" s="299"/>
      <c r="T33" s="299"/>
      <c r="U33" s="300"/>
      <c r="V33" s="299"/>
      <c r="W33" s="301"/>
      <c r="X33" s="5"/>
    </row>
    <row r="34" spans="1:27" ht="15.75" x14ac:dyDescent="0.25">
      <c r="A34" s="393"/>
      <c r="B34" s="286" t="s">
        <v>286</v>
      </c>
      <c r="C34" s="310"/>
      <c r="D34" s="299">
        <v>492951</v>
      </c>
      <c r="E34" s="298"/>
      <c r="F34" s="299">
        <v>209500</v>
      </c>
      <c r="G34" s="299"/>
      <c r="H34" s="299">
        <v>74677</v>
      </c>
      <c r="I34" s="299"/>
      <c r="J34" s="299">
        <v>73943</v>
      </c>
      <c r="K34" s="299"/>
      <c r="L34" s="299">
        <v>17000</v>
      </c>
      <c r="M34" s="299"/>
      <c r="N34" s="299">
        <v>58045</v>
      </c>
      <c r="O34" s="299"/>
      <c r="P34" s="299">
        <v>75017</v>
      </c>
      <c r="Q34" s="299"/>
      <c r="R34" s="299"/>
      <c r="S34" s="312"/>
      <c r="T34" s="312"/>
      <c r="U34" s="306"/>
      <c r="V34" s="299">
        <f>SUM(C34:R34)</f>
        <v>1001133</v>
      </c>
      <c r="W34" s="301"/>
      <c r="X34" s="5"/>
    </row>
    <row r="35" spans="1:27" ht="15.75" x14ac:dyDescent="0.25">
      <c r="A35" s="393"/>
      <c r="B35" s="286" t="s">
        <v>287</v>
      </c>
      <c r="C35" s="310"/>
      <c r="D35" s="299">
        <f>D34*D38</f>
        <v>329505.45520950004</v>
      </c>
      <c r="E35" s="298"/>
      <c r="F35" s="299">
        <f>F34*F38</f>
        <v>140037.38390000002</v>
      </c>
      <c r="G35" s="299"/>
      <c r="H35" s="299">
        <f>H34*H38</f>
        <v>49917.302975600003</v>
      </c>
      <c r="I35" s="299"/>
      <c r="J35" s="299">
        <f>J34*J38</f>
        <v>49426.052233500006</v>
      </c>
      <c r="K35" s="299"/>
      <c r="L35" s="299">
        <f>L34*L38</f>
        <v>17000</v>
      </c>
      <c r="M35" s="299"/>
      <c r="N35" s="299">
        <f>N34*N38</f>
        <v>58045</v>
      </c>
      <c r="O35" s="299"/>
      <c r="P35" s="299">
        <f>P34*P38</f>
        <v>75017</v>
      </c>
      <c r="Q35" s="299"/>
      <c r="R35" s="299"/>
      <c r="S35" s="299"/>
      <c r="T35" s="299"/>
      <c r="U35" s="300"/>
      <c r="V35" s="299">
        <f>SUM(C35:R35)</f>
        <v>718948.19431860012</v>
      </c>
      <c r="W35" s="301"/>
      <c r="X35" s="5"/>
    </row>
    <row r="36" spans="1:27" ht="15.75" x14ac:dyDescent="0.25">
      <c r="A36" s="393"/>
      <c r="B36" s="297" t="s">
        <v>288</v>
      </c>
      <c r="C36" s="310"/>
      <c r="D36" s="312">
        <f>D34*D37</f>
        <v>320668.07615699997</v>
      </c>
      <c r="E36" s="310"/>
      <c r="F36" s="312">
        <f>F34*F37</f>
        <v>136281.59359999999</v>
      </c>
      <c r="G36" s="312"/>
      <c r="H36" s="312">
        <f>H34*H37</f>
        <v>48578.5683966</v>
      </c>
      <c r="I36" s="312"/>
      <c r="J36" s="312">
        <f>J34*J37</f>
        <v>48100.439100999996</v>
      </c>
      <c r="K36" s="312"/>
      <c r="L36" s="312">
        <f>L34*L37</f>
        <v>17000</v>
      </c>
      <c r="M36" s="312"/>
      <c r="N36" s="312">
        <f>N34*N37</f>
        <v>58045</v>
      </c>
      <c r="O36" s="312"/>
      <c r="P36" s="312">
        <f>P34*P37</f>
        <v>75017</v>
      </c>
      <c r="Q36" s="312"/>
      <c r="R36" s="312"/>
      <c r="S36" s="311"/>
      <c r="T36" s="311"/>
      <c r="U36" s="300"/>
      <c r="V36" s="312">
        <f>SUM(C36:R36)-1</f>
        <v>703689.67725459998</v>
      </c>
      <c r="W36" s="301"/>
      <c r="X36" s="5"/>
    </row>
    <row r="37" spans="1:27" ht="15.75" x14ac:dyDescent="0.25">
      <c r="A37" s="285"/>
      <c r="B37" s="313" t="s">
        <v>130</v>
      </c>
      <c r="C37" s="314"/>
      <c r="D37" s="315">
        <v>0.65050699999999995</v>
      </c>
      <c r="E37" s="315"/>
      <c r="F37" s="315">
        <v>0.6505088</v>
      </c>
      <c r="G37" s="315"/>
      <c r="H37" s="315">
        <v>0.65051579999999998</v>
      </c>
      <c r="I37" s="315"/>
      <c r="J37" s="315">
        <v>0.65050699999999995</v>
      </c>
      <c r="K37" s="315"/>
      <c r="L37" s="315">
        <v>1</v>
      </c>
      <c r="M37" s="315"/>
      <c r="N37" s="315">
        <v>1</v>
      </c>
      <c r="O37" s="315"/>
      <c r="P37" s="315">
        <v>1</v>
      </c>
      <c r="Q37" s="315"/>
      <c r="R37" s="315"/>
      <c r="S37" s="316"/>
      <c r="T37" s="316"/>
      <c r="U37" s="317"/>
      <c r="V37" s="317"/>
      <c r="W37" s="318"/>
      <c r="X37" s="5"/>
    </row>
    <row r="38" spans="1:27" ht="15.75" x14ac:dyDescent="0.25">
      <c r="A38" s="285"/>
      <c r="B38" s="313" t="s">
        <v>131</v>
      </c>
      <c r="C38" s="314"/>
      <c r="D38" s="315">
        <v>0.66843450000000004</v>
      </c>
      <c r="E38" s="315"/>
      <c r="F38" s="315">
        <v>0.66843620000000004</v>
      </c>
      <c r="G38" s="315"/>
      <c r="H38" s="315">
        <v>0.6684428</v>
      </c>
      <c r="I38" s="315"/>
      <c r="J38" s="315">
        <v>0.66843450000000004</v>
      </c>
      <c r="K38" s="315"/>
      <c r="L38" s="315">
        <v>1</v>
      </c>
      <c r="M38" s="315"/>
      <c r="N38" s="315">
        <v>1</v>
      </c>
      <c r="O38" s="315"/>
      <c r="P38" s="315">
        <v>1</v>
      </c>
      <c r="Q38" s="315"/>
      <c r="R38" s="315"/>
      <c r="S38" s="319"/>
      <c r="T38" s="320"/>
      <c r="U38" s="317"/>
      <c r="V38" s="319"/>
      <c r="W38" s="318"/>
      <c r="X38" s="5"/>
    </row>
    <row r="39" spans="1:27" ht="15.75" x14ac:dyDescent="0.25">
      <c r="A39" s="285"/>
      <c r="B39" s="286" t="s">
        <v>11</v>
      </c>
      <c r="C39" s="286"/>
      <c r="D39" s="296" t="s">
        <v>304</v>
      </c>
      <c r="E39" s="286"/>
      <c r="F39" s="296" t="s">
        <v>256</v>
      </c>
      <c r="G39" s="296"/>
      <c r="H39" s="296" t="s">
        <v>257</v>
      </c>
      <c r="I39" s="296"/>
      <c r="J39" s="296" t="s">
        <v>258</v>
      </c>
      <c r="K39" s="296"/>
      <c r="L39" s="296" t="s">
        <v>259</v>
      </c>
      <c r="M39" s="296"/>
      <c r="N39" s="296" t="s">
        <v>259</v>
      </c>
      <c r="O39" s="296"/>
      <c r="P39" s="296" t="s">
        <v>260</v>
      </c>
      <c r="Q39" s="296"/>
      <c r="R39" s="296"/>
      <c r="S39" s="321"/>
      <c r="T39" s="322"/>
      <c r="U39" s="288"/>
      <c r="V39" s="288"/>
      <c r="W39" s="289"/>
      <c r="X39" s="5"/>
    </row>
    <row r="40" spans="1:27" ht="15.75" x14ac:dyDescent="0.25">
      <c r="A40" s="285"/>
      <c r="B40" s="286" t="s">
        <v>12</v>
      </c>
      <c r="C40" s="286"/>
      <c r="D40" s="322">
        <v>6.1444999999999998E-3</v>
      </c>
      <c r="E40" s="286"/>
      <c r="F40" s="322">
        <v>8.5124999999999992E-3</v>
      </c>
      <c r="G40" s="321"/>
      <c r="H40" s="322">
        <v>1.4999999999999999E-4</v>
      </c>
      <c r="I40" s="322"/>
      <c r="J40" s="322">
        <v>8.5384999999999992E-3</v>
      </c>
      <c r="K40" s="321"/>
      <c r="L40" s="322">
        <v>1.13125E-2</v>
      </c>
      <c r="M40" s="321"/>
      <c r="N40" s="322">
        <v>3.15E-3</v>
      </c>
      <c r="O40" s="321"/>
      <c r="P40" s="322">
        <v>8.7500000000000008E-3</v>
      </c>
      <c r="Q40" s="321"/>
      <c r="R40" s="322"/>
      <c r="S40" s="321"/>
      <c r="T40" s="322"/>
      <c r="U40" s="288"/>
      <c r="V40" s="296"/>
      <c r="W40" s="289"/>
      <c r="X40" s="5"/>
      <c r="AA40" s="1" t="s">
        <v>193</v>
      </c>
    </row>
    <row r="41" spans="1:27" ht="15.75" x14ac:dyDescent="0.25">
      <c r="A41" s="285"/>
      <c r="B41" s="286" t="s">
        <v>13</v>
      </c>
      <c r="C41" s="286"/>
      <c r="D41" s="322">
        <v>6.1050000000000002E-3</v>
      </c>
      <c r="E41" s="286"/>
      <c r="F41" s="322">
        <v>8.4338E-3</v>
      </c>
      <c r="G41" s="321"/>
      <c r="H41" s="322">
        <v>1.1199999999999999E-3</v>
      </c>
      <c r="I41" s="322"/>
      <c r="J41" s="322">
        <v>7.3200000000000001E-3</v>
      </c>
      <c r="K41" s="321"/>
      <c r="L41" s="322">
        <v>1.12338E-2</v>
      </c>
      <c r="M41" s="321"/>
      <c r="N41" s="322">
        <v>4.1200000000000004E-3</v>
      </c>
      <c r="O41" s="321"/>
      <c r="P41" s="322">
        <v>9.7199999999999995E-3</v>
      </c>
      <c r="Q41" s="321"/>
      <c r="R41" s="322"/>
      <c r="S41" s="321"/>
      <c r="T41" s="322"/>
      <c r="U41" s="288"/>
      <c r="V41" s="321" t="s">
        <v>193</v>
      </c>
      <c r="W41" s="289"/>
      <c r="X41" s="5"/>
    </row>
    <row r="42" spans="1:27" ht="15.75" x14ac:dyDescent="0.25">
      <c r="A42" s="285"/>
      <c r="B42" s="286" t="s">
        <v>289</v>
      </c>
      <c r="C42" s="286"/>
      <c r="D42" s="296" t="s">
        <v>311</v>
      </c>
      <c r="E42" s="286"/>
      <c r="F42" s="296" t="s">
        <v>256</v>
      </c>
      <c r="G42" s="296"/>
      <c r="H42" s="296" t="s">
        <v>261</v>
      </c>
      <c r="I42" s="296"/>
      <c r="J42" s="296" t="s">
        <v>261</v>
      </c>
      <c r="K42" s="296"/>
      <c r="L42" s="296" t="s">
        <v>259</v>
      </c>
      <c r="M42" s="296"/>
      <c r="N42" s="296" t="s">
        <v>263</v>
      </c>
      <c r="O42" s="296"/>
      <c r="P42" s="296" t="s">
        <v>264</v>
      </c>
      <c r="Q42" s="296"/>
      <c r="R42" s="296"/>
      <c r="S42" s="321"/>
      <c r="T42" s="322"/>
      <c r="U42" s="288"/>
      <c r="V42" s="288"/>
      <c r="W42" s="289"/>
      <c r="X42" s="5"/>
    </row>
    <row r="43" spans="1:27" ht="15.75" x14ac:dyDescent="0.25">
      <c r="A43" s="285"/>
      <c r="B43" s="286" t="s">
        <v>290</v>
      </c>
      <c r="C43" s="323"/>
      <c r="D43" s="322">
        <v>7.9094000000000005E-3</v>
      </c>
      <c r="E43" s="322"/>
      <c r="F43" s="322">
        <f>+F40</f>
        <v>8.5124999999999992E-3</v>
      </c>
      <c r="G43" s="322"/>
      <c r="H43" s="322">
        <v>8.6625000000000001E-3</v>
      </c>
      <c r="I43" s="322"/>
      <c r="J43" s="322">
        <v>8.6925000000000006E-3</v>
      </c>
      <c r="K43" s="322"/>
      <c r="L43" s="322">
        <f>+L40</f>
        <v>1.13125E-2</v>
      </c>
      <c r="M43" s="322"/>
      <c r="N43" s="322">
        <v>1.20465E-2</v>
      </c>
      <c r="O43" s="322"/>
      <c r="P43" s="322">
        <v>1.82065E-2</v>
      </c>
      <c r="Q43" s="321"/>
      <c r="R43" s="322"/>
      <c r="S43" s="296"/>
      <c r="T43" s="296"/>
      <c r="U43" s="288"/>
      <c r="V43" s="321">
        <f>SUMPRODUCT(D43:R43,D35:R35)/V35</f>
        <v>9.6219059058976677E-3</v>
      </c>
      <c r="W43" s="289"/>
      <c r="X43" s="5"/>
    </row>
    <row r="44" spans="1:27" ht="15.75" x14ac:dyDescent="0.25">
      <c r="A44" s="285"/>
      <c r="B44" s="286" t="s">
        <v>291</v>
      </c>
      <c r="C44" s="323"/>
      <c r="D44" s="322">
        <v>7.8306999999999995E-3</v>
      </c>
      <c r="E44" s="322"/>
      <c r="F44" s="322">
        <f>+F41</f>
        <v>8.4338E-3</v>
      </c>
      <c r="G44" s="322"/>
      <c r="H44" s="322">
        <v>8.5838000000000008E-3</v>
      </c>
      <c r="I44" s="322"/>
      <c r="J44" s="322">
        <v>8.6137999999999996E-3</v>
      </c>
      <c r="K44" s="322"/>
      <c r="L44" s="322">
        <f>+L41</f>
        <v>1.12338E-2</v>
      </c>
      <c r="M44" s="322"/>
      <c r="N44" s="322">
        <v>1.1967800000000001E-2</v>
      </c>
      <c r="O44" s="322"/>
      <c r="P44" s="322">
        <v>1.8127799999999999E-2</v>
      </c>
      <c r="Q44" s="321"/>
      <c r="R44" s="322"/>
      <c r="S44" s="296"/>
      <c r="T44" s="296"/>
      <c r="U44" s="288"/>
      <c r="V44" s="288"/>
      <c r="W44" s="289"/>
      <c r="X44" s="5"/>
    </row>
    <row r="45" spans="1:27" ht="15.75" x14ac:dyDescent="0.25">
      <c r="A45" s="285"/>
      <c r="B45" s="286" t="s">
        <v>14</v>
      </c>
      <c r="C45" s="286"/>
      <c r="D45" s="323">
        <v>40709</v>
      </c>
      <c r="E45" s="323"/>
      <c r="F45" s="323">
        <v>40709</v>
      </c>
      <c r="G45" s="323"/>
      <c r="H45" s="323">
        <v>40709</v>
      </c>
      <c r="I45" s="323"/>
      <c r="J45" s="323">
        <v>40709</v>
      </c>
      <c r="K45" s="323"/>
      <c r="L45" s="323">
        <v>40709</v>
      </c>
      <c r="M45" s="323"/>
      <c r="N45" s="323">
        <v>40709</v>
      </c>
      <c r="O45" s="323"/>
      <c r="P45" s="323">
        <v>40709</v>
      </c>
      <c r="Q45" s="323"/>
      <c r="R45" s="323"/>
      <c r="S45" s="296"/>
      <c r="T45" s="296"/>
      <c r="U45" s="288"/>
      <c r="V45" s="288"/>
      <c r="W45" s="289"/>
      <c r="X45" s="5"/>
    </row>
    <row r="46" spans="1:27" ht="15.75" x14ac:dyDescent="0.25">
      <c r="A46" s="285"/>
      <c r="B46" s="286" t="s">
        <v>15</v>
      </c>
      <c r="C46" s="286"/>
      <c r="D46" s="323">
        <v>41075</v>
      </c>
      <c r="E46" s="323"/>
      <c r="F46" s="323">
        <v>41075</v>
      </c>
      <c r="G46" s="323"/>
      <c r="H46" s="323">
        <v>41075</v>
      </c>
      <c r="I46" s="323"/>
      <c r="J46" s="323">
        <v>41075</v>
      </c>
      <c r="K46" s="296"/>
      <c r="L46" s="323">
        <v>41075</v>
      </c>
      <c r="M46" s="296"/>
      <c r="N46" s="323">
        <v>41075</v>
      </c>
      <c r="O46" s="296"/>
      <c r="P46" s="323">
        <v>41075</v>
      </c>
      <c r="Q46" s="296"/>
      <c r="R46" s="323"/>
      <c r="S46" s="296"/>
      <c r="T46" s="296"/>
      <c r="U46" s="288"/>
      <c r="V46" s="288"/>
      <c r="W46" s="289"/>
      <c r="X46" s="5"/>
    </row>
    <row r="47" spans="1:27" ht="15.75" x14ac:dyDescent="0.25">
      <c r="A47" s="285"/>
      <c r="B47" s="286" t="s">
        <v>119</v>
      </c>
      <c r="C47" s="286"/>
      <c r="D47" s="296" t="s">
        <v>304</v>
      </c>
      <c r="E47" s="286"/>
      <c r="F47" s="296" t="s">
        <v>256</v>
      </c>
      <c r="G47" s="296"/>
      <c r="H47" s="296" t="s">
        <v>257</v>
      </c>
      <c r="I47" s="296"/>
      <c r="J47" s="296" t="s">
        <v>258</v>
      </c>
      <c r="K47" s="296"/>
      <c r="L47" s="296" t="s">
        <v>259</v>
      </c>
      <c r="M47" s="296"/>
      <c r="N47" s="296" t="s">
        <v>259</v>
      </c>
      <c r="O47" s="296"/>
      <c r="P47" s="296" t="s">
        <v>260</v>
      </c>
      <c r="Q47" s="296"/>
      <c r="R47" s="296"/>
      <c r="S47" s="325"/>
      <c r="T47" s="325"/>
      <c r="U47" s="325"/>
      <c r="V47" s="325"/>
      <c r="W47" s="289"/>
      <c r="X47" s="5"/>
    </row>
    <row r="48" spans="1:27" ht="15.75" x14ac:dyDescent="0.25">
      <c r="A48" s="285"/>
      <c r="B48" s="286" t="s">
        <v>292</v>
      </c>
      <c r="C48" s="286"/>
      <c r="D48" s="296" t="s">
        <v>311</v>
      </c>
      <c r="E48" s="286"/>
      <c r="F48" s="296" t="s">
        <v>256</v>
      </c>
      <c r="G48" s="296"/>
      <c r="H48" s="296" t="s">
        <v>261</v>
      </c>
      <c r="I48" s="296"/>
      <c r="J48" s="296" t="s">
        <v>261</v>
      </c>
      <c r="K48" s="296"/>
      <c r="L48" s="296" t="s">
        <v>259</v>
      </c>
      <c r="M48" s="296"/>
      <c r="N48" s="296" t="s">
        <v>263</v>
      </c>
      <c r="O48" s="296"/>
      <c r="P48" s="296" t="s">
        <v>264</v>
      </c>
      <c r="Q48" s="296"/>
      <c r="R48" s="296"/>
      <c r="S48" s="286"/>
      <c r="T48" s="286"/>
      <c r="U48" s="286"/>
      <c r="V48" s="321"/>
      <c r="W48" s="289"/>
      <c r="X48" s="5"/>
    </row>
    <row r="49" spans="1:25" ht="15.75" x14ac:dyDescent="0.25">
      <c r="A49" s="285"/>
      <c r="B49" s="286"/>
      <c r="C49" s="286"/>
      <c r="D49" s="296"/>
      <c r="E49" s="286"/>
      <c r="F49" s="296"/>
      <c r="G49" s="296"/>
      <c r="H49" s="296"/>
      <c r="I49" s="296"/>
      <c r="J49" s="296"/>
      <c r="K49" s="296"/>
      <c r="L49" s="296"/>
      <c r="M49" s="296"/>
      <c r="N49" s="296"/>
      <c r="O49" s="296"/>
      <c r="P49" s="296"/>
      <c r="Q49" s="296"/>
      <c r="R49" s="296"/>
      <c r="S49" s="286"/>
      <c r="T49" s="286"/>
      <c r="U49" s="286"/>
      <c r="V49" s="321" t="s">
        <v>193</v>
      </c>
      <c r="W49" s="289"/>
      <c r="X49" s="5"/>
    </row>
    <row r="50" spans="1:25" ht="15.75" x14ac:dyDescent="0.25">
      <c r="A50" s="285"/>
      <c r="B50" s="286" t="s">
        <v>169</v>
      </c>
      <c r="C50" s="286"/>
      <c r="D50" s="296"/>
      <c r="E50" s="286"/>
      <c r="F50" s="296"/>
      <c r="G50" s="296"/>
      <c r="H50" s="296"/>
      <c r="I50" s="296"/>
      <c r="J50" s="296"/>
      <c r="K50" s="296"/>
      <c r="L50" s="296"/>
      <c r="M50" s="296"/>
      <c r="N50" s="296"/>
      <c r="O50" s="296"/>
      <c r="P50" s="296"/>
      <c r="Q50" s="296"/>
      <c r="R50" s="296"/>
      <c r="S50" s="286"/>
      <c r="T50" s="286"/>
      <c r="U50" s="286"/>
      <c r="V50" s="321">
        <f>SUM(L34:R34)/SUM(D34:J34)</f>
        <v>0.17632136449250416</v>
      </c>
      <c r="W50" s="289"/>
      <c r="X50" s="5"/>
    </row>
    <row r="51" spans="1:25" ht="15.75" x14ac:dyDescent="0.25">
      <c r="A51" s="285"/>
      <c r="B51" s="286" t="s">
        <v>170</v>
      </c>
      <c r="C51" s="286"/>
      <c r="D51" s="286"/>
      <c r="E51" s="286"/>
      <c r="F51" s="326"/>
      <c r="G51" s="286"/>
      <c r="H51" s="286"/>
      <c r="I51" s="286"/>
      <c r="J51" s="286"/>
      <c r="K51" s="286"/>
      <c r="L51" s="286"/>
      <c r="M51" s="286"/>
      <c r="N51" s="286"/>
      <c r="O51" s="286"/>
      <c r="P51" s="286"/>
      <c r="Q51" s="286"/>
      <c r="R51" s="286"/>
      <c r="S51" s="286"/>
      <c r="T51" s="286"/>
      <c r="U51" s="286"/>
      <c r="V51" s="321">
        <f>SUM(L36:R36)/SUM(D36:J36)</f>
        <v>0.27105171058722133</v>
      </c>
      <c r="W51" s="289"/>
      <c r="X51" s="5"/>
    </row>
    <row r="52" spans="1:25" ht="15.75" x14ac:dyDescent="0.25">
      <c r="A52" s="285"/>
      <c r="B52" s="286" t="s">
        <v>171</v>
      </c>
      <c r="C52" s="286"/>
      <c r="D52" s="286"/>
      <c r="E52" s="286"/>
      <c r="F52" s="286"/>
      <c r="G52" s="286"/>
      <c r="H52" s="286"/>
      <c r="I52" s="286"/>
      <c r="J52" s="286"/>
      <c r="K52" s="286"/>
      <c r="L52" s="286"/>
      <c r="M52" s="286"/>
      <c r="N52" s="286"/>
      <c r="O52" s="286"/>
      <c r="P52" s="286"/>
      <c r="Q52" s="286"/>
      <c r="R52" s="286"/>
      <c r="S52" s="286"/>
      <c r="T52" s="296"/>
      <c r="U52" s="296"/>
      <c r="V52" s="299" t="s">
        <v>268</v>
      </c>
      <c r="W52" s="289"/>
      <c r="X52" s="5"/>
    </row>
    <row r="53" spans="1:25" ht="15.75" x14ac:dyDescent="0.25">
      <c r="A53" s="285"/>
      <c r="B53" s="286"/>
      <c r="C53" s="286"/>
      <c r="D53" s="286"/>
      <c r="E53" s="286"/>
      <c r="F53" s="286"/>
      <c r="G53" s="286"/>
      <c r="H53" s="286"/>
      <c r="I53" s="286"/>
      <c r="J53" s="286"/>
      <c r="K53" s="286"/>
      <c r="L53" s="286"/>
      <c r="M53" s="286"/>
      <c r="N53" s="286"/>
      <c r="O53" s="286"/>
      <c r="P53" s="286"/>
      <c r="Q53" s="286"/>
      <c r="R53" s="286"/>
      <c r="S53" s="286"/>
      <c r="T53" s="286"/>
      <c r="U53" s="286"/>
      <c r="V53" s="327"/>
      <c r="W53" s="289"/>
      <c r="X53" s="5"/>
    </row>
    <row r="54" spans="1:25" ht="15.75" x14ac:dyDescent="0.25">
      <c r="A54" s="285"/>
      <c r="B54" s="286" t="s">
        <v>202</v>
      </c>
      <c r="C54" s="286"/>
      <c r="D54" s="286"/>
      <c r="E54" s="286"/>
      <c r="F54" s="286"/>
      <c r="G54" s="286"/>
      <c r="H54" s="286"/>
      <c r="I54" s="286"/>
      <c r="J54" s="286"/>
      <c r="K54" s="286"/>
      <c r="L54" s="286"/>
      <c r="M54" s="286"/>
      <c r="N54" s="286"/>
      <c r="O54" s="286"/>
      <c r="P54" s="286"/>
      <c r="Q54" s="286"/>
      <c r="R54" s="286"/>
      <c r="S54" s="286"/>
      <c r="T54" s="286"/>
      <c r="U54" s="286"/>
      <c r="V54" s="311" t="s">
        <v>203</v>
      </c>
      <c r="W54" s="289"/>
      <c r="X54" s="5"/>
    </row>
    <row r="55" spans="1:25" ht="15.75" x14ac:dyDescent="0.25">
      <c r="A55" s="285"/>
      <c r="B55" s="286" t="s">
        <v>270</v>
      </c>
      <c r="C55" s="286"/>
      <c r="D55" s="286"/>
      <c r="E55" s="286"/>
      <c r="F55" s="286"/>
      <c r="G55" s="286"/>
      <c r="H55" s="286"/>
      <c r="I55" s="286"/>
      <c r="J55" s="286"/>
      <c r="K55" s="286"/>
      <c r="L55" s="286"/>
      <c r="M55" s="286"/>
      <c r="N55" s="286"/>
      <c r="O55" s="286"/>
      <c r="P55" s="286"/>
      <c r="Q55" s="286"/>
      <c r="R55" s="286"/>
      <c r="S55" s="286"/>
      <c r="T55" s="296"/>
      <c r="U55" s="296"/>
      <c r="V55" s="396" t="s">
        <v>111</v>
      </c>
      <c r="W55" s="289"/>
      <c r="X55" s="5"/>
    </row>
    <row r="56" spans="1:25" ht="15.75" x14ac:dyDescent="0.25">
      <c r="A56" s="285"/>
      <c r="B56" s="297" t="s">
        <v>201</v>
      </c>
      <c r="C56" s="297"/>
      <c r="D56" s="297"/>
      <c r="E56" s="297"/>
      <c r="F56" s="297"/>
      <c r="G56" s="297"/>
      <c r="H56" s="297"/>
      <c r="I56" s="297"/>
      <c r="J56" s="297"/>
      <c r="K56" s="297"/>
      <c r="L56" s="297"/>
      <c r="M56" s="297"/>
      <c r="N56" s="297"/>
      <c r="O56" s="297"/>
      <c r="P56" s="297"/>
      <c r="Q56" s="297"/>
      <c r="R56" s="297"/>
      <c r="S56" s="297"/>
      <c r="T56" s="397"/>
      <c r="U56" s="397"/>
      <c r="V56" s="398">
        <v>42536</v>
      </c>
      <c r="W56" s="289"/>
      <c r="X56" s="5"/>
    </row>
    <row r="57" spans="1:25" ht="15.75" x14ac:dyDescent="0.25">
      <c r="A57" s="285"/>
      <c r="B57" s="286" t="s">
        <v>121</v>
      </c>
      <c r="C57" s="286"/>
      <c r="D57" s="286"/>
      <c r="E57" s="286"/>
      <c r="F57" s="286"/>
      <c r="G57" s="286"/>
      <c r="H57" s="332"/>
      <c r="I57" s="332"/>
      <c r="J57" s="332"/>
      <c r="K57" s="332"/>
      <c r="L57" s="332"/>
      <c r="M57" s="332"/>
      <c r="N57" s="332"/>
      <c r="O57" s="332"/>
      <c r="P57" s="332"/>
      <c r="Q57" s="332"/>
      <c r="R57" s="286">
        <f>+V57-T57+1</f>
        <v>91</v>
      </c>
      <c r="S57" s="332"/>
      <c r="T57" s="333">
        <v>42353</v>
      </c>
      <c r="U57" s="334"/>
      <c r="V57" s="333">
        <v>42443</v>
      </c>
      <c r="W57" s="289"/>
      <c r="X57" s="5"/>
    </row>
    <row r="58" spans="1:25" ht="15.75" x14ac:dyDescent="0.25">
      <c r="A58" s="285"/>
      <c r="B58" s="286" t="s">
        <v>122</v>
      </c>
      <c r="C58" s="286"/>
      <c r="D58" s="286"/>
      <c r="E58" s="286"/>
      <c r="F58" s="286"/>
      <c r="G58" s="286"/>
      <c r="H58" s="286"/>
      <c r="I58" s="286"/>
      <c r="J58" s="286"/>
      <c r="K58" s="286"/>
      <c r="L58" s="286"/>
      <c r="M58" s="286"/>
      <c r="N58" s="286"/>
      <c r="O58" s="286"/>
      <c r="P58" s="286"/>
      <c r="Q58" s="286"/>
      <c r="R58" s="286">
        <f>+V58-T58+1</f>
        <v>92</v>
      </c>
      <c r="S58" s="286"/>
      <c r="T58" s="333">
        <v>42444</v>
      </c>
      <c r="U58" s="334"/>
      <c r="V58" s="333">
        <v>42535</v>
      </c>
      <c r="W58" s="289"/>
      <c r="X58" s="5"/>
    </row>
    <row r="59" spans="1:25" ht="15.75" x14ac:dyDescent="0.25">
      <c r="A59" s="285"/>
      <c r="B59" s="286" t="s">
        <v>223</v>
      </c>
      <c r="C59" s="286"/>
      <c r="D59" s="286"/>
      <c r="E59" s="286"/>
      <c r="F59" s="286"/>
      <c r="G59" s="286"/>
      <c r="H59" s="286"/>
      <c r="I59" s="286"/>
      <c r="J59" s="286"/>
      <c r="K59" s="286"/>
      <c r="L59" s="286"/>
      <c r="M59" s="286"/>
      <c r="N59" s="286"/>
      <c r="O59" s="286"/>
      <c r="P59" s="286"/>
      <c r="Q59" s="286"/>
      <c r="R59" s="286"/>
      <c r="S59" s="286"/>
      <c r="T59" s="333"/>
      <c r="U59" s="334"/>
      <c r="V59" s="333" t="s">
        <v>120</v>
      </c>
      <c r="W59" s="289"/>
      <c r="X59" s="5"/>
    </row>
    <row r="60" spans="1:25" ht="15.75" x14ac:dyDescent="0.25">
      <c r="A60" s="285"/>
      <c r="B60" s="286" t="s">
        <v>271</v>
      </c>
      <c r="C60" s="286"/>
      <c r="D60" s="286"/>
      <c r="E60" s="286"/>
      <c r="F60" s="286"/>
      <c r="G60" s="286"/>
      <c r="H60" s="286"/>
      <c r="I60" s="286"/>
      <c r="J60" s="286"/>
      <c r="K60" s="286"/>
      <c r="L60" s="286"/>
      <c r="M60" s="286"/>
      <c r="N60" s="286"/>
      <c r="O60" s="286"/>
      <c r="P60" s="286"/>
      <c r="Q60" s="286"/>
      <c r="R60" s="286"/>
      <c r="S60" s="286"/>
      <c r="T60" s="333"/>
      <c r="U60" s="334"/>
      <c r="V60" s="333" t="s">
        <v>154</v>
      </c>
      <c r="W60" s="289"/>
      <c r="X60" s="5"/>
      <c r="Y60" s="133"/>
    </row>
    <row r="61" spans="1:25" ht="15.75" x14ac:dyDescent="0.25">
      <c r="A61" s="285"/>
      <c r="B61" s="286" t="s">
        <v>16</v>
      </c>
      <c r="C61" s="286"/>
      <c r="D61" s="286"/>
      <c r="E61" s="286"/>
      <c r="F61" s="286"/>
      <c r="G61" s="286"/>
      <c r="H61" s="286"/>
      <c r="I61" s="286"/>
      <c r="J61" s="286"/>
      <c r="K61" s="286"/>
      <c r="L61" s="286"/>
      <c r="M61" s="286"/>
      <c r="N61" s="286"/>
      <c r="O61" s="286"/>
      <c r="P61" s="286"/>
      <c r="Q61" s="286"/>
      <c r="R61" s="286"/>
      <c r="S61" s="286"/>
      <c r="T61" s="333"/>
      <c r="U61" s="334"/>
      <c r="V61" s="333">
        <v>42522</v>
      </c>
      <c r="W61" s="289"/>
      <c r="X61" s="5"/>
    </row>
    <row r="62" spans="1:25" ht="15.75" x14ac:dyDescent="0.25">
      <c r="A62" s="181"/>
      <c r="B62" s="212"/>
      <c r="C62" s="212"/>
      <c r="D62" s="212"/>
      <c r="E62" s="212"/>
      <c r="F62" s="212"/>
      <c r="G62" s="212"/>
      <c r="H62" s="212"/>
      <c r="I62" s="212"/>
      <c r="J62" s="212"/>
      <c r="K62" s="212"/>
      <c r="L62" s="212"/>
      <c r="M62" s="212"/>
      <c r="N62" s="212"/>
      <c r="O62" s="212"/>
      <c r="P62" s="212"/>
      <c r="Q62" s="212"/>
      <c r="R62" s="212"/>
      <c r="S62" s="212"/>
      <c r="T62" s="283"/>
      <c r="U62" s="284"/>
      <c r="V62" s="283"/>
      <c r="W62" s="212"/>
      <c r="X62" s="5"/>
    </row>
    <row r="63" spans="1:25" ht="15.75" x14ac:dyDescent="0.25">
      <c r="A63" s="181"/>
      <c r="B63" s="183"/>
      <c r="C63" s="183"/>
      <c r="D63" s="183"/>
      <c r="E63" s="183"/>
      <c r="F63" s="183"/>
      <c r="G63" s="183"/>
      <c r="H63" s="183"/>
      <c r="I63" s="183"/>
      <c r="J63" s="183"/>
      <c r="K63" s="183"/>
      <c r="L63" s="183"/>
      <c r="M63" s="183"/>
      <c r="N63" s="183"/>
      <c r="O63" s="183"/>
      <c r="P63" s="183"/>
      <c r="Q63" s="183"/>
      <c r="R63" s="183"/>
      <c r="S63" s="183"/>
      <c r="T63" s="195"/>
      <c r="U63" s="196"/>
      <c r="V63" s="195"/>
      <c r="W63" s="183"/>
      <c r="X63" s="5"/>
    </row>
    <row r="64" spans="1:25" ht="19.5" thickBot="1" x14ac:dyDescent="0.35">
      <c r="A64" s="197"/>
      <c r="B64" s="270" t="s">
        <v>335</v>
      </c>
      <c r="C64" s="198"/>
      <c r="D64" s="198"/>
      <c r="E64" s="198"/>
      <c r="F64" s="198"/>
      <c r="G64" s="198"/>
      <c r="H64" s="198"/>
      <c r="I64" s="198"/>
      <c r="J64" s="198"/>
      <c r="K64" s="198"/>
      <c r="L64" s="198"/>
      <c r="M64" s="198"/>
      <c r="N64" s="198"/>
      <c r="O64" s="198"/>
      <c r="P64" s="198"/>
      <c r="Q64" s="198"/>
      <c r="R64" s="198"/>
      <c r="S64" s="198"/>
      <c r="T64" s="198"/>
      <c r="U64" s="198"/>
      <c r="V64" s="199"/>
      <c r="W64" s="200"/>
      <c r="X64" s="5"/>
    </row>
    <row r="65" spans="1:24" ht="15.75" x14ac:dyDescent="0.25">
      <c r="A65" s="224"/>
      <c r="B65" s="230" t="s">
        <v>17</v>
      </c>
      <c r="C65" s="225"/>
      <c r="D65" s="225"/>
      <c r="E65" s="225"/>
      <c r="F65" s="225"/>
      <c r="G65" s="225"/>
      <c r="H65" s="225"/>
      <c r="I65" s="225"/>
      <c r="J65" s="225"/>
      <c r="K65" s="225"/>
      <c r="L65" s="225"/>
      <c r="M65" s="225"/>
      <c r="N65" s="225"/>
      <c r="O65" s="225"/>
      <c r="P65" s="225"/>
      <c r="Q65" s="225"/>
      <c r="R65" s="225"/>
      <c r="S65" s="225"/>
      <c r="T65" s="225"/>
      <c r="U65" s="225"/>
      <c r="V65" s="231"/>
      <c r="W65" s="225"/>
      <c r="X65" s="5"/>
    </row>
    <row r="66" spans="1:24" ht="15.75" x14ac:dyDescent="0.25">
      <c r="A66" s="181"/>
      <c r="B66" s="189"/>
      <c r="C66" s="183"/>
      <c r="D66" s="183"/>
      <c r="E66" s="183"/>
      <c r="F66" s="183"/>
      <c r="G66" s="183"/>
      <c r="H66" s="183"/>
      <c r="I66" s="183"/>
      <c r="J66" s="183"/>
      <c r="K66" s="183"/>
      <c r="L66" s="183"/>
      <c r="M66" s="183"/>
      <c r="N66" s="183"/>
      <c r="O66" s="183"/>
      <c r="P66" s="183"/>
      <c r="Q66" s="183"/>
      <c r="R66" s="183"/>
      <c r="S66" s="183"/>
      <c r="T66" s="183"/>
      <c r="U66" s="183"/>
      <c r="V66" s="202"/>
      <c r="W66" s="183"/>
      <c r="X66" s="5"/>
    </row>
    <row r="67" spans="1:24" ht="47.25" x14ac:dyDescent="0.25">
      <c r="A67" s="181"/>
      <c r="B67" s="203" t="s">
        <v>18</v>
      </c>
      <c r="C67" s="204"/>
      <c r="D67" s="204"/>
      <c r="E67" s="204"/>
      <c r="F67" s="204"/>
      <c r="G67" s="204"/>
      <c r="H67" s="204"/>
      <c r="I67" s="204"/>
      <c r="J67" s="204"/>
      <c r="K67" s="204"/>
      <c r="L67" s="204" t="s">
        <v>94</v>
      </c>
      <c r="M67" s="204"/>
      <c r="N67" s="204" t="s">
        <v>96</v>
      </c>
      <c r="O67" s="204"/>
      <c r="P67" s="204" t="s">
        <v>98</v>
      </c>
      <c r="Q67" s="204"/>
      <c r="R67" s="204" t="s">
        <v>100</v>
      </c>
      <c r="S67" s="204"/>
      <c r="T67" s="204" t="s">
        <v>106</v>
      </c>
      <c r="U67" s="204"/>
      <c r="V67" s="205" t="s">
        <v>112</v>
      </c>
      <c r="W67" s="206"/>
      <c r="X67" s="5"/>
    </row>
    <row r="68" spans="1:24" ht="15.75" x14ac:dyDescent="0.25">
      <c r="A68" s="285"/>
      <c r="B68" s="286" t="s">
        <v>19</v>
      </c>
      <c r="C68" s="337"/>
      <c r="D68" s="337"/>
      <c r="E68" s="337"/>
      <c r="F68" s="337"/>
      <c r="G68" s="337"/>
      <c r="H68" s="337"/>
      <c r="I68" s="337"/>
      <c r="J68" s="337"/>
      <c r="K68" s="337"/>
      <c r="L68" s="337">
        <v>812446</v>
      </c>
      <c r="M68" s="337"/>
      <c r="N68" s="338">
        <v>718948</v>
      </c>
      <c r="O68" s="337"/>
      <c r="P68" s="337">
        <f>15258+42+58</f>
        <v>15358</v>
      </c>
      <c r="Q68" s="337"/>
      <c r="R68" s="337">
        <f>42+58</f>
        <v>100</v>
      </c>
      <c r="S68" s="337"/>
      <c r="T68" s="337">
        <v>0</v>
      </c>
      <c r="U68" s="337"/>
      <c r="V68" s="338">
        <f>+N68-P68+R68-T68</f>
        <v>703690</v>
      </c>
      <c r="W68" s="289"/>
      <c r="X68" s="5"/>
    </row>
    <row r="69" spans="1:24" ht="15.75" x14ac:dyDescent="0.25">
      <c r="A69" s="285"/>
      <c r="B69" s="286" t="s">
        <v>20</v>
      </c>
      <c r="C69" s="337"/>
      <c r="D69" s="337"/>
      <c r="E69" s="337"/>
      <c r="F69" s="337"/>
      <c r="G69" s="337"/>
      <c r="H69" s="337"/>
      <c r="I69" s="337"/>
      <c r="J69" s="337"/>
      <c r="K69" s="337"/>
      <c r="L69" s="337">
        <v>0</v>
      </c>
      <c r="M69" s="337"/>
      <c r="N69" s="338">
        <v>0</v>
      </c>
      <c r="O69" s="337"/>
      <c r="P69" s="337">
        <v>0</v>
      </c>
      <c r="Q69" s="337"/>
      <c r="R69" s="337">
        <v>0</v>
      </c>
      <c r="S69" s="337"/>
      <c r="T69" s="337">
        <v>0</v>
      </c>
      <c r="U69" s="337"/>
      <c r="V69" s="338">
        <f>+L69-P69</f>
        <v>0</v>
      </c>
      <c r="W69" s="289"/>
      <c r="X69" s="5"/>
    </row>
    <row r="70" spans="1:24" ht="15.75" x14ac:dyDescent="0.25">
      <c r="A70" s="285"/>
      <c r="B70" s="286"/>
      <c r="C70" s="337"/>
      <c r="D70" s="337"/>
      <c r="E70" s="337"/>
      <c r="F70" s="337"/>
      <c r="G70" s="337"/>
      <c r="H70" s="337"/>
      <c r="I70" s="337"/>
      <c r="J70" s="337"/>
      <c r="K70" s="337"/>
      <c r="L70" s="337"/>
      <c r="M70" s="337"/>
      <c r="N70" s="338"/>
      <c r="O70" s="337"/>
      <c r="P70" s="337"/>
      <c r="Q70" s="337"/>
      <c r="R70" s="337"/>
      <c r="S70" s="337"/>
      <c r="T70" s="337"/>
      <c r="U70" s="337"/>
      <c r="V70" s="338"/>
      <c r="W70" s="289"/>
      <c r="X70" s="5"/>
    </row>
    <row r="71" spans="1:24" ht="15.75" x14ac:dyDescent="0.25">
      <c r="A71" s="285"/>
      <c r="B71" s="286" t="s">
        <v>21</v>
      </c>
      <c r="C71" s="337"/>
      <c r="D71" s="337"/>
      <c r="E71" s="337"/>
      <c r="F71" s="337"/>
      <c r="G71" s="337"/>
      <c r="H71" s="337"/>
      <c r="I71" s="337"/>
      <c r="J71" s="337"/>
      <c r="K71" s="337"/>
      <c r="L71" s="337">
        <f>SUM(L68:L70)</f>
        <v>812446</v>
      </c>
      <c r="M71" s="337"/>
      <c r="N71" s="337">
        <f>N68+N69</f>
        <v>718948</v>
      </c>
      <c r="O71" s="337"/>
      <c r="P71" s="337">
        <f>SUM(P68:P70)</f>
        <v>15358</v>
      </c>
      <c r="Q71" s="337"/>
      <c r="R71" s="337">
        <f>SUM(R68:R70)</f>
        <v>100</v>
      </c>
      <c r="S71" s="337"/>
      <c r="T71" s="337">
        <f>SUM(T68:T70)</f>
        <v>0</v>
      </c>
      <c r="U71" s="337"/>
      <c r="V71" s="337">
        <f>SUM(V68:V70)</f>
        <v>703690</v>
      </c>
      <c r="W71" s="289"/>
      <c r="X71" s="5"/>
    </row>
    <row r="72" spans="1:24" ht="15.75" x14ac:dyDescent="0.25">
      <c r="A72" s="181"/>
      <c r="B72" s="212"/>
      <c r="C72" s="335"/>
      <c r="D72" s="335"/>
      <c r="E72" s="335"/>
      <c r="F72" s="335"/>
      <c r="G72" s="335"/>
      <c r="H72" s="335"/>
      <c r="I72" s="335"/>
      <c r="J72" s="335"/>
      <c r="K72" s="335"/>
      <c r="L72" s="335"/>
      <c r="M72" s="335"/>
      <c r="N72" s="335"/>
      <c r="O72" s="335"/>
      <c r="P72" s="335"/>
      <c r="Q72" s="335"/>
      <c r="R72" s="335"/>
      <c r="S72" s="335"/>
      <c r="T72" s="335"/>
      <c r="U72" s="335"/>
      <c r="V72" s="336"/>
      <c r="W72" s="212"/>
      <c r="X72" s="5"/>
    </row>
    <row r="73" spans="1:24" ht="15.75" x14ac:dyDescent="0.25">
      <c r="A73" s="181"/>
      <c r="B73" s="185" t="s">
        <v>22</v>
      </c>
      <c r="C73" s="207"/>
      <c r="D73" s="207"/>
      <c r="E73" s="207"/>
      <c r="F73" s="207"/>
      <c r="G73" s="207"/>
      <c r="H73" s="207"/>
      <c r="I73" s="207"/>
      <c r="J73" s="207"/>
      <c r="K73" s="207"/>
      <c r="L73" s="207"/>
      <c r="M73" s="207"/>
      <c r="N73" s="207"/>
      <c r="O73" s="207"/>
      <c r="P73" s="207"/>
      <c r="Q73" s="207"/>
      <c r="R73" s="207"/>
      <c r="S73" s="207"/>
      <c r="T73" s="207"/>
      <c r="U73" s="207"/>
      <c r="V73" s="208"/>
      <c r="W73" s="183"/>
      <c r="X73" s="5"/>
    </row>
    <row r="74" spans="1:24" ht="15.75" x14ac:dyDescent="0.25">
      <c r="A74" s="181"/>
      <c r="B74" s="183"/>
      <c r="C74" s="207"/>
      <c r="D74" s="207"/>
      <c r="E74" s="207"/>
      <c r="F74" s="207"/>
      <c r="G74" s="207"/>
      <c r="H74" s="207"/>
      <c r="I74" s="207"/>
      <c r="J74" s="207"/>
      <c r="K74" s="207"/>
      <c r="L74" s="207"/>
      <c r="M74" s="207"/>
      <c r="N74" s="207"/>
      <c r="O74" s="207"/>
      <c r="P74" s="207"/>
      <c r="Q74" s="207"/>
      <c r="R74" s="207"/>
      <c r="S74" s="207"/>
      <c r="T74" s="207"/>
      <c r="U74" s="207"/>
      <c r="V74" s="208"/>
      <c r="W74" s="183"/>
      <c r="X74" s="5"/>
    </row>
    <row r="75" spans="1:24" ht="15.75" x14ac:dyDescent="0.25">
      <c r="A75" s="285"/>
      <c r="B75" s="286" t="s">
        <v>19</v>
      </c>
      <c r="C75" s="337"/>
      <c r="D75" s="337"/>
      <c r="E75" s="337"/>
      <c r="F75" s="337"/>
      <c r="G75" s="337"/>
      <c r="H75" s="337"/>
      <c r="I75" s="337"/>
      <c r="J75" s="337"/>
      <c r="K75" s="337"/>
      <c r="L75" s="337"/>
      <c r="M75" s="337"/>
      <c r="N75" s="337"/>
      <c r="O75" s="337"/>
      <c r="P75" s="337"/>
      <c r="Q75" s="337"/>
      <c r="R75" s="337"/>
      <c r="S75" s="337"/>
      <c r="T75" s="337"/>
      <c r="U75" s="337"/>
      <c r="V75" s="337"/>
      <c r="W75" s="289"/>
      <c r="X75" s="5"/>
    </row>
    <row r="76" spans="1:24" ht="15.75" x14ac:dyDescent="0.25">
      <c r="A76" s="285"/>
      <c r="B76" s="286" t="s">
        <v>20</v>
      </c>
      <c r="C76" s="337"/>
      <c r="D76" s="337"/>
      <c r="E76" s="337"/>
      <c r="F76" s="337"/>
      <c r="G76" s="337"/>
      <c r="H76" s="337"/>
      <c r="I76" s="337"/>
      <c r="J76" s="337"/>
      <c r="K76" s="337"/>
      <c r="L76" s="337"/>
      <c r="M76" s="337"/>
      <c r="N76" s="337"/>
      <c r="O76" s="337"/>
      <c r="P76" s="337"/>
      <c r="Q76" s="337"/>
      <c r="R76" s="337"/>
      <c r="S76" s="337"/>
      <c r="T76" s="337"/>
      <c r="U76" s="337"/>
      <c r="V76" s="337"/>
      <c r="W76" s="289"/>
      <c r="X76" s="5"/>
    </row>
    <row r="77" spans="1:24" ht="15.75" x14ac:dyDescent="0.25">
      <c r="A77" s="285"/>
      <c r="B77" s="286"/>
      <c r="C77" s="337"/>
      <c r="D77" s="337"/>
      <c r="E77" s="337"/>
      <c r="F77" s="337"/>
      <c r="G77" s="337"/>
      <c r="H77" s="337"/>
      <c r="I77" s="337"/>
      <c r="J77" s="337"/>
      <c r="K77" s="337"/>
      <c r="L77" s="337"/>
      <c r="M77" s="337"/>
      <c r="N77" s="337"/>
      <c r="O77" s="337"/>
      <c r="P77" s="337"/>
      <c r="Q77" s="337"/>
      <c r="R77" s="337"/>
      <c r="S77" s="337"/>
      <c r="T77" s="337"/>
      <c r="U77" s="337"/>
      <c r="V77" s="337"/>
      <c r="W77" s="289"/>
      <c r="X77" s="5"/>
    </row>
    <row r="78" spans="1:24" ht="15.75" x14ac:dyDescent="0.25">
      <c r="A78" s="285"/>
      <c r="B78" s="286" t="s">
        <v>21</v>
      </c>
      <c r="C78" s="337"/>
      <c r="D78" s="337"/>
      <c r="E78" s="337"/>
      <c r="F78" s="337"/>
      <c r="G78" s="337"/>
      <c r="H78" s="337"/>
      <c r="I78" s="337"/>
      <c r="J78" s="337"/>
      <c r="K78" s="337"/>
      <c r="L78" s="337"/>
      <c r="M78" s="337"/>
      <c r="N78" s="337"/>
      <c r="O78" s="337"/>
      <c r="P78" s="337"/>
      <c r="Q78" s="337"/>
      <c r="R78" s="337"/>
      <c r="S78" s="337"/>
      <c r="T78" s="337"/>
      <c r="U78" s="337"/>
      <c r="V78" s="337"/>
      <c r="W78" s="289"/>
      <c r="X78" s="5"/>
    </row>
    <row r="79" spans="1:24" ht="15.75" x14ac:dyDescent="0.25">
      <c r="A79" s="285"/>
      <c r="B79" s="286"/>
      <c r="C79" s="337"/>
      <c r="D79" s="337"/>
      <c r="E79" s="337"/>
      <c r="F79" s="337"/>
      <c r="G79" s="337"/>
      <c r="H79" s="337"/>
      <c r="I79" s="337"/>
      <c r="J79" s="337"/>
      <c r="K79" s="337"/>
      <c r="L79" s="337"/>
      <c r="M79" s="337"/>
      <c r="N79" s="337"/>
      <c r="O79" s="337"/>
      <c r="P79" s="337"/>
      <c r="Q79" s="337"/>
      <c r="R79" s="337"/>
      <c r="S79" s="337"/>
      <c r="T79" s="337"/>
      <c r="U79" s="337"/>
      <c r="V79" s="337"/>
      <c r="W79" s="289"/>
      <c r="X79" s="5"/>
    </row>
    <row r="80" spans="1:24" ht="15.75" x14ac:dyDescent="0.25">
      <c r="A80" s="285"/>
      <c r="B80" s="286" t="s">
        <v>23</v>
      </c>
      <c r="C80" s="337"/>
      <c r="D80" s="337"/>
      <c r="E80" s="337"/>
      <c r="F80" s="337"/>
      <c r="G80" s="337"/>
      <c r="H80" s="337"/>
      <c r="I80" s="337"/>
      <c r="J80" s="337"/>
      <c r="K80" s="337"/>
      <c r="L80" s="337">
        <v>0</v>
      </c>
      <c r="M80" s="337"/>
      <c r="N80" s="337">
        <v>0</v>
      </c>
      <c r="O80" s="337"/>
      <c r="P80" s="337"/>
      <c r="Q80" s="337"/>
      <c r="R80" s="337"/>
      <c r="S80" s="337"/>
      <c r="T80" s="337"/>
      <c r="U80" s="337"/>
      <c r="V80" s="338">
        <v>0</v>
      </c>
      <c r="W80" s="289"/>
      <c r="X80" s="5"/>
    </row>
    <row r="81" spans="1:24" ht="15.75" x14ac:dyDescent="0.25">
      <c r="A81" s="285"/>
      <c r="B81" s="286" t="s">
        <v>117</v>
      </c>
      <c r="C81" s="337"/>
      <c r="D81" s="337"/>
      <c r="E81" s="337"/>
      <c r="F81" s="337"/>
      <c r="G81" s="337"/>
      <c r="H81" s="337"/>
      <c r="I81" s="337"/>
      <c r="J81" s="337"/>
      <c r="K81" s="337"/>
      <c r="L81" s="337">
        <v>188687</v>
      </c>
      <c r="M81" s="337"/>
      <c r="N81" s="337">
        <v>0</v>
      </c>
      <c r="O81" s="337"/>
      <c r="P81" s="337">
        <v>0</v>
      </c>
      <c r="Q81" s="337"/>
      <c r="R81" s="337"/>
      <c r="S81" s="337"/>
      <c r="T81" s="337"/>
      <c r="U81" s="337"/>
      <c r="V81" s="337">
        <f>SUM(N81:R81)</f>
        <v>0</v>
      </c>
      <c r="W81" s="289"/>
      <c r="X81" s="5"/>
    </row>
    <row r="82" spans="1:24" ht="15.75" x14ac:dyDescent="0.25">
      <c r="A82" s="285"/>
      <c r="B82" s="286"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89"/>
      <c r="X82" s="5"/>
    </row>
    <row r="83" spans="1:24" ht="15.75" x14ac:dyDescent="0.25">
      <c r="A83" s="285"/>
      <c r="B83" s="286" t="s">
        <v>25</v>
      </c>
      <c r="C83" s="337"/>
      <c r="D83" s="337"/>
      <c r="E83" s="337"/>
      <c r="F83" s="337"/>
      <c r="G83" s="337"/>
      <c r="H83" s="337"/>
      <c r="I83" s="337"/>
      <c r="J83" s="337"/>
      <c r="K83" s="337"/>
      <c r="L83" s="337">
        <v>0</v>
      </c>
      <c r="M83" s="337"/>
      <c r="N83" s="337">
        <v>0</v>
      </c>
      <c r="O83" s="337"/>
      <c r="P83" s="337"/>
      <c r="Q83" s="337"/>
      <c r="R83" s="337"/>
      <c r="S83" s="337"/>
      <c r="T83" s="337"/>
      <c r="U83" s="337"/>
      <c r="V83" s="337">
        <v>0</v>
      </c>
      <c r="W83" s="289"/>
      <c r="X83" s="5"/>
    </row>
    <row r="84" spans="1:24" ht="15.75" x14ac:dyDescent="0.25">
      <c r="A84" s="285"/>
      <c r="B84" s="286" t="s">
        <v>26</v>
      </c>
      <c r="C84" s="337"/>
      <c r="D84" s="337"/>
      <c r="E84" s="337"/>
      <c r="F84" s="337"/>
      <c r="G84" s="337"/>
      <c r="H84" s="337"/>
      <c r="I84" s="337"/>
      <c r="J84" s="337"/>
      <c r="K84" s="337"/>
      <c r="L84" s="337">
        <f>SUM(L71:L83)</f>
        <v>1001133</v>
      </c>
      <c r="M84" s="337"/>
      <c r="N84" s="337">
        <f>SUM(N71:N83)</f>
        <v>718948</v>
      </c>
      <c r="O84" s="337"/>
      <c r="P84" s="337"/>
      <c r="Q84" s="337"/>
      <c r="R84" s="337"/>
      <c r="S84" s="337"/>
      <c r="T84" s="337"/>
      <c r="U84" s="337"/>
      <c r="V84" s="337">
        <f>SUM(V71:V83)</f>
        <v>703690</v>
      </c>
      <c r="W84" s="289"/>
      <c r="X84" s="5"/>
    </row>
    <row r="85" spans="1:24" ht="15.75" x14ac:dyDescent="0.25">
      <c r="A85" s="181"/>
      <c r="B85" s="212"/>
      <c r="C85" s="335"/>
      <c r="D85" s="335"/>
      <c r="E85" s="335"/>
      <c r="F85" s="335"/>
      <c r="G85" s="335"/>
      <c r="H85" s="335"/>
      <c r="I85" s="335"/>
      <c r="J85" s="335"/>
      <c r="K85" s="335"/>
      <c r="L85" s="335"/>
      <c r="M85" s="335"/>
      <c r="N85" s="335"/>
      <c r="O85" s="335"/>
      <c r="P85" s="335"/>
      <c r="Q85" s="335"/>
      <c r="R85" s="335"/>
      <c r="S85" s="335"/>
      <c r="T85" s="335"/>
      <c r="U85" s="335"/>
      <c r="V85" s="336"/>
      <c r="W85" s="212"/>
      <c r="X85" s="5"/>
    </row>
    <row r="86" spans="1:24" ht="15.75" x14ac:dyDescent="0.25">
      <c r="A86" s="181"/>
      <c r="B86" s="183"/>
      <c r="C86" s="183"/>
      <c r="D86" s="183"/>
      <c r="E86" s="183"/>
      <c r="F86" s="183"/>
      <c r="G86" s="183"/>
      <c r="H86" s="183"/>
      <c r="I86" s="183"/>
      <c r="J86" s="183"/>
      <c r="K86" s="183"/>
      <c r="L86" s="183"/>
      <c r="M86" s="183"/>
      <c r="N86" s="183"/>
      <c r="O86" s="183"/>
      <c r="P86" s="183"/>
      <c r="Q86" s="183"/>
      <c r="R86" s="183"/>
      <c r="S86" s="183"/>
      <c r="T86" s="183"/>
      <c r="U86" s="183"/>
      <c r="V86" s="183"/>
      <c r="W86" s="183"/>
      <c r="X86" s="5"/>
    </row>
    <row r="87" spans="1:24" ht="15.75" x14ac:dyDescent="0.25">
      <c r="A87" s="224"/>
      <c r="B87" s="399" t="s">
        <v>27</v>
      </c>
      <c r="C87" s="399"/>
      <c r="D87" s="399"/>
      <c r="E87" s="399"/>
      <c r="F87" s="399"/>
      <c r="G87" s="399"/>
      <c r="H87" s="400"/>
      <c r="I87" s="400"/>
      <c r="J87" s="400"/>
      <c r="K87" s="400"/>
      <c r="L87" s="401" t="s">
        <v>95</v>
      </c>
      <c r="M87" s="400"/>
      <c r="N87" s="402">
        <f>+T202</f>
        <v>42521</v>
      </c>
      <c r="O87" s="400"/>
      <c r="P87" s="400"/>
      <c r="Q87" s="400"/>
      <c r="R87" s="400"/>
      <c r="S87" s="400"/>
      <c r="T87" s="400" t="s">
        <v>107</v>
      </c>
      <c r="U87" s="400"/>
      <c r="V87" s="400" t="s">
        <v>113</v>
      </c>
      <c r="W87" s="225"/>
      <c r="X87" s="5"/>
    </row>
    <row r="88" spans="1:24" ht="15.75" x14ac:dyDescent="0.25">
      <c r="A88" s="248"/>
      <c r="B88" s="250" t="s">
        <v>28</v>
      </c>
      <c r="C88" s="194"/>
      <c r="D88" s="194"/>
      <c r="E88" s="194"/>
      <c r="F88" s="194"/>
      <c r="G88" s="194"/>
      <c r="H88" s="194"/>
      <c r="I88" s="194"/>
      <c r="J88" s="194"/>
      <c r="K88" s="194"/>
      <c r="L88" s="194"/>
      <c r="M88" s="194"/>
      <c r="N88" s="194"/>
      <c r="O88" s="194"/>
      <c r="P88" s="194"/>
      <c r="Q88" s="194"/>
      <c r="R88" s="194"/>
      <c r="S88" s="194"/>
      <c r="T88" s="249">
        <v>0</v>
      </c>
      <c r="U88" s="250"/>
      <c r="V88" s="253">
        <v>0</v>
      </c>
      <c r="W88" s="194"/>
      <c r="X88" s="5"/>
    </row>
    <row r="89" spans="1:24" ht="15.75" x14ac:dyDescent="0.25">
      <c r="A89" s="295"/>
      <c r="B89" s="286" t="s">
        <v>29</v>
      </c>
      <c r="C89" s="314"/>
      <c r="D89" s="314"/>
      <c r="E89" s="314"/>
      <c r="F89" s="314"/>
      <c r="G89" s="314"/>
      <c r="H89" s="339"/>
      <c r="I89" s="339"/>
      <c r="J89" s="339"/>
      <c r="K89" s="340"/>
      <c r="L89" s="339"/>
      <c r="M89" s="314"/>
      <c r="N89" s="341"/>
      <c r="O89" s="314"/>
      <c r="P89" s="314"/>
      <c r="Q89" s="314"/>
      <c r="R89" s="314"/>
      <c r="S89" s="314"/>
      <c r="T89" s="337">
        <f>15358-11</f>
        <v>15347</v>
      </c>
      <c r="U89" s="286"/>
      <c r="V89" s="338"/>
      <c r="W89" s="318"/>
      <c r="X89" s="5"/>
    </row>
    <row r="90" spans="1:24" ht="15.75" x14ac:dyDescent="0.25">
      <c r="A90" s="295"/>
      <c r="B90" s="286" t="s">
        <v>215</v>
      </c>
      <c r="C90" s="314"/>
      <c r="D90" s="314"/>
      <c r="E90" s="314"/>
      <c r="F90" s="314"/>
      <c r="G90" s="314"/>
      <c r="H90" s="339"/>
      <c r="I90" s="339"/>
      <c r="J90" s="339"/>
      <c r="K90" s="340"/>
      <c r="L90" s="339"/>
      <c r="M90" s="314"/>
      <c r="N90" s="341"/>
      <c r="O90" s="314"/>
      <c r="P90" s="314"/>
      <c r="Q90" s="314"/>
      <c r="R90" s="314"/>
      <c r="S90" s="314"/>
      <c r="T90" s="337"/>
      <c r="U90" s="286"/>
      <c r="V90" s="338">
        <f>3479+2764-963-740</f>
        <v>4540</v>
      </c>
      <c r="W90" s="318"/>
      <c r="X90" s="5"/>
    </row>
    <row r="91" spans="1:24" ht="15.75" x14ac:dyDescent="0.25">
      <c r="A91" s="295"/>
      <c r="B91" s="286" t="s">
        <v>210</v>
      </c>
      <c r="C91" s="314"/>
      <c r="D91" s="314"/>
      <c r="E91" s="314"/>
      <c r="F91" s="314"/>
      <c r="G91" s="314"/>
      <c r="H91" s="339"/>
      <c r="I91" s="339"/>
      <c r="J91" s="339"/>
      <c r="K91" s="340"/>
      <c r="L91" s="339"/>
      <c r="M91" s="314"/>
      <c r="N91" s="341"/>
      <c r="O91" s="314"/>
      <c r="P91" s="314"/>
      <c r="Q91" s="314"/>
      <c r="R91" s="314"/>
      <c r="S91" s="314"/>
      <c r="T91" s="337"/>
      <c r="U91" s="286"/>
      <c r="V91" s="338">
        <f>58+50</f>
        <v>108</v>
      </c>
      <c r="W91" s="318"/>
      <c r="X91" s="5"/>
    </row>
    <row r="92" spans="1:24" ht="15.75" x14ac:dyDescent="0.25">
      <c r="A92" s="295"/>
      <c r="B92" s="286" t="s">
        <v>211</v>
      </c>
      <c r="C92" s="314"/>
      <c r="D92" s="314"/>
      <c r="E92" s="314"/>
      <c r="F92" s="314"/>
      <c r="G92" s="314"/>
      <c r="H92" s="339"/>
      <c r="I92" s="339"/>
      <c r="J92" s="339"/>
      <c r="K92" s="340"/>
      <c r="L92" s="339"/>
      <c r="M92" s="314"/>
      <c r="N92" s="341"/>
      <c r="O92" s="314"/>
      <c r="P92" s="314"/>
      <c r="Q92" s="314"/>
      <c r="R92" s="314"/>
      <c r="S92" s="314"/>
      <c r="T92" s="337"/>
      <c r="U92" s="286"/>
      <c r="V92" s="338">
        <v>38</v>
      </c>
      <c r="W92" s="318"/>
      <c r="X92" s="5"/>
    </row>
    <row r="93" spans="1:24" ht="15.75" x14ac:dyDescent="0.25">
      <c r="A93" s="295"/>
      <c r="B93" s="286" t="s">
        <v>233</v>
      </c>
      <c r="C93" s="314"/>
      <c r="D93" s="314"/>
      <c r="E93" s="314"/>
      <c r="F93" s="314"/>
      <c r="G93" s="314"/>
      <c r="H93" s="339"/>
      <c r="I93" s="339"/>
      <c r="J93" s="339"/>
      <c r="K93" s="340"/>
      <c r="L93" s="339"/>
      <c r="M93" s="314"/>
      <c r="N93" s="341"/>
      <c r="O93" s="314"/>
      <c r="P93" s="314"/>
      <c r="Q93" s="314"/>
      <c r="R93" s="314"/>
      <c r="S93" s="314"/>
      <c r="T93" s="337"/>
      <c r="U93" s="286"/>
      <c r="V93" s="338">
        <v>0</v>
      </c>
      <c r="W93" s="318"/>
      <c r="X93" s="5"/>
    </row>
    <row r="94" spans="1:24" ht="15.75" x14ac:dyDescent="0.25">
      <c r="A94" s="295"/>
      <c r="B94" s="286" t="s">
        <v>235</v>
      </c>
      <c r="C94" s="314"/>
      <c r="D94" s="314"/>
      <c r="E94" s="314"/>
      <c r="F94" s="314"/>
      <c r="G94" s="314"/>
      <c r="H94" s="339"/>
      <c r="I94" s="339"/>
      <c r="J94" s="339"/>
      <c r="K94" s="340"/>
      <c r="L94" s="339"/>
      <c r="M94" s="314"/>
      <c r="N94" s="341"/>
      <c r="O94" s="314"/>
      <c r="P94" s="314"/>
      <c r="Q94" s="314"/>
      <c r="R94" s="314"/>
      <c r="S94" s="314"/>
      <c r="T94" s="337"/>
      <c r="U94" s="286"/>
      <c r="V94" s="338">
        <v>0</v>
      </c>
      <c r="W94" s="318"/>
      <c r="X94" s="5"/>
    </row>
    <row r="95" spans="1:24" ht="15.75" x14ac:dyDescent="0.25">
      <c r="A95" s="295"/>
      <c r="B95" s="286" t="s">
        <v>135</v>
      </c>
      <c r="C95" s="314"/>
      <c r="D95" s="314"/>
      <c r="E95" s="314"/>
      <c r="F95" s="314"/>
      <c r="G95" s="314"/>
      <c r="H95" s="314"/>
      <c r="I95" s="314"/>
      <c r="J95" s="314"/>
      <c r="K95" s="314"/>
      <c r="L95" s="314"/>
      <c r="M95" s="314"/>
      <c r="N95" s="314"/>
      <c r="O95" s="314"/>
      <c r="P95" s="314"/>
      <c r="Q95" s="314"/>
      <c r="R95" s="314"/>
      <c r="S95" s="314"/>
      <c r="T95" s="337"/>
      <c r="U95" s="286"/>
      <c r="V95" s="338">
        <v>0</v>
      </c>
      <c r="W95" s="318"/>
      <c r="X95" s="5"/>
    </row>
    <row r="96" spans="1:24" ht="15.75" x14ac:dyDescent="0.25">
      <c r="A96" s="295"/>
      <c r="B96" s="286" t="s">
        <v>272</v>
      </c>
      <c r="C96" s="314"/>
      <c r="D96" s="314"/>
      <c r="E96" s="314"/>
      <c r="F96" s="314"/>
      <c r="G96" s="314"/>
      <c r="H96" s="314"/>
      <c r="I96" s="314"/>
      <c r="J96" s="314"/>
      <c r="K96" s="314"/>
      <c r="L96" s="314"/>
      <c r="M96" s="314"/>
      <c r="N96" s="314"/>
      <c r="O96" s="314"/>
      <c r="P96" s="314"/>
      <c r="Q96" s="314"/>
      <c r="R96" s="314"/>
      <c r="S96" s="314"/>
      <c r="T96" s="337"/>
      <c r="U96" s="286"/>
      <c r="V96" s="338">
        <v>0</v>
      </c>
      <c r="W96" s="318"/>
      <c r="X96" s="5"/>
    </row>
    <row r="97" spans="1:25" ht="15.75" x14ac:dyDescent="0.25">
      <c r="A97" s="295"/>
      <c r="B97" s="286" t="s">
        <v>30</v>
      </c>
      <c r="C97" s="314"/>
      <c r="D97" s="314"/>
      <c r="E97" s="314"/>
      <c r="F97" s="314"/>
      <c r="G97" s="314"/>
      <c r="H97" s="314"/>
      <c r="I97" s="314"/>
      <c r="J97" s="314"/>
      <c r="K97" s="314"/>
      <c r="L97" s="314"/>
      <c r="M97" s="314"/>
      <c r="N97" s="314"/>
      <c r="O97" s="314"/>
      <c r="P97" s="314"/>
      <c r="Q97" s="314"/>
      <c r="R97" s="314"/>
      <c r="S97" s="314"/>
      <c r="T97" s="337">
        <f>SUM(T88:T96)</f>
        <v>15347</v>
      </c>
      <c r="U97" s="286"/>
      <c r="V97" s="337">
        <f>SUM(V88:V96)</f>
        <v>4686</v>
      </c>
      <c r="W97" s="318"/>
      <c r="X97" s="5"/>
    </row>
    <row r="98" spans="1:25" ht="15.75" x14ac:dyDescent="0.25">
      <c r="A98" s="295"/>
      <c r="B98" s="286" t="s">
        <v>161</v>
      </c>
      <c r="C98" s="314"/>
      <c r="D98" s="314"/>
      <c r="E98" s="314"/>
      <c r="F98" s="314"/>
      <c r="G98" s="314"/>
      <c r="H98" s="314"/>
      <c r="I98" s="314"/>
      <c r="J98" s="314"/>
      <c r="K98" s="314"/>
      <c r="L98" s="314"/>
      <c r="M98" s="314"/>
      <c r="N98" s="314"/>
      <c r="O98" s="314"/>
      <c r="P98" s="314"/>
      <c r="Q98" s="314"/>
      <c r="R98" s="314"/>
      <c r="S98" s="314"/>
      <c r="T98" s="337">
        <f>-V98</f>
        <v>0</v>
      </c>
      <c r="U98" s="286"/>
      <c r="V98" s="337">
        <v>0</v>
      </c>
      <c r="W98" s="318"/>
      <c r="X98" s="5"/>
    </row>
    <row r="99" spans="1:25" ht="15.75" x14ac:dyDescent="0.25">
      <c r="A99" s="295"/>
      <c r="B99" s="286" t="s">
        <v>31</v>
      </c>
      <c r="C99" s="314"/>
      <c r="D99" s="314"/>
      <c r="E99" s="314"/>
      <c r="F99" s="314"/>
      <c r="G99" s="314"/>
      <c r="H99" s="314"/>
      <c r="I99" s="314"/>
      <c r="J99" s="314"/>
      <c r="K99" s="314"/>
      <c r="L99" s="314"/>
      <c r="M99" s="314"/>
      <c r="N99" s="314"/>
      <c r="O99" s="314"/>
      <c r="P99" s="314"/>
      <c r="Q99" s="314"/>
      <c r="R99" s="314"/>
      <c r="S99" s="314"/>
      <c r="T99" s="337">
        <f>-V99</f>
        <v>0</v>
      </c>
      <c r="U99" s="286"/>
      <c r="V99" s="338">
        <v>0</v>
      </c>
      <c r="W99" s="318"/>
      <c r="X99" s="5"/>
    </row>
    <row r="100" spans="1:25" ht="15.75" x14ac:dyDescent="0.25">
      <c r="A100" s="295"/>
      <c r="B100" s="286" t="s">
        <v>274</v>
      </c>
      <c r="C100" s="314"/>
      <c r="D100" s="314"/>
      <c r="E100" s="314"/>
      <c r="F100" s="314"/>
      <c r="G100" s="314"/>
      <c r="H100" s="314"/>
      <c r="I100" s="314"/>
      <c r="J100" s="314"/>
      <c r="K100" s="314"/>
      <c r="L100" s="314"/>
      <c r="M100" s="314"/>
      <c r="N100" s="314"/>
      <c r="O100" s="314"/>
      <c r="P100" s="314"/>
      <c r="Q100" s="314"/>
      <c r="R100" s="314"/>
      <c r="S100" s="314"/>
      <c r="T100" s="337"/>
      <c r="U100" s="286"/>
      <c r="V100" s="338">
        <v>-33</v>
      </c>
      <c r="W100" s="318"/>
      <c r="X100" s="5"/>
    </row>
    <row r="101" spans="1:25" ht="15.75" x14ac:dyDescent="0.25">
      <c r="A101" s="295"/>
      <c r="B101" s="286" t="s">
        <v>32</v>
      </c>
      <c r="C101" s="314"/>
      <c r="D101" s="314"/>
      <c r="E101" s="314"/>
      <c r="F101" s="314"/>
      <c r="G101" s="314"/>
      <c r="H101" s="314"/>
      <c r="I101" s="314"/>
      <c r="J101" s="314"/>
      <c r="K101" s="314"/>
      <c r="L101" s="314"/>
      <c r="M101" s="314"/>
      <c r="N101" s="314"/>
      <c r="O101" s="314"/>
      <c r="P101" s="314"/>
      <c r="Q101" s="314"/>
      <c r="R101" s="314"/>
      <c r="S101" s="314"/>
      <c r="T101" s="337">
        <f>T97+T99+T98</f>
        <v>15347</v>
      </c>
      <c r="U101" s="286"/>
      <c r="V101" s="337">
        <f>V97+V99+V98+V100</f>
        <v>4653</v>
      </c>
      <c r="W101" s="318"/>
      <c r="X101" s="5"/>
    </row>
    <row r="102" spans="1:25" ht="15.75" x14ac:dyDescent="0.25">
      <c r="A102" s="285"/>
      <c r="B102" s="342" t="s">
        <v>33</v>
      </c>
      <c r="C102" s="314"/>
      <c r="D102" s="314"/>
      <c r="E102" s="314"/>
      <c r="F102" s="314"/>
      <c r="G102" s="314"/>
      <c r="H102" s="314"/>
      <c r="I102" s="314"/>
      <c r="J102" s="314"/>
      <c r="K102" s="314"/>
      <c r="L102" s="314"/>
      <c r="M102" s="314"/>
      <c r="N102" s="314"/>
      <c r="O102" s="314"/>
      <c r="P102" s="314"/>
      <c r="Q102" s="314"/>
      <c r="R102" s="314"/>
      <c r="S102" s="314"/>
      <c r="T102" s="337"/>
      <c r="U102" s="286"/>
      <c r="V102" s="338"/>
      <c r="W102" s="318"/>
      <c r="X102" s="5"/>
    </row>
    <row r="103" spans="1:25" ht="15.75" x14ac:dyDescent="0.25">
      <c r="A103" s="295">
        <v>1</v>
      </c>
      <c r="B103" s="286" t="s">
        <v>34</v>
      </c>
      <c r="C103" s="286"/>
      <c r="D103" s="286"/>
      <c r="E103" s="314"/>
      <c r="F103" s="314"/>
      <c r="G103" s="314"/>
      <c r="H103" s="314"/>
      <c r="I103" s="314"/>
      <c r="J103" s="314"/>
      <c r="K103" s="314"/>
      <c r="L103" s="314"/>
      <c r="M103" s="314"/>
      <c r="N103" s="314"/>
      <c r="O103" s="314"/>
      <c r="P103" s="314"/>
      <c r="Q103" s="314"/>
      <c r="R103" s="314"/>
      <c r="S103" s="314"/>
      <c r="T103" s="286"/>
      <c r="U103" s="286"/>
      <c r="V103" s="338">
        <v>0</v>
      </c>
      <c r="W103" s="318"/>
      <c r="X103" s="5"/>
    </row>
    <row r="104" spans="1:25" ht="15.75" x14ac:dyDescent="0.25">
      <c r="A104" s="295">
        <f>+A103+1</f>
        <v>2</v>
      </c>
      <c r="B104" s="286" t="s">
        <v>314</v>
      </c>
      <c r="C104" s="286"/>
      <c r="D104" s="286"/>
      <c r="E104" s="314"/>
      <c r="F104" s="314"/>
      <c r="G104" s="314"/>
      <c r="H104" s="314"/>
      <c r="I104" s="314"/>
      <c r="J104" s="314"/>
      <c r="K104" s="314"/>
      <c r="L104" s="314"/>
      <c r="M104" s="314"/>
      <c r="N104" s="314"/>
      <c r="O104" s="314"/>
      <c r="P104" s="314"/>
      <c r="Q104" s="314"/>
      <c r="R104" s="314"/>
      <c r="S104" s="314"/>
      <c r="T104" s="286"/>
      <c r="U104" s="286"/>
      <c r="V104" s="338">
        <v>-2</v>
      </c>
      <c r="W104" s="318"/>
      <c r="X104" s="5"/>
    </row>
    <row r="105" spans="1:25" ht="15.75" x14ac:dyDescent="0.25">
      <c r="A105" s="295">
        <f>+A104+1</f>
        <v>3</v>
      </c>
      <c r="B105" s="412" t="s">
        <v>316</v>
      </c>
      <c r="C105" s="286"/>
      <c r="D105" s="286"/>
      <c r="E105" s="314"/>
      <c r="F105" s="314"/>
      <c r="G105" s="314"/>
      <c r="H105" s="314"/>
      <c r="I105" s="314"/>
      <c r="J105" s="314"/>
      <c r="K105" s="314"/>
      <c r="L105" s="314"/>
      <c r="M105" s="314"/>
      <c r="N105" s="314"/>
      <c r="O105" s="314"/>
      <c r="P105" s="314"/>
      <c r="Q105" s="314"/>
      <c r="R105" s="314"/>
      <c r="S105" s="314"/>
      <c r="T105" s="286"/>
      <c r="U105" s="286"/>
      <c r="V105" s="338">
        <f>-276-133-9</f>
        <v>-418</v>
      </c>
      <c r="W105" s="318"/>
      <c r="X105" s="5"/>
    </row>
    <row r="106" spans="1:25" ht="15.75" x14ac:dyDescent="0.25">
      <c r="A106" s="295" t="s">
        <v>127</v>
      </c>
      <c r="B106" s="286" t="s">
        <v>116</v>
      </c>
      <c r="C106" s="286"/>
      <c r="D106" s="286"/>
      <c r="E106" s="314"/>
      <c r="F106" s="314"/>
      <c r="G106" s="314"/>
      <c r="H106" s="314"/>
      <c r="I106" s="314"/>
      <c r="J106" s="314"/>
      <c r="K106" s="314"/>
      <c r="L106" s="314"/>
      <c r="M106" s="314"/>
      <c r="N106" s="314"/>
      <c r="O106" s="314"/>
      <c r="P106" s="314"/>
      <c r="Q106" s="314"/>
      <c r="R106" s="314"/>
      <c r="S106" s="314"/>
      <c r="T106" s="286"/>
      <c r="U106" s="286"/>
      <c r="V106" s="338">
        <v>0</v>
      </c>
      <c r="W106" s="318"/>
      <c r="X106" s="5"/>
    </row>
    <row r="107" spans="1:25" ht="15.75" x14ac:dyDescent="0.25">
      <c r="A107" s="295" t="s">
        <v>128</v>
      </c>
      <c r="B107" s="286" t="s">
        <v>220</v>
      </c>
      <c r="C107" s="286"/>
      <c r="D107" s="286"/>
      <c r="E107" s="314"/>
      <c r="F107" s="314"/>
      <c r="G107" s="314"/>
      <c r="H107" s="314"/>
      <c r="I107" s="314"/>
      <c r="J107" s="314"/>
      <c r="K107" s="314"/>
      <c r="L107" s="314"/>
      <c r="M107" s="314"/>
      <c r="N107" s="314"/>
      <c r="O107" s="314"/>
      <c r="P107" s="314"/>
      <c r="Q107" s="314"/>
      <c r="R107" s="314"/>
      <c r="S107" s="314"/>
      <c r="T107" s="286"/>
      <c r="U107" s="286"/>
      <c r="V107" s="338">
        <f>-1174+300</f>
        <v>-874</v>
      </c>
      <c r="W107" s="318"/>
      <c r="X107" s="5"/>
      <c r="Y107" s="109"/>
    </row>
    <row r="108" spans="1:25" ht="15.75" x14ac:dyDescent="0.25">
      <c r="A108" s="295" t="s">
        <v>150</v>
      </c>
      <c r="B108" s="286" t="s">
        <v>184</v>
      </c>
      <c r="C108" s="286"/>
      <c r="D108" s="286"/>
      <c r="E108" s="314"/>
      <c r="F108" s="314"/>
      <c r="G108" s="314"/>
      <c r="H108" s="314"/>
      <c r="I108" s="314"/>
      <c r="J108" s="314"/>
      <c r="K108" s="314"/>
      <c r="L108" s="314"/>
      <c r="M108" s="314"/>
      <c r="N108" s="314"/>
      <c r="O108" s="314"/>
      <c r="P108" s="314"/>
      <c r="Q108" s="314"/>
      <c r="R108" s="314"/>
      <c r="S108" s="314"/>
      <c r="T108" s="286"/>
      <c r="U108" s="286"/>
      <c r="V108" s="338">
        <v>-300</v>
      </c>
      <c r="W108" s="318"/>
      <c r="X108" s="5"/>
      <c r="Y108" s="109"/>
    </row>
    <row r="109" spans="1:25" ht="15.75" x14ac:dyDescent="0.25">
      <c r="A109" s="295" t="s">
        <v>205</v>
      </c>
      <c r="B109" s="286" t="s">
        <v>185</v>
      </c>
      <c r="C109" s="286"/>
      <c r="D109" s="286"/>
      <c r="E109" s="314"/>
      <c r="F109" s="314"/>
      <c r="G109" s="314"/>
      <c r="H109" s="314"/>
      <c r="I109" s="314"/>
      <c r="J109" s="314"/>
      <c r="K109" s="314"/>
      <c r="L109" s="314"/>
      <c r="M109" s="314"/>
      <c r="N109" s="314"/>
      <c r="O109" s="314"/>
      <c r="P109" s="314"/>
      <c r="Q109" s="314"/>
      <c r="R109" s="314"/>
      <c r="S109" s="314"/>
      <c r="T109" s="286"/>
      <c r="U109" s="286"/>
      <c r="V109" s="338">
        <v>-176</v>
      </c>
      <c r="W109" s="318"/>
      <c r="X109" s="5"/>
      <c r="Y109" s="109"/>
    </row>
    <row r="110" spans="1:25" ht="15.75" x14ac:dyDescent="0.25">
      <c r="A110" s="295" t="s">
        <v>206</v>
      </c>
      <c r="B110" s="286" t="s">
        <v>186</v>
      </c>
      <c r="C110" s="286"/>
      <c r="D110" s="286"/>
      <c r="E110" s="314"/>
      <c r="F110" s="314"/>
      <c r="G110" s="314"/>
      <c r="H110" s="314"/>
      <c r="I110" s="314"/>
      <c r="J110" s="314"/>
      <c r="K110" s="314"/>
      <c r="L110" s="314"/>
      <c r="M110" s="314"/>
      <c r="N110" s="314"/>
      <c r="O110" s="314"/>
      <c r="P110" s="314"/>
      <c r="Q110" s="314"/>
      <c r="R110" s="314"/>
      <c r="S110" s="314"/>
      <c r="T110" s="286"/>
      <c r="U110" s="286"/>
      <c r="V110" s="338">
        <v>-49</v>
      </c>
      <c r="W110" s="318"/>
      <c r="X110" s="5"/>
      <c r="Y110" s="109"/>
    </row>
    <row r="111" spans="1:25" ht="15.75" x14ac:dyDescent="0.25">
      <c r="A111" s="295">
        <v>6</v>
      </c>
      <c r="B111" s="286" t="s">
        <v>196</v>
      </c>
      <c r="C111" s="286"/>
      <c r="D111" s="286"/>
      <c r="E111" s="314"/>
      <c r="F111" s="314"/>
      <c r="G111" s="314"/>
      <c r="H111" s="314"/>
      <c r="I111" s="314"/>
      <c r="J111" s="314"/>
      <c r="K111" s="314"/>
      <c r="L111" s="314"/>
      <c r="M111" s="314"/>
      <c r="N111" s="314"/>
      <c r="O111" s="314"/>
      <c r="P111" s="314"/>
      <c r="Q111" s="314"/>
      <c r="R111" s="314"/>
      <c r="S111" s="314"/>
      <c r="T111" s="286"/>
      <c r="U111" s="286"/>
      <c r="V111" s="338">
        <v>-344</v>
      </c>
      <c r="W111" s="318"/>
      <c r="X111" s="5"/>
      <c r="Y111" s="109"/>
    </row>
    <row r="112" spans="1:25" ht="15.75" x14ac:dyDescent="0.25">
      <c r="A112" s="295">
        <v>7</v>
      </c>
      <c r="B112" s="412" t="s">
        <v>315</v>
      </c>
      <c r="C112" s="286"/>
      <c r="D112" s="286"/>
      <c r="E112" s="314"/>
      <c r="F112" s="314"/>
      <c r="G112" s="314"/>
      <c r="H112" s="314"/>
      <c r="I112" s="314"/>
      <c r="J112" s="314"/>
      <c r="K112" s="314"/>
      <c r="L112" s="314"/>
      <c r="M112" s="314"/>
      <c r="N112" s="314"/>
      <c r="O112" s="314"/>
      <c r="P112" s="314"/>
      <c r="Q112" s="314"/>
      <c r="R112" s="314"/>
      <c r="S112" s="314"/>
      <c r="T112" s="286"/>
      <c r="U112" s="286"/>
      <c r="V112" s="338">
        <v>0</v>
      </c>
      <c r="W112" s="318"/>
      <c r="X112" s="5"/>
      <c r="Y112" s="109"/>
    </row>
    <row r="113" spans="1:24" ht="15.75" x14ac:dyDescent="0.25">
      <c r="A113" s="295">
        <v>8</v>
      </c>
      <c r="B113" s="286" t="s">
        <v>35</v>
      </c>
      <c r="C113" s="286"/>
      <c r="D113" s="286"/>
      <c r="E113" s="314"/>
      <c r="F113" s="314"/>
      <c r="G113" s="314"/>
      <c r="H113" s="314"/>
      <c r="I113" s="314"/>
      <c r="J113" s="314"/>
      <c r="K113" s="314"/>
      <c r="L113" s="314"/>
      <c r="M113" s="314"/>
      <c r="N113" s="314"/>
      <c r="O113" s="314"/>
      <c r="P113" s="314"/>
      <c r="Q113" s="314"/>
      <c r="R113" s="314"/>
      <c r="S113" s="314"/>
      <c r="T113" s="286"/>
      <c r="U113" s="286"/>
      <c r="V113" s="338">
        <v>-9</v>
      </c>
      <c r="W113" s="318"/>
      <c r="X113" s="5"/>
    </row>
    <row r="114" spans="1:24" ht="15.75" x14ac:dyDescent="0.25">
      <c r="A114" s="295">
        <f t="shared" ref="A114:A119" si="0">+A113+1</f>
        <v>9</v>
      </c>
      <c r="B114" s="286" t="s">
        <v>45</v>
      </c>
      <c r="C114" s="286"/>
      <c r="D114" s="286"/>
      <c r="E114" s="314"/>
      <c r="F114" s="314"/>
      <c r="G114" s="314"/>
      <c r="H114" s="314"/>
      <c r="I114" s="314"/>
      <c r="J114" s="314"/>
      <c r="K114" s="314"/>
      <c r="L114" s="314"/>
      <c r="M114" s="314"/>
      <c r="N114" s="314"/>
      <c r="O114" s="314"/>
      <c r="P114" s="314"/>
      <c r="Q114" s="314"/>
      <c r="R114" s="314"/>
      <c r="S114" s="314"/>
      <c r="T114" s="337">
        <f>-V114</f>
        <v>11</v>
      </c>
      <c r="U114" s="286"/>
      <c r="V114" s="338">
        <v>-11</v>
      </c>
      <c r="W114" s="318"/>
      <c r="X114" s="5"/>
    </row>
    <row r="115" spans="1:24" ht="15.75" x14ac:dyDescent="0.25">
      <c r="A115" s="295">
        <f t="shared" si="0"/>
        <v>10</v>
      </c>
      <c r="B115" s="286" t="s">
        <v>125</v>
      </c>
      <c r="C115" s="286"/>
      <c r="D115" s="286"/>
      <c r="E115" s="314"/>
      <c r="F115" s="314"/>
      <c r="G115" s="314"/>
      <c r="H115" s="314"/>
      <c r="I115" s="314"/>
      <c r="J115" s="314"/>
      <c r="K115" s="314"/>
      <c r="L115" s="314"/>
      <c r="M115" s="314"/>
      <c r="N115" s="314"/>
      <c r="O115" s="314"/>
      <c r="P115" s="314"/>
      <c r="Q115" s="314"/>
      <c r="R115" s="314"/>
      <c r="S115" s="314"/>
      <c r="T115" s="286"/>
      <c r="U115" s="286"/>
      <c r="V115" s="338">
        <v>0</v>
      </c>
      <c r="W115" s="318"/>
      <c r="X115" s="5"/>
    </row>
    <row r="116" spans="1:24" ht="15.75" x14ac:dyDescent="0.25">
      <c r="A116" s="295">
        <f t="shared" si="0"/>
        <v>11</v>
      </c>
      <c r="B116" s="286" t="s">
        <v>225</v>
      </c>
      <c r="C116" s="286"/>
      <c r="D116" s="286"/>
      <c r="E116" s="314"/>
      <c r="F116" s="314"/>
      <c r="G116" s="314"/>
      <c r="H116" s="314"/>
      <c r="I116" s="314"/>
      <c r="J116" s="314"/>
      <c r="K116" s="314"/>
      <c r="L116" s="314"/>
      <c r="M116" s="314"/>
      <c r="N116" s="314"/>
      <c r="O116" s="314"/>
      <c r="P116" s="314"/>
      <c r="Q116" s="314"/>
      <c r="R116" s="314"/>
      <c r="S116" s="314"/>
      <c r="T116" s="286"/>
      <c r="U116" s="286"/>
      <c r="V116" s="338">
        <v>0</v>
      </c>
      <c r="W116" s="318"/>
      <c r="X116" s="5"/>
    </row>
    <row r="117" spans="1:24" ht="15.75" x14ac:dyDescent="0.25">
      <c r="A117" s="295">
        <f t="shared" si="0"/>
        <v>12</v>
      </c>
      <c r="B117" s="286" t="s">
        <v>36</v>
      </c>
      <c r="C117" s="286"/>
      <c r="D117" s="286"/>
      <c r="E117" s="314"/>
      <c r="F117" s="314"/>
      <c r="G117" s="314"/>
      <c r="H117" s="314"/>
      <c r="I117" s="314"/>
      <c r="J117" s="314"/>
      <c r="K117" s="314"/>
      <c r="L117" s="314"/>
      <c r="M117" s="314"/>
      <c r="N117" s="314"/>
      <c r="O117" s="314"/>
      <c r="P117" s="314"/>
      <c r="Q117" s="314"/>
      <c r="R117" s="314"/>
      <c r="S117" s="314"/>
      <c r="T117" s="286"/>
      <c r="U117" s="286"/>
      <c r="V117" s="338">
        <v>0</v>
      </c>
      <c r="W117" s="318"/>
      <c r="X117" s="5"/>
    </row>
    <row r="118" spans="1:24" ht="15.75" x14ac:dyDescent="0.25">
      <c r="A118" s="295">
        <f t="shared" si="0"/>
        <v>13</v>
      </c>
      <c r="B118" s="286" t="s">
        <v>149</v>
      </c>
      <c r="C118" s="286"/>
      <c r="D118" s="286"/>
      <c r="E118" s="314"/>
      <c r="F118" s="314"/>
      <c r="G118" s="314"/>
      <c r="H118" s="314"/>
      <c r="I118" s="314"/>
      <c r="J118" s="314"/>
      <c r="K118" s="314"/>
      <c r="L118" s="314"/>
      <c r="M118" s="314"/>
      <c r="N118" s="314"/>
      <c r="O118" s="314"/>
      <c r="P118" s="314"/>
      <c r="Q118" s="314"/>
      <c r="R118" s="314"/>
      <c r="S118" s="314"/>
      <c r="T118" s="286"/>
      <c r="U118" s="286"/>
      <c r="V118" s="338">
        <v>-275</v>
      </c>
      <c r="W118" s="318"/>
      <c r="X118" s="5"/>
    </row>
    <row r="119" spans="1:24" ht="15.75" x14ac:dyDescent="0.25">
      <c r="A119" s="295">
        <f t="shared" si="0"/>
        <v>14</v>
      </c>
      <c r="B119" s="286" t="s">
        <v>126</v>
      </c>
      <c r="C119" s="286"/>
      <c r="D119" s="286"/>
      <c r="E119" s="314"/>
      <c r="F119" s="314"/>
      <c r="G119" s="314"/>
      <c r="H119" s="314"/>
      <c r="I119" s="314"/>
      <c r="J119" s="314"/>
      <c r="K119" s="314"/>
      <c r="L119" s="314"/>
      <c r="M119" s="314"/>
      <c r="N119" s="314"/>
      <c r="O119" s="314"/>
      <c r="P119" s="314"/>
      <c r="Q119" s="314"/>
      <c r="R119" s="314"/>
      <c r="S119" s="314"/>
      <c r="T119" s="286"/>
      <c r="U119" s="286"/>
      <c r="V119" s="338">
        <f>-V101-SUM(V103:V118)</f>
        <v>-2195</v>
      </c>
      <c r="W119" s="318"/>
      <c r="X119" s="5"/>
    </row>
    <row r="120" spans="1:24" ht="15.75" x14ac:dyDescent="0.25">
      <c r="A120" s="285"/>
      <c r="B120" s="342" t="s">
        <v>37</v>
      </c>
      <c r="C120" s="314"/>
      <c r="D120" s="314"/>
      <c r="E120" s="314"/>
      <c r="F120" s="314"/>
      <c r="G120" s="314"/>
      <c r="H120" s="314"/>
      <c r="I120" s="314"/>
      <c r="J120" s="314"/>
      <c r="K120" s="314"/>
      <c r="L120" s="314"/>
      <c r="M120" s="314"/>
      <c r="N120" s="314"/>
      <c r="O120" s="314"/>
      <c r="P120" s="314"/>
      <c r="Q120" s="314"/>
      <c r="R120" s="314"/>
      <c r="S120" s="314"/>
      <c r="T120" s="286"/>
      <c r="U120" s="286"/>
      <c r="V120" s="343"/>
      <c r="W120" s="318"/>
      <c r="X120" s="5"/>
    </row>
    <row r="121" spans="1:24" ht="15.75" x14ac:dyDescent="0.25">
      <c r="A121" s="285"/>
      <c r="B121" s="286" t="s">
        <v>173</v>
      </c>
      <c r="C121" s="314"/>
      <c r="D121" s="314"/>
      <c r="E121" s="314"/>
      <c r="F121" s="314"/>
      <c r="G121" s="314"/>
      <c r="H121" s="314"/>
      <c r="I121" s="314"/>
      <c r="J121" s="314"/>
      <c r="K121" s="314"/>
      <c r="L121" s="314"/>
      <c r="M121" s="314"/>
      <c r="N121" s="314"/>
      <c r="O121" s="314"/>
      <c r="P121" s="314"/>
      <c r="Q121" s="314"/>
      <c r="R121" s="314"/>
      <c r="S121" s="314"/>
      <c r="T121" s="337">
        <f>-T186</f>
        <v>0</v>
      </c>
      <c r="U121" s="337"/>
      <c r="V121" s="338"/>
      <c r="W121" s="318"/>
      <c r="X121" s="5"/>
    </row>
    <row r="122" spans="1:24" ht="15.75" x14ac:dyDescent="0.25">
      <c r="A122" s="285"/>
      <c r="B122" s="286" t="s">
        <v>174</v>
      </c>
      <c r="C122" s="314"/>
      <c r="D122" s="314"/>
      <c r="E122" s="314"/>
      <c r="F122" s="314"/>
      <c r="G122" s="314"/>
      <c r="H122" s="314"/>
      <c r="I122" s="314"/>
      <c r="J122" s="314"/>
      <c r="K122" s="314"/>
      <c r="L122" s="314"/>
      <c r="M122" s="314"/>
      <c r="N122" s="314"/>
      <c r="O122" s="314"/>
      <c r="P122" s="314"/>
      <c r="Q122" s="314"/>
      <c r="R122" s="314"/>
      <c r="S122" s="314"/>
      <c r="T122" s="337">
        <v>0</v>
      </c>
      <c r="U122" s="337"/>
      <c r="V122" s="338"/>
      <c r="W122" s="318"/>
      <c r="X122" s="5"/>
    </row>
    <row r="123" spans="1:24" ht="15.75" x14ac:dyDescent="0.25">
      <c r="A123" s="285"/>
      <c r="B123" s="286" t="s">
        <v>38</v>
      </c>
      <c r="C123" s="314"/>
      <c r="D123" s="314"/>
      <c r="E123" s="314"/>
      <c r="F123" s="314"/>
      <c r="G123" s="314"/>
      <c r="H123" s="314"/>
      <c r="I123" s="314"/>
      <c r="J123" s="314"/>
      <c r="K123" s="314"/>
      <c r="L123" s="314"/>
      <c r="M123" s="314"/>
      <c r="N123" s="314"/>
      <c r="O123" s="314"/>
      <c r="P123" s="314"/>
      <c r="Q123" s="314"/>
      <c r="R123" s="314"/>
      <c r="S123" s="314"/>
      <c r="T123" s="337">
        <f>-S186</f>
        <v>-100</v>
      </c>
      <c r="U123" s="337"/>
      <c r="V123" s="338"/>
      <c r="W123" s="318"/>
      <c r="X123" s="5"/>
    </row>
    <row r="124" spans="1:24" ht="15.75" x14ac:dyDescent="0.25">
      <c r="A124" s="285"/>
      <c r="B124" s="286" t="s">
        <v>197</v>
      </c>
      <c r="C124" s="314"/>
      <c r="D124" s="314"/>
      <c r="E124" s="314"/>
      <c r="F124" s="314"/>
      <c r="G124" s="314"/>
      <c r="H124" s="314"/>
      <c r="I124" s="314"/>
      <c r="J124" s="314"/>
      <c r="K124" s="314"/>
      <c r="L124" s="314"/>
      <c r="M124" s="314"/>
      <c r="N124" s="314"/>
      <c r="O124" s="314"/>
      <c r="P124" s="314"/>
      <c r="Q124" s="314"/>
      <c r="R124" s="314"/>
      <c r="S124" s="314"/>
      <c r="T124" s="337">
        <v>-8837</v>
      </c>
      <c r="U124" s="337"/>
      <c r="V124" s="338"/>
      <c r="W124" s="318"/>
      <c r="X124" s="5"/>
    </row>
    <row r="125" spans="1:24" ht="15.75" x14ac:dyDescent="0.25">
      <c r="A125" s="285"/>
      <c r="B125" s="286" t="s">
        <v>195</v>
      </c>
      <c r="C125" s="314"/>
      <c r="D125" s="314"/>
      <c r="E125" s="314"/>
      <c r="F125" s="314"/>
      <c r="G125" s="314"/>
      <c r="H125" s="314"/>
      <c r="I125" s="314"/>
      <c r="J125" s="314"/>
      <c r="K125" s="314"/>
      <c r="L125" s="314"/>
      <c r="M125" s="314"/>
      <c r="N125" s="314"/>
      <c r="O125" s="314"/>
      <c r="P125" s="314"/>
      <c r="Q125" s="314"/>
      <c r="R125" s="314"/>
      <c r="S125" s="314"/>
      <c r="T125" s="337">
        <v>-3756</v>
      </c>
      <c r="U125" s="337"/>
      <c r="V125" s="338"/>
      <c r="W125" s="318"/>
      <c r="X125" s="5"/>
    </row>
    <row r="126" spans="1:24" ht="15.75" x14ac:dyDescent="0.25">
      <c r="A126" s="285"/>
      <c r="B126" s="286" t="s">
        <v>194</v>
      </c>
      <c r="C126" s="314"/>
      <c r="D126" s="314"/>
      <c r="E126" s="314"/>
      <c r="F126" s="314"/>
      <c r="G126" s="314"/>
      <c r="H126" s="314"/>
      <c r="I126" s="314"/>
      <c r="J126" s="314"/>
      <c r="K126" s="314"/>
      <c r="L126" s="314"/>
      <c r="M126" s="314"/>
      <c r="N126" s="314"/>
      <c r="O126" s="314"/>
      <c r="P126" s="314"/>
      <c r="Q126" s="314"/>
      <c r="R126" s="314"/>
      <c r="S126" s="314"/>
      <c r="T126" s="337">
        <v>-1339</v>
      </c>
      <c r="U126" s="337"/>
      <c r="V126" s="338"/>
      <c r="W126" s="318"/>
      <c r="X126" s="5"/>
    </row>
    <row r="127" spans="1:24" ht="15.75" x14ac:dyDescent="0.25">
      <c r="A127" s="285"/>
      <c r="B127" s="286" t="s">
        <v>222</v>
      </c>
      <c r="C127" s="314"/>
      <c r="D127" s="314"/>
      <c r="E127" s="314"/>
      <c r="F127" s="314"/>
      <c r="G127" s="314"/>
      <c r="H127" s="314"/>
      <c r="I127" s="314"/>
      <c r="J127" s="314"/>
      <c r="K127" s="314"/>
      <c r="L127" s="314"/>
      <c r="M127" s="314"/>
      <c r="N127" s="314"/>
      <c r="O127" s="314"/>
      <c r="P127" s="314"/>
      <c r="Q127" s="314"/>
      <c r="R127" s="314"/>
      <c r="S127" s="314"/>
      <c r="T127" s="337">
        <v>-1326</v>
      </c>
      <c r="U127" s="337"/>
      <c r="V127" s="338"/>
      <c r="W127" s="318"/>
      <c r="X127" s="5"/>
    </row>
    <row r="128" spans="1:24" ht="15.75" x14ac:dyDescent="0.25">
      <c r="A128" s="285"/>
      <c r="B128" s="286" t="s">
        <v>189</v>
      </c>
      <c r="C128" s="314"/>
      <c r="D128" s="314"/>
      <c r="E128" s="314"/>
      <c r="F128" s="314"/>
      <c r="G128" s="314"/>
      <c r="H128" s="314"/>
      <c r="I128" s="314"/>
      <c r="J128" s="314"/>
      <c r="K128" s="314"/>
      <c r="L128" s="314"/>
      <c r="M128" s="314"/>
      <c r="N128" s="314"/>
      <c r="O128" s="314"/>
      <c r="P128" s="314"/>
      <c r="Q128" s="314"/>
      <c r="R128" s="314"/>
      <c r="S128" s="314"/>
      <c r="T128" s="337">
        <v>0</v>
      </c>
      <c r="U128" s="337"/>
      <c r="V128" s="338"/>
      <c r="W128" s="318"/>
      <c r="X128" s="5"/>
    </row>
    <row r="129" spans="1:24" ht="15.75" x14ac:dyDescent="0.25">
      <c r="A129" s="285"/>
      <c r="B129" s="286" t="s">
        <v>188</v>
      </c>
      <c r="C129" s="314"/>
      <c r="D129" s="314"/>
      <c r="E129" s="314"/>
      <c r="F129" s="314"/>
      <c r="G129" s="314"/>
      <c r="H129" s="314"/>
      <c r="I129" s="314"/>
      <c r="J129" s="314"/>
      <c r="K129" s="314"/>
      <c r="L129" s="314"/>
      <c r="M129" s="314"/>
      <c r="N129" s="314"/>
      <c r="O129" s="314"/>
      <c r="P129" s="314"/>
      <c r="Q129" s="314"/>
      <c r="R129" s="314"/>
      <c r="S129" s="314"/>
      <c r="T129" s="337">
        <v>0</v>
      </c>
      <c r="U129" s="337"/>
      <c r="V129" s="338"/>
      <c r="W129" s="318"/>
      <c r="X129" s="5"/>
    </row>
    <row r="130" spans="1:24" ht="15.75" x14ac:dyDescent="0.25">
      <c r="A130" s="285"/>
      <c r="B130" s="286" t="s">
        <v>187</v>
      </c>
      <c r="C130" s="314"/>
      <c r="D130" s="314"/>
      <c r="E130" s="314"/>
      <c r="F130" s="314"/>
      <c r="G130" s="314"/>
      <c r="H130" s="314"/>
      <c r="I130" s="314"/>
      <c r="J130" s="314"/>
      <c r="K130" s="314"/>
      <c r="L130" s="314"/>
      <c r="M130" s="314"/>
      <c r="N130" s="314"/>
      <c r="O130" s="314"/>
      <c r="P130" s="314"/>
      <c r="Q130" s="314"/>
      <c r="R130" s="314"/>
      <c r="S130" s="314"/>
      <c r="T130" s="337">
        <v>0</v>
      </c>
      <c r="U130" s="337"/>
      <c r="V130" s="338"/>
      <c r="W130" s="318"/>
      <c r="X130" s="5"/>
    </row>
    <row r="131" spans="1:24" ht="15.75" x14ac:dyDescent="0.25">
      <c r="A131" s="285"/>
      <c r="B131" s="286" t="s">
        <v>39</v>
      </c>
      <c r="C131" s="314"/>
      <c r="D131" s="314"/>
      <c r="E131" s="314"/>
      <c r="F131" s="314"/>
      <c r="G131" s="314"/>
      <c r="H131" s="314"/>
      <c r="I131" s="314"/>
      <c r="J131" s="314"/>
      <c r="K131" s="314"/>
      <c r="L131" s="314"/>
      <c r="M131" s="314"/>
      <c r="N131" s="314"/>
      <c r="O131" s="314"/>
      <c r="P131" s="314"/>
      <c r="Q131" s="314"/>
      <c r="R131" s="314"/>
      <c r="S131" s="314"/>
      <c r="T131" s="337">
        <f>SUM(T121:T130)</f>
        <v>-15358</v>
      </c>
      <c r="U131" s="337"/>
      <c r="V131" s="337">
        <f>SUM(V102:V129)</f>
        <v>-4653</v>
      </c>
      <c r="W131" s="318"/>
      <c r="X131" s="5"/>
    </row>
    <row r="132" spans="1:24" ht="15.75" x14ac:dyDescent="0.25">
      <c r="A132" s="285"/>
      <c r="B132" s="286" t="s">
        <v>40</v>
      </c>
      <c r="C132" s="314"/>
      <c r="D132" s="314"/>
      <c r="E132" s="314"/>
      <c r="F132" s="314"/>
      <c r="G132" s="314"/>
      <c r="H132" s="314"/>
      <c r="I132" s="314"/>
      <c r="J132" s="314"/>
      <c r="K132" s="314"/>
      <c r="L132" s="314"/>
      <c r="M132" s="314"/>
      <c r="N132" s="314"/>
      <c r="O132" s="314"/>
      <c r="P132" s="314"/>
      <c r="Q132" s="314"/>
      <c r="R132" s="314"/>
      <c r="S132" s="314"/>
      <c r="T132" s="337">
        <f>T101+T131+T114</f>
        <v>0</v>
      </c>
      <c r="U132" s="337"/>
      <c r="V132" s="337">
        <f>V101+V131</f>
        <v>0</v>
      </c>
      <c r="W132" s="318"/>
      <c r="X132" s="5"/>
    </row>
    <row r="133" spans="1:24" ht="15.75" x14ac:dyDescent="0.25">
      <c r="A133" s="181"/>
      <c r="B133" s="212"/>
      <c r="C133" s="212"/>
      <c r="D133" s="212"/>
      <c r="E133" s="212"/>
      <c r="F133" s="212"/>
      <c r="G133" s="212"/>
      <c r="H133" s="212"/>
      <c r="I133" s="212"/>
      <c r="J133" s="212"/>
      <c r="K133" s="212"/>
      <c r="L133" s="212"/>
      <c r="M133" s="212"/>
      <c r="N133" s="212"/>
      <c r="O133" s="212"/>
      <c r="P133" s="212"/>
      <c r="Q133" s="212"/>
      <c r="R133" s="212"/>
      <c r="S133" s="212"/>
      <c r="T133" s="335"/>
      <c r="U133" s="335"/>
      <c r="V133" s="335"/>
      <c r="W133" s="212"/>
      <c r="X133" s="5"/>
    </row>
    <row r="134" spans="1:24" ht="15.75" x14ac:dyDescent="0.25">
      <c r="A134" s="181"/>
      <c r="B134" s="183"/>
      <c r="C134" s="183"/>
      <c r="D134" s="183"/>
      <c r="E134" s="183"/>
      <c r="F134" s="183"/>
      <c r="G134" s="183"/>
      <c r="H134" s="183"/>
      <c r="I134" s="183"/>
      <c r="J134" s="183"/>
      <c r="K134" s="183"/>
      <c r="L134" s="183"/>
      <c r="M134" s="183"/>
      <c r="N134" s="183"/>
      <c r="O134" s="183"/>
      <c r="P134" s="183"/>
      <c r="Q134" s="183"/>
      <c r="R134" s="183"/>
      <c r="S134" s="183"/>
      <c r="T134" s="183"/>
      <c r="U134" s="183"/>
      <c r="V134" s="202"/>
      <c r="W134" s="183"/>
      <c r="X134" s="5"/>
    </row>
    <row r="135" spans="1:24" ht="19.5" thickBot="1" x14ac:dyDescent="0.35">
      <c r="A135" s="197"/>
      <c r="B135" s="270" t="str">
        <f>B64</f>
        <v>PM15 INVESTOR REPORT QUARTER ENDING MAY 2016</v>
      </c>
      <c r="C135" s="198"/>
      <c r="D135" s="198"/>
      <c r="E135" s="198"/>
      <c r="F135" s="198"/>
      <c r="G135" s="198"/>
      <c r="H135" s="198"/>
      <c r="I135" s="198"/>
      <c r="J135" s="198"/>
      <c r="K135" s="198"/>
      <c r="L135" s="198"/>
      <c r="M135" s="198"/>
      <c r="N135" s="198"/>
      <c r="O135" s="198"/>
      <c r="P135" s="198"/>
      <c r="Q135" s="198"/>
      <c r="R135" s="198"/>
      <c r="S135" s="198"/>
      <c r="T135" s="198"/>
      <c r="U135" s="198"/>
      <c r="V135" s="209"/>
      <c r="W135" s="200"/>
      <c r="X135" s="5"/>
    </row>
    <row r="136" spans="1:24" ht="15.75" x14ac:dyDescent="0.25">
      <c r="A136" s="236"/>
      <c r="B136" s="403" t="s">
        <v>41</v>
      </c>
      <c r="C136" s="238"/>
      <c r="D136" s="238"/>
      <c r="E136" s="238"/>
      <c r="F136" s="238"/>
      <c r="G136" s="238"/>
      <c r="H136" s="238"/>
      <c r="I136" s="238"/>
      <c r="J136" s="238"/>
      <c r="K136" s="238"/>
      <c r="L136" s="238"/>
      <c r="M136" s="238"/>
      <c r="N136" s="238"/>
      <c r="O136" s="238"/>
      <c r="P136" s="238"/>
      <c r="Q136" s="238"/>
      <c r="R136" s="238"/>
      <c r="S136" s="238"/>
      <c r="T136" s="238"/>
      <c r="U136" s="238"/>
      <c r="V136" s="239"/>
      <c r="W136" s="238"/>
      <c r="X136" s="5"/>
    </row>
    <row r="137" spans="1:24" ht="15.75" x14ac:dyDescent="0.25">
      <c r="A137" s="181"/>
      <c r="B137" s="191"/>
      <c r="C137" s="183"/>
      <c r="D137" s="183"/>
      <c r="E137" s="183"/>
      <c r="F137" s="183"/>
      <c r="G137" s="183"/>
      <c r="H137" s="183"/>
      <c r="I137" s="183"/>
      <c r="J137" s="183"/>
      <c r="K137" s="183"/>
      <c r="L137" s="183"/>
      <c r="M137" s="183"/>
      <c r="N137" s="183"/>
      <c r="O137" s="183"/>
      <c r="P137" s="183"/>
      <c r="Q137" s="183"/>
      <c r="R137" s="183"/>
      <c r="S137" s="183"/>
      <c r="T137" s="183"/>
      <c r="U137" s="183"/>
      <c r="V137" s="202"/>
      <c r="W137" s="183"/>
      <c r="X137" s="5"/>
    </row>
    <row r="138" spans="1:24" ht="15.75" x14ac:dyDescent="0.25">
      <c r="A138" s="181"/>
      <c r="B138" s="210" t="s">
        <v>42</v>
      </c>
      <c r="C138" s="183"/>
      <c r="D138" s="183"/>
      <c r="E138" s="183"/>
      <c r="F138" s="183"/>
      <c r="G138" s="183"/>
      <c r="H138" s="183"/>
      <c r="I138" s="183"/>
      <c r="J138" s="183"/>
      <c r="K138" s="183"/>
      <c r="L138" s="183"/>
      <c r="M138" s="183"/>
      <c r="N138" s="183"/>
      <c r="O138" s="183"/>
      <c r="P138" s="183"/>
      <c r="Q138" s="183"/>
      <c r="R138" s="183"/>
      <c r="S138" s="183"/>
      <c r="T138" s="183"/>
      <c r="U138" s="183"/>
      <c r="V138" s="202"/>
      <c r="W138" s="183"/>
      <c r="X138" s="5"/>
    </row>
    <row r="139" spans="1:24" ht="15.75" x14ac:dyDescent="0.25">
      <c r="A139" s="285"/>
      <c r="B139" s="286" t="s">
        <v>43</v>
      </c>
      <c r="C139" s="286"/>
      <c r="D139" s="286"/>
      <c r="E139" s="286"/>
      <c r="F139" s="286"/>
      <c r="G139" s="286"/>
      <c r="H139" s="286"/>
      <c r="I139" s="286"/>
      <c r="J139" s="286"/>
      <c r="K139" s="286"/>
      <c r="L139" s="286"/>
      <c r="M139" s="286"/>
      <c r="N139" s="286"/>
      <c r="O139" s="286"/>
      <c r="P139" s="286"/>
      <c r="Q139" s="286"/>
      <c r="R139" s="286"/>
      <c r="S139" s="286"/>
      <c r="T139" s="286"/>
      <c r="U139" s="286"/>
      <c r="V139" s="338">
        <f>+V34*0.019</f>
        <v>19021.526999999998</v>
      </c>
      <c r="W139" s="289"/>
      <c r="X139" s="5"/>
    </row>
    <row r="140" spans="1:24" ht="15.75" x14ac:dyDescent="0.25">
      <c r="A140" s="285"/>
      <c r="B140" s="286" t="s">
        <v>44</v>
      </c>
      <c r="C140" s="286"/>
      <c r="D140" s="286"/>
      <c r="E140" s="286"/>
      <c r="F140" s="286"/>
      <c r="G140" s="286"/>
      <c r="H140" s="286"/>
      <c r="I140" s="286"/>
      <c r="J140" s="286"/>
      <c r="K140" s="286"/>
      <c r="L140" s="286"/>
      <c r="M140" s="286"/>
      <c r="N140" s="286"/>
      <c r="O140" s="286"/>
      <c r="P140" s="286"/>
      <c r="Q140" s="286"/>
      <c r="R140" s="286"/>
      <c r="S140" s="286"/>
      <c r="T140" s="286"/>
      <c r="U140" s="286"/>
      <c r="V140" s="338">
        <v>19022</v>
      </c>
      <c r="W140" s="289"/>
      <c r="X140" s="5"/>
    </row>
    <row r="141" spans="1:24" ht="15.75" x14ac:dyDescent="0.25">
      <c r="A141" s="285"/>
      <c r="B141" s="286" t="s">
        <v>136</v>
      </c>
      <c r="C141" s="286"/>
      <c r="D141" s="286"/>
      <c r="E141" s="286"/>
      <c r="F141" s="286"/>
      <c r="G141" s="286"/>
      <c r="H141" s="286"/>
      <c r="I141" s="286"/>
      <c r="J141" s="286"/>
      <c r="K141" s="286"/>
      <c r="L141" s="286"/>
      <c r="M141" s="286"/>
      <c r="N141" s="286"/>
      <c r="O141" s="286"/>
      <c r="P141" s="286"/>
      <c r="Q141" s="286"/>
      <c r="R141" s="286"/>
      <c r="S141" s="286"/>
      <c r="T141" s="286"/>
      <c r="U141" s="286"/>
      <c r="V141" s="338"/>
      <c r="W141" s="289"/>
      <c r="X141" s="5"/>
    </row>
    <row r="142" spans="1:24" ht="15.75" x14ac:dyDescent="0.25">
      <c r="A142" s="285"/>
      <c r="B142" s="286" t="s">
        <v>123</v>
      </c>
      <c r="C142" s="286"/>
      <c r="D142" s="286"/>
      <c r="E142" s="286"/>
      <c r="F142" s="286"/>
      <c r="G142" s="286"/>
      <c r="H142" s="286"/>
      <c r="I142" s="286"/>
      <c r="J142" s="286"/>
      <c r="K142" s="286"/>
      <c r="L142" s="286"/>
      <c r="M142" s="286"/>
      <c r="N142" s="286"/>
      <c r="O142" s="286"/>
      <c r="P142" s="286"/>
      <c r="Q142" s="286"/>
      <c r="R142" s="286"/>
      <c r="S142" s="286"/>
      <c r="T142" s="286"/>
      <c r="U142" s="286"/>
      <c r="V142" s="338">
        <v>0</v>
      </c>
      <c r="W142" s="289"/>
      <c r="X142" s="5"/>
    </row>
    <row r="143" spans="1:24" ht="15.75" x14ac:dyDescent="0.25">
      <c r="A143" s="285"/>
      <c r="B143" s="286" t="s">
        <v>124</v>
      </c>
      <c r="C143" s="286"/>
      <c r="D143" s="286"/>
      <c r="E143" s="286"/>
      <c r="F143" s="286"/>
      <c r="G143" s="286"/>
      <c r="H143" s="286"/>
      <c r="I143" s="286"/>
      <c r="J143" s="286"/>
      <c r="K143" s="286"/>
      <c r="L143" s="286"/>
      <c r="M143" s="286"/>
      <c r="N143" s="286"/>
      <c r="O143" s="286"/>
      <c r="P143" s="286"/>
      <c r="Q143" s="286"/>
      <c r="R143" s="286"/>
      <c r="S143" s="286"/>
      <c r="T143" s="286"/>
      <c r="U143" s="286"/>
      <c r="V143" s="338">
        <v>0</v>
      </c>
      <c r="W143" s="289"/>
      <c r="X143" s="5"/>
    </row>
    <row r="144" spans="1:24" ht="15.75" x14ac:dyDescent="0.25">
      <c r="A144" s="285"/>
      <c r="B144" s="286" t="s">
        <v>175</v>
      </c>
      <c r="C144" s="286"/>
      <c r="D144" s="286"/>
      <c r="E144" s="286"/>
      <c r="F144" s="286"/>
      <c r="G144" s="286"/>
      <c r="H144" s="286"/>
      <c r="I144" s="286"/>
      <c r="J144" s="286"/>
      <c r="K144" s="286"/>
      <c r="L144" s="286"/>
      <c r="M144" s="286"/>
      <c r="N144" s="286"/>
      <c r="O144" s="286"/>
      <c r="P144" s="286"/>
      <c r="Q144" s="286"/>
      <c r="R144" s="286"/>
      <c r="S144" s="286"/>
      <c r="T144" s="286"/>
      <c r="U144" s="286"/>
      <c r="V144" s="338">
        <v>0</v>
      </c>
      <c r="W144" s="289"/>
      <c r="X144" s="5"/>
    </row>
    <row r="145" spans="1:25" ht="15.75" x14ac:dyDescent="0.25">
      <c r="A145" s="285"/>
      <c r="B145" s="286" t="s">
        <v>45</v>
      </c>
      <c r="C145" s="286"/>
      <c r="D145" s="286"/>
      <c r="E145" s="286"/>
      <c r="F145" s="286"/>
      <c r="G145" s="286"/>
      <c r="H145" s="286"/>
      <c r="I145" s="286"/>
      <c r="J145" s="286"/>
      <c r="K145" s="286"/>
      <c r="L145" s="286"/>
      <c r="M145" s="286"/>
      <c r="N145" s="286"/>
      <c r="O145" s="286"/>
      <c r="P145" s="286"/>
      <c r="Q145" s="286"/>
      <c r="R145" s="286"/>
      <c r="S145" s="286"/>
      <c r="T145" s="286"/>
      <c r="U145" s="286"/>
      <c r="V145" s="338">
        <v>0</v>
      </c>
      <c r="W145" s="289"/>
      <c r="X145" s="5"/>
    </row>
    <row r="146" spans="1:25" ht="15.75" x14ac:dyDescent="0.25">
      <c r="A146" s="285"/>
      <c r="B146" s="286" t="s">
        <v>129</v>
      </c>
      <c r="C146" s="286"/>
      <c r="D146" s="286"/>
      <c r="E146" s="286"/>
      <c r="F146" s="286"/>
      <c r="G146" s="286"/>
      <c r="H146" s="286"/>
      <c r="I146" s="286"/>
      <c r="J146" s="286"/>
      <c r="K146" s="286"/>
      <c r="L146" s="286"/>
      <c r="M146" s="286"/>
      <c r="N146" s="286"/>
      <c r="O146" s="286"/>
      <c r="P146" s="286"/>
      <c r="Q146" s="286"/>
      <c r="R146" s="286"/>
      <c r="S146" s="286"/>
      <c r="T146" s="286"/>
      <c r="U146" s="286"/>
      <c r="V146" s="338">
        <v>0</v>
      </c>
      <c r="W146" s="289"/>
      <c r="X146" s="5"/>
    </row>
    <row r="147" spans="1:25" ht="15.75" x14ac:dyDescent="0.25">
      <c r="A147" s="285"/>
      <c r="B147" s="286" t="s">
        <v>241</v>
      </c>
      <c r="C147" s="286"/>
      <c r="D147" s="286"/>
      <c r="E147" s="286"/>
      <c r="F147" s="286"/>
      <c r="G147" s="286"/>
      <c r="H147" s="286"/>
      <c r="I147" s="286"/>
      <c r="J147" s="286"/>
      <c r="K147" s="286"/>
      <c r="L147" s="286"/>
      <c r="M147" s="286"/>
      <c r="N147" s="286"/>
      <c r="O147" s="286"/>
      <c r="P147" s="286"/>
      <c r="Q147" s="286"/>
      <c r="R147" s="286"/>
      <c r="S147" s="286"/>
      <c r="T147" s="286"/>
      <c r="U147" s="286"/>
      <c r="V147" s="338">
        <v>0</v>
      </c>
      <c r="W147" s="289"/>
      <c r="X147" s="5"/>
      <c r="Y147" s="109"/>
    </row>
    <row r="148" spans="1:25" ht="15.75" x14ac:dyDescent="0.25">
      <c r="A148" s="285"/>
      <c r="B148" s="286" t="s">
        <v>46</v>
      </c>
      <c r="C148" s="286"/>
      <c r="D148" s="286"/>
      <c r="E148" s="286"/>
      <c r="F148" s="286"/>
      <c r="G148" s="286"/>
      <c r="H148" s="286"/>
      <c r="I148" s="286"/>
      <c r="J148" s="286"/>
      <c r="K148" s="286"/>
      <c r="L148" s="286"/>
      <c r="M148" s="286"/>
      <c r="N148" s="286"/>
      <c r="O148" s="286"/>
      <c r="P148" s="286"/>
      <c r="Q148" s="286"/>
      <c r="R148" s="286"/>
      <c r="S148" s="286"/>
      <c r="T148" s="286"/>
      <c r="U148" s="286"/>
      <c r="V148" s="338">
        <f>SUM(V140:V147)</f>
        <v>19022</v>
      </c>
      <c r="W148" s="289"/>
      <c r="X148" s="5"/>
    </row>
    <row r="149" spans="1:25" ht="15.75" x14ac:dyDescent="0.25">
      <c r="A149" s="285"/>
      <c r="B149" s="314"/>
      <c r="C149" s="314"/>
      <c r="D149" s="314"/>
      <c r="E149" s="314"/>
      <c r="F149" s="314"/>
      <c r="G149" s="314"/>
      <c r="H149" s="314"/>
      <c r="I149" s="314"/>
      <c r="J149" s="314"/>
      <c r="K149" s="314"/>
      <c r="L149" s="314"/>
      <c r="M149" s="314"/>
      <c r="N149" s="314"/>
      <c r="O149" s="314"/>
      <c r="P149" s="314"/>
      <c r="Q149" s="314"/>
      <c r="R149" s="314"/>
      <c r="S149" s="314"/>
      <c r="T149" s="314"/>
      <c r="U149" s="314"/>
      <c r="V149" s="345"/>
      <c r="W149" s="318"/>
      <c r="X149" s="5"/>
    </row>
    <row r="150" spans="1:25" ht="15.75" x14ac:dyDescent="0.25">
      <c r="A150" s="285"/>
      <c r="B150" s="342" t="s">
        <v>269</v>
      </c>
      <c r="C150" s="314"/>
      <c r="D150" s="314"/>
      <c r="E150" s="314"/>
      <c r="F150" s="314"/>
      <c r="G150" s="314"/>
      <c r="H150" s="314"/>
      <c r="I150" s="314"/>
      <c r="J150" s="314"/>
      <c r="K150" s="314"/>
      <c r="L150" s="314"/>
      <c r="M150" s="314"/>
      <c r="N150" s="314"/>
      <c r="O150" s="314"/>
      <c r="P150" s="314"/>
      <c r="Q150" s="314"/>
      <c r="R150" s="314"/>
      <c r="S150" s="314"/>
      <c r="T150" s="314"/>
      <c r="U150" s="314"/>
      <c r="V150" s="345"/>
      <c r="W150" s="318"/>
      <c r="X150" s="5"/>
    </row>
    <row r="151" spans="1:25" ht="15.75" x14ac:dyDescent="0.25">
      <c r="A151" s="285"/>
      <c r="B151" s="286" t="s">
        <v>155</v>
      </c>
      <c r="C151" s="286"/>
      <c r="D151" s="286"/>
      <c r="E151" s="286"/>
      <c r="F151" s="286"/>
      <c r="G151" s="286"/>
      <c r="H151" s="286"/>
      <c r="I151" s="286"/>
      <c r="J151" s="286"/>
      <c r="K151" s="286"/>
      <c r="L151" s="286"/>
      <c r="M151" s="286"/>
      <c r="N151" s="286"/>
      <c r="O151" s="286"/>
      <c r="P151" s="286"/>
      <c r="Q151" s="286"/>
      <c r="R151" s="286"/>
      <c r="S151" s="286"/>
      <c r="T151" s="286"/>
      <c r="U151" s="286"/>
      <c r="V151" s="338">
        <v>0</v>
      </c>
      <c r="W151" s="289"/>
      <c r="X151" s="5"/>
    </row>
    <row r="152" spans="1:25" ht="15.75" x14ac:dyDescent="0.25">
      <c r="A152" s="285"/>
      <c r="B152" s="286" t="s">
        <v>172</v>
      </c>
      <c r="C152" s="286"/>
      <c r="D152" s="286"/>
      <c r="E152" s="286"/>
      <c r="F152" s="286"/>
      <c r="G152" s="286"/>
      <c r="H152" s="286"/>
      <c r="I152" s="286"/>
      <c r="J152" s="286"/>
      <c r="K152" s="286"/>
      <c r="L152" s="286"/>
      <c r="M152" s="286"/>
      <c r="N152" s="286"/>
      <c r="O152" s="286"/>
      <c r="P152" s="286"/>
      <c r="Q152" s="286"/>
      <c r="R152" s="286"/>
      <c r="S152" s="286"/>
      <c r="T152" s="286"/>
      <c r="U152" s="286"/>
      <c r="V152" s="338">
        <v>0</v>
      </c>
      <c r="W152" s="289"/>
      <c r="X152" s="5"/>
    </row>
    <row r="153" spans="1:25" ht="15.75" x14ac:dyDescent="0.25">
      <c r="A153" s="285"/>
      <c r="B153" s="286" t="s">
        <v>226</v>
      </c>
      <c r="C153" s="286"/>
      <c r="D153" s="286"/>
      <c r="E153" s="286"/>
      <c r="F153" s="286"/>
      <c r="G153" s="286"/>
      <c r="H153" s="286"/>
      <c r="I153" s="286"/>
      <c r="J153" s="286"/>
      <c r="K153" s="286"/>
      <c r="L153" s="286"/>
      <c r="M153" s="286"/>
      <c r="N153" s="286"/>
      <c r="O153" s="286"/>
      <c r="P153" s="286"/>
      <c r="Q153" s="286"/>
      <c r="R153" s="286"/>
      <c r="S153" s="286"/>
      <c r="T153" s="286"/>
      <c r="U153" s="286"/>
      <c r="V153" s="338">
        <v>0</v>
      </c>
      <c r="W153" s="289"/>
      <c r="X153" s="5"/>
    </row>
    <row r="154" spans="1:25" ht="15.75" x14ac:dyDescent="0.25">
      <c r="A154" s="285"/>
      <c r="B154" s="314"/>
      <c r="C154" s="314"/>
      <c r="D154" s="314"/>
      <c r="E154" s="314"/>
      <c r="F154" s="314"/>
      <c r="G154" s="314"/>
      <c r="H154" s="314"/>
      <c r="I154" s="314"/>
      <c r="J154" s="314"/>
      <c r="K154" s="314"/>
      <c r="L154" s="314"/>
      <c r="M154" s="314"/>
      <c r="N154" s="314"/>
      <c r="O154" s="314"/>
      <c r="P154" s="314"/>
      <c r="Q154" s="314"/>
      <c r="R154" s="314"/>
      <c r="S154" s="314"/>
      <c r="T154" s="314"/>
      <c r="U154" s="314"/>
      <c r="V154" s="345"/>
      <c r="W154" s="318"/>
      <c r="X154" s="5"/>
    </row>
    <row r="155" spans="1:25" ht="15.75" x14ac:dyDescent="0.25">
      <c r="A155" s="181"/>
      <c r="B155" s="212"/>
      <c r="C155" s="212"/>
      <c r="D155" s="212"/>
      <c r="E155" s="212"/>
      <c r="F155" s="212"/>
      <c r="G155" s="212"/>
      <c r="H155" s="212"/>
      <c r="I155" s="212"/>
      <c r="J155" s="212"/>
      <c r="K155" s="212"/>
      <c r="L155" s="212"/>
      <c r="M155" s="212"/>
      <c r="N155" s="212"/>
      <c r="O155" s="212"/>
      <c r="P155" s="212"/>
      <c r="Q155" s="212"/>
      <c r="R155" s="212"/>
      <c r="S155" s="212"/>
      <c r="T155" s="212"/>
      <c r="U155" s="212"/>
      <c r="V155" s="344"/>
      <c r="W155" s="212"/>
      <c r="X155" s="5"/>
    </row>
    <row r="156" spans="1:25" ht="15.75" x14ac:dyDescent="0.25">
      <c r="A156" s="181"/>
      <c r="B156" s="210" t="s">
        <v>24</v>
      </c>
      <c r="C156" s="183"/>
      <c r="D156" s="183"/>
      <c r="E156" s="183"/>
      <c r="F156" s="183"/>
      <c r="G156" s="183"/>
      <c r="H156" s="183"/>
      <c r="I156" s="183"/>
      <c r="J156" s="183"/>
      <c r="K156" s="183"/>
      <c r="L156" s="183"/>
      <c r="M156" s="183"/>
      <c r="N156" s="183"/>
      <c r="O156" s="183"/>
      <c r="P156" s="183"/>
      <c r="Q156" s="183"/>
      <c r="R156" s="183"/>
      <c r="S156" s="183"/>
      <c r="T156" s="183"/>
      <c r="U156" s="183"/>
      <c r="V156" s="202"/>
      <c r="W156" s="183"/>
      <c r="X156" s="5"/>
    </row>
    <row r="157" spans="1:25" ht="15.75" x14ac:dyDescent="0.25">
      <c r="A157" s="285"/>
      <c r="B157" s="286" t="s">
        <v>47</v>
      </c>
      <c r="C157" s="286"/>
      <c r="D157" s="286"/>
      <c r="E157" s="286"/>
      <c r="F157" s="286"/>
      <c r="G157" s="286"/>
      <c r="H157" s="286"/>
      <c r="I157" s="286"/>
      <c r="J157" s="286"/>
      <c r="K157" s="286"/>
      <c r="L157" s="286"/>
      <c r="M157" s="286"/>
      <c r="N157" s="286"/>
      <c r="O157" s="286"/>
      <c r="P157" s="286"/>
      <c r="Q157" s="286"/>
      <c r="R157" s="286"/>
      <c r="S157" s="286"/>
      <c r="T157" s="286"/>
      <c r="U157" s="286"/>
      <c r="V157" s="343" t="s">
        <v>118</v>
      </c>
      <c r="W157" s="318"/>
      <c r="X157" s="5"/>
    </row>
    <row r="158" spans="1:25" ht="15.75" x14ac:dyDescent="0.25">
      <c r="A158" s="285"/>
      <c r="B158" s="286" t="s">
        <v>48</v>
      </c>
      <c r="C158" s="288"/>
      <c r="D158" s="288"/>
      <c r="E158" s="288"/>
      <c r="F158" s="288"/>
      <c r="G158" s="288"/>
      <c r="H158" s="288"/>
      <c r="I158" s="288"/>
      <c r="J158" s="288"/>
      <c r="K158" s="288"/>
      <c r="L158" s="288"/>
      <c r="M158" s="288"/>
      <c r="N158" s="288"/>
      <c r="O158" s="288"/>
      <c r="P158" s="288"/>
      <c r="Q158" s="288"/>
      <c r="R158" s="288"/>
      <c r="S158" s="288"/>
      <c r="T158" s="288"/>
      <c r="U158" s="288"/>
      <c r="V158" s="343" t="s">
        <v>118</v>
      </c>
      <c r="W158" s="318"/>
      <c r="X158" s="5"/>
    </row>
    <row r="159" spans="1:25" ht="15.75" x14ac:dyDescent="0.25">
      <c r="A159" s="285"/>
      <c r="B159" s="286" t="s">
        <v>49</v>
      </c>
      <c r="C159" s="286"/>
      <c r="D159" s="286"/>
      <c r="E159" s="286"/>
      <c r="F159" s="286"/>
      <c r="G159" s="286"/>
      <c r="H159" s="286"/>
      <c r="I159" s="286"/>
      <c r="J159" s="286"/>
      <c r="K159" s="286"/>
      <c r="L159" s="286"/>
      <c r="M159" s="286"/>
      <c r="N159" s="286"/>
      <c r="O159" s="286"/>
      <c r="P159" s="286"/>
      <c r="Q159" s="286"/>
      <c r="R159" s="286"/>
      <c r="S159" s="286"/>
      <c r="T159" s="286"/>
      <c r="U159" s="286"/>
      <c r="V159" s="343" t="s">
        <v>118</v>
      </c>
      <c r="W159" s="318"/>
      <c r="X159" s="5"/>
    </row>
    <row r="160" spans="1:25" ht="15.75" x14ac:dyDescent="0.25">
      <c r="A160" s="285"/>
      <c r="B160" s="286" t="s">
        <v>50</v>
      </c>
      <c r="C160" s="286"/>
      <c r="D160" s="286"/>
      <c r="E160" s="286"/>
      <c r="F160" s="286"/>
      <c r="G160" s="286"/>
      <c r="H160" s="286"/>
      <c r="I160" s="286"/>
      <c r="J160" s="286"/>
      <c r="K160" s="286"/>
      <c r="L160" s="286"/>
      <c r="M160" s="286"/>
      <c r="N160" s="286"/>
      <c r="O160" s="286"/>
      <c r="P160" s="286"/>
      <c r="Q160" s="286"/>
      <c r="R160" s="286"/>
      <c r="S160" s="286"/>
      <c r="T160" s="286"/>
      <c r="U160" s="286"/>
      <c r="V160" s="343" t="s">
        <v>118</v>
      </c>
      <c r="W160" s="318"/>
      <c r="X160" s="5"/>
    </row>
    <row r="161" spans="1:256" ht="15.75" x14ac:dyDescent="0.25">
      <c r="A161" s="181"/>
      <c r="B161" s="212"/>
      <c r="C161" s="212"/>
      <c r="D161" s="212"/>
      <c r="E161" s="212"/>
      <c r="F161" s="212"/>
      <c r="G161" s="212"/>
      <c r="H161" s="212"/>
      <c r="I161" s="212"/>
      <c r="J161" s="212"/>
      <c r="K161" s="212"/>
      <c r="L161" s="212"/>
      <c r="M161" s="212"/>
      <c r="N161" s="212"/>
      <c r="O161" s="212"/>
      <c r="P161" s="212"/>
      <c r="Q161" s="212"/>
      <c r="R161" s="212"/>
      <c r="S161" s="212"/>
      <c r="T161" s="212"/>
      <c r="U161" s="212"/>
      <c r="V161" s="344"/>
      <c r="W161" s="212"/>
      <c r="X161" s="5"/>
    </row>
    <row r="162" spans="1:256" ht="15.75" x14ac:dyDescent="0.25">
      <c r="A162" s="181"/>
      <c r="B162" s="210" t="s">
        <v>51</v>
      </c>
      <c r="C162" s="183"/>
      <c r="D162" s="183"/>
      <c r="E162" s="183"/>
      <c r="F162" s="183"/>
      <c r="G162" s="183"/>
      <c r="H162" s="183"/>
      <c r="I162" s="183"/>
      <c r="J162" s="183"/>
      <c r="K162" s="183"/>
      <c r="L162" s="183"/>
      <c r="M162" s="183"/>
      <c r="N162" s="183"/>
      <c r="O162" s="183"/>
      <c r="P162" s="183"/>
      <c r="Q162" s="183"/>
      <c r="R162" s="183"/>
      <c r="S162" s="183"/>
      <c r="T162" s="183"/>
      <c r="U162" s="183"/>
      <c r="V162" s="211"/>
      <c r="W162" s="183"/>
      <c r="X162" s="5"/>
    </row>
    <row r="163" spans="1:256" ht="15.75" x14ac:dyDescent="0.25">
      <c r="A163" s="285"/>
      <c r="B163" s="286" t="s">
        <v>52</v>
      </c>
      <c r="C163" s="286"/>
      <c r="D163" s="286"/>
      <c r="E163" s="286"/>
      <c r="F163" s="286"/>
      <c r="G163" s="286"/>
      <c r="H163" s="286"/>
      <c r="I163" s="286"/>
      <c r="J163" s="286"/>
      <c r="K163" s="286"/>
      <c r="L163" s="286"/>
      <c r="M163" s="286"/>
      <c r="N163" s="286"/>
      <c r="O163" s="286"/>
      <c r="P163" s="286"/>
      <c r="Q163" s="286"/>
      <c r="R163" s="286"/>
      <c r="S163" s="286"/>
      <c r="T163" s="286"/>
      <c r="U163" s="286"/>
      <c r="V163" s="338">
        <v>0</v>
      </c>
      <c r="W163" s="289"/>
      <c r="X163" s="5"/>
    </row>
    <row r="164" spans="1:256" ht="15.75" x14ac:dyDescent="0.25">
      <c r="A164" s="285"/>
      <c r="B164" s="286" t="s">
        <v>53</v>
      </c>
      <c r="C164" s="286"/>
      <c r="D164" s="286"/>
      <c r="E164" s="286"/>
      <c r="F164" s="286"/>
      <c r="G164" s="286"/>
      <c r="H164" s="286"/>
      <c r="I164" s="286"/>
      <c r="J164" s="286"/>
      <c r="K164" s="286"/>
      <c r="L164" s="286"/>
      <c r="M164" s="286"/>
      <c r="N164" s="286"/>
      <c r="O164" s="286"/>
      <c r="P164" s="286"/>
      <c r="Q164" s="286"/>
      <c r="R164" s="286"/>
      <c r="S164" s="286"/>
      <c r="T164" s="286"/>
      <c r="U164" s="286"/>
      <c r="V164" s="338">
        <v>11</v>
      </c>
      <c r="W164" s="289"/>
      <c r="X164" s="5"/>
    </row>
    <row r="165" spans="1:256" ht="15.75" x14ac:dyDescent="0.25">
      <c r="A165" s="285"/>
      <c r="B165" s="286" t="s">
        <v>54</v>
      </c>
      <c r="C165" s="286"/>
      <c r="D165" s="286"/>
      <c r="E165" s="286"/>
      <c r="F165" s="286"/>
      <c r="G165" s="286"/>
      <c r="H165" s="286"/>
      <c r="I165" s="286"/>
      <c r="J165" s="286"/>
      <c r="K165" s="286"/>
      <c r="L165" s="286"/>
      <c r="M165" s="286"/>
      <c r="N165" s="286"/>
      <c r="O165" s="286"/>
      <c r="P165" s="286"/>
      <c r="Q165" s="286"/>
      <c r="R165" s="286"/>
      <c r="S165" s="286"/>
      <c r="T165" s="286"/>
      <c r="U165" s="286"/>
      <c r="V165" s="338">
        <f>V164+V163</f>
        <v>11</v>
      </c>
      <c r="W165" s="289"/>
      <c r="X165" s="5"/>
    </row>
    <row r="166" spans="1:256" ht="15.75" x14ac:dyDescent="0.25">
      <c r="A166" s="285"/>
      <c r="B166" s="286" t="s">
        <v>303</v>
      </c>
      <c r="C166" s="286"/>
      <c r="D166" s="286"/>
      <c r="E166" s="286"/>
      <c r="F166" s="286"/>
      <c r="G166" s="286"/>
      <c r="H166" s="286"/>
      <c r="I166" s="286"/>
      <c r="J166" s="286"/>
      <c r="K166" s="286"/>
      <c r="L166" s="286"/>
      <c r="M166" s="286"/>
      <c r="N166" s="286"/>
      <c r="O166" s="286"/>
      <c r="P166" s="286"/>
      <c r="Q166" s="286"/>
      <c r="R166" s="286"/>
      <c r="S166" s="286"/>
      <c r="T166" s="286"/>
      <c r="U166" s="286"/>
      <c r="V166" s="338">
        <f>V114</f>
        <v>-11</v>
      </c>
      <c r="W166" s="289"/>
      <c r="X166" s="5"/>
    </row>
    <row r="167" spans="1:256" ht="15.75" x14ac:dyDescent="0.25">
      <c r="A167" s="285"/>
      <c r="B167" s="286" t="s">
        <v>55</v>
      </c>
      <c r="C167" s="286"/>
      <c r="D167" s="286"/>
      <c r="E167" s="286"/>
      <c r="F167" s="286"/>
      <c r="G167" s="286"/>
      <c r="H167" s="286"/>
      <c r="I167" s="286"/>
      <c r="J167" s="286"/>
      <c r="K167" s="286"/>
      <c r="L167" s="286"/>
      <c r="M167" s="286"/>
      <c r="N167" s="286"/>
      <c r="O167" s="286"/>
      <c r="P167" s="286"/>
      <c r="Q167" s="286"/>
      <c r="R167" s="286"/>
      <c r="S167" s="286"/>
      <c r="T167" s="286"/>
      <c r="U167" s="286"/>
      <c r="V167" s="338">
        <f>V165+V166</f>
        <v>0</v>
      </c>
      <c r="W167" s="289"/>
      <c r="X167" s="5"/>
    </row>
    <row r="168" spans="1:256" ht="15.75" x14ac:dyDescent="0.25">
      <c r="A168" s="285"/>
      <c r="B168" s="286" t="s">
        <v>274</v>
      </c>
      <c r="C168" s="286"/>
      <c r="D168" s="286"/>
      <c r="E168" s="286"/>
      <c r="F168" s="286"/>
      <c r="G168" s="286"/>
      <c r="H168" s="286"/>
      <c r="I168" s="286"/>
      <c r="J168" s="286"/>
      <c r="K168" s="286"/>
      <c r="L168" s="286"/>
      <c r="M168" s="286"/>
      <c r="N168" s="286"/>
      <c r="O168" s="286"/>
      <c r="P168" s="286"/>
      <c r="Q168" s="286"/>
      <c r="R168" s="286"/>
      <c r="S168" s="286"/>
      <c r="T168" s="286"/>
      <c r="U168" s="286"/>
      <c r="V168" s="338">
        <f>-V100</f>
        <v>33</v>
      </c>
      <c r="W168" s="289"/>
      <c r="X168" s="5"/>
    </row>
    <row r="169" spans="1:256" ht="16.5" thickBot="1" x14ac:dyDescent="0.3">
      <c r="A169" s="181"/>
      <c r="B169" s="212"/>
      <c r="C169" s="212"/>
      <c r="D169" s="212"/>
      <c r="E169" s="212"/>
      <c r="F169" s="212"/>
      <c r="G169" s="212"/>
      <c r="H169" s="212"/>
      <c r="I169" s="212"/>
      <c r="J169" s="212"/>
      <c r="K169" s="212"/>
      <c r="L169" s="212"/>
      <c r="M169" s="212"/>
      <c r="N169" s="212"/>
      <c r="O169" s="212"/>
      <c r="P169" s="212"/>
      <c r="Q169" s="212"/>
      <c r="R169" s="212"/>
      <c r="S169" s="212"/>
      <c r="T169" s="212"/>
      <c r="U169" s="212"/>
      <c r="V169" s="344"/>
      <c r="W169" s="212"/>
      <c r="X169" s="5"/>
    </row>
    <row r="170" spans="1:256" ht="15.75" x14ac:dyDescent="0.25">
      <c r="A170" s="179"/>
      <c r="B170" s="180"/>
      <c r="C170" s="180"/>
      <c r="D170" s="180"/>
      <c r="E170" s="180"/>
      <c r="F170" s="180"/>
      <c r="G170" s="180"/>
      <c r="H170" s="180"/>
      <c r="I170" s="180"/>
      <c r="J170" s="180"/>
      <c r="K170" s="180"/>
      <c r="L170" s="180"/>
      <c r="M170" s="180"/>
      <c r="N170" s="180"/>
      <c r="O170" s="180"/>
      <c r="P170" s="180"/>
      <c r="Q170" s="180"/>
      <c r="R170" s="180"/>
      <c r="S170" s="180"/>
      <c r="T170" s="180"/>
      <c r="U170" s="180"/>
      <c r="V170" s="201"/>
      <c r="W170" s="180"/>
      <c r="X170" s="5"/>
    </row>
    <row r="171" spans="1:256" s="158" customFormat="1" ht="15.75" x14ac:dyDescent="0.25">
      <c r="A171" s="181"/>
      <c r="B171" s="210" t="s">
        <v>230</v>
      </c>
      <c r="C171" s="212"/>
      <c r="D171" s="212"/>
      <c r="E171" s="212"/>
      <c r="F171" s="212"/>
      <c r="G171" s="212"/>
      <c r="H171" s="212"/>
      <c r="I171" s="212"/>
      <c r="J171" s="212"/>
      <c r="K171" s="212"/>
      <c r="L171" s="212"/>
      <c r="M171" s="212"/>
      <c r="N171" s="212"/>
      <c r="O171" s="212"/>
      <c r="P171" s="212"/>
      <c r="Q171" s="212"/>
      <c r="R171" s="212"/>
      <c r="S171" s="212"/>
      <c r="T171" s="212"/>
      <c r="U171" s="212"/>
      <c r="V171" s="213"/>
      <c r="W171" s="212"/>
      <c r="X171" s="5"/>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s="160" customFormat="1" ht="15.75" x14ac:dyDescent="0.25">
      <c r="A172" s="285"/>
      <c r="B172" s="286" t="s">
        <v>231</v>
      </c>
      <c r="C172" s="286"/>
      <c r="D172" s="286"/>
      <c r="E172" s="286"/>
      <c r="F172" s="286"/>
      <c r="G172" s="286"/>
      <c r="H172" s="286"/>
      <c r="I172" s="286"/>
      <c r="J172" s="286"/>
      <c r="K172" s="286"/>
      <c r="L172" s="286"/>
      <c r="M172" s="286"/>
      <c r="N172" s="286"/>
      <c r="O172" s="286"/>
      <c r="P172" s="286"/>
      <c r="Q172" s="286"/>
      <c r="R172" s="286"/>
      <c r="S172" s="286"/>
      <c r="T172" s="286"/>
      <c r="U172" s="286"/>
      <c r="V172" s="338">
        <f>+'Aug 08'!V173</f>
        <v>0</v>
      </c>
      <c r="W172" s="289"/>
      <c r="X172" s="5"/>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s="160" customFormat="1" ht="15.75" x14ac:dyDescent="0.25">
      <c r="A173" s="285"/>
      <c r="B173" s="286" t="s">
        <v>234</v>
      </c>
      <c r="C173" s="286"/>
      <c r="D173" s="286"/>
      <c r="E173" s="286"/>
      <c r="F173" s="286"/>
      <c r="G173" s="286"/>
      <c r="H173" s="286"/>
      <c r="I173" s="286"/>
      <c r="J173" s="286"/>
      <c r="K173" s="286"/>
      <c r="L173" s="286"/>
      <c r="M173" s="286"/>
      <c r="N173" s="286"/>
      <c r="O173" s="286"/>
      <c r="P173" s="286"/>
      <c r="Q173" s="286"/>
      <c r="R173" s="286"/>
      <c r="S173" s="286"/>
      <c r="T173" s="286"/>
      <c r="U173" s="286"/>
      <c r="V173" s="338">
        <f>+V94</f>
        <v>0</v>
      </c>
      <c r="W173" s="289"/>
      <c r="X173" s="5"/>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s="160" customFormat="1" ht="15.75" x14ac:dyDescent="0.25">
      <c r="A174" s="285"/>
      <c r="B174" s="286" t="s">
        <v>232</v>
      </c>
      <c r="C174" s="286"/>
      <c r="D174" s="286"/>
      <c r="E174" s="286"/>
      <c r="F174" s="286"/>
      <c r="G174" s="286"/>
      <c r="H174" s="286"/>
      <c r="I174" s="286"/>
      <c r="J174" s="286"/>
      <c r="K174" s="286"/>
      <c r="L174" s="286"/>
      <c r="M174" s="286"/>
      <c r="N174" s="286"/>
      <c r="O174" s="286"/>
      <c r="P174" s="286"/>
      <c r="Q174" s="286"/>
      <c r="R174" s="286"/>
      <c r="S174" s="286"/>
      <c r="T174" s="286"/>
      <c r="U174" s="286"/>
      <c r="V174" s="338">
        <f>+V172-V173</f>
        <v>0</v>
      </c>
      <c r="W174" s="289"/>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6.5" thickBot="1" x14ac:dyDescent="0.3">
      <c r="A175" s="197"/>
      <c r="B175" s="212"/>
      <c r="C175" s="212"/>
      <c r="D175" s="212"/>
      <c r="E175" s="212"/>
      <c r="F175" s="212"/>
      <c r="G175" s="212"/>
      <c r="H175" s="212"/>
      <c r="I175" s="212"/>
      <c r="J175" s="212"/>
      <c r="K175" s="212"/>
      <c r="L175" s="212"/>
      <c r="M175" s="212"/>
      <c r="N175" s="212"/>
      <c r="O175" s="212"/>
      <c r="P175" s="212"/>
      <c r="Q175" s="212"/>
      <c r="R175" s="212"/>
      <c r="S175" s="212"/>
      <c r="T175" s="212"/>
      <c r="U175" s="212"/>
      <c r="V175" s="344"/>
      <c r="W175" s="212"/>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4" customFormat="1" ht="15.75" x14ac:dyDescent="0.25">
      <c r="A176" s="179"/>
      <c r="B176" s="180"/>
      <c r="C176" s="180"/>
      <c r="D176" s="180"/>
      <c r="E176" s="180"/>
      <c r="F176" s="180"/>
      <c r="G176" s="180"/>
      <c r="H176" s="180"/>
      <c r="I176" s="180"/>
      <c r="J176" s="180"/>
      <c r="K176" s="180"/>
      <c r="L176" s="180"/>
      <c r="M176" s="180"/>
      <c r="N176" s="180"/>
      <c r="O176" s="180"/>
      <c r="P176" s="180"/>
      <c r="Q176" s="180"/>
      <c r="R176" s="180"/>
      <c r="S176" s="180"/>
      <c r="T176" s="180"/>
      <c r="U176" s="180"/>
      <c r="V176" s="201"/>
      <c r="W176" s="180"/>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4" ht="15.75" x14ac:dyDescent="0.25">
      <c r="A177" s="181"/>
      <c r="B177" s="210" t="s">
        <v>56</v>
      </c>
      <c r="C177" s="183"/>
      <c r="D177" s="183"/>
      <c r="E177" s="183"/>
      <c r="F177" s="183"/>
      <c r="G177" s="183"/>
      <c r="H177" s="183"/>
      <c r="I177" s="183"/>
      <c r="J177" s="183"/>
      <c r="K177" s="183"/>
      <c r="L177" s="183"/>
      <c r="M177" s="183"/>
      <c r="N177" s="183"/>
      <c r="O177" s="183"/>
      <c r="P177" s="183"/>
      <c r="Q177" s="183"/>
      <c r="R177" s="183"/>
      <c r="S177" s="183"/>
      <c r="T177" s="183"/>
      <c r="U177" s="183"/>
      <c r="V177" s="202"/>
      <c r="W177" s="183"/>
      <c r="X177" s="5"/>
    </row>
    <row r="178" spans="1:24" ht="15.75" x14ac:dyDescent="0.25">
      <c r="A178" s="181"/>
      <c r="B178" s="191"/>
      <c r="C178" s="183"/>
      <c r="D178" s="183"/>
      <c r="E178" s="183"/>
      <c r="F178" s="183"/>
      <c r="G178" s="183"/>
      <c r="H178" s="183"/>
      <c r="I178" s="183"/>
      <c r="J178" s="183"/>
      <c r="K178" s="183"/>
      <c r="L178" s="183"/>
      <c r="M178" s="183"/>
      <c r="N178" s="183"/>
      <c r="O178" s="183"/>
      <c r="P178" s="183"/>
      <c r="Q178" s="183"/>
      <c r="R178" s="183"/>
      <c r="S178" s="183"/>
      <c r="T178" s="183"/>
      <c r="U178" s="183"/>
      <c r="V178" s="202"/>
      <c r="W178" s="183"/>
      <c r="X178" s="5"/>
    </row>
    <row r="179" spans="1:24" ht="15.75" x14ac:dyDescent="0.25">
      <c r="A179" s="285"/>
      <c r="B179" s="286" t="s">
        <v>57</v>
      </c>
      <c r="C179" s="286"/>
      <c r="D179" s="286"/>
      <c r="E179" s="286"/>
      <c r="F179" s="286"/>
      <c r="G179" s="286"/>
      <c r="H179" s="286"/>
      <c r="I179" s="286"/>
      <c r="J179" s="286"/>
      <c r="K179" s="286"/>
      <c r="L179" s="286"/>
      <c r="M179" s="286"/>
      <c r="N179" s="286"/>
      <c r="O179" s="286"/>
      <c r="P179" s="286"/>
      <c r="Q179" s="286"/>
      <c r="R179" s="286"/>
      <c r="S179" s="286"/>
      <c r="T179" s="286"/>
      <c r="U179" s="286"/>
      <c r="V179" s="338">
        <f>V71</f>
        <v>703690</v>
      </c>
      <c r="W179" s="289"/>
      <c r="X179" s="5"/>
    </row>
    <row r="180" spans="1:24" ht="15.75" x14ac:dyDescent="0.25">
      <c r="A180" s="285"/>
      <c r="B180" s="286" t="s">
        <v>58</v>
      </c>
      <c r="C180" s="286"/>
      <c r="D180" s="286"/>
      <c r="E180" s="286"/>
      <c r="F180" s="286"/>
      <c r="G180" s="286"/>
      <c r="H180" s="286"/>
      <c r="I180" s="286"/>
      <c r="J180" s="286"/>
      <c r="K180" s="286"/>
      <c r="L180" s="286"/>
      <c r="M180" s="286"/>
      <c r="N180" s="286"/>
      <c r="O180" s="286"/>
      <c r="P180" s="286"/>
      <c r="Q180" s="286"/>
      <c r="R180" s="286"/>
      <c r="S180" s="286"/>
      <c r="T180" s="286"/>
      <c r="U180" s="286"/>
      <c r="V180" s="338">
        <f>V84</f>
        <v>703690</v>
      </c>
      <c r="W180" s="289"/>
      <c r="X180" s="5"/>
    </row>
    <row r="181" spans="1:24" ht="16.5" thickBot="1" x14ac:dyDescent="0.3">
      <c r="A181" s="181"/>
      <c r="B181" s="212"/>
      <c r="C181" s="212"/>
      <c r="D181" s="212"/>
      <c r="E181" s="212"/>
      <c r="F181" s="212"/>
      <c r="G181" s="212"/>
      <c r="H181" s="212"/>
      <c r="I181" s="212"/>
      <c r="J181" s="212"/>
      <c r="K181" s="212"/>
      <c r="L181" s="212"/>
      <c r="M181" s="212"/>
      <c r="N181" s="212"/>
      <c r="O181" s="212"/>
      <c r="P181" s="212"/>
      <c r="Q181" s="212"/>
      <c r="R181" s="212"/>
      <c r="S181" s="212"/>
      <c r="T181" s="212"/>
      <c r="U181" s="212"/>
      <c r="V181" s="344"/>
      <c r="W181" s="212"/>
      <c r="X181" s="5"/>
    </row>
    <row r="182" spans="1:24" ht="15.75" x14ac:dyDescent="0.25">
      <c r="A182" s="179"/>
      <c r="B182" s="180"/>
      <c r="C182" s="180"/>
      <c r="D182" s="180"/>
      <c r="E182" s="180"/>
      <c r="F182" s="180"/>
      <c r="G182" s="180"/>
      <c r="H182" s="180"/>
      <c r="I182" s="180"/>
      <c r="J182" s="180"/>
      <c r="K182" s="180"/>
      <c r="L182" s="180"/>
      <c r="M182" s="180"/>
      <c r="N182" s="180"/>
      <c r="O182" s="180"/>
      <c r="P182" s="180"/>
      <c r="Q182" s="180"/>
      <c r="R182" s="180"/>
      <c r="S182" s="180"/>
      <c r="T182" s="180"/>
      <c r="U182" s="180"/>
      <c r="V182" s="201"/>
      <c r="W182" s="180"/>
      <c r="X182" s="5"/>
    </row>
    <row r="183" spans="1:24" ht="15.75" x14ac:dyDescent="0.25">
      <c r="A183" s="181"/>
      <c r="B183" s="210" t="s">
        <v>59</v>
      </c>
      <c r="C183" s="206"/>
      <c r="D183" s="206"/>
      <c r="E183" s="206"/>
      <c r="F183" s="206"/>
      <c r="G183" s="206"/>
      <c r="H183" s="214"/>
      <c r="I183" s="214"/>
      <c r="J183" s="214"/>
      <c r="K183" s="214"/>
      <c r="L183" s="214"/>
      <c r="M183" s="214"/>
      <c r="N183" s="214"/>
      <c r="O183" s="214"/>
      <c r="P183" s="214"/>
      <c r="Q183" s="214"/>
      <c r="R183" s="214"/>
      <c r="S183" s="214" t="s">
        <v>101</v>
      </c>
      <c r="T183" s="214" t="s">
        <v>176</v>
      </c>
      <c r="U183" s="185"/>
      <c r="V183" s="215" t="s">
        <v>114</v>
      </c>
      <c r="W183" s="216"/>
      <c r="X183" s="5"/>
    </row>
    <row r="184" spans="1:24" ht="15.75" x14ac:dyDescent="0.25">
      <c r="A184" s="285"/>
      <c r="B184" s="286" t="s">
        <v>60</v>
      </c>
      <c r="C184" s="286"/>
      <c r="D184" s="286"/>
      <c r="E184" s="286"/>
      <c r="F184" s="286"/>
      <c r="G184" s="286"/>
      <c r="H184" s="286"/>
      <c r="I184" s="286"/>
      <c r="J184" s="286"/>
      <c r="K184" s="286"/>
      <c r="L184" s="286"/>
      <c r="M184" s="286"/>
      <c r="N184" s="286"/>
      <c r="O184" s="286"/>
      <c r="P184" s="286"/>
      <c r="Q184" s="286"/>
      <c r="R184" s="286"/>
      <c r="S184" s="338">
        <f>+V34*0.16</f>
        <v>160181.28</v>
      </c>
      <c r="T184" s="325"/>
      <c r="U184" s="286"/>
      <c r="V184" s="338"/>
      <c r="W184" s="289"/>
      <c r="X184" s="5"/>
    </row>
    <row r="185" spans="1:24" ht="15.75" x14ac:dyDescent="0.25">
      <c r="A185" s="285"/>
      <c r="B185" s="286" t="s">
        <v>61</v>
      </c>
      <c r="C185" s="286"/>
      <c r="D185" s="286"/>
      <c r="E185" s="286"/>
      <c r="F185" s="286"/>
      <c r="G185" s="286"/>
      <c r="H185" s="286"/>
      <c r="I185" s="286"/>
      <c r="J185" s="286"/>
      <c r="K185" s="286"/>
      <c r="L185" s="286"/>
      <c r="M185" s="286"/>
      <c r="N185" s="286"/>
      <c r="O185" s="286"/>
      <c r="P185" s="286"/>
      <c r="Q185" s="286"/>
      <c r="R185" s="286"/>
      <c r="S185" s="338">
        <f>+'Feb 16'!S187</f>
        <v>12788</v>
      </c>
      <c r="T185" s="338">
        <f>+'Feb 16'!T187</f>
        <v>6095</v>
      </c>
      <c r="U185" s="286"/>
      <c r="V185" s="338">
        <f>S185+T185</f>
        <v>18883</v>
      </c>
      <c r="W185" s="289"/>
      <c r="X185" s="5"/>
    </row>
    <row r="186" spans="1:24" ht="15.75" x14ac:dyDescent="0.25">
      <c r="A186" s="285"/>
      <c r="B186" s="286" t="s">
        <v>62</v>
      </c>
      <c r="C186" s="286"/>
      <c r="D186" s="286"/>
      <c r="E186" s="286"/>
      <c r="F186" s="286"/>
      <c r="G186" s="286"/>
      <c r="H186" s="286"/>
      <c r="I186" s="286"/>
      <c r="J186" s="286"/>
      <c r="K186" s="286"/>
      <c r="L186" s="286"/>
      <c r="M186" s="286"/>
      <c r="N186" s="286"/>
      <c r="O186" s="286"/>
      <c r="P186" s="286"/>
      <c r="Q186" s="286"/>
      <c r="R186" s="286"/>
      <c r="S186" s="337">
        <f>42+58</f>
        <v>100</v>
      </c>
      <c r="T186" s="337">
        <v>0</v>
      </c>
      <c r="U186" s="286"/>
      <c r="V186" s="338">
        <f>S186+T186</f>
        <v>100</v>
      </c>
      <c r="W186" s="289"/>
      <c r="X186" s="5"/>
    </row>
    <row r="187" spans="1:24" ht="15.75" x14ac:dyDescent="0.25">
      <c r="A187" s="285"/>
      <c r="B187" s="286" t="s">
        <v>63</v>
      </c>
      <c r="C187" s="286"/>
      <c r="D187" s="286"/>
      <c r="E187" s="286"/>
      <c r="F187" s="286"/>
      <c r="G187" s="286"/>
      <c r="H187" s="286"/>
      <c r="I187" s="286"/>
      <c r="J187" s="286"/>
      <c r="K187" s="286"/>
      <c r="L187" s="286"/>
      <c r="M187" s="286"/>
      <c r="N187" s="286"/>
      <c r="O187" s="286"/>
      <c r="P187" s="286"/>
      <c r="Q187" s="286"/>
      <c r="R187" s="286"/>
      <c r="S187" s="338">
        <f>S185+S186</f>
        <v>12888</v>
      </c>
      <c r="T187" s="338">
        <f>T186+T185</f>
        <v>6095</v>
      </c>
      <c r="U187" s="286"/>
      <c r="V187" s="338">
        <f>S187+T187</f>
        <v>18983</v>
      </c>
      <c r="W187" s="289"/>
      <c r="X187" s="5"/>
    </row>
    <row r="188" spans="1:24" ht="15.75" x14ac:dyDescent="0.25">
      <c r="A188" s="285"/>
      <c r="B188" s="286" t="s">
        <v>64</v>
      </c>
      <c r="C188" s="286"/>
      <c r="D188" s="286"/>
      <c r="E188" s="286"/>
      <c r="F188" s="286"/>
      <c r="G188" s="286"/>
      <c r="H188" s="286"/>
      <c r="I188" s="286"/>
      <c r="J188" s="286"/>
      <c r="K188" s="286"/>
      <c r="L188" s="286"/>
      <c r="M188" s="286"/>
      <c r="N188" s="286"/>
      <c r="O188" s="286"/>
      <c r="P188" s="286"/>
      <c r="Q188" s="286"/>
      <c r="R188" s="286"/>
      <c r="S188" s="338">
        <f>S184-S187-T187</f>
        <v>141198.28</v>
      </c>
      <c r="T188" s="325"/>
      <c r="U188" s="286"/>
      <c r="V188" s="338"/>
      <c r="W188" s="289"/>
      <c r="X188" s="5"/>
    </row>
    <row r="189" spans="1:24" ht="16.5" thickBot="1" x14ac:dyDescent="0.3">
      <c r="A189" s="181"/>
      <c r="B189" s="212"/>
      <c r="C189" s="212"/>
      <c r="D189" s="212"/>
      <c r="E189" s="212"/>
      <c r="F189" s="212"/>
      <c r="G189" s="212"/>
      <c r="H189" s="212"/>
      <c r="I189" s="212"/>
      <c r="J189" s="212"/>
      <c r="K189" s="212"/>
      <c r="L189" s="212"/>
      <c r="M189" s="212"/>
      <c r="N189" s="212"/>
      <c r="O189" s="212"/>
      <c r="P189" s="212"/>
      <c r="Q189" s="212"/>
      <c r="R189" s="212"/>
      <c r="S189" s="212"/>
      <c r="T189" s="212"/>
      <c r="U189" s="212"/>
      <c r="V189" s="344"/>
      <c r="W189" s="212"/>
      <c r="X189" s="5"/>
    </row>
    <row r="190" spans="1:24" ht="15.75" x14ac:dyDescent="0.25">
      <c r="A190" s="179"/>
      <c r="B190" s="180"/>
      <c r="C190" s="180"/>
      <c r="D190" s="180"/>
      <c r="E190" s="180"/>
      <c r="F190" s="180"/>
      <c r="G190" s="180"/>
      <c r="H190" s="180"/>
      <c r="I190" s="180"/>
      <c r="J190" s="180"/>
      <c r="K190" s="180"/>
      <c r="L190" s="180"/>
      <c r="M190" s="180"/>
      <c r="N190" s="180"/>
      <c r="O190" s="180"/>
      <c r="P190" s="180"/>
      <c r="Q190" s="180"/>
      <c r="R190" s="180"/>
      <c r="S190" s="180"/>
      <c r="T190" s="180"/>
      <c r="U190" s="180"/>
      <c r="V190" s="201"/>
      <c r="W190" s="180"/>
      <c r="X190" s="5"/>
    </row>
    <row r="191" spans="1:24" ht="15.75" x14ac:dyDescent="0.25">
      <c r="A191" s="181"/>
      <c r="B191" s="210" t="s">
        <v>65</v>
      </c>
      <c r="C191" s="183"/>
      <c r="D191" s="183"/>
      <c r="E191" s="183"/>
      <c r="F191" s="183"/>
      <c r="G191" s="183"/>
      <c r="H191" s="183"/>
      <c r="I191" s="183"/>
      <c r="J191" s="183"/>
      <c r="K191" s="183"/>
      <c r="L191" s="183"/>
      <c r="M191" s="183"/>
      <c r="N191" s="183"/>
      <c r="O191" s="183"/>
      <c r="P191" s="183"/>
      <c r="Q191" s="183"/>
      <c r="R191" s="183"/>
      <c r="S191" s="183"/>
      <c r="T191" s="183"/>
      <c r="U191" s="183"/>
      <c r="V191" s="217"/>
      <c r="W191" s="183"/>
      <c r="X191" s="5"/>
    </row>
    <row r="192" spans="1:24" ht="15.75" x14ac:dyDescent="0.25">
      <c r="A192" s="285"/>
      <c r="B192" s="286" t="s">
        <v>66</v>
      </c>
      <c r="C192" s="286"/>
      <c r="D192" s="286"/>
      <c r="E192" s="286"/>
      <c r="F192" s="286"/>
      <c r="G192" s="286"/>
      <c r="H192" s="286"/>
      <c r="I192" s="286"/>
      <c r="J192" s="286"/>
      <c r="K192" s="286"/>
      <c r="L192" s="286"/>
      <c r="M192" s="286"/>
      <c r="N192" s="286"/>
      <c r="O192" s="286"/>
      <c r="P192" s="286"/>
      <c r="Q192" s="286"/>
      <c r="R192" s="286"/>
      <c r="S192" s="286"/>
      <c r="T192" s="286"/>
      <c r="U192" s="286"/>
      <c r="V192" s="343">
        <f>(V101+V103+V104+V105+V106)/-(V107+V108)</f>
        <v>3.6056218057921634</v>
      </c>
      <c r="W192" s="289" t="s">
        <v>115</v>
      </c>
      <c r="X192" s="5"/>
    </row>
    <row r="193" spans="1:24" ht="15.75" x14ac:dyDescent="0.25">
      <c r="A193" s="285"/>
      <c r="B193" s="286" t="s">
        <v>67</v>
      </c>
      <c r="C193" s="286"/>
      <c r="D193" s="286"/>
      <c r="E193" s="286"/>
      <c r="F193" s="286"/>
      <c r="G193" s="286"/>
      <c r="H193" s="286"/>
      <c r="I193" s="286"/>
      <c r="J193" s="286"/>
      <c r="K193" s="286"/>
      <c r="L193" s="286"/>
      <c r="M193" s="286"/>
      <c r="N193" s="286"/>
      <c r="O193" s="286"/>
      <c r="P193" s="286"/>
      <c r="Q193" s="286"/>
      <c r="R193" s="286"/>
      <c r="S193" s="286"/>
      <c r="T193" s="286"/>
      <c r="U193" s="286"/>
      <c r="V193" s="347">
        <v>2.0699999999999998</v>
      </c>
      <c r="W193" s="289" t="s">
        <v>115</v>
      </c>
      <c r="X193" s="5"/>
    </row>
    <row r="194" spans="1:24" ht="15.75" x14ac:dyDescent="0.25">
      <c r="A194" s="285"/>
      <c r="B194" s="286" t="s">
        <v>68</v>
      </c>
      <c r="C194" s="286"/>
      <c r="D194" s="286"/>
      <c r="E194" s="286"/>
      <c r="F194" s="286"/>
      <c r="G194" s="286"/>
      <c r="H194" s="286"/>
      <c r="I194" s="286"/>
      <c r="J194" s="286"/>
      <c r="K194" s="286"/>
      <c r="L194" s="286"/>
      <c r="M194" s="286"/>
      <c r="N194" s="286"/>
      <c r="O194" s="286"/>
      <c r="P194" s="286"/>
      <c r="Q194" s="286"/>
      <c r="R194" s="286"/>
      <c r="S194" s="286"/>
      <c r="T194" s="286"/>
      <c r="U194" s="286"/>
      <c r="V194" s="343">
        <f>(V101+V103+V104+V105+V106+V107+V108)/-(V109+V110)</f>
        <v>13.595555555555556</v>
      </c>
      <c r="W194" s="289" t="s">
        <v>115</v>
      </c>
      <c r="X194" s="5"/>
    </row>
    <row r="195" spans="1:24" ht="15.75" x14ac:dyDescent="0.25">
      <c r="A195" s="285"/>
      <c r="B195" s="286" t="s">
        <v>69</v>
      </c>
      <c r="C195" s="286"/>
      <c r="D195" s="286"/>
      <c r="E195" s="286"/>
      <c r="F195" s="286"/>
      <c r="G195" s="286"/>
      <c r="H195" s="286"/>
      <c r="I195" s="286"/>
      <c r="J195" s="286"/>
      <c r="K195" s="286"/>
      <c r="L195" s="286"/>
      <c r="M195" s="286"/>
      <c r="N195" s="286"/>
      <c r="O195" s="286"/>
      <c r="P195" s="286"/>
      <c r="Q195" s="286"/>
      <c r="R195" s="286"/>
      <c r="S195" s="286"/>
      <c r="T195" s="286"/>
      <c r="U195" s="286"/>
      <c r="V195" s="347">
        <v>9.39</v>
      </c>
      <c r="W195" s="289" t="s">
        <v>115</v>
      </c>
      <c r="X195" s="5"/>
    </row>
    <row r="196" spans="1:24" ht="15.75" x14ac:dyDescent="0.25">
      <c r="A196" s="285"/>
      <c r="B196" s="286" t="s">
        <v>198</v>
      </c>
      <c r="C196" s="286"/>
      <c r="D196" s="286"/>
      <c r="E196" s="286"/>
      <c r="F196" s="286"/>
      <c r="G196" s="286"/>
      <c r="H196" s="286"/>
      <c r="I196" s="286"/>
      <c r="J196" s="286"/>
      <c r="K196" s="286"/>
      <c r="L196" s="286"/>
      <c r="M196" s="286"/>
      <c r="N196" s="286"/>
      <c r="O196" s="286"/>
      <c r="P196" s="286"/>
      <c r="Q196" s="286"/>
      <c r="R196" s="286"/>
      <c r="S196" s="286"/>
      <c r="T196" s="286"/>
      <c r="U196" s="286"/>
      <c r="V196" s="343">
        <f>(V101+V103+V104+V105+V106+V107+V108+V109+V110)/-(V111)</f>
        <v>8.2383720930232567</v>
      </c>
      <c r="W196" s="289" t="s">
        <v>115</v>
      </c>
      <c r="X196" s="5"/>
    </row>
    <row r="197" spans="1:24" ht="15.75" x14ac:dyDescent="0.25">
      <c r="A197" s="285"/>
      <c r="B197" s="286" t="s">
        <v>199</v>
      </c>
      <c r="C197" s="286"/>
      <c r="D197" s="286"/>
      <c r="E197" s="286"/>
      <c r="F197" s="286"/>
      <c r="G197" s="286"/>
      <c r="H197" s="286"/>
      <c r="I197" s="286"/>
      <c r="J197" s="286"/>
      <c r="K197" s="286"/>
      <c r="L197" s="286"/>
      <c r="M197" s="286"/>
      <c r="N197" s="286"/>
      <c r="O197" s="286"/>
      <c r="P197" s="286"/>
      <c r="Q197" s="286"/>
      <c r="R197" s="286"/>
      <c r="S197" s="286"/>
      <c r="T197" s="286"/>
      <c r="U197" s="286"/>
      <c r="V197" s="347">
        <v>6.87</v>
      </c>
      <c r="W197" s="289" t="s">
        <v>115</v>
      </c>
      <c r="X197" s="5"/>
    </row>
    <row r="198" spans="1:24" ht="15.75" x14ac:dyDescent="0.25">
      <c r="A198" s="285"/>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9"/>
      <c r="X198" s="5"/>
    </row>
    <row r="199" spans="1:24" ht="15.75" x14ac:dyDescent="0.25">
      <c r="A199" s="181"/>
      <c r="B199" s="346"/>
      <c r="C199" s="346"/>
      <c r="D199" s="346"/>
      <c r="E199" s="346"/>
      <c r="F199" s="346"/>
      <c r="G199" s="346"/>
      <c r="H199" s="346"/>
      <c r="I199" s="346"/>
      <c r="J199" s="346"/>
      <c r="K199" s="346"/>
      <c r="L199" s="346"/>
      <c r="M199" s="346"/>
      <c r="N199" s="346"/>
      <c r="O199" s="346"/>
      <c r="P199" s="346"/>
      <c r="Q199" s="346"/>
      <c r="R199" s="346"/>
      <c r="S199" s="346"/>
      <c r="T199" s="346"/>
      <c r="U199" s="346"/>
      <c r="V199" s="346"/>
      <c r="W199" s="346"/>
      <c r="X199" s="5"/>
    </row>
    <row r="200" spans="1:24" ht="15.75" x14ac:dyDescent="0.25">
      <c r="A200" s="181"/>
      <c r="B200" s="255"/>
      <c r="C200" s="255"/>
      <c r="D200" s="255"/>
      <c r="E200" s="255"/>
      <c r="F200" s="255"/>
      <c r="G200" s="255"/>
      <c r="H200" s="255"/>
      <c r="I200" s="255"/>
      <c r="J200" s="255"/>
      <c r="K200" s="255"/>
      <c r="L200" s="255"/>
      <c r="M200" s="255"/>
      <c r="N200" s="255"/>
      <c r="O200" s="255"/>
      <c r="P200" s="255"/>
      <c r="Q200" s="255"/>
      <c r="R200" s="255"/>
      <c r="S200" s="255"/>
      <c r="T200" s="255"/>
      <c r="U200" s="255"/>
      <c r="V200" s="255"/>
      <c r="W200" s="255"/>
      <c r="X200" s="5"/>
    </row>
    <row r="201" spans="1:24" ht="19.5" thickBot="1" x14ac:dyDescent="0.35">
      <c r="A201" s="197"/>
      <c r="B201" s="270" t="str">
        <f>B135</f>
        <v>PM15 INVESTOR REPORT QUARTER ENDING MAY 2016</v>
      </c>
      <c r="C201" s="271"/>
      <c r="D201" s="271"/>
      <c r="E201" s="271"/>
      <c r="F201" s="271"/>
      <c r="G201" s="271"/>
      <c r="H201" s="271"/>
      <c r="I201" s="271"/>
      <c r="J201" s="271"/>
      <c r="K201" s="271"/>
      <c r="L201" s="271"/>
      <c r="M201" s="271"/>
      <c r="N201" s="271"/>
      <c r="O201" s="271"/>
      <c r="P201" s="271"/>
      <c r="Q201" s="271"/>
      <c r="R201" s="271"/>
      <c r="S201" s="271"/>
      <c r="T201" s="271"/>
      <c r="U201" s="271"/>
      <c r="V201" s="271"/>
      <c r="W201" s="272"/>
      <c r="X201" s="5"/>
    </row>
    <row r="202" spans="1:24" ht="15.75" x14ac:dyDescent="0.25">
      <c r="A202" s="236"/>
      <c r="B202" s="403" t="s">
        <v>70</v>
      </c>
      <c r="C202" s="404"/>
      <c r="D202" s="404"/>
      <c r="E202" s="404"/>
      <c r="F202" s="404"/>
      <c r="G202" s="405"/>
      <c r="H202" s="405"/>
      <c r="I202" s="405"/>
      <c r="J202" s="405"/>
      <c r="K202" s="405"/>
      <c r="L202" s="405"/>
      <c r="M202" s="405"/>
      <c r="N202" s="405"/>
      <c r="O202" s="405"/>
      <c r="P202" s="405"/>
      <c r="Q202" s="405"/>
      <c r="R202" s="405"/>
      <c r="S202" s="405"/>
      <c r="T202" s="405">
        <v>42521</v>
      </c>
      <c r="U202" s="238"/>
      <c r="V202" s="238"/>
      <c r="W202" s="238"/>
      <c r="X202" s="5"/>
    </row>
    <row r="203" spans="1:24" ht="15.75" x14ac:dyDescent="0.25">
      <c r="A203" s="218"/>
      <c r="B203" s="219"/>
      <c r="C203" s="220"/>
      <c r="D203" s="220"/>
      <c r="E203" s="220"/>
      <c r="F203" s="220"/>
      <c r="G203" s="221"/>
      <c r="H203" s="221"/>
      <c r="I203" s="221"/>
      <c r="J203" s="221"/>
      <c r="K203" s="221"/>
      <c r="L203" s="221"/>
      <c r="M203" s="221"/>
      <c r="N203" s="221"/>
      <c r="O203" s="221"/>
      <c r="P203" s="221"/>
      <c r="Q203" s="221"/>
      <c r="R203" s="221"/>
      <c r="S203" s="221"/>
      <c r="T203" s="221"/>
      <c r="U203" s="183"/>
      <c r="V203" s="183"/>
      <c r="W203" s="183"/>
      <c r="X203" s="5"/>
    </row>
    <row r="204" spans="1:24" ht="15.75" x14ac:dyDescent="0.25">
      <c r="A204" s="350"/>
      <c r="B204" s="286" t="s">
        <v>71</v>
      </c>
      <c r="C204" s="406"/>
      <c r="D204" s="406"/>
      <c r="E204" s="406"/>
      <c r="F204" s="406"/>
      <c r="G204" s="397"/>
      <c r="H204" s="397"/>
      <c r="I204" s="397"/>
      <c r="J204" s="397"/>
      <c r="K204" s="397"/>
      <c r="L204" s="397"/>
      <c r="M204" s="397"/>
      <c r="N204" s="397"/>
      <c r="O204" s="397"/>
      <c r="P204" s="397"/>
      <c r="Q204" s="397"/>
      <c r="R204" s="397"/>
      <c r="S204" s="397"/>
      <c r="T204" s="321">
        <v>5.3830000000000003E-2</v>
      </c>
      <c r="U204" s="286"/>
      <c r="V204" s="286"/>
      <c r="W204" s="289"/>
      <c r="X204" s="5"/>
    </row>
    <row r="205" spans="1:24" ht="15.75" x14ac:dyDescent="0.25">
      <c r="A205" s="350"/>
      <c r="B205" s="286" t="s">
        <v>151</v>
      </c>
      <c r="C205" s="406"/>
      <c r="D205" s="406"/>
      <c r="E205" s="406"/>
      <c r="F205" s="406"/>
      <c r="G205" s="397"/>
      <c r="H205" s="397"/>
      <c r="I205" s="397"/>
      <c r="J205" s="397"/>
      <c r="K205" s="397"/>
      <c r="L205" s="397"/>
      <c r="M205" s="397"/>
      <c r="N205" s="397"/>
      <c r="O205" s="397"/>
      <c r="P205" s="397"/>
      <c r="Q205" s="397"/>
      <c r="R205" s="397"/>
      <c r="S205" s="397"/>
      <c r="T205" s="321">
        <v>6.25E-2</v>
      </c>
      <c r="U205" s="286"/>
      <c r="V205" s="286"/>
      <c r="W205" s="289"/>
      <c r="X205" s="5"/>
    </row>
    <row r="206" spans="1:24" ht="15.75" x14ac:dyDescent="0.25">
      <c r="A206" s="350"/>
      <c r="B206" s="286" t="s">
        <v>72</v>
      </c>
      <c r="C206" s="406"/>
      <c r="D206" s="406"/>
      <c r="E206" s="406"/>
      <c r="F206" s="406"/>
      <c r="G206" s="397"/>
      <c r="H206" s="397"/>
      <c r="I206" s="397"/>
      <c r="J206" s="397"/>
      <c r="K206" s="397"/>
      <c r="L206" s="397"/>
      <c r="M206" s="397"/>
      <c r="N206" s="397"/>
      <c r="O206" s="397"/>
      <c r="P206" s="397"/>
      <c r="Q206" s="397"/>
      <c r="R206" s="397"/>
      <c r="S206" s="397"/>
      <c r="T206" s="321">
        <f>T204-T205</f>
        <v>-8.6699999999999972E-3</v>
      </c>
      <c r="U206" s="286"/>
      <c r="V206" s="286"/>
      <c r="W206" s="289"/>
      <c r="X206" s="5"/>
    </row>
    <row r="207" spans="1:24" ht="15.75" x14ac:dyDescent="0.25">
      <c r="A207" s="350"/>
      <c r="B207" s="286" t="s">
        <v>73</v>
      </c>
      <c r="C207" s="406"/>
      <c r="D207" s="406"/>
      <c r="E207" s="406"/>
      <c r="F207" s="406"/>
      <c r="G207" s="397"/>
      <c r="H207" s="397"/>
      <c r="I207" s="397"/>
      <c r="J207" s="397"/>
      <c r="K207" s="397"/>
      <c r="L207" s="397"/>
      <c r="M207" s="397"/>
      <c r="N207" s="397"/>
      <c r="O207" s="397"/>
      <c r="P207" s="397"/>
      <c r="Q207" s="397"/>
      <c r="R207" s="397"/>
      <c r="S207" s="397"/>
      <c r="T207" s="321">
        <v>2.52E-2</v>
      </c>
      <c r="U207" s="286"/>
      <c r="V207" s="286"/>
      <c r="W207" s="289"/>
      <c r="X207" s="5"/>
    </row>
    <row r="208" spans="1:24" ht="15.75" x14ac:dyDescent="0.25">
      <c r="A208" s="350"/>
      <c r="B208" s="286" t="s">
        <v>218</v>
      </c>
      <c r="C208" s="406"/>
      <c r="D208" s="406"/>
      <c r="E208" s="406"/>
      <c r="F208" s="406"/>
      <c r="G208" s="397"/>
      <c r="H208" s="397"/>
      <c r="I208" s="397"/>
      <c r="J208" s="397"/>
      <c r="K208" s="397"/>
      <c r="L208" s="397"/>
      <c r="M208" s="397"/>
      <c r="N208" s="397"/>
      <c r="O208" s="397"/>
      <c r="P208" s="397"/>
      <c r="Q208" s="397"/>
      <c r="R208" s="397"/>
      <c r="S208" s="397"/>
      <c r="T208" s="321">
        <f>V43</f>
        <v>9.6219059058976677E-3</v>
      </c>
      <c r="U208" s="286"/>
      <c r="V208" s="286"/>
      <c r="W208" s="289"/>
      <c r="X208" s="5"/>
    </row>
    <row r="209" spans="1:24" ht="15.75" x14ac:dyDescent="0.25">
      <c r="A209" s="350"/>
      <c r="B209" s="286" t="s">
        <v>74</v>
      </c>
      <c r="C209" s="406"/>
      <c r="D209" s="406"/>
      <c r="E209" s="406"/>
      <c r="F209" s="406"/>
      <c r="G209" s="397"/>
      <c r="H209" s="397"/>
      <c r="I209" s="397"/>
      <c r="J209" s="397"/>
      <c r="K209" s="397"/>
      <c r="L209" s="397"/>
      <c r="M209" s="397"/>
      <c r="N209" s="397"/>
      <c r="O209" s="397"/>
      <c r="P209" s="397"/>
      <c r="Q209" s="397"/>
      <c r="R209" s="397"/>
      <c r="S209" s="397"/>
      <c r="T209" s="321">
        <f>T207-T208</f>
        <v>1.5578094094102332E-2</v>
      </c>
      <c r="U209" s="286"/>
      <c r="V209" s="286"/>
      <c r="W209" s="289"/>
      <c r="X209" s="5"/>
    </row>
    <row r="210" spans="1:24" ht="15.75" x14ac:dyDescent="0.25">
      <c r="A210" s="350"/>
      <c r="B210" s="286" t="s">
        <v>227</v>
      </c>
      <c r="C210" s="406"/>
      <c r="D210" s="406"/>
      <c r="E210" s="406"/>
      <c r="F210" s="406"/>
      <c r="G210" s="397"/>
      <c r="H210" s="397"/>
      <c r="I210" s="397"/>
      <c r="J210" s="397"/>
      <c r="K210" s="397"/>
      <c r="L210" s="397"/>
      <c r="M210" s="397"/>
      <c r="N210" s="397"/>
      <c r="O210" s="397"/>
      <c r="P210" s="397"/>
      <c r="Q210" s="397"/>
      <c r="R210" s="397"/>
      <c r="S210" s="397"/>
      <c r="T210" s="321">
        <f>V101/N71</f>
        <v>6.4719562471833849E-3</v>
      </c>
      <c r="U210" s="286"/>
      <c r="V210" s="286"/>
      <c r="W210" s="289"/>
      <c r="X210" s="5"/>
    </row>
    <row r="211" spans="1:24" ht="15.75" x14ac:dyDescent="0.25">
      <c r="A211" s="350"/>
      <c r="B211" s="286" t="s">
        <v>207</v>
      </c>
      <c r="C211" s="406"/>
      <c r="D211" s="406"/>
      <c r="E211" s="406"/>
      <c r="F211" s="406"/>
      <c r="G211" s="397"/>
      <c r="H211" s="397"/>
      <c r="I211" s="397"/>
      <c r="J211" s="397"/>
      <c r="K211" s="397"/>
      <c r="L211" s="397"/>
      <c r="M211" s="397"/>
      <c r="N211" s="397"/>
      <c r="O211" s="397"/>
      <c r="P211" s="397"/>
      <c r="Q211" s="397"/>
      <c r="R211" s="397"/>
      <c r="S211" s="397"/>
      <c r="T211" s="352">
        <v>51105</v>
      </c>
      <c r="U211" s="286"/>
      <c r="V211" s="286"/>
      <c r="W211" s="289"/>
      <c r="X211" s="5"/>
    </row>
    <row r="212" spans="1:24" ht="15.75" x14ac:dyDescent="0.25">
      <c r="A212" s="350"/>
      <c r="B212" s="286" t="s">
        <v>208</v>
      </c>
      <c r="C212" s="406"/>
      <c r="D212" s="406"/>
      <c r="E212" s="406"/>
      <c r="F212" s="406"/>
      <c r="G212" s="397"/>
      <c r="H212" s="397"/>
      <c r="I212" s="397"/>
      <c r="J212" s="397"/>
      <c r="K212" s="397"/>
      <c r="L212" s="397"/>
      <c r="M212" s="397"/>
      <c r="N212" s="397"/>
      <c r="O212" s="397"/>
      <c r="P212" s="397"/>
      <c r="Q212" s="397"/>
      <c r="R212" s="397"/>
      <c r="S212" s="397"/>
      <c r="T212" s="352">
        <v>51105</v>
      </c>
      <c r="U212" s="286"/>
      <c r="V212" s="286"/>
      <c r="W212" s="289"/>
      <c r="X212" s="5"/>
    </row>
    <row r="213" spans="1:24" ht="15.75" x14ac:dyDescent="0.25">
      <c r="A213" s="350"/>
      <c r="B213" s="286" t="s">
        <v>209</v>
      </c>
      <c r="C213" s="406"/>
      <c r="D213" s="406"/>
      <c r="E213" s="406"/>
      <c r="F213" s="406"/>
      <c r="G213" s="397"/>
      <c r="H213" s="397"/>
      <c r="I213" s="397"/>
      <c r="J213" s="397"/>
      <c r="K213" s="397"/>
      <c r="L213" s="397"/>
      <c r="M213" s="397"/>
      <c r="N213" s="397"/>
      <c r="O213" s="397"/>
      <c r="P213" s="397"/>
      <c r="Q213" s="397"/>
      <c r="R213" s="397"/>
      <c r="S213" s="397"/>
      <c r="T213" s="352">
        <v>51105</v>
      </c>
      <c r="U213" s="286"/>
      <c r="V213" s="286"/>
      <c r="W213" s="289"/>
      <c r="X213" s="5"/>
    </row>
    <row r="214" spans="1:24" ht="15.75" x14ac:dyDescent="0.25">
      <c r="A214" s="350"/>
      <c r="B214" s="286" t="s">
        <v>75</v>
      </c>
      <c r="C214" s="406"/>
      <c r="D214" s="406"/>
      <c r="E214" s="406"/>
      <c r="F214" s="406"/>
      <c r="G214" s="397"/>
      <c r="H214" s="397"/>
      <c r="I214" s="397"/>
      <c r="J214" s="397"/>
      <c r="K214" s="397"/>
      <c r="L214" s="397"/>
      <c r="M214" s="397"/>
      <c r="N214" s="397"/>
      <c r="O214" s="397"/>
      <c r="P214" s="397"/>
      <c r="Q214" s="397"/>
      <c r="R214" s="397"/>
      <c r="S214" s="397"/>
      <c r="T214" s="327">
        <v>21.06</v>
      </c>
      <c r="U214" s="286" t="s">
        <v>110</v>
      </c>
      <c r="V214" s="286"/>
      <c r="W214" s="289"/>
      <c r="X214" s="5"/>
    </row>
    <row r="215" spans="1:24" ht="15.75" x14ac:dyDescent="0.25">
      <c r="A215" s="350"/>
      <c r="B215" s="286" t="s">
        <v>76</v>
      </c>
      <c r="C215" s="406"/>
      <c r="D215" s="406"/>
      <c r="E215" s="406"/>
      <c r="F215" s="406"/>
      <c r="G215" s="397"/>
      <c r="H215" s="397"/>
      <c r="I215" s="397"/>
      <c r="J215" s="397"/>
      <c r="K215" s="397"/>
      <c r="L215" s="397"/>
      <c r="M215" s="397"/>
      <c r="N215" s="397"/>
      <c r="O215" s="397"/>
      <c r="P215" s="397"/>
      <c r="Q215" s="397"/>
      <c r="R215" s="397"/>
      <c r="S215" s="397"/>
      <c r="T215" s="327">
        <v>12.55</v>
      </c>
      <c r="U215" s="286" t="s">
        <v>110</v>
      </c>
      <c r="V215" s="286"/>
      <c r="W215" s="289"/>
      <c r="X215" s="5"/>
    </row>
    <row r="216" spans="1:24" ht="15.75" x14ac:dyDescent="0.25">
      <c r="A216" s="350"/>
      <c r="B216" s="286" t="s">
        <v>77</v>
      </c>
      <c r="C216" s="406"/>
      <c r="D216" s="406"/>
      <c r="E216" s="406"/>
      <c r="F216" s="406"/>
      <c r="G216" s="397"/>
      <c r="H216" s="397"/>
      <c r="I216" s="397"/>
      <c r="J216" s="397"/>
      <c r="K216" s="397"/>
      <c r="L216" s="397"/>
      <c r="M216" s="397"/>
      <c r="N216" s="397"/>
      <c r="O216" s="397"/>
      <c r="P216" s="397"/>
      <c r="Q216" s="397"/>
      <c r="R216" s="397"/>
      <c r="S216" s="397"/>
      <c r="T216" s="321">
        <f>+P68/N68</f>
        <v>2.1361767471360933E-2</v>
      </c>
      <c r="U216" s="286"/>
      <c r="V216" s="286"/>
      <c r="W216" s="289"/>
      <c r="X216" s="5"/>
    </row>
    <row r="217" spans="1:24" ht="15.75" x14ac:dyDescent="0.25">
      <c r="A217" s="350"/>
      <c r="B217" s="286" t="s">
        <v>78</v>
      </c>
      <c r="C217" s="406"/>
      <c r="D217" s="406"/>
      <c r="E217" s="406"/>
      <c r="F217" s="406"/>
      <c r="G217" s="397"/>
      <c r="H217" s="397"/>
      <c r="I217" s="397"/>
      <c r="J217" s="397"/>
      <c r="K217" s="397"/>
      <c r="L217" s="397"/>
      <c r="M217" s="397"/>
      <c r="N217" s="397"/>
      <c r="O217" s="397"/>
      <c r="P217" s="397"/>
      <c r="Q217" s="397"/>
      <c r="R217" s="397"/>
      <c r="S217" s="397"/>
      <c r="T217" s="321">
        <v>4.07E-2</v>
      </c>
      <c r="U217" s="286"/>
      <c r="V217" s="286"/>
      <c r="W217" s="289"/>
      <c r="X217" s="5"/>
    </row>
    <row r="218" spans="1:24" ht="15.75" x14ac:dyDescent="0.25">
      <c r="A218" s="218"/>
      <c r="B218" s="348"/>
      <c r="C218" s="348"/>
      <c r="D218" s="348"/>
      <c r="E218" s="348"/>
      <c r="F218" s="348"/>
      <c r="G218" s="212"/>
      <c r="H218" s="212"/>
      <c r="I218" s="212"/>
      <c r="J218" s="212"/>
      <c r="K218" s="212"/>
      <c r="L218" s="212"/>
      <c r="M218" s="212"/>
      <c r="N218" s="212"/>
      <c r="O218" s="212"/>
      <c r="P218" s="212"/>
      <c r="Q218" s="212"/>
      <c r="R218" s="212"/>
      <c r="S218" s="212"/>
      <c r="T218" s="344"/>
      <c r="U218" s="212"/>
      <c r="V218" s="349"/>
      <c r="W218" s="212"/>
      <c r="X218" s="5"/>
    </row>
    <row r="219" spans="1:24" ht="15.75" x14ac:dyDescent="0.25">
      <c r="A219" s="242"/>
      <c r="B219" s="399" t="s">
        <v>79</v>
      </c>
      <c r="C219" s="400"/>
      <c r="D219" s="400"/>
      <c r="E219" s="400"/>
      <c r="F219" s="407"/>
      <c r="G219" s="400"/>
      <c r="H219" s="400"/>
      <c r="I219" s="400"/>
      <c r="J219" s="400"/>
      <c r="K219" s="400"/>
      <c r="L219" s="400"/>
      <c r="M219" s="400"/>
      <c r="N219" s="400"/>
      <c r="O219" s="400"/>
      <c r="P219" s="400"/>
      <c r="Q219" s="400"/>
      <c r="R219" s="400"/>
      <c r="S219" s="400" t="s">
        <v>102</v>
      </c>
      <c r="T219" s="407" t="s">
        <v>108</v>
      </c>
      <c r="U219" s="225"/>
      <c r="V219" s="225"/>
      <c r="W219" s="225"/>
      <c r="X219" s="5"/>
    </row>
    <row r="220" spans="1:24" ht="15.75" x14ac:dyDescent="0.25">
      <c r="A220" s="222"/>
      <c r="B220" s="250" t="s">
        <v>80</v>
      </c>
      <c r="C220" s="249"/>
      <c r="D220" s="249"/>
      <c r="E220" s="249"/>
      <c r="F220" s="250"/>
      <c r="G220" s="250"/>
      <c r="H220" s="268"/>
      <c r="I220" s="268"/>
      <c r="J220" s="268"/>
      <c r="K220" s="268"/>
      <c r="L220" s="268"/>
      <c r="M220" s="268"/>
      <c r="N220" s="268"/>
      <c r="O220" s="268"/>
      <c r="P220" s="268"/>
      <c r="Q220" s="268"/>
      <c r="R220" s="268"/>
      <c r="S220" s="268">
        <v>5</v>
      </c>
      <c r="T220" s="269">
        <v>739</v>
      </c>
      <c r="U220" s="250"/>
      <c r="V220" s="266"/>
      <c r="W220" s="223"/>
      <c r="X220" s="5"/>
    </row>
    <row r="221" spans="1:24" ht="15.75" x14ac:dyDescent="0.25">
      <c r="A221" s="358"/>
      <c r="B221" s="286" t="s">
        <v>145</v>
      </c>
      <c r="C221" s="337"/>
      <c r="D221" s="337"/>
      <c r="E221" s="337"/>
      <c r="F221" s="286"/>
      <c r="G221" s="286"/>
      <c r="H221" s="296"/>
      <c r="I221" s="296"/>
      <c r="J221" s="296"/>
      <c r="K221" s="296"/>
      <c r="L221" s="296"/>
      <c r="M221" s="296"/>
      <c r="N221" s="296"/>
      <c r="O221" s="296"/>
      <c r="P221" s="296"/>
      <c r="Q221" s="296"/>
      <c r="R221" s="296"/>
      <c r="S221" s="359">
        <f>+R273</f>
        <v>86</v>
      </c>
      <c r="T221" s="360">
        <f>+T273</f>
        <v>11626</v>
      </c>
      <c r="U221" s="286"/>
      <c r="V221" s="361"/>
      <c r="W221" s="362"/>
      <c r="X221" s="5"/>
    </row>
    <row r="222" spans="1:24" ht="15.75" x14ac:dyDescent="0.25">
      <c r="A222" s="358"/>
      <c r="B222" s="286" t="s">
        <v>81</v>
      </c>
      <c r="C222" s="337"/>
      <c r="D222" s="337"/>
      <c r="E222" s="337"/>
      <c r="F222" s="286"/>
      <c r="G222" s="286"/>
      <c r="H222" s="296"/>
      <c r="I222" s="296"/>
      <c r="J222" s="296"/>
      <c r="K222" s="296"/>
      <c r="L222" s="296"/>
      <c r="M222" s="296"/>
      <c r="N222" s="296"/>
      <c r="O222" s="296"/>
      <c r="P222" s="296"/>
      <c r="Q222" s="296"/>
      <c r="R222" s="296"/>
      <c r="S222" s="359">
        <f>+R285</f>
        <v>0</v>
      </c>
      <c r="T222" s="360">
        <f>+T285</f>
        <v>0</v>
      </c>
      <c r="U222" s="286"/>
      <c r="V222" s="361"/>
      <c r="W222" s="362"/>
      <c r="X222" s="5"/>
    </row>
    <row r="223" spans="1:24" ht="15.75" x14ac:dyDescent="0.25">
      <c r="A223" s="358"/>
      <c r="B223" s="313" t="s">
        <v>82</v>
      </c>
      <c r="C223" s="363"/>
      <c r="D223" s="363"/>
      <c r="E223" s="363"/>
      <c r="F223" s="314"/>
      <c r="G223" s="314"/>
      <c r="H223" s="314"/>
      <c r="I223" s="314"/>
      <c r="J223" s="314"/>
      <c r="K223" s="314"/>
      <c r="L223" s="314"/>
      <c r="M223" s="314"/>
      <c r="N223" s="314"/>
      <c r="O223" s="314"/>
      <c r="P223" s="314"/>
      <c r="Q223" s="314"/>
      <c r="R223" s="314"/>
      <c r="S223" s="286"/>
      <c r="T223" s="360">
        <v>0</v>
      </c>
      <c r="U223" s="314"/>
      <c r="V223" s="364"/>
      <c r="W223" s="362"/>
      <c r="X223" s="5"/>
    </row>
    <row r="224" spans="1:24" ht="15.75" x14ac:dyDescent="0.25">
      <c r="A224" s="358"/>
      <c r="B224" s="313" t="s">
        <v>228</v>
      </c>
      <c r="C224" s="363"/>
      <c r="D224" s="363"/>
      <c r="E224" s="363"/>
      <c r="F224" s="314"/>
      <c r="G224" s="314"/>
      <c r="H224" s="314"/>
      <c r="I224" s="314"/>
      <c r="J224" s="314"/>
      <c r="K224" s="314"/>
      <c r="L224" s="314"/>
      <c r="M224" s="314"/>
      <c r="N224" s="314"/>
      <c r="O224" s="314"/>
      <c r="P224" s="314"/>
      <c r="Q224" s="314"/>
      <c r="R224" s="314"/>
      <c r="S224" s="286"/>
      <c r="T224" s="360">
        <f>+N81</f>
        <v>0</v>
      </c>
      <c r="U224" s="314"/>
      <c r="V224" s="364"/>
      <c r="W224" s="362"/>
      <c r="X224" s="5"/>
    </row>
    <row r="225" spans="1:24" ht="15.75" x14ac:dyDescent="0.25">
      <c r="A225" s="365"/>
      <c r="B225" s="313" t="s">
        <v>83</v>
      </c>
      <c r="C225" s="366"/>
      <c r="D225" s="366"/>
      <c r="E225" s="366"/>
      <c r="F225" s="366"/>
      <c r="G225" s="314"/>
      <c r="H225" s="314"/>
      <c r="I225" s="314"/>
      <c r="J225" s="314"/>
      <c r="K225" s="314"/>
      <c r="L225" s="314"/>
      <c r="M225" s="314"/>
      <c r="N225" s="314"/>
      <c r="O225" s="314"/>
      <c r="P225" s="314"/>
      <c r="Q225" s="314"/>
      <c r="R225" s="314"/>
      <c r="S225" s="286"/>
      <c r="T225" s="360"/>
      <c r="U225" s="314"/>
      <c r="V225" s="364"/>
      <c r="W225" s="367"/>
      <c r="X225" s="5"/>
    </row>
    <row r="226" spans="1:24" ht="15.75" x14ac:dyDescent="0.25">
      <c r="A226" s="365"/>
      <c r="B226" s="286" t="s">
        <v>84</v>
      </c>
      <c r="C226" s="366"/>
      <c r="D226" s="366"/>
      <c r="E226" s="366"/>
      <c r="F226" s="366"/>
      <c r="G226" s="314"/>
      <c r="H226" s="314"/>
      <c r="I226" s="314"/>
      <c r="J226" s="314"/>
      <c r="K226" s="314"/>
      <c r="L226" s="314"/>
      <c r="M226" s="314"/>
      <c r="N226" s="314"/>
      <c r="O226" s="314"/>
      <c r="P226" s="314"/>
      <c r="Q226" s="314"/>
      <c r="R226" s="314"/>
      <c r="S226" s="296"/>
      <c r="T226" s="360">
        <f>V164</f>
        <v>11</v>
      </c>
      <c r="U226" s="314"/>
      <c r="V226" s="364"/>
      <c r="W226" s="367"/>
      <c r="X226" s="5"/>
    </row>
    <row r="227" spans="1:24" ht="15.75" x14ac:dyDescent="0.25">
      <c r="A227" s="358"/>
      <c r="B227" s="286" t="s">
        <v>85</v>
      </c>
      <c r="C227" s="363"/>
      <c r="D227" s="363"/>
      <c r="E227" s="363"/>
      <c r="F227" s="363"/>
      <c r="G227" s="314"/>
      <c r="H227" s="314"/>
      <c r="I227" s="314"/>
      <c r="J227" s="314"/>
      <c r="K227" s="314"/>
      <c r="L227" s="314"/>
      <c r="M227" s="314"/>
      <c r="N227" s="314"/>
      <c r="O227" s="314"/>
      <c r="P227" s="314"/>
      <c r="Q227" s="314"/>
      <c r="R227" s="314"/>
      <c r="S227" s="296"/>
      <c r="T227" s="360">
        <f>'Feb 16'!T227+T226</f>
        <v>8065</v>
      </c>
      <c r="U227" s="314"/>
      <c r="V227" s="364"/>
      <c r="W227" s="367"/>
      <c r="X227" s="5"/>
    </row>
    <row r="228" spans="1:24" ht="15.75" x14ac:dyDescent="0.25">
      <c r="A228" s="365"/>
      <c r="B228" s="313" t="s">
        <v>285</v>
      </c>
      <c r="C228" s="366"/>
      <c r="D228" s="366"/>
      <c r="E228" s="366"/>
      <c r="F228" s="366"/>
      <c r="G228" s="314"/>
      <c r="H228" s="314"/>
      <c r="I228" s="314"/>
      <c r="J228" s="314"/>
      <c r="K228" s="314"/>
      <c r="L228" s="314"/>
      <c r="M228" s="314"/>
      <c r="N228" s="314"/>
      <c r="O228" s="314"/>
      <c r="P228" s="314"/>
      <c r="Q228" s="314"/>
      <c r="R228" s="314"/>
      <c r="S228" s="296"/>
      <c r="T228" s="360"/>
      <c r="U228" s="314"/>
      <c r="V228" s="364"/>
      <c r="W228" s="367"/>
      <c r="X228" s="5"/>
    </row>
    <row r="229" spans="1:24" ht="15.75" x14ac:dyDescent="0.25">
      <c r="A229" s="365"/>
      <c r="B229" s="286" t="s">
        <v>282</v>
      </c>
      <c r="C229" s="366"/>
      <c r="D229" s="366"/>
      <c r="E229" s="366"/>
      <c r="F229" s="366"/>
      <c r="G229" s="314"/>
      <c r="H229" s="314"/>
      <c r="I229" s="314"/>
      <c r="J229" s="314"/>
      <c r="K229" s="314"/>
      <c r="L229" s="314"/>
      <c r="M229" s="314"/>
      <c r="N229" s="314"/>
      <c r="O229" s="314"/>
      <c r="P229" s="314"/>
      <c r="Q229" s="314"/>
      <c r="R229" s="314"/>
      <c r="S229" s="296">
        <v>0</v>
      </c>
      <c r="T229" s="360">
        <v>0</v>
      </c>
      <c r="U229" s="314"/>
      <c r="V229" s="364"/>
      <c r="W229" s="367"/>
      <c r="X229" s="5"/>
    </row>
    <row r="230" spans="1:24" ht="15.75" x14ac:dyDescent="0.25">
      <c r="A230" s="358"/>
      <c r="B230" s="286" t="s">
        <v>86</v>
      </c>
      <c r="C230" s="368"/>
      <c r="D230" s="368"/>
      <c r="E230" s="368"/>
      <c r="F230" s="369"/>
      <c r="G230" s="314"/>
      <c r="H230" s="314"/>
      <c r="I230" s="314"/>
      <c r="J230" s="314"/>
      <c r="K230" s="314"/>
      <c r="L230" s="314"/>
      <c r="M230" s="314"/>
      <c r="N230" s="314"/>
      <c r="O230" s="314"/>
      <c r="P230" s="314"/>
      <c r="Q230" s="314"/>
      <c r="R230" s="314"/>
      <c r="S230" s="286"/>
      <c r="T230" s="370">
        <v>0</v>
      </c>
      <c r="U230" s="314"/>
      <c r="V230" s="364"/>
      <c r="W230" s="367"/>
      <c r="X230" s="5"/>
    </row>
    <row r="231" spans="1:24" ht="15.75" x14ac:dyDescent="0.25">
      <c r="A231" s="358"/>
      <c r="B231" s="286" t="s">
        <v>87</v>
      </c>
      <c r="C231" s="368"/>
      <c r="D231" s="368"/>
      <c r="E231" s="368"/>
      <c r="F231" s="369"/>
      <c r="G231" s="314"/>
      <c r="H231" s="314"/>
      <c r="I231" s="314"/>
      <c r="J231" s="314"/>
      <c r="K231" s="314"/>
      <c r="L231" s="314"/>
      <c r="M231" s="314"/>
      <c r="N231" s="314"/>
      <c r="O231" s="314"/>
      <c r="P231" s="314"/>
      <c r="Q231" s="314"/>
      <c r="R231" s="314"/>
      <c r="S231" s="286"/>
      <c r="T231" s="370">
        <v>0</v>
      </c>
      <c r="U231" s="314"/>
      <c r="V231" s="364"/>
      <c r="W231" s="367"/>
      <c r="X231" s="5"/>
    </row>
    <row r="232" spans="1:24" ht="15.75" x14ac:dyDescent="0.25">
      <c r="A232" s="358"/>
      <c r="B232" s="313" t="s">
        <v>216</v>
      </c>
      <c r="C232" s="368"/>
      <c r="D232" s="368"/>
      <c r="E232" s="368"/>
      <c r="F232" s="369"/>
      <c r="G232" s="314"/>
      <c r="H232" s="314"/>
      <c r="I232" s="314"/>
      <c r="J232" s="314"/>
      <c r="K232" s="314"/>
      <c r="L232" s="314"/>
      <c r="M232" s="314"/>
      <c r="N232" s="314"/>
      <c r="O232" s="314"/>
      <c r="P232" s="314"/>
      <c r="Q232" s="314"/>
      <c r="R232" s="314"/>
      <c r="S232" s="286"/>
      <c r="T232" s="371"/>
      <c r="U232" s="314"/>
      <c r="V232" s="364"/>
      <c r="W232" s="367"/>
      <c r="X232" s="5"/>
    </row>
    <row r="233" spans="1:24" ht="15.75" x14ac:dyDescent="0.25">
      <c r="A233" s="358"/>
      <c r="B233" s="286" t="s">
        <v>282</v>
      </c>
      <c r="C233" s="368"/>
      <c r="D233" s="368"/>
      <c r="E233" s="368"/>
      <c r="F233" s="369"/>
      <c r="G233" s="314"/>
      <c r="H233" s="314"/>
      <c r="I233" s="314"/>
      <c r="J233" s="314"/>
      <c r="K233" s="314"/>
      <c r="L233" s="314"/>
      <c r="M233" s="314"/>
      <c r="N233" s="314"/>
      <c r="O233" s="314"/>
      <c r="P233" s="314"/>
      <c r="Q233" s="314"/>
      <c r="R233" s="314"/>
      <c r="S233" s="296">
        <v>4</v>
      </c>
      <c r="T233" s="360">
        <v>367</v>
      </c>
      <c r="U233" s="314"/>
      <c r="V233" s="364"/>
      <c r="W233" s="367"/>
      <c r="X233" s="5"/>
    </row>
    <row r="234" spans="1:24" ht="15.75" x14ac:dyDescent="0.25">
      <c r="A234" s="358"/>
      <c r="B234" s="286" t="s">
        <v>217</v>
      </c>
      <c r="C234" s="368"/>
      <c r="D234" s="368"/>
      <c r="E234" s="368"/>
      <c r="F234" s="369"/>
      <c r="G234" s="314"/>
      <c r="H234" s="314"/>
      <c r="I234" s="314"/>
      <c r="J234" s="314"/>
      <c r="K234" s="314"/>
      <c r="L234" s="314"/>
      <c r="M234" s="314"/>
      <c r="N234" s="314"/>
      <c r="O234" s="314"/>
      <c r="P234" s="314"/>
      <c r="Q234" s="314"/>
      <c r="R234" s="314"/>
      <c r="S234" s="286"/>
      <c r="T234" s="370">
        <v>0.72</v>
      </c>
      <c r="U234" s="314"/>
      <c r="V234" s="364"/>
      <c r="W234" s="367"/>
      <c r="X234" s="5"/>
    </row>
    <row r="235" spans="1:24" ht="15.75" x14ac:dyDescent="0.25">
      <c r="A235" s="358"/>
      <c r="B235" s="366"/>
      <c r="C235" s="368"/>
      <c r="D235" s="368"/>
      <c r="E235" s="368"/>
      <c r="F235" s="369"/>
      <c r="G235" s="314"/>
      <c r="H235" s="314"/>
      <c r="I235" s="314"/>
      <c r="J235" s="314"/>
      <c r="K235" s="314"/>
      <c r="L235" s="314"/>
      <c r="M235" s="314"/>
      <c r="N235" s="314"/>
      <c r="O235" s="314"/>
      <c r="P235" s="314"/>
      <c r="Q235" s="314"/>
      <c r="R235" s="314"/>
      <c r="S235" s="286"/>
      <c r="T235" s="371"/>
      <c r="U235" s="314"/>
      <c r="V235" s="364"/>
      <c r="W235" s="367"/>
      <c r="X235" s="5"/>
    </row>
    <row r="236" spans="1:24" ht="15.75" x14ac:dyDescent="0.25">
      <c r="A236" s="358"/>
      <c r="B236" s="366"/>
      <c r="C236" s="368"/>
      <c r="D236" s="368"/>
      <c r="E236" s="368"/>
      <c r="F236" s="369"/>
      <c r="G236" s="314"/>
      <c r="H236" s="314"/>
      <c r="I236" s="314"/>
      <c r="J236" s="314"/>
      <c r="K236" s="314"/>
      <c r="L236" s="314"/>
      <c r="M236" s="314"/>
      <c r="N236" s="314"/>
      <c r="O236" s="314"/>
      <c r="P236" s="314"/>
      <c r="Q236" s="314"/>
      <c r="R236" s="314"/>
      <c r="S236" s="314"/>
      <c r="T236" s="372"/>
      <c r="U236" s="314"/>
      <c r="V236" s="364"/>
      <c r="W236" s="367"/>
      <c r="X236" s="5"/>
    </row>
    <row r="237" spans="1:24" ht="18.75" x14ac:dyDescent="0.3">
      <c r="A237" s="358"/>
      <c r="B237" s="373" t="s">
        <v>168</v>
      </c>
      <c r="C237" s="368"/>
      <c r="D237" s="368"/>
      <c r="E237" s="368"/>
      <c r="F237" s="369"/>
      <c r="G237" s="314"/>
      <c r="H237" s="314"/>
      <c r="I237" s="314"/>
      <c r="J237" s="314"/>
      <c r="K237" s="314"/>
      <c r="L237" s="314"/>
      <c r="M237" s="314"/>
      <c r="N237" s="314"/>
      <c r="O237" s="314"/>
      <c r="P237" s="374" t="s">
        <v>167</v>
      </c>
      <c r="Q237" s="314"/>
      <c r="R237" s="314"/>
      <c r="S237" s="314"/>
      <c r="T237" s="372"/>
      <c r="U237" s="314"/>
      <c r="V237" s="364"/>
      <c r="W237" s="367"/>
      <c r="X237" s="5"/>
    </row>
    <row r="238" spans="1:24" ht="15.75" x14ac:dyDescent="0.25">
      <c r="A238" s="353"/>
      <c r="B238" s="348"/>
      <c r="C238" s="354"/>
      <c r="D238" s="354"/>
      <c r="E238" s="354"/>
      <c r="F238" s="355"/>
      <c r="G238" s="212"/>
      <c r="H238" s="212"/>
      <c r="I238" s="212"/>
      <c r="J238" s="212"/>
      <c r="K238" s="212"/>
      <c r="L238" s="212"/>
      <c r="M238" s="212"/>
      <c r="N238" s="212"/>
      <c r="O238" s="212"/>
      <c r="P238" s="212"/>
      <c r="Q238" s="212"/>
      <c r="R238" s="212"/>
      <c r="S238" s="212"/>
      <c r="T238" s="356"/>
      <c r="U238" s="212"/>
      <c r="V238" s="349"/>
      <c r="W238" s="357"/>
      <c r="X238" s="5"/>
    </row>
    <row r="239" spans="1:24" ht="15.75" x14ac:dyDescent="0.25">
      <c r="A239" s="224"/>
      <c r="B239" s="399" t="s">
        <v>297</v>
      </c>
      <c r="C239" s="400"/>
      <c r="D239" s="400"/>
      <c r="E239" s="400"/>
      <c r="F239" s="407"/>
      <c r="G239" s="400"/>
      <c r="H239" s="400"/>
      <c r="I239" s="400"/>
      <c r="J239" s="400"/>
      <c r="K239" s="400"/>
      <c r="L239" s="400"/>
      <c r="M239" s="400"/>
      <c r="N239" s="400"/>
      <c r="O239" s="400"/>
      <c r="P239" s="400"/>
      <c r="Q239" s="400"/>
      <c r="R239" s="407" t="s">
        <v>102</v>
      </c>
      <c r="S239" s="400" t="s">
        <v>103</v>
      </c>
      <c r="T239" s="407" t="s">
        <v>109</v>
      </c>
      <c r="U239" s="400" t="s">
        <v>103</v>
      </c>
      <c r="V239" s="225"/>
      <c r="W239" s="399"/>
      <c r="X239" s="5"/>
    </row>
    <row r="240" spans="1:24" ht="15.75" x14ac:dyDescent="0.25">
      <c r="A240" s="193"/>
      <c r="B240" s="249" t="s">
        <v>88</v>
      </c>
      <c r="C240" s="265"/>
      <c r="D240" s="265"/>
      <c r="E240" s="265"/>
      <c r="F240" s="250"/>
      <c r="G240" s="265"/>
      <c r="H240" s="265"/>
      <c r="I240" s="265"/>
      <c r="J240" s="265"/>
      <c r="K240" s="265"/>
      <c r="L240" s="265"/>
      <c r="M240" s="265"/>
      <c r="N240" s="265"/>
      <c r="O240" s="265"/>
      <c r="P240" s="265"/>
      <c r="Q240" s="265"/>
      <c r="R240" s="249">
        <f t="shared" ref="R240:R247" si="1">+R252+R264+R276</f>
        <v>5045</v>
      </c>
      <c r="S240" s="252">
        <f t="shared" ref="S240:S247" si="2">R240/$R$249</f>
        <v>0.99487280615263263</v>
      </c>
      <c r="T240" s="253">
        <f t="shared" ref="T240:T247" si="3">+T252+T264+T276</f>
        <v>700009</v>
      </c>
      <c r="U240" s="252">
        <f t="shared" ref="U240:U247" si="4">T240/$T$249</f>
        <v>0.99476900339638197</v>
      </c>
      <c r="V240" s="266"/>
      <c r="W240" s="408"/>
      <c r="X240" s="5"/>
    </row>
    <row r="241" spans="1:25" ht="15.75" x14ac:dyDescent="0.25">
      <c r="A241" s="285"/>
      <c r="B241" s="337" t="s">
        <v>89</v>
      </c>
      <c r="C241" s="378"/>
      <c r="D241" s="378"/>
      <c r="E241" s="378"/>
      <c r="F241" s="286"/>
      <c r="G241" s="379"/>
      <c r="H241" s="378"/>
      <c r="I241" s="378"/>
      <c r="J241" s="378"/>
      <c r="K241" s="378"/>
      <c r="L241" s="378"/>
      <c r="M241" s="378"/>
      <c r="N241" s="378"/>
      <c r="O241" s="378"/>
      <c r="P241" s="378"/>
      <c r="Q241" s="378"/>
      <c r="R241" s="337">
        <f t="shared" si="1"/>
        <v>11</v>
      </c>
      <c r="S241" s="379">
        <f t="shared" si="2"/>
        <v>2.1691973969631237E-3</v>
      </c>
      <c r="T241" s="338">
        <f t="shared" si="3"/>
        <v>1469</v>
      </c>
      <c r="U241" s="379">
        <f t="shared" si="4"/>
        <v>2.0875669684093847E-3</v>
      </c>
      <c r="V241" s="361"/>
      <c r="W241" s="409"/>
      <c r="X241" s="5"/>
      <c r="Y241" s="109"/>
    </row>
    <row r="242" spans="1:25" ht="15.75" x14ac:dyDescent="0.25">
      <c r="A242" s="285"/>
      <c r="B242" s="337" t="s">
        <v>90</v>
      </c>
      <c r="C242" s="378"/>
      <c r="D242" s="378"/>
      <c r="E242" s="378"/>
      <c r="F242" s="286"/>
      <c r="G242" s="379"/>
      <c r="H242" s="378"/>
      <c r="I242" s="378"/>
      <c r="J242" s="378"/>
      <c r="K242" s="378"/>
      <c r="L242" s="378"/>
      <c r="M242" s="378"/>
      <c r="N242" s="378"/>
      <c r="O242" s="378"/>
      <c r="P242" s="378"/>
      <c r="Q242" s="378"/>
      <c r="R242" s="337">
        <f t="shared" si="1"/>
        <v>4</v>
      </c>
      <c r="S242" s="379">
        <f t="shared" si="2"/>
        <v>7.8879905344113592E-4</v>
      </c>
      <c r="T242" s="338">
        <f t="shared" si="3"/>
        <v>632</v>
      </c>
      <c r="U242" s="379">
        <f t="shared" si="4"/>
        <v>8.9812275291676735E-4</v>
      </c>
      <c r="V242" s="361"/>
      <c r="W242" s="409"/>
      <c r="X242" s="5"/>
    </row>
    <row r="243" spans="1:25" ht="15.75" x14ac:dyDescent="0.25">
      <c r="A243" s="285"/>
      <c r="B243" s="337" t="s">
        <v>156</v>
      </c>
      <c r="C243" s="378"/>
      <c r="D243" s="378"/>
      <c r="E243" s="378"/>
      <c r="F243" s="286"/>
      <c r="G243" s="379"/>
      <c r="H243" s="378"/>
      <c r="I243" s="378"/>
      <c r="J243" s="378"/>
      <c r="K243" s="378"/>
      <c r="L243" s="378"/>
      <c r="M243" s="378"/>
      <c r="N243" s="378"/>
      <c r="O243" s="378"/>
      <c r="P243" s="378"/>
      <c r="Q243" s="378"/>
      <c r="R243" s="337">
        <f t="shared" si="1"/>
        <v>1</v>
      </c>
      <c r="S243" s="379">
        <f t="shared" si="2"/>
        <v>1.9719976336028398E-4</v>
      </c>
      <c r="T243" s="338">
        <f t="shared" si="3"/>
        <v>150</v>
      </c>
      <c r="U243" s="379">
        <f t="shared" si="4"/>
        <v>2.1316204578720744E-4</v>
      </c>
      <c r="V243" s="361"/>
      <c r="W243" s="409"/>
      <c r="X243" s="5"/>
      <c r="Y243" s="109"/>
    </row>
    <row r="244" spans="1:25" ht="15.75" x14ac:dyDescent="0.25">
      <c r="A244" s="285"/>
      <c r="B244" s="337" t="s">
        <v>157</v>
      </c>
      <c r="C244" s="378"/>
      <c r="D244" s="378"/>
      <c r="E244" s="378"/>
      <c r="F244" s="286"/>
      <c r="G244" s="379"/>
      <c r="H244" s="378"/>
      <c r="I244" s="378"/>
      <c r="J244" s="378"/>
      <c r="K244" s="378"/>
      <c r="L244" s="378"/>
      <c r="M244" s="378"/>
      <c r="N244" s="378"/>
      <c r="O244" s="378"/>
      <c r="P244" s="378"/>
      <c r="Q244" s="378"/>
      <c r="R244" s="337">
        <f t="shared" si="1"/>
        <v>1</v>
      </c>
      <c r="S244" s="379">
        <f t="shared" si="2"/>
        <v>1.9719976336028398E-4</v>
      </c>
      <c r="T244" s="338">
        <f t="shared" si="3"/>
        <v>142</v>
      </c>
      <c r="U244" s="379">
        <f t="shared" si="4"/>
        <v>2.0179340334522305E-4</v>
      </c>
      <c r="V244" s="361"/>
      <c r="W244" s="409"/>
      <c r="X244" s="5"/>
    </row>
    <row r="245" spans="1:25" ht="15.75" x14ac:dyDescent="0.25">
      <c r="A245" s="285"/>
      <c r="B245" s="337" t="s">
        <v>158</v>
      </c>
      <c r="C245" s="378"/>
      <c r="D245" s="378"/>
      <c r="E245" s="378"/>
      <c r="F245" s="286"/>
      <c r="G245" s="379"/>
      <c r="H245" s="378"/>
      <c r="I245" s="378"/>
      <c r="J245" s="378"/>
      <c r="K245" s="378"/>
      <c r="L245" s="378"/>
      <c r="M245" s="378"/>
      <c r="N245" s="378"/>
      <c r="O245" s="378"/>
      <c r="P245" s="378"/>
      <c r="Q245" s="378"/>
      <c r="R245" s="337">
        <f t="shared" si="1"/>
        <v>1</v>
      </c>
      <c r="S245" s="379">
        <f t="shared" si="2"/>
        <v>1.9719976336028398E-4</v>
      </c>
      <c r="T245" s="338">
        <f t="shared" si="3"/>
        <v>129</v>
      </c>
      <c r="U245" s="379">
        <f t="shared" si="4"/>
        <v>1.8331935937699839E-4</v>
      </c>
      <c r="V245" s="361"/>
      <c r="W245" s="409"/>
      <c r="X245" s="5"/>
      <c r="Y245" s="109"/>
    </row>
    <row r="246" spans="1:25" ht="15.75" x14ac:dyDescent="0.25">
      <c r="A246" s="285"/>
      <c r="B246" s="337" t="s">
        <v>159</v>
      </c>
      <c r="C246" s="378"/>
      <c r="D246" s="378"/>
      <c r="E246" s="378"/>
      <c r="F246" s="286"/>
      <c r="G246" s="379"/>
      <c r="H246" s="378"/>
      <c r="I246" s="378"/>
      <c r="J246" s="378"/>
      <c r="K246" s="378"/>
      <c r="L246" s="378"/>
      <c r="M246" s="378"/>
      <c r="N246" s="378"/>
      <c r="O246" s="378"/>
      <c r="P246" s="378"/>
      <c r="Q246" s="378"/>
      <c r="R246" s="337">
        <f t="shared" si="1"/>
        <v>3</v>
      </c>
      <c r="S246" s="379">
        <f t="shared" si="2"/>
        <v>5.9159929008085186E-4</v>
      </c>
      <c r="T246" s="338">
        <f t="shared" si="3"/>
        <v>576</v>
      </c>
      <c r="U246" s="379">
        <f t="shared" si="4"/>
        <v>8.1854225582287657E-4</v>
      </c>
      <c r="V246" s="361"/>
      <c r="W246" s="409"/>
      <c r="X246" s="5"/>
    </row>
    <row r="247" spans="1:25" ht="15.75" x14ac:dyDescent="0.25">
      <c r="A247" s="285"/>
      <c r="B247" s="337" t="s">
        <v>160</v>
      </c>
      <c r="C247" s="378"/>
      <c r="D247" s="378"/>
      <c r="E247" s="378"/>
      <c r="F247" s="286"/>
      <c r="G247" s="379"/>
      <c r="H247" s="378"/>
      <c r="I247" s="378"/>
      <c r="J247" s="378"/>
      <c r="K247" s="378"/>
      <c r="L247" s="378"/>
      <c r="M247" s="378"/>
      <c r="N247" s="378"/>
      <c r="O247" s="378"/>
      <c r="P247" s="378"/>
      <c r="Q247" s="378"/>
      <c r="R247" s="386">
        <f t="shared" si="1"/>
        <v>5</v>
      </c>
      <c r="S247" s="379">
        <f t="shared" si="2"/>
        <v>9.8599881680141977E-4</v>
      </c>
      <c r="T247" s="383">
        <f t="shared" si="3"/>
        <v>583</v>
      </c>
      <c r="U247" s="387">
        <f t="shared" si="4"/>
        <v>8.2848981795961287E-4</v>
      </c>
      <c r="V247" s="361"/>
      <c r="W247" s="409"/>
      <c r="X247" s="5"/>
      <c r="Y247" s="109"/>
    </row>
    <row r="248" spans="1:25" ht="15.75" x14ac:dyDescent="0.25">
      <c r="A248" s="285"/>
      <c r="B248" s="337"/>
      <c r="C248" s="378"/>
      <c r="D248" s="378"/>
      <c r="E248" s="378"/>
      <c r="F248" s="286"/>
      <c r="G248" s="379"/>
      <c r="H248" s="378"/>
      <c r="I248" s="378"/>
      <c r="J248" s="378"/>
      <c r="K248" s="378"/>
      <c r="L248" s="378"/>
      <c r="M248" s="378"/>
      <c r="N248" s="378"/>
      <c r="O248" s="378"/>
      <c r="P248" s="378"/>
      <c r="Q248" s="378"/>
      <c r="R248" s="337"/>
      <c r="S248" s="379"/>
      <c r="T248" s="338"/>
      <c r="U248" s="379"/>
      <c r="V248" s="361"/>
      <c r="W248" s="409"/>
      <c r="X248" s="5"/>
    </row>
    <row r="249" spans="1:25" ht="15.75" x14ac:dyDescent="0.25">
      <c r="A249" s="285"/>
      <c r="B249" s="286"/>
      <c r="C249" s="286"/>
      <c r="D249" s="286"/>
      <c r="E249" s="286"/>
      <c r="F249" s="286"/>
      <c r="G249" s="286"/>
      <c r="H249" s="381"/>
      <c r="I249" s="381"/>
      <c r="J249" s="381"/>
      <c r="K249" s="381"/>
      <c r="L249" s="381"/>
      <c r="M249" s="381"/>
      <c r="N249" s="381"/>
      <c r="O249" s="381"/>
      <c r="P249" s="381"/>
      <c r="Q249" s="381"/>
      <c r="R249" s="337">
        <f>SUM(R240:R248)</f>
        <v>5071</v>
      </c>
      <c r="S249" s="379">
        <f>SUM(S240:S248)</f>
        <v>1</v>
      </c>
      <c r="T249" s="338">
        <f>SUM(T240:T248)</f>
        <v>703690</v>
      </c>
      <c r="U249" s="379">
        <f>SUM(U240:U248)</f>
        <v>1.0000000000000002</v>
      </c>
      <c r="V249" s="286"/>
      <c r="W249" s="289"/>
      <c r="X249" s="5"/>
    </row>
    <row r="250" spans="1:25" ht="15.75" x14ac:dyDescent="0.25">
      <c r="A250" s="181"/>
      <c r="B250" s="212"/>
      <c r="C250" s="212"/>
      <c r="D250" s="212"/>
      <c r="E250" s="212"/>
      <c r="F250" s="212"/>
      <c r="G250" s="212"/>
      <c r="H250" s="375"/>
      <c r="I250" s="375"/>
      <c r="J250" s="375"/>
      <c r="K250" s="375"/>
      <c r="L250" s="375"/>
      <c r="M250" s="375"/>
      <c r="N250" s="375"/>
      <c r="O250" s="375"/>
      <c r="P250" s="375"/>
      <c r="Q250" s="375"/>
      <c r="R250" s="335"/>
      <c r="S250" s="376"/>
      <c r="T250" s="377"/>
      <c r="U250" s="376"/>
      <c r="V250" s="212"/>
      <c r="W250" s="212"/>
      <c r="X250" s="5"/>
    </row>
    <row r="251" spans="1:25" ht="15.75" x14ac:dyDescent="0.25">
      <c r="A251" s="224"/>
      <c r="B251" s="399" t="s">
        <v>162</v>
      </c>
      <c r="C251" s="400"/>
      <c r="D251" s="400"/>
      <c r="E251" s="400"/>
      <c r="F251" s="407"/>
      <c r="G251" s="400"/>
      <c r="H251" s="400"/>
      <c r="I251" s="400"/>
      <c r="J251" s="400"/>
      <c r="K251" s="400"/>
      <c r="L251" s="400"/>
      <c r="M251" s="400"/>
      <c r="N251" s="400"/>
      <c r="O251" s="400"/>
      <c r="P251" s="400"/>
      <c r="Q251" s="400"/>
      <c r="R251" s="407" t="s">
        <v>102</v>
      </c>
      <c r="S251" s="400" t="s">
        <v>103</v>
      </c>
      <c r="T251" s="407" t="s">
        <v>109</v>
      </c>
      <c r="U251" s="400" t="s">
        <v>103</v>
      </c>
      <c r="V251" s="225"/>
      <c r="W251" s="399"/>
      <c r="X251" s="5"/>
    </row>
    <row r="252" spans="1:25" ht="15.75" x14ac:dyDescent="0.25">
      <c r="A252" s="193"/>
      <c r="B252" s="249" t="s">
        <v>88</v>
      </c>
      <c r="C252" s="265"/>
      <c r="D252" s="265"/>
      <c r="E252" s="265"/>
      <c r="F252" s="250"/>
      <c r="G252" s="265"/>
      <c r="H252" s="265"/>
      <c r="I252" s="265"/>
      <c r="J252" s="265"/>
      <c r="K252" s="265"/>
      <c r="L252" s="265"/>
      <c r="M252" s="265"/>
      <c r="N252" s="265"/>
      <c r="O252" s="265"/>
      <c r="P252" s="265"/>
      <c r="Q252" s="265"/>
      <c r="R252" s="249">
        <v>4975</v>
      </c>
      <c r="S252" s="252">
        <f t="shared" ref="S252:S259" si="5">R252/$R$261</f>
        <v>0.99799398194583755</v>
      </c>
      <c r="T252" s="253">
        <v>690473</v>
      </c>
      <c r="U252" s="252">
        <f t="shared" ref="U252:U259" si="6">T252/$T$261</f>
        <v>0.9977010796689324</v>
      </c>
      <c r="V252" s="266"/>
      <c r="W252" s="408"/>
      <c r="X252" s="5"/>
    </row>
    <row r="253" spans="1:25" ht="15.75" x14ac:dyDescent="0.25">
      <c r="A253" s="285"/>
      <c r="B253" s="337" t="s">
        <v>89</v>
      </c>
      <c r="C253" s="378"/>
      <c r="D253" s="378"/>
      <c r="E253" s="378"/>
      <c r="F253" s="286"/>
      <c r="G253" s="379"/>
      <c r="H253" s="378"/>
      <c r="I253" s="378"/>
      <c r="J253" s="378"/>
      <c r="K253" s="378"/>
      <c r="L253" s="378"/>
      <c r="M253" s="378"/>
      <c r="N253" s="378"/>
      <c r="O253" s="378"/>
      <c r="P253" s="378"/>
      <c r="Q253" s="378"/>
      <c r="R253" s="337">
        <v>6</v>
      </c>
      <c r="S253" s="379">
        <f t="shared" si="5"/>
        <v>1.2036108324974925E-3</v>
      </c>
      <c r="T253" s="338">
        <v>778</v>
      </c>
      <c r="U253" s="379">
        <f t="shared" si="6"/>
        <v>1.1241734868451473E-3</v>
      </c>
      <c r="V253" s="361"/>
      <c r="W253" s="409"/>
      <c r="X253" s="5"/>
      <c r="Y253" s="109"/>
    </row>
    <row r="254" spans="1:25" ht="15.75" x14ac:dyDescent="0.25">
      <c r="A254" s="285"/>
      <c r="B254" s="337" t="s">
        <v>90</v>
      </c>
      <c r="C254" s="378"/>
      <c r="D254" s="378"/>
      <c r="E254" s="378"/>
      <c r="F254" s="286"/>
      <c r="G254" s="379"/>
      <c r="H254" s="378"/>
      <c r="I254" s="378"/>
      <c r="J254" s="378"/>
      <c r="K254" s="378"/>
      <c r="L254" s="378"/>
      <c r="M254" s="378"/>
      <c r="N254" s="378"/>
      <c r="O254" s="378"/>
      <c r="P254" s="378"/>
      <c r="Q254" s="378"/>
      <c r="R254" s="337">
        <v>3</v>
      </c>
      <c r="S254" s="379">
        <f t="shared" si="5"/>
        <v>6.0180541624874626E-4</v>
      </c>
      <c r="T254" s="338">
        <v>483</v>
      </c>
      <c r="U254" s="379">
        <f t="shared" si="6"/>
        <v>6.9791233180746288E-4</v>
      </c>
      <c r="V254" s="361"/>
      <c r="W254" s="409"/>
      <c r="X254" s="5"/>
    </row>
    <row r="255" spans="1:25" ht="15.75" x14ac:dyDescent="0.25">
      <c r="A255" s="285"/>
      <c r="B255" s="337" t="s">
        <v>156</v>
      </c>
      <c r="C255" s="378"/>
      <c r="D255" s="378"/>
      <c r="E255" s="378"/>
      <c r="F255" s="286"/>
      <c r="G255" s="379"/>
      <c r="H255" s="378"/>
      <c r="I255" s="378"/>
      <c r="J255" s="378"/>
      <c r="K255" s="378"/>
      <c r="L255" s="378"/>
      <c r="M255" s="378"/>
      <c r="N255" s="378"/>
      <c r="O255" s="378"/>
      <c r="P255" s="378"/>
      <c r="Q255" s="378"/>
      <c r="R255" s="337">
        <v>0</v>
      </c>
      <c r="S255" s="379">
        <f t="shared" si="5"/>
        <v>0</v>
      </c>
      <c r="T255" s="338">
        <v>0</v>
      </c>
      <c r="U255" s="379">
        <f t="shared" si="6"/>
        <v>0</v>
      </c>
      <c r="V255" s="361"/>
      <c r="W255" s="409"/>
      <c r="X255" s="5"/>
      <c r="Y255" s="109"/>
    </row>
    <row r="256" spans="1:25" ht="15.75" x14ac:dyDescent="0.25">
      <c r="A256" s="285"/>
      <c r="B256" s="337" t="s">
        <v>157</v>
      </c>
      <c r="C256" s="378"/>
      <c r="D256" s="378"/>
      <c r="E256" s="378"/>
      <c r="F256" s="286"/>
      <c r="G256" s="379"/>
      <c r="H256" s="378"/>
      <c r="I256" s="378"/>
      <c r="J256" s="378"/>
      <c r="K256" s="378"/>
      <c r="L256" s="378"/>
      <c r="M256" s="378"/>
      <c r="N256" s="378"/>
      <c r="O256" s="378"/>
      <c r="P256" s="378"/>
      <c r="Q256" s="378"/>
      <c r="R256" s="337">
        <v>0</v>
      </c>
      <c r="S256" s="379">
        <f t="shared" si="5"/>
        <v>0</v>
      </c>
      <c r="T256" s="338">
        <v>0</v>
      </c>
      <c r="U256" s="379">
        <f t="shared" si="6"/>
        <v>0</v>
      </c>
      <c r="V256" s="361"/>
      <c r="W256" s="409"/>
      <c r="X256" s="5"/>
    </row>
    <row r="257" spans="1:25" ht="15.75" x14ac:dyDescent="0.25">
      <c r="A257" s="285"/>
      <c r="B257" s="337" t="s">
        <v>158</v>
      </c>
      <c r="C257" s="378"/>
      <c r="D257" s="378"/>
      <c r="E257" s="378"/>
      <c r="F257" s="286"/>
      <c r="G257" s="379"/>
      <c r="H257" s="378"/>
      <c r="I257" s="378"/>
      <c r="J257" s="378"/>
      <c r="K257" s="378"/>
      <c r="L257" s="378"/>
      <c r="M257" s="378"/>
      <c r="N257" s="378"/>
      <c r="O257" s="378"/>
      <c r="P257" s="378"/>
      <c r="Q257" s="378"/>
      <c r="R257" s="337">
        <v>0</v>
      </c>
      <c r="S257" s="379">
        <f t="shared" si="5"/>
        <v>0</v>
      </c>
      <c r="T257" s="338">
        <v>0</v>
      </c>
      <c r="U257" s="379">
        <f t="shared" si="6"/>
        <v>0</v>
      </c>
      <c r="V257" s="361"/>
      <c r="W257" s="409"/>
      <c r="X257" s="5"/>
      <c r="Y257" s="109"/>
    </row>
    <row r="258" spans="1:25" ht="15.75" x14ac:dyDescent="0.25">
      <c r="A258" s="285"/>
      <c r="B258" s="337" t="s">
        <v>159</v>
      </c>
      <c r="C258" s="378"/>
      <c r="D258" s="378"/>
      <c r="E258" s="378"/>
      <c r="F258" s="286"/>
      <c r="G258" s="379"/>
      <c r="H258" s="378"/>
      <c r="I258" s="378"/>
      <c r="J258" s="378"/>
      <c r="K258" s="378"/>
      <c r="L258" s="378"/>
      <c r="M258" s="378"/>
      <c r="N258" s="378"/>
      <c r="O258" s="378"/>
      <c r="P258" s="378"/>
      <c r="Q258" s="378"/>
      <c r="R258" s="337">
        <v>1</v>
      </c>
      <c r="S258" s="379">
        <f t="shared" si="5"/>
        <v>2.0060180541624874E-4</v>
      </c>
      <c r="T258" s="338">
        <v>330</v>
      </c>
      <c r="U258" s="379">
        <f t="shared" si="6"/>
        <v>4.7683451241503676E-4</v>
      </c>
      <c r="V258" s="361"/>
      <c r="W258" s="409"/>
      <c r="X258" s="5"/>
    </row>
    <row r="259" spans="1:25" ht="15.75" x14ac:dyDescent="0.25">
      <c r="A259" s="285"/>
      <c r="B259" s="337" t="s">
        <v>160</v>
      </c>
      <c r="C259" s="378"/>
      <c r="D259" s="378"/>
      <c r="E259" s="378"/>
      <c r="F259" s="286"/>
      <c r="G259" s="379"/>
      <c r="H259" s="378"/>
      <c r="I259" s="378"/>
      <c r="J259" s="378"/>
      <c r="K259" s="378"/>
      <c r="L259" s="378"/>
      <c r="M259" s="378"/>
      <c r="N259" s="378"/>
      <c r="O259" s="378"/>
      <c r="P259" s="378"/>
      <c r="Q259" s="378"/>
      <c r="R259" s="337">
        <v>0</v>
      </c>
      <c r="S259" s="379">
        <f t="shared" si="5"/>
        <v>0</v>
      </c>
      <c r="T259" s="338">
        <v>0</v>
      </c>
      <c r="U259" s="379">
        <f t="shared" si="6"/>
        <v>0</v>
      </c>
      <c r="V259" s="361"/>
      <c r="W259" s="409"/>
      <c r="X259" s="5"/>
      <c r="Y259" s="109"/>
    </row>
    <row r="260" spans="1:25" ht="15.75" x14ac:dyDescent="0.25">
      <c r="A260" s="285"/>
      <c r="B260" s="337"/>
      <c r="C260" s="378"/>
      <c r="D260" s="378"/>
      <c r="E260" s="378"/>
      <c r="F260" s="286"/>
      <c r="G260" s="379"/>
      <c r="H260" s="378"/>
      <c r="I260" s="378"/>
      <c r="J260" s="378"/>
      <c r="K260" s="378"/>
      <c r="L260" s="378"/>
      <c r="M260" s="378"/>
      <c r="N260" s="378"/>
      <c r="O260" s="378"/>
      <c r="P260" s="378"/>
      <c r="Q260" s="378"/>
      <c r="R260" s="337"/>
      <c r="S260" s="379"/>
      <c r="T260" s="338"/>
      <c r="U260" s="379"/>
      <c r="V260" s="361"/>
      <c r="W260" s="409"/>
      <c r="X260" s="5"/>
    </row>
    <row r="261" spans="1:25" ht="15.75" x14ac:dyDescent="0.25">
      <c r="A261" s="285"/>
      <c r="B261" s="286"/>
      <c r="C261" s="286"/>
      <c r="D261" s="286"/>
      <c r="E261" s="286"/>
      <c r="F261" s="286"/>
      <c r="G261" s="286"/>
      <c r="H261" s="381"/>
      <c r="I261" s="381"/>
      <c r="J261" s="381"/>
      <c r="K261" s="381"/>
      <c r="L261" s="381"/>
      <c r="M261" s="381"/>
      <c r="N261" s="381"/>
      <c r="O261" s="381"/>
      <c r="P261" s="381"/>
      <c r="Q261" s="381"/>
      <c r="R261" s="337">
        <f>SUM(R252:R260)</f>
        <v>4985</v>
      </c>
      <c r="S261" s="379">
        <f>SUM(S252:S260)</f>
        <v>1</v>
      </c>
      <c r="T261" s="338">
        <f>SUM(T252:T260)</f>
        <v>692064</v>
      </c>
      <c r="U261" s="379">
        <f>SUM(U252:U260)</f>
        <v>1</v>
      </c>
      <c r="V261" s="286"/>
      <c r="W261" s="289"/>
      <c r="X261" s="5"/>
    </row>
    <row r="262" spans="1:25" ht="15.75" x14ac:dyDescent="0.25">
      <c r="A262" s="181"/>
      <c r="B262" s="212"/>
      <c r="C262" s="212"/>
      <c r="D262" s="212"/>
      <c r="E262" s="212"/>
      <c r="F262" s="212"/>
      <c r="G262" s="212"/>
      <c r="H262" s="375"/>
      <c r="I262" s="375"/>
      <c r="J262" s="375"/>
      <c r="K262" s="375"/>
      <c r="L262" s="375"/>
      <c r="M262" s="375"/>
      <c r="N262" s="375"/>
      <c r="O262" s="375"/>
      <c r="P262" s="375"/>
      <c r="Q262" s="375"/>
      <c r="R262" s="335"/>
      <c r="S262" s="376"/>
      <c r="T262" s="377"/>
      <c r="U262" s="376"/>
      <c r="V262" s="212"/>
      <c r="W262" s="212"/>
      <c r="X262" s="5"/>
    </row>
    <row r="263" spans="1:25" ht="15.75" x14ac:dyDescent="0.25">
      <c r="A263" s="244"/>
      <c r="B263" s="399" t="s">
        <v>236</v>
      </c>
      <c r="C263" s="400"/>
      <c r="D263" s="400"/>
      <c r="E263" s="400"/>
      <c r="F263" s="407"/>
      <c r="G263" s="400"/>
      <c r="H263" s="400"/>
      <c r="I263" s="400"/>
      <c r="J263" s="400"/>
      <c r="K263" s="400"/>
      <c r="L263" s="400"/>
      <c r="M263" s="400"/>
      <c r="N263" s="400"/>
      <c r="O263" s="400"/>
      <c r="P263" s="400"/>
      <c r="Q263" s="400"/>
      <c r="R263" s="407" t="s">
        <v>102</v>
      </c>
      <c r="S263" s="400" t="s">
        <v>103</v>
      </c>
      <c r="T263" s="407" t="s">
        <v>109</v>
      </c>
      <c r="U263" s="400" t="s">
        <v>103</v>
      </c>
      <c r="V263" s="245"/>
      <c r="W263" s="246"/>
      <c r="X263" s="5"/>
    </row>
    <row r="264" spans="1:25" ht="15.75" x14ac:dyDescent="0.25">
      <c r="A264" s="193"/>
      <c r="B264" s="249" t="s">
        <v>88</v>
      </c>
      <c r="C264" s="265"/>
      <c r="D264" s="265"/>
      <c r="E264" s="265"/>
      <c r="F264" s="250"/>
      <c r="G264" s="265"/>
      <c r="H264" s="265"/>
      <c r="I264" s="265"/>
      <c r="J264" s="265"/>
      <c r="K264" s="265"/>
      <c r="L264" s="265"/>
      <c r="M264" s="265"/>
      <c r="N264" s="265"/>
      <c r="O264" s="265"/>
      <c r="P264" s="265"/>
      <c r="Q264" s="265"/>
      <c r="R264" s="249">
        <v>70</v>
      </c>
      <c r="S264" s="252">
        <f t="shared" ref="S264:S270" si="7">R264/$R$273</f>
        <v>0.81395348837209303</v>
      </c>
      <c r="T264" s="253">
        <v>9536</v>
      </c>
      <c r="U264" s="252">
        <f t="shared" ref="U264:U271" si="8">T264/$T$273</f>
        <v>0.82023051780491996</v>
      </c>
      <c r="V264" s="250"/>
      <c r="W264" s="250"/>
      <c r="X264" s="5"/>
    </row>
    <row r="265" spans="1:25" ht="15.75" x14ac:dyDescent="0.25">
      <c r="A265" s="285"/>
      <c r="B265" s="337" t="s">
        <v>89</v>
      </c>
      <c r="C265" s="378"/>
      <c r="D265" s="378"/>
      <c r="E265" s="378"/>
      <c r="F265" s="286"/>
      <c r="G265" s="379"/>
      <c r="H265" s="378"/>
      <c r="I265" s="378"/>
      <c r="J265" s="378"/>
      <c r="K265" s="378"/>
      <c r="L265" s="378"/>
      <c r="M265" s="378"/>
      <c r="N265" s="378"/>
      <c r="O265" s="378"/>
      <c r="P265" s="378"/>
      <c r="Q265" s="378"/>
      <c r="R265" s="337">
        <v>5</v>
      </c>
      <c r="S265" s="379">
        <f t="shared" si="7"/>
        <v>5.8139534883720929E-2</v>
      </c>
      <c r="T265" s="338">
        <v>691</v>
      </c>
      <c r="U265" s="379">
        <f t="shared" si="8"/>
        <v>5.9435747462583864E-2</v>
      </c>
      <c r="V265" s="286"/>
      <c r="W265" s="289"/>
      <c r="X265" s="5"/>
    </row>
    <row r="266" spans="1:25" ht="15.75" x14ac:dyDescent="0.25">
      <c r="A266" s="285"/>
      <c r="B266" s="337" t="s">
        <v>90</v>
      </c>
      <c r="C266" s="378"/>
      <c r="D266" s="378"/>
      <c r="E266" s="378"/>
      <c r="F266" s="286"/>
      <c r="G266" s="379"/>
      <c r="H266" s="378"/>
      <c r="I266" s="378"/>
      <c r="J266" s="378"/>
      <c r="K266" s="378"/>
      <c r="L266" s="378"/>
      <c r="M266" s="378"/>
      <c r="N266" s="378"/>
      <c r="O266" s="378"/>
      <c r="P266" s="378"/>
      <c r="Q266" s="378"/>
      <c r="R266" s="337">
        <v>1</v>
      </c>
      <c r="S266" s="379">
        <f t="shared" si="7"/>
        <v>1.1627906976744186E-2</v>
      </c>
      <c r="T266" s="338">
        <v>149</v>
      </c>
      <c r="U266" s="379">
        <f t="shared" si="8"/>
        <v>1.2816101840701874E-2</v>
      </c>
      <c r="V266" s="286"/>
      <c r="W266" s="289"/>
      <c r="X266" s="5"/>
    </row>
    <row r="267" spans="1:25" ht="15.75" x14ac:dyDescent="0.25">
      <c r="A267" s="285"/>
      <c r="B267" s="337" t="s">
        <v>156</v>
      </c>
      <c r="C267" s="378"/>
      <c r="D267" s="378"/>
      <c r="E267" s="378"/>
      <c r="F267" s="286"/>
      <c r="G267" s="379"/>
      <c r="H267" s="378"/>
      <c r="I267" s="378"/>
      <c r="J267" s="378"/>
      <c r="K267" s="378"/>
      <c r="L267" s="378"/>
      <c r="M267" s="378"/>
      <c r="N267" s="378"/>
      <c r="O267" s="378"/>
      <c r="P267" s="378"/>
      <c r="Q267" s="378"/>
      <c r="R267" s="337">
        <v>1</v>
      </c>
      <c r="S267" s="379">
        <f t="shared" si="7"/>
        <v>1.1627906976744186E-2</v>
      </c>
      <c r="T267" s="338">
        <v>150</v>
      </c>
      <c r="U267" s="379">
        <f t="shared" si="8"/>
        <v>1.290211594701531E-2</v>
      </c>
      <c r="V267" s="286"/>
      <c r="W267" s="289"/>
      <c r="X267" s="5"/>
    </row>
    <row r="268" spans="1:25" ht="15.75" x14ac:dyDescent="0.25">
      <c r="A268" s="285"/>
      <c r="B268" s="337" t="s">
        <v>157</v>
      </c>
      <c r="C268" s="378"/>
      <c r="D268" s="378"/>
      <c r="E268" s="378"/>
      <c r="F268" s="286"/>
      <c r="G268" s="379"/>
      <c r="H268" s="378"/>
      <c r="I268" s="378"/>
      <c r="J268" s="378"/>
      <c r="K268" s="378"/>
      <c r="L268" s="378"/>
      <c r="M268" s="378"/>
      <c r="N268" s="378"/>
      <c r="O268" s="378"/>
      <c r="P268" s="378"/>
      <c r="Q268" s="378"/>
      <c r="R268" s="337">
        <v>1</v>
      </c>
      <c r="S268" s="379">
        <f t="shared" si="7"/>
        <v>1.1627906976744186E-2</v>
      </c>
      <c r="T268" s="338">
        <v>142</v>
      </c>
      <c r="U268" s="379">
        <f t="shared" si="8"/>
        <v>1.2214003096507827E-2</v>
      </c>
      <c r="V268" s="286"/>
      <c r="W268" s="289"/>
      <c r="X268" s="5"/>
    </row>
    <row r="269" spans="1:25" ht="15.75" x14ac:dyDescent="0.25">
      <c r="A269" s="285"/>
      <c r="B269" s="337" t="s">
        <v>158</v>
      </c>
      <c r="C269" s="378"/>
      <c r="D269" s="378"/>
      <c r="E269" s="378"/>
      <c r="F269" s="286"/>
      <c r="G269" s="379"/>
      <c r="H269" s="378"/>
      <c r="I269" s="378"/>
      <c r="J269" s="378"/>
      <c r="K269" s="378"/>
      <c r="L269" s="378"/>
      <c r="M269" s="378"/>
      <c r="N269" s="378"/>
      <c r="O269" s="378"/>
      <c r="P269" s="378"/>
      <c r="Q269" s="378"/>
      <c r="R269" s="337">
        <v>1</v>
      </c>
      <c r="S269" s="379">
        <f t="shared" si="7"/>
        <v>1.1627906976744186E-2</v>
      </c>
      <c r="T269" s="338">
        <v>129</v>
      </c>
      <c r="U269" s="379">
        <f t="shared" si="8"/>
        <v>1.1095819714433167E-2</v>
      </c>
      <c r="V269" s="286"/>
      <c r="W269" s="289"/>
      <c r="X269" s="5"/>
    </row>
    <row r="270" spans="1:25" ht="15.75" x14ac:dyDescent="0.25">
      <c r="A270" s="285"/>
      <c r="B270" s="337" t="s">
        <v>159</v>
      </c>
      <c r="C270" s="378"/>
      <c r="D270" s="378"/>
      <c r="E270" s="378"/>
      <c r="F270" s="286"/>
      <c r="G270" s="379"/>
      <c r="H270" s="378"/>
      <c r="I270" s="378"/>
      <c r="J270" s="378"/>
      <c r="K270" s="378"/>
      <c r="L270" s="378"/>
      <c r="M270" s="378"/>
      <c r="N270" s="378"/>
      <c r="O270" s="378"/>
      <c r="P270" s="378"/>
      <c r="Q270" s="378"/>
      <c r="R270" s="337">
        <v>2</v>
      </c>
      <c r="S270" s="379">
        <f t="shared" si="7"/>
        <v>2.3255813953488372E-2</v>
      </c>
      <c r="T270" s="338">
        <v>246</v>
      </c>
      <c r="U270" s="379">
        <f t="shared" si="8"/>
        <v>2.1159470153105108E-2</v>
      </c>
      <c r="V270" s="286"/>
      <c r="W270" s="289"/>
      <c r="X270" s="5"/>
    </row>
    <row r="271" spans="1:25" ht="15.75" x14ac:dyDescent="0.25">
      <c r="A271" s="285"/>
      <c r="B271" s="337" t="s">
        <v>160</v>
      </c>
      <c r="C271" s="378"/>
      <c r="D271" s="378"/>
      <c r="E271" s="378"/>
      <c r="F271" s="286"/>
      <c r="G271" s="379"/>
      <c r="H271" s="378"/>
      <c r="I271" s="378"/>
      <c r="J271" s="378"/>
      <c r="K271" s="378"/>
      <c r="L271" s="378"/>
      <c r="M271" s="378"/>
      <c r="N271" s="378"/>
      <c r="O271" s="378"/>
      <c r="P271" s="378"/>
      <c r="Q271" s="378"/>
      <c r="R271" s="337">
        <v>5</v>
      </c>
      <c r="S271" s="379">
        <f>R271/$R$273</f>
        <v>5.8139534883720929E-2</v>
      </c>
      <c r="T271" s="338">
        <v>583</v>
      </c>
      <c r="U271" s="379">
        <f t="shared" si="8"/>
        <v>5.0146223980732839E-2</v>
      </c>
      <c r="V271" s="286"/>
      <c r="W271" s="289"/>
      <c r="X271" s="5"/>
    </row>
    <row r="272" spans="1:25" ht="15.75" x14ac:dyDescent="0.25">
      <c r="A272" s="285"/>
      <c r="B272" s="337"/>
      <c r="C272" s="378"/>
      <c r="D272" s="378"/>
      <c r="E272" s="378"/>
      <c r="F272" s="286"/>
      <c r="G272" s="379"/>
      <c r="H272" s="378"/>
      <c r="I272" s="378"/>
      <c r="J272" s="378"/>
      <c r="K272" s="378"/>
      <c r="L272" s="378"/>
      <c r="M272" s="378"/>
      <c r="N272" s="378"/>
      <c r="O272" s="378"/>
      <c r="P272" s="378"/>
      <c r="Q272" s="378"/>
      <c r="R272" s="337"/>
      <c r="S272" s="379"/>
      <c r="T272" s="338"/>
      <c r="U272" s="379"/>
      <c r="V272" s="286"/>
      <c r="W272" s="289"/>
      <c r="X272" s="5"/>
    </row>
    <row r="273" spans="1:24" ht="15.75" x14ac:dyDescent="0.25">
      <c r="A273" s="285"/>
      <c r="B273" s="286"/>
      <c r="C273" s="286"/>
      <c r="D273" s="286"/>
      <c r="E273" s="286"/>
      <c r="F273" s="286"/>
      <c r="G273" s="286"/>
      <c r="H273" s="381"/>
      <c r="I273" s="381"/>
      <c r="J273" s="381"/>
      <c r="K273" s="381"/>
      <c r="L273" s="381"/>
      <c r="M273" s="381"/>
      <c r="N273" s="381"/>
      <c r="O273" s="381"/>
      <c r="P273" s="381"/>
      <c r="Q273" s="381"/>
      <c r="R273" s="337">
        <f>SUM(R264:R272)</f>
        <v>86</v>
      </c>
      <c r="S273" s="379">
        <f>SUM(S264:S272)</f>
        <v>1.0000000000000002</v>
      </c>
      <c r="T273" s="338">
        <f>SUM(T264:T272)</f>
        <v>11626</v>
      </c>
      <c r="U273" s="379">
        <f>SUM(U264:U272)</f>
        <v>1</v>
      </c>
      <c r="V273" s="286"/>
      <c r="W273" s="289"/>
      <c r="X273" s="5"/>
    </row>
    <row r="274" spans="1:24" ht="15.75" x14ac:dyDescent="0.25">
      <c r="A274" s="181"/>
      <c r="B274" s="212"/>
      <c r="C274" s="212"/>
      <c r="D274" s="212"/>
      <c r="E274" s="212"/>
      <c r="F274" s="212"/>
      <c r="G274" s="212"/>
      <c r="H274" s="375"/>
      <c r="I274" s="375"/>
      <c r="J274" s="375"/>
      <c r="K274" s="375"/>
      <c r="L274" s="375"/>
      <c r="M274" s="375"/>
      <c r="N274" s="375"/>
      <c r="O274" s="375"/>
      <c r="P274" s="375"/>
      <c r="Q274" s="375"/>
      <c r="R274" s="335"/>
      <c r="S274" s="376"/>
      <c r="T274" s="377"/>
      <c r="U274" s="376"/>
      <c r="V274" s="212"/>
      <c r="W274" s="212"/>
      <c r="X274" s="5"/>
    </row>
    <row r="275" spans="1:24" ht="15.75" x14ac:dyDescent="0.25">
      <c r="A275" s="244"/>
      <c r="B275" s="399" t="s">
        <v>163</v>
      </c>
      <c r="C275" s="245"/>
      <c r="D275" s="245"/>
      <c r="E275" s="245"/>
      <c r="F275" s="245"/>
      <c r="G275" s="245"/>
      <c r="H275" s="247"/>
      <c r="I275" s="247"/>
      <c r="J275" s="247"/>
      <c r="K275" s="247"/>
      <c r="L275" s="247"/>
      <c r="M275" s="247"/>
      <c r="N275" s="247"/>
      <c r="O275" s="247"/>
      <c r="P275" s="247"/>
      <c r="Q275" s="247"/>
      <c r="R275" s="407" t="s">
        <v>102</v>
      </c>
      <c r="S275" s="400" t="s">
        <v>103</v>
      </c>
      <c r="T275" s="407" t="s">
        <v>109</v>
      </c>
      <c r="U275" s="400" t="s">
        <v>103</v>
      </c>
      <c r="V275" s="245"/>
      <c r="W275" s="246"/>
      <c r="X275" s="5"/>
    </row>
    <row r="276" spans="1:24" ht="15.75" x14ac:dyDescent="0.25">
      <c r="A276" s="248"/>
      <c r="B276" s="249" t="s">
        <v>88</v>
      </c>
      <c r="C276" s="250"/>
      <c r="D276" s="250"/>
      <c r="E276" s="250"/>
      <c r="F276" s="250"/>
      <c r="G276" s="250"/>
      <c r="H276" s="251"/>
      <c r="I276" s="251"/>
      <c r="J276" s="251"/>
      <c r="K276" s="251"/>
      <c r="L276" s="251"/>
      <c r="M276" s="251"/>
      <c r="N276" s="251"/>
      <c r="O276" s="251"/>
      <c r="P276" s="251"/>
      <c r="Q276" s="251"/>
      <c r="R276" s="249">
        <v>0</v>
      </c>
      <c r="S276" s="252">
        <v>0</v>
      </c>
      <c r="T276" s="253">
        <v>0</v>
      </c>
      <c r="U276" s="252">
        <v>0</v>
      </c>
      <c r="V276" s="250"/>
      <c r="W276" s="250"/>
      <c r="X276" s="5"/>
    </row>
    <row r="277" spans="1:24" ht="15.75" x14ac:dyDescent="0.25">
      <c r="A277" s="295"/>
      <c r="B277" s="337" t="s">
        <v>89</v>
      </c>
      <c r="C277" s="286"/>
      <c r="D277" s="286"/>
      <c r="E277" s="286"/>
      <c r="F277" s="286"/>
      <c r="G277" s="286"/>
      <c r="H277" s="381"/>
      <c r="I277" s="381"/>
      <c r="J277" s="381"/>
      <c r="K277" s="381"/>
      <c r="L277" s="381"/>
      <c r="M277" s="381"/>
      <c r="N277" s="381"/>
      <c r="O277" s="381"/>
      <c r="P277" s="381"/>
      <c r="Q277" s="381"/>
      <c r="R277" s="337">
        <v>0</v>
      </c>
      <c r="S277" s="379">
        <v>0</v>
      </c>
      <c r="T277" s="338">
        <v>0</v>
      </c>
      <c r="U277" s="379">
        <v>0</v>
      </c>
      <c r="V277" s="286"/>
      <c r="W277" s="289"/>
      <c r="X277" s="5"/>
    </row>
    <row r="278" spans="1:24" ht="15.75" x14ac:dyDescent="0.25">
      <c r="A278" s="295"/>
      <c r="B278" s="337" t="s">
        <v>90</v>
      </c>
      <c r="C278" s="286"/>
      <c r="D278" s="286"/>
      <c r="E278" s="286"/>
      <c r="F278" s="286"/>
      <c r="G278" s="286"/>
      <c r="H278" s="381"/>
      <c r="I278" s="381"/>
      <c r="J278" s="381"/>
      <c r="K278" s="381"/>
      <c r="L278" s="381"/>
      <c r="M278" s="381"/>
      <c r="N278" s="381"/>
      <c r="O278" s="381"/>
      <c r="P278" s="381"/>
      <c r="Q278" s="381"/>
      <c r="R278" s="337">
        <v>0</v>
      </c>
      <c r="S278" s="379">
        <v>0</v>
      </c>
      <c r="T278" s="338">
        <v>0</v>
      </c>
      <c r="U278" s="379">
        <v>0</v>
      </c>
      <c r="V278" s="286"/>
      <c r="W278" s="289"/>
      <c r="X278" s="5"/>
    </row>
    <row r="279" spans="1:24" ht="15.75" x14ac:dyDescent="0.25">
      <c r="A279" s="295"/>
      <c r="B279" s="337" t="s">
        <v>156</v>
      </c>
      <c r="C279" s="286"/>
      <c r="D279" s="286"/>
      <c r="E279" s="286"/>
      <c r="F279" s="286"/>
      <c r="G279" s="286"/>
      <c r="H279" s="381"/>
      <c r="I279" s="381"/>
      <c r="J279" s="381"/>
      <c r="K279" s="381"/>
      <c r="L279" s="381"/>
      <c r="M279" s="381"/>
      <c r="N279" s="381"/>
      <c r="O279" s="381"/>
      <c r="P279" s="381"/>
      <c r="Q279" s="381"/>
      <c r="R279" s="337">
        <v>0</v>
      </c>
      <c r="S279" s="379">
        <v>0</v>
      </c>
      <c r="T279" s="338">
        <v>0</v>
      </c>
      <c r="U279" s="379">
        <v>0</v>
      </c>
      <c r="V279" s="286"/>
      <c r="W279" s="289"/>
      <c r="X279" s="5"/>
    </row>
    <row r="280" spans="1:24" ht="15.75" x14ac:dyDescent="0.25">
      <c r="A280" s="295"/>
      <c r="B280" s="337" t="s">
        <v>157</v>
      </c>
      <c r="C280" s="286"/>
      <c r="D280" s="286"/>
      <c r="E280" s="286"/>
      <c r="F280" s="286"/>
      <c r="G280" s="286"/>
      <c r="H280" s="381"/>
      <c r="I280" s="381"/>
      <c r="J280" s="381"/>
      <c r="K280" s="381"/>
      <c r="L280" s="381"/>
      <c r="M280" s="381"/>
      <c r="N280" s="381"/>
      <c r="O280" s="381"/>
      <c r="P280" s="381"/>
      <c r="Q280" s="381"/>
      <c r="R280" s="337">
        <v>0</v>
      </c>
      <c r="S280" s="379">
        <v>0</v>
      </c>
      <c r="T280" s="338">
        <v>0</v>
      </c>
      <c r="U280" s="379">
        <v>0</v>
      </c>
      <c r="V280" s="286"/>
      <c r="W280" s="289"/>
      <c r="X280" s="5"/>
    </row>
    <row r="281" spans="1:24" ht="15.75" x14ac:dyDescent="0.25">
      <c r="A281" s="295"/>
      <c r="B281" s="337" t="s">
        <v>158</v>
      </c>
      <c r="C281" s="286"/>
      <c r="D281" s="286"/>
      <c r="E281" s="286"/>
      <c r="F281" s="286"/>
      <c r="G281" s="286"/>
      <c r="H281" s="381"/>
      <c r="I281" s="381"/>
      <c r="J281" s="381"/>
      <c r="K281" s="381"/>
      <c r="L281" s="381"/>
      <c r="M281" s="381"/>
      <c r="N281" s="381"/>
      <c r="O281" s="381"/>
      <c r="P281" s="381"/>
      <c r="Q281" s="381"/>
      <c r="R281" s="337">
        <v>0</v>
      </c>
      <c r="S281" s="379">
        <v>0</v>
      </c>
      <c r="T281" s="338">
        <v>0</v>
      </c>
      <c r="U281" s="379">
        <v>0</v>
      </c>
      <c r="V281" s="286"/>
      <c r="W281" s="289"/>
      <c r="X281" s="5"/>
    </row>
    <row r="282" spans="1:24" ht="15.75" x14ac:dyDescent="0.25">
      <c r="A282" s="295"/>
      <c r="B282" s="337" t="s">
        <v>159</v>
      </c>
      <c r="C282" s="286"/>
      <c r="D282" s="286"/>
      <c r="E282" s="286"/>
      <c r="F282" s="286"/>
      <c r="G282" s="286"/>
      <c r="H282" s="381"/>
      <c r="I282" s="381"/>
      <c r="J282" s="381"/>
      <c r="K282" s="381"/>
      <c r="L282" s="381"/>
      <c r="M282" s="381"/>
      <c r="N282" s="381"/>
      <c r="O282" s="381"/>
      <c r="P282" s="381"/>
      <c r="Q282" s="381"/>
      <c r="R282" s="337">
        <v>0</v>
      </c>
      <c r="S282" s="379">
        <v>0</v>
      </c>
      <c r="T282" s="338">
        <v>0</v>
      </c>
      <c r="U282" s="379">
        <v>0</v>
      </c>
      <c r="V282" s="286"/>
      <c r="W282" s="289"/>
      <c r="X282" s="5"/>
    </row>
    <row r="283" spans="1:24" ht="15.75" x14ac:dyDescent="0.25">
      <c r="A283" s="295"/>
      <c r="B283" s="337" t="s">
        <v>160</v>
      </c>
      <c r="C283" s="286"/>
      <c r="D283" s="286"/>
      <c r="E283" s="286"/>
      <c r="F283" s="286"/>
      <c r="G283" s="286"/>
      <c r="H283" s="381"/>
      <c r="I283" s="381"/>
      <c r="J283" s="381"/>
      <c r="K283" s="381"/>
      <c r="L283" s="381"/>
      <c r="M283" s="381"/>
      <c r="N283" s="381"/>
      <c r="O283" s="381"/>
      <c r="P283" s="381"/>
      <c r="Q283" s="381"/>
      <c r="R283" s="337">
        <v>0</v>
      </c>
      <c r="S283" s="379">
        <v>0</v>
      </c>
      <c r="T283" s="338">
        <v>0</v>
      </c>
      <c r="U283" s="379">
        <v>0</v>
      </c>
      <c r="V283" s="286"/>
      <c r="W283" s="289"/>
      <c r="X283" s="5"/>
    </row>
    <row r="284" spans="1:24" ht="15.75" x14ac:dyDescent="0.25">
      <c r="A284" s="295"/>
      <c r="B284" s="337"/>
      <c r="C284" s="286"/>
      <c r="D284" s="286"/>
      <c r="E284" s="286"/>
      <c r="F284" s="286"/>
      <c r="G284" s="286"/>
      <c r="H284" s="381"/>
      <c r="I284" s="381"/>
      <c r="J284" s="381"/>
      <c r="K284" s="381"/>
      <c r="L284" s="381"/>
      <c r="M284" s="381"/>
      <c r="N284" s="381"/>
      <c r="O284" s="381"/>
      <c r="P284" s="381"/>
      <c r="Q284" s="381"/>
      <c r="R284" s="337"/>
      <c r="S284" s="379"/>
      <c r="T284" s="338"/>
      <c r="U284" s="379"/>
      <c r="V284" s="286"/>
      <c r="W284" s="289"/>
      <c r="X284" s="5"/>
    </row>
    <row r="285" spans="1:24" ht="15.75" x14ac:dyDescent="0.25">
      <c r="A285" s="295"/>
      <c r="B285" s="286" t="s">
        <v>114</v>
      </c>
      <c r="C285" s="286"/>
      <c r="D285" s="286"/>
      <c r="E285" s="286"/>
      <c r="F285" s="286"/>
      <c r="G285" s="286"/>
      <c r="H285" s="381"/>
      <c r="I285" s="381"/>
      <c r="J285" s="381"/>
      <c r="K285" s="381"/>
      <c r="L285" s="381"/>
      <c r="M285" s="381"/>
      <c r="N285" s="381"/>
      <c r="O285" s="381"/>
      <c r="P285" s="381"/>
      <c r="Q285" s="381"/>
      <c r="R285" s="337">
        <f>SUM(R276:R283)</f>
        <v>0</v>
      </c>
      <c r="S285" s="379">
        <f>SUM(S276:S283)</f>
        <v>0</v>
      </c>
      <c r="T285" s="338">
        <f>SUM(T276:T283)</f>
        <v>0</v>
      </c>
      <c r="U285" s="379">
        <f>SUM(U276:U283)</f>
        <v>0</v>
      </c>
      <c r="V285" s="286"/>
      <c r="W285" s="289"/>
      <c r="X285" s="5"/>
    </row>
    <row r="286" spans="1:24" ht="15.75" x14ac:dyDescent="0.25">
      <c r="A286" s="295"/>
      <c r="B286" s="286"/>
      <c r="C286" s="286"/>
      <c r="D286" s="286"/>
      <c r="E286" s="286"/>
      <c r="F286" s="286"/>
      <c r="G286" s="286"/>
      <c r="H286" s="381"/>
      <c r="I286" s="381"/>
      <c r="J286" s="381"/>
      <c r="K286" s="381"/>
      <c r="L286" s="381"/>
      <c r="M286" s="381"/>
      <c r="N286" s="381"/>
      <c r="O286" s="381"/>
      <c r="P286" s="381"/>
      <c r="Q286" s="381"/>
      <c r="R286" s="337"/>
      <c r="S286" s="379"/>
      <c r="T286" s="338"/>
      <c r="U286" s="379"/>
      <c r="V286" s="286"/>
      <c r="W286" s="289"/>
      <c r="X286" s="5"/>
    </row>
    <row r="287" spans="1:24" ht="15.75" x14ac:dyDescent="0.25">
      <c r="A287" s="295"/>
      <c r="B287" s="297" t="s">
        <v>164</v>
      </c>
      <c r="C287" s="286"/>
      <c r="D287" s="286"/>
      <c r="E287" s="286"/>
      <c r="F287" s="286"/>
      <c r="G287" s="286"/>
      <c r="H287" s="381"/>
      <c r="I287" s="381"/>
      <c r="J287" s="381"/>
      <c r="K287" s="381"/>
      <c r="L287" s="381"/>
      <c r="M287" s="381"/>
      <c r="N287" s="381"/>
      <c r="O287" s="381"/>
      <c r="P287" s="381"/>
      <c r="Q287" s="381"/>
      <c r="R287" s="384">
        <f>R285+R273+R261</f>
        <v>5071</v>
      </c>
      <c r="S287" s="379"/>
      <c r="T287" s="410">
        <f>+T285+T273+T261</f>
        <v>703690</v>
      </c>
      <c r="U287" s="379"/>
      <c r="V287" s="286"/>
      <c r="W287" s="289"/>
      <c r="X287" s="5"/>
    </row>
    <row r="288" spans="1:24" ht="15.75" x14ac:dyDescent="0.25">
      <c r="A288" s="254"/>
      <c r="B288" s="346"/>
      <c r="C288" s="346"/>
      <c r="D288" s="346"/>
      <c r="E288" s="346"/>
      <c r="F288" s="346"/>
      <c r="G288" s="346"/>
      <c r="H288" s="382"/>
      <c r="I288" s="382"/>
      <c r="J288" s="382"/>
      <c r="K288" s="382"/>
      <c r="L288" s="382"/>
      <c r="M288" s="382"/>
      <c r="N288" s="382"/>
      <c r="O288" s="382"/>
      <c r="P288" s="382"/>
      <c r="Q288" s="382"/>
      <c r="R288" s="382"/>
      <c r="S288" s="382"/>
      <c r="T288" s="383"/>
      <c r="U288" s="382"/>
      <c r="V288" s="346"/>
      <c r="W288" s="346"/>
      <c r="X288" s="5"/>
    </row>
    <row r="289" spans="1:24" ht="15.75" x14ac:dyDescent="0.25">
      <c r="A289" s="254"/>
      <c r="B289" s="255"/>
      <c r="C289" s="255"/>
      <c r="D289" s="255"/>
      <c r="E289" s="255"/>
      <c r="F289" s="255"/>
      <c r="G289" s="255"/>
      <c r="H289" s="256"/>
      <c r="I289" s="256"/>
      <c r="J289" s="256"/>
      <c r="K289" s="256"/>
      <c r="L289" s="256"/>
      <c r="M289" s="256"/>
      <c r="N289" s="256"/>
      <c r="O289" s="256"/>
      <c r="P289" s="256"/>
      <c r="Q289" s="256"/>
      <c r="R289" s="256"/>
      <c r="S289" s="256"/>
      <c r="T289" s="257"/>
      <c r="U289" s="256"/>
      <c r="V289" s="255"/>
      <c r="W289" s="255"/>
      <c r="X289" s="5"/>
    </row>
    <row r="290" spans="1:24" ht="15.75" x14ac:dyDescent="0.25">
      <c r="A290" s="258"/>
      <c r="B290" s="388" t="s">
        <v>91</v>
      </c>
      <c r="C290" s="255"/>
      <c r="D290" s="255"/>
      <c r="E290" s="255"/>
      <c r="F290" s="391" t="s">
        <v>97</v>
      </c>
      <c r="G290" s="255"/>
      <c r="H290" s="388" t="s">
        <v>99</v>
      </c>
      <c r="I290" s="388"/>
      <c r="J290" s="388"/>
      <c r="K290" s="261"/>
      <c r="L290" s="261"/>
      <c r="M290" s="261"/>
      <c r="N290" s="261"/>
      <c r="O290" s="261"/>
      <c r="P290" s="261"/>
      <c r="Q290" s="261"/>
      <c r="R290" s="261"/>
      <c r="S290" s="261"/>
      <c r="T290" s="261"/>
      <c r="U290" s="261"/>
      <c r="V290" s="261"/>
      <c r="W290" s="261"/>
      <c r="X290" s="5"/>
    </row>
    <row r="291" spans="1:24" ht="15.75" x14ac:dyDescent="0.25">
      <c r="A291" s="258"/>
      <c r="B291" s="261"/>
      <c r="C291" s="255"/>
      <c r="D291" s="255"/>
      <c r="E291" s="255"/>
      <c r="F291" s="255"/>
      <c r="G291" s="255"/>
      <c r="H291" s="255"/>
      <c r="I291" s="255"/>
      <c r="J291" s="255"/>
      <c r="K291" s="261"/>
      <c r="L291" s="261"/>
      <c r="M291" s="261"/>
      <c r="N291" s="261"/>
      <c r="O291" s="261"/>
      <c r="P291" s="261"/>
      <c r="Q291" s="261"/>
      <c r="R291" s="261"/>
      <c r="S291" s="261"/>
      <c r="T291" s="261"/>
      <c r="U291" s="261"/>
      <c r="V291" s="261"/>
      <c r="W291" s="261"/>
      <c r="X291" s="5"/>
    </row>
    <row r="292" spans="1:24" ht="15.75" x14ac:dyDescent="0.25">
      <c r="A292" s="258"/>
      <c r="B292" s="388" t="s">
        <v>318</v>
      </c>
      <c r="C292" s="388"/>
      <c r="D292" s="388"/>
      <c r="E292" s="388"/>
      <c r="F292" s="411" t="s">
        <v>148</v>
      </c>
      <c r="G292" s="388"/>
      <c r="H292" s="388" t="s">
        <v>152</v>
      </c>
      <c r="I292" s="388"/>
      <c r="J292" s="388"/>
      <c r="K292" s="261"/>
      <c r="L292" s="261"/>
      <c r="M292" s="261"/>
      <c r="N292" s="261"/>
      <c r="O292" s="261"/>
      <c r="P292" s="261"/>
      <c r="Q292" s="261"/>
      <c r="R292" s="261"/>
      <c r="S292" s="261"/>
      <c r="T292" s="261"/>
      <c r="U292" s="261"/>
      <c r="V292" s="261"/>
      <c r="W292" s="261"/>
      <c r="X292" s="5"/>
    </row>
    <row r="293" spans="1:24" ht="15.75" x14ac:dyDescent="0.25">
      <c r="A293" s="258"/>
      <c r="B293" s="388" t="s">
        <v>319</v>
      </c>
      <c r="C293" s="388"/>
      <c r="D293" s="388"/>
      <c r="E293" s="388"/>
      <c r="F293" s="411" t="s">
        <v>266</v>
      </c>
      <c r="G293" s="388"/>
      <c r="H293" s="388" t="s">
        <v>267</v>
      </c>
      <c r="I293" s="388"/>
      <c r="J293" s="388"/>
      <c r="K293" s="261"/>
      <c r="L293" s="261"/>
      <c r="M293" s="261"/>
      <c r="N293" s="261"/>
      <c r="O293" s="261"/>
      <c r="P293" s="261"/>
      <c r="Q293" s="261"/>
      <c r="R293" s="261"/>
      <c r="S293" s="261"/>
      <c r="T293" s="261"/>
      <c r="U293" s="261"/>
      <c r="V293" s="261"/>
      <c r="W293" s="261"/>
      <c r="X293" s="5"/>
    </row>
    <row r="294" spans="1:24" ht="15.75" x14ac:dyDescent="0.25">
      <c r="A294" s="258"/>
      <c r="B294" s="388" t="s">
        <v>320</v>
      </c>
      <c r="C294" s="388"/>
      <c r="D294" s="388"/>
      <c r="E294" s="388"/>
      <c r="F294" s="411" t="s">
        <v>147</v>
      </c>
      <c r="G294" s="388"/>
      <c r="H294" s="388" t="s">
        <v>153</v>
      </c>
      <c r="I294" s="388"/>
      <c r="J294" s="388"/>
      <c r="K294" s="261"/>
      <c r="L294" s="261"/>
      <c r="M294" s="261"/>
      <c r="N294" s="261"/>
      <c r="O294" s="261"/>
      <c r="P294" s="261"/>
      <c r="Q294" s="261"/>
      <c r="R294" s="261"/>
      <c r="S294" s="261"/>
      <c r="T294" s="261"/>
      <c r="U294" s="261"/>
      <c r="V294" s="261"/>
      <c r="W294" s="261"/>
      <c r="X294" s="5"/>
    </row>
    <row r="295" spans="1:24" ht="15.75" x14ac:dyDescent="0.25">
      <c r="A295" s="258"/>
      <c r="B295" s="388"/>
      <c r="C295" s="388"/>
      <c r="D295" s="388"/>
      <c r="E295" s="388"/>
      <c r="F295" s="388"/>
      <c r="G295" s="263"/>
      <c r="H295" s="261"/>
      <c r="I295" s="261"/>
      <c r="J295" s="261"/>
      <c r="K295" s="261"/>
      <c r="L295" s="261"/>
      <c r="M295" s="261"/>
      <c r="N295" s="261"/>
      <c r="O295" s="261"/>
      <c r="P295" s="261"/>
      <c r="Q295" s="261"/>
      <c r="R295" s="261"/>
      <c r="S295" s="261"/>
      <c r="T295" s="261"/>
      <c r="U295" s="261"/>
      <c r="V295" s="261"/>
      <c r="W295" s="261"/>
      <c r="X295" s="5"/>
    </row>
    <row r="296" spans="1:24" ht="15.75" x14ac:dyDescent="0.25">
      <c r="A296" s="258"/>
      <c r="B296" s="388"/>
      <c r="C296" s="388"/>
      <c r="D296" s="388"/>
      <c r="E296" s="388"/>
      <c r="F296" s="388"/>
      <c r="G296" s="263"/>
      <c r="H296" s="261"/>
      <c r="I296" s="261"/>
      <c r="J296" s="261"/>
      <c r="K296" s="261"/>
      <c r="L296" s="261"/>
      <c r="M296" s="261"/>
      <c r="N296" s="261"/>
      <c r="O296" s="261"/>
      <c r="P296" s="261"/>
      <c r="Q296" s="261"/>
      <c r="R296" s="261"/>
      <c r="S296" s="261"/>
      <c r="T296" s="261"/>
      <c r="U296" s="261"/>
      <c r="V296" s="261"/>
      <c r="W296" s="261"/>
      <c r="X296" s="5"/>
    </row>
    <row r="297" spans="1:24" ht="19.5" thickBot="1" x14ac:dyDescent="0.35">
      <c r="A297" s="258"/>
      <c r="B297" s="264" t="str">
        <f>B201</f>
        <v>PM15 INVESTOR REPORT QUARTER ENDING MAY 2016</v>
      </c>
      <c r="C297" s="388"/>
      <c r="D297" s="388"/>
      <c r="E297" s="388"/>
      <c r="F297" s="388"/>
      <c r="G297" s="263"/>
      <c r="H297" s="261"/>
      <c r="I297" s="261"/>
      <c r="J297" s="261"/>
      <c r="K297" s="261"/>
      <c r="L297" s="261"/>
      <c r="M297" s="261"/>
      <c r="N297" s="261"/>
      <c r="O297" s="261"/>
      <c r="P297" s="261"/>
      <c r="Q297" s="261"/>
      <c r="R297" s="261"/>
      <c r="S297" s="261"/>
      <c r="T297" s="261"/>
      <c r="U297" s="261"/>
      <c r="V297" s="261"/>
      <c r="W297" s="261"/>
      <c r="X297" s="5"/>
    </row>
    <row r="298" spans="1:24" x14ac:dyDescent="0.2">
      <c r="A298" s="100"/>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00"/>
    </row>
  </sheetData>
  <hyperlinks>
    <hyperlink ref="P237" r:id="rId1" xr:uid="{00000000-0004-0000-2200-000000000000}"/>
    <hyperlink ref="I9" r:id="rId2" xr:uid="{00000000-0004-0000-22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5" max="14" man="1"/>
    <brk id="201" max="14" man="1"/>
  </rowBreaks>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6"/>
  </sheetPr>
  <dimension ref="A1:IV298"/>
  <sheetViews>
    <sheetView showGridLines="0" showOutlineSymbols="0" zoomScale="70" zoomScaleNormal="70" workbookViewId="0"/>
  </sheetViews>
  <sheetFormatPr defaultColWidth="9.6640625" defaultRowHeight="15" x14ac:dyDescent="0.2"/>
  <cols>
    <col min="1" max="1" width="4" style="1" customWidth="1"/>
    <col min="2" max="2" width="71.21875" style="1" customWidth="1"/>
    <col min="3" max="3" width="2.21875" style="1" customWidth="1"/>
    <col min="4" max="4" width="19.33203125" style="1" customWidth="1"/>
    <col min="5" max="5" width="2.21875" style="1" customWidth="1"/>
    <col min="6" max="6" width="25.109375" style="1" customWidth="1"/>
    <col min="7" max="7" width="2.21875" style="1" customWidth="1"/>
    <col min="8" max="8" width="16.21875" style="1" customWidth="1"/>
    <col min="9" max="9" width="2.88671875" style="1" customWidth="1"/>
    <col min="10" max="10" width="16.21875" style="1" customWidth="1"/>
    <col min="11" max="11" width="2.21875" style="1" customWidth="1"/>
    <col min="12" max="12" width="17.88671875" style="1" customWidth="1"/>
    <col min="13" max="13" width="2.33203125" style="1" customWidth="1"/>
    <col min="14" max="14" width="14.88671875" style="1" customWidth="1"/>
    <col min="15" max="15" width="2.33203125" style="1" customWidth="1"/>
    <col min="16" max="16" width="15.5546875" style="1" customWidth="1"/>
    <col min="17" max="17" width="2.21875" style="1" customWidth="1"/>
    <col min="18" max="18" width="15.5546875" style="1" customWidth="1"/>
    <col min="19" max="20" width="12.6640625" style="1" customWidth="1"/>
    <col min="21" max="21" width="7.77734375" style="1" customWidth="1"/>
    <col min="22" max="22" width="14.6640625" style="1" customWidth="1"/>
    <col min="23" max="23" width="11.77734375" style="1" customWidth="1"/>
    <col min="24" max="16384" width="9.6640625" style="1"/>
  </cols>
  <sheetData>
    <row r="1" spans="1:24" ht="20.25" x14ac:dyDescent="0.3">
      <c r="A1" s="179"/>
      <c r="B1" s="274" t="s">
        <v>237</v>
      </c>
      <c r="C1" s="180"/>
      <c r="D1" s="180"/>
      <c r="E1" s="180"/>
      <c r="F1" s="180"/>
      <c r="G1" s="180"/>
      <c r="H1" s="180"/>
      <c r="I1" s="180"/>
      <c r="J1" s="180"/>
      <c r="K1" s="180"/>
      <c r="L1" s="180"/>
      <c r="M1" s="180"/>
      <c r="N1" s="180"/>
      <c r="O1" s="180"/>
      <c r="P1" s="180"/>
      <c r="Q1" s="180"/>
      <c r="R1" s="180"/>
      <c r="S1" s="180"/>
      <c r="T1" s="180"/>
      <c r="U1" s="180"/>
      <c r="V1" s="180"/>
      <c r="W1" s="180"/>
      <c r="X1" s="5"/>
    </row>
    <row r="2" spans="1:24" ht="15.75" x14ac:dyDescent="0.25">
      <c r="A2" s="181"/>
      <c r="B2" s="182"/>
      <c r="C2" s="183"/>
      <c r="D2" s="183"/>
      <c r="E2" s="183"/>
      <c r="F2" s="183"/>
      <c r="G2" s="183"/>
      <c r="H2" s="183"/>
      <c r="I2" s="183"/>
      <c r="J2" s="183"/>
      <c r="K2" s="183"/>
      <c r="L2" s="183"/>
      <c r="M2" s="183"/>
      <c r="N2" s="183"/>
      <c r="O2" s="183"/>
      <c r="P2" s="183"/>
      <c r="Q2" s="183"/>
      <c r="R2" s="183"/>
      <c r="S2" s="183"/>
      <c r="T2" s="183"/>
      <c r="U2" s="183"/>
      <c r="V2" s="183"/>
      <c r="W2" s="183"/>
      <c r="X2" s="5"/>
    </row>
    <row r="3" spans="1:24" ht="15.75" x14ac:dyDescent="0.25">
      <c r="A3" s="184"/>
      <c r="B3" s="185" t="s">
        <v>238</v>
      </c>
      <c r="C3" s="183"/>
      <c r="D3" s="183"/>
      <c r="E3" s="183"/>
      <c r="F3" s="183"/>
      <c r="G3" s="183"/>
      <c r="H3" s="183"/>
      <c r="I3" s="183"/>
      <c r="J3" s="183"/>
      <c r="K3" s="183"/>
      <c r="L3" s="183"/>
      <c r="M3" s="183"/>
      <c r="N3" s="183"/>
      <c r="O3" s="183"/>
      <c r="P3" s="183"/>
      <c r="Q3" s="183"/>
      <c r="R3" s="183"/>
      <c r="S3" s="183"/>
      <c r="T3" s="183"/>
      <c r="U3" s="183"/>
      <c r="V3" s="183"/>
      <c r="W3" s="183"/>
      <c r="X3" s="5"/>
    </row>
    <row r="4" spans="1:24" ht="15.75" x14ac:dyDescent="0.25">
      <c r="A4" s="181"/>
      <c r="B4" s="182"/>
      <c r="C4" s="183"/>
      <c r="D4" s="183"/>
      <c r="E4" s="183"/>
      <c r="F4" s="183"/>
      <c r="G4" s="183"/>
      <c r="H4" s="183"/>
      <c r="I4" s="183"/>
      <c r="J4" s="183"/>
      <c r="K4" s="183"/>
      <c r="L4" s="183"/>
      <c r="M4" s="183"/>
      <c r="N4" s="183"/>
      <c r="O4" s="183"/>
      <c r="P4" s="183"/>
      <c r="Q4" s="183"/>
      <c r="R4" s="183"/>
      <c r="S4" s="183"/>
      <c r="T4" s="183"/>
      <c r="U4" s="183"/>
      <c r="V4" s="183"/>
      <c r="W4" s="183"/>
      <c r="X4" s="5"/>
    </row>
    <row r="5" spans="1:24" ht="15.75" x14ac:dyDescent="0.25">
      <c r="A5" s="181"/>
      <c r="B5" s="275" t="s">
        <v>137</v>
      </c>
      <c r="C5" s="183"/>
      <c r="D5" s="183"/>
      <c r="E5" s="183"/>
      <c r="F5" s="183"/>
      <c r="G5" s="183"/>
      <c r="H5" s="183"/>
      <c r="I5" s="183"/>
      <c r="J5" s="183"/>
      <c r="K5" s="183"/>
      <c r="L5" s="183"/>
      <c r="M5" s="183"/>
      <c r="N5" s="183"/>
      <c r="O5" s="183"/>
      <c r="P5" s="183"/>
      <c r="Q5" s="183"/>
      <c r="R5" s="183"/>
      <c r="S5" s="183"/>
      <c r="T5" s="183"/>
      <c r="U5" s="183"/>
      <c r="V5" s="183"/>
      <c r="W5" s="183"/>
      <c r="X5" s="5"/>
    </row>
    <row r="6" spans="1:24" ht="15.75" x14ac:dyDescent="0.25">
      <c r="A6" s="181"/>
      <c r="B6" s="275" t="s">
        <v>139</v>
      </c>
      <c r="C6" s="183"/>
      <c r="D6" s="183"/>
      <c r="E6" s="183"/>
      <c r="F6" s="183"/>
      <c r="G6" s="183"/>
      <c r="H6" s="183"/>
      <c r="I6" s="183"/>
      <c r="J6" s="183"/>
      <c r="K6" s="183"/>
      <c r="L6" s="183"/>
      <c r="M6" s="183"/>
      <c r="N6" s="183"/>
      <c r="O6" s="183"/>
      <c r="P6" s="183"/>
      <c r="Q6" s="183"/>
      <c r="R6" s="183"/>
      <c r="S6" s="183"/>
      <c r="T6" s="183"/>
      <c r="U6" s="183"/>
      <c r="V6" s="183"/>
      <c r="W6" s="183"/>
      <c r="X6" s="5"/>
    </row>
    <row r="7" spans="1:24" ht="15.75" x14ac:dyDescent="0.25">
      <c r="A7" s="181"/>
      <c r="B7" s="275" t="s">
        <v>138</v>
      </c>
      <c r="C7" s="183"/>
      <c r="D7" s="183"/>
      <c r="E7" s="183"/>
      <c r="F7" s="183"/>
      <c r="G7" s="183"/>
      <c r="H7" s="183"/>
      <c r="I7" s="183"/>
      <c r="J7" s="183"/>
      <c r="K7" s="183"/>
      <c r="L7" s="183"/>
      <c r="M7" s="183"/>
      <c r="N7" s="183"/>
      <c r="O7" s="183"/>
      <c r="P7" s="183"/>
      <c r="Q7" s="183"/>
      <c r="R7" s="183"/>
      <c r="S7" s="183"/>
      <c r="T7" s="183"/>
      <c r="U7" s="183"/>
      <c r="V7" s="183"/>
      <c r="W7" s="183"/>
      <c r="X7" s="5"/>
    </row>
    <row r="8" spans="1:24" ht="15.75" x14ac:dyDescent="0.25">
      <c r="A8" s="181"/>
      <c r="B8" s="186"/>
      <c r="C8" s="183"/>
      <c r="D8" s="183"/>
      <c r="E8" s="183"/>
      <c r="F8" s="183"/>
      <c r="G8" s="183"/>
      <c r="H8" s="183"/>
      <c r="I8" s="183"/>
      <c r="J8" s="183"/>
      <c r="K8" s="183"/>
      <c r="L8" s="183"/>
      <c r="M8" s="183"/>
      <c r="N8" s="183"/>
      <c r="O8" s="183"/>
      <c r="P8" s="183"/>
      <c r="Q8" s="183"/>
      <c r="R8" s="183"/>
      <c r="S8" s="183"/>
      <c r="T8" s="183"/>
      <c r="U8" s="183"/>
      <c r="V8" s="183"/>
      <c r="W8" s="183"/>
      <c r="X8" s="5"/>
    </row>
    <row r="9" spans="1:24" ht="18.75" x14ac:dyDescent="0.3">
      <c r="A9" s="181"/>
      <c r="B9" s="187" t="s">
        <v>166</v>
      </c>
      <c r="C9" s="183"/>
      <c r="D9" s="183"/>
      <c r="E9" s="183"/>
      <c r="F9" s="183"/>
      <c r="G9" s="183"/>
      <c r="H9" s="183"/>
      <c r="I9" s="188" t="s">
        <v>167</v>
      </c>
      <c r="J9" s="183"/>
      <c r="K9" s="183"/>
      <c r="L9" s="188"/>
      <c r="M9" s="183"/>
      <c r="N9" s="188"/>
      <c r="O9" s="183"/>
      <c r="P9" s="183"/>
      <c r="Q9" s="183"/>
      <c r="R9" s="183"/>
      <c r="S9" s="183"/>
      <c r="T9" s="183"/>
      <c r="U9" s="183"/>
      <c r="V9" s="183"/>
      <c r="W9" s="183"/>
      <c r="X9" s="5"/>
    </row>
    <row r="10" spans="1:24" ht="15.75" x14ac:dyDescent="0.25">
      <c r="A10" s="181"/>
      <c r="B10" s="186"/>
      <c r="C10" s="189"/>
      <c r="D10" s="189"/>
      <c r="E10" s="189"/>
      <c r="F10" s="183"/>
      <c r="G10" s="183"/>
      <c r="H10" s="183"/>
      <c r="I10" s="183"/>
      <c r="J10" s="183"/>
      <c r="K10" s="183"/>
      <c r="L10" s="183"/>
      <c r="M10" s="183"/>
      <c r="N10" s="183"/>
      <c r="O10" s="183"/>
      <c r="P10" s="183"/>
      <c r="Q10" s="183"/>
      <c r="R10" s="183"/>
      <c r="S10" s="183"/>
      <c r="T10" s="183"/>
      <c r="U10" s="183"/>
      <c r="V10" s="183"/>
      <c r="W10" s="183"/>
      <c r="X10" s="5"/>
    </row>
    <row r="11" spans="1:24" ht="15.75" x14ac:dyDescent="0.25">
      <c r="A11" s="181"/>
      <c r="B11" s="388" t="s">
        <v>0</v>
      </c>
      <c r="C11" s="183"/>
      <c r="D11" s="183"/>
      <c r="E11" s="183"/>
      <c r="F11" s="183"/>
      <c r="G11" s="183"/>
      <c r="H11" s="183"/>
      <c r="I11" s="183"/>
      <c r="J11" s="183"/>
      <c r="K11" s="183"/>
      <c r="L11" s="183"/>
      <c r="M11" s="183"/>
      <c r="N11" s="183"/>
      <c r="O11" s="183"/>
      <c r="P11" s="183"/>
      <c r="Q11" s="183"/>
      <c r="R11" s="183"/>
      <c r="S11" s="183"/>
      <c r="T11" s="183"/>
      <c r="U11" s="183"/>
      <c r="V11" s="183"/>
      <c r="W11" s="183"/>
      <c r="X11" s="5"/>
    </row>
    <row r="12" spans="1:24" ht="16.5" thickBot="1" x14ac:dyDescent="0.3">
      <c r="A12" s="181"/>
      <c r="B12" s="189"/>
      <c r="C12" s="183"/>
      <c r="D12" s="183"/>
      <c r="E12" s="183"/>
      <c r="F12" s="183"/>
      <c r="G12" s="183"/>
      <c r="H12" s="183"/>
      <c r="I12" s="183"/>
      <c r="J12" s="183"/>
      <c r="K12" s="183"/>
      <c r="L12" s="183"/>
      <c r="M12" s="183"/>
      <c r="N12" s="183"/>
      <c r="O12" s="183"/>
      <c r="P12" s="183"/>
      <c r="Q12" s="183"/>
      <c r="R12" s="183"/>
      <c r="S12" s="183"/>
      <c r="T12" s="183"/>
      <c r="U12" s="183"/>
      <c r="V12" s="183"/>
      <c r="W12" s="183"/>
      <c r="X12" s="5"/>
    </row>
    <row r="13" spans="1:24" ht="15.75" x14ac:dyDescent="0.25">
      <c r="A13" s="179"/>
      <c r="B13" s="180"/>
      <c r="C13" s="180"/>
      <c r="D13" s="180"/>
      <c r="E13" s="180"/>
      <c r="F13" s="180"/>
      <c r="G13" s="180"/>
      <c r="H13" s="180"/>
      <c r="I13" s="180"/>
      <c r="J13" s="180"/>
      <c r="K13" s="180"/>
      <c r="L13" s="180"/>
      <c r="M13" s="180"/>
      <c r="N13" s="180"/>
      <c r="O13" s="180"/>
      <c r="P13" s="180"/>
      <c r="Q13" s="180"/>
      <c r="R13" s="180"/>
      <c r="S13" s="180"/>
      <c r="T13" s="180"/>
      <c r="U13" s="180"/>
      <c r="V13" s="180"/>
      <c r="W13" s="180"/>
      <c r="X13" s="5"/>
    </row>
    <row r="14" spans="1:24" ht="15.75" x14ac:dyDescent="0.25">
      <c r="A14" s="181"/>
      <c r="B14" s="388" t="s">
        <v>1</v>
      </c>
      <c r="C14" s="255"/>
      <c r="D14" s="255"/>
      <c r="E14" s="255"/>
      <c r="F14" s="255"/>
      <c r="G14" s="255"/>
      <c r="H14" s="255"/>
      <c r="I14" s="255"/>
      <c r="J14" s="255"/>
      <c r="K14" s="255"/>
      <c r="L14" s="255"/>
      <c r="M14" s="255"/>
      <c r="N14" s="255"/>
      <c r="O14" s="255"/>
      <c r="P14" s="255"/>
      <c r="Q14" s="255"/>
      <c r="R14" s="255"/>
      <c r="S14" s="255"/>
      <c r="T14" s="255"/>
      <c r="U14" s="255"/>
      <c r="V14" s="276" t="s">
        <v>239</v>
      </c>
      <c r="W14" s="255"/>
      <c r="X14" s="5"/>
    </row>
    <row r="15" spans="1:24" ht="15.75" x14ac:dyDescent="0.25">
      <c r="A15" s="181"/>
      <c r="B15" s="388" t="s">
        <v>2</v>
      </c>
      <c r="C15" s="255"/>
      <c r="D15" s="255"/>
      <c r="E15" s="255"/>
      <c r="F15" s="255"/>
      <c r="G15" s="255"/>
      <c r="H15" s="389"/>
      <c r="I15" s="389"/>
      <c r="J15" s="389"/>
      <c r="K15" s="389"/>
      <c r="L15" s="389"/>
      <c r="M15" s="389"/>
      <c r="N15" s="389"/>
      <c r="O15" s="389"/>
      <c r="P15" s="389"/>
      <c r="Q15" s="389"/>
      <c r="R15" s="389" t="s">
        <v>104</v>
      </c>
      <c r="S15" s="390">
        <v>0.47189999999999999</v>
      </c>
      <c r="T15" s="391" t="s">
        <v>140</v>
      </c>
      <c r="U15" s="390">
        <v>0.52810000000000001</v>
      </c>
      <c r="V15" s="276"/>
      <c r="W15" s="255"/>
      <c r="X15" s="5"/>
    </row>
    <row r="16" spans="1:24" ht="15.75" x14ac:dyDescent="0.25">
      <c r="A16" s="181"/>
      <c r="B16" s="388" t="s">
        <v>3</v>
      </c>
      <c r="C16" s="255"/>
      <c r="D16" s="255"/>
      <c r="E16" s="255"/>
      <c r="F16" s="255"/>
      <c r="G16" s="255"/>
      <c r="H16" s="389"/>
      <c r="I16" s="389"/>
      <c r="J16" s="389"/>
      <c r="K16" s="389"/>
      <c r="L16" s="389"/>
      <c r="M16" s="389"/>
      <c r="N16" s="389"/>
      <c r="O16" s="389"/>
      <c r="P16" s="389"/>
      <c r="Q16" s="389"/>
      <c r="R16" s="389" t="s">
        <v>104</v>
      </c>
      <c r="S16" s="390">
        <v>0.55620000000000003</v>
      </c>
      <c r="T16" s="391" t="s">
        <v>140</v>
      </c>
      <c r="U16" s="390">
        <v>0.44379999999999997</v>
      </c>
      <c r="V16" s="276"/>
      <c r="W16" s="255"/>
      <c r="X16" s="5"/>
    </row>
    <row r="17" spans="1:24" ht="15.75" x14ac:dyDescent="0.25">
      <c r="A17" s="181"/>
      <c r="B17" s="388" t="s">
        <v>4</v>
      </c>
      <c r="C17" s="255"/>
      <c r="D17" s="255"/>
      <c r="E17" s="255"/>
      <c r="F17" s="255"/>
      <c r="G17" s="255"/>
      <c r="H17" s="255"/>
      <c r="I17" s="255"/>
      <c r="J17" s="255"/>
      <c r="K17" s="255"/>
      <c r="L17" s="255"/>
      <c r="M17" s="255"/>
      <c r="N17" s="255"/>
      <c r="O17" s="255"/>
      <c r="P17" s="255"/>
      <c r="Q17" s="255"/>
      <c r="R17" s="255"/>
      <c r="S17" s="255"/>
      <c r="T17" s="255"/>
      <c r="U17" s="255"/>
      <c r="V17" s="392">
        <v>39282</v>
      </c>
      <c r="W17" s="255"/>
      <c r="X17" s="5"/>
    </row>
    <row r="18" spans="1:24" ht="15.75" x14ac:dyDescent="0.25">
      <c r="A18" s="181"/>
      <c r="B18" s="388" t="s">
        <v>5</v>
      </c>
      <c r="C18" s="255"/>
      <c r="D18" s="255"/>
      <c r="E18" s="255"/>
      <c r="F18" s="255"/>
      <c r="G18" s="255"/>
      <c r="H18" s="255"/>
      <c r="I18" s="255"/>
      <c r="J18" s="255"/>
      <c r="K18" s="255"/>
      <c r="L18" s="255"/>
      <c r="M18" s="255"/>
      <c r="N18" s="255"/>
      <c r="O18" s="255"/>
      <c r="P18" s="255"/>
      <c r="Q18" s="255"/>
      <c r="R18" s="255"/>
      <c r="S18" s="255"/>
      <c r="T18" s="255"/>
      <c r="U18" s="255"/>
      <c r="V18" s="392">
        <v>42633</v>
      </c>
      <c r="W18" s="255"/>
      <c r="X18" s="5"/>
    </row>
    <row r="19" spans="1:24" ht="15.75" x14ac:dyDescent="0.25">
      <c r="A19" s="181"/>
      <c r="B19" s="183"/>
      <c r="C19" s="183"/>
      <c r="D19" s="183"/>
      <c r="E19" s="183"/>
      <c r="F19" s="183"/>
      <c r="G19" s="183"/>
      <c r="H19" s="183"/>
      <c r="I19" s="183"/>
      <c r="J19" s="183"/>
      <c r="K19" s="183"/>
      <c r="L19" s="183"/>
      <c r="M19" s="183"/>
      <c r="N19" s="183"/>
      <c r="O19" s="183"/>
      <c r="P19" s="183"/>
      <c r="Q19" s="183"/>
      <c r="R19" s="183"/>
      <c r="S19" s="183"/>
      <c r="T19" s="183"/>
      <c r="U19" s="183"/>
      <c r="V19" s="190"/>
      <c r="W19" s="183"/>
      <c r="X19" s="5"/>
    </row>
    <row r="20" spans="1:24" ht="15.75" x14ac:dyDescent="0.25">
      <c r="A20" s="181"/>
      <c r="B20" s="280" t="s">
        <v>6</v>
      </c>
      <c r="C20" s="255"/>
      <c r="D20" s="255"/>
      <c r="E20" s="255"/>
      <c r="F20" s="255"/>
      <c r="G20" s="255"/>
      <c r="H20" s="255"/>
      <c r="I20" s="255"/>
      <c r="J20" s="255"/>
      <c r="K20" s="255"/>
      <c r="L20" s="255"/>
      <c r="M20" s="255"/>
      <c r="N20" s="255"/>
      <c r="O20" s="255"/>
      <c r="P20" s="255"/>
      <c r="Q20" s="255"/>
      <c r="R20" s="255"/>
      <c r="S20" s="255"/>
      <c r="T20" s="281" t="s">
        <v>105</v>
      </c>
      <c r="U20" s="255"/>
      <c r="V20" s="261"/>
      <c r="W20" s="183"/>
      <c r="X20" s="5"/>
    </row>
    <row r="21" spans="1:24" ht="15.75" x14ac:dyDescent="0.25">
      <c r="A21" s="181"/>
      <c r="B21" s="183"/>
      <c r="C21" s="183"/>
      <c r="D21" s="183"/>
      <c r="E21" s="183"/>
      <c r="F21" s="183"/>
      <c r="G21" s="183"/>
      <c r="H21" s="183"/>
      <c r="I21" s="183"/>
      <c r="J21" s="183"/>
      <c r="K21" s="183"/>
      <c r="L21" s="183"/>
      <c r="M21" s="183"/>
      <c r="N21" s="183"/>
      <c r="O21" s="183"/>
      <c r="P21" s="183"/>
      <c r="Q21" s="183"/>
      <c r="R21" s="183"/>
      <c r="S21" s="183"/>
      <c r="T21" s="183"/>
      <c r="U21" s="183"/>
      <c r="V21" s="192"/>
      <c r="W21" s="183"/>
      <c r="X21" s="5"/>
    </row>
    <row r="22" spans="1:24" ht="15.75" x14ac:dyDescent="0.25">
      <c r="A22" s="224"/>
      <c r="B22" s="225"/>
      <c r="C22" s="226"/>
      <c r="D22" s="226" t="s">
        <v>177</v>
      </c>
      <c r="E22" s="226"/>
      <c r="F22" s="226" t="s">
        <v>178</v>
      </c>
      <c r="G22" s="226"/>
      <c r="H22" s="226" t="s">
        <v>179</v>
      </c>
      <c r="I22" s="226"/>
      <c r="J22" s="226" t="s">
        <v>219</v>
      </c>
      <c r="K22" s="226"/>
      <c r="L22" s="226" t="s">
        <v>180</v>
      </c>
      <c r="M22" s="226"/>
      <c r="N22" s="226" t="s">
        <v>181</v>
      </c>
      <c r="O22" s="226"/>
      <c r="P22" s="226" t="s">
        <v>182</v>
      </c>
      <c r="Q22" s="226"/>
      <c r="R22" s="226"/>
      <c r="S22" s="228"/>
      <c r="T22" s="228"/>
      <c r="U22" s="229"/>
      <c r="V22" s="229"/>
      <c r="W22" s="225"/>
      <c r="X22" s="5"/>
    </row>
    <row r="23" spans="1:24" ht="15.75" x14ac:dyDescent="0.25">
      <c r="A23" s="193"/>
      <c r="B23" s="250" t="s">
        <v>7</v>
      </c>
      <c r="C23" s="282"/>
      <c r="D23" s="282" t="s">
        <v>212</v>
      </c>
      <c r="E23" s="282"/>
      <c r="F23" s="282" t="s">
        <v>141</v>
      </c>
      <c r="G23" s="282"/>
      <c r="H23" s="282" t="s">
        <v>141</v>
      </c>
      <c r="I23" s="282"/>
      <c r="J23" s="282" t="s">
        <v>141</v>
      </c>
      <c r="K23" s="282"/>
      <c r="L23" s="282" t="s">
        <v>183</v>
      </c>
      <c r="M23" s="282"/>
      <c r="N23" s="282" t="s">
        <v>183</v>
      </c>
      <c r="O23" s="282"/>
      <c r="P23" s="282" t="s">
        <v>142</v>
      </c>
      <c r="Q23" s="282"/>
      <c r="R23" s="282"/>
      <c r="S23" s="282"/>
      <c r="T23" s="282"/>
      <c r="U23" s="273"/>
      <c r="V23" s="273"/>
      <c r="W23" s="250"/>
      <c r="X23" s="5"/>
    </row>
    <row r="24" spans="1:24" ht="15.75" x14ac:dyDescent="0.25">
      <c r="A24" s="285"/>
      <c r="B24" s="286" t="s">
        <v>8</v>
      </c>
      <c r="C24" s="287"/>
      <c r="D24" s="287" t="s">
        <v>213</v>
      </c>
      <c r="E24" s="287"/>
      <c r="F24" s="287" t="s">
        <v>143</v>
      </c>
      <c r="G24" s="287"/>
      <c r="H24" s="287" t="s">
        <v>143</v>
      </c>
      <c r="I24" s="287"/>
      <c r="J24" s="287" t="s">
        <v>143</v>
      </c>
      <c r="K24" s="287"/>
      <c r="L24" s="287" t="s">
        <v>165</v>
      </c>
      <c r="M24" s="287"/>
      <c r="N24" s="287" t="s">
        <v>165</v>
      </c>
      <c r="O24" s="287"/>
      <c r="P24" s="287" t="s">
        <v>144</v>
      </c>
      <c r="Q24" s="287"/>
      <c r="R24" s="287"/>
      <c r="S24" s="287"/>
      <c r="T24" s="287"/>
      <c r="U24" s="288"/>
      <c r="V24" s="288"/>
      <c r="W24" s="289"/>
      <c r="X24" s="5"/>
    </row>
    <row r="25" spans="1:24" ht="15.75" x14ac:dyDescent="0.25">
      <c r="A25" s="290"/>
      <c r="B25" s="286" t="s">
        <v>190</v>
      </c>
      <c r="C25" s="292"/>
      <c r="D25" s="287" t="s">
        <v>214</v>
      </c>
      <c r="E25" s="287"/>
      <c r="F25" s="287" t="s">
        <v>143</v>
      </c>
      <c r="G25" s="287"/>
      <c r="H25" s="287" t="s">
        <v>143</v>
      </c>
      <c r="I25" s="287"/>
      <c r="J25" s="287" t="s">
        <v>143</v>
      </c>
      <c r="K25" s="287"/>
      <c r="L25" s="287" t="s">
        <v>165</v>
      </c>
      <c r="M25" s="287"/>
      <c r="N25" s="287" t="s">
        <v>165</v>
      </c>
      <c r="O25" s="287"/>
      <c r="P25" s="287" t="s">
        <v>144</v>
      </c>
      <c r="Q25" s="287"/>
      <c r="R25" s="287"/>
      <c r="S25" s="292"/>
      <c r="T25" s="287"/>
      <c r="U25" s="288"/>
      <c r="V25" s="288"/>
      <c r="W25" s="289"/>
      <c r="X25" s="5"/>
    </row>
    <row r="26" spans="1:24" ht="15.75" x14ac:dyDescent="0.25">
      <c r="A26" s="393"/>
      <c r="B26" s="297" t="s">
        <v>9</v>
      </c>
      <c r="C26" s="292"/>
      <c r="D26" s="292" t="s">
        <v>141</v>
      </c>
      <c r="E26" s="292"/>
      <c r="F26" s="292" t="s">
        <v>141</v>
      </c>
      <c r="G26" s="292"/>
      <c r="H26" s="292" t="s">
        <v>141</v>
      </c>
      <c r="I26" s="292"/>
      <c r="J26" s="292" t="s">
        <v>141</v>
      </c>
      <c r="K26" s="292"/>
      <c r="L26" s="292" t="s">
        <v>183</v>
      </c>
      <c r="M26" s="292"/>
      <c r="N26" s="292" t="s">
        <v>183</v>
      </c>
      <c r="O26" s="292"/>
      <c r="P26" s="292" t="s">
        <v>142</v>
      </c>
      <c r="Q26" s="292"/>
      <c r="R26" s="292"/>
      <c r="S26" s="292"/>
      <c r="T26" s="287"/>
      <c r="U26" s="288"/>
      <c r="V26" s="288"/>
      <c r="W26" s="289"/>
      <c r="X26" s="5"/>
    </row>
    <row r="27" spans="1:24" ht="15.75" x14ac:dyDescent="0.25">
      <c r="A27" s="295"/>
      <c r="B27" s="297" t="s">
        <v>191</v>
      </c>
      <c r="C27" s="287"/>
      <c r="D27" s="292" t="s">
        <v>143</v>
      </c>
      <c r="E27" s="292"/>
      <c r="F27" s="292" t="s">
        <v>143</v>
      </c>
      <c r="G27" s="292"/>
      <c r="H27" s="292" t="s">
        <v>143</v>
      </c>
      <c r="I27" s="292"/>
      <c r="J27" s="292" t="s">
        <v>143</v>
      </c>
      <c r="K27" s="292"/>
      <c r="L27" s="292" t="s">
        <v>307</v>
      </c>
      <c r="M27" s="292"/>
      <c r="N27" s="292" t="s">
        <v>307</v>
      </c>
      <c r="O27" s="292"/>
      <c r="P27" s="292" t="s">
        <v>332</v>
      </c>
      <c r="Q27" s="292"/>
      <c r="R27" s="292"/>
      <c r="S27" s="287"/>
      <c r="T27" s="296"/>
      <c r="U27" s="288"/>
      <c r="V27" s="288"/>
      <c r="W27" s="289"/>
      <c r="X27" s="5"/>
    </row>
    <row r="28" spans="1:24" ht="15.75" x14ac:dyDescent="0.25">
      <c r="A28" s="295"/>
      <c r="B28" s="297" t="s">
        <v>192</v>
      </c>
      <c r="C28" s="287"/>
      <c r="D28" s="292" t="s">
        <v>143</v>
      </c>
      <c r="E28" s="292"/>
      <c r="F28" s="292" t="s">
        <v>143</v>
      </c>
      <c r="G28" s="292"/>
      <c r="H28" s="292" t="s">
        <v>143</v>
      </c>
      <c r="I28" s="292"/>
      <c r="J28" s="292" t="s">
        <v>143</v>
      </c>
      <c r="K28" s="292"/>
      <c r="L28" s="292" t="s">
        <v>329</v>
      </c>
      <c r="M28" s="292"/>
      <c r="N28" s="292" t="s">
        <v>329</v>
      </c>
      <c r="O28" s="292"/>
      <c r="P28" s="292" t="s">
        <v>330</v>
      </c>
      <c r="Q28" s="292"/>
      <c r="R28" s="292"/>
      <c r="S28" s="287"/>
      <c r="T28" s="296"/>
      <c r="U28" s="288"/>
      <c r="V28" s="288"/>
      <c r="W28" s="289"/>
      <c r="X28" s="5"/>
    </row>
    <row r="29" spans="1:24" ht="15.75" x14ac:dyDescent="0.25">
      <c r="A29" s="295"/>
      <c r="B29" s="286" t="s">
        <v>10</v>
      </c>
      <c r="C29" s="298"/>
      <c r="D29" s="287" t="s">
        <v>242</v>
      </c>
      <c r="E29" s="287"/>
      <c r="F29" s="296" t="s">
        <v>244</v>
      </c>
      <c r="G29" s="287"/>
      <c r="H29" s="287" t="s">
        <v>245</v>
      </c>
      <c r="I29" s="287"/>
      <c r="J29" s="287" t="s">
        <v>247</v>
      </c>
      <c r="K29" s="287"/>
      <c r="L29" s="287" t="s">
        <v>248</v>
      </c>
      <c r="M29" s="287"/>
      <c r="N29" s="287" t="s">
        <v>249</v>
      </c>
      <c r="O29" s="287"/>
      <c r="P29" s="287" t="s">
        <v>250</v>
      </c>
      <c r="Q29" s="287"/>
      <c r="R29" s="287"/>
      <c r="S29" s="299"/>
      <c r="T29" s="299"/>
      <c r="U29" s="300"/>
      <c r="V29" s="299"/>
      <c r="W29" s="301"/>
      <c r="X29" s="5"/>
    </row>
    <row r="30" spans="1:24" ht="15.75" x14ac:dyDescent="0.25">
      <c r="A30" s="295"/>
      <c r="B30" s="286" t="s">
        <v>10</v>
      </c>
      <c r="C30" s="298"/>
      <c r="D30" s="287" t="s">
        <v>243</v>
      </c>
      <c r="E30" s="287"/>
      <c r="F30" s="296" t="s">
        <v>118</v>
      </c>
      <c r="G30" s="287"/>
      <c r="H30" s="287" t="s">
        <v>118</v>
      </c>
      <c r="I30" s="287"/>
      <c r="J30" s="287" t="s">
        <v>246</v>
      </c>
      <c r="K30" s="287"/>
      <c r="L30" s="287" t="s">
        <v>118</v>
      </c>
      <c r="M30" s="287"/>
      <c r="N30" s="287" t="s">
        <v>118</v>
      </c>
      <c r="O30" s="287"/>
      <c r="P30" s="287" t="s">
        <v>118</v>
      </c>
      <c r="Q30" s="287"/>
      <c r="R30" s="287"/>
      <c r="S30" s="299"/>
      <c r="T30" s="299"/>
      <c r="U30" s="300"/>
      <c r="V30" s="299"/>
      <c r="W30" s="301"/>
      <c r="X30" s="5"/>
    </row>
    <row r="31" spans="1:24" ht="15.75" x14ac:dyDescent="0.25">
      <c r="A31" s="393"/>
      <c r="B31" s="286" t="s">
        <v>133</v>
      </c>
      <c r="C31" s="310"/>
      <c r="D31" s="303">
        <v>1000000</v>
      </c>
      <c r="E31" s="298"/>
      <c r="F31" s="299">
        <v>209500</v>
      </c>
      <c r="G31" s="299"/>
      <c r="H31" s="304">
        <v>110000</v>
      </c>
      <c r="I31" s="304"/>
      <c r="J31" s="303">
        <v>150000</v>
      </c>
      <c r="K31" s="299"/>
      <c r="L31" s="299">
        <v>17000</v>
      </c>
      <c r="M31" s="299"/>
      <c r="N31" s="304">
        <v>85500</v>
      </c>
      <c r="O31" s="299"/>
      <c r="P31" s="304">
        <v>110500</v>
      </c>
      <c r="Q31" s="299"/>
      <c r="R31" s="304"/>
      <c r="S31" s="312"/>
      <c r="T31" s="312"/>
      <c r="U31" s="306"/>
      <c r="V31" s="312"/>
      <c r="W31" s="301"/>
      <c r="X31" s="5"/>
    </row>
    <row r="32" spans="1:24" ht="15.75" x14ac:dyDescent="0.25">
      <c r="A32" s="295"/>
      <c r="B32" s="286" t="s">
        <v>132</v>
      </c>
      <c r="C32" s="298"/>
      <c r="D32" s="303">
        <f>D31*D38</f>
        <v>650507</v>
      </c>
      <c r="E32" s="298"/>
      <c r="F32" s="299">
        <f>F31*F38</f>
        <v>136281.59359999999</v>
      </c>
      <c r="G32" s="299"/>
      <c r="H32" s="304">
        <f>H31*H38</f>
        <v>71556.737999999998</v>
      </c>
      <c r="I32" s="304"/>
      <c r="J32" s="303">
        <f>J31*J38</f>
        <v>97576.049999999988</v>
      </c>
      <c r="K32" s="299"/>
      <c r="L32" s="299">
        <f>L31*L38</f>
        <v>17000</v>
      </c>
      <c r="M32" s="299"/>
      <c r="N32" s="304">
        <f>N31*N38</f>
        <v>85500</v>
      </c>
      <c r="O32" s="299"/>
      <c r="P32" s="304">
        <f>P31*P38</f>
        <v>110500</v>
      </c>
      <c r="Q32" s="299"/>
      <c r="R32" s="304"/>
      <c r="S32" s="299"/>
      <c r="T32" s="299"/>
      <c r="U32" s="300"/>
      <c r="V32" s="299"/>
      <c r="W32" s="301"/>
      <c r="X32" s="5"/>
    </row>
    <row r="33" spans="1:27" ht="15.75" x14ac:dyDescent="0.25">
      <c r="A33" s="295"/>
      <c r="B33" s="297" t="s">
        <v>134</v>
      </c>
      <c r="C33" s="298"/>
      <c r="D33" s="394">
        <f>D37*D31</f>
        <v>637543.1</v>
      </c>
      <c r="E33" s="310"/>
      <c r="F33" s="312">
        <f>F37*F31</f>
        <v>133565.67750000002</v>
      </c>
      <c r="G33" s="312"/>
      <c r="H33" s="395">
        <f>H31*H37</f>
        <v>70130.741999999998</v>
      </c>
      <c r="I33" s="395"/>
      <c r="J33" s="394">
        <f>J37*J31</f>
        <v>95631.465000000011</v>
      </c>
      <c r="K33" s="312"/>
      <c r="L33" s="312">
        <f>L31*L37</f>
        <v>17000</v>
      </c>
      <c r="M33" s="312"/>
      <c r="N33" s="395">
        <f>N31*N37</f>
        <v>85500</v>
      </c>
      <c r="O33" s="312"/>
      <c r="P33" s="395">
        <f>P31*P37</f>
        <v>110500</v>
      </c>
      <c r="Q33" s="312"/>
      <c r="R33" s="395"/>
      <c r="S33" s="299"/>
      <c r="T33" s="299"/>
      <c r="U33" s="300"/>
      <c r="V33" s="299"/>
      <c r="W33" s="301"/>
      <c r="X33" s="5"/>
    </row>
    <row r="34" spans="1:27" ht="15.75" x14ac:dyDescent="0.25">
      <c r="A34" s="393"/>
      <c r="B34" s="286" t="s">
        <v>286</v>
      </c>
      <c r="C34" s="310"/>
      <c r="D34" s="299">
        <v>492951</v>
      </c>
      <c r="E34" s="298"/>
      <c r="F34" s="299">
        <v>209500</v>
      </c>
      <c r="G34" s="299"/>
      <c r="H34" s="299">
        <v>74677</v>
      </c>
      <c r="I34" s="299"/>
      <c r="J34" s="299">
        <v>73943</v>
      </c>
      <c r="K34" s="299"/>
      <c r="L34" s="299">
        <v>17000</v>
      </c>
      <c r="M34" s="299"/>
      <c r="N34" s="299">
        <v>58045</v>
      </c>
      <c r="O34" s="299"/>
      <c r="P34" s="299">
        <v>75017</v>
      </c>
      <c r="Q34" s="299"/>
      <c r="R34" s="299"/>
      <c r="S34" s="312"/>
      <c r="T34" s="312"/>
      <c r="U34" s="306"/>
      <c r="V34" s="299">
        <f>SUM(C34:R34)</f>
        <v>1001133</v>
      </c>
      <c r="W34" s="301"/>
      <c r="X34" s="5"/>
    </row>
    <row r="35" spans="1:27" ht="15.75" x14ac:dyDescent="0.25">
      <c r="A35" s="393"/>
      <c r="B35" s="286" t="s">
        <v>287</v>
      </c>
      <c r="C35" s="310"/>
      <c r="D35" s="299">
        <f>D34*D38</f>
        <v>320668.07615699997</v>
      </c>
      <c r="E35" s="298"/>
      <c r="F35" s="299">
        <f>F34*F38</f>
        <v>136281.59359999999</v>
      </c>
      <c r="G35" s="299"/>
      <c r="H35" s="299">
        <f>H34*H38</f>
        <v>48578.5683966</v>
      </c>
      <c r="I35" s="299"/>
      <c r="J35" s="299">
        <f>J34*J38</f>
        <v>48100.439100999996</v>
      </c>
      <c r="K35" s="299"/>
      <c r="L35" s="299">
        <f>L34*L38</f>
        <v>17000</v>
      </c>
      <c r="M35" s="299"/>
      <c r="N35" s="299">
        <f>N34*N38</f>
        <v>58045</v>
      </c>
      <c r="O35" s="299"/>
      <c r="P35" s="299">
        <f>P34*P38</f>
        <v>75017</v>
      </c>
      <c r="Q35" s="299"/>
      <c r="R35" s="299"/>
      <c r="S35" s="299"/>
      <c r="T35" s="299"/>
      <c r="U35" s="300"/>
      <c r="V35" s="299">
        <f>SUM(C35:R35)-1</f>
        <v>703689.67725459998</v>
      </c>
      <c r="W35" s="301"/>
      <c r="X35" s="5"/>
    </row>
    <row r="36" spans="1:27" ht="15.75" x14ac:dyDescent="0.25">
      <c r="A36" s="393"/>
      <c r="B36" s="297" t="s">
        <v>288</v>
      </c>
      <c r="C36" s="310"/>
      <c r="D36" s="312">
        <f>D34*D37</f>
        <v>314277.50868810003</v>
      </c>
      <c r="E36" s="310"/>
      <c r="F36" s="312">
        <f>F34*F37</f>
        <v>133565.67750000002</v>
      </c>
      <c r="G36" s="312"/>
      <c r="H36" s="312">
        <f>H34*H37</f>
        <v>47610.485639400002</v>
      </c>
      <c r="I36" s="312"/>
      <c r="J36" s="312">
        <f>J34*J37</f>
        <v>47141.849443300001</v>
      </c>
      <c r="K36" s="312"/>
      <c r="L36" s="312">
        <f>L34*L37</f>
        <v>17000</v>
      </c>
      <c r="M36" s="312"/>
      <c r="N36" s="312">
        <f>N34*N37</f>
        <v>58045</v>
      </c>
      <c r="O36" s="312"/>
      <c r="P36" s="312">
        <f>P34*P37</f>
        <v>75017</v>
      </c>
      <c r="Q36" s="312"/>
      <c r="R36" s="312"/>
      <c r="S36" s="311"/>
      <c r="T36" s="311"/>
      <c r="U36" s="300"/>
      <c r="V36" s="312">
        <f>SUM(C36:R36)-1</f>
        <v>692656.52127080003</v>
      </c>
      <c r="W36" s="301"/>
      <c r="X36" s="5"/>
    </row>
    <row r="37" spans="1:27" ht="15.75" x14ac:dyDescent="0.25">
      <c r="A37" s="285"/>
      <c r="B37" s="313" t="s">
        <v>130</v>
      </c>
      <c r="C37" s="314"/>
      <c r="D37" s="315">
        <v>0.63754310000000003</v>
      </c>
      <c r="E37" s="315"/>
      <c r="F37" s="315">
        <v>0.63754500000000003</v>
      </c>
      <c r="G37" s="315"/>
      <c r="H37" s="315">
        <v>0.63755220000000001</v>
      </c>
      <c r="I37" s="315"/>
      <c r="J37" s="315">
        <v>0.63754310000000003</v>
      </c>
      <c r="K37" s="315"/>
      <c r="L37" s="315">
        <v>1</v>
      </c>
      <c r="M37" s="315"/>
      <c r="N37" s="315">
        <v>1</v>
      </c>
      <c r="O37" s="315"/>
      <c r="P37" s="315">
        <v>1</v>
      </c>
      <c r="Q37" s="315"/>
      <c r="R37" s="315"/>
      <c r="S37" s="316"/>
      <c r="T37" s="316"/>
      <c r="U37" s="317"/>
      <c r="V37" s="317"/>
      <c r="W37" s="318"/>
      <c r="X37" s="5"/>
    </row>
    <row r="38" spans="1:27" ht="15.75" x14ac:dyDescent="0.25">
      <c r="A38" s="285"/>
      <c r="B38" s="313" t="s">
        <v>131</v>
      </c>
      <c r="C38" s="314"/>
      <c r="D38" s="315">
        <v>0.65050699999999995</v>
      </c>
      <c r="E38" s="315"/>
      <c r="F38" s="315">
        <v>0.6505088</v>
      </c>
      <c r="G38" s="315"/>
      <c r="H38" s="315">
        <v>0.65051579999999998</v>
      </c>
      <c r="I38" s="315"/>
      <c r="J38" s="315">
        <v>0.65050699999999995</v>
      </c>
      <c r="K38" s="315"/>
      <c r="L38" s="315">
        <v>1</v>
      </c>
      <c r="M38" s="315"/>
      <c r="N38" s="315">
        <v>1</v>
      </c>
      <c r="O38" s="315"/>
      <c r="P38" s="315">
        <v>1</v>
      </c>
      <c r="Q38" s="315"/>
      <c r="R38" s="315"/>
      <c r="S38" s="319"/>
      <c r="T38" s="320"/>
      <c r="U38" s="317"/>
      <c r="V38" s="319"/>
      <c r="W38" s="318"/>
      <c r="X38" s="5"/>
    </row>
    <row r="39" spans="1:27" ht="15.75" x14ac:dyDescent="0.25">
      <c r="A39" s="285"/>
      <c r="B39" s="286" t="s">
        <v>11</v>
      </c>
      <c r="C39" s="286"/>
      <c r="D39" s="296" t="s">
        <v>304</v>
      </c>
      <c r="E39" s="286"/>
      <c r="F39" s="296" t="s">
        <v>256</v>
      </c>
      <c r="G39" s="296"/>
      <c r="H39" s="296" t="s">
        <v>257</v>
      </c>
      <c r="I39" s="296"/>
      <c r="J39" s="296" t="s">
        <v>258</v>
      </c>
      <c r="K39" s="296"/>
      <c r="L39" s="296" t="s">
        <v>259</v>
      </c>
      <c r="M39" s="296"/>
      <c r="N39" s="296" t="s">
        <v>259</v>
      </c>
      <c r="O39" s="296"/>
      <c r="P39" s="296" t="s">
        <v>260</v>
      </c>
      <c r="Q39" s="296"/>
      <c r="R39" s="296"/>
      <c r="S39" s="321"/>
      <c r="T39" s="322"/>
      <c r="U39" s="288"/>
      <c r="V39" s="288"/>
      <c r="W39" s="289"/>
      <c r="X39" s="5"/>
    </row>
    <row r="40" spans="1:27" ht="15.75" x14ac:dyDescent="0.25">
      <c r="A40" s="285"/>
      <c r="B40" s="286" t="s">
        <v>12</v>
      </c>
      <c r="C40" s="286"/>
      <c r="D40" s="322">
        <v>6.8764999999999998E-3</v>
      </c>
      <c r="E40" s="286"/>
      <c r="F40" s="322">
        <v>8.3187999999999995E-3</v>
      </c>
      <c r="G40" s="321"/>
      <c r="H40" s="322">
        <v>0</v>
      </c>
      <c r="I40" s="322"/>
      <c r="J40" s="322">
        <v>8.7250000000000001E-3</v>
      </c>
      <c r="K40" s="321"/>
      <c r="L40" s="322">
        <v>1.11188E-2</v>
      </c>
      <c r="M40" s="321"/>
      <c r="N40" s="322">
        <v>2.7699999999999999E-3</v>
      </c>
      <c r="O40" s="321"/>
      <c r="P40" s="322">
        <v>8.3700000000000007E-3</v>
      </c>
      <c r="Q40" s="321"/>
      <c r="R40" s="322"/>
      <c r="S40" s="321"/>
      <c r="T40" s="322"/>
      <c r="U40" s="288"/>
      <c r="V40" s="296"/>
      <c r="W40" s="289"/>
      <c r="X40" s="5"/>
      <c r="AA40" s="1" t="s">
        <v>193</v>
      </c>
    </row>
    <row r="41" spans="1:27" ht="15.75" x14ac:dyDescent="0.25">
      <c r="A41" s="285"/>
      <c r="B41" s="286" t="s">
        <v>13</v>
      </c>
      <c r="C41" s="286"/>
      <c r="D41" s="322">
        <v>6.1444999999999998E-3</v>
      </c>
      <c r="E41" s="286"/>
      <c r="F41" s="322">
        <v>8.5124999999999992E-3</v>
      </c>
      <c r="G41" s="321"/>
      <c r="H41" s="322">
        <v>1.4999999999999999E-4</v>
      </c>
      <c r="I41" s="322"/>
      <c r="J41" s="322">
        <v>8.5384999999999992E-3</v>
      </c>
      <c r="K41" s="321"/>
      <c r="L41" s="322">
        <v>1.13125E-2</v>
      </c>
      <c r="M41" s="321"/>
      <c r="N41" s="322">
        <v>3.15E-3</v>
      </c>
      <c r="O41" s="321"/>
      <c r="P41" s="322">
        <v>8.7500000000000008E-3</v>
      </c>
      <c r="Q41" s="321"/>
      <c r="R41" s="322"/>
      <c r="S41" s="321"/>
      <c r="T41" s="322"/>
      <c r="U41" s="288"/>
      <c r="V41" s="321" t="s">
        <v>193</v>
      </c>
      <c r="W41" s="289"/>
      <c r="X41" s="5"/>
    </row>
    <row r="42" spans="1:27" ht="15.75" x14ac:dyDescent="0.25">
      <c r="A42" s="285"/>
      <c r="B42" s="286" t="s">
        <v>289</v>
      </c>
      <c r="C42" s="286"/>
      <c r="D42" s="296" t="s">
        <v>311</v>
      </c>
      <c r="E42" s="286"/>
      <c r="F42" s="296" t="s">
        <v>256</v>
      </c>
      <c r="G42" s="296"/>
      <c r="H42" s="296" t="s">
        <v>261</v>
      </c>
      <c r="I42" s="296"/>
      <c r="J42" s="296" t="s">
        <v>261</v>
      </c>
      <c r="K42" s="296"/>
      <c r="L42" s="296" t="s">
        <v>259</v>
      </c>
      <c r="M42" s="296"/>
      <c r="N42" s="296" t="s">
        <v>263</v>
      </c>
      <c r="O42" s="296"/>
      <c r="P42" s="296" t="s">
        <v>264</v>
      </c>
      <c r="Q42" s="296"/>
      <c r="R42" s="296"/>
      <c r="S42" s="321"/>
      <c r="T42" s="322"/>
      <c r="U42" s="288"/>
      <c r="V42" s="288"/>
      <c r="W42" s="289"/>
      <c r="X42" s="5"/>
    </row>
    <row r="43" spans="1:27" ht="15.75" x14ac:dyDescent="0.25">
      <c r="A43" s="285"/>
      <c r="B43" s="286" t="s">
        <v>290</v>
      </c>
      <c r="C43" s="323"/>
      <c r="D43" s="322">
        <v>7.7156999999999998E-3</v>
      </c>
      <c r="E43" s="322"/>
      <c r="F43" s="322">
        <f>+F40</f>
        <v>8.3187999999999995E-3</v>
      </c>
      <c r="G43" s="322"/>
      <c r="H43" s="322">
        <v>8.4688000000000003E-3</v>
      </c>
      <c r="I43" s="322"/>
      <c r="J43" s="322">
        <v>8.4988000000000008E-3</v>
      </c>
      <c r="K43" s="322"/>
      <c r="L43" s="322">
        <f>+L40</f>
        <v>1.11188E-2</v>
      </c>
      <c r="M43" s="322"/>
      <c r="N43" s="322">
        <v>1.18528E-2</v>
      </c>
      <c r="O43" s="322"/>
      <c r="P43" s="322">
        <v>1.8012799999999999E-2</v>
      </c>
      <c r="Q43" s="321"/>
      <c r="R43" s="322"/>
      <c r="S43" s="296"/>
      <c r="T43" s="296"/>
      <c r="U43" s="288"/>
      <c r="V43" s="321">
        <f>SUMPRODUCT(D43:R43,D35:R35)/V35</f>
        <v>9.4592232864382786E-3</v>
      </c>
      <c r="W43" s="289"/>
      <c r="X43" s="5"/>
    </row>
    <row r="44" spans="1:27" ht="15.75" x14ac:dyDescent="0.25">
      <c r="A44" s="285"/>
      <c r="B44" s="286" t="s">
        <v>291</v>
      </c>
      <c r="C44" s="323"/>
      <c r="D44" s="322">
        <v>7.9094000000000005E-3</v>
      </c>
      <c r="E44" s="322"/>
      <c r="F44" s="322">
        <f>+F41</f>
        <v>8.5124999999999992E-3</v>
      </c>
      <c r="G44" s="322"/>
      <c r="H44" s="322">
        <v>8.6625000000000001E-3</v>
      </c>
      <c r="I44" s="322"/>
      <c r="J44" s="322">
        <v>8.6925000000000006E-3</v>
      </c>
      <c r="K44" s="322"/>
      <c r="L44" s="322">
        <f>+L41</f>
        <v>1.13125E-2</v>
      </c>
      <c r="M44" s="322"/>
      <c r="N44" s="322">
        <v>1.20465E-2</v>
      </c>
      <c r="O44" s="322"/>
      <c r="P44" s="322">
        <v>1.82065E-2</v>
      </c>
      <c r="Q44" s="321"/>
      <c r="R44" s="322"/>
      <c r="S44" s="296"/>
      <c r="T44" s="296"/>
      <c r="U44" s="288"/>
      <c r="V44" s="288"/>
      <c r="W44" s="289"/>
      <c r="X44" s="5"/>
    </row>
    <row r="45" spans="1:27" ht="15.75" x14ac:dyDescent="0.25">
      <c r="A45" s="285"/>
      <c r="B45" s="286" t="s">
        <v>14</v>
      </c>
      <c r="C45" s="286"/>
      <c r="D45" s="323">
        <v>40709</v>
      </c>
      <c r="E45" s="323"/>
      <c r="F45" s="323">
        <v>40709</v>
      </c>
      <c r="G45" s="323"/>
      <c r="H45" s="323">
        <v>40709</v>
      </c>
      <c r="I45" s="323"/>
      <c r="J45" s="323">
        <v>40709</v>
      </c>
      <c r="K45" s="323"/>
      <c r="L45" s="323">
        <v>40709</v>
      </c>
      <c r="M45" s="323"/>
      <c r="N45" s="323">
        <v>40709</v>
      </c>
      <c r="O45" s="323"/>
      <c r="P45" s="323">
        <v>40709</v>
      </c>
      <c r="Q45" s="323"/>
      <c r="R45" s="323"/>
      <c r="S45" s="296"/>
      <c r="T45" s="296"/>
      <c r="U45" s="288"/>
      <c r="V45" s="288"/>
      <c r="W45" s="289"/>
      <c r="X45" s="5"/>
    </row>
    <row r="46" spans="1:27" ht="15.75" x14ac:dyDescent="0.25">
      <c r="A46" s="285"/>
      <c r="B46" s="286" t="s">
        <v>15</v>
      </c>
      <c r="C46" s="286"/>
      <c r="D46" s="323">
        <v>41075</v>
      </c>
      <c r="E46" s="323"/>
      <c r="F46" s="323">
        <v>41075</v>
      </c>
      <c r="G46" s="323"/>
      <c r="H46" s="323">
        <v>41075</v>
      </c>
      <c r="I46" s="323"/>
      <c r="J46" s="323">
        <v>41075</v>
      </c>
      <c r="K46" s="296"/>
      <c r="L46" s="323">
        <v>41075</v>
      </c>
      <c r="M46" s="296"/>
      <c r="N46" s="323">
        <v>41075</v>
      </c>
      <c r="O46" s="296"/>
      <c r="P46" s="323">
        <v>41075</v>
      </c>
      <c r="Q46" s="296"/>
      <c r="R46" s="323"/>
      <c r="S46" s="296"/>
      <c r="T46" s="296"/>
      <c r="U46" s="288"/>
      <c r="V46" s="288"/>
      <c r="W46" s="289"/>
      <c r="X46" s="5"/>
    </row>
    <row r="47" spans="1:27" ht="15.75" x14ac:dyDescent="0.25">
      <c r="A47" s="285"/>
      <c r="B47" s="286" t="s">
        <v>119</v>
      </c>
      <c r="C47" s="286"/>
      <c r="D47" s="296" t="s">
        <v>304</v>
      </c>
      <c r="E47" s="286"/>
      <c r="F47" s="296" t="s">
        <v>256</v>
      </c>
      <c r="G47" s="296"/>
      <c r="H47" s="296" t="s">
        <v>257</v>
      </c>
      <c r="I47" s="296"/>
      <c r="J47" s="296" t="s">
        <v>258</v>
      </c>
      <c r="K47" s="296"/>
      <c r="L47" s="296" t="s">
        <v>259</v>
      </c>
      <c r="M47" s="296"/>
      <c r="N47" s="296" t="s">
        <v>259</v>
      </c>
      <c r="O47" s="296"/>
      <c r="P47" s="296" t="s">
        <v>260</v>
      </c>
      <c r="Q47" s="296"/>
      <c r="R47" s="296"/>
      <c r="S47" s="325"/>
      <c r="T47" s="325"/>
      <c r="U47" s="325"/>
      <c r="V47" s="325"/>
      <c r="W47" s="289"/>
      <c r="X47" s="5"/>
    </row>
    <row r="48" spans="1:27" ht="15.75" x14ac:dyDescent="0.25">
      <c r="A48" s="285"/>
      <c r="B48" s="286" t="s">
        <v>292</v>
      </c>
      <c r="C48" s="286"/>
      <c r="D48" s="296" t="s">
        <v>311</v>
      </c>
      <c r="E48" s="286"/>
      <c r="F48" s="296" t="s">
        <v>256</v>
      </c>
      <c r="G48" s="296"/>
      <c r="H48" s="296" t="s">
        <v>261</v>
      </c>
      <c r="I48" s="296"/>
      <c r="J48" s="296" t="s">
        <v>261</v>
      </c>
      <c r="K48" s="296"/>
      <c r="L48" s="296" t="s">
        <v>259</v>
      </c>
      <c r="M48" s="296"/>
      <c r="N48" s="296" t="s">
        <v>263</v>
      </c>
      <c r="O48" s="296"/>
      <c r="P48" s="296" t="s">
        <v>264</v>
      </c>
      <c r="Q48" s="296"/>
      <c r="R48" s="296"/>
      <c r="S48" s="286"/>
      <c r="T48" s="286"/>
      <c r="U48" s="286"/>
      <c r="V48" s="321"/>
      <c r="W48" s="289"/>
      <c r="X48" s="5"/>
    </row>
    <row r="49" spans="1:25" ht="15.75" x14ac:dyDescent="0.25">
      <c r="A49" s="285"/>
      <c r="B49" s="286"/>
      <c r="C49" s="286"/>
      <c r="D49" s="296"/>
      <c r="E49" s="286"/>
      <c r="F49" s="296"/>
      <c r="G49" s="296"/>
      <c r="H49" s="296"/>
      <c r="I49" s="296"/>
      <c r="J49" s="296"/>
      <c r="K49" s="296"/>
      <c r="L49" s="296"/>
      <c r="M49" s="296"/>
      <c r="N49" s="296"/>
      <c r="O49" s="296"/>
      <c r="P49" s="296"/>
      <c r="Q49" s="296"/>
      <c r="R49" s="296"/>
      <c r="S49" s="286"/>
      <c r="T49" s="286"/>
      <c r="U49" s="286"/>
      <c r="V49" s="321" t="s">
        <v>193</v>
      </c>
      <c r="W49" s="289"/>
      <c r="X49" s="5"/>
    </row>
    <row r="50" spans="1:25" ht="15.75" x14ac:dyDescent="0.25">
      <c r="A50" s="285"/>
      <c r="B50" s="286" t="s">
        <v>169</v>
      </c>
      <c r="C50" s="286"/>
      <c r="D50" s="296"/>
      <c r="E50" s="286"/>
      <c r="F50" s="296"/>
      <c r="G50" s="296"/>
      <c r="H50" s="296"/>
      <c r="I50" s="296"/>
      <c r="J50" s="296"/>
      <c r="K50" s="296"/>
      <c r="L50" s="296"/>
      <c r="M50" s="296"/>
      <c r="N50" s="296"/>
      <c r="O50" s="296"/>
      <c r="P50" s="296"/>
      <c r="Q50" s="296"/>
      <c r="R50" s="296"/>
      <c r="S50" s="286"/>
      <c r="T50" s="286"/>
      <c r="U50" s="286"/>
      <c r="V50" s="321">
        <f>SUM(L34:R34)/SUM(D34:J34)</f>
        <v>0.17632136449250416</v>
      </c>
      <c r="W50" s="289"/>
      <c r="X50" s="5"/>
    </row>
    <row r="51" spans="1:25" ht="15.75" x14ac:dyDescent="0.25">
      <c r="A51" s="285"/>
      <c r="B51" s="286" t="s">
        <v>170</v>
      </c>
      <c r="C51" s="286"/>
      <c r="D51" s="286"/>
      <c r="E51" s="286"/>
      <c r="F51" s="326"/>
      <c r="G51" s="286"/>
      <c r="H51" s="286"/>
      <c r="I51" s="286"/>
      <c r="J51" s="286"/>
      <c r="K51" s="286"/>
      <c r="L51" s="286"/>
      <c r="M51" s="286"/>
      <c r="N51" s="286"/>
      <c r="O51" s="286"/>
      <c r="P51" s="286"/>
      <c r="Q51" s="286"/>
      <c r="R51" s="286"/>
      <c r="S51" s="286"/>
      <c r="T51" s="286"/>
      <c r="U51" s="286"/>
      <c r="V51" s="321">
        <f>SUM(L36:R36)/SUM(D36:J36)</f>
        <v>0.2765632853889825</v>
      </c>
      <c r="W51" s="289"/>
      <c r="X51" s="5"/>
    </row>
    <row r="52" spans="1:25" ht="15.75" x14ac:dyDescent="0.25">
      <c r="A52" s="285"/>
      <c r="B52" s="286" t="s">
        <v>171</v>
      </c>
      <c r="C52" s="286"/>
      <c r="D52" s="286"/>
      <c r="E52" s="286"/>
      <c r="F52" s="286"/>
      <c r="G52" s="286"/>
      <c r="H52" s="286"/>
      <c r="I52" s="286"/>
      <c r="J52" s="286"/>
      <c r="K52" s="286"/>
      <c r="L52" s="286"/>
      <c r="M52" s="286"/>
      <c r="N52" s="286"/>
      <c r="O52" s="286"/>
      <c r="P52" s="286"/>
      <c r="Q52" s="286"/>
      <c r="R52" s="286"/>
      <c r="S52" s="286"/>
      <c r="T52" s="296"/>
      <c r="U52" s="296"/>
      <c r="V52" s="299" t="s">
        <v>268</v>
      </c>
      <c r="W52" s="289"/>
      <c r="X52" s="5"/>
    </row>
    <row r="53" spans="1:25" ht="15.75" x14ac:dyDescent="0.25">
      <c r="A53" s="285"/>
      <c r="B53" s="286"/>
      <c r="C53" s="286"/>
      <c r="D53" s="286"/>
      <c r="E53" s="286"/>
      <c r="F53" s="286"/>
      <c r="G53" s="286"/>
      <c r="H53" s="286"/>
      <c r="I53" s="286"/>
      <c r="J53" s="286"/>
      <c r="K53" s="286"/>
      <c r="L53" s="286"/>
      <c r="M53" s="286"/>
      <c r="N53" s="286"/>
      <c r="O53" s="286"/>
      <c r="P53" s="286"/>
      <c r="Q53" s="286"/>
      <c r="R53" s="286"/>
      <c r="S53" s="286"/>
      <c r="T53" s="286"/>
      <c r="U53" s="286"/>
      <c r="V53" s="327"/>
      <c r="W53" s="289"/>
      <c r="X53" s="5"/>
    </row>
    <row r="54" spans="1:25" ht="15.75" x14ac:dyDescent="0.25">
      <c r="A54" s="285"/>
      <c r="B54" s="286" t="s">
        <v>202</v>
      </c>
      <c r="C54" s="286"/>
      <c r="D54" s="286"/>
      <c r="E54" s="286"/>
      <c r="F54" s="286"/>
      <c r="G54" s="286"/>
      <c r="H54" s="286"/>
      <c r="I54" s="286"/>
      <c r="J54" s="286"/>
      <c r="K54" s="286"/>
      <c r="L54" s="286"/>
      <c r="M54" s="286"/>
      <c r="N54" s="286"/>
      <c r="O54" s="286"/>
      <c r="P54" s="286"/>
      <c r="Q54" s="286"/>
      <c r="R54" s="286"/>
      <c r="S54" s="286"/>
      <c r="T54" s="286"/>
      <c r="U54" s="286"/>
      <c r="V54" s="311" t="s">
        <v>203</v>
      </c>
      <c r="W54" s="289"/>
      <c r="X54" s="5"/>
    </row>
    <row r="55" spans="1:25" ht="15.75" x14ac:dyDescent="0.25">
      <c r="A55" s="285"/>
      <c r="B55" s="286" t="s">
        <v>270</v>
      </c>
      <c r="C55" s="286"/>
      <c r="D55" s="286"/>
      <c r="E55" s="286"/>
      <c r="F55" s="286"/>
      <c r="G55" s="286"/>
      <c r="H55" s="286"/>
      <c r="I55" s="286"/>
      <c r="J55" s="286"/>
      <c r="K55" s="286"/>
      <c r="L55" s="286"/>
      <c r="M55" s="286"/>
      <c r="N55" s="286"/>
      <c r="O55" s="286"/>
      <c r="P55" s="286"/>
      <c r="Q55" s="286"/>
      <c r="R55" s="286"/>
      <c r="S55" s="286"/>
      <c r="T55" s="296"/>
      <c r="U55" s="296"/>
      <c r="V55" s="396" t="s">
        <v>111</v>
      </c>
      <c r="W55" s="289"/>
      <c r="X55" s="5"/>
    </row>
    <row r="56" spans="1:25" ht="15.75" x14ac:dyDescent="0.25">
      <c r="A56" s="285"/>
      <c r="B56" s="297" t="s">
        <v>201</v>
      </c>
      <c r="C56" s="297"/>
      <c r="D56" s="297"/>
      <c r="E56" s="297"/>
      <c r="F56" s="297"/>
      <c r="G56" s="297"/>
      <c r="H56" s="297"/>
      <c r="I56" s="297"/>
      <c r="J56" s="297"/>
      <c r="K56" s="297"/>
      <c r="L56" s="297"/>
      <c r="M56" s="297"/>
      <c r="N56" s="297"/>
      <c r="O56" s="297"/>
      <c r="P56" s="297"/>
      <c r="Q56" s="297"/>
      <c r="R56" s="297"/>
      <c r="S56" s="297"/>
      <c r="T56" s="397"/>
      <c r="U56" s="397"/>
      <c r="V56" s="398">
        <v>42628</v>
      </c>
      <c r="W56" s="289"/>
      <c r="X56" s="5"/>
    </row>
    <row r="57" spans="1:25" ht="15.75" x14ac:dyDescent="0.25">
      <c r="A57" s="285"/>
      <c r="B57" s="286" t="s">
        <v>121</v>
      </c>
      <c r="C57" s="286"/>
      <c r="D57" s="286"/>
      <c r="E57" s="286"/>
      <c r="F57" s="286"/>
      <c r="G57" s="286"/>
      <c r="H57" s="332"/>
      <c r="I57" s="332"/>
      <c r="J57" s="332"/>
      <c r="K57" s="332"/>
      <c r="L57" s="332"/>
      <c r="M57" s="332"/>
      <c r="N57" s="332"/>
      <c r="O57" s="332"/>
      <c r="P57" s="332"/>
      <c r="Q57" s="332"/>
      <c r="R57" s="286">
        <f>+V57-T57+1</f>
        <v>92</v>
      </c>
      <c r="S57" s="332"/>
      <c r="T57" s="333">
        <v>42444</v>
      </c>
      <c r="U57" s="334"/>
      <c r="V57" s="333">
        <v>42535</v>
      </c>
      <c r="W57" s="289"/>
      <c r="X57" s="5"/>
    </row>
    <row r="58" spans="1:25" ht="15.75" x14ac:dyDescent="0.25">
      <c r="A58" s="285"/>
      <c r="B58" s="286" t="s">
        <v>122</v>
      </c>
      <c r="C58" s="286"/>
      <c r="D58" s="286"/>
      <c r="E58" s="286"/>
      <c r="F58" s="286"/>
      <c r="G58" s="286"/>
      <c r="H58" s="286"/>
      <c r="I58" s="286"/>
      <c r="J58" s="286"/>
      <c r="K58" s="286"/>
      <c r="L58" s="286"/>
      <c r="M58" s="286"/>
      <c r="N58" s="286"/>
      <c r="O58" s="286"/>
      <c r="P58" s="286"/>
      <c r="Q58" s="286"/>
      <c r="R58" s="286">
        <f>+V58-T58+1</f>
        <v>92</v>
      </c>
      <c r="S58" s="286"/>
      <c r="T58" s="333">
        <v>42536</v>
      </c>
      <c r="U58" s="334"/>
      <c r="V58" s="333">
        <v>42627</v>
      </c>
      <c r="W58" s="289"/>
      <c r="X58" s="5"/>
    </row>
    <row r="59" spans="1:25" ht="15.75" x14ac:dyDescent="0.25">
      <c r="A59" s="285"/>
      <c r="B59" s="286" t="s">
        <v>223</v>
      </c>
      <c r="C59" s="286"/>
      <c r="D59" s="286"/>
      <c r="E59" s="286"/>
      <c r="F59" s="286"/>
      <c r="G59" s="286"/>
      <c r="H59" s="286"/>
      <c r="I59" s="286"/>
      <c r="J59" s="286"/>
      <c r="K59" s="286"/>
      <c r="L59" s="286"/>
      <c r="M59" s="286"/>
      <c r="N59" s="286"/>
      <c r="O59" s="286"/>
      <c r="P59" s="286"/>
      <c r="Q59" s="286"/>
      <c r="R59" s="286"/>
      <c r="S59" s="286"/>
      <c r="T59" s="333"/>
      <c r="U59" s="334"/>
      <c r="V59" s="333" t="s">
        <v>120</v>
      </c>
      <c r="W59" s="289"/>
      <c r="X59" s="5"/>
    </row>
    <row r="60" spans="1:25" ht="15.75" x14ac:dyDescent="0.25">
      <c r="A60" s="285"/>
      <c r="B60" s="286" t="s">
        <v>271</v>
      </c>
      <c r="C60" s="286"/>
      <c r="D60" s="286"/>
      <c r="E60" s="286"/>
      <c r="F60" s="286"/>
      <c r="G60" s="286"/>
      <c r="H60" s="286"/>
      <c r="I60" s="286"/>
      <c r="J60" s="286"/>
      <c r="K60" s="286"/>
      <c r="L60" s="286"/>
      <c r="M60" s="286"/>
      <c r="N60" s="286"/>
      <c r="O60" s="286"/>
      <c r="P60" s="286"/>
      <c r="Q60" s="286"/>
      <c r="R60" s="286"/>
      <c r="S60" s="286"/>
      <c r="T60" s="333"/>
      <c r="U60" s="334"/>
      <c r="V60" s="333" t="s">
        <v>154</v>
      </c>
      <c r="W60" s="289"/>
      <c r="X60" s="5"/>
      <c r="Y60" s="133"/>
    </row>
    <row r="61" spans="1:25" ht="15.75" x14ac:dyDescent="0.25">
      <c r="A61" s="285"/>
      <c r="B61" s="286" t="s">
        <v>16</v>
      </c>
      <c r="C61" s="286"/>
      <c r="D61" s="286"/>
      <c r="E61" s="286"/>
      <c r="F61" s="286"/>
      <c r="G61" s="286"/>
      <c r="H61" s="286"/>
      <c r="I61" s="286"/>
      <c r="J61" s="286"/>
      <c r="K61" s="286"/>
      <c r="L61" s="286"/>
      <c r="M61" s="286"/>
      <c r="N61" s="286"/>
      <c r="O61" s="286"/>
      <c r="P61" s="286"/>
      <c r="Q61" s="286"/>
      <c r="R61" s="286"/>
      <c r="S61" s="286"/>
      <c r="T61" s="333"/>
      <c r="U61" s="334"/>
      <c r="V61" s="333">
        <v>42614</v>
      </c>
      <c r="W61" s="289"/>
      <c r="X61" s="5"/>
    </row>
    <row r="62" spans="1:25" ht="15.75" x14ac:dyDescent="0.25">
      <c r="A62" s="181"/>
      <c r="B62" s="212"/>
      <c r="C62" s="212"/>
      <c r="D62" s="212"/>
      <c r="E62" s="212"/>
      <c r="F62" s="212"/>
      <c r="G62" s="212"/>
      <c r="H62" s="212"/>
      <c r="I62" s="212"/>
      <c r="J62" s="212"/>
      <c r="K62" s="212"/>
      <c r="L62" s="212"/>
      <c r="M62" s="212"/>
      <c r="N62" s="212"/>
      <c r="O62" s="212"/>
      <c r="P62" s="212"/>
      <c r="Q62" s="212"/>
      <c r="R62" s="212"/>
      <c r="S62" s="212"/>
      <c r="T62" s="283"/>
      <c r="U62" s="284"/>
      <c r="V62" s="283"/>
      <c r="W62" s="212"/>
      <c r="X62" s="5"/>
    </row>
    <row r="63" spans="1:25" ht="15.75" x14ac:dyDescent="0.25">
      <c r="A63" s="181"/>
      <c r="B63" s="183"/>
      <c r="C63" s="183"/>
      <c r="D63" s="183"/>
      <c r="E63" s="183"/>
      <c r="F63" s="183"/>
      <c r="G63" s="183"/>
      <c r="H63" s="183"/>
      <c r="I63" s="183"/>
      <c r="J63" s="183"/>
      <c r="K63" s="183"/>
      <c r="L63" s="183"/>
      <c r="M63" s="183"/>
      <c r="N63" s="183"/>
      <c r="O63" s="183"/>
      <c r="P63" s="183"/>
      <c r="Q63" s="183"/>
      <c r="R63" s="183"/>
      <c r="S63" s="183"/>
      <c r="T63" s="195"/>
      <c r="U63" s="196"/>
      <c r="V63" s="195"/>
      <c r="W63" s="183"/>
      <c r="X63" s="5"/>
    </row>
    <row r="64" spans="1:25" ht="19.5" thickBot="1" x14ac:dyDescent="0.35">
      <c r="A64" s="197"/>
      <c r="B64" s="270" t="s">
        <v>336</v>
      </c>
      <c r="C64" s="198"/>
      <c r="D64" s="198"/>
      <c r="E64" s="198"/>
      <c r="F64" s="198"/>
      <c r="G64" s="198"/>
      <c r="H64" s="198"/>
      <c r="I64" s="198"/>
      <c r="J64" s="198"/>
      <c r="K64" s="198"/>
      <c r="L64" s="198"/>
      <c r="M64" s="198"/>
      <c r="N64" s="198"/>
      <c r="O64" s="198"/>
      <c r="P64" s="198"/>
      <c r="Q64" s="198"/>
      <c r="R64" s="198"/>
      <c r="S64" s="198"/>
      <c r="T64" s="198"/>
      <c r="U64" s="198"/>
      <c r="V64" s="199"/>
      <c r="W64" s="200"/>
      <c r="X64" s="5"/>
    </row>
    <row r="65" spans="1:24" ht="15.75" x14ac:dyDescent="0.25">
      <c r="A65" s="224"/>
      <c r="B65" s="230" t="s">
        <v>17</v>
      </c>
      <c r="C65" s="225"/>
      <c r="D65" s="225"/>
      <c r="E65" s="225"/>
      <c r="F65" s="225"/>
      <c r="G65" s="225"/>
      <c r="H65" s="225"/>
      <c r="I65" s="225"/>
      <c r="J65" s="225"/>
      <c r="K65" s="225"/>
      <c r="L65" s="225"/>
      <c r="M65" s="225"/>
      <c r="N65" s="225"/>
      <c r="O65" s="225"/>
      <c r="P65" s="225"/>
      <c r="Q65" s="225"/>
      <c r="R65" s="225"/>
      <c r="S65" s="225"/>
      <c r="T65" s="225"/>
      <c r="U65" s="225"/>
      <c r="V65" s="231"/>
      <c r="W65" s="225"/>
      <c r="X65" s="5"/>
    </row>
    <row r="66" spans="1:24" ht="15.75" x14ac:dyDescent="0.25">
      <c r="A66" s="181"/>
      <c r="B66" s="189"/>
      <c r="C66" s="183"/>
      <c r="D66" s="183"/>
      <c r="E66" s="183"/>
      <c r="F66" s="183"/>
      <c r="G66" s="183"/>
      <c r="H66" s="183"/>
      <c r="I66" s="183"/>
      <c r="J66" s="183"/>
      <c r="K66" s="183"/>
      <c r="L66" s="183"/>
      <c r="M66" s="183"/>
      <c r="N66" s="183"/>
      <c r="O66" s="183"/>
      <c r="P66" s="183"/>
      <c r="Q66" s="183"/>
      <c r="R66" s="183"/>
      <c r="S66" s="183"/>
      <c r="T66" s="183"/>
      <c r="U66" s="183"/>
      <c r="V66" s="202"/>
      <c r="W66" s="183"/>
      <c r="X66" s="5"/>
    </row>
    <row r="67" spans="1:24" ht="47.25" x14ac:dyDescent="0.25">
      <c r="A67" s="181"/>
      <c r="B67" s="203" t="s">
        <v>18</v>
      </c>
      <c r="C67" s="204"/>
      <c r="D67" s="204"/>
      <c r="E67" s="204"/>
      <c r="F67" s="204"/>
      <c r="G67" s="204"/>
      <c r="H67" s="204"/>
      <c r="I67" s="204"/>
      <c r="J67" s="204"/>
      <c r="K67" s="204"/>
      <c r="L67" s="204" t="s">
        <v>94</v>
      </c>
      <c r="M67" s="204"/>
      <c r="N67" s="204" t="s">
        <v>96</v>
      </c>
      <c r="O67" s="204"/>
      <c r="P67" s="204" t="s">
        <v>98</v>
      </c>
      <c r="Q67" s="204"/>
      <c r="R67" s="204" t="s">
        <v>100</v>
      </c>
      <c r="S67" s="204"/>
      <c r="T67" s="204" t="s">
        <v>106</v>
      </c>
      <c r="U67" s="204"/>
      <c r="V67" s="205" t="s">
        <v>112</v>
      </c>
      <c r="W67" s="206"/>
      <c r="X67" s="5"/>
    </row>
    <row r="68" spans="1:24" ht="15.75" x14ac:dyDescent="0.25">
      <c r="A68" s="285"/>
      <c r="B68" s="286" t="s">
        <v>19</v>
      </c>
      <c r="C68" s="337"/>
      <c r="D68" s="337"/>
      <c r="E68" s="337"/>
      <c r="F68" s="337"/>
      <c r="G68" s="337"/>
      <c r="H68" s="337"/>
      <c r="I68" s="337"/>
      <c r="J68" s="337"/>
      <c r="K68" s="337"/>
      <c r="L68" s="337">
        <v>812446</v>
      </c>
      <c r="M68" s="337"/>
      <c r="N68" s="338">
        <v>703690</v>
      </c>
      <c r="O68" s="337"/>
      <c r="P68" s="337">
        <f>11033+53+37</f>
        <v>11123</v>
      </c>
      <c r="Q68" s="337"/>
      <c r="R68" s="337">
        <f>53+37</f>
        <v>90</v>
      </c>
      <c r="S68" s="337"/>
      <c r="T68" s="337">
        <v>0</v>
      </c>
      <c r="U68" s="337"/>
      <c r="V68" s="338">
        <f>+N68-P68+R68-T68</f>
        <v>692657</v>
      </c>
      <c r="W68" s="289"/>
      <c r="X68" s="5"/>
    </row>
    <row r="69" spans="1:24" ht="15.75" x14ac:dyDescent="0.25">
      <c r="A69" s="285"/>
      <c r="B69" s="286" t="s">
        <v>20</v>
      </c>
      <c r="C69" s="337"/>
      <c r="D69" s="337"/>
      <c r="E69" s="337"/>
      <c r="F69" s="337"/>
      <c r="G69" s="337"/>
      <c r="H69" s="337"/>
      <c r="I69" s="337"/>
      <c r="J69" s="337"/>
      <c r="K69" s="337"/>
      <c r="L69" s="337">
        <v>0</v>
      </c>
      <c r="M69" s="337"/>
      <c r="N69" s="338">
        <v>0</v>
      </c>
      <c r="O69" s="337"/>
      <c r="P69" s="337">
        <v>0</v>
      </c>
      <c r="Q69" s="337"/>
      <c r="R69" s="337">
        <v>0</v>
      </c>
      <c r="S69" s="337"/>
      <c r="T69" s="337">
        <v>0</v>
      </c>
      <c r="U69" s="337"/>
      <c r="V69" s="338">
        <f>+L69-P69</f>
        <v>0</v>
      </c>
      <c r="W69" s="289"/>
      <c r="X69" s="5"/>
    </row>
    <row r="70" spans="1:24" ht="15.75" x14ac:dyDescent="0.25">
      <c r="A70" s="285"/>
      <c r="B70" s="286"/>
      <c r="C70" s="337"/>
      <c r="D70" s="337"/>
      <c r="E70" s="337"/>
      <c r="F70" s="337"/>
      <c r="G70" s="337"/>
      <c r="H70" s="337"/>
      <c r="I70" s="337"/>
      <c r="J70" s="337"/>
      <c r="K70" s="337"/>
      <c r="L70" s="337"/>
      <c r="M70" s="337"/>
      <c r="N70" s="338"/>
      <c r="O70" s="337"/>
      <c r="P70" s="337"/>
      <c r="Q70" s="337"/>
      <c r="R70" s="337"/>
      <c r="S70" s="337"/>
      <c r="T70" s="337"/>
      <c r="U70" s="337"/>
      <c r="V70" s="338"/>
      <c r="W70" s="289"/>
      <c r="X70" s="5"/>
    </row>
    <row r="71" spans="1:24" ht="15.75" x14ac:dyDescent="0.25">
      <c r="A71" s="285"/>
      <c r="B71" s="286" t="s">
        <v>21</v>
      </c>
      <c r="C71" s="337"/>
      <c r="D71" s="337"/>
      <c r="E71" s="337"/>
      <c r="F71" s="337"/>
      <c r="G71" s="337"/>
      <c r="H71" s="337"/>
      <c r="I71" s="337"/>
      <c r="J71" s="337"/>
      <c r="K71" s="337"/>
      <c r="L71" s="337">
        <f>SUM(L68:L70)</f>
        <v>812446</v>
      </c>
      <c r="M71" s="337"/>
      <c r="N71" s="337">
        <f>N68+N69</f>
        <v>703690</v>
      </c>
      <c r="O71" s="337"/>
      <c r="P71" s="337">
        <f>SUM(P68:P70)</f>
        <v>11123</v>
      </c>
      <c r="Q71" s="337"/>
      <c r="R71" s="337">
        <f>SUM(R68:R70)</f>
        <v>90</v>
      </c>
      <c r="S71" s="337"/>
      <c r="T71" s="337">
        <f>SUM(T68:T70)</f>
        <v>0</v>
      </c>
      <c r="U71" s="337"/>
      <c r="V71" s="337">
        <f>SUM(V68:V70)</f>
        <v>692657</v>
      </c>
      <c r="W71" s="289"/>
      <c r="X71" s="5"/>
    </row>
    <row r="72" spans="1:24" ht="15.75" x14ac:dyDescent="0.25">
      <c r="A72" s="181"/>
      <c r="B72" s="212"/>
      <c r="C72" s="335"/>
      <c r="D72" s="335"/>
      <c r="E72" s="335"/>
      <c r="F72" s="335"/>
      <c r="G72" s="335"/>
      <c r="H72" s="335"/>
      <c r="I72" s="335"/>
      <c r="J72" s="335"/>
      <c r="K72" s="335"/>
      <c r="L72" s="335"/>
      <c r="M72" s="335"/>
      <c r="N72" s="335"/>
      <c r="O72" s="335"/>
      <c r="P72" s="335"/>
      <c r="Q72" s="335"/>
      <c r="R72" s="335"/>
      <c r="S72" s="335"/>
      <c r="T72" s="335"/>
      <c r="U72" s="335"/>
      <c r="V72" s="336"/>
      <c r="W72" s="212"/>
      <c r="X72" s="5"/>
    </row>
    <row r="73" spans="1:24" ht="15.75" x14ac:dyDescent="0.25">
      <c r="A73" s="181"/>
      <c r="B73" s="185" t="s">
        <v>22</v>
      </c>
      <c r="C73" s="207"/>
      <c r="D73" s="207"/>
      <c r="E73" s="207"/>
      <c r="F73" s="207"/>
      <c r="G73" s="207"/>
      <c r="H73" s="207"/>
      <c r="I73" s="207"/>
      <c r="J73" s="207"/>
      <c r="K73" s="207"/>
      <c r="L73" s="207"/>
      <c r="M73" s="207"/>
      <c r="N73" s="207"/>
      <c r="O73" s="207"/>
      <c r="P73" s="207"/>
      <c r="Q73" s="207"/>
      <c r="R73" s="207"/>
      <c r="S73" s="207"/>
      <c r="T73" s="207"/>
      <c r="U73" s="207"/>
      <c r="V73" s="208"/>
      <c r="W73" s="183"/>
      <c r="X73" s="5"/>
    </row>
    <row r="74" spans="1:24" ht="15.75" x14ac:dyDescent="0.25">
      <c r="A74" s="181"/>
      <c r="B74" s="183"/>
      <c r="C74" s="207"/>
      <c r="D74" s="207"/>
      <c r="E74" s="207"/>
      <c r="F74" s="207"/>
      <c r="G74" s="207"/>
      <c r="H74" s="207"/>
      <c r="I74" s="207"/>
      <c r="J74" s="207"/>
      <c r="K74" s="207"/>
      <c r="L74" s="207"/>
      <c r="M74" s="207"/>
      <c r="N74" s="207"/>
      <c r="O74" s="207"/>
      <c r="P74" s="207"/>
      <c r="Q74" s="207"/>
      <c r="R74" s="207"/>
      <c r="S74" s="207"/>
      <c r="T74" s="207"/>
      <c r="U74" s="207"/>
      <c r="V74" s="208"/>
      <c r="W74" s="183"/>
      <c r="X74" s="5"/>
    </row>
    <row r="75" spans="1:24" ht="15.75" x14ac:dyDescent="0.25">
      <c r="A75" s="285"/>
      <c r="B75" s="286" t="s">
        <v>19</v>
      </c>
      <c r="C75" s="337"/>
      <c r="D75" s="337"/>
      <c r="E75" s="337"/>
      <c r="F75" s="337"/>
      <c r="G75" s="337"/>
      <c r="H75" s="337"/>
      <c r="I75" s="337"/>
      <c r="J75" s="337"/>
      <c r="K75" s="337"/>
      <c r="L75" s="337"/>
      <c r="M75" s="337"/>
      <c r="N75" s="337"/>
      <c r="O75" s="337"/>
      <c r="P75" s="337"/>
      <c r="Q75" s="337"/>
      <c r="R75" s="337"/>
      <c r="S75" s="337"/>
      <c r="T75" s="337"/>
      <c r="U75" s="337"/>
      <c r="V75" s="337"/>
      <c r="W75" s="289"/>
      <c r="X75" s="5"/>
    </row>
    <row r="76" spans="1:24" ht="15.75" x14ac:dyDescent="0.25">
      <c r="A76" s="285"/>
      <c r="B76" s="286" t="s">
        <v>20</v>
      </c>
      <c r="C76" s="337"/>
      <c r="D76" s="337"/>
      <c r="E76" s="337"/>
      <c r="F76" s="337"/>
      <c r="G76" s="337"/>
      <c r="H76" s="337"/>
      <c r="I76" s="337"/>
      <c r="J76" s="337"/>
      <c r="K76" s="337"/>
      <c r="L76" s="337"/>
      <c r="M76" s="337"/>
      <c r="N76" s="337"/>
      <c r="O76" s="337"/>
      <c r="P76" s="337"/>
      <c r="Q76" s="337"/>
      <c r="R76" s="337"/>
      <c r="S76" s="337"/>
      <c r="T76" s="337"/>
      <c r="U76" s="337"/>
      <c r="V76" s="337"/>
      <c r="W76" s="289"/>
      <c r="X76" s="5"/>
    </row>
    <row r="77" spans="1:24" ht="15.75" x14ac:dyDescent="0.25">
      <c r="A77" s="285"/>
      <c r="B77" s="286"/>
      <c r="C77" s="337"/>
      <c r="D77" s="337"/>
      <c r="E77" s="337"/>
      <c r="F77" s="337"/>
      <c r="G77" s="337"/>
      <c r="H77" s="337"/>
      <c r="I77" s="337"/>
      <c r="J77" s="337"/>
      <c r="K77" s="337"/>
      <c r="L77" s="337"/>
      <c r="M77" s="337"/>
      <c r="N77" s="337"/>
      <c r="O77" s="337"/>
      <c r="P77" s="337"/>
      <c r="Q77" s="337"/>
      <c r="R77" s="337"/>
      <c r="S77" s="337"/>
      <c r="T77" s="337"/>
      <c r="U77" s="337"/>
      <c r="V77" s="337"/>
      <c r="W77" s="289"/>
      <c r="X77" s="5"/>
    </row>
    <row r="78" spans="1:24" ht="15.75" x14ac:dyDescent="0.25">
      <c r="A78" s="285"/>
      <c r="B78" s="286" t="s">
        <v>21</v>
      </c>
      <c r="C78" s="337"/>
      <c r="D78" s="337"/>
      <c r="E78" s="337"/>
      <c r="F78" s="337"/>
      <c r="G78" s="337"/>
      <c r="H78" s="337"/>
      <c r="I78" s="337"/>
      <c r="J78" s="337"/>
      <c r="K78" s="337"/>
      <c r="L78" s="337"/>
      <c r="M78" s="337"/>
      <c r="N78" s="337"/>
      <c r="O78" s="337"/>
      <c r="P78" s="337"/>
      <c r="Q78" s="337"/>
      <c r="R78" s="337"/>
      <c r="S78" s="337"/>
      <c r="T78" s="337"/>
      <c r="U78" s="337"/>
      <c r="V78" s="337"/>
      <c r="W78" s="289"/>
      <c r="X78" s="5"/>
    </row>
    <row r="79" spans="1:24" ht="15.75" x14ac:dyDescent="0.25">
      <c r="A79" s="285"/>
      <c r="B79" s="286"/>
      <c r="C79" s="337"/>
      <c r="D79" s="337"/>
      <c r="E79" s="337"/>
      <c r="F79" s="337"/>
      <c r="G79" s="337"/>
      <c r="H79" s="337"/>
      <c r="I79" s="337"/>
      <c r="J79" s="337"/>
      <c r="K79" s="337"/>
      <c r="L79" s="337"/>
      <c r="M79" s="337"/>
      <c r="N79" s="337"/>
      <c r="O79" s="337"/>
      <c r="P79" s="337"/>
      <c r="Q79" s="337"/>
      <c r="R79" s="337"/>
      <c r="S79" s="337"/>
      <c r="T79" s="337"/>
      <c r="U79" s="337"/>
      <c r="V79" s="337"/>
      <c r="W79" s="289"/>
      <c r="X79" s="5"/>
    </row>
    <row r="80" spans="1:24" ht="15.75" x14ac:dyDescent="0.25">
      <c r="A80" s="285"/>
      <c r="B80" s="286" t="s">
        <v>23</v>
      </c>
      <c r="C80" s="337"/>
      <c r="D80" s="337"/>
      <c r="E80" s="337"/>
      <c r="F80" s="337"/>
      <c r="G80" s="337"/>
      <c r="H80" s="337"/>
      <c r="I80" s="337"/>
      <c r="J80" s="337"/>
      <c r="K80" s="337"/>
      <c r="L80" s="337">
        <v>0</v>
      </c>
      <c r="M80" s="337"/>
      <c r="N80" s="337">
        <v>0</v>
      </c>
      <c r="O80" s="337"/>
      <c r="P80" s="337"/>
      <c r="Q80" s="337"/>
      <c r="R80" s="337"/>
      <c r="S80" s="337"/>
      <c r="T80" s="337"/>
      <c r="U80" s="337"/>
      <c r="V80" s="338">
        <v>0</v>
      </c>
      <c r="W80" s="289"/>
      <c r="X80" s="5"/>
    </row>
    <row r="81" spans="1:24" ht="15.75" x14ac:dyDescent="0.25">
      <c r="A81" s="285"/>
      <c r="B81" s="286" t="s">
        <v>117</v>
      </c>
      <c r="C81" s="337"/>
      <c r="D81" s="337"/>
      <c r="E81" s="337"/>
      <c r="F81" s="337"/>
      <c r="G81" s="337"/>
      <c r="H81" s="337"/>
      <c r="I81" s="337"/>
      <c r="J81" s="337"/>
      <c r="K81" s="337"/>
      <c r="L81" s="337">
        <v>188687</v>
      </c>
      <c r="M81" s="337"/>
      <c r="N81" s="337">
        <v>0</v>
      </c>
      <c r="O81" s="337"/>
      <c r="P81" s="337">
        <v>0</v>
      </c>
      <c r="Q81" s="337"/>
      <c r="R81" s="337"/>
      <c r="S81" s="337"/>
      <c r="T81" s="337"/>
      <c r="U81" s="337"/>
      <c r="V81" s="337">
        <f>SUM(N81:R81)</f>
        <v>0</v>
      </c>
      <c r="W81" s="289"/>
      <c r="X81" s="5"/>
    </row>
    <row r="82" spans="1:24" ht="15.75" x14ac:dyDescent="0.25">
      <c r="A82" s="285"/>
      <c r="B82" s="286"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89"/>
      <c r="X82" s="5"/>
    </row>
    <row r="83" spans="1:24" ht="15.75" x14ac:dyDescent="0.25">
      <c r="A83" s="285"/>
      <c r="B83" s="286" t="s">
        <v>25</v>
      </c>
      <c r="C83" s="337"/>
      <c r="D83" s="337"/>
      <c r="E83" s="337"/>
      <c r="F83" s="337"/>
      <c r="G83" s="337"/>
      <c r="H83" s="337"/>
      <c r="I83" s="337"/>
      <c r="J83" s="337"/>
      <c r="K83" s="337"/>
      <c r="L83" s="337">
        <v>0</v>
      </c>
      <c r="M83" s="337"/>
      <c r="N83" s="337">
        <v>0</v>
      </c>
      <c r="O83" s="337"/>
      <c r="P83" s="337"/>
      <c r="Q83" s="337"/>
      <c r="R83" s="337"/>
      <c r="S83" s="337"/>
      <c r="T83" s="337"/>
      <c r="U83" s="337"/>
      <c r="V83" s="337">
        <v>0</v>
      </c>
      <c r="W83" s="289"/>
      <c r="X83" s="5"/>
    </row>
    <row r="84" spans="1:24" ht="15.75" x14ac:dyDescent="0.25">
      <c r="A84" s="285"/>
      <c r="B84" s="286" t="s">
        <v>26</v>
      </c>
      <c r="C84" s="337"/>
      <c r="D84" s="337"/>
      <c r="E84" s="337"/>
      <c r="F84" s="337"/>
      <c r="G84" s="337"/>
      <c r="H84" s="337"/>
      <c r="I84" s="337"/>
      <c r="J84" s="337"/>
      <c r="K84" s="337"/>
      <c r="L84" s="337">
        <f>SUM(L71:L83)</f>
        <v>1001133</v>
      </c>
      <c r="M84" s="337"/>
      <c r="N84" s="337">
        <f>SUM(N71:N83)</f>
        <v>703690</v>
      </c>
      <c r="O84" s="337"/>
      <c r="P84" s="337"/>
      <c r="Q84" s="337"/>
      <c r="R84" s="337"/>
      <c r="S84" s="337"/>
      <c r="T84" s="337"/>
      <c r="U84" s="337"/>
      <c r="V84" s="337">
        <f>SUM(V71:V83)</f>
        <v>692657</v>
      </c>
      <c r="W84" s="289"/>
      <c r="X84" s="5"/>
    </row>
    <row r="85" spans="1:24" ht="15.75" x14ac:dyDescent="0.25">
      <c r="A85" s="181"/>
      <c r="B85" s="212"/>
      <c r="C85" s="335"/>
      <c r="D85" s="335"/>
      <c r="E85" s="335"/>
      <c r="F85" s="335"/>
      <c r="G85" s="335"/>
      <c r="H85" s="335"/>
      <c r="I85" s="335"/>
      <c r="J85" s="335"/>
      <c r="K85" s="335"/>
      <c r="L85" s="335"/>
      <c r="M85" s="335"/>
      <c r="N85" s="335"/>
      <c r="O85" s="335"/>
      <c r="P85" s="335"/>
      <c r="Q85" s="335"/>
      <c r="R85" s="335"/>
      <c r="S85" s="335"/>
      <c r="T85" s="335"/>
      <c r="U85" s="335"/>
      <c r="V85" s="336"/>
      <c r="W85" s="212"/>
      <c r="X85" s="5"/>
    </row>
    <row r="86" spans="1:24" ht="15.75" x14ac:dyDescent="0.25">
      <c r="A86" s="181"/>
      <c r="B86" s="183"/>
      <c r="C86" s="183"/>
      <c r="D86" s="183"/>
      <c r="E86" s="183"/>
      <c r="F86" s="183"/>
      <c r="G86" s="183"/>
      <c r="H86" s="183"/>
      <c r="I86" s="183"/>
      <c r="J86" s="183"/>
      <c r="K86" s="183"/>
      <c r="L86" s="183"/>
      <c r="M86" s="183"/>
      <c r="N86" s="183"/>
      <c r="O86" s="183"/>
      <c r="P86" s="183"/>
      <c r="Q86" s="183"/>
      <c r="R86" s="183"/>
      <c r="S86" s="183"/>
      <c r="T86" s="183"/>
      <c r="U86" s="183"/>
      <c r="V86" s="183"/>
      <c r="W86" s="183"/>
      <c r="X86" s="5"/>
    </row>
    <row r="87" spans="1:24" ht="15.75" x14ac:dyDescent="0.25">
      <c r="A87" s="224"/>
      <c r="B87" s="399" t="s">
        <v>27</v>
      </c>
      <c r="C87" s="399"/>
      <c r="D87" s="399"/>
      <c r="E87" s="399"/>
      <c r="F87" s="399"/>
      <c r="G87" s="399"/>
      <c r="H87" s="400"/>
      <c r="I87" s="400"/>
      <c r="J87" s="400"/>
      <c r="K87" s="400"/>
      <c r="L87" s="401" t="s">
        <v>95</v>
      </c>
      <c r="M87" s="400"/>
      <c r="N87" s="402">
        <f>+T202</f>
        <v>42613</v>
      </c>
      <c r="O87" s="400"/>
      <c r="P87" s="400"/>
      <c r="Q87" s="400"/>
      <c r="R87" s="400"/>
      <c r="S87" s="400"/>
      <c r="T87" s="400" t="s">
        <v>107</v>
      </c>
      <c r="U87" s="400"/>
      <c r="V87" s="400" t="s">
        <v>113</v>
      </c>
      <c r="W87" s="225"/>
      <c r="X87" s="5"/>
    </row>
    <row r="88" spans="1:24" ht="15.75" x14ac:dyDescent="0.25">
      <c r="A88" s="248"/>
      <c r="B88" s="250" t="s">
        <v>28</v>
      </c>
      <c r="C88" s="194"/>
      <c r="D88" s="194"/>
      <c r="E88" s="194"/>
      <c r="F88" s="194"/>
      <c r="G88" s="194"/>
      <c r="H88" s="194"/>
      <c r="I88" s="194"/>
      <c r="J88" s="194"/>
      <c r="K88" s="194"/>
      <c r="L88" s="194"/>
      <c r="M88" s="194"/>
      <c r="N88" s="194"/>
      <c r="O88" s="194"/>
      <c r="P88" s="194"/>
      <c r="Q88" s="194"/>
      <c r="R88" s="194"/>
      <c r="S88" s="194"/>
      <c r="T88" s="249">
        <v>0</v>
      </c>
      <c r="U88" s="250"/>
      <c r="V88" s="253">
        <v>0</v>
      </c>
      <c r="W88" s="194"/>
      <c r="X88" s="5"/>
    </row>
    <row r="89" spans="1:24" ht="15.75" x14ac:dyDescent="0.25">
      <c r="A89" s="295"/>
      <c r="B89" s="286" t="s">
        <v>29</v>
      </c>
      <c r="C89" s="314"/>
      <c r="D89" s="314"/>
      <c r="E89" s="314"/>
      <c r="F89" s="314"/>
      <c r="G89" s="314"/>
      <c r="H89" s="339"/>
      <c r="I89" s="339"/>
      <c r="J89" s="339"/>
      <c r="K89" s="340"/>
      <c r="L89" s="339"/>
      <c r="M89" s="314"/>
      <c r="N89" s="341"/>
      <c r="O89" s="314"/>
      <c r="P89" s="314"/>
      <c r="Q89" s="314"/>
      <c r="R89" s="314"/>
      <c r="S89" s="314"/>
      <c r="T89" s="337">
        <f>11123+147</f>
        <v>11270</v>
      </c>
      <c r="U89" s="286"/>
      <c r="V89" s="338"/>
      <c r="W89" s="318"/>
      <c r="X89" s="5"/>
    </row>
    <row r="90" spans="1:24" ht="15.75" x14ac:dyDescent="0.25">
      <c r="A90" s="295"/>
      <c r="B90" s="286" t="s">
        <v>215</v>
      </c>
      <c r="C90" s="314"/>
      <c r="D90" s="314"/>
      <c r="E90" s="314"/>
      <c r="F90" s="314"/>
      <c r="G90" s="314"/>
      <c r="H90" s="339"/>
      <c r="I90" s="339"/>
      <c r="J90" s="339"/>
      <c r="K90" s="340"/>
      <c r="L90" s="339"/>
      <c r="M90" s="314"/>
      <c r="N90" s="341"/>
      <c r="O90" s="314"/>
      <c r="P90" s="314"/>
      <c r="Q90" s="314"/>
      <c r="R90" s="314"/>
      <c r="S90" s="314"/>
      <c r="T90" s="337"/>
      <c r="U90" s="286"/>
      <c r="V90" s="338">
        <f>2951+2941-475-838</f>
        <v>4579</v>
      </c>
      <c r="W90" s="318"/>
      <c r="X90" s="5"/>
    </row>
    <row r="91" spans="1:24" ht="15.75" x14ac:dyDescent="0.25">
      <c r="A91" s="295"/>
      <c r="B91" s="286" t="s">
        <v>210</v>
      </c>
      <c r="C91" s="314"/>
      <c r="D91" s="314"/>
      <c r="E91" s="314"/>
      <c r="F91" s="314"/>
      <c r="G91" s="314"/>
      <c r="H91" s="339"/>
      <c r="I91" s="339"/>
      <c r="J91" s="339"/>
      <c r="K91" s="340"/>
      <c r="L91" s="339"/>
      <c r="M91" s="314"/>
      <c r="N91" s="341"/>
      <c r="O91" s="314"/>
      <c r="P91" s="314"/>
      <c r="Q91" s="314"/>
      <c r="R91" s="314"/>
      <c r="S91" s="314"/>
      <c r="T91" s="337"/>
      <c r="U91" s="286"/>
      <c r="V91" s="338">
        <f>69+59</f>
        <v>128</v>
      </c>
      <c r="W91" s="318"/>
      <c r="X91" s="5"/>
    </row>
    <row r="92" spans="1:24" ht="15.75" x14ac:dyDescent="0.25">
      <c r="A92" s="295"/>
      <c r="B92" s="286" t="s">
        <v>211</v>
      </c>
      <c r="C92" s="314"/>
      <c r="D92" s="314"/>
      <c r="E92" s="314"/>
      <c r="F92" s="314"/>
      <c r="G92" s="314"/>
      <c r="H92" s="339"/>
      <c r="I92" s="339"/>
      <c r="J92" s="339"/>
      <c r="K92" s="340"/>
      <c r="L92" s="339"/>
      <c r="M92" s="314"/>
      <c r="N92" s="341"/>
      <c r="O92" s="314"/>
      <c r="P92" s="314"/>
      <c r="Q92" s="314"/>
      <c r="R92" s="314"/>
      <c r="S92" s="314"/>
      <c r="T92" s="337"/>
      <c r="U92" s="286"/>
      <c r="V92" s="338">
        <v>39</v>
      </c>
      <c r="W92" s="318"/>
      <c r="X92" s="5"/>
    </row>
    <row r="93" spans="1:24" ht="15.75" x14ac:dyDescent="0.25">
      <c r="A93" s="295"/>
      <c r="B93" s="286" t="s">
        <v>233</v>
      </c>
      <c r="C93" s="314"/>
      <c r="D93" s="314"/>
      <c r="E93" s="314"/>
      <c r="F93" s="314"/>
      <c r="G93" s="314"/>
      <c r="H93" s="339"/>
      <c r="I93" s="339"/>
      <c r="J93" s="339"/>
      <c r="K93" s="340"/>
      <c r="L93" s="339"/>
      <c r="M93" s="314"/>
      <c r="N93" s="341"/>
      <c r="O93" s="314"/>
      <c r="P93" s="314"/>
      <c r="Q93" s="314"/>
      <c r="R93" s="314"/>
      <c r="S93" s="314"/>
      <c r="T93" s="337"/>
      <c r="U93" s="286"/>
      <c r="V93" s="338">
        <v>0</v>
      </c>
      <c r="W93" s="318"/>
      <c r="X93" s="5"/>
    </row>
    <row r="94" spans="1:24" ht="15.75" x14ac:dyDescent="0.25">
      <c r="A94" s="295"/>
      <c r="B94" s="286" t="s">
        <v>235</v>
      </c>
      <c r="C94" s="314"/>
      <c r="D94" s="314"/>
      <c r="E94" s="314"/>
      <c r="F94" s="314"/>
      <c r="G94" s="314"/>
      <c r="H94" s="339"/>
      <c r="I94" s="339"/>
      <c r="J94" s="339"/>
      <c r="K94" s="340"/>
      <c r="L94" s="339"/>
      <c r="M94" s="314"/>
      <c r="N94" s="341"/>
      <c r="O94" s="314"/>
      <c r="P94" s="314"/>
      <c r="Q94" s="314"/>
      <c r="R94" s="314"/>
      <c r="S94" s="314"/>
      <c r="T94" s="337"/>
      <c r="U94" s="286"/>
      <c r="V94" s="338">
        <v>0</v>
      </c>
      <c r="W94" s="318"/>
      <c r="X94" s="5"/>
    </row>
    <row r="95" spans="1:24" ht="15.75" x14ac:dyDescent="0.25">
      <c r="A95" s="295"/>
      <c r="B95" s="286" t="s">
        <v>135</v>
      </c>
      <c r="C95" s="314"/>
      <c r="D95" s="314"/>
      <c r="E95" s="314"/>
      <c r="F95" s="314"/>
      <c r="G95" s="314"/>
      <c r="H95" s="314"/>
      <c r="I95" s="314"/>
      <c r="J95" s="314"/>
      <c r="K95" s="314"/>
      <c r="L95" s="314"/>
      <c r="M95" s="314"/>
      <c r="N95" s="314"/>
      <c r="O95" s="314"/>
      <c r="P95" s="314"/>
      <c r="Q95" s="314"/>
      <c r="R95" s="314"/>
      <c r="S95" s="314"/>
      <c r="T95" s="337"/>
      <c r="U95" s="286"/>
      <c r="V95" s="338">
        <v>0</v>
      </c>
      <c r="W95" s="318"/>
      <c r="X95" s="5"/>
    </row>
    <row r="96" spans="1:24" ht="15.75" x14ac:dyDescent="0.25">
      <c r="A96" s="295"/>
      <c r="B96" s="286" t="s">
        <v>272</v>
      </c>
      <c r="C96" s="314"/>
      <c r="D96" s="314"/>
      <c r="E96" s="314"/>
      <c r="F96" s="314"/>
      <c r="G96" s="314"/>
      <c r="H96" s="314"/>
      <c r="I96" s="314"/>
      <c r="J96" s="314"/>
      <c r="K96" s="314"/>
      <c r="L96" s="314"/>
      <c r="M96" s="314"/>
      <c r="N96" s="314"/>
      <c r="O96" s="314"/>
      <c r="P96" s="314"/>
      <c r="Q96" s="314"/>
      <c r="R96" s="314"/>
      <c r="S96" s="314"/>
      <c r="T96" s="337"/>
      <c r="U96" s="286"/>
      <c r="V96" s="338">
        <v>0</v>
      </c>
      <c r="W96" s="318"/>
      <c r="X96" s="5"/>
    </row>
    <row r="97" spans="1:25" ht="15.75" x14ac:dyDescent="0.25">
      <c r="A97" s="295"/>
      <c r="B97" s="286" t="s">
        <v>30</v>
      </c>
      <c r="C97" s="314"/>
      <c r="D97" s="314"/>
      <c r="E97" s="314"/>
      <c r="F97" s="314"/>
      <c r="G97" s="314"/>
      <c r="H97" s="314"/>
      <c r="I97" s="314"/>
      <c r="J97" s="314"/>
      <c r="K97" s="314"/>
      <c r="L97" s="314"/>
      <c r="M97" s="314"/>
      <c r="N97" s="314"/>
      <c r="O97" s="314"/>
      <c r="P97" s="314"/>
      <c r="Q97" s="314"/>
      <c r="R97" s="314"/>
      <c r="S97" s="314"/>
      <c r="T97" s="337">
        <f>SUM(T88:T96)</f>
        <v>11270</v>
      </c>
      <c r="U97" s="286"/>
      <c r="V97" s="337">
        <f>SUM(V88:V96)</f>
        <v>4746</v>
      </c>
      <c r="W97" s="318"/>
      <c r="X97" s="5"/>
    </row>
    <row r="98" spans="1:25" ht="15.75" x14ac:dyDescent="0.25">
      <c r="A98" s="295"/>
      <c r="B98" s="286" t="s">
        <v>161</v>
      </c>
      <c r="C98" s="314"/>
      <c r="D98" s="314"/>
      <c r="E98" s="314"/>
      <c r="F98" s="314"/>
      <c r="G98" s="314"/>
      <c r="H98" s="314"/>
      <c r="I98" s="314"/>
      <c r="J98" s="314"/>
      <c r="K98" s="314"/>
      <c r="L98" s="314"/>
      <c r="M98" s="314"/>
      <c r="N98" s="314"/>
      <c r="O98" s="314"/>
      <c r="P98" s="314"/>
      <c r="Q98" s="314"/>
      <c r="R98" s="314"/>
      <c r="S98" s="314"/>
      <c r="T98" s="337">
        <f>-V98</f>
        <v>0</v>
      </c>
      <c r="U98" s="286"/>
      <c r="V98" s="337">
        <v>0</v>
      </c>
      <c r="W98" s="318"/>
      <c r="X98" s="5"/>
    </row>
    <row r="99" spans="1:25" ht="15.75" x14ac:dyDescent="0.25">
      <c r="A99" s="295"/>
      <c r="B99" s="286" t="s">
        <v>31</v>
      </c>
      <c r="C99" s="314"/>
      <c r="D99" s="314"/>
      <c r="E99" s="314"/>
      <c r="F99" s="314"/>
      <c r="G99" s="314"/>
      <c r="H99" s="314"/>
      <c r="I99" s="314"/>
      <c r="J99" s="314"/>
      <c r="K99" s="314"/>
      <c r="L99" s="314"/>
      <c r="M99" s="314"/>
      <c r="N99" s="314"/>
      <c r="O99" s="314"/>
      <c r="P99" s="314"/>
      <c r="Q99" s="314"/>
      <c r="R99" s="314"/>
      <c r="S99" s="314"/>
      <c r="T99" s="337">
        <f>-V99</f>
        <v>0</v>
      </c>
      <c r="U99" s="286"/>
      <c r="V99" s="338">
        <v>0</v>
      </c>
      <c r="W99" s="318"/>
      <c r="X99" s="5"/>
    </row>
    <row r="100" spans="1:25" ht="15.75" x14ac:dyDescent="0.25">
      <c r="A100" s="295"/>
      <c r="B100" s="286" t="s">
        <v>274</v>
      </c>
      <c r="C100" s="314"/>
      <c r="D100" s="314"/>
      <c r="E100" s="314"/>
      <c r="F100" s="314"/>
      <c r="G100" s="314"/>
      <c r="H100" s="314"/>
      <c r="I100" s="314"/>
      <c r="J100" s="314"/>
      <c r="K100" s="314"/>
      <c r="L100" s="314"/>
      <c r="M100" s="314"/>
      <c r="N100" s="314"/>
      <c r="O100" s="314"/>
      <c r="P100" s="314"/>
      <c r="Q100" s="314"/>
      <c r="R100" s="314"/>
      <c r="S100" s="314"/>
      <c r="T100" s="337"/>
      <c r="U100" s="286"/>
      <c r="V100" s="338">
        <v>89</v>
      </c>
      <c r="W100" s="318"/>
      <c r="X100" s="5"/>
    </row>
    <row r="101" spans="1:25" ht="15.75" x14ac:dyDescent="0.25">
      <c r="A101" s="295"/>
      <c r="B101" s="286" t="s">
        <v>32</v>
      </c>
      <c r="C101" s="314"/>
      <c r="D101" s="314"/>
      <c r="E101" s="314"/>
      <c r="F101" s="314"/>
      <c r="G101" s="314"/>
      <c r="H101" s="314"/>
      <c r="I101" s="314"/>
      <c r="J101" s="314"/>
      <c r="K101" s="314"/>
      <c r="L101" s="314"/>
      <c r="M101" s="314"/>
      <c r="N101" s="314"/>
      <c r="O101" s="314"/>
      <c r="P101" s="314"/>
      <c r="Q101" s="314"/>
      <c r="R101" s="314"/>
      <c r="S101" s="314"/>
      <c r="T101" s="337">
        <f>T97+T99+T98</f>
        <v>11270</v>
      </c>
      <c r="U101" s="286"/>
      <c r="V101" s="337">
        <f>V97+V99+V98+V100</f>
        <v>4835</v>
      </c>
      <c r="W101" s="318"/>
      <c r="X101" s="5"/>
    </row>
    <row r="102" spans="1:25" ht="15.75" x14ac:dyDescent="0.25">
      <c r="A102" s="285"/>
      <c r="B102" s="342" t="s">
        <v>33</v>
      </c>
      <c r="C102" s="314"/>
      <c r="D102" s="314"/>
      <c r="E102" s="314"/>
      <c r="F102" s="314"/>
      <c r="G102" s="314"/>
      <c r="H102" s="314"/>
      <c r="I102" s="314"/>
      <c r="J102" s="314"/>
      <c r="K102" s="314"/>
      <c r="L102" s="314"/>
      <c r="M102" s="314"/>
      <c r="N102" s="314"/>
      <c r="O102" s="314"/>
      <c r="P102" s="314"/>
      <c r="Q102" s="314"/>
      <c r="R102" s="314"/>
      <c r="S102" s="314"/>
      <c r="T102" s="337"/>
      <c r="U102" s="286"/>
      <c r="V102" s="338"/>
      <c r="W102" s="318"/>
      <c r="X102" s="5"/>
    </row>
    <row r="103" spans="1:25" ht="15.75" x14ac:dyDescent="0.25">
      <c r="A103" s="295">
        <v>1</v>
      </c>
      <c r="B103" s="286" t="s">
        <v>34</v>
      </c>
      <c r="C103" s="286"/>
      <c r="D103" s="286"/>
      <c r="E103" s="314"/>
      <c r="F103" s="314"/>
      <c r="G103" s="314"/>
      <c r="H103" s="314"/>
      <c r="I103" s="314"/>
      <c r="J103" s="314"/>
      <c r="K103" s="314"/>
      <c r="L103" s="314"/>
      <c r="M103" s="314"/>
      <c r="N103" s="314"/>
      <c r="O103" s="314"/>
      <c r="P103" s="314"/>
      <c r="Q103" s="314"/>
      <c r="R103" s="314"/>
      <c r="S103" s="314"/>
      <c r="T103" s="286"/>
      <c r="U103" s="286"/>
      <c r="V103" s="338">
        <v>0</v>
      </c>
      <c r="W103" s="318"/>
      <c r="X103" s="5"/>
    </row>
    <row r="104" spans="1:25" ht="15.75" x14ac:dyDescent="0.25">
      <c r="A104" s="295">
        <f>+A103+1</f>
        <v>2</v>
      </c>
      <c r="B104" s="286" t="s">
        <v>314</v>
      </c>
      <c r="C104" s="286"/>
      <c r="D104" s="286"/>
      <c r="E104" s="314"/>
      <c r="F104" s="314"/>
      <c r="G104" s="314"/>
      <c r="H104" s="314"/>
      <c r="I104" s="314"/>
      <c r="J104" s="314"/>
      <c r="K104" s="314"/>
      <c r="L104" s="314"/>
      <c r="M104" s="314"/>
      <c r="N104" s="314"/>
      <c r="O104" s="314"/>
      <c r="P104" s="314"/>
      <c r="Q104" s="314"/>
      <c r="R104" s="314"/>
      <c r="S104" s="314"/>
      <c r="T104" s="286"/>
      <c r="U104" s="286"/>
      <c r="V104" s="338">
        <v>-2</v>
      </c>
      <c r="W104" s="318"/>
      <c r="X104" s="5"/>
    </row>
    <row r="105" spans="1:25" ht="15.75" x14ac:dyDescent="0.25">
      <c r="A105" s="295">
        <f>+A104+1</f>
        <v>3</v>
      </c>
      <c r="B105" s="412" t="s">
        <v>316</v>
      </c>
      <c r="C105" s="286"/>
      <c r="D105" s="286"/>
      <c r="E105" s="314"/>
      <c r="F105" s="314"/>
      <c r="G105" s="314"/>
      <c r="H105" s="314"/>
      <c r="I105" s="314"/>
      <c r="J105" s="314"/>
      <c r="K105" s="314"/>
      <c r="L105" s="314"/>
      <c r="M105" s="314"/>
      <c r="N105" s="314"/>
      <c r="O105" s="314"/>
      <c r="P105" s="314"/>
      <c r="Q105" s="314"/>
      <c r="R105" s="314"/>
      <c r="S105" s="314"/>
      <c r="T105" s="286"/>
      <c r="U105" s="286"/>
      <c r="V105" s="338">
        <f>-270-93-9</f>
        <v>-372</v>
      </c>
      <c r="W105" s="318"/>
      <c r="X105" s="5"/>
    </row>
    <row r="106" spans="1:25" ht="15.75" x14ac:dyDescent="0.25">
      <c r="A106" s="295" t="s">
        <v>127</v>
      </c>
      <c r="B106" s="286" t="s">
        <v>116</v>
      </c>
      <c r="C106" s="286"/>
      <c r="D106" s="286"/>
      <c r="E106" s="314"/>
      <c r="F106" s="314"/>
      <c r="G106" s="314"/>
      <c r="H106" s="314"/>
      <c r="I106" s="314"/>
      <c r="J106" s="314"/>
      <c r="K106" s="314"/>
      <c r="L106" s="314"/>
      <c r="M106" s="314"/>
      <c r="N106" s="314"/>
      <c r="O106" s="314"/>
      <c r="P106" s="314"/>
      <c r="Q106" s="314"/>
      <c r="R106" s="314"/>
      <c r="S106" s="314"/>
      <c r="T106" s="286"/>
      <c r="U106" s="286"/>
      <c r="V106" s="338">
        <v>0</v>
      </c>
      <c r="W106" s="318"/>
      <c r="X106" s="5"/>
    </row>
    <row r="107" spans="1:25" ht="15.75" x14ac:dyDescent="0.25">
      <c r="A107" s="295" t="s">
        <v>128</v>
      </c>
      <c r="B107" s="286" t="s">
        <v>220</v>
      </c>
      <c r="C107" s="286"/>
      <c r="D107" s="286"/>
      <c r="E107" s="314"/>
      <c r="F107" s="314"/>
      <c r="G107" s="314"/>
      <c r="H107" s="314"/>
      <c r="I107" s="314"/>
      <c r="J107" s="314"/>
      <c r="K107" s="314"/>
      <c r="L107" s="314"/>
      <c r="M107" s="314"/>
      <c r="N107" s="314"/>
      <c r="O107" s="314"/>
      <c r="P107" s="314"/>
      <c r="Q107" s="314"/>
      <c r="R107" s="314"/>
      <c r="S107" s="314"/>
      <c r="T107" s="286"/>
      <c r="U107" s="286"/>
      <c r="V107" s="338">
        <f>-1116+286</f>
        <v>-830</v>
      </c>
      <c r="W107" s="318"/>
      <c r="X107" s="5"/>
      <c r="Y107" s="109"/>
    </row>
    <row r="108" spans="1:25" ht="15.75" x14ac:dyDescent="0.25">
      <c r="A108" s="295" t="s">
        <v>150</v>
      </c>
      <c r="B108" s="286" t="s">
        <v>184</v>
      </c>
      <c r="C108" s="286"/>
      <c r="D108" s="286"/>
      <c r="E108" s="314"/>
      <c r="F108" s="314"/>
      <c r="G108" s="314"/>
      <c r="H108" s="314"/>
      <c r="I108" s="314"/>
      <c r="J108" s="314"/>
      <c r="K108" s="314"/>
      <c r="L108" s="314"/>
      <c r="M108" s="314"/>
      <c r="N108" s="314"/>
      <c r="O108" s="314"/>
      <c r="P108" s="314"/>
      <c r="Q108" s="314"/>
      <c r="R108" s="314"/>
      <c r="S108" s="314"/>
      <c r="T108" s="286"/>
      <c r="U108" s="286"/>
      <c r="V108" s="338">
        <v>-286</v>
      </c>
      <c r="W108" s="318"/>
      <c r="X108" s="5"/>
      <c r="Y108" s="109"/>
    </row>
    <row r="109" spans="1:25" ht="15.75" x14ac:dyDescent="0.25">
      <c r="A109" s="295" t="s">
        <v>205</v>
      </c>
      <c r="B109" s="286" t="s">
        <v>185</v>
      </c>
      <c r="C109" s="286"/>
      <c r="D109" s="286"/>
      <c r="E109" s="314"/>
      <c r="F109" s="314"/>
      <c r="G109" s="314"/>
      <c r="H109" s="314"/>
      <c r="I109" s="314"/>
      <c r="J109" s="314"/>
      <c r="K109" s="314"/>
      <c r="L109" s="314"/>
      <c r="M109" s="314"/>
      <c r="N109" s="314"/>
      <c r="O109" s="314"/>
      <c r="P109" s="314"/>
      <c r="Q109" s="314"/>
      <c r="R109" s="314"/>
      <c r="S109" s="314"/>
      <c r="T109" s="286"/>
      <c r="U109" s="286"/>
      <c r="V109" s="338">
        <v>-173</v>
      </c>
      <c r="W109" s="318"/>
      <c r="X109" s="5"/>
      <c r="Y109" s="109"/>
    </row>
    <row r="110" spans="1:25" ht="15.75" x14ac:dyDescent="0.25">
      <c r="A110" s="295" t="s">
        <v>206</v>
      </c>
      <c r="B110" s="286" t="s">
        <v>186</v>
      </c>
      <c r="C110" s="286"/>
      <c r="D110" s="286"/>
      <c r="E110" s="314"/>
      <c r="F110" s="314"/>
      <c r="G110" s="314"/>
      <c r="H110" s="314"/>
      <c r="I110" s="314"/>
      <c r="J110" s="314"/>
      <c r="K110" s="314"/>
      <c r="L110" s="314"/>
      <c r="M110" s="314"/>
      <c r="N110" s="314"/>
      <c r="O110" s="314"/>
      <c r="P110" s="314"/>
      <c r="Q110" s="314"/>
      <c r="R110" s="314"/>
      <c r="S110" s="314"/>
      <c r="T110" s="286"/>
      <c r="U110" s="286"/>
      <c r="V110" s="338">
        <v>-48</v>
      </c>
      <c r="W110" s="318"/>
      <c r="X110" s="5"/>
      <c r="Y110" s="109"/>
    </row>
    <row r="111" spans="1:25" ht="15.75" x14ac:dyDescent="0.25">
      <c r="A111" s="295">
        <v>6</v>
      </c>
      <c r="B111" s="286" t="s">
        <v>196</v>
      </c>
      <c r="C111" s="286"/>
      <c r="D111" s="286"/>
      <c r="E111" s="314"/>
      <c r="F111" s="314"/>
      <c r="G111" s="314"/>
      <c r="H111" s="314"/>
      <c r="I111" s="314"/>
      <c r="J111" s="314"/>
      <c r="K111" s="314"/>
      <c r="L111" s="314"/>
      <c r="M111" s="314"/>
      <c r="N111" s="314"/>
      <c r="O111" s="314"/>
      <c r="P111" s="314"/>
      <c r="Q111" s="314"/>
      <c r="R111" s="314"/>
      <c r="S111" s="314"/>
      <c r="T111" s="286"/>
      <c r="U111" s="286"/>
      <c r="V111" s="338">
        <v>-341</v>
      </c>
      <c r="W111" s="318"/>
      <c r="X111" s="5"/>
      <c r="Y111" s="109"/>
    </row>
    <row r="112" spans="1:25" ht="15.75" x14ac:dyDescent="0.25">
      <c r="A112" s="295">
        <v>7</v>
      </c>
      <c r="B112" s="412" t="s">
        <v>315</v>
      </c>
      <c r="C112" s="286"/>
      <c r="D112" s="286"/>
      <c r="E112" s="314"/>
      <c r="F112" s="314"/>
      <c r="G112" s="314"/>
      <c r="H112" s="314"/>
      <c r="I112" s="314"/>
      <c r="J112" s="314"/>
      <c r="K112" s="314"/>
      <c r="L112" s="314"/>
      <c r="M112" s="314"/>
      <c r="N112" s="314"/>
      <c r="O112" s="314"/>
      <c r="P112" s="314"/>
      <c r="Q112" s="314"/>
      <c r="R112" s="314"/>
      <c r="S112" s="314"/>
      <c r="T112" s="286"/>
      <c r="U112" s="286"/>
      <c r="V112" s="338">
        <v>0</v>
      </c>
      <c r="W112" s="318"/>
      <c r="X112" s="5"/>
      <c r="Y112" s="109"/>
    </row>
    <row r="113" spans="1:24" ht="15.75" x14ac:dyDescent="0.25">
      <c r="A113" s="295">
        <v>8</v>
      </c>
      <c r="B113" s="286" t="s">
        <v>35</v>
      </c>
      <c r="C113" s="286"/>
      <c r="D113" s="286"/>
      <c r="E113" s="314"/>
      <c r="F113" s="314"/>
      <c r="G113" s="314"/>
      <c r="H113" s="314"/>
      <c r="I113" s="314"/>
      <c r="J113" s="314"/>
      <c r="K113" s="314"/>
      <c r="L113" s="314"/>
      <c r="M113" s="314"/>
      <c r="N113" s="314"/>
      <c r="O113" s="314"/>
      <c r="P113" s="314"/>
      <c r="Q113" s="314"/>
      <c r="R113" s="314"/>
      <c r="S113" s="314"/>
      <c r="T113" s="286"/>
      <c r="U113" s="286"/>
      <c r="V113" s="338">
        <v>-13</v>
      </c>
      <c r="W113" s="318"/>
      <c r="X113" s="5"/>
    </row>
    <row r="114" spans="1:24" ht="15.75" x14ac:dyDescent="0.25">
      <c r="A114" s="295">
        <f t="shared" ref="A114:A119" si="0">+A113+1</f>
        <v>9</v>
      </c>
      <c r="B114" s="286" t="s">
        <v>45</v>
      </c>
      <c r="C114" s="286"/>
      <c r="D114" s="286"/>
      <c r="E114" s="314"/>
      <c r="F114" s="314"/>
      <c r="G114" s="314"/>
      <c r="H114" s="314"/>
      <c r="I114" s="314"/>
      <c r="J114" s="314"/>
      <c r="K114" s="314"/>
      <c r="L114" s="314"/>
      <c r="M114" s="314"/>
      <c r="N114" s="314"/>
      <c r="O114" s="314"/>
      <c r="P114" s="314"/>
      <c r="Q114" s="314"/>
      <c r="R114" s="314"/>
      <c r="S114" s="314"/>
      <c r="T114" s="337">
        <f>-V114</f>
        <v>-147</v>
      </c>
      <c r="U114" s="286"/>
      <c r="V114" s="338">
        <v>147</v>
      </c>
      <c r="W114" s="318"/>
      <c r="X114" s="5"/>
    </row>
    <row r="115" spans="1:24" ht="15.75" x14ac:dyDescent="0.25">
      <c r="A115" s="295">
        <f t="shared" si="0"/>
        <v>10</v>
      </c>
      <c r="B115" s="286" t="s">
        <v>125</v>
      </c>
      <c r="C115" s="286"/>
      <c r="D115" s="286"/>
      <c r="E115" s="314"/>
      <c r="F115" s="314"/>
      <c r="G115" s="314"/>
      <c r="H115" s="314"/>
      <c r="I115" s="314"/>
      <c r="J115" s="314"/>
      <c r="K115" s="314"/>
      <c r="L115" s="314"/>
      <c r="M115" s="314"/>
      <c r="N115" s="314"/>
      <c r="O115" s="314"/>
      <c r="P115" s="314"/>
      <c r="Q115" s="314"/>
      <c r="R115" s="314"/>
      <c r="S115" s="314"/>
      <c r="T115" s="286"/>
      <c r="U115" s="286"/>
      <c r="V115" s="338">
        <v>0</v>
      </c>
      <c r="W115" s="318"/>
      <c r="X115" s="5"/>
    </row>
    <row r="116" spans="1:24" ht="15.75" x14ac:dyDescent="0.25">
      <c r="A116" s="295">
        <f t="shared" si="0"/>
        <v>11</v>
      </c>
      <c r="B116" s="286" t="s">
        <v>225</v>
      </c>
      <c r="C116" s="286"/>
      <c r="D116" s="286"/>
      <c r="E116" s="314"/>
      <c r="F116" s="314"/>
      <c r="G116" s="314"/>
      <c r="H116" s="314"/>
      <c r="I116" s="314"/>
      <c r="J116" s="314"/>
      <c r="K116" s="314"/>
      <c r="L116" s="314"/>
      <c r="M116" s="314"/>
      <c r="N116" s="314"/>
      <c r="O116" s="314"/>
      <c r="P116" s="314"/>
      <c r="Q116" s="314"/>
      <c r="R116" s="314"/>
      <c r="S116" s="314"/>
      <c r="T116" s="286"/>
      <c r="U116" s="286"/>
      <c r="V116" s="338">
        <v>0</v>
      </c>
      <c r="W116" s="318"/>
      <c r="X116" s="5"/>
    </row>
    <row r="117" spans="1:24" ht="15.75" x14ac:dyDescent="0.25">
      <c r="A117" s="295">
        <f t="shared" si="0"/>
        <v>12</v>
      </c>
      <c r="B117" s="286" t="s">
        <v>36</v>
      </c>
      <c r="C117" s="286"/>
      <c r="D117" s="286"/>
      <c r="E117" s="314"/>
      <c r="F117" s="314"/>
      <c r="G117" s="314"/>
      <c r="H117" s="314"/>
      <c r="I117" s="314"/>
      <c r="J117" s="314"/>
      <c r="K117" s="314"/>
      <c r="L117" s="314"/>
      <c r="M117" s="314"/>
      <c r="N117" s="314"/>
      <c r="O117" s="314"/>
      <c r="P117" s="314"/>
      <c r="Q117" s="314"/>
      <c r="R117" s="314"/>
      <c r="S117" s="314"/>
      <c r="T117" s="286"/>
      <c r="U117" s="286"/>
      <c r="V117" s="338">
        <v>0</v>
      </c>
      <c r="W117" s="318"/>
      <c r="X117" s="5"/>
    </row>
    <row r="118" spans="1:24" ht="15.75" x14ac:dyDescent="0.25">
      <c r="A118" s="295">
        <f t="shared" si="0"/>
        <v>13</v>
      </c>
      <c r="B118" s="286" t="s">
        <v>149</v>
      </c>
      <c r="C118" s="286"/>
      <c r="D118" s="286"/>
      <c r="E118" s="314"/>
      <c r="F118" s="314"/>
      <c r="G118" s="314"/>
      <c r="H118" s="314"/>
      <c r="I118" s="314"/>
      <c r="J118" s="314"/>
      <c r="K118" s="314"/>
      <c r="L118" s="314"/>
      <c r="M118" s="314"/>
      <c r="N118" s="314"/>
      <c r="O118" s="314"/>
      <c r="P118" s="314"/>
      <c r="Q118" s="314"/>
      <c r="R118" s="314"/>
      <c r="S118" s="314"/>
      <c r="T118" s="286"/>
      <c r="U118" s="286"/>
      <c r="V118" s="338">
        <v>-269</v>
      </c>
      <c r="W118" s="318"/>
      <c r="X118" s="5"/>
    </row>
    <row r="119" spans="1:24" ht="15.75" x14ac:dyDescent="0.25">
      <c r="A119" s="295">
        <f t="shared" si="0"/>
        <v>14</v>
      </c>
      <c r="B119" s="286" t="s">
        <v>126</v>
      </c>
      <c r="C119" s="286"/>
      <c r="D119" s="286"/>
      <c r="E119" s="314"/>
      <c r="F119" s="314"/>
      <c r="G119" s="314"/>
      <c r="H119" s="314"/>
      <c r="I119" s="314"/>
      <c r="J119" s="314"/>
      <c r="K119" s="314"/>
      <c r="L119" s="314"/>
      <c r="M119" s="314"/>
      <c r="N119" s="314"/>
      <c r="O119" s="314"/>
      <c r="P119" s="314"/>
      <c r="Q119" s="314"/>
      <c r="R119" s="314"/>
      <c r="S119" s="314"/>
      <c r="T119" s="286"/>
      <c r="U119" s="286"/>
      <c r="V119" s="338">
        <f>-V101-SUM(V103:V118)</f>
        <v>-2648</v>
      </c>
      <c r="W119" s="318"/>
      <c r="X119" s="5"/>
    </row>
    <row r="120" spans="1:24" ht="15.75" x14ac:dyDescent="0.25">
      <c r="A120" s="285"/>
      <c r="B120" s="342" t="s">
        <v>37</v>
      </c>
      <c r="C120" s="314"/>
      <c r="D120" s="314"/>
      <c r="E120" s="314"/>
      <c r="F120" s="314"/>
      <c r="G120" s="314"/>
      <c r="H120" s="314"/>
      <c r="I120" s="314"/>
      <c r="J120" s="314"/>
      <c r="K120" s="314"/>
      <c r="L120" s="314"/>
      <c r="M120" s="314"/>
      <c r="N120" s="314"/>
      <c r="O120" s="314"/>
      <c r="P120" s="314"/>
      <c r="Q120" s="314"/>
      <c r="R120" s="314"/>
      <c r="S120" s="314"/>
      <c r="T120" s="286"/>
      <c r="U120" s="286"/>
      <c r="V120" s="343"/>
      <c r="W120" s="318"/>
      <c r="X120" s="5"/>
    </row>
    <row r="121" spans="1:24" ht="15.75" x14ac:dyDescent="0.25">
      <c r="A121" s="285"/>
      <c r="B121" s="286" t="s">
        <v>173</v>
      </c>
      <c r="C121" s="314"/>
      <c r="D121" s="314"/>
      <c r="E121" s="314"/>
      <c r="F121" s="314"/>
      <c r="G121" s="314"/>
      <c r="H121" s="314"/>
      <c r="I121" s="314"/>
      <c r="J121" s="314"/>
      <c r="K121" s="314"/>
      <c r="L121" s="314"/>
      <c r="M121" s="314"/>
      <c r="N121" s="314"/>
      <c r="O121" s="314"/>
      <c r="P121" s="314"/>
      <c r="Q121" s="314"/>
      <c r="R121" s="314"/>
      <c r="S121" s="314"/>
      <c r="T121" s="337">
        <f>-T186</f>
        <v>0</v>
      </c>
      <c r="U121" s="337"/>
      <c r="V121" s="338"/>
      <c r="W121" s="318"/>
      <c r="X121" s="5"/>
    </row>
    <row r="122" spans="1:24" ht="15.75" x14ac:dyDescent="0.25">
      <c r="A122" s="285"/>
      <c r="B122" s="286" t="s">
        <v>174</v>
      </c>
      <c r="C122" s="314"/>
      <c r="D122" s="314"/>
      <c r="E122" s="314"/>
      <c r="F122" s="314"/>
      <c r="G122" s="314"/>
      <c r="H122" s="314"/>
      <c r="I122" s="314"/>
      <c r="J122" s="314"/>
      <c r="K122" s="314"/>
      <c r="L122" s="314"/>
      <c r="M122" s="314"/>
      <c r="N122" s="314"/>
      <c r="O122" s="314"/>
      <c r="P122" s="314"/>
      <c r="Q122" s="314"/>
      <c r="R122" s="314"/>
      <c r="S122" s="314"/>
      <c r="T122" s="337">
        <v>0</v>
      </c>
      <c r="U122" s="337"/>
      <c r="V122" s="338"/>
      <c r="W122" s="318"/>
      <c r="X122" s="5"/>
    </row>
    <row r="123" spans="1:24" ht="15.75" x14ac:dyDescent="0.25">
      <c r="A123" s="285"/>
      <c r="B123" s="286" t="s">
        <v>38</v>
      </c>
      <c r="C123" s="314"/>
      <c r="D123" s="314"/>
      <c r="E123" s="314"/>
      <c r="F123" s="314"/>
      <c r="G123" s="314"/>
      <c r="H123" s="314"/>
      <c r="I123" s="314"/>
      <c r="J123" s="314"/>
      <c r="K123" s="314"/>
      <c r="L123" s="314"/>
      <c r="M123" s="314"/>
      <c r="N123" s="314"/>
      <c r="O123" s="314"/>
      <c r="P123" s="314"/>
      <c r="Q123" s="314"/>
      <c r="R123" s="314"/>
      <c r="S123" s="314"/>
      <c r="T123" s="337">
        <f>-S186</f>
        <v>-90</v>
      </c>
      <c r="U123" s="337"/>
      <c r="V123" s="338"/>
      <c r="W123" s="318"/>
      <c r="X123" s="5"/>
    </row>
    <row r="124" spans="1:24" ht="15.75" x14ac:dyDescent="0.25">
      <c r="A124" s="285"/>
      <c r="B124" s="286" t="s">
        <v>197</v>
      </c>
      <c r="C124" s="314"/>
      <c r="D124" s="314"/>
      <c r="E124" s="314"/>
      <c r="F124" s="314"/>
      <c r="G124" s="314"/>
      <c r="H124" s="314"/>
      <c r="I124" s="314"/>
      <c r="J124" s="314"/>
      <c r="K124" s="314"/>
      <c r="L124" s="314"/>
      <c r="M124" s="314"/>
      <c r="N124" s="314"/>
      <c r="O124" s="314"/>
      <c r="P124" s="314"/>
      <c r="Q124" s="314"/>
      <c r="R124" s="314"/>
      <c r="S124" s="314"/>
      <c r="T124" s="337">
        <v>-6391</v>
      </c>
      <c r="U124" s="337"/>
      <c r="V124" s="338"/>
      <c r="W124" s="318"/>
      <c r="X124" s="5"/>
    </row>
    <row r="125" spans="1:24" ht="15.75" x14ac:dyDescent="0.25">
      <c r="A125" s="285"/>
      <c r="B125" s="286" t="s">
        <v>195</v>
      </c>
      <c r="C125" s="314"/>
      <c r="D125" s="314"/>
      <c r="E125" s="314"/>
      <c r="F125" s="314"/>
      <c r="G125" s="314"/>
      <c r="H125" s="314"/>
      <c r="I125" s="314"/>
      <c r="J125" s="314"/>
      <c r="K125" s="314"/>
      <c r="L125" s="314"/>
      <c r="M125" s="314"/>
      <c r="N125" s="314"/>
      <c r="O125" s="314"/>
      <c r="P125" s="314"/>
      <c r="Q125" s="314"/>
      <c r="R125" s="314"/>
      <c r="S125" s="314"/>
      <c r="T125" s="337">
        <v>-2716</v>
      </c>
      <c r="U125" s="337"/>
      <c r="V125" s="338"/>
      <c r="W125" s="318"/>
      <c r="X125" s="5"/>
    </row>
    <row r="126" spans="1:24" ht="15.75" x14ac:dyDescent="0.25">
      <c r="A126" s="285"/>
      <c r="B126" s="286" t="s">
        <v>194</v>
      </c>
      <c r="C126" s="314"/>
      <c r="D126" s="314"/>
      <c r="E126" s="314"/>
      <c r="F126" s="314"/>
      <c r="G126" s="314"/>
      <c r="H126" s="314"/>
      <c r="I126" s="314"/>
      <c r="J126" s="314"/>
      <c r="K126" s="314"/>
      <c r="L126" s="314"/>
      <c r="M126" s="314"/>
      <c r="N126" s="314"/>
      <c r="O126" s="314"/>
      <c r="P126" s="314"/>
      <c r="Q126" s="314"/>
      <c r="R126" s="314"/>
      <c r="S126" s="314"/>
      <c r="T126" s="337">
        <v>-968</v>
      </c>
      <c r="U126" s="337"/>
      <c r="V126" s="338"/>
      <c r="W126" s="318"/>
      <c r="X126" s="5"/>
    </row>
    <row r="127" spans="1:24" ht="15.75" x14ac:dyDescent="0.25">
      <c r="A127" s="285"/>
      <c r="B127" s="286" t="s">
        <v>222</v>
      </c>
      <c r="C127" s="314"/>
      <c r="D127" s="314"/>
      <c r="E127" s="314"/>
      <c r="F127" s="314"/>
      <c r="G127" s="314"/>
      <c r="H127" s="314"/>
      <c r="I127" s="314"/>
      <c r="J127" s="314"/>
      <c r="K127" s="314"/>
      <c r="L127" s="314"/>
      <c r="M127" s="314"/>
      <c r="N127" s="314"/>
      <c r="O127" s="314"/>
      <c r="P127" s="314"/>
      <c r="Q127" s="314"/>
      <c r="R127" s="314"/>
      <c r="S127" s="314"/>
      <c r="T127" s="337">
        <v>-958</v>
      </c>
      <c r="U127" s="337"/>
      <c r="V127" s="338"/>
      <c r="W127" s="318"/>
      <c r="X127" s="5"/>
    </row>
    <row r="128" spans="1:24" ht="15.75" x14ac:dyDescent="0.25">
      <c r="A128" s="285"/>
      <c r="B128" s="286" t="s">
        <v>189</v>
      </c>
      <c r="C128" s="314"/>
      <c r="D128" s="314"/>
      <c r="E128" s="314"/>
      <c r="F128" s="314"/>
      <c r="G128" s="314"/>
      <c r="H128" s="314"/>
      <c r="I128" s="314"/>
      <c r="J128" s="314"/>
      <c r="K128" s="314"/>
      <c r="L128" s="314"/>
      <c r="M128" s="314"/>
      <c r="N128" s="314"/>
      <c r="O128" s="314"/>
      <c r="P128" s="314"/>
      <c r="Q128" s="314"/>
      <c r="R128" s="314"/>
      <c r="S128" s="314"/>
      <c r="T128" s="337">
        <v>0</v>
      </c>
      <c r="U128" s="337"/>
      <c r="V128" s="338"/>
      <c r="W128" s="318"/>
      <c r="X128" s="5"/>
    </row>
    <row r="129" spans="1:24" ht="15.75" x14ac:dyDescent="0.25">
      <c r="A129" s="285"/>
      <c r="B129" s="286" t="s">
        <v>188</v>
      </c>
      <c r="C129" s="314"/>
      <c r="D129" s="314"/>
      <c r="E129" s="314"/>
      <c r="F129" s="314"/>
      <c r="G129" s="314"/>
      <c r="H129" s="314"/>
      <c r="I129" s="314"/>
      <c r="J129" s="314"/>
      <c r="K129" s="314"/>
      <c r="L129" s="314"/>
      <c r="M129" s="314"/>
      <c r="N129" s="314"/>
      <c r="O129" s="314"/>
      <c r="P129" s="314"/>
      <c r="Q129" s="314"/>
      <c r="R129" s="314"/>
      <c r="S129" s="314"/>
      <c r="T129" s="337">
        <v>0</v>
      </c>
      <c r="U129" s="337"/>
      <c r="V129" s="338"/>
      <c r="W129" s="318"/>
      <c r="X129" s="5"/>
    </row>
    <row r="130" spans="1:24" ht="15.75" x14ac:dyDescent="0.25">
      <c r="A130" s="285"/>
      <c r="B130" s="286" t="s">
        <v>187</v>
      </c>
      <c r="C130" s="314"/>
      <c r="D130" s="314"/>
      <c r="E130" s="314"/>
      <c r="F130" s="314"/>
      <c r="G130" s="314"/>
      <c r="H130" s="314"/>
      <c r="I130" s="314"/>
      <c r="J130" s="314"/>
      <c r="K130" s="314"/>
      <c r="L130" s="314"/>
      <c r="M130" s="314"/>
      <c r="N130" s="314"/>
      <c r="O130" s="314"/>
      <c r="P130" s="314"/>
      <c r="Q130" s="314"/>
      <c r="R130" s="314"/>
      <c r="S130" s="314"/>
      <c r="T130" s="337">
        <v>0</v>
      </c>
      <c r="U130" s="337"/>
      <c r="V130" s="338"/>
      <c r="W130" s="318"/>
      <c r="X130" s="5"/>
    </row>
    <row r="131" spans="1:24" ht="15.75" x14ac:dyDescent="0.25">
      <c r="A131" s="285"/>
      <c r="B131" s="286" t="s">
        <v>39</v>
      </c>
      <c r="C131" s="314"/>
      <c r="D131" s="314"/>
      <c r="E131" s="314"/>
      <c r="F131" s="314"/>
      <c r="G131" s="314"/>
      <c r="H131" s="314"/>
      <c r="I131" s="314"/>
      <c r="J131" s="314"/>
      <c r="K131" s="314"/>
      <c r="L131" s="314"/>
      <c r="M131" s="314"/>
      <c r="N131" s="314"/>
      <c r="O131" s="314"/>
      <c r="P131" s="314"/>
      <c r="Q131" s="314"/>
      <c r="R131" s="314"/>
      <c r="S131" s="314"/>
      <c r="T131" s="337">
        <f>SUM(T121:T130)</f>
        <v>-11123</v>
      </c>
      <c r="U131" s="337"/>
      <c r="V131" s="337">
        <f>SUM(V102:V129)</f>
        <v>-4835</v>
      </c>
      <c r="W131" s="318"/>
      <c r="X131" s="5"/>
    </row>
    <row r="132" spans="1:24" ht="15.75" x14ac:dyDescent="0.25">
      <c r="A132" s="285"/>
      <c r="B132" s="286" t="s">
        <v>40</v>
      </c>
      <c r="C132" s="314"/>
      <c r="D132" s="314"/>
      <c r="E132" s="314"/>
      <c r="F132" s="314"/>
      <c r="G132" s="314"/>
      <c r="H132" s="314"/>
      <c r="I132" s="314"/>
      <c r="J132" s="314"/>
      <c r="K132" s="314"/>
      <c r="L132" s="314"/>
      <c r="M132" s="314"/>
      <c r="N132" s="314"/>
      <c r="O132" s="314"/>
      <c r="P132" s="314"/>
      <c r="Q132" s="314"/>
      <c r="R132" s="314"/>
      <c r="S132" s="314"/>
      <c r="T132" s="337">
        <f>T101+T131+T114</f>
        <v>0</v>
      </c>
      <c r="U132" s="337"/>
      <c r="V132" s="337">
        <f>V101+V131</f>
        <v>0</v>
      </c>
      <c r="W132" s="318"/>
      <c r="X132" s="5"/>
    </row>
    <row r="133" spans="1:24" ht="15.75" x14ac:dyDescent="0.25">
      <c r="A133" s="181"/>
      <c r="B133" s="212"/>
      <c r="C133" s="212"/>
      <c r="D133" s="212"/>
      <c r="E133" s="212"/>
      <c r="F133" s="212"/>
      <c r="G133" s="212"/>
      <c r="H133" s="212"/>
      <c r="I133" s="212"/>
      <c r="J133" s="212"/>
      <c r="K133" s="212"/>
      <c r="L133" s="212"/>
      <c r="M133" s="212"/>
      <c r="N133" s="212"/>
      <c r="O133" s="212"/>
      <c r="P133" s="212"/>
      <c r="Q133" s="212"/>
      <c r="R133" s="212"/>
      <c r="S133" s="212"/>
      <c r="T133" s="335"/>
      <c r="U133" s="335"/>
      <c r="V133" s="335"/>
      <c r="W133" s="212"/>
      <c r="X133" s="5"/>
    </row>
    <row r="134" spans="1:24" ht="15.75" x14ac:dyDescent="0.25">
      <c r="A134" s="181"/>
      <c r="B134" s="183"/>
      <c r="C134" s="183"/>
      <c r="D134" s="183"/>
      <c r="E134" s="183"/>
      <c r="F134" s="183"/>
      <c r="G134" s="183"/>
      <c r="H134" s="183"/>
      <c r="I134" s="183"/>
      <c r="J134" s="183"/>
      <c r="K134" s="183"/>
      <c r="L134" s="183"/>
      <c r="M134" s="183"/>
      <c r="N134" s="183"/>
      <c r="O134" s="183"/>
      <c r="P134" s="183"/>
      <c r="Q134" s="183"/>
      <c r="R134" s="183"/>
      <c r="S134" s="183"/>
      <c r="T134" s="183"/>
      <c r="U134" s="183"/>
      <c r="V134" s="202"/>
      <c r="W134" s="183"/>
      <c r="X134" s="5"/>
    </row>
    <row r="135" spans="1:24" ht="19.5" thickBot="1" x14ac:dyDescent="0.35">
      <c r="A135" s="197"/>
      <c r="B135" s="270" t="str">
        <f>B64</f>
        <v>PM15 INVESTOR REPORT QUARTER ENDING AUGUST 2016</v>
      </c>
      <c r="C135" s="198"/>
      <c r="D135" s="198"/>
      <c r="E135" s="198"/>
      <c r="F135" s="198"/>
      <c r="G135" s="198"/>
      <c r="H135" s="198"/>
      <c r="I135" s="198"/>
      <c r="J135" s="198"/>
      <c r="K135" s="198"/>
      <c r="L135" s="198"/>
      <c r="M135" s="198"/>
      <c r="N135" s="198"/>
      <c r="O135" s="198"/>
      <c r="P135" s="198"/>
      <c r="Q135" s="198"/>
      <c r="R135" s="198"/>
      <c r="S135" s="198"/>
      <c r="T135" s="198"/>
      <c r="U135" s="198"/>
      <c r="V135" s="209"/>
      <c r="W135" s="200"/>
      <c r="X135" s="5"/>
    </row>
    <row r="136" spans="1:24" ht="15.75" x14ac:dyDescent="0.25">
      <c r="A136" s="236"/>
      <c r="B136" s="403" t="s">
        <v>41</v>
      </c>
      <c r="C136" s="238"/>
      <c r="D136" s="238"/>
      <c r="E136" s="238"/>
      <c r="F136" s="238"/>
      <c r="G136" s="238"/>
      <c r="H136" s="238"/>
      <c r="I136" s="238"/>
      <c r="J136" s="238"/>
      <c r="K136" s="238"/>
      <c r="L136" s="238"/>
      <c r="M136" s="238"/>
      <c r="N136" s="238"/>
      <c r="O136" s="238"/>
      <c r="P136" s="238"/>
      <c r="Q136" s="238"/>
      <c r="R136" s="238"/>
      <c r="S136" s="238"/>
      <c r="T136" s="238"/>
      <c r="U136" s="238"/>
      <c r="V136" s="239"/>
      <c r="W136" s="238"/>
      <c r="X136" s="5"/>
    </row>
    <row r="137" spans="1:24" ht="15.75" x14ac:dyDescent="0.25">
      <c r="A137" s="181"/>
      <c r="B137" s="191"/>
      <c r="C137" s="183"/>
      <c r="D137" s="183"/>
      <c r="E137" s="183"/>
      <c r="F137" s="183"/>
      <c r="G137" s="183"/>
      <c r="H137" s="183"/>
      <c r="I137" s="183"/>
      <c r="J137" s="183"/>
      <c r="K137" s="183"/>
      <c r="L137" s="183"/>
      <c r="M137" s="183"/>
      <c r="N137" s="183"/>
      <c r="O137" s="183"/>
      <c r="P137" s="183"/>
      <c r="Q137" s="183"/>
      <c r="R137" s="183"/>
      <c r="S137" s="183"/>
      <c r="T137" s="183"/>
      <c r="U137" s="183"/>
      <c r="V137" s="202"/>
      <c r="W137" s="183"/>
      <c r="X137" s="5"/>
    </row>
    <row r="138" spans="1:24" ht="15.75" x14ac:dyDescent="0.25">
      <c r="A138" s="181"/>
      <c r="B138" s="210" t="s">
        <v>42</v>
      </c>
      <c r="C138" s="183"/>
      <c r="D138" s="183"/>
      <c r="E138" s="183"/>
      <c r="F138" s="183"/>
      <c r="G138" s="183"/>
      <c r="H138" s="183"/>
      <c r="I138" s="183"/>
      <c r="J138" s="183"/>
      <c r="K138" s="183"/>
      <c r="L138" s="183"/>
      <c r="M138" s="183"/>
      <c r="N138" s="183"/>
      <c r="O138" s="183"/>
      <c r="P138" s="183"/>
      <c r="Q138" s="183"/>
      <c r="R138" s="183"/>
      <c r="S138" s="183"/>
      <c r="T138" s="183"/>
      <c r="U138" s="183"/>
      <c r="V138" s="202"/>
      <c r="W138" s="183"/>
      <c r="X138" s="5"/>
    </row>
    <row r="139" spans="1:24" ht="15.75" x14ac:dyDescent="0.25">
      <c r="A139" s="285"/>
      <c r="B139" s="286" t="s">
        <v>43</v>
      </c>
      <c r="C139" s="286"/>
      <c r="D139" s="286"/>
      <c r="E139" s="286"/>
      <c r="F139" s="286"/>
      <c r="G139" s="286"/>
      <c r="H139" s="286"/>
      <c r="I139" s="286"/>
      <c r="J139" s="286"/>
      <c r="K139" s="286"/>
      <c r="L139" s="286"/>
      <c r="M139" s="286"/>
      <c r="N139" s="286"/>
      <c r="O139" s="286"/>
      <c r="P139" s="286"/>
      <c r="Q139" s="286"/>
      <c r="R139" s="286"/>
      <c r="S139" s="286"/>
      <c r="T139" s="286"/>
      <c r="U139" s="286"/>
      <c r="V139" s="338">
        <f>+V34*0.019</f>
        <v>19021.526999999998</v>
      </c>
      <c r="W139" s="289"/>
      <c r="X139" s="5"/>
    </row>
    <row r="140" spans="1:24" ht="15.75" x14ac:dyDescent="0.25">
      <c r="A140" s="285"/>
      <c r="B140" s="286" t="s">
        <v>44</v>
      </c>
      <c r="C140" s="286"/>
      <c r="D140" s="286"/>
      <c r="E140" s="286"/>
      <c r="F140" s="286"/>
      <c r="G140" s="286"/>
      <c r="H140" s="286"/>
      <c r="I140" s="286"/>
      <c r="J140" s="286"/>
      <c r="K140" s="286"/>
      <c r="L140" s="286"/>
      <c r="M140" s="286"/>
      <c r="N140" s="286"/>
      <c r="O140" s="286"/>
      <c r="P140" s="286"/>
      <c r="Q140" s="286"/>
      <c r="R140" s="286"/>
      <c r="S140" s="286"/>
      <c r="T140" s="286"/>
      <c r="U140" s="286"/>
      <c r="V140" s="338">
        <v>19022</v>
      </c>
      <c r="W140" s="289"/>
      <c r="X140" s="5"/>
    </row>
    <row r="141" spans="1:24" ht="15.75" x14ac:dyDescent="0.25">
      <c r="A141" s="285"/>
      <c r="B141" s="286" t="s">
        <v>136</v>
      </c>
      <c r="C141" s="286"/>
      <c r="D141" s="286"/>
      <c r="E141" s="286"/>
      <c r="F141" s="286"/>
      <c r="G141" s="286"/>
      <c r="H141" s="286"/>
      <c r="I141" s="286"/>
      <c r="J141" s="286"/>
      <c r="K141" s="286"/>
      <c r="L141" s="286"/>
      <c r="M141" s="286"/>
      <c r="N141" s="286"/>
      <c r="O141" s="286"/>
      <c r="P141" s="286"/>
      <c r="Q141" s="286"/>
      <c r="R141" s="286"/>
      <c r="S141" s="286"/>
      <c r="T141" s="286"/>
      <c r="U141" s="286"/>
      <c r="V141" s="338"/>
      <c r="W141" s="289"/>
      <c r="X141" s="5"/>
    </row>
    <row r="142" spans="1:24" ht="15.75" x14ac:dyDescent="0.25">
      <c r="A142" s="285"/>
      <c r="B142" s="286" t="s">
        <v>123</v>
      </c>
      <c r="C142" s="286"/>
      <c r="D142" s="286"/>
      <c r="E142" s="286"/>
      <c r="F142" s="286"/>
      <c r="G142" s="286"/>
      <c r="H142" s="286"/>
      <c r="I142" s="286"/>
      <c r="J142" s="286"/>
      <c r="K142" s="286"/>
      <c r="L142" s="286"/>
      <c r="M142" s="286"/>
      <c r="N142" s="286"/>
      <c r="O142" s="286"/>
      <c r="P142" s="286"/>
      <c r="Q142" s="286"/>
      <c r="R142" s="286"/>
      <c r="S142" s="286"/>
      <c r="T142" s="286"/>
      <c r="U142" s="286"/>
      <c r="V142" s="338">
        <v>0</v>
      </c>
      <c r="W142" s="289"/>
      <c r="X142" s="5"/>
    </row>
    <row r="143" spans="1:24" ht="15.75" x14ac:dyDescent="0.25">
      <c r="A143" s="285"/>
      <c r="B143" s="286" t="s">
        <v>124</v>
      </c>
      <c r="C143" s="286"/>
      <c r="D143" s="286"/>
      <c r="E143" s="286"/>
      <c r="F143" s="286"/>
      <c r="G143" s="286"/>
      <c r="H143" s="286"/>
      <c r="I143" s="286"/>
      <c r="J143" s="286"/>
      <c r="K143" s="286"/>
      <c r="L143" s="286"/>
      <c r="M143" s="286"/>
      <c r="N143" s="286"/>
      <c r="O143" s="286"/>
      <c r="P143" s="286"/>
      <c r="Q143" s="286"/>
      <c r="R143" s="286"/>
      <c r="S143" s="286"/>
      <c r="T143" s="286"/>
      <c r="U143" s="286"/>
      <c r="V143" s="338">
        <v>0</v>
      </c>
      <c r="W143" s="289"/>
      <c r="X143" s="5"/>
    </row>
    <row r="144" spans="1:24" ht="15.75" x14ac:dyDescent="0.25">
      <c r="A144" s="285"/>
      <c r="B144" s="286" t="s">
        <v>175</v>
      </c>
      <c r="C144" s="286"/>
      <c r="D144" s="286"/>
      <c r="E144" s="286"/>
      <c r="F144" s="286"/>
      <c r="G144" s="286"/>
      <c r="H144" s="286"/>
      <c r="I144" s="286"/>
      <c r="J144" s="286"/>
      <c r="K144" s="286"/>
      <c r="L144" s="286"/>
      <c r="M144" s="286"/>
      <c r="N144" s="286"/>
      <c r="O144" s="286"/>
      <c r="P144" s="286"/>
      <c r="Q144" s="286"/>
      <c r="R144" s="286"/>
      <c r="S144" s="286"/>
      <c r="T144" s="286"/>
      <c r="U144" s="286"/>
      <c r="V144" s="338">
        <v>0</v>
      </c>
      <c r="W144" s="289"/>
      <c r="X144" s="5"/>
    </row>
    <row r="145" spans="1:25" ht="15.75" x14ac:dyDescent="0.25">
      <c r="A145" s="285"/>
      <c r="B145" s="286" t="s">
        <v>45</v>
      </c>
      <c r="C145" s="286"/>
      <c r="D145" s="286"/>
      <c r="E145" s="286"/>
      <c r="F145" s="286"/>
      <c r="G145" s="286"/>
      <c r="H145" s="286"/>
      <c r="I145" s="286"/>
      <c r="J145" s="286"/>
      <c r="K145" s="286"/>
      <c r="L145" s="286"/>
      <c r="M145" s="286"/>
      <c r="N145" s="286"/>
      <c r="O145" s="286"/>
      <c r="P145" s="286"/>
      <c r="Q145" s="286"/>
      <c r="R145" s="286"/>
      <c r="S145" s="286"/>
      <c r="T145" s="286"/>
      <c r="U145" s="286"/>
      <c r="V145" s="338">
        <v>0</v>
      </c>
      <c r="W145" s="289"/>
      <c r="X145" s="5"/>
    </row>
    <row r="146" spans="1:25" ht="15.75" x14ac:dyDescent="0.25">
      <c r="A146" s="285"/>
      <c r="B146" s="286" t="s">
        <v>129</v>
      </c>
      <c r="C146" s="286"/>
      <c r="D146" s="286"/>
      <c r="E146" s="286"/>
      <c r="F146" s="286"/>
      <c r="G146" s="286"/>
      <c r="H146" s="286"/>
      <c r="I146" s="286"/>
      <c r="J146" s="286"/>
      <c r="K146" s="286"/>
      <c r="L146" s="286"/>
      <c r="M146" s="286"/>
      <c r="N146" s="286"/>
      <c r="O146" s="286"/>
      <c r="P146" s="286"/>
      <c r="Q146" s="286"/>
      <c r="R146" s="286"/>
      <c r="S146" s="286"/>
      <c r="T146" s="286"/>
      <c r="U146" s="286"/>
      <c r="V146" s="338">
        <v>0</v>
      </c>
      <c r="W146" s="289"/>
      <c r="X146" s="5"/>
    </row>
    <row r="147" spans="1:25" ht="15.75" x14ac:dyDescent="0.25">
      <c r="A147" s="285"/>
      <c r="B147" s="286" t="s">
        <v>241</v>
      </c>
      <c r="C147" s="286"/>
      <c r="D147" s="286"/>
      <c r="E147" s="286"/>
      <c r="F147" s="286"/>
      <c r="G147" s="286"/>
      <c r="H147" s="286"/>
      <c r="I147" s="286"/>
      <c r="J147" s="286"/>
      <c r="K147" s="286"/>
      <c r="L147" s="286"/>
      <c r="M147" s="286"/>
      <c r="N147" s="286"/>
      <c r="O147" s="286"/>
      <c r="P147" s="286"/>
      <c r="Q147" s="286"/>
      <c r="R147" s="286"/>
      <c r="S147" s="286"/>
      <c r="T147" s="286"/>
      <c r="U147" s="286"/>
      <c r="V147" s="338">
        <v>0</v>
      </c>
      <c r="W147" s="289"/>
      <c r="X147" s="5"/>
      <c r="Y147" s="109"/>
    </row>
    <row r="148" spans="1:25" ht="15.75" x14ac:dyDescent="0.25">
      <c r="A148" s="285"/>
      <c r="B148" s="286" t="s">
        <v>46</v>
      </c>
      <c r="C148" s="286"/>
      <c r="D148" s="286"/>
      <c r="E148" s="286"/>
      <c r="F148" s="286"/>
      <c r="G148" s="286"/>
      <c r="H148" s="286"/>
      <c r="I148" s="286"/>
      <c r="J148" s="286"/>
      <c r="K148" s="286"/>
      <c r="L148" s="286"/>
      <c r="M148" s="286"/>
      <c r="N148" s="286"/>
      <c r="O148" s="286"/>
      <c r="P148" s="286"/>
      <c r="Q148" s="286"/>
      <c r="R148" s="286"/>
      <c r="S148" s="286"/>
      <c r="T148" s="286"/>
      <c r="U148" s="286"/>
      <c r="V148" s="338">
        <f>SUM(V140:V147)</f>
        <v>19022</v>
      </c>
      <c r="W148" s="289"/>
      <c r="X148" s="5"/>
    </row>
    <row r="149" spans="1:25" ht="15.75" x14ac:dyDescent="0.25">
      <c r="A149" s="285"/>
      <c r="B149" s="314"/>
      <c r="C149" s="314"/>
      <c r="D149" s="314"/>
      <c r="E149" s="314"/>
      <c r="F149" s="314"/>
      <c r="G149" s="314"/>
      <c r="H149" s="314"/>
      <c r="I149" s="314"/>
      <c r="J149" s="314"/>
      <c r="K149" s="314"/>
      <c r="L149" s="314"/>
      <c r="M149" s="314"/>
      <c r="N149" s="314"/>
      <c r="O149" s="314"/>
      <c r="P149" s="314"/>
      <c r="Q149" s="314"/>
      <c r="R149" s="314"/>
      <c r="S149" s="314"/>
      <c r="T149" s="314"/>
      <c r="U149" s="314"/>
      <c r="V149" s="345"/>
      <c r="W149" s="318"/>
      <c r="X149" s="5"/>
    </row>
    <row r="150" spans="1:25" ht="15.75" x14ac:dyDescent="0.25">
      <c r="A150" s="285"/>
      <c r="B150" s="342" t="s">
        <v>269</v>
      </c>
      <c r="C150" s="314"/>
      <c r="D150" s="314"/>
      <c r="E150" s="314"/>
      <c r="F150" s="314"/>
      <c r="G150" s="314"/>
      <c r="H150" s="314"/>
      <c r="I150" s="314"/>
      <c r="J150" s="314"/>
      <c r="K150" s="314"/>
      <c r="L150" s="314"/>
      <c r="M150" s="314"/>
      <c r="N150" s="314"/>
      <c r="O150" s="314"/>
      <c r="P150" s="314"/>
      <c r="Q150" s="314"/>
      <c r="R150" s="314"/>
      <c r="S150" s="314"/>
      <c r="T150" s="314"/>
      <c r="U150" s="314"/>
      <c r="V150" s="345"/>
      <c r="W150" s="318"/>
      <c r="X150" s="5"/>
    </row>
    <row r="151" spans="1:25" ht="15.75" x14ac:dyDescent="0.25">
      <c r="A151" s="285"/>
      <c r="B151" s="286" t="s">
        <v>155</v>
      </c>
      <c r="C151" s="286"/>
      <c r="D151" s="286"/>
      <c r="E151" s="286"/>
      <c r="F151" s="286"/>
      <c r="G151" s="286"/>
      <c r="H151" s="286"/>
      <c r="I151" s="286"/>
      <c r="J151" s="286"/>
      <c r="K151" s="286"/>
      <c r="L151" s="286"/>
      <c r="M151" s="286"/>
      <c r="N151" s="286"/>
      <c r="O151" s="286"/>
      <c r="P151" s="286"/>
      <c r="Q151" s="286"/>
      <c r="R151" s="286"/>
      <c r="S151" s="286"/>
      <c r="T151" s="286"/>
      <c r="U151" s="286"/>
      <c r="V151" s="338">
        <v>0</v>
      </c>
      <c r="W151" s="289"/>
      <c r="X151" s="5"/>
    </row>
    <row r="152" spans="1:25" ht="15.75" x14ac:dyDescent="0.25">
      <c r="A152" s="285"/>
      <c r="B152" s="286" t="s">
        <v>172</v>
      </c>
      <c r="C152" s="286"/>
      <c r="D152" s="286"/>
      <c r="E152" s="286"/>
      <c r="F152" s="286"/>
      <c r="G152" s="286"/>
      <c r="H152" s="286"/>
      <c r="I152" s="286"/>
      <c r="J152" s="286"/>
      <c r="K152" s="286"/>
      <c r="L152" s="286"/>
      <c r="M152" s="286"/>
      <c r="N152" s="286"/>
      <c r="O152" s="286"/>
      <c r="P152" s="286"/>
      <c r="Q152" s="286"/>
      <c r="R152" s="286"/>
      <c r="S152" s="286"/>
      <c r="T152" s="286"/>
      <c r="U152" s="286"/>
      <c r="V152" s="338">
        <v>0</v>
      </c>
      <c r="W152" s="289"/>
      <c r="X152" s="5"/>
    </row>
    <row r="153" spans="1:25" ht="15.75" x14ac:dyDescent="0.25">
      <c r="A153" s="285"/>
      <c r="B153" s="286" t="s">
        <v>226</v>
      </c>
      <c r="C153" s="286"/>
      <c r="D153" s="286"/>
      <c r="E153" s="286"/>
      <c r="F153" s="286"/>
      <c r="G153" s="286"/>
      <c r="H153" s="286"/>
      <c r="I153" s="286"/>
      <c r="J153" s="286"/>
      <c r="K153" s="286"/>
      <c r="L153" s="286"/>
      <c r="M153" s="286"/>
      <c r="N153" s="286"/>
      <c r="O153" s="286"/>
      <c r="P153" s="286"/>
      <c r="Q153" s="286"/>
      <c r="R153" s="286"/>
      <c r="S153" s="286"/>
      <c r="T153" s="286"/>
      <c r="U153" s="286"/>
      <c r="V153" s="338">
        <v>0</v>
      </c>
      <c r="W153" s="289"/>
      <c r="X153" s="5"/>
    </row>
    <row r="154" spans="1:25" ht="15.75" x14ac:dyDescent="0.25">
      <c r="A154" s="285"/>
      <c r="B154" s="314"/>
      <c r="C154" s="314"/>
      <c r="D154" s="314"/>
      <c r="E154" s="314"/>
      <c r="F154" s="314"/>
      <c r="G154" s="314"/>
      <c r="H154" s="314"/>
      <c r="I154" s="314"/>
      <c r="J154" s="314"/>
      <c r="K154" s="314"/>
      <c r="L154" s="314"/>
      <c r="M154" s="314"/>
      <c r="N154" s="314"/>
      <c r="O154" s="314"/>
      <c r="P154" s="314"/>
      <c r="Q154" s="314"/>
      <c r="R154" s="314"/>
      <c r="S154" s="314"/>
      <c r="T154" s="314"/>
      <c r="U154" s="314"/>
      <c r="V154" s="345"/>
      <c r="W154" s="318"/>
      <c r="X154" s="5"/>
    </row>
    <row r="155" spans="1:25" ht="15.75" x14ac:dyDescent="0.25">
      <c r="A155" s="181"/>
      <c r="B155" s="212"/>
      <c r="C155" s="212"/>
      <c r="D155" s="212"/>
      <c r="E155" s="212"/>
      <c r="F155" s="212"/>
      <c r="G155" s="212"/>
      <c r="H155" s="212"/>
      <c r="I155" s="212"/>
      <c r="J155" s="212"/>
      <c r="K155" s="212"/>
      <c r="L155" s="212"/>
      <c r="M155" s="212"/>
      <c r="N155" s="212"/>
      <c r="O155" s="212"/>
      <c r="P155" s="212"/>
      <c r="Q155" s="212"/>
      <c r="R155" s="212"/>
      <c r="S155" s="212"/>
      <c r="T155" s="212"/>
      <c r="U155" s="212"/>
      <c r="V155" s="344"/>
      <c r="W155" s="212"/>
      <c r="X155" s="5"/>
    </row>
    <row r="156" spans="1:25" ht="15.75" x14ac:dyDescent="0.25">
      <c r="A156" s="181"/>
      <c r="B156" s="210" t="s">
        <v>24</v>
      </c>
      <c r="C156" s="183"/>
      <c r="D156" s="183"/>
      <c r="E156" s="183"/>
      <c r="F156" s="183"/>
      <c r="G156" s="183"/>
      <c r="H156" s="183"/>
      <c r="I156" s="183"/>
      <c r="J156" s="183"/>
      <c r="K156" s="183"/>
      <c r="L156" s="183"/>
      <c r="M156" s="183"/>
      <c r="N156" s="183"/>
      <c r="O156" s="183"/>
      <c r="P156" s="183"/>
      <c r="Q156" s="183"/>
      <c r="R156" s="183"/>
      <c r="S156" s="183"/>
      <c r="T156" s="183"/>
      <c r="U156" s="183"/>
      <c r="V156" s="202"/>
      <c r="W156" s="183"/>
      <c r="X156" s="5"/>
    </row>
    <row r="157" spans="1:25" ht="15.75" x14ac:dyDescent="0.25">
      <c r="A157" s="285"/>
      <c r="B157" s="286" t="s">
        <v>47</v>
      </c>
      <c r="C157" s="286"/>
      <c r="D157" s="286"/>
      <c r="E157" s="286"/>
      <c r="F157" s="286"/>
      <c r="G157" s="286"/>
      <c r="H157" s="286"/>
      <c r="I157" s="286"/>
      <c r="J157" s="286"/>
      <c r="K157" s="286"/>
      <c r="L157" s="286"/>
      <c r="M157" s="286"/>
      <c r="N157" s="286"/>
      <c r="O157" s="286"/>
      <c r="P157" s="286"/>
      <c r="Q157" s="286"/>
      <c r="R157" s="286"/>
      <c r="S157" s="286"/>
      <c r="T157" s="286"/>
      <c r="U157" s="286"/>
      <c r="V157" s="343" t="s">
        <v>118</v>
      </c>
      <c r="W157" s="318"/>
      <c r="X157" s="5"/>
    </row>
    <row r="158" spans="1:25" ht="15.75" x14ac:dyDescent="0.25">
      <c r="A158" s="285"/>
      <c r="B158" s="286" t="s">
        <v>48</v>
      </c>
      <c r="C158" s="288"/>
      <c r="D158" s="288"/>
      <c r="E158" s="288"/>
      <c r="F158" s="288"/>
      <c r="G158" s="288"/>
      <c r="H158" s="288"/>
      <c r="I158" s="288"/>
      <c r="J158" s="288"/>
      <c r="K158" s="288"/>
      <c r="L158" s="288"/>
      <c r="M158" s="288"/>
      <c r="N158" s="288"/>
      <c r="O158" s="288"/>
      <c r="P158" s="288"/>
      <c r="Q158" s="288"/>
      <c r="R158" s="288"/>
      <c r="S158" s="288"/>
      <c r="T158" s="288"/>
      <c r="U158" s="288"/>
      <c r="V158" s="343" t="s">
        <v>118</v>
      </c>
      <c r="W158" s="318"/>
      <c r="X158" s="5"/>
    </row>
    <row r="159" spans="1:25" ht="15.75" x14ac:dyDescent="0.25">
      <c r="A159" s="285"/>
      <c r="B159" s="286" t="s">
        <v>49</v>
      </c>
      <c r="C159" s="286"/>
      <c r="D159" s="286"/>
      <c r="E159" s="286"/>
      <c r="F159" s="286"/>
      <c r="G159" s="286"/>
      <c r="H159" s="286"/>
      <c r="I159" s="286"/>
      <c r="J159" s="286"/>
      <c r="K159" s="286"/>
      <c r="L159" s="286"/>
      <c r="M159" s="286"/>
      <c r="N159" s="286"/>
      <c r="O159" s="286"/>
      <c r="P159" s="286"/>
      <c r="Q159" s="286"/>
      <c r="R159" s="286"/>
      <c r="S159" s="286"/>
      <c r="T159" s="286"/>
      <c r="U159" s="286"/>
      <c r="V159" s="343" t="s">
        <v>118</v>
      </c>
      <c r="W159" s="318"/>
      <c r="X159" s="5"/>
    </row>
    <row r="160" spans="1:25" ht="15.75" x14ac:dyDescent="0.25">
      <c r="A160" s="285"/>
      <c r="B160" s="286" t="s">
        <v>50</v>
      </c>
      <c r="C160" s="286"/>
      <c r="D160" s="286"/>
      <c r="E160" s="286"/>
      <c r="F160" s="286"/>
      <c r="G160" s="286"/>
      <c r="H160" s="286"/>
      <c r="I160" s="286"/>
      <c r="J160" s="286"/>
      <c r="K160" s="286"/>
      <c r="L160" s="286"/>
      <c r="M160" s="286"/>
      <c r="N160" s="286"/>
      <c r="O160" s="286"/>
      <c r="P160" s="286"/>
      <c r="Q160" s="286"/>
      <c r="R160" s="286"/>
      <c r="S160" s="286"/>
      <c r="T160" s="286"/>
      <c r="U160" s="286"/>
      <c r="V160" s="343" t="s">
        <v>118</v>
      </c>
      <c r="W160" s="318"/>
      <c r="X160" s="5"/>
    </row>
    <row r="161" spans="1:256" ht="15.75" x14ac:dyDescent="0.25">
      <c r="A161" s="181"/>
      <c r="B161" s="212"/>
      <c r="C161" s="212"/>
      <c r="D161" s="212"/>
      <c r="E161" s="212"/>
      <c r="F161" s="212"/>
      <c r="G161" s="212"/>
      <c r="H161" s="212"/>
      <c r="I161" s="212"/>
      <c r="J161" s="212"/>
      <c r="K161" s="212"/>
      <c r="L161" s="212"/>
      <c r="M161" s="212"/>
      <c r="N161" s="212"/>
      <c r="O161" s="212"/>
      <c r="P161" s="212"/>
      <c r="Q161" s="212"/>
      <c r="R161" s="212"/>
      <c r="S161" s="212"/>
      <c r="T161" s="212"/>
      <c r="U161" s="212"/>
      <c r="V161" s="344"/>
      <c r="W161" s="212"/>
      <c r="X161" s="5"/>
    </row>
    <row r="162" spans="1:256" ht="15.75" x14ac:dyDescent="0.25">
      <c r="A162" s="181"/>
      <c r="B162" s="210" t="s">
        <v>51</v>
      </c>
      <c r="C162" s="183"/>
      <c r="D162" s="183"/>
      <c r="E162" s="183"/>
      <c r="F162" s="183"/>
      <c r="G162" s="183"/>
      <c r="H162" s="183"/>
      <c r="I162" s="183"/>
      <c r="J162" s="183"/>
      <c r="K162" s="183"/>
      <c r="L162" s="183"/>
      <c r="M162" s="183"/>
      <c r="N162" s="183"/>
      <c r="O162" s="183"/>
      <c r="P162" s="183"/>
      <c r="Q162" s="183"/>
      <c r="R162" s="183"/>
      <c r="S162" s="183"/>
      <c r="T162" s="183"/>
      <c r="U162" s="183"/>
      <c r="V162" s="211"/>
      <c r="W162" s="183"/>
      <c r="X162" s="5"/>
    </row>
    <row r="163" spans="1:256" ht="15.75" x14ac:dyDescent="0.25">
      <c r="A163" s="285"/>
      <c r="B163" s="286" t="s">
        <v>52</v>
      </c>
      <c r="C163" s="286"/>
      <c r="D163" s="286"/>
      <c r="E163" s="286"/>
      <c r="F163" s="286"/>
      <c r="G163" s="286"/>
      <c r="H163" s="286"/>
      <c r="I163" s="286"/>
      <c r="J163" s="286"/>
      <c r="K163" s="286"/>
      <c r="L163" s="286"/>
      <c r="M163" s="286"/>
      <c r="N163" s="286"/>
      <c r="O163" s="286"/>
      <c r="P163" s="286"/>
      <c r="Q163" s="286"/>
      <c r="R163" s="286"/>
      <c r="S163" s="286"/>
      <c r="T163" s="286"/>
      <c r="U163" s="286"/>
      <c r="V163" s="338">
        <v>0</v>
      </c>
      <c r="W163" s="289"/>
      <c r="X163" s="5"/>
    </row>
    <row r="164" spans="1:256" ht="15.75" x14ac:dyDescent="0.25">
      <c r="A164" s="285"/>
      <c r="B164" s="286" t="s">
        <v>53</v>
      </c>
      <c r="C164" s="286"/>
      <c r="D164" s="286"/>
      <c r="E164" s="286"/>
      <c r="F164" s="286"/>
      <c r="G164" s="286"/>
      <c r="H164" s="286"/>
      <c r="I164" s="286"/>
      <c r="J164" s="286"/>
      <c r="K164" s="286"/>
      <c r="L164" s="286"/>
      <c r="M164" s="286"/>
      <c r="N164" s="286"/>
      <c r="O164" s="286"/>
      <c r="P164" s="286"/>
      <c r="Q164" s="286"/>
      <c r="R164" s="286"/>
      <c r="S164" s="286"/>
      <c r="T164" s="286"/>
      <c r="U164" s="286"/>
      <c r="V164" s="338">
        <v>-147</v>
      </c>
      <c r="W164" s="289"/>
      <c r="X164" s="5"/>
    </row>
    <row r="165" spans="1:256" ht="15.75" x14ac:dyDescent="0.25">
      <c r="A165" s="285"/>
      <c r="B165" s="286" t="s">
        <v>54</v>
      </c>
      <c r="C165" s="286"/>
      <c r="D165" s="286"/>
      <c r="E165" s="286"/>
      <c r="F165" s="286"/>
      <c r="G165" s="286"/>
      <c r="H165" s="286"/>
      <c r="I165" s="286"/>
      <c r="J165" s="286"/>
      <c r="K165" s="286"/>
      <c r="L165" s="286"/>
      <c r="M165" s="286"/>
      <c r="N165" s="286"/>
      <c r="O165" s="286"/>
      <c r="P165" s="286"/>
      <c r="Q165" s="286"/>
      <c r="R165" s="286"/>
      <c r="S165" s="286"/>
      <c r="T165" s="286"/>
      <c r="U165" s="286"/>
      <c r="V165" s="338">
        <f>V164+V163</f>
        <v>-147</v>
      </c>
      <c r="W165" s="289"/>
      <c r="X165" s="5"/>
    </row>
    <row r="166" spans="1:256" ht="15.75" x14ac:dyDescent="0.25">
      <c r="A166" s="285"/>
      <c r="B166" s="286" t="s">
        <v>303</v>
      </c>
      <c r="C166" s="286"/>
      <c r="D166" s="286"/>
      <c r="E166" s="286"/>
      <c r="F166" s="286"/>
      <c r="G166" s="286"/>
      <c r="H166" s="286"/>
      <c r="I166" s="286"/>
      <c r="J166" s="286"/>
      <c r="K166" s="286"/>
      <c r="L166" s="286"/>
      <c r="M166" s="286"/>
      <c r="N166" s="286"/>
      <c r="O166" s="286"/>
      <c r="P166" s="286"/>
      <c r="Q166" s="286"/>
      <c r="R166" s="286"/>
      <c r="S166" s="286"/>
      <c r="T166" s="286"/>
      <c r="U166" s="286"/>
      <c r="V166" s="338">
        <f>V114</f>
        <v>147</v>
      </c>
      <c r="W166" s="289"/>
      <c r="X166" s="5"/>
    </row>
    <row r="167" spans="1:256" ht="15.75" x14ac:dyDescent="0.25">
      <c r="A167" s="285"/>
      <c r="B167" s="286" t="s">
        <v>55</v>
      </c>
      <c r="C167" s="286"/>
      <c r="D167" s="286"/>
      <c r="E167" s="286"/>
      <c r="F167" s="286"/>
      <c r="G167" s="286"/>
      <c r="H167" s="286"/>
      <c r="I167" s="286"/>
      <c r="J167" s="286"/>
      <c r="K167" s="286"/>
      <c r="L167" s="286"/>
      <c r="M167" s="286"/>
      <c r="N167" s="286"/>
      <c r="O167" s="286"/>
      <c r="P167" s="286"/>
      <c r="Q167" s="286"/>
      <c r="R167" s="286"/>
      <c r="S167" s="286"/>
      <c r="T167" s="286"/>
      <c r="U167" s="286"/>
      <c r="V167" s="338">
        <f>V165+V166</f>
        <v>0</v>
      </c>
      <c r="W167" s="289"/>
      <c r="X167" s="5"/>
    </row>
    <row r="168" spans="1:256" ht="15.75" x14ac:dyDescent="0.25">
      <c r="A168" s="285"/>
      <c r="B168" s="286" t="s">
        <v>274</v>
      </c>
      <c r="C168" s="286"/>
      <c r="D168" s="286"/>
      <c r="E168" s="286"/>
      <c r="F168" s="286"/>
      <c r="G168" s="286"/>
      <c r="H168" s="286"/>
      <c r="I168" s="286"/>
      <c r="J168" s="286"/>
      <c r="K168" s="286"/>
      <c r="L168" s="286"/>
      <c r="M168" s="286"/>
      <c r="N168" s="286"/>
      <c r="O168" s="286"/>
      <c r="P168" s="286"/>
      <c r="Q168" s="286"/>
      <c r="R168" s="286"/>
      <c r="S168" s="286"/>
      <c r="T168" s="286"/>
      <c r="U168" s="286"/>
      <c r="V168" s="338">
        <v>0</v>
      </c>
      <c r="W168" s="289"/>
      <c r="X168" s="5"/>
    </row>
    <row r="169" spans="1:256" ht="16.5" thickBot="1" x14ac:dyDescent="0.3">
      <c r="A169" s="181"/>
      <c r="B169" s="212"/>
      <c r="C169" s="212"/>
      <c r="D169" s="212"/>
      <c r="E169" s="212"/>
      <c r="F169" s="212"/>
      <c r="G169" s="212"/>
      <c r="H169" s="212"/>
      <c r="I169" s="212"/>
      <c r="J169" s="212"/>
      <c r="K169" s="212"/>
      <c r="L169" s="212"/>
      <c r="M169" s="212"/>
      <c r="N169" s="212"/>
      <c r="O169" s="212"/>
      <c r="P169" s="212"/>
      <c r="Q169" s="212"/>
      <c r="R169" s="212"/>
      <c r="S169" s="212"/>
      <c r="T169" s="212"/>
      <c r="U169" s="212"/>
      <c r="V169" s="344"/>
      <c r="W169" s="212"/>
      <c r="X169" s="5"/>
    </row>
    <row r="170" spans="1:256" ht="15.75" x14ac:dyDescent="0.25">
      <c r="A170" s="179"/>
      <c r="B170" s="180"/>
      <c r="C170" s="180"/>
      <c r="D170" s="180"/>
      <c r="E170" s="180"/>
      <c r="F170" s="180"/>
      <c r="G170" s="180"/>
      <c r="H170" s="180"/>
      <c r="I170" s="180"/>
      <c r="J170" s="180"/>
      <c r="K170" s="180"/>
      <c r="L170" s="180"/>
      <c r="M170" s="180"/>
      <c r="N170" s="180"/>
      <c r="O170" s="180"/>
      <c r="P170" s="180"/>
      <c r="Q170" s="180"/>
      <c r="R170" s="180"/>
      <c r="S170" s="180"/>
      <c r="T170" s="180"/>
      <c r="U170" s="180"/>
      <c r="V170" s="201"/>
      <c r="W170" s="180"/>
      <c r="X170" s="5"/>
    </row>
    <row r="171" spans="1:256" s="158" customFormat="1" ht="15.75" x14ac:dyDescent="0.25">
      <c r="A171" s="181"/>
      <c r="B171" s="210" t="s">
        <v>230</v>
      </c>
      <c r="C171" s="212"/>
      <c r="D171" s="212"/>
      <c r="E171" s="212"/>
      <c r="F171" s="212"/>
      <c r="G171" s="212"/>
      <c r="H171" s="212"/>
      <c r="I171" s="212"/>
      <c r="J171" s="212"/>
      <c r="K171" s="212"/>
      <c r="L171" s="212"/>
      <c r="M171" s="212"/>
      <c r="N171" s="212"/>
      <c r="O171" s="212"/>
      <c r="P171" s="212"/>
      <c r="Q171" s="212"/>
      <c r="R171" s="212"/>
      <c r="S171" s="212"/>
      <c r="T171" s="212"/>
      <c r="U171" s="212"/>
      <c r="V171" s="213"/>
      <c r="W171" s="212"/>
      <c r="X171" s="5"/>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s="160" customFormat="1" ht="15.75" x14ac:dyDescent="0.25">
      <c r="A172" s="285"/>
      <c r="B172" s="286" t="s">
        <v>231</v>
      </c>
      <c r="C172" s="286"/>
      <c r="D172" s="286"/>
      <c r="E172" s="286"/>
      <c r="F172" s="286"/>
      <c r="G172" s="286"/>
      <c r="H172" s="286"/>
      <c r="I172" s="286"/>
      <c r="J172" s="286"/>
      <c r="K172" s="286"/>
      <c r="L172" s="286"/>
      <c r="M172" s="286"/>
      <c r="N172" s="286"/>
      <c r="O172" s="286"/>
      <c r="P172" s="286"/>
      <c r="Q172" s="286"/>
      <c r="R172" s="286"/>
      <c r="S172" s="286"/>
      <c r="T172" s="286"/>
      <c r="U172" s="286"/>
      <c r="V172" s="338">
        <f>+'Aug 08'!V173</f>
        <v>0</v>
      </c>
      <c r="W172" s="289"/>
      <c r="X172" s="5"/>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s="160" customFormat="1" ht="15.75" x14ac:dyDescent="0.25">
      <c r="A173" s="285"/>
      <c r="B173" s="286" t="s">
        <v>234</v>
      </c>
      <c r="C173" s="286"/>
      <c r="D173" s="286"/>
      <c r="E173" s="286"/>
      <c r="F173" s="286"/>
      <c r="G173" s="286"/>
      <c r="H173" s="286"/>
      <c r="I173" s="286"/>
      <c r="J173" s="286"/>
      <c r="K173" s="286"/>
      <c r="L173" s="286"/>
      <c r="M173" s="286"/>
      <c r="N173" s="286"/>
      <c r="O173" s="286"/>
      <c r="P173" s="286"/>
      <c r="Q173" s="286"/>
      <c r="R173" s="286"/>
      <c r="S173" s="286"/>
      <c r="T173" s="286"/>
      <c r="U173" s="286"/>
      <c r="V173" s="338">
        <f>+V94</f>
        <v>0</v>
      </c>
      <c r="W173" s="289"/>
      <c r="X173" s="5"/>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s="160" customFormat="1" ht="15.75" x14ac:dyDescent="0.25">
      <c r="A174" s="285"/>
      <c r="B174" s="286" t="s">
        <v>232</v>
      </c>
      <c r="C174" s="286"/>
      <c r="D174" s="286"/>
      <c r="E174" s="286"/>
      <c r="F174" s="286"/>
      <c r="G174" s="286"/>
      <c r="H174" s="286"/>
      <c r="I174" s="286"/>
      <c r="J174" s="286"/>
      <c r="K174" s="286"/>
      <c r="L174" s="286"/>
      <c r="M174" s="286"/>
      <c r="N174" s="286"/>
      <c r="O174" s="286"/>
      <c r="P174" s="286"/>
      <c r="Q174" s="286"/>
      <c r="R174" s="286"/>
      <c r="S174" s="286"/>
      <c r="T174" s="286"/>
      <c r="U174" s="286"/>
      <c r="V174" s="338">
        <f>+V172-V173</f>
        <v>0</v>
      </c>
      <c r="W174" s="289"/>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6.5" thickBot="1" x14ac:dyDescent="0.3">
      <c r="A175" s="197"/>
      <c r="B175" s="212"/>
      <c r="C175" s="212"/>
      <c r="D175" s="212"/>
      <c r="E175" s="212"/>
      <c r="F175" s="212"/>
      <c r="G175" s="212"/>
      <c r="H175" s="212"/>
      <c r="I175" s="212"/>
      <c r="J175" s="212"/>
      <c r="K175" s="212"/>
      <c r="L175" s="212"/>
      <c r="M175" s="212"/>
      <c r="N175" s="212"/>
      <c r="O175" s="212"/>
      <c r="P175" s="212"/>
      <c r="Q175" s="212"/>
      <c r="R175" s="212"/>
      <c r="S175" s="212"/>
      <c r="T175" s="212"/>
      <c r="U175" s="212"/>
      <c r="V175" s="344"/>
      <c r="W175" s="212"/>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4" customFormat="1" ht="15.75" x14ac:dyDescent="0.25">
      <c r="A176" s="179"/>
      <c r="B176" s="180"/>
      <c r="C176" s="180"/>
      <c r="D176" s="180"/>
      <c r="E176" s="180"/>
      <c r="F176" s="180"/>
      <c r="G176" s="180"/>
      <c r="H176" s="180"/>
      <c r="I176" s="180"/>
      <c r="J176" s="180"/>
      <c r="K176" s="180"/>
      <c r="L176" s="180"/>
      <c r="M176" s="180"/>
      <c r="N176" s="180"/>
      <c r="O176" s="180"/>
      <c r="P176" s="180"/>
      <c r="Q176" s="180"/>
      <c r="R176" s="180"/>
      <c r="S176" s="180"/>
      <c r="T176" s="180"/>
      <c r="U176" s="180"/>
      <c r="V176" s="201"/>
      <c r="W176" s="180"/>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4" ht="15.75" x14ac:dyDescent="0.25">
      <c r="A177" s="181"/>
      <c r="B177" s="210" t="s">
        <v>56</v>
      </c>
      <c r="C177" s="183"/>
      <c r="D177" s="183"/>
      <c r="E177" s="183"/>
      <c r="F177" s="183"/>
      <c r="G177" s="183"/>
      <c r="H177" s="183"/>
      <c r="I177" s="183"/>
      <c r="J177" s="183"/>
      <c r="K177" s="183"/>
      <c r="L177" s="183"/>
      <c r="M177" s="183"/>
      <c r="N177" s="183"/>
      <c r="O177" s="183"/>
      <c r="P177" s="183"/>
      <c r="Q177" s="183"/>
      <c r="R177" s="183"/>
      <c r="S177" s="183"/>
      <c r="T177" s="183"/>
      <c r="U177" s="183"/>
      <c r="V177" s="202"/>
      <c r="W177" s="183"/>
      <c r="X177" s="5"/>
    </row>
    <row r="178" spans="1:24" ht="15.75" x14ac:dyDescent="0.25">
      <c r="A178" s="181"/>
      <c r="B178" s="191"/>
      <c r="C178" s="183"/>
      <c r="D178" s="183"/>
      <c r="E178" s="183"/>
      <c r="F178" s="183"/>
      <c r="G178" s="183"/>
      <c r="H178" s="183"/>
      <c r="I178" s="183"/>
      <c r="J178" s="183"/>
      <c r="K178" s="183"/>
      <c r="L178" s="183"/>
      <c r="M178" s="183"/>
      <c r="N178" s="183"/>
      <c r="O178" s="183"/>
      <c r="P178" s="183"/>
      <c r="Q178" s="183"/>
      <c r="R178" s="183"/>
      <c r="S178" s="183"/>
      <c r="T178" s="183"/>
      <c r="U178" s="183"/>
      <c r="V178" s="202"/>
      <c r="W178" s="183"/>
      <c r="X178" s="5"/>
    </row>
    <row r="179" spans="1:24" ht="15.75" x14ac:dyDescent="0.25">
      <c r="A179" s="285"/>
      <c r="B179" s="286" t="s">
        <v>57</v>
      </c>
      <c r="C179" s="286"/>
      <c r="D179" s="286"/>
      <c r="E179" s="286"/>
      <c r="F179" s="286"/>
      <c r="G179" s="286"/>
      <c r="H179" s="286"/>
      <c r="I179" s="286"/>
      <c r="J179" s="286"/>
      <c r="K179" s="286"/>
      <c r="L179" s="286"/>
      <c r="M179" s="286"/>
      <c r="N179" s="286"/>
      <c r="O179" s="286"/>
      <c r="P179" s="286"/>
      <c r="Q179" s="286"/>
      <c r="R179" s="286"/>
      <c r="S179" s="286"/>
      <c r="T179" s="286"/>
      <c r="U179" s="286"/>
      <c r="V179" s="338">
        <f>V71</f>
        <v>692657</v>
      </c>
      <c r="W179" s="289"/>
      <c r="X179" s="5"/>
    </row>
    <row r="180" spans="1:24" ht="15.75" x14ac:dyDescent="0.25">
      <c r="A180" s="285"/>
      <c r="B180" s="286" t="s">
        <v>58</v>
      </c>
      <c r="C180" s="286"/>
      <c r="D180" s="286"/>
      <c r="E180" s="286"/>
      <c r="F180" s="286"/>
      <c r="G180" s="286"/>
      <c r="H180" s="286"/>
      <c r="I180" s="286"/>
      <c r="J180" s="286"/>
      <c r="K180" s="286"/>
      <c r="L180" s="286"/>
      <c r="M180" s="286"/>
      <c r="N180" s="286"/>
      <c r="O180" s="286"/>
      <c r="P180" s="286"/>
      <c r="Q180" s="286"/>
      <c r="R180" s="286"/>
      <c r="S180" s="286"/>
      <c r="T180" s="286"/>
      <c r="U180" s="286"/>
      <c r="V180" s="338">
        <f>V84</f>
        <v>692657</v>
      </c>
      <c r="W180" s="289"/>
      <c r="X180" s="5"/>
    </row>
    <row r="181" spans="1:24" ht="16.5" thickBot="1" x14ac:dyDescent="0.3">
      <c r="A181" s="181"/>
      <c r="B181" s="212"/>
      <c r="C181" s="212"/>
      <c r="D181" s="212"/>
      <c r="E181" s="212"/>
      <c r="F181" s="212"/>
      <c r="G181" s="212"/>
      <c r="H181" s="212"/>
      <c r="I181" s="212"/>
      <c r="J181" s="212"/>
      <c r="K181" s="212"/>
      <c r="L181" s="212"/>
      <c r="M181" s="212"/>
      <c r="N181" s="212"/>
      <c r="O181" s="212"/>
      <c r="P181" s="212"/>
      <c r="Q181" s="212"/>
      <c r="R181" s="212"/>
      <c r="S181" s="212"/>
      <c r="T181" s="212"/>
      <c r="U181" s="212"/>
      <c r="V181" s="344"/>
      <c r="W181" s="212"/>
      <c r="X181" s="5"/>
    </row>
    <row r="182" spans="1:24" ht="15.75" x14ac:dyDescent="0.25">
      <c r="A182" s="179"/>
      <c r="B182" s="180"/>
      <c r="C182" s="180"/>
      <c r="D182" s="180"/>
      <c r="E182" s="180"/>
      <c r="F182" s="180"/>
      <c r="G182" s="180"/>
      <c r="H182" s="180"/>
      <c r="I182" s="180"/>
      <c r="J182" s="180"/>
      <c r="K182" s="180"/>
      <c r="L182" s="180"/>
      <c r="M182" s="180"/>
      <c r="N182" s="180"/>
      <c r="O182" s="180"/>
      <c r="P182" s="180"/>
      <c r="Q182" s="180"/>
      <c r="R182" s="180"/>
      <c r="S182" s="180"/>
      <c r="T182" s="180"/>
      <c r="U182" s="180"/>
      <c r="V182" s="201"/>
      <c r="W182" s="180"/>
      <c r="X182" s="5"/>
    </row>
    <row r="183" spans="1:24" ht="15.75" x14ac:dyDescent="0.25">
      <c r="A183" s="181"/>
      <c r="B183" s="210" t="s">
        <v>59</v>
      </c>
      <c r="C183" s="206"/>
      <c r="D183" s="206"/>
      <c r="E183" s="206"/>
      <c r="F183" s="206"/>
      <c r="G183" s="206"/>
      <c r="H183" s="214"/>
      <c r="I183" s="214"/>
      <c r="J183" s="214"/>
      <c r="K183" s="214"/>
      <c r="L183" s="214"/>
      <c r="M183" s="214"/>
      <c r="N183" s="214"/>
      <c r="O183" s="214"/>
      <c r="P183" s="214"/>
      <c r="Q183" s="214"/>
      <c r="R183" s="214"/>
      <c r="S183" s="214" t="s">
        <v>101</v>
      </c>
      <c r="T183" s="214" t="s">
        <v>176</v>
      </c>
      <c r="U183" s="185"/>
      <c r="V183" s="215" t="s">
        <v>114</v>
      </c>
      <c r="W183" s="216"/>
      <c r="X183" s="5"/>
    </row>
    <row r="184" spans="1:24" ht="15.75" x14ac:dyDescent="0.25">
      <c r="A184" s="285"/>
      <c r="B184" s="286" t="s">
        <v>60</v>
      </c>
      <c r="C184" s="286"/>
      <c r="D184" s="286"/>
      <c r="E184" s="286"/>
      <c r="F184" s="286"/>
      <c r="G184" s="286"/>
      <c r="H184" s="286"/>
      <c r="I184" s="286"/>
      <c r="J184" s="286"/>
      <c r="K184" s="286"/>
      <c r="L184" s="286"/>
      <c r="M184" s="286"/>
      <c r="N184" s="286"/>
      <c r="O184" s="286"/>
      <c r="P184" s="286"/>
      <c r="Q184" s="286"/>
      <c r="R184" s="286"/>
      <c r="S184" s="338">
        <f>+V34*0.16</f>
        <v>160181.28</v>
      </c>
      <c r="T184" s="325"/>
      <c r="U184" s="286"/>
      <c r="V184" s="338"/>
      <c r="W184" s="289"/>
      <c r="X184" s="5"/>
    </row>
    <row r="185" spans="1:24" ht="15.75" x14ac:dyDescent="0.25">
      <c r="A185" s="285"/>
      <c r="B185" s="286" t="s">
        <v>61</v>
      </c>
      <c r="C185" s="286"/>
      <c r="D185" s="286"/>
      <c r="E185" s="286"/>
      <c r="F185" s="286"/>
      <c r="G185" s="286"/>
      <c r="H185" s="286"/>
      <c r="I185" s="286"/>
      <c r="J185" s="286"/>
      <c r="K185" s="286"/>
      <c r="L185" s="286"/>
      <c r="M185" s="286"/>
      <c r="N185" s="286"/>
      <c r="O185" s="286"/>
      <c r="P185" s="286"/>
      <c r="Q185" s="286"/>
      <c r="R185" s="286"/>
      <c r="S185" s="338">
        <f>+'May 16'!S187</f>
        <v>12888</v>
      </c>
      <c r="T185" s="338">
        <f>+'May 16'!T187</f>
        <v>6095</v>
      </c>
      <c r="U185" s="286"/>
      <c r="V185" s="338">
        <f>S185+T185</f>
        <v>18983</v>
      </c>
      <c r="W185" s="289"/>
      <c r="X185" s="5"/>
    </row>
    <row r="186" spans="1:24" ht="15.75" x14ac:dyDescent="0.25">
      <c r="A186" s="285"/>
      <c r="B186" s="286" t="s">
        <v>62</v>
      </c>
      <c r="C186" s="286"/>
      <c r="D186" s="286"/>
      <c r="E186" s="286"/>
      <c r="F186" s="286"/>
      <c r="G186" s="286"/>
      <c r="H186" s="286"/>
      <c r="I186" s="286"/>
      <c r="J186" s="286"/>
      <c r="K186" s="286"/>
      <c r="L186" s="286"/>
      <c r="M186" s="286"/>
      <c r="N186" s="286"/>
      <c r="O186" s="286"/>
      <c r="P186" s="286"/>
      <c r="Q186" s="286"/>
      <c r="R186" s="286"/>
      <c r="S186" s="337">
        <f>53+37</f>
        <v>90</v>
      </c>
      <c r="T186" s="337">
        <v>0</v>
      </c>
      <c r="U186" s="286"/>
      <c r="V186" s="338">
        <f>S186+T186</f>
        <v>90</v>
      </c>
      <c r="W186" s="289"/>
      <c r="X186" s="5"/>
    </row>
    <row r="187" spans="1:24" ht="15.75" x14ac:dyDescent="0.25">
      <c r="A187" s="285"/>
      <c r="B187" s="286" t="s">
        <v>63</v>
      </c>
      <c r="C187" s="286"/>
      <c r="D187" s="286"/>
      <c r="E187" s="286"/>
      <c r="F187" s="286"/>
      <c r="G187" s="286"/>
      <c r="H187" s="286"/>
      <c r="I187" s="286"/>
      <c r="J187" s="286"/>
      <c r="K187" s="286"/>
      <c r="L187" s="286"/>
      <c r="M187" s="286"/>
      <c r="N187" s="286"/>
      <c r="O187" s="286"/>
      <c r="P187" s="286"/>
      <c r="Q187" s="286"/>
      <c r="R187" s="286"/>
      <c r="S187" s="338">
        <f>S185+S186</f>
        <v>12978</v>
      </c>
      <c r="T187" s="338">
        <f>T186+T185</f>
        <v>6095</v>
      </c>
      <c r="U187" s="286"/>
      <c r="V187" s="338">
        <f>S187+T187</f>
        <v>19073</v>
      </c>
      <c r="W187" s="289"/>
      <c r="X187" s="5"/>
    </row>
    <row r="188" spans="1:24" ht="15.75" x14ac:dyDescent="0.25">
      <c r="A188" s="285"/>
      <c r="B188" s="286" t="s">
        <v>64</v>
      </c>
      <c r="C188" s="286"/>
      <c r="D188" s="286"/>
      <c r="E188" s="286"/>
      <c r="F188" s="286"/>
      <c r="G188" s="286"/>
      <c r="H188" s="286"/>
      <c r="I188" s="286"/>
      <c r="J188" s="286"/>
      <c r="K188" s="286"/>
      <c r="L188" s="286"/>
      <c r="M188" s="286"/>
      <c r="N188" s="286"/>
      <c r="O188" s="286"/>
      <c r="P188" s="286"/>
      <c r="Q188" s="286"/>
      <c r="R188" s="286"/>
      <c r="S188" s="338">
        <f>S184-S187-T187</f>
        <v>141108.28</v>
      </c>
      <c r="T188" s="325"/>
      <c r="U188" s="286"/>
      <c r="V188" s="338"/>
      <c r="W188" s="289"/>
      <c r="X188" s="5"/>
    </row>
    <row r="189" spans="1:24" ht="16.5" thickBot="1" x14ac:dyDescent="0.3">
      <c r="A189" s="181"/>
      <c r="B189" s="212"/>
      <c r="C189" s="212"/>
      <c r="D189" s="212"/>
      <c r="E189" s="212"/>
      <c r="F189" s="212"/>
      <c r="G189" s="212"/>
      <c r="H189" s="212"/>
      <c r="I189" s="212"/>
      <c r="J189" s="212"/>
      <c r="K189" s="212"/>
      <c r="L189" s="212"/>
      <c r="M189" s="212"/>
      <c r="N189" s="212"/>
      <c r="O189" s="212"/>
      <c r="P189" s="212"/>
      <c r="Q189" s="212"/>
      <c r="R189" s="212"/>
      <c r="S189" s="212"/>
      <c r="T189" s="212"/>
      <c r="U189" s="212"/>
      <c r="V189" s="344"/>
      <c r="W189" s="212"/>
      <c r="X189" s="5"/>
    </row>
    <row r="190" spans="1:24" ht="15.75" x14ac:dyDescent="0.25">
      <c r="A190" s="179"/>
      <c r="B190" s="180"/>
      <c r="C190" s="180"/>
      <c r="D190" s="180"/>
      <c r="E190" s="180"/>
      <c r="F190" s="180"/>
      <c r="G190" s="180"/>
      <c r="H190" s="180"/>
      <c r="I190" s="180"/>
      <c r="J190" s="180"/>
      <c r="K190" s="180"/>
      <c r="L190" s="180"/>
      <c r="M190" s="180"/>
      <c r="N190" s="180"/>
      <c r="O190" s="180"/>
      <c r="P190" s="180"/>
      <c r="Q190" s="180"/>
      <c r="R190" s="180"/>
      <c r="S190" s="180"/>
      <c r="T190" s="180"/>
      <c r="U190" s="180"/>
      <c r="V190" s="201"/>
      <c r="W190" s="180"/>
      <c r="X190" s="5"/>
    </row>
    <row r="191" spans="1:24" ht="15.75" x14ac:dyDescent="0.25">
      <c r="A191" s="181"/>
      <c r="B191" s="210" t="s">
        <v>65</v>
      </c>
      <c r="C191" s="183"/>
      <c r="D191" s="183"/>
      <c r="E191" s="183"/>
      <c r="F191" s="183"/>
      <c r="G191" s="183"/>
      <c r="H191" s="183"/>
      <c r="I191" s="183"/>
      <c r="J191" s="183"/>
      <c r="K191" s="183"/>
      <c r="L191" s="183"/>
      <c r="M191" s="183"/>
      <c r="N191" s="183"/>
      <c r="O191" s="183"/>
      <c r="P191" s="183"/>
      <c r="Q191" s="183"/>
      <c r="R191" s="183"/>
      <c r="S191" s="183"/>
      <c r="T191" s="183"/>
      <c r="U191" s="183"/>
      <c r="V191" s="217"/>
      <c r="W191" s="183"/>
      <c r="X191" s="5"/>
    </row>
    <row r="192" spans="1:24" ht="15.75" x14ac:dyDescent="0.25">
      <c r="A192" s="285"/>
      <c r="B192" s="286" t="s">
        <v>66</v>
      </c>
      <c r="C192" s="286"/>
      <c r="D192" s="286"/>
      <c r="E192" s="286"/>
      <c r="F192" s="286"/>
      <c r="G192" s="286"/>
      <c r="H192" s="286"/>
      <c r="I192" s="286"/>
      <c r="J192" s="286"/>
      <c r="K192" s="286"/>
      <c r="L192" s="286"/>
      <c r="M192" s="286"/>
      <c r="N192" s="286"/>
      <c r="O192" s="286"/>
      <c r="P192" s="286"/>
      <c r="Q192" s="286"/>
      <c r="R192" s="286"/>
      <c r="S192" s="286"/>
      <c r="T192" s="286"/>
      <c r="U192" s="286"/>
      <c r="V192" s="343">
        <f>(V101+V103+V104+V105+V106)/-(V107+V108)</f>
        <v>3.997311827956989</v>
      </c>
      <c r="W192" s="289" t="s">
        <v>115</v>
      </c>
      <c r="X192" s="5"/>
    </row>
    <row r="193" spans="1:24" ht="15.75" x14ac:dyDescent="0.25">
      <c r="A193" s="285"/>
      <c r="B193" s="286" t="s">
        <v>67</v>
      </c>
      <c r="C193" s="286"/>
      <c r="D193" s="286"/>
      <c r="E193" s="286"/>
      <c r="F193" s="286"/>
      <c r="G193" s="286"/>
      <c r="H193" s="286"/>
      <c r="I193" s="286"/>
      <c r="J193" s="286"/>
      <c r="K193" s="286"/>
      <c r="L193" s="286"/>
      <c r="M193" s="286"/>
      <c r="N193" s="286"/>
      <c r="O193" s="286"/>
      <c r="P193" s="286"/>
      <c r="Q193" s="286"/>
      <c r="R193" s="286"/>
      <c r="S193" s="286"/>
      <c r="T193" s="286"/>
      <c r="U193" s="286"/>
      <c r="V193" s="347">
        <v>2.08</v>
      </c>
      <c r="W193" s="289" t="s">
        <v>115</v>
      </c>
      <c r="X193" s="5"/>
    </row>
    <row r="194" spans="1:24" ht="15.75" x14ac:dyDescent="0.25">
      <c r="A194" s="285"/>
      <c r="B194" s="286" t="s">
        <v>68</v>
      </c>
      <c r="C194" s="286"/>
      <c r="D194" s="286"/>
      <c r="E194" s="286"/>
      <c r="F194" s="286"/>
      <c r="G194" s="286"/>
      <c r="H194" s="286"/>
      <c r="I194" s="286"/>
      <c r="J194" s="286"/>
      <c r="K194" s="286"/>
      <c r="L194" s="286"/>
      <c r="M194" s="286"/>
      <c r="N194" s="286"/>
      <c r="O194" s="286"/>
      <c r="P194" s="286"/>
      <c r="Q194" s="286"/>
      <c r="R194" s="286"/>
      <c r="S194" s="286"/>
      <c r="T194" s="286"/>
      <c r="U194" s="286"/>
      <c r="V194" s="343">
        <f>(V101+V103+V104+V105+V106+V107+V108)/-(V109+V110)</f>
        <v>15.135746606334841</v>
      </c>
      <c r="W194" s="289" t="s">
        <v>115</v>
      </c>
      <c r="X194" s="5"/>
    </row>
    <row r="195" spans="1:24" ht="15.75" x14ac:dyDescent="0.25">
      <c r="A195" s="285"/>
      <c r="B195" s="286" t="s">
        <v>69</v>
      </c>
      <c r="C195" s="286"/>
      <c r="D195" s="286"/>
      <c r="E195" s="286"/>
      <c r="F195" s="286"/>
      <c r="G195" s="286"/>
      <c r="H195" s="286"/>
      <c r="I195" s="286"/>
      <c r="J195" s="286"/>
      <c r="K195" s="286"/>
      <c r="L195" s="286"/>
      <c r="M195" s="286"/>
      <c r="N195" s="286"/>
      <c r="O195" s="286"/>
      <c r="P195" s="286"/>
      <c r="Q195" s="286"/>
      <c r="R195" s="286"/>
      <c r="S195" s="286"/>
      <c r="T195" s="286"/>
      <c r="U195" s="286"/>
      <c r="V195" s="347">
        <v>9.48</v>
      </c>
      <c r="W195" s="289" t="s">
        <v>115</v>
      </c>
      <c r="X195" s="5"/>
    </row>
    <row r="196" spans="1:24" ht="15.75" x14ac:dyDescent="0.25">
      <c r="A196" s="285"/>
      <c r="B196" s="286" t="s">
        <v>198</v>
      </c>
      <c r="C196" s="286"/>
      <c r="D196" s="286"/>
      <c r="E196" s="286"/>
      <c r="F196" s="286"/>
      <c r="G196" s="286"/>
      <c r="H196" s="286"/>
      <c r="I196" s="286"/>
      <c r="J196" s="286"/>
      <c r="K196" s="286"/>
      <c r="L196" s="286"/>
      <c r="M196" s="286"/>
      <c r="N196" s="286"/>
      <c r="O196" s="286"/>
      <c r="P196" s="286"/>
      <c r="Q196" s="286"/>
      <c r="R196" s="286"/>
      <c r="S196" s="286"/>
      <c r="T196" s="286"/>
      <c r="U196" s="286"/>
      <c r="V196" s="343">
        <f>(V101+V103+V104+V105+V106+V107+V108+V109+V110)/-(V111)</f>
        <v>9.1612903225806459</v>
      </c>
      <c r="W196" s="289" t="s">
        <v>115</v>
      </c>
      <c r="X196" s="5"/>
    </row>
    <row r="197" spans="1:24" ht="15.75" x14ac:dyDescent="0.25">
      <c r="A197" s="285"/>
      <c r="B197" s="286" t="s">
        <v>199</v>
      </c>
      <c r="C197" s="286"/>
      <c r="D197" s="286"/>
      <c r="E197" s="286"/>
      <c r="F197" s="286"/>
      <c r="G197" s="286"/>
      <c r="H197" s="286"/>
      <c r="I197" s="286"/>
      <c r="J197" s="286"/>
      <c r="K197" s="286"/>
      <c r="L197" s="286"/>
      <c r="M197" s="286"/>
      <c r="N197" s="286"/>
      <c r="O197" s="286"/>
      <c r="P197" s="286"/>
      <c r="Q197" s="286"/>
      <c r="R197" s="286"/>
      <c r="S197" s="286"/>
      <c r="T197" s="286"/>
      <c r="U197" s="286"/>
      <c r="V197" s="347">
        <v>6.91</v>
      </c>
      <c r="W197" s="289" t="s">
        <v>115</v>
      </c>
      <c r="X197" s="5"/>
    </row>
    <row r="198" spans="1:24" ht="15.75" x14ac:dyDescent="0.25">
      <c r="A198" s="285"/>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9"/>
      <c r="X198" s="5"/>
    </row>
    <row r="199" spans="1:24" ht="15.75" x14ac:dyDescent="0.25">
      <c r="A199" s="181"/>
      <c r="B199" s="346"/>
      <c r="C199" s="346"/>
      <c r="D199" s="346"/>
      <c r="E199" s="346"/>
      <c r="F199" s="346"/>
      <c r="G199" s="346"/>
      <c r="H199" s="346"/>
      <c r="I199" s="346"/>
      <c r="J199" s="346"/>
      <c r="K199" s="346"/>
      <c r="L199" s="346"/>
      <c r="M199" s="346"/>
      <c r="N199" s="346"/>
      <c r="O199" s="346"/>
      <c r="P199" s="346"/>
      <c r="Q199" s="346"/>
      <c r="R199" s="346"/>
      <c r="S199" s="346"/>
      <c r="T199" s="346"/>
      <c r="U199" s="346"/>
      <c r="V199" s="346"/>
      <c r="W199" s="346"/>
      <c r="X199" s="5"/>
    </row>
    <row r="200" spans="1:24" ht="15.75" x14ac:dyDescent="0.25">
      <c r="A200" s="181"/>
      <c r="B200" s="255"/>
      <c r="C200" s="255"/>
      <c r="D200" s="255"/>
      <c r="E200" s="255"/>
      <c r="F200" s="255"/>
      <c r="G200" s="255"/>
      <c r="H200" s="255"/>
      <c r="I200" s="255"/>
      <c r="J200" s="255"/>
      <c r="K200" s="255"/>
      <c r="L200" s="255"/>
      <c r="M200" s="255"/>
      <c r="N200" s="255"/>
      <c r="O200" s="255"/>
      <c r="P200" s="255"/>
      <c r="Q200" s="255"/>
      <c r="R200" s="255"/>
      <c r="S200" s="255"/>
      <c r="T200" s="255"/>
      <c r="U200" s="255"/>
      <c r="V200" s="255"/>
      <c r="W200" s="255"/>
      <c r="X200" s="5"/>
    </row>
    <row r="201" spans="1:24" ht="19.5" thickBot="1" x14ac:dyDescent="0.35">
      <c r="A201" s="197"/>
      <c r="B201" s="270" t="str">
        <f>B135</f>
        <v>PM15 INVESTOR REPORT QUARTER ENDING AUGUST 2016</v>
      </c>
      <c r="C201" s="271"/>
      <c r="D201" s="271"/>
      <c r="E201" s="271"/>
      <c r="F201" s="271"/>
      <c r="G201" s="271"/>
      <c r="H201" s="271"/>
      <c r="I201" s="271"/>
      <c r="J201" s="271"/>
      <c r="K201" s="271"/>
      <c r="L201" s="271"/>
      <c r="M201" s="271"/>
      <c r="N201" s="271"/>
      <c r="O201" s="271"/>
      <c r="P201" s="271"/>
      <c r="Q201" s="271"/>
      <c r="R201" s="271"/>
      <c r="S201" s="271"/>
      <c r="T201" s="271"/>
      <c r="U201" s="271"/>
      <c r="V201" s="271"/>
      <c r="W201" s="272"/>
      <c r="X201" s="5"/>
    </row>
    <row r="202" spans="1:24" ht="15.75" x14ac:dyDescent="0.25">
      <c r="A202" s="236"/>
      <c r="B202" s="403" t="s">
        <v>70</v>
      </c>
      <c r="C202" s="404"/>
      <c r="D202" s="404"/>
      <c r="E202" s="404"/>
      <c r="F202" s="404"/>
      <c r="G202" s="405"/>
      <c r="H202" s="405"/>
      <c r="I202" s="405"/>
      <c r="J202" s="405"/>
      <c r="K202" s="405"/>
      <c r="L202" s="405"/>
      <c r="M202" s="405"/>
      <c r="N202" s="405"/>
      <c r="O202" s="405"/>
      <c r="P202" s="405"/>
      <c r="Q202" s="405"/>
      <c r="R202" s="405"/>
      <c r="S202" s="405"/>
      <c r="T202" s="405">
        <v>42613</v>
      </c>
      <c r="U202" s="238"/>
      <c r="V202" s="238"/>
      <c r="W202" s="238"/>
      <c r="X202" s="5"/>
    </row>
    <row r="203" spans="1:24" ht="15.75" x14ac:dyDescent="0.25">
      <c r="A203" s="218"/>
      <c r="B203" s="219"/>
      <c r="C203" s="220"/>
      <c r="D203" s="220"/>
      <c r="E203" s="220"/>
      <c r="F203" s="220"/>
      <c r="G203" s="221"/>
      <c r="H203" s="221"/>
      <c r="I203" s="221"/>
      <c r="J203" s="221"/>
      <c r="K203" s="221"/>
      <c r="L203" s="221"/>
      <c r="M203" s="221"/>
      <c r="N203" s="221"/>
      <c r="O203" s="221"/>
      <c r="P203" s="221"/>
      <c r="Q203" s="221"/>
      <c r="R203" s="221"/>
      <c r="S203" s="221"/>
      <c r="T203" s="221"/>
      <c r="U203" s="183"/>
      <c r="V203" s="183"/>
      <c r="W203" s="183"/>
      <c r="X203" s="5"/>
    </row>
    <row r="204" spans="1:24" ht="15.75" x14ac:dyDescent="0.25">
      <c r="A204" s="350"/>
      <c r="B204" s="286" t="s">
        <v>71</v>
      </c>
      <c r="C204" s="406"/>
      <c r="D204" s="406"/>
      <c r="E204" s="406"/>
      <c r="F204" s="406"/>
      <c r="G204" s="397"/>
      <c r="H204" s="397"/>
      <c r="I204" s="397"/>
      <c r="J204" s="397"/>
      <c r="K204" s="397"/>
      <c r="L204" s="397"/>
      <c r="M204" s="397"/>
      <c r="N204" s="397"/>
      <c r="O204" s="397"/>
      <c r="P204" s="397"/>
      <c r="Q204" s="397"/>
      <c r="R204" s="397"/>
      <c r="S204" s="397"/>
      <c r="T204" s="321">
        <v>5.3830000000000003E-2</v>
      </c>
      <c r="U204" s="286"/>
      <c r="V204" s="286"/>
      <c r="W204" s="289"/>
      <c r="X204" s="5"/>
    </row>
    <row r="205" spans="1:24" ht="15.75" x14ac:dyDescent="0.25">
      <c r="A205" s="350"/>
      <c r="B205" s="286" t="s">
        <v>151</v>
      </c>
      <c r="C205" s="406"/>
      <c r="D205" s="406"/>
      <c r="E205" s="406"/>
      <c r="F205" s="406"/>
      <c r="G205" s="397"/>
      <c r="H205" s="397"/>
      <c r="I205" s="397"/>
      <c r="J205" s="397"/>
      <c r="K205" s="397"/>
      <c r="L205" s="397"/>
      <c r="M205" s="397"/>
      <c r="N205" s="397"/>
      <c r="O205" s="397"/>
      <c r="P205" s="397"/>
      <c r="Q205" s="397"/>
      <c r="R205" s="397"/>
      <c r="S205" s="397"/>
      <c r="T205" s="321">
        <v>6.25E-2</v>
      </c>
      <c r="U205" s="286"/>
      <c r="V205" s="286"/>
      <c r="W205" s="289"/>
      <c r="X205" s="5"/>
    </row>
    <row r="206" spans="1:24" ht="15.75" x14ac:dyDescent="0.25">
      <c r="A206" s="350"/>
      <c r="B206" s="286" t="s">
        <v>72</v>
      </c>
      <c r="C206" s="406"/>
      <c r="D206" s="406"/>
      <c r="E206" s="406"/>
      <c r="F206" s="406"/>
      <c r="G206" s="397"/>
      <c r="H206" s="397"/>
      <c r="I206" s="397"/>
      <c r="J206" s="397"/>
      <c r="K206" s="397"/>
      <c r="L206" s="397"/>
      <c r="M206" s="397"/>
      <c r="N206" s="397"/>
      <c r="O206" s="397"/>
      <c r="P206" s="397"/>
      <c r="Q206" s="397"/>
      <c r="R206" s="397"/>
      <c r="S206" s="397"/>
      <c r="T206" s="321">
        <f>T204-T205</f>
        <v>-8.6699999999999972E-3</v>
      </c>
      <c r="U206" s="286"/>
      <c r="V206" s="286"/>
      <c r="W206" s="289"/>
      <c r="X206" s="5"/>
    </row>
    <row r="207" spans="1:24" ht="15.75" x14ac:dyDescent="0.25">
      <c r="A207" s="350"/>
      <c r="B207" s="286" t="s">
        <v>73</v>
      </c>
      <c r="C207" s="406"/>
      <c r="D207" s="406"/>
      <c r="E207" s="406"/>
      <c r="F207" s="406"/>
      <c r="G207" s="397"/>
      <c r="H207" s="397"/>
      <c r="I207" s="397"/>
      <c r="J207" s="397"/>
      <c r="K207" s="397"/>
      <c r="L207" s="397"/>
      <c r="M207" s="397"/>
      <c r="N207" s="397"/>
      <c r="O207" s="397"/>
      <c r="P207" s="397"/>
      <c r="Q207" s="397"/>
      <c r="R207" s="397"/>
      <c r="S207" s="397"/>
      <c r="T207" s="321">
        <v>2.5190000000000001E-2</v>
      </c>
      <c r="U207" s="286"/>
      <c r="V207" s="286"/>
      <c r="W207" s="289"/>
      <c r="X207" s="5"/>
    </row>
    <row r="208" spans="1:24" ht="15.75" x14ac:dyDescent="0.25">
      <c r="A208" s="350"/>
      <c r="B208" s="286" t="s">
        <v>218</v>
      </c>
      <c r="C208" s="406"/>
      <c r="D208" s="406"/>
      <c r="E208" s="406"/>
      <c r="F208" s="406"/>
      <c r="G208" s="397"/>
      <c r="H208" s="397"/>
      <c r="I208" s="397"/>
      <c r="J208" s="397"/>
      <c r="K208" s="397"/>
      <c r="L208" s="397"/>
      <c r="M208" s="397"/>
      <c r="N208" s="397"/>
      <c r="O208" s="397"/>
      <c r="P208" s="397"/>
      <c r="Q208" s="397"/>
      <c r="R208" s="397"/>
      <c r="S208" s="397"/>
      <c r="T208" s="321">
        <f>V43</f>
        <v>9.4592232864382786E-3</v>
      </c>
      <c r="U208" s="286"/>
      <c r="V208" s="286"/>
      <c r="W208" s="289"/>
      <c r="X208" s="5"/>
    </row>
    <row r="209" spans="1:24" ht="15.75" x14ac:dyDescent="0.25">
      <c r="A209" s="350"/>
      <c r="B209" s="286" t="s">
        <v>74</v>
      </c>
      <c r="C209" s="406"/>
      <c r="D209" s="406"/>
      <c r="E209" s="406"/>
      <c r="F209" s="406"/>
      <c r="G209" s="397"/>
      <c r="H209" s="397"/>
      <c r="I209" s="397"/>
      <c r="J209" s="397"/>
      <c r="K209" s="397"/>
      <c r="L209" s="397"/>
      <c r="M209" s="397"/>
      <c r="N209" s="397"/>
      <c r="O209" s="397"/>
      <c r="P209" s="397"/>
      <c r="Q209" s="397"/>
      <c r="R209" s="397"/>
      <c r="S209" s="397"/>
      <c r="T209" s="321">
        <f>T207-T208</f>
        <v>1.5730776713561722E-2</v>
      </c>
      <c r="U209" s="286"/>
      <c r="V209" s="286"/>
      <c r="W209" s="289"/>
      <c r="X209" s="5"/>
    </row>
    <row r="210" spans="1:24" ht="15.75" x14ac:dyDescent="0.25">
      <c r="A210" s="350"/>
      <c r="B210" s="286" t="s">
        <v>227</v>
      </c>
      <c r="C210" s="406"/>
      <c r="D210" s="406"/>
      <c r="E210" s="406"/>
      <c r="F210" s="406"/>
      <c r="G210" s="397"/>
      <c r="H210" s="397"/>
      <c r="I210" s="397"/>
      <c r="J210" s="397"/>
      <c r="K210" s="397"/>
      <c r="L210" s="397"/>
      <c r="M210" s="397"/>
      <c r="N210" s="397"/>
      <c r="O210" s="397"/>
      <c r="P210" s="397"/>
      <c r="Q210" s="397"/>
      <c r="R210" s="397"/>
      <c r="S210" s="397"/>
      <c r="T210" s="321">
        <f>V101/N71</f>
        <v>6.8709232758743201E-3</v>
      </c>
      <c r="U210" s="286"/>
      <c r="V210" s="286"/>
      <c r="W210" s="289"/>
      <c r="X210" s="5"/>
    </row>
    <row r="211" spans="1:24" ht="15.75" x14ac:dyDescent="0.25">
      <c r="A211" s="350"/>
      <c r="B211" s="286" t="s">
        <v>207</v>
      </c>
      <c r="C211" s="406"/>
      <c r="D211" s="406"/>
      <c r="E211" s="406"/>
      <c r="F211" s="406"/>
      <c r="G211" s="397"/>
      <c r="H211" s="397"/>
      <c r="I211" s="397"/>
      <c r="J211" s="397"/>
      <c r="K211" s="397"/>
      <c r="L211" s="397"/>
      <c r="M211" s="397"/>
      <c r="N211" s="397"/>
      <c r="O211" s="397"/>
      <c r="P211" s="397"/>
      <c r="Q211" s="397"/>
      <c r="R211" s="397"/>
      <c r="S211" s="397"/>
      <c r="T211" s="352">
        <v>51105</v>
      </c>
      <c r="U211" s="286"/>
      <c r="V211" s="286"/>
      <c r="W211" s="289"/>
      <c r="X211" s="5"/>
    </row>
    <row r="212" spans="1:24" ht="15.75" x14ac:dyDescent="0.25">
      <c r="A212" s="350"/>
      <c r="B212" s="286" t="s">
        <v>208</v>
      </c>
      <c r="C212" s="406"/>
      <c r="D212" s="406"/>
      <c r="E212" s="406"/>
      <c r="F212" s="406"/>
      <c r="G212" s="397"/>
      <c r="H212" s="397"/>
      <c r="I212" s="397"/>
      <c r="J212" s="397"/>
      <c r="K212" s="397"/>
      <c r="L212" s="397"/>
      <c r="M212" s="397"/>
      <c r="N212" s="397"/>
      <c r="O212" s="397"/>
      <c r="P212" s="397"/>
      <c r="Q212" s="397"/>
      <c r="R212" s="397"/>
      <c r="S212" s="397"/>
      <c r="T212" s="352">
        <v>51105</v>
      </c>
      <c r="U212" s="286"/>
      <c r="V212" s="286"/>
      <c r="W212" s="289"/>
      <c r="X212" s="5"/>
    </row>
    <row r="213" spans="1:24" ht="15.75" x14ac:dyDescent="0.25">
      <c r="A213" s="350"/>
      <c r="B213" s="286" t="s">
        <v>209</v>
      </c>
      <c r="C213" s="406"/>
      <c r="D213" s="406"/>
      <c r="E213" s="406"/>
      <c r="F213" s="406"/>
      <c r="G213" s="397"/>
      <c r="H213" s="397"/>
      <c r="I213" s="397"/>
      <c r="J213" s="397"/>
      <c r="K213" s="397"/>
      <c r="L213" s="397"/>
      <c r="M213" s="397"/>
      <c r="N213" s="397"/>
      <c r="O213" s="397"/>
      <c r="P213" s="397"/>
      <c r="Q213" s="397"/>
      <c r="R213" s="397"/>
      <c r="S213" s="397"/>
      <c r="T213" s="352">
        <v>51105</v>
      </c>
      <c r="U213" s="286"/>
      <c r="V213" s="286"/>
      <c r="W213" s="289"/>
      <c r="X213" s="5"/>
    </row>
    <row r="214" spans="1:24" ht="15.75" x14ac:dyDescent="0.25">
      <c r="A214" s="350"/>
      <c r="B214" s="286" t="s">
        <v>75</v>
      </c>
      <c r="C214" s="406"/>
      <c r="D214" s="406"/>
      <c r="E214" s="406"/>
      <c r="F214" s="406"/>
      <c r="G214" s="397"/>
      <c r="H214" s="397"/>
      <c r="I214" s="397"/>
      <c r="J214" s="397"/>
      <c r="K214" s="397"/>
      <c r="L214" s="397"/>
      <c r="M214" s="397"/>
      <c r="N214" s="397"/>
      <c r="O214" s="397"/>
      <c r="P214" s="397"/>
      <c r="Q214" s="397"/>
      <c r="R214" s="397"/>
      <c r="S214" s="397"/>
      <c r="T214" s="327">
        <v>21.06</v>
      </c>
      <c r="U214" s="286" t="s">
        <v>110</v>
      </c>
      <c r="V214" s="286"/>
      <c r="W214" s="289"/>
      <c r="X214" s="5"/>
    </row>
    <row r="215" spans="1:24" ht="15.75" x14ac:dyDescent="0.25">
      <c r="A215" s="350"/>
      <c r="B215" s="286" t="s">
        <v>76</v>
      </c>
      <c r="C215" s="406"/>
      <c r="D215" s="406"/>
      <c r="E215" s="406"/>
      <c r="F215" s="406"/>
      <c r="G215" s="397"/>
      <c r="H215" s="397"/>
      <c r="I215" s="397"/>
      <c r="J215" s="397"/>
      <c r="K215" s="397"/>
      <c r="L215" s="397"/>
      <c r="M215" s="397"/>
      <c r="N215" s="397"/>
      <c r="O215" s="397"/>
      <c r="P215" s="397"/>
      <c r="Q215" s="397"/>
      <c r="R215" s="397"/>
      <c r="S215" s="397"/>
      <c r="T215" s="327">
        <v>12.34</v>
      </c>
      <c r="U215" s="286" t="s">
        <v>110</v>
      </c>
      <c r="V215" s="286"/>
      <c r="W215" s="289"/>
      <c r="X215" s="5"/>
    </row>
    <row r="216" spans="1:24" ht="15.75" x14ac:dyDescent="0.25">
      <c r="A216" s="350"/>
      <c r="B216" s="286" t="s">
        <v>77</v>
      </c>
      <c r="C216" s="406"/>
      <c r="D216" s="406"/>
      <c r="E216" s="406"/>
      <c r="F216" s="406"/>
      <c r="G216" s="397"/>
      <c r="H216" s="397"/>
      <c r="I216" s="397"/>
      <c r="J216" s="397"/>
      <c r="K216" s="397"/>
      <c r="L216" s="397"/>
      <c r="M216" s="397"/>
      <c r="N216" s="397"/>
      <c r="O216" s="397"/>
      <c r="P216" s="397"/>
      <c r="Q216" s="397"/>
      <c r="R216" s="397"/>
      <c r="S216" s="397"/>
      <c r="T216" s="321">
        <f>+P68/N68</f>
        <v>1.5806676235274056E-2</v>
      </c>
      <c r="U216" s="286"/>
      <c r="V216" s="286"/>
      <c r="W216" s="289"/>
      <c r="X216" s="5"/>
    </row>
    <row r="217" spans="1:24" ht="15.75" x14ac:dyDescent="0.25">
      <c r="A217" s="350"/>
      <c r="B217" s="286" t="s">
        <v>78</v>
      </c>
      <c r="C217" s="406"/>
      <c r="D217" s="406"/>
      <c r="E217" s="406"/>
      <c r="F217" s="406"/>
      <c r="G217" s="397"/>
      <c r="H217" s="397"/>
      <c r="I217" s="397"/>
      <c r="J217" s="397"/>
      <c r="K217" s="397"/>
      <c r="L217" s="397"/>
      <c r="M217" s="397"/>
      <c r="N217" s="397"/>
      <c r="O217" s="397"/>
      <c r="P217" s="397"/>
      <c r="Q217" s="397"/>
      <c r="R217" s="397"/>
      <c r="S217" s="397"/>
      <c r="T217" s="321">
        <v>4.1300000000000003E-2</v>
      </c>
      <c r="U217" s="286"/>
      <c r="V217" s="286"/>
      <c r="W217" s="289"/>
      <c r="X217" s="5"/>
    </row>
    <row r="218" spans="1:24" ht="15.75" x14ac:dyDescent="0.25">
      <c r="A218" s="218"/>
      <c r="B218" s="348"/>
      <c r="C218" s="348"/>
      <c r="D218" s="348"/>
      <c r="E218" s="348"/>
      <c r="F218" s="348"/>
      <c r="G218" s="212"/>
      <c r="H218" s="212"/>
      <c r="I218" s="212"/>
      <c r="J218" s="212"/>
      <c r="K218" s="212"/>
      <c r="L218" s="212"/>
      <c r="M218" s="212"/>
      <c r="N218" s="212"/>
      <c r="O218" s="212"/>
      <c r="P218" s="212"/>
      <c r="Q218" s="212"/>
      <c r="R218" s="212"/>
      <c r="S218" s="212"/>
      <c r="T218" s="344"/>
      <c r="U218" s="212"/>
      <c r="V218" s="349"/>
      <c r="W218" s="212"/>
      <c r="X218" s="5"/>
    </row>
    <row r="219" spans="1:24" ht="15.75" x14ac:dyDescent="0.25">
      <c r="A219" s="242"/>
      <c r="B219" s="399" t="s">
        <v>79</v>
      </c>
      <c r="C219" s="400"/>
      <c r="D219" s="400"/>
      <c r="E219" s="400"/>
      <c r="F219" s="407"/>
      <c r="G219" s="400"/>
      <c r="H219" s="400"/>
      <c r="I219" s="400"/>
      <c r="J219" s="400"/>
      <c r="K219" s="400"/>
      <c r="L219" s="400"/>
      <c r="M219" s="400"/>
      <c r="N219" s="400"/>
      <c r="O219" s="400"/>
      <c r="P219" s="400"/>
      <c r="Q219" s="400"/>
      <c r="R219" s="400"/>
      <c r="S219" s="400" t="s">
        <v>102</v>
      </c>
      <c r="T219" s="407" t="s">
        <v>108</v>
      </c>
      <c r="U219" s="225"/>
      <c r="V219" s="225"/>
      <c r="W219" s="225"/>
      <c r="X219" s="5"/>
    </row>
    <row r="220" spans="1:24" ht="15.75" x14ac:dyDescent="0.25">
      <c r="A220" s="222"/>
      <c r="B220" s="250" t="s">
        <v>80</v>
      </c>
      <c r="C220" s="249"/>
      <c r="D220" s="249"/>
      <c r="E220" s="249"/>
      <c r="F220" s="250"/>
      <c r="G220" s="250"/>
      <c r="H220" s="268"/>
      <c r="I220" s="268"/>
      <c r="J220" s="268"/>
      <c r="K220" s="268"/>
      <c r="L220" s="268"/>
      <c r="M220" s="268"/>
      <c r="N220" s="268"/>
      <c r="O220" s="268"/>
      <c r="P220" s="268"/>
      <c r="Q220" s="268"/>
      <c r="R220" s="268"/>
      <c r="S220" s="268">
        <v>2</v>
      </c>
      <c r="T220" s="269">
        <v>228</v>
      </c>
      <c r="U220" s="250"/>
      <c r="V220" s="266"/>
      <c r="W220" s="223"/>
      <c r="X220" s="5"/>
    </row>
    <row r="221" spans="1:24" ht="15.75" x14ac:dyDescent="0.25">
      <c r="A221" s="358"/>
      <c r="B221" s="286" t="s">
        <v>145</v>
      </c>
      <c r="C221" s="337"/>
      <c r="D221" s="337"/>
      <c r="E221" s="337"/>
      <c r="F221" s="286"/>
      <c r="G221" s="286"/>
      <c r="H221" s="296"/>
      <c r="I221" s="296"/>
      <c r="J221" s="296"/>
      <c r="K221" s="296"/>
      <c r="L221" s="296"/>
      <c r="M221" s="296"/>
      <c r="N221" s="296"/>
      <c r="O221" s="296"/>
      <c r="P221" s="296"/>
      <c r="Q221" s="296"/>
      <c r="R221" s="296"/>
      <c r="S221" s="359">
        <f>+R273</f>
        <v>83</v>
      </c>
      <c r="T221" s="360">
        <f>+T273</f>
        <v>11283</v>
      </c>
      <c r="U221" s="286"/>
      <c r="V221" s="361"/>
      <c r="W221" s="362"/>
      <c r="X221" s="5"/>
    </row>
    <row r="222" spans="1:24" ht="15.75" x14ac:dyDescent="0.25">
      <c r="A222" s="358"/>
      <c r="B222" s="286" t="s">
        <v>81</v>
      </c>
      <c r="C222" s="337"/>
      <c r="D222" s="337"/>
      <c r="E222" s="337"/>
      <c r="F222" s="286"/>
      <c r="G222" s="286"/>
      <c r="H222" s="296"/>
      <c r="I222" s="296"/>
      <c r="J222" s="296"/>
      <c r="K222" s="296"/>
      <c r="L222" s="296"/>
      <c r="M222" s="296"/>
      <c r="N222" s="296"/>
      <c r="O222" s="296"/>
      <c r="P222" s="296"/>
      <c r="Q222" s="296"/>
      <c r="R222" s="296"/>
      <c r="S222" s="359">
        <f>+R285</f>
        <v>0</v>
      </c>
      <c r="T222" s="360">
        <f>+T285</f>
        <v>0</v>
      </c>
      <c r="U222" s="286"/>
      <c r="V222" s="361"/>
      <c r="W222" s="362"/>
      <c r="X222" s="5"/>
    </row>
    <row r="223" spans="1:24" ht="15.75" x14ac:dyDescent="0.25">
      <c r="A223" s="358"/>
      <c r="B223" s="313" t="s">
        <v>82</v>
      </c>
      <c r="C223" s="363"/>
      <c r="D223" s="363"/>
      <c r="E223" s="363"/>
      <c r="F223" s="314"/>
      <c r="G223" s="314"/>
      <c r="H223" s="314"/>
      <c r="I223" s="314"/>
      <c r="J223" s="314"/>
      <c r="K223" s="314"/>
      <c r="L223" s="314"/>
      <c r="M223" s="314"/>
      <c r="N223" s="314"/>
      <c r="O223" s="314"/>
      <c r="P223" s="314"/>
      <c r="Q223" s="314"/>
      <c r="R223" s="314"/>
      <c r="S223" s="286"/>
      <c r="T223" s="360">
        <v>0</v>
      </c>
      <c r="U223" s="314"/>
      <c r="V223" s="364"/>
      <c r="W223" s="362"/>
      <c r="X223" s="5"/>
    </row>
    <row r="224" spans="1:24" ht="15.75" x14ac:dyDescent="0.25">
      <c r="A224" s="358"/>
      <c r="B224" s="313" t="s">
        <v>228</v>
      </c>
      <c r="C224" s="363"/>
      <c r="D224" s="363"/>
      <c r="E224" s="363"/>
      <c r="F224" s="314"/>
      <c r="G224" s="314"/>
      <c r="H224" s="314"/>
      <c r="I224" s="314"/>
      <c r="J224" s="314"/>
      <c r="K224" s="314"/>
      <c r="L224" s="314"/>
      <c r="M224" s="314"/>
      <c r="N224" s="314"/>
      <c r="O224" s="314"/>
      <c r="P224" s="314"/>
      <c r="Q224" s="314"/>
      <c r="R224" s="314"/>
      <c r="S224" s="286"/>
      <c r="T224" s="360">
        <f>+N81</f>
        <v>0</v>
      </c>
      <c r="U224" s="314"/>
      <c r="V224" s="364"/>
      <c r="W224" s="362"/>
      <c r="X224" s="5"/>
    </row>
    <row r="225" spans="1:24" ht="15.75" x14ac:dyDescent="0.25">
      <c r="A225" s="365"/>
      <c r="B225" s="313" t="s">
        <v>83</v>
      </c>
      <c r="C225" s="366"/>
      <c r="D225" s="366"/>
      <c r="E225" s="366"/>
      <c r="F225" s="366"/>
      <c r="G225" s="314"/>
      <c r="H225" s="314"/>
      <c r="I225" s="314"/>
      <c r="J225" s="314"/>
      <c r="K225" s="314"/>
      <c r="L225" s="314"/>
      <c r="M225" s="314"/>
      <c r="N225" s="314"/>
      <c r="O225" s="314"/>
      <c r="P225" s="314"/>
      <c r="Q225" s="314"/>
      <c r="R225" s="314"/>
      <c r="S225" s="286"/>
      <c r="T225" s="360"/>
      <c r="U225" s="314"/>
      <c r="V225" s="364"/>
      <c r="W225" s="367"/>
      <c r="X225" s="5"/>
    </row>
    <row r="226" spans="1:24" ht="15.75" x14ac:dyDescent="0.25">
      <c r="A226" s="365"/>
      <c r="B226" s="286" t="s">
        <v>84</v>
      </c>
      <c r="C226" s="366"/>
      <c r="D226" s="366"/>
      <c r="E226" s="366"/>
      <c r="F226" s="366"/>
      <c r="G226" s="314"/>
      <c r="H226" s="314"/>
      <c r="I226" s="314"/>
      <c r="J226" s="314"/>
      <c r="K226" s="314"/>
      <c r="L226" s="314"/>
      <c r="M226" s="314"/>
      <c r="N226" s="314"/>
      <c r="O226" s="314"/>
      <c r="P226" s="314"/>
      <c r="Q226" s="314"/>
      <c r="R226" s="314"/>
      <c r="S226" s="296"/>
      <c r="T226" s="360">
        <f>V164</f>
        <v>-147</v>
      </c>
      <c r="U226" s="314"/>
      <c r="V226" s="364"/>
      <c r="W226" s="367"/>
      <c r="X226" s="5"/>
    </row>
    <row r="227" spans="1:24" ht="15.75" x14ac:dyDescent="0.25">
      <c r="A227" s="358"/>
      <c r="B227" s="286" t="s">
        <v>85</v>
      </c>
      <c r="C227" s="363"/>
      <c r="D227" s="363"/>
      <c r="E227" s="363"/>
      <c r="F227" s="363"/>
      <c r="G227" s="314"/>
      <c r="H227" s="314"/>
      <c r="I227" s="314"/>
      <c r="J227" s="314"/>
      <c r="K227" s="314"/>
      <c r="L227" s="314"/>
      <c r="M227" s="314"/>
      <c r="N227" s="314"/>
      <c r="O227" s="314"/>
      <c r="P227" s="314"/>
      <c r="Q227" s="314"/>
      <c r="R227" s="314"/>
      <c r="S227" s="296"/>
      <c r="T227" s="360">
        <f>'May 16'!T227+T226</f>
        <v>7918</v>
      </c>
      <c r="U227" s="314"/>
      <c r="V227" s="364"/>
      <c r="W227" s="367"/>
      <c r="X227" s="5"/>
    </row>
    <row r="228" spans="1:24" ht="15.75" x14ac:dyDescent="0.25">
      <c r="A228" s="365"/>
      <c r="B228" s="313" t="s">
        <v>285</v>
      </c>
      <c r="C228" s="366"/>
      <c r="D228" s="366"/>
      <c r="E228" s="366"/>
      <c r="F228" s="366"/>
      <c r="G228" s="314"/>
      <c r="H228" s="314"/>
      <c r="I228" s="314"/>
      <c r="J228" s="314"/>
      <c r="K228" s="314"/>
      <c r="L228" s="314"/>
      <c r="M228" s="314"/>
      <c r="N228" s="314"/>
      <c r="O228" s="314"/>
      <c r="P228" s="314"/>
      <c r="Q228" s="314"/>
      <c r="R228" s="314"/>
      <c r="S228" s="296"/>
      <c r="T228" s="360"/>
      <c r="U228" s="314"/>
      <c r="V228" s="364"/>
      <c r="W228" s="367"/>
      <c r="X228" s="5"/>
    </row>
    <row r="229" spans="1:24" ht="15.75" x14ac:dyDescent="0.25">
      <c r="A229" s="365"/>
      <c r="B229" s="286" t="s">
        <v>282</v>
      </c>
      <c r="C229" s="366"/>
      <c r="D229" s="366"/>
      <c r="E229" s="366"/>
      <c r="F229" s="366"/>
      <c r="G229" s="314"/>
      <c r="H229" s="314"/>
      <c r="I229" s="314"/>
      <c r="J229" s="314"/>
      <c r="K229" s="314"/>
      <c r="L229" s="314"/>
      <c r="M229" s="314"/>
      <c r="N229" s="314"/>
      <c r="O229" s="314"/>
      <c r="P229" s="314"/>
      <c r="Q229" s="314"/>
      <c r="R229" s="314"/>
      <c r="S229" s="296">
        <v>0</v>
      </c>
      <c r="T229" s="360">
        <v>0</v>
      </c>
      <c r="U229" s="314"/>
      <c r="V229" s="364"/>
      <c r="W229" s="367"/>
      <c r="X229" s="5"/>
    </row>
    <row r="230" spans="1:24" ht="15.75" x14ac:dyDescent="0.25">
      <c r="A230" s="358"/>
      <c r="B230" s="286" t="s">
        <v>86</v>
      </c>
      <c r="C230" s="368"/>
      <c r="D230" s="368"/>
      <c r="E230" s="368"/>
      <c r="F230" s="369"/>
      <c r="G230" s="314"/>
      <c r="H230" s="314"/>
      <c r="I230" s="314"/>
      <c r="J230" s="314"/>
      <c r="K230" s="314"/>
      <c r="L230" s="314"/>
      <c r="M230" s="314"/>
      <c r="N230" s="314"/>
      <c r="O230" s="314"/>
      <c r="P230" s="314"/>
      <c r="Q230" s="314"/>
      <c r="R230" s="314"/>
      <c r="S230" s="286"/>
      <c r="T230" s="370">
        <v>0</v>
      </c>
      <c r="U230" s="314"/>
      <c r="V230" s="364"/>
      <c r="W230" s="367"/>
      <c r="X230" s="5"/>
    </row>
    <row r="231" spans="1:24" ht="15.75" x14ac:dyDescent="0.25">
      <c r="A231" s="358"/>
      <c r="B231" s="286" t="s">
        <v>87</v>
      </c>
      <c r="C231" s="368"/>
      <c r="D231" s="368"/>
      <c r="E231" s="368"/>
      <c r="F231" s="369"/>
      <c r="G231" s="314"/>
      <c r="H231" s="314"/>
      <c r="I231" s="314"/>
      <c r="J231" s="314"/>
      <c r="K231" s="314"/>
      <c r="L231" s="314"/>
      <c r="M231" s="314"/>
      <c r="N231" s="314"/>
      <c r="O231" s="314"/>
      <c r="P231" s="314"/>
      <c r="Q231" s="314"/>
      <c r="R231" s="314"/>
      <c r="S231" s="286"/>
      <c r="T231" s="370">
        <v>0</v>
      </c>
      <c r="U231" s="314"/>
      <c r="V231" s="364"/>
      <c r="W231" s="367"/>
      <c r="X231" s="5"/>
    </row>
    <row r="232" spans="1:24" ht="15.75" x14ac:dyDescent="0.25">
      <c r="A232" s="358"/>
      <c r="B232" s="313" t="s">
        <v>216</v>
      </c>
      <c r="C232" s="368"/>
      <c r="D232" s="368"/>
      <c r="E232" s="368"/>
      <c r="F232" s="369"/>
      <c r="G232" s="314"/>
      <c r="H232" s="314"/>
      <c r="I232" s="314"/>
      <c r="J232" s="314"/>
      <c r="K232" s="314"/>
      <c r="L232" s="314"/>
      <c r="M232" s="314"/>
      <c r="N232" s="314"/>
      <c r="O232" s="314"/>
      <c r="P232" s="314"/>
      <c r="Q232" s="314"/>
      <c r="R232" s="314"/>
      <c r="S232" s="286"/>
      <c r="T232" s="371"/>
      <c r="U232" s="314"/>
      <c r="V232" s="364"/>
      <c r="W232" s="367"/>
      <c r="X232" s="5"/>
    </row>
    <row r="233" spans="1:24" ht="15.75" x14ac:dyDescent="0.25">
      <c r="A233" s="358"/>
      <c r="B233" s="286" t="s">
        <v>282</v>
      </c>
      <c r="C233" s="368"/>
      <c r="D233" s="368"/>
      <c r="E233" s="368"/>
      <c r="F233" s="369"/>
      <c r="G233" s="314"/>
      <c r="H233" s="314"/>
      <c r="I233" s="314"/>
      <c r="J233" s="314"/>
      <c r="K233" s="314"/>
      <c r="L233" s="314"/>
      <c r="M233" s="314"/>
      <c r="N233" s="314"/>
      <c r="O233" s="314"/>
      <c r="P233" s="314"/>
      <c r="Q233" s="314"/>
      <c r="R233" s="314"/>
      <c r="S233" s="296">
        <v>4</v>
      </c>
      <c r="T233" s="360">
        <v>415</v>
      </c>
      <c r="U233" s="314"/>
      <c r="V233" s="364"/>
      <c r="W233" s="367"/>
      <c r="X233" s="5"/>
    </row>
    <row r="234" spans="1:24" ht="15.75" x14ac:dyDescent="0.25">
      <c r="A234" s="358"/>
      <c r="B234" s="286" t="s">
        <v>217</v>
      </c>
      <c r="C234" s="368"/>
      <c r="D234" s="368"/>
      <c r="E234" s="368"/>
      <c r="F234" s="369"/>
      <c r="G234" s="314"/>
      <c r="H234" s="314"/>
      <c r="I234" s="314"/>
      <c r="J234" s="314"/>
      <c r="K234" s="314"/>
      <c r="L234" s="314"/>
      <c r="M234" s="314"/>
      <c r="N234" s="314"/>
      <c r="O234" s="314"/>
      <c r="P234" s="314"/>
      <c r="Q234" s="314"/>
      <c r="R234" s="314"/>
      <c r="S234" s="286"/>
      <c r="T234" s="370">
        <v>20.67</v>
      </c>
      <c r="U234" s="314"/>
      <c r="V234" s="364"/>
      <c r="W234" s="367"/>
      <c r="X234" s="5"/>
    </row>
    <row r="235" spans="1:24" ht="15.75" x14ac:dyDescent="0.25">
      <c r="A235" s="358"/>
      <c r="B235" s="366"/>
      <c r="C235" s="368"/>
      <c r="D235" s="368"/>
      <c r="E235" s="368"/>
      <c r="F235" s="369"/>
      <c r="G235" s="314"/>
      <c r="H235" s="314"/>
      <c r="I235" s="314"/>
      <c r="J235" s="314"/>
      <c r="K235" s="314"/>
      <c r="L235" s="314"/>
      <c r="M235" s="314"/>
      <c r="N235" s="314"/>
      <c r="O235" s="314"/>
      <c r="P235" s="314"/>
      <c r="Q235" s="314"/>
      <c r="R235" s="314"/>
      <c r="S235" s="286"/>
      <c r="T235" s="371"/>
      <c r="U235" s="314"/>
      <c r="V235" s="364"/>
      <c r="W235" s="367"/>
      <c r="X235" s="5"/>
    </row>
    <row r="236" spans="1:24" ht="15.75" x14ac:dyDescent="0.25">
      <c r="A236" s="358"/>
      <c r="B236" s="366"/>
      <c r="C236" s="368"/>
      <c r="D236" s="368"/>
      <c r="E236" s="368"/>
      <c r="F236" s="369"/>
      <c r="G236" s="314"/>
      <c r="H236" s="314"/>
      <c r="I236" s="314"/>
      <c r="J236" s="314"/>
      <c r="K236" s="314"/>
      <c r="L236" s="314"/>
      <c r="M236" s="314"/>
      <c r="N236" s="314"/>
      <c r="O236" s="314"/>
      <c r="P236" s="314"/>
      <c r="Q236" s="314"/>
      <c r="R236" s="314"/>
      <c r="S236" s="314"/>
      <c r="T236" s="372"/>
      <c r="U236" s="314"/>
      <c r="V236" s="364"/>
      <c r="W236" s="367"/>
      <c r="X236" s="5"/>
    </row>
    <row r="237" spans="1:24" ht="18.75" x14ac:dyDescent="0.3">
      <c r="A237" s="358"/>
      <c r="B237" s="373" t="s">
        <v>168</v>
      </c>
      <c r="C237" s="368"/>
      <c r="D237" s="368"/>
      <c r="E237" s="368"/>
      <c r="F237" s="369"/>
      <c r="G237" s="314"/>
      <c r="H237" s="314"/>
      <c r="I237" s="314"/>
      <c r="J237" s="314"/>
      <c r="K237" s="314"/>
      <c r="L237" s="314"/>
      <c r="M237" s="314"/>
      <c r="N237" s="314"/>
      <c r="O237" s="314"/>
      <c r="P237" s="374" t="s">
        <v>167</v>
      </c>
      <c r="Q237" s="314"/>
      <c r="R237" s="314"/>
      <c r="S237" s="314"/>
      <c r="T237" s="372"/>
      <c r="U237" s="314"/>
      <c r="V237" s="364"/>
      <c r="W237" s="367"/>
      <c r="X237" s="5"/>
    </row>
    <row r="238" spans="1:24" ht="15.75" x14ac:dyDescent="0.25">
      <c r="A238" s="353"/>
      <c r="B238" s="348"/>
      <c r="C238" s="354"/>
      <c r="D238" s="354"/>
      <c r="E238" s="354"/>
      <c r="F238" s="355"/>
      <c r="G238" s="212"/>
      <c r="H238" s="212"/>
      <c r="I238" s="212"/>
      <c r="J238" s="212"/>
      <c r="K238" s="212"/>
      <c r="L238" s="212"/>
      <c r="M238" s="212"/>
      <c r="N238" s="212"/>
      <c r="O238" s="212"/>
      <c r="P238" s="212"/>
      <c r="Q238" s="212"/>
      <c r="R238" s="212"/>
      <c r="S238" s="212"/>
      <c r="T238" s="356"/>
      <c r="U238" s="212"/>
      <c r="V238" s="349"/>
      <c r="W238" s="357"/>
      <c r="X238" s="5"/>
    </row>
    <row r="239" spans="1:24" ht="15.75" x14ac:dyDescent="0.25">
      <c r="A239" s="224"/>
      <c r="B239" s="399" t="s">
        <v>297</v>
      </c>
      <c r="C239" s="400"/>
      <c r="D239" s="400"/>
      <c r="E239" s="400"/>
      <c r="F239" s="407"/>
      <c r="G239" s="400"/>
      <c r="H239" s="400"/>
      <c r="I239" s="400"/>
      <c r="J239" s="400"/>
      <c r="K239" s="400"/>
      <c r="L239" s="400"/>
      <c r="M239" s="400"/>
      <c r="N239" s="400"/>
      <c r="O239" s="400"/>
      <c r="P239" s="400"/>
      <c r="Q239" s="400"/>
      <c r="R239" s="407" t="s">
        <v>102</v>
      </c>
      <c r="S239" s="400" t="s">
        <v>103</v>
      </c>
      <c r="T239" s="407" t="s">
        <v>109</v>
      </c>
      <c r="U239" s="400" t="s">
        <v>103</v>
      </c>
      <c r="V239" s="225"/>
      <c r="W239" s="399"/>
      <c r="X239" s="5"/>
    </row>
    <row r="240" spans="1:24" ht="15.75" x14ac:dyDescent="0.25">
      <c r="A240" s="193"/>
      <c r="B240" s="249" t="s">
        <v>88</v>
      </c>
      <c r="C240" s="265"/>
      <c r="D240" s="265"/>
      <c r="E240" s="265"/>
      <c r="F240" s="250"/>
      <c r="G240" s="265"/>
      <c r="H240" s="265"/>
      <c r="I240" s="265"/>
      <c r="J240" s="265"/>
      <c r="K240" s="265"/>
      <c r="L240" s="265"/>
      <c r="M240" s="265"/>
      <c r="N240" s="265"/>
      <c r="O240" s="265"/>
      <c r="P240" s="265"/>
      <c r="Q240" s="265"/>
      <c r="R240" s="249">
        <f t="shared" ref="R240:R247" si="1">+R252+R264+R276</f>
        <v>4990</v>
      </c>
      <c r="S240" s="252">
        <f t="shared" ref="S240:S247" si="2">R240/$R$249</f>
        <v>0.99620682771012181</v>
      </c>
      <c r="T240" s="253">
        <f t="shared" ref="T240:T247" si="3">+T252+T264+T276</f>
        <v>689993</v>
      </c>
      <c r="U240" s="252">
        <f t="shared" ref="U240:U247" si="4">T240/$T$249</f>
        <v>0.9961539405506622</v>
      </c>
      <c r="V240" s="266"/>
      <c r="W240" s="408"/>
      <c r="X240" s="5"/>
    </row>
    <row r="241" spans="1:25" ht="15.75" x14ac:dyDescent="0.25">
      <c r="A241" s="285"/>
      <c r="B241" s="337" t="s">
        <v>89</v>
      </c>
      <c r="C241" s="378"/>
      <c r="D241" s="378"/>
      <c r="E241" s="378"/>
      <c r="F241" s="286"/>
      <c r="G241" s="379"/>
      <c r="H241" s="378"/>
      <c r="I241" s="378"/>
      <c r="J241" s="378"/>
      <c r="K241" s="378"/>
      <c r="L241" s="378"/>
      <c r="M241" s="378"/>
      <c r="N241" s="378"/>
      <c r="O241" s="378"/>
      <c r="P241" s="378"/>
      <c r="Q241" s="378"/>
      <c r="R241" s="337">
        <f t="shared" si="1"/>
        <v>7</v>
      </c>
      <c r="S241" s="379">
        <f t="shared" si="2"/>
        <v>1.3974845278498702E-3</v>
      </c>
      <c r="T241" s="338">
        <f t="shared" si="3"/>
        <v>886</v>
      </c>
      <c r="U241" s="379">
        <f t="shared" si="4"/>
        <v>1.2791323844269242E-3</v>
      </c>
      <c r="V241" s="361"/>
      <c r="W241" s="409"/>
      <c r="X241" s="5"/>
      <c r="Y241" s="109"/>
    </row>
    <row r="242" spans="1:25" ht="15.75" x14ac:dyDescent="0.25">
      <c r="A242" s="285"/>
      <c r="B242" s="337" t="s">
        <v>90</v>
      </c>
      <c r="C242" s="378"/>
      <c r="D242" s="378"/>
      <c r="E242" s="378"/>
      <c r="F242" s="286"/>
      <c r="G242" s="379"/>
      <c r="H242" s="378"/>
      <c r="I242" s="378"/>
      <c r="J242" s="378"/>
      <c r="K242" s="378"/>
      <c r="L242" s="378"/>
      <c r="M242" s="378"/>
      <c r="N242" s="378"/>
      <c r="O242" s="378"/>
      <c r="P242" s="378"/>
      <c r="Q242" s="378"/>
      <c r="R242" s="337">
        <f t="shared" si="1"/>
        <v>2</v>
      </c>
      <c r="S242" s="379">
        <f t="shared" si="2"/>
        <v>3.9928129367139149E-4</v>
      </c>
      <c r="T242" s="338">
        <f t="shared" si="3"/>
        <v>343</v>
      </c>
      <c r="U242" s="379">
        <f t="shared" si="4"/>
        <v>4.9519459126234195E-4</v>
      </c>
      <c r="V242" s="361"/>
      <c r="W242" s="409"/>
      <c r="X242" s="5"/>
    </row>
    <row r="243" spans="1:25" ht="15.75" x14ac:dyDescent="0.25">
      <c r="A243" s="285"/>
      <c r="B243" s="337" t="s">
        <v>156</v>
      </c>
      <c r="C243" s="378"/>
      <c r="D243" s="378"/>
      <c r="E243" s="378"/>
      <c r="F243" s="286"/>
      <c r="G243" s="379"/>
      <c r="H243" s="378"/>
      <c r="I243" s="378"/>
      <c r="J243" s="378"/>
      <c r="K243" s="378"/>
      <c r="L243" s="378"/>
      <c r="M243" s="378"/>
      <c r="N243" s="378"/>
      <c r="O243" s="378"/>
      <c r="P243" s="378"/>
      <c r="Q243" s="378"/>
      <c r="R243" s="337">
        <f t="shared" si="1"/>
        <v>3</v>
      </c>
      <c r="S243" s="379">
        <f t="shared" si="2"/>
        <v>5.9892194050708723E-4</v>
      </c>
      <c r="T243" s="338">
        <f t="shared" si="3"/>
        <v>479</v>
      </c>
      <c r="U243" s="379">
        <f t="shared" si="4"/>
        <v>6.9153996855586531E-4</v>
      </c>
      <c r="V243" s="361"/>
      <c r="W243" s="409"/>
      <c r="X243" s="5"/>
      <c r="Y243" s="109"/>
    </row>
    <row r="244" spans="1:25" ht="15.75" x14ac:dyDescent="0.25">
      <c r="A244" s="285"/>
      <c r="B244" s="337" t="s">
        <v>157</v>
      </c>
      <c r="C244" s="378"/>
      <c r="D244" s="378"/>
      <c r="E244" s="378"/>
      <c r="F244" s="286"/>
      <c r="G244" s="379"/>
      <c r="H244" s="378"/>
      <c r="I244" s="378"/>
      <c r="J244" s="378"/>
      <c r="K244" s="378"/>
      <c r="L244" s="378"/>
      <c r="M244" s="378"/>
      <c r="N244" s="378"/>
      <c r="O244" s="378"/>
      <c r="P244" s="378"/>
      <c r="Q244" s="378"/>
      <c r="R244" s="337">
        <f t="shared" si="1"/>
        <v>1</v>
      </c>
      <c r="S244" s="379">
        <f t="shared" si="2"/>
        <v>1.9964064683569574E-4</v>
      </c>
      <c r="T244" s="338">
        <f t="shared" si="3"/>
        <v>150</v>
      </c>
      <c r="U244" s="379">
        <f t="shared" si="4"/>
        <v>2.1655740142668015E-4</v>
      </c>
      <c r="V244" s="361"/>
      <c r="W244" s="409"/>
      <c r="X244" s="5"/>
    </row>
    <row r="245" spans="1:25" ht="15.75" x14ac:dyDescent="0.25">
      <c r="A245" s="285"/>
      <c r="B245" s="337" t="s">
        <v>158</v>
      </c>
      <c r="C245" s="378"/>
      <c r="D245" s="378"/>
      <c r="E245" s="378"/>
      <c r="F245" s="286"/>
      <c r="G245" s="379"/>
      <c r="H245" s="378"/>
      <c r="I245" s="378"/>
      <c r="J245" s="378"/>
      <c r="K245" s="378"/>
      <c r="L245" s="378"/>
      <c r="M245" s="378"/>
      <c r="N245" s="378"/>
      <c r="O245" s="378"/>
      <c r="P245" s="378"/>
      <c r="Q245" s="378"/>
      <c r="R245" s="337">
        <f t="shared" si="1"/>
        <v>1</v>
      </c>
      <c r="S245" s="379">
        <f t="shared" si="2"/>
        <v>1.9964064683569574E-4</v>
      </c>
      <c r="T245" s="338">
        <f t="shared" si="3"/>
        <v>150</v>
      </c>
      <c r="U245" s="379">
        <f t="shared" si="4"/>
        <v>2.1655740142668015E-4</v>
      </c>
      <c r="V245" s="361"/>
      <c r="W245" s="409"/>
      <c r="X245" s="5"/>
      <c r="Y245" s="109"/>
    </row>
    <row r="246" spans="1:25" ht="15.75" x14ac:dyDescent="0.25">
      <c r="A246" s="285"/>
      <c r="B246" s="337" t="s">
        <v>159</v>
      </c>
      <c r="C246" s="378"/>
      <c r="D246" s="378"/>
      <c r="E246" s="378"/>
      <c r="F246" s="286"/>
      <c r="G246" s="379"/>
      <c r="H246" s="378"/>
      <c r="I246" s="378"/>
      <c r="J246" s="378"/>
      <c r="K246" s="378"/>
      <c r="L246" s="378"/>
      <c r="M246" s="378"/>
      <c r="N246" s="378"/>
      <c r="O246" s="378"/>
      <c r="P246" s="378"/>
      <c r="Q246" s="378"/>
      <c r="R246" s="337">
        <f t="shared" si="1"/>
        <v>3</v>
      </c>
      <c r="S246" s="379">
        <f t="shared" si="2"/>
        <v>5.9892194050708723E-4</v>
      </c>
      <c r="T246" s="338">
        <f t="shared" si="3"/>
        <v>365</v>
      </c>
      <c r="U246" s="379">
        <f t="shared" si="4"/>
        <v>5.2695634347158838E-4</v>
      </c>
      <c r="V246" s="361"/>
      <c r="W246" s="409"/>
      <c r="X246" s="5"/>
    </row>
    <row r="247" spans="1:25" ht="15.75" x14ac:dyDescent="0.25">
      <c r="A247" s="285"/>
      <c r="B247" s="337" t="s">
        <v>160</v>
      </c>
      <c r="C247" s="378"/>
      <c r="D247" s="378"/>
      <c r="E247" s="378"/>
      <c r="F247" s="286"/>
      <c r="G247" s="379"/>
      <c r="H247" s="378"/>
      <c r="I247" s="378"/>
      <c r="J247" s="378"/>
      <c r="K247" s="378"/>
      <c r="L247" s="378"/>
      <c r="M247" s="378"/>
      <c r="N247" s="378"/>
      <c r="O247" s="378"/>
      <c r="P247" s="378"/>
      <c r="Q247" s="378"/>
      <c r="R247" s="386">
        <f t="shared" si="1"/>
        <v>2</v>
      </c>
      <c r="S247" s="379">
        <f t="shared" si="2"/>
        <v>3.9928129367139149E-4</v>
      </c>
      <c r="T247" s="383">
        <f t="shared" si="3"/>
        <v>291</v>
      </c>
      <c r="U247" s="387">
        <f t="shared" si="4"/>
        <v>4.201213587677595E-4</v>
      </c>
      <c r="V247" s="361"/>
      <c r="W247" s="409"/>
      <c r="X247" s="5"/>
      <c r="Y247" s="109"/>
    </row>
    <row r="248" spans="1:25" ht="15.75" x14ac:dyDescent="0.25">
      <c r="A248" s="285"/>
      <c r="B248" s="337"/>
      <c r="C248" s="378"/>
      <c r="D248" s="378"/>
      <c r="E248" s="378"/>
      <c r="F248" s="286"/>
      <c r="G248" s="379"/>
      <c r="H248" s="378"/>
      <c r="I248" s="378"/>
      <c r="J248" s="378"/>
      <c r="K248" s="378"/>
      <c r="L248" s="378"/>
      <c r="M248" s="378"/>
      <c r="N248" s="378"/>
      <c r="O248" s="378"/>
      <c r="P248" s="378"/>
      <c r="Q248" s="378"/>
      <c r="R248" s="337"/>
      <c r="S248" s="379"/>
      <c r="T248" s="338"/>
      <c r="U248" s="379"/>
      <c r="V248" s="361"/>
      <c r="W248" s="409"/>
      <c r="X248" s="5"/>
    </row>
    <row r="249" spans="1:25" ht="15.75" x14ac:dyDescent="0.25">
      <c r="A249" s="285"/>
      <c r="B249" s="286"/>
      <c r="C249" s="286"/>
      <c r="D249" s="286"/>
      <c r="E249" s="286"/>
      <c r="F249" s="286"/>
      <c r="G249" s="286"/>
      <c r="H249" s="381"/>
      <c r="I249" s="381"/>
      <c r="J249" s="381"/>
      <c r="K249" s="381"/>
      <c r="L249" s="381"/>
      <c r="M249" s="381"/>
      <c r="N249" s="381"/>
      <c r="O249" s="381"/>
      <c r="P249" s="381"/>
      <c r="Q249" s="381"/>
      <c r="R249" s="337">
        <f>SUM(R240:R248)</f>
        <v>5009</v>
      </c>
      <c r="S249" s="379">
        <f>SUM(S240:S248)</f>
        <v>0.99999999999999978</v>
      </c>
      <c r="T249" s="338">
        <f>SUM(T240:T248)</f>
        <v>692657</v>
      </c>
      <c r="U249" s="379">
        <f>SUM(U240:U248)</f>
        <v>1</v>
      </c>
      <c r="V249" s="286"/>
      <c r="W249" s="289"/>
      <c r="X249" s="5"/>
    </row>
    <row r="250" spans="1:25" ht="15.75" x14ac:dyDescent="0.25">
      <c r="A250" s="181"/>
      <c r="B250" s="212"/>
      <c r="C250" s="212"/>
      <c r="D250" s="212"/>
      <c r="E250" s="212"/>
      <c r="F250" s="212"/>
      <c r="G250" s="212"/>
      <c r="H250" s="375"/>
      <c r="I250" s="375"/>
      <c r="J250" s="375"/>
      <c r="K250" s="375"/>
      <c r="L250" s="375"/>
      <c r="M250" s="375"/>
      <c r="N250" s="375"/>
      <c r="O250" s="375"/>
      <c r="P250" s="375"/>
      <c r="Q250" s="375"/>
      <c r="R250" s="335"/>
      <c r="S250" s="376"/>
      <c r="T250" s="377"/>
      <c r="U250" s="376"/>
      <c r="V250" s="212"/>
      <c r="W250" s="212"/>
      <c r="X250" s="5"/>
    </row>
    <row r="251" spans="1:25" ht="15.75" x14ac:dyDescent="0.25">
      <c r="A251" s="224"/>
      <c r="B251" s="399" t="s">
        <v>162</v>
      </c>
      <c r="C251" s="400"/>
      <c r="D251" s="400"/>
      <c r="E251" s="400"/>
      <c r="F251" s="407"/>
      <c r="G251" s="400"/>
      <c r="H251" s="400"/>
      <c r="I251" s="400"/>
      <c r="J251" s="400"/>
      <c r="K251" s="400"/>
      <c r="L251" s="400"/>
      <c r="M251" s="400"/>
      <c r="N251" s="400"/>
      <c r="O251" s="400"/>
      <c r="P251" s="400"/>
      <c r="Q251" s="400"/>
      <c r="R251" s="407" t="s">
        <v>102</v>
      </c>
      <c r="S251" s="400" t="s">
        <v>103</v>
      </c>
      <c r="T251" s="407" t="s">
        <v>109</v>
      </c>
      <c r="U251" s="400" t="s">
        <v>103</v>
      </c>
      <c r="V251" s="225"/>
      <c r="W251" s="399"/>
      <c r="X251" s="5"/>
    </row>
    <row r="252" spans="1:25" ht="15.75" x14ac:dyDescent="0.25">
      <c r="A252" s="193"/>
      <c r="B252" s="249" t="s">
        <v>88</v>
      </c>
      <c r="C252" s="265"/>
      <c r="D252" s="265"/>
      <c r="E252" s="265"/>
      <c r="F252" s="250"/>
      <c r="G252" s="265"/>
      <c r="H252" s="265"/>
      <c r="I252" s="265"/>
      <c r="J252" s="265"/>
      <c r="K252" s="265"/>
      <c r="L252" s="265"/>
      <c r="M252" s="265"/>
      <c r="N252" s="265"/>
      <c r="O252" s="265"/>
      <c r="P252" s="265"/>
      <c r="Q252" s="265"/>
      <c r="R252" s="249">
        <v>4916</v>
      </c>
      <c r="S252" s="252">
        <f t="shared" ref="S252:S259" si="5">R252/$R$261</f>
        <v>0.99796995533901744</v>
      </c>
      <c r="T252" s="253">
        <v>679830</v>
      </c>
      <c r="U252" s="252">
        <f t="shared" ref="U252:U259" si="6">T252/$T$261</f>
        <v>0.99773399043696998</v>
      </c>
      <c r="V252" s="266"/>
      <c r="W252" s="408"/>
      <c r="X252" s="5"/>
    </row>
    <row r="253" spans="1:25" ht="15.75" x14ac:dyDescent="0.25">
      <c r="A253" s="285"/>
      <c r="B253" s="337" t="s">
        <v>89</v>
      </c>
      <c r="C253" s="378"/>
      <c r="D253" s="378"/>
      <c r="E253" s="378"/>
      <c r="F253" s="286"/>
      <c r="G253" s="379"/>
      <c r="H253" s="378"/>
      <c r="I253" s="378"/>
      <c r="J253" s="378"/>
      <c r="K253" s="378"/>
      <c r="L253" s="378"/>
      <c r="M253" s="378"/>
      <c r="N253" s="378"/>
      <c r="O253" s="378"/>
      <c r="P253" s="378"/>
      <c r="Q253" s="378"/>
      <c r="R253" s="337">
        <v>6</v>
      </c>
      <c r="S253" s="379">
        <f t="shared" si="5"/>
        <v>1.2180267965895249E-3</v>
      </c>
      <c r="T253" s="338">
        <v>794</v>
      </c>
      <c r="U253" s="379">
        <f t="shared" si="6"/>
        <v>1.165292482542627E-3</v>
      </c>
      <c r="V253" s="361"/>
      <c r="W253" s="409"/>
      <c r="X253" s="5"/>
      <c r="Y253" s="109"/>
    </row>
    <row r="254" spans="1:25" ht="15.75" x14ac:dyDescent="0.25">
      <c r="A254" s="285"/>
      <c r="B254" s="337" t="s">
        <v>90</v>
      </c>
      <c r="C254" s="378"/>
      <c r="D254" s="378"/>
      <c r="E254" s="378"/>
      <c r="F254" s="286"/>
      <c r="G254" s="379"/>
      <c r="H254" s="378"/>
      <c r="I254" s="378"/>
      <c r="J254" s="378"/>
      <c r="K254" s="378"/>
      <c r="L254" s="378"/>
      <c r="M254" s="378"/>
      <c r="N254" s="378"/>
      <c r="O254" s="378"/>
      <c r="P254" s="378"/>
      <c r="Q254" s="378"/>
      <c r="R254" s="337">
        <v>2</v>
      </c>
      <c r="S254" s="379">
        <f t="shared" si="5"/>
        <v>4.0600893219650832E-4</v>
      </c>
      <c r="T254" s="338">
        <v>343</v>
      </c>
      <c r="U254" s="379">
        <f t="shared" si="6"/>
        <v>5.0339461147622306E-4</v>
      </c>
      <c r="V254" s="361"/>
      <c r="W254" s="409"/>
      <c r="X254" s="5"/>
    </row>
    <row r="255" spans="1:25" ht="15.75" x14ac:dyDescent="0.25">
      <c r="A255" s="285"/>
      <c r="B255" s="337" t="s">
        <v>156</v>
      </c>
      <c r="C255" s="378"/>
      <c r="D255" s="378"/>
      <c r="E255" s="378"/>
      <c r="F255" s="286"/>
      <c r="G255" s="379"/>
      <c r="H255" s="378"/>
      <c r="I255" s="378"/>
      <c r="J255" s="378"/>
      <c r="K255" s="378"/>
      <c r="L255" s="378"/>
      <c r="M255" s="378"/>
      <c r="N255" s="378"/>
      <c r="O255" s="378"/>
      <c r="P255" s="378"/>
      <c r="Q255" s="378"/>
      <c r="R255" s="337">
        <v>2</v>
      </c>
      <c r="S255" s="379">
        <f t="shared" si="5"/>
        <v>4.0600893219650832E-4</v>
      </c>
      <c r="T255" s="338">
        <v>407</v>
      </c>
      <c r="U255" s="379">
        <f t="shared" si="6"/>
        <v>5.9732246901114509E-4</v>
      </c>
      <c r="V255" s="361"/>
      <c r="W255" s="409"/>
      <c r="X255" s="5"/>
      <c r="Y255" s="109"/>
    </row>
    <row r="256" spans="1:25" ht="15.75" x14ac:dyDescent="0.25">
      <c r="A256" s="285"/>
      <c r="B256" s="337" t="s">
        <v>157</v>
      </c>
      <c r="C256" s="378"/>
      <c r="D256" s="378"/>
      <c r="E256" s="378"/>
      <c r="F256" s="286"/>
      <c r="G256" s="379"/>
      <c r="H256" s="378"/>
      <c r="I256" s="378"/>
      <c r="J256" s="378"/>
      <c r="K256" s="378"/>
      <c r="L256" s="378"/>
      <c r="M256" s="378"/>
      <c r="N256" s="378"/>
      <c r="O256" s="378"/>
      <c r="P256" s="378"/>
      <c r="Q256" s="378"/>
      <c r="R256" s="337">
        <v>0</v>
      </c>
      <c r="S256" s="379">
        <f t="shared" si="5"/>
        <v>0</v>
      </c>
      <c r="T256" s="338">
        <v>0</v>
      </c>
      <c r="U256" s="379">
        <f t="shared" si="6"/>
        <v>0</v>
      </c>
      <c r="V256" s="361"/>
      <c r="W256" s="409"/>
      <c r="X256" s="5"/>
    </row>
    <row r="257" spans="1:25" ht="15.75" x14ac:dyDescent="0.25">
      <c r="A257" s="285"/>
      <c r="B257" s="337" t="s">
        <v>158</v>
      </c>
      <c r="C257" s="378"/>
      <c r="D257" s="378"/>
      <c r="E257" s="378"/>
      <c r="F257" s="286"/>
      <c r="G257" s="379"/>
      <c r="H257" s="378"/>
      <c r="I257" s="378"/>
      <c r="J257" s="378"/>
      <c r="K257" s="378"/>
      <c r="L257" s="378"/>
      <c r="M257" s="378"/>
      <c r="N257" s="378"/>
      <c r="O257" s="378"/>
      <c r="P257" s="378"/>
      <c r="Q257" s="378"/>
      <c r="R257" s="337">
        <v>0</v>
      </c>
      <c r="S257" s="379">
        <f t="shared" si="5"/>
        <v>0</v>
      </c>
      <c r="T257" s="338">
        <v>0</v>
      </c>
      <c r="U257" s="379">
        <f t="shared" si="6"/>
        <v>0</v>
      </c>
      <c r="V257" s="361"/>
      <c r="W257" s="409"/>
      <c r="X257" s="5"/>
      <c r="Y257" s="109"/>
    </row>
    <row r="258" spans="1:25" ht="15.75" x14ac:dyDescent="0.25">
      <c r="A258" s="285"/>
      <c r="B258" s="337" t="s">
        <v>159</v>
      </c>
      <c r="C258" s="378"/>
      <c r="D258" s="378"/>
      <c r="E258" s="378"/>
      <c r="F258" s="286"/>
      <c r="G258" s="379"/>
      <c r="H258" s="378"/>
      <c r="I258" s="378"/>
      <c r="J258" s="378"/>
      <c r="K258" s="378"/>
      <c r="L258" s="378"/>
      <c r="M258" s="378"/>
      <c r="N258" s="378"/>
      <c r="O258" s="378"/>
      <c r="P258" s="378"/>
      <c r="Q258" s="378"/>
      <c r="R258" s="337">
        <v>0</v>
      </c>
      <c r="S258" s="379">
        <f t="shared" si="5"/>
        <v>0</v>
      </c>
      <c r="T258" s="338">
        <v>0</v>
      </c>
      <c r="U258" s="379">
        <f t="shared" si="6"/>
        <v>0</v>
      </c>
      <c r="V258" s="361"/>
      <c r="W258" s="409"/>
      <c r="X258" s="5"/>
    </row>
    <row r="259" spans="1:25" ht="15.75" x14ac:dyDescent="0.25">
      <c r="A259" s="285"/>
      <c r="B259" s="337" t="s">
        <v>160</v>
      </c>
      <c r="C259" s="378"/>
      <c r="D259" s="378"/>
      <c r="E259" s="378"/>
      <c r="F259" s="286"/>
      <c r="G259" s="379"/>
      <c r="H259" s="378"/>
      <c r="I259" s="378"/>
      <c r="J259" s="378"/>
      <c r="K259" s="378"/>
      <c r="L259" s="378"/>
      <c r="M259" s="378"/>
      <c r="N259" s="378"/>
      <c r="O259" s="378"/>
      <c r="P259" s="378"/>
      <c r="Q259" s="378"/>
      <c r="R259" s="337">
        <v>0</v>
      </c>
      <c r="S259" s="379">
        <f t="shared" si="5"/>
        <v>0</v>
      </c>
      <c r="T259" s="338">
        <v>0</v>
      </c>
      <c r="U259" s="379">
        <f t="shared" si="6"/>
        <v>0</v>
      </c>
      <c r="V259" s="361"/>
      <c r="W259" s="409"/>
      <c r="X259" s="5"/>
      <c r="Y259" s="109"/>
    </row>
    <row r="260" spans="1:25" ht="15.75" x14ac:dyDescent="0.25">
      <c r="A260" s="285"/>
      <c r="B260" s="337"/>
      <c r="C260" s="378"/>
      <c r="D260" s="378"/>
      <c r="E260" s="378"/>
      <c r="F260" s="286"/>
      <c r="G260" s="379"/>
      <c r="H260" s="378"/>
      <c r="I260" s="378"/>
      <c r="J260" s="378"/>
      <c r="K260" s="378"/>
      <c r="L260" s="378"/>
      <c r="M260" s="378"/>
      <c r="N260" s="378"/>
      <c r="O260" s="378"/>
      <c r="P260" s="378"/>
      <c r="Q260" s="378"/>
      <c r="R260" s="337"/>
      <c r="S260" s="379"/>
      <c r="T260" s="338"/>
      <c r="U260" s="379"/>
      <c r="V260" s="361"/>
      <c r="W260" s="409"/>
      <c r="X260" s="5"/>
    </row>
    <row r="261" spans="1:25" ht="15.75" x14ac:dyDescent="0.25">
      <c r="A261" s="285"/>
      <c r="B261" s="286"/>
      <c r="C261" s="286"/>
      <c r="D261" s="286"/>
      <c r="E261" s="286"/>
      <c r="F261" s="286"/>
      <c r="G261" s="286"/>
      <c r="H261" s="381"/>
      <c r="I261" s="381"/>
      <c r="J261" s="381"/>
      <c r="K261" s="381"/>
      <c r="L261" s="381"/>
      <c r="M261" s="381"/>
      <c r="N261" s="381"/>
      <c r="O261" s="381"/>
      <c r="P261" s="381"/>
      <c r="Q261" s="381"/>
      <c r="R261" s="337">
        <f>SUM(R252:R260)</f>
        <v>4926</v>
      </c>
      <c r="S261" s="379">
        <f>SUM(S252:S260)</f>
        <v>1</v>
      </c>
      <c r="T261" s="338">
        <f>SUM(T252:T260)</f>
        <v>681374</v>
      </c>
      <c r="U261" s="379">
        <f>SUM(U252:U260)</f>
        <v>0.99999999999999989</v>
      </c>
      <c r="V261" s="286"/>
      <c r="W261" s="289"/>
      <c r="X261" s="5"/>
    </row>
    <row r="262" spans="1:25" ht="15.75" x14ac:dyDescent="0.25">
      <c r="A262" s="181"/>
      <c r="B262" s="212"/>
      <c r="C262" s="212"/>
      <c r="D262" s="212"/>
      <c r="E262" s="212"/>
      <c r="F262" s="212"/>
      <c r="G262" s="212"/>
      <c r="H262" s="375"/>
      <c r="I262" s="375"/>
      <c r="J262" s="375"/>
      <c r="K262" s="375"/>
      <c r="L262" s="375"/>
      <c r="M262" s="375"/>
      <c r="N262" s="375"/>
      <c r="O262" s="375"/>
      <c r="P262" s="375"/>
      <c r="Q262" s="375"/>
      <c r="R262" s="335"/>
      <c r="S262" s="376"/>
      <c r="T262" s="377"/>
      <c r="U262" s="376"/>
      <c r="V262" s="212"/>
      <c r="W262" s="212"/>
      <c r="X262" s="5"/>
    </row>
    <row r="263" spans="1:25" ht="15.75" x14ac:dyDescent="0.25">
      <c r="A263" s="244"/>
      <c r="B263" s="399" t="s">
        <v>236</v>
      </c>
      <c r="C263" s="400"/>
      <c r="D263" s="400"/>
      <c r="E263" s="400"/>
      <c r="F263" s="407"/>
      <c r="G263" s="400"/>
      <c r="H263" s="400"/>
      <c r="I263" s="400"/>
      <c r="J263" s="400"/>
      <c r="K263" s="400"/>
      <c r="L263" s="400"/>
      <c r="M263" s="400"/>
      <c r="N263" s="400"/>
      <c r="O263" s="400"/>
      <c r="P263" s="400"/>
      <c r="Q263" s="400"/>
      <c r="R263" s="407" t="s">
        <v>102</v>
      </c>
      <c r="S263" s="400" t="s">
        <v>103</v>
      </c>
      <c r="T263" s="407" t="s">
        <v>109</v>
      </c>
      <c r="U263" s="400" t="s">
        <v>103</v>
      </c>
      <c r="V263" s="245"/>
      <c r="W263" s="246"/>
      <c r="X263" s="5"/>
    </row>
    <row r="264" spans="1:25" ht="15.75" x14ac:dyDescent="0.25">
      <c r="A264" s="193"/>
      <c r="B264" s="249" t="s">
        <v>88</v>
      </c>
      <c r="C264" s="265"/>
      <c r="D264" s="265"/>
      <c r="E264" s="265"/>
      <c r="F264" s="250"/>
      <c r="G264" s="265"/>
      <c r="H264" s="265"/>
      <c r="I264" s="265"/>
      <c r="J264" s="265"/>
      <c r="K264" s="265"/>
      <c r="L264" s="265"/>
      <c r="M264" s="265"/>
      <c r="N264" s="265"/>
      <c r="O264" s="265"/>
      <c r="P264" s="265"/>
      <c r="Q264" s="265"/>
      <c r="R264" s="249">
        <v>74</v>
      </c>
      <c r="S264" s="252">
        <f t="shared" ref="S264:S270" si="7">R264/$R$273</f>
        <v>0.89156626506024095</v>
      </c>
      <c r="T264" s="253">
        <v>10163</v>
      </c>
      <c r="U264" s="252">
        <f t="shared" ref="U264:U271" si="8">T264/$T$273</f>
        <v>0.90073561995923068</v>
      </c>
      <c r="V264" s="250"/>
      <c r="W264" s="250"/>
      <c r="X264" s="5"/>
    </row>
    <row r="265" spans="1:25" ht="15.75" x14ac:dyDescent="0.25">
      <c r="A265" s="285"/>
      <c r="B265" s="337" t="s">
        <v>89</v>
      </c>
      <c r="C265" s="378"/>
      <c r="D265" s="378"/>
      <c r="E265" s="378"/>
      <c r="F265" s="286"/>
      <c r="G265" s="379"/>
      <c r="H265" s="378"/>
      <c r="I265" s="378"/>
      <c r="J265" s="378"/>
      <c r="K265" s="378"/>
      <c r="L265" s="378"/>
      <c r="M265" s="378"/>
      <c r="N265" s="378"/>
      <c r="O265" s="378"/>
      <c r="P265" s="378"/>
      <c r="Q265" s="378"/>
      <c r="R265" s="337">
        <v>1</v>
      </c>
      <c r="S265" s="379">
        <f t="shared" si="7"/>
        <v>1.2048192771084338E-2</v>
      </c>
      <c r="T265" s="338">
        <v>92</v>
      </c>
      <c r="U265" s="379">
        <f t="shared" si="8"/>
        <v>8.1538597890631927E-3</v>
      </c>
      <c r="V265" s="286"/>
      <c r="W265" s="289"/>
      <c r="X265" s="5"/>
    </row>
    <row r="266" spans="1:25" ht="15.75" x14ac:dyDescent="0.25">
      <c r="A266" s="285"/>
      <c r="B266" s="337" t="s">
        <v>90</v>
      </c>
      <c r="C266" s="378"/>
      <c r="D266" s="378"/>
      <c r="E266" s="378"/>
      <c r="F266" s="286"/>
      <c r="G266" s="379"/>
      <c r="H266" s="378"/>
      <c r="I266" s="378"/>
      <c r="J266" s="378"/>
      <c r="K266" s="378"/>
      <c r="L266" s="378"/>
      <c r="M266" s="378"/>
      <c r="N266" s="378"/>
      <c r="O266" s="378"/>
      <c r="P266" s="378"/>
      <c r="Q266" s="378"/>
      <c r="R266" s="337">
        <v>0</v>
      </c>
      <c r="S266" s="379">
        <f t="shared" si="7"/>
        <v>0</v>
      </c>
      <c r="T266" s="338">
        <v>0</v>
      </c>
      <c r="U266" s="379">
        <f t="shared" si="8"/>
        <v>0</v>
      </c>
      <c r="V266" s="286"/>
      <c r="W266" s="289"/>
      <c r="X266" s="5"/>
    </row>
    <row r="267" spans="1:25" ht="15.75" x14ac:dyDescent="0.25">
      <c r="A267" s="285"/>
      <c r="B267" s="337" t="s">
        <v>156</v>
      </c>
      <c r="C267" s="378"/>
      <c r="D267" s="378"/>
      <c r="E267" s="378"/>
      <c r="F267" s="286"/>
      <c r="G267" s="379"/>
      <c r="H267" s="378"/>
      <c r="I267" s="378"/>
      <c r="J267" s="378"/>
      <c r="K267" s="378"/>
      <c r="L267" s="378"/>
      <c r="M267" s="378"/>
      <c r="N267" s="378"/>
      <c r="O267" s="378"/>
      <c r="P267" s="378"/>
      <c r="Q267" s="378"/>
      <c r="R267" s="337">
        <v>1</v>
      </c>
      <c r="S267" s="379">
        <f t="shared" si="7"/>
        <v>1.2048192771084338E-2</v>
      </c>
      <c r="T267" s="338">
        <v>72</v>
      </c>
      <c r="U267" s="379">
        <f t="shared" si="8"/>
        <v>6.3812815740494546E-3</v>
      </c>
      <c r="V267" s="286"/>
      <c r="W267" s="289"/>
      <c r="X267" s="5"/>
    </row>
    <row r="268" spans="1:25" ht="15.75" x14ac:dyDescent="0.25">
      <c r="A268" s="285"/>
      <c r="B268" s="337" t="s">
        <v>157</v>
      </c>
      <c r="C268" s="378"/>
      <c r="D268" s="378"/>
      <c r="E268" s="378"/>
      <c r="F268" s="286"/>
      <c r="G268" s="379"/>
      <c r="H268" s="378"/>
      <c r="I268" s="378"/>
      <c r="J268" s="378"/>
      <c r="K268" s="378"/>
      <c r="L268" s="378"/>
      <c r="M268" s="378"/>
      <c r="N268" s="378"/>
      <c r="O268" s="378"/>
      <c r="P268" s="378"/>
      <c r="Q268" s="378"/>
      <c r="R268" s="337">
        <v>1</v>
      </c>
      <c r="S268" s="379">
        <f t="shared" si="7"/>
        <v>1.2048192771084338E-2</v>
      </c>
      <c r="T268" s="338">
        <v>150</v>
      </c>
      <c r="U268" s="379">
        <f t="shared" si="8"/>
        <v>1.3294336612603031E-2</v>
      </c>
      <c r="V268" s="286"/>
      <c r="W268" s="289"/>
      <c r="X268" s="5"/>
    </row>
    <row r="269" spans="1:25" ht="15.75" x14ac:dyDescent="0.25">
      <c r="A269" s="285"/>
      <c r="B269" s="337" t="s">
        <v>158</v>
      </c>
      <c r="C269" s="378"/>
      <c r="D269" s="378"/>
      <c r="E269" s="378"/>
      <c r="F269" s="286"/>
      <c r="G269" s="379"/>
      <c r="H269" s="378"/>
      <c r="I269" s="378"/>
      <c r="J269" s="378"/>
      <c r="K269" s="378"/>
      <c r="L269" s="378"/>
      <c r="M269" s="378"/>
      <c r="N269" s="378"/>
      <c r="O269" s="378"/>
      <c r="P269" s="378"/>
      <c r="Q269" s="378"/>
      <c r="R269" s="337">
        <v>1</v>
      </c>
      <c r="S269" s="379">
        <f t="shared" si="7"/>
        <v>1.2048192771084338E-2</v>
      </c>
      <c r="T269" s="338">
        <v>150</v>
      </c>
      <c r="U269" s="379">
        <f t="shared" si="8"/>
        <v>1.3294336612603031E-2</v>
      </c>
      <c r="V269" s="286"/>
      <c r="W269" s="289"/>
      <c r="X269" s="5"/>
    </row>
    <row r="270" spans="1:25" ht="15.75" x14ac:dyDescent="0.25">
      <c r="A270" s="285"/>
      <c r="B270" s="337" t="s">
        <v>159</v>
      </c>
      <c r="C270" s="378"/>
      <c r="D270" s="378"/>
      <c r="E270" s="378"/>
      <c r="F270" s="286"/>
      <c r="G270" s="379"/>
      <c r="H270" s="378"/>
      <c r="I270" s="378"/>
      <c r="J270" s="378"/>
      <c r="K270" s="378"/>
      <c r="L270" s="378"/>
      <c r="M270" s="378"/>
      <c r="N270" s="378"/>
      <c r="O270" s="378"/>
      <c r="P270" s="378"/>
      <c r="Q270" s="378"/>
      <c r="R270" s="337">
        <v>3</v>
      </c>
      <c r="S270" s="379">
        <f t="shared" si="7"/>
        <v>3.614457831325301E-2</v>
      </c>
      <c r="T270" s="338">
        <v>365</v>
      </c>
      <c r="U270" s="379">
        <f t="shared" si="8"/>
        <v>3.2349552424000706E-2</v>
      </c>
      <c r="V270" s="286"/>
      <c r="W270" s="289"/>
      <c r="X270" s="5"/>
    </row>
    <row r="271" spans="1:25" ht="15.75" x14ac:dyDescent="0.25">
      <c r="A271" s="285"/>
      <c r="B271" s="337" t="s">
        <v>160</v>
      </c>
      <c r="C271" s="378"/>
      <c r="D271" s="378"/>
      <c r="E271" s="378"/>
      <c r="F271" s="286"/>
      <c r="G271" s="379"/>
      <c r="H271" s="378"/>
      <c r="I271" s="378"/>
      <c r="J271" s="378"/>
      <c r="K271" s="378"/>
      <c r="L271" s="378"/>
      <c r="M271" s="378"/>
      <c r="N271" s="378"/>
      <c r="O271" s="378"/>
      <c r="P271" s="378"/>
      <c r="Q271" s="378"/>
      <c r="R271" s="337">
        <v>2</v>
      </c>
      <c r="S271" s="379">
        <f>R271/$R$273</f>
        <v>2.4096385542168676E-2</v>
      </c>
      <c r="T271" s="338">
        <v>291</v>
      </c>
      <c r="U271" s="379">
        <f t="shared" si="8"/>
        <v>2.5791013028449879E-2</v>
      </c>
      <c r="V271" s="286"/>
      <c r="W271" s="289"/>
      <c r="X271" s="5"/>
    </row>
    <row r="272" spans="1:25" ht="15.75" x14ac:dyDescent="0.25">
      <c r="A272" s="285"/>
      <c r="B272" s="337"/>
      <c r="C272" s="378"/>
      <c r="D272" s="378"/>
      <c r="E272" s="378"/>
      <c r="F272" s="286"/>
      <c r="G272" s="379"/>
      <c r="H272" s="378"/>
      <c r="I272" s="378"/>
      <c r="J272" s="378"/>
      <c r="K272" s="378"/>
      <c r="L272" s="378"/>
      <c r="M272" s="378"/>
      <c r="N272" s="378"/>
      <c r="O272" s="378"/>
      <c r="P272" s="378"/>
      <c r="Q272" s="378"/>
      <c r="R272" s="337"/>
      <c r="S272" s="379"/>
      <c r="T272" s="338"/>
      <c r="U272" s="379"/>
      <c r="V272" s="286"/>
      <c r="W272" s="289"/>
      <c r="X272" s="5"/>
    </row>
    <row r="273" spans="1:24" ht="15.75" x14ac:dyDescent="0.25">
      <c r="A273" s="285"/>
      <c r="B273" s="286"/>
      <c r="C273" s="286"/>
      <c r="D273" s="286"/>
      <c r="E273" s="286"/>
      <c r="F273" s="286"/>
      <c r="G273" s="286"/>
      <c r="H273" s="381"/>
      <c r="I273" s="381"/>
      <c r="J273" s="381"/>
      <c r="K273" s="381"/>
      <c r="L273" s="381"/>
      <c r="M273" s="381"/>
      <c r="N273" s="381"/>
      <c r="O273" s="381"/>
      <c r="P273" s="381"/>
      <c r="Q273" s="381"/>
      <c r="R273" s="337">
        <f>SUM(R264:R272)</f>
        <v>83</v>
      </c>
      <c r="S273" s="379">
        <f>SUM(S264:S272)</f>
        <v>1.0000000000000002</v>
      </c>
      <c r="T273" s="338">
        <f>SUM(T264:T272)</f>
        <v>11283</v>
      </c>
      <c r="U273" s="379">
        <f>SUM(U264:U272)</f>
        <v>1</v>
      </c>
      <c r="V273" s="286"/>
      <c r="W273" s="289"/>
      <c r="X273" s="5"/>
    </row>
    <row r="274" spans="1:24" ht="15.75" x14ac:dyDescent="0.25">
      <c r="A274" s="181"/>
      <c r="B274" s="212"/>
      <c r="C274" s="212"/>
      <c r="D274" s="212"/>
      <c r="E274" s="212"/>
      <c r="F274" s="212"/>
      <c r="G274" s="212"/>
      <c r="H274" s="375"/>
      <c r="I274" s="375"/>
      <c r="J274" s="375"/>
      <c r="K274" s="375"/>
      <c r="L274" s="375"/>
      <c r="M274" s="375"/>
      <c r="N274" s="375"/>
      <c r="O274" s="375"/>
      <c r="P274" s="375"/>
      <c r="Q274" s="375"/>
      <c r="R274" s="335"/>
      <c r="S274" s="376"/>
      <c r="T274" s="377"/>
      <c r="U274" s="376"/>
      <c r="V274" s="212"/>
      <c r="W274" s="212"/>
      <c r="X274" s="5"/>
    </row>
    <row r="275" spans="1:24" ht="15.75" x14ac:dyDescent="0.25">
      <c r="A275" s="244"/>
      <c r="B275" s="399" t="s">
        <v>163</v>
      </c>
      <c r="C275" s="245"/>
      <c r="D275" s="245"/>
      <c r="E275" s="245"/>
      <c r="F275" s="245"/>
      <c r="G275" s="245"/>
      <c r="H275" s="247"/>
      <c r="I275" s="247"/>
      <c r="J275" s="247"/>
      <c r="K275" s="247"/>
      <c r="L275" s="247"/>
      <c r="M275" s="247"/>
      <c r="N275" s="247"/>
      <c r="O275" s="247"/>
      <c r="P275" s="247"/>
      <c r="Q275" s="247"/>
      <c r="R275" s="407" t="s">
        <v>102</v>
      </c>
      <c r="S275" s="400" t="s">
        <v>103</v>
      </c>
      <c r="T275" s="407" t="s">
        <v>109</v>
      </c>
      <c r="U275" s="400" t="s">
        <v>103</v>
      </c>
      <c r="V275" s="245"/>
      <c r="W275" s="246"/>
      <c r="X275" s="5"/>
    </row>
    <row r="276" spans="1:24" ht="15.75" x14ac:dyDescent="0.25">
      <c r="A276" s="248"/>
      <c r="B276" s="249" t="s">
        <v>88</v>
      </c>
      <c r="C276" s="250"/>
      <c r="D276" s="250"/>
      <c r="E276" s="250"/>
      <c r="F276" s="250"/>
      <c r="G276" s="250"/>
      <c r="H276" s="251"/>
      <c r="I276" s="251"/>
      <c r="J276" s="251"/>
      <c r="K276" s="251"/>
      <c r="L276" s="251"/>
      <c r="M276" s="251"/>
      <c r="N276" s="251"/>
      <c r="O276" s="251"/>
      <c r="P276" s="251"/>
      <c r="Q276" s="251"/>
      <c r="R276" s="249">
        <v>0</v>
      </c>
      <c r="S276" s="252">
        <v>0</v>
      </c>
      <c r="T276" s="253">
        <v>0</v>
      </c>
      <c r="U276" s="252">
        <v>0</v>
      </c>
      <c r="V276" s="250"/>
      <c r="W276" s="250"/>
      <c r="X276" s="5"/>
    </row>
    <row r="277" spans="1:24" ht="15.75" x14ac:dyDescent="0.25">
      <c r="A277" s="295"/>
      <c r="B277" s="337" t="s">
        <v>89</v>
      </c>
      <c r="C277" s="286"/>
      <c r="D277" s="286"/>
      <c r="E277" s="286"/>
      <c r="F277" s="286"/>
      <c r="G277" s="286"/>
      <c r="H277" s="381"/>
      <c r="I277" s="381"/>
      <c r="J277" s="381"/>
      <c r="K277" s="381"/>
      <c r="L277" s="381"/>
      <c r="M277" s="381"/>
      <c r="N277" s="381"/>
      <c r="O277" s="381"/>
      <c r="P277" s="381"/>
      <c r="Q277" s="381"/>
      <c r="R277" s="337">
        <v>0</v>
      </c>
      <c r="S277" s="379">
        <v>0</v>
      </c>
      <c r="T277" s="338">
        <v>0</v>
      </c>
      <c r="U277" s="379">
        <v>0</v>
      </c>
      <c r="V277" s="286"/>
      <c r="W277" s="289"/>
      <c r="X277" s="5"/>
    </row>
    <row r="278" spans="1:24" ht="15.75" x14ac:dyDescent="0.25">
      <c r="A278" s="295"/>
      <c r="B278" s="337" t="s">
        <v>90</v>
      </c>
      <c r="C278" s="286"/>
      <c r="D278" s="286"/>
      <c r="E278" s="286"/>
      <c r="F278" s="286"/>
      <c r="G278" s="286"/>
      <c r="H278" s="381"/>
      <c r="I278" s="381"/>
      <c r="J278" s="381"/>
      <c r="K278" s="381"/>
      <c r="L278" s="381"/>
      <c r="M278" s="381"/>
      <c r="N278" s="381"/>
      <c r="O278" s="381"/>
      <c r="P278" s="381"/>
      <c r="Q278" s="381"/>
      <c r="R278" s="337">
        <v>0</v>
      </c>
      <c r="S278" s="379">
        <v>0</v>
      </c>
      <c r="T278" s="338">
        <v>0</v>
      </c>
      <c r="U278" s="379">
        <v>0</v>
      </c>
      <c r="V278" s="286"/>
      <c r="W278" s="289"/>
      <c r="X278" s="5"/>
    </row>
    <row r="279" spans="1:24" ht="15.75" x14ac:dyDescent="0.25">
      <c r="A279" s="295"/>
      <c r="B279" s="337" t="s">
        <v>156</v>
      </c>
      <c r="C279" s="286"/>
      <c r="D279" s="286"/>
      <c r="E279" s="286"/>
      <c r="F279" s="286"/>
      <c r="G279" s="286"/>
      <c r="H279" s="381"/>
      <c r="I279" s="381"/>
      <c r="J279" s="381"/>
      <c r="K279" s="381"/>
      <c r="L279" s="381"/>
      <c r="M279" s="381"/>
      <c r="N279" s="381"/>
      <c r="O279" s="381"/>
      <c r="P279" s="381"/>
      <c r="Q279" s="381"/>
      <c r="R279" s="337">
        <v>0</v>
      </c>
      <c r="S279" s="379">
        <v>0</v>
      </c>
      <c r="T279" s="338">
        <v>0</v>
      </c>
      <c r="U279" s="379">
        <v>0</v>
      </c>
      <c r="V279" s="286"/>
      <c r="W279" s="289"/>
      <c r="X279" s="5"/>
    </row>
    <row r="280" spans="1:24" ht="15.75" x14ac:dyDescent="0.25">
      <c r="A280" s="295"/>
      <c r="B280" s="337" t="s">
        <v>157</v>
      </c>
      <c r="C280" s="286"/>
      <c r="D280" s="286"/>
      <c r="E280" s="286"/>
      <c r="F280" s="286"/>
      <c r="G280" s="286"/>
      <c r="H280" s="381"/>
      <c r="I280" s="381"/>
      <c r="J280" s="381"/>
      <c r="K280" s="381"/>
      <c r="L280" s="381"/>
      <c r="M280" s="381"/>
      <c r="N280" s="381"/>
      <c r="O280" s="381"/>
      <c r="P280" s="381"/>
      <c r="Q280" s="381"/>
      <c r="R280" s="337">
        <v>0</v>
      </c>
      <c r="S280" s="379">
        <v>0</v>
      </c>
      <c r="T280" s="338">
        <v>0</v>
      </c>
      <c r="U280" s="379">
        <v>0</v>
      </c>
      <c r="V280" s="286"/>
      <c r="W280" s="289"/>
      <c r="X280" s="5"/>
    </row>
    <row r="281" spans="1:24" ht="15.75" x14ac:dyDescent="0.25">
      <c r="A281" s="295"/>
      <c r="B281" s="337" t="s">
        <v>158</v>
      </c>
      <c r="C281" s="286"/>
      <c r="D281" s="286"/>
      <c r="E281" s="286"/>
      <c r="F281" s="286"/>
      <c r="G281" s="286"/>
      <c r="H281" s="381"/>
      <c r="I281" s="381"/>
      <c r="J281" s="381"/>
      <c r="K281" s="381"/>
      <c r="L281" s="381"/>
      <c r="M281" s="381"/>
      <c r="N281" s="381"/>
      <c r="O281" s="381"/>
      <c r="P281" s="381"/>
      <c r="Q281" s="381"/>
      <c r="R281" s="337">
        <v>0</v>
      </c>
      <c r="S281" s="379">
        <v>0</v>
      </c>
      <c r="T281" s="338">
        <v>0</v>
      </c>
      <c r="U281" s="379">
        <v>0</v>
      </c>
      <c r="V281" s="286"/>
      <c r="W281" s="289"/>
      <c r="X281" s="5"/>
    </row>
    <row r="282" spans="1:24" ht="15.75" x14ac:dyDescent="0.25">
      <c r="A282" s="295"/>
      <c r="B282" s="337" t="s">
        <v>159</v>
      </c>
      <c r="C282" s="286"/>
      <c r="D282" s="286"/>
      <c r="E282" s="286"/>
      <c r="F282" s="286"/>
      <c r="G282" s="286"/>
      <c r="H282" s="381"/>
      <c r="I282" s="381"/>
      <c r="J282" s="381"/>
      <c r="K282" s="381"/>
      <c r="L282" s="381"/>
      <c r="M282" s="381"/>
      <c r="N282" s="381"/>
      <c r="O282" s="381"/>
      <c r="P282" s="381"/>
      <c r="Q282" s="381"/>
      <c r="R282" s="337">
        <v>0</v>
      </c>
      <c r="S282" s="379">
        <v>0</v>
      </c>
      <c r="T282" s="338">
        <v>0</v>
      </c>
      <c r="U282" s="379">
        <v>0</v>
      </c>
      <c r="V282" s="286"/>
      <c r="W282" s="289"/>
      <c r="X282" s="5"/>
    </row>
    <row r="283" spans="1:24" ht="15.75" x14ac:dyDescent="0.25">
      <c r="A283" s="295"/>
      <c r="B283" s="337" t="s">
        <v>160</v>
      </c>
      <c r="C283" s="286"/>
      <c r="D283" s="286"/>
      <c r="E283" s="286"/>
      <c r="F283" s="286"/>
      <c r="G283" s="286"/>
      <c r="H283" s="381"/>
      <c r="I283" s="381"/>
      <c r="J283" s="381"/>
      <c r="K283" s="381"/>
      <c r="L283" s="381"/>
      <c r="M283" s="381"/>
      <c r="N283" s="381"/>
      <c r="O283" s="381"/>
      <c r="P283" s="381"/>
      <c r="Q283" s="381"/>
      <c r="R283" s="337">
        <v>0</v>
      </c>
      <c r="S283" s="379">
        <v>0</v>
      </c>
      <c r="T283" s="338">
        <v>0</v>
      </c>
      <c r="U283" s="379">
        <v>0</v>
      </c>
      <c r="V283" s="286"/>
      <c r="W283" s="289"/>
      <c r="X283" s="5"/>
    </row>
    <row r="284" spans="1:24" ht="15.75" x14ac:dyDescent="0.25">
      <c r="A284" s="295"/>
      <c r="B284" s="337"/>
      <c r="C284" s="286"/>
      <c r="D284" s="286"/>
      <c r="E284" s="286"/>
      <c r="F284" s="286"/>
      <c r="G284" s="286"/>
      <c r="H284" s="381"/>
      <c r="I284" s="381"/>
      <c r="J284" s="381"/>
      <c r="K284" s="381"/>
      <c r="L284" s="381"/>
      <c r="M284" s="381"/>
      <c r="N284" s="381"/>
      <c r="O284" s="381"/>
      <c r="P284" s="381"/>
      <c r="Q284" s="381"/>
      <c r="R284" s="337"/>
      <c r="S284" s="379"/>
      <c r="T284" s="338"/>
      <c r="U284" s="379"/>
      <c r="V284" s="286"/>
      <c r="W284" s="289"/>
      <c r="X284" s="5"/>
    </row>
    <row r="285" spans="1:24" ht="15.75" x14ac:dyDescent="0.25">
      <c r="A285" s="295"/>
      <c r="B285" s="286" t="s">
        <v>114</v>
      </c>
      <c r="C285" s="286"/>
      <c r="D285" s="286"/>
      <c r="E285" s="286"/>
      <c r="F285" s="286"/>
      <c r="G285" s="286"/>
      <c r="H285" s="381"/>
      <c r="I285" s="381"/>
      <c r="J285" s="381"/>
      <c r="K285" s="381"/>
      <c r="L285" s="381"/>
      <c r="M285" s="381"/>
      <c r="N285" s="381"/>
      <c r="O285" s="381"/>
      <c r="P285" s="381"/>
      <c r="Q285" s="381"/>
      <c r="R285" s="337">
        <f>SUM(R276:R283)</f>
        <v>0</v>
      </c>
      <c r="S285" s="379">
        <f>SUM(S276:S283)</f>
        <v>0</v>
      </c>
      <c r="T285" s="338">
        <f>SUM(T276:T283)</f>
        <v>0</v>
      </c>
      <c r="U285" s="379">
        <f>SUM(U276:U283)</f>
        <v>0</v>
      </c>
      <c r="V285" s="286"/>
      <c r="W285" s="289"/>
      <c r="X285" s="5"/>
    </row>
    <row r="286" spans="1:24" ht="15.75" x14ac:dyDescent="0.25">
      <c r="A286" s="295"/>
      <c r="B286" s="286"/>
      <c r="C286" s="286"/>
      <c r="D286" s="286"/>
      <c r="E286" s="286"/>
      <c r="F286" s="286"/>
      <c r="G286" s="286"/>
      <c r="H286" s="381"/>
      <c r="I286" s="381"/>
      <c r="J286" s="381"/>
      <c r="K286" s="381"/>
      <c r="L286" s="381"/>
      <c r="M286" s="381"/>
      <c r="N286" s="381"/>
      <c r="O286" s="381"/>
      <c r="P286" s="381"/>
      <c r="Q286" s="381"/>
      <c r="R286" s="337"/>
      <c r="S286" s="379"/>
      <c r="T286" s="338"/>
      <c r="U286" s="379"/>
      <c r="V286" s="286"/>
      <c r="W286" s="289"/>
      <c r="X286" s="5"/>
    </row>
    <row r="287" spans="1:24" ht="15.75" x14ac:dyDescent="0.25">
      <c r="A287" s="295"/>
      <c r="B287" s="297" t="s">
        <v>164</v>
      </c>
      <c r="C287" s="286"/>
      <c r="D287" s="286"/>
      <c r="E287" s="286"/>
      <c r="F287" s="286"/>
      <c r="G287" s="286"/>
      <c r="H287" s="381"/>
      <c r="I287" s="381"/>
      <c r="J287" s="381"/>
      <c r="K287" s="381"/>
      <c r="L287" s="381"/>
      <c r="M287" s="381"/>
      <c r="N287" s="381"/>
      <c r="O287" s="381"/>
      <c r="P287" s="381"/>
      <c r="Q287" s="381"/>
      <c r="R287" s="384">
        <f>R285+R273+R261</f>
        <v>5009</v>
      </c>
      <c r="S287" s="379"/>
      <c r="T287" s="410">
        <f>+T285+T273+T261</f>
        <v>692657</v>
      </c>
      <c r="U287" s="379"/>
      <c r="V287" s="286"/>
      <c r="W287" s="289"/>
      <c r="X287" s="5"/>
    </row>
    <row r="288" spans="1:24" ht="15.75" x14ac:dyDescent="0.25">
      <c r="A288" s="254"/>
      <c r="B288" s="346"/>
      <c r="C288" s="346"/>
      <c r="D288" s="346"/>
      <c r="E288" s="346"/>
      <c r="F288" s="346"/>
      <c r="G288" s="346"/>
      <c r="H288" s="382"/>
      <c r="I288" s="382"/>
      <c r="J288" s="382"/>
      <c r="K288" s="382"/>
      <c r="L288" s="382"/>
      <c r="M288" s="382"/>
      <c r="N288" s="382"/>
      <c r="O288" s="382"/>
      <c r="P288" s="382"/>
      <c r="Q288" s="382"/>
      <c r="R288" s="382"/>
      <c r="S288" s="382"/>
      <c r="T288" s="383"/>
      <c r="U288" s="382"/>
      <c r="V288" s="346"/>
      <c r="W288" s="346"/>
      <c r="X288" s="5"/>
    </row>
    <row r="289" spans="1:24" ht="15.75" x14ac:dyDescent="0.25">
      <c r="A289" s="254"/>
      <c r="B289" s="255"/>
      <c r="C289" s="255"/>
      <c r="D289" s="255"/>
      <c r="E289" s="255"/>
      <c r="F289" s="255"/>
      <c r="G289" s="255"/>
      <c r="H289" s="256"/>
      <c r="I289" s="256"/>
      <c r="J289" s="256"/>
      <c r="K289" s="256"/>
      <c r="L289" s="256"/>
      <c r="M289" s="256"/>
      <c r="N289" s="256"/>
      <c r="O289" s="256"/>
      <c r="P289" s="256"/>
      <c r="Q289" s="256"/>
      <c r="R289" s="256"/>
      <c r="S289" s="256"/>
      <c r="T289" s="257"/>
      <c r="U289" s="256"/>
      <c r="V289" s="255"/>
      <c r="W289" s="255"/>
      <c r="X289" s="5"/>
    </row>
    <row r="290" spans="1:24" ht="15.75" x14ac:dyDescent="0.25">
      <c r="A290" s="258"/>
      <c r="B290" s="388" t="s">
        <v>91</v>
      </c>
      <c r="C290" s="255"/>
      <c r="D290" s="255"/>
      <c r="E290" s="255"/>
      <c r="F290" s="391" t="s">
        <v>97</v>
      </c>
      <c r="G290" s="255"/>
      <c r="H290" s="388" t="s">
        <v>99</v>
      </c>
      <c r="I290" s="388"/>
      <c r="J290" s="388"/>
      <c r="K290" s="261"/>
      <c r="L290" s="261"/>
      <c r="M290" s="261"/>
      <c r="N290" s="261"/>
      <c r="O290" s="261"/>
      <c r="P290" s="261"/>
      <c r="Q290" s="261"/>
      <c r="R290" s="261"/>
      <c r="S290" s="261"/>
      <c r="T290" s="261"/>
      <c r="U290" s="261"/>
      <c r="V290" s="261"/>
      <c r="W290" s="261"/>
      <c r="X290" s="5"/>
    </row>
    <row r="291" spans="1:24" ht="15.75" x14ac:dyDescent="0.25">
      <c r="A291" s="258"/>
      <c r="B291" s="261"/>
      <c r="C291" s="255"/>
      <c r="D291" s="255"/>
      <c r="E291" s="255"/>
      <c r="F291" s="255"/>
      <c r="G291" s="255"/>
      <c r="H291" s="255"/>
      <c r="I291" s="255"/>
      <c r="J291" s="255"/>
      <c r="K291" s="261"/>
      <c r="L291" s="261"/>
      <c r="M291" s="261"/>
      <c r="N291" s="261"/>
      <c r="O291" s="261"/>
      <c r="P291" s="261"/>
      <c r="Q291" s="261"/>
      <c r="R291" s="261"/>
      <c r="S291" s="261"/>
      <c r="T291" s="261"/>
      <c r="U291" s="261"/>
      <c r="V291" s="261"/>
      <c r="W291" s="261"/>
      <c r="X291" s="5"/>
    </row>
    <row r="292" spans="1:24" ht="15.75" x14ac:dyDescent="0.25">
      <c r="A292" s="258"/>
      <c r="B292" s="388" t="s">
        <v>318</v>
      </c>
      <c r="C292" s="388"/>
      <c r="D292" s="388"/>
      <c r="E292" s="388"/>
      <c r="F292" s="411" t="s">
        <v>148</v>
      </c>
      <c r="G292" s="388"/>
      <c r="H292" s="388" t="s">
        <v>152</v>
      </c>
      <c r="I292" s="388"/>
      <c r="J292" s="388"/>
      <c r="K292" s="261"/>
      <c r="L292" s="261"/>
      <c r="M292" s="261"/>
      <c r="N292" s="261"/>
      <c r="O292" s="261"/>
      <c r="P292" s="261"/>
      <c r="Q292" s="261"/>
      <c r="R292" s="261"/>
      <c r="S292" s="261"/>
      <c r="T292" s="261"/>
      <c r="U292" s="261"/>
      <c r="V292" s="261"/>
      <c r="W292" s="261"/>
      <c r="X292" s="5"/>
    </row>
    <row r="293" spans="1:24" ht="15.75" x14ac:dyDescent="0.25">
      <c r="A293" s="258"/>
      <c r="B293" s="388" t="s">
        <v>319</v>
      </c>
      <c r="C293" s="388"/>
      <c r="D293" s="388"/>
      <c r="E293" s="388"/>
      <c r="F293" s="411" t="s">
        <v>266</v>
      </c>
      <c r="G293" s="388"/>
      <c r="H293" s="388" t="s">
        <v>267</v>
      </c>
      <c r="I293" s="388"/>
      <c r="J293" s="388"/>
      <c r="K293" s="261"/>
      <c r="L293" s="261"/>
      <c r="M293" s="261"/>
      <c r="N293" s="261"/>
      <c r="O293" s="261"/>
      <c r="P293" s="261"/>
      <c r="Q293" s="261"/>
      <c r="R293" s="261"/>
      <c r="S293" s="261"/>
      <c r="T293" s="261"/>
      <c r="U293" s="261"/>
      <c r="V293" s="261"/>
      <c r="W293" s="261"/>
      <c r="X293" s="5"/>
    </row>
    <row r="294" spans="1:24" ht="15.75" x14ac:dyDescent="0.25">
      <c r="A294" s="258"/>
      <c r="B294" s="388" t="s">
        <v>320</v>
      </c>
      <c r="C294" s="388"/>
      <c r="D294" s="388"/>
      <c r="E294" s="388"/>
      <c r="F294" s="411" t="s">
        <v>147</v>
      </c>
      <c r="G294" s="388"/>
      <c r="H294" s="388" t="s">
        <v>153</v>
      </c>
      <c r="I294" s="388"/>
      <c r="J294" s="388"/>
      <c r="K294" s="261"/>
      <c r="L294" s="261"/>
      <c r="M294" s="261"/>
      <c r="N294" s="261"/>
      <c r="O294" s="261"/>
      <c r="P294" s="261"/>
      <c r="Q294" s="261"/>
      <c r="R294" s="261"/>
      <c r="S294" s="261"/>
      <c r="T294" s="261"/>
      <c r="U294" s="261"/>
      <c r="V294" s="261"/>
      <c r="W294" s="261"/>
      <c r="X294" s="5"/>
    </row>
    <row r="295" spans="1:24" ht="15.75" x14ac:dyDescent="0.25">
      <c r="A295" s="258"/>
      <c r="B295" s="388"/>
      <c r="C295" s="388"/>
      <c r="D295" s="388"/>
      <c r="E295" s="388"/>
      <c r="F295" s="388"/>
      <c r="G295" s="263"/>
      <c r="H295" s="261"/>
      <c r="I295" s="261"/>
      <c r="J295" s="261"/>
      <c r="K295" s="261"/>
      <c r="L295" s="261"/>
      <c r="M295" s="261"/>
      <c r="N295" s="261"/>
      <c r="O295" s="261"/>
      <c r="P295" s="261"/>
      <c r="Q295" s="261"/>
      <c r="R295" s="261"/>
      <c r="S295" s="261"/>
      <c r="T295" s="261"/>
      <c r="U295" s="261"/>
      <c r="V295" s="261"/>
      <c r="W295" s="261"/>
      <c r="X295" s="5"/>
    </row>
    <row r="296" spans="1:24" ht="15.75" x14ac:dyDescent="0.25">
      <c r="A296" s="258"/>
      <c r="B296" s="388"/>
      <c r="C296" s="388"/>
      <c r="D296" s="388"/>
      <c r="E296" s="388"/>
      <c r="F296" s="388"/>
      <c r="G296" s="263"/>
      <c r="H296" s="261"/>
      <c r="I296" s="261"/>
      <c r="J296" s="261"/>
      <c r="K296" s="261"/>
      <c r="L296" s="261"/>
      <c r="M296" s="261"/>
      <c r="N296" s="261"/>
      <c r="O296" s="261"/>
      <c r="P296" s="261"/>
      <c r="Q296" s="261"/>
      <c r="R296" s="261"/>
      <c r="S296" s="261"/>
      <c r="T296" s="261"/>
      <c r="U296" s="261"/>
      <c r="V296" s="261"/>
      <c r="W296" s="261"/>
      <c r="X296" s="5"/>
    </row>
    <row r="297" spans="1:24" ht="19.5" thickBot="1" x14ac:dyDescent="0.35">
      <c r="A297" s="258"/>
      <c r="B297" s="264" t="str">
        <f>B201</f>
        <v>PM15 INVESTOR REPORT QUARTER ENDING AUGUST 2016</v>
      </c>
      <c r="C297" s="388"/>
      <c r="D297" s="388"/>
      <c r="E297" s="388"/>
      <c r="F297" s="388"/>
      <c r="G297" s="263"/>
      <c r="H297" s="261"/>
      <c r="I297" s="261"/>
      <c r="J297" s="261"/>
      <c r="K297" s="261"/>
      <c r="L297" s="261"/>
      <c r="M297" s="261"/>
      <c r="N297" s="261"/>
      <c r="O297" s="261"/>
      <c r="P297" s="261"/>
      <c r="Q297" s="261"/>
      <c r="R297" s="261"/>
      <c r="S297" s="261"/>
      <c r="T297" s="261"/>
      <c r="U297" s="261"/>
      <c r="V297" s="261"/>
      <c r="W297" s="261"/>
      <c r="X297" s="5"/>
    </row>
    <row r="298" spans="1:24" x14ac:dyDescent="0.2">
      <c r="A298" s="100"/>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00"/>
    </row>
  </sheetData>
  <hyperlinks>
    <hyperlink ref="P237" r:id="rId1" xr:uid="{00000000-0004-0000-2300-000000000000}"/>
    <hyperlink ref="I9" r:id="rId2" xr:uid="{00000000-0004-0000-23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5" max="14" man="1"/>
    <brk id="201" max="14" man="1"/>
  </rowBreaks>
  <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4"/>
  </sheetPr>
  <dimension ref="A1:IV298"/>
  <sheetViews>
    <sheetView showGridLines="0" showOutlineSymbols="0" zoomScale="70" zoomScaleNormal="70" workbookViewId="0"/>
  </sheetViews>
  <sheetFormatPr defaultColWidth="9.6640625" defaultRowHeight="15" x14ac:dyDescent="0.2"/>
  <cols>
    <col min="1" max="1" width="4" style="1" customWidth="1"/>
    <col min="2" max="2" width="71.21875" style="1" customWidth="1"/>
    <col min="3" max="3" width="2.21875" style="1" customWidth="1"/>
    <col min="4" max="4" width="19.33203125" style="1" customWidth="1"/>
    <col min="5" max="5" width="2.21875" style="1" customWidth="1"/>
    <col min="6" max="6" width="25.109375" style="1" customWidth="1"/>
    <col min="7" max="7" width="2.21875" style="1" customWidth="1"/>
    <col min="8" max="8" width="16.21875" style="1" customWidth="1"/>
    <col min="9" max="9" width="2.88671875" style="1" customWidth="1"/>
    <col min="10" max="10" width="16.21875" style="1" customWidth="1"/>
    <col min="11" max="11" width="2.21875" style="1" customWidth="1"/>
    <col min="12" max="12" width="17.88671875" style="1" customWidth="1"/>
    <col min="13" max="13" width="2.33203125" style="1" customWidth="1"/>
    <col min="14" max="14" width="14.88671875" style="1" customWidth="1"/>
    <col min="15" max="15" width="2.33203125" style="1" customWidth="1"/>
    <col min="16" max="16" width="15.5546875" style="1" customWidth="1"/>
    <col min="17" max="17" width="2.21875" style="1" customWidth="1"/>
    <col min="18" max="18" width="15.5546875" style="1" customWidth="1"/>
    <col min="19" max="20" width="12.6640625" style="1" customWidth="1"/>
    <col min="21" max="21" width="7.77734375" style="1" customWidth="1"/>
    <col min="22" max="22" width="14.6640625" style="1" customWidth="1"/>
    <col min="23" max="23" width="11.77734375" style="1" customWidth="1"/>
    <col min="24" max="16384" width="9.6640625" style="1"/>
  </cols>
  <sheetData>
    <row r="1" spans="1:24" ht="20.25" x14ac:dyDescent="0.3">
      <c r="A1" s="179"/>
      <c r="B1" s="274" t="s">
        <v>237</v>
      </c>
      <c r="C1" s="180"/>
      <c r="D1" s="180"/>
      <c r="E1" s="180"/>
      <c r="F1" s="180"/>
      <c r="G1" s="180"/>
      <c r="H1" s="180"/>
      <c r="I1" s="180"/>
      <c r="J1" s="180"/>
      <c r="K1" s="180"/>
      <c r="L1" s="180"/>
      <c r="M1" s="180"/>
      <c r="N1" s="180"/>
      <c r="O1" s="180"/>
      <c r="P1" s="180"/>
      <c r="Q1" s="180"/>
      <c r="R1" s="180"/>
      <c r="S1" s="180"/>
      <c r="T1" s="180"/>
      <c r="U1" s="180"/>
      <c r="V1" s="180"/>
      <c r="W1" s="180"/>
      <c r="X1" s="5"/>
    </row>
    <row r="2" spans="1:24" ht="15.75" x14ac:dyDescent="0.25">
      <c r="A2" s="181"/>
      <c r="B2" s="182"/>
      <c r="C2" s="183"/>
      <c r="D2" s="183"/>
      <c r="E2" s="183"/>
      <c r="F2" s="183"/>
      <c r="G2" s="183"/>
      <c r="H2" s="183"/>
      <c r="I2" s="183"/>
      <c r="J2" s="183"/>
      <c r="K2" s="183"/>
      <c r="L2" s="183"/>
      <c r="M2" s="183"/>
      <c r="N2" s="183"/>
      <c r="O2" s="183"/>
      <c r="P2" s="183"/>
      <c r="Q2" s="183"/>
      <c r="R2" s="183"/>
      <c r="S2" s="183"/>
      <c r="T2" s="183"/>
      <c r="U2" s="183"/>
      <c r="V2" s="183"/>
      <c r="W2" s="183"/>
      <c r="X2" s="5"/>
    </row>
    <row r="3" spans="1:24" ht="15.75" x14ac:dyDescent="0.25">
      <c r="A3" s="184"/>
      <c r="B3" s="185" t="s">
        <v>238</v>
      </c>
      <c r="C3" s="183"/>
      <c r="D3" s="183"/>
      <c r="E3" s="183"/>
      <c r="F3" s="183"/>
      <c r="G3" s="183"/>
      <c r="H3" s="183"/>
      <c r="I3" s="183"/>
      <c r="J3" s="183"/>
      <c r="K3" s="183"/>
      <c r="L3" s="183"/>
      <c r="M3" s="183"/>
      <c r="N3" s="183"/>
      <c r="O3" s="183"/>
      <c r="P3" s="183"/>
      <c r="Q3" s="183"/>
      <c r="R3" s="183"/>
      <c r="S3" s="183"/>
      <c r="T3" s="183"/>
      <c r="U3" s="183"/>
      <c r="V3" s="183"/>
      <c r="W3" s="183"/>
      <c r="X3" s="5"/>
    </row>
    <row r="4" spans="1:24" ht="15.75" x14ac:dyDescent="0.25">
      <c r="A4" s="181"/>
      <c r="B4" s="182"/>
      <c r="C4" s="183"/>
      <c r="D4" s="183"/>
      <c r="E4" s="183"/>
      <c r="F4" s="183"/>
      <c r="G4" s="183"/>
      <c r="H4" s="183"/>
      <c r="I4" s="183"/>
      <c r="J4" s="183"/>
      <c r="K4" s="183"/>
      <c r="L4" s="183"/>
      <c r="M4" s="183"/>
      <c r="N4" s="183"/>
      <c r="O4" s="183"/>
      <c r="P4" s="183"/>
      <c r="Q4" s="183"/>
      <c r="R4" s="183"/>
      <c r="S4" s="183"/>
      <c r="T4" s="183"/>
      <c r="U4" s="183"/>
      <c r="V4" s="183"/>
      <c r="W4" s="183"/>
      <c r="X4" s="5"/>
    </row>
    <row r="5" spans="1:24" ht="15.75" x14ac:dyDescent="0.25">
      <c r="A5" s="181"/>
      <c r="B5" s="275" t="s">
        <v>137</v>
      </c>
      <c r="C5" s="183"/>
      <c r="D5" s="183"/>
      <c r="E5" s="183"/>
      <c r="F5" s="183"/>
      <c r="G5" s="183"/>
      <c r="H5" s="183"/>
      <c r="I5" s="183"/>
      <c r="J5" s="183"/>
      <c r="K5" s="183"/>
      <c r="L5" s="183"/>
      <c r="M5" s="183"/>
      <c r="N5" s="183"/>
      <c r="O5" s="183"/>
      <c r="P5" s="183"/>
      <c r="Q5" s="183"/>
      <c r="R5" s="183"/>
      <c r="S5" s="183"/>
      <c r="T5" s="183"/>
      <c r="U5" s="183"/>
      <c r="V5" s="183"/>
      <c r="W5" s="183"/>
      <c r="X5" s="5"/>
    </row>
    <row r="6" spans="1:24" ht="15.75" x14ac:dyDescent="0.25">
      <c r="A6" s="181"/>
      <c r="B6" s="275" t="s">
        <v>139</v>
      </c>
      <c r="C6" s="183"/>
      <c r="D6" s="183"/>
      <c r="E6" s="183"/>
      <c r="F6" s="183"/>
      <c r="G6" s="183"/>
      <c r="H6" s="183"/>
      <c r="I6" s="183"/>
      <c r="J6" s="183"/>
      <c r="K6" s="183"/>
      <c r="L6" s="183"/>
      <c r="M6" s="183"/>
      <c r="N6" s="183"/>
      <c r="O6" s="183"/>
      <c r="P6" s="183"/>
      <c r="Q6" s="183"/>
      <c r="R6" s="183"/>
      <c r="S6" s="183"/>
      <c r="T6" s="183"/>
      <c r="U6" s="183"/>
      <c r="V6" s="183"/>
      <c r="W6" s="183"/>
      <c r="X6" s="5"/>
    </row>
    <row r="7" spans="1:24" ht="15.75" x14ac:dyDescent="0.25">
      <c r="A7" s="181"/>
      <c r="B7" s="275" t="s">
        <v>138</v>
      </c>
      <c r="C7" s="183"/>
      <c r="D7" s="183"/>
      <c r="E7" s="183"/>
      <c r="F7" s="183"/>
      <c r="G7" s="183"/>
      <c r="H7" s="183"/>
      <c r="I7" s="183"/>
      <c r="J7" s="183"/>
      <c r="K7" s="183"/>
      <c r="L7" s="183"/>
      <c r="M7" s="183"/>
      <c r="N7" s="183"/>
      <c r="O7" s="183"/>
      <c r="P7" s="183"/>
      <c r="Q7" s="183"/>
      <c r="R7" s="183"/>
      <c r="S7" s="183"/>
      <c r="T7" s="183"/>
      <c r="U7" s="183"/>
      <c r="V7" s="183"/>
      <c r="W7" s="183"/>
      <c r="X7" s="5"/>
    </row>
    <row r="8" spans="1:24" ht="15.75" x14ac:dyDescent="0.25">
      <c r="A8" s="181"/>
      <c r="B8" s="186"/>
      <c r="C8" s="183"/>
      <c r="D8" s="183"/>
      <c r="E8" s="183"/>
      <c r="F8" s="183"/>
      <c r="G8" s="183"/>
      <c r="H8" s="183"/>
      <c r="I8" s="183"/>
      <c r="J8" s="183"/>
      <c r="K8" s="183"/>
      <c r="L8" s="183"/>
      <c r="M8" s="183"/>
      <c r="N8" s="183"/>
      <c r="O8" s="183"/>
      <c r="P8" s="183"/>
      <c r="Q8" s="183"/>
      <c r="R8" s="183"/>
      <c r="S8" s="183"/>
      <c r="T8" s="183"/>
      <c r="U8" s="183"/>
      <c r="V8" s="183"/>
      <c r="W8" s="183"/>
      <c r="X8" s="5"/>
    </row>
    <row r="9" spans="1:24" ht="18.75" x14ac:dyDescent="0.3">
      <c r="A9" s="181"/>
      <c r="B9" s="187" t="s">
        <v>166</v>
      </c>
      <c r="C9" s="183"/>
      <c r="D9" s="183"/>
      <c r="E9" s="183"/>
      <c r="F9" s="183"/>
      <c r="G9" s="183"/>
      <c r="H9" s="183"/>
      <c r="I9" s="188" t="s">
        <v>167</v>
      </c>
      <c r="J9" s="183"/>
      <c r="K9" s="183"/>
      <c r="L9" s="188"/>
      <c r="M9" s="183"/>
      <c r="N9" s="188"/>
      <c r="O9" s="183"/>
      <c r="P9" s="183"/>
      <c r="Q9" s="183"/>
      <c r="R9" s="183"/>
      <c r="S9" s="183"/>
      <c r="T9" s="183"/>
      <c r="U9" s="183"/>
      <c r="V9" s="183"/>
      <c r="W9" s="183"/>
      <c r="X9" s="5"/>
    </row>
    <row r="10" spans="1:24" ht="15.75" x14ac:dyDescent="0.25">
      <c r="A10" s="181"/>
      <c r="B10" s="186"/>
      <c r="C10" s="189"/>
      <c r="D10" s="189"/>
      <c r="E10" s="189"/>
      <c r="F10" s="183"/>
      <c r="G10" s="183"/>
      <c r="H10" s="183"/>
      <c r="I10" s="183"/>
      <c r="J10" s="183"/>
      <c r="K10" s="183"/>
      <c r="L10" s="183"/>
      <c r="M10" s="183"/>
      <c r="N10" s="183"/>
      <c r="O10" s="183"/>
      <c r="P10" s="183"/>
      <c r="Q10" s="183"/>
      <c r="R10" s="183"/>
      <c r="S10" s="183"/>
      <c r="T10" s="183"/>
      <c r="U10" s="183"/>
      <c r="V10" s="183"/>
      <c r="W10" s="183"/>
      <c r="X10" s="5"/>
    </row>
    <row r="11" spans="1:24" ht="15.75" x14ac:dyDescent="0.25">
      <c r="A11" s="181"/>
      <c r="B11" s="388" t="s">
        <v>0</v>
      </c>
      <c r="C11" s="183"/>
      <c r="D11" s="183"/>
      <c r="E11" s="183"/>
      <c r="F11" s="183"/>
      <c r="G11" s="183"/>
      <c r="H11" s="183"/>
      <c r="I11" s="183"/>
      <c r="J11" s="183"/>
      <c r="K11" s="183"/>
      <c r="L11" s="183"/>
      <c r="M11" s="183"/>
      <c r="N11" s="183"/>
      <c r="O11" s="183"/>
      <c r="P11" s="183"/>
      <c r="Q11" s="183"/>
      <c r="R11" s="183"/>
      <c r="S11" s="183"/>
      <c r="T11" s="183"/>
      <c r="U11" s="183"/>
      <c r="V11" s="183"/>
      <c r="W11" s="183"/>
      <c r="X11" s="5"/>
    </row>
    <row r="12" spans="1:24" ht="16.5" thickBot="1" x14ac:dyDescent="0.3">
      <c r="A12" s="181"/>
      <c r="B12" s="189"/>
      <c r="C12" s="183"/>
      <c r="D12" s="183"/>
      <c r="E12" s="183"/>
      <c r="F12" s="183"/>
      <c r="G12" s="183"/>
      <c r="H12" s="183"/>
      <c r="I12" s="183"/>
      <c r="J12" s="183"/>
      <c r="K12" s="183"/>
      <c r="L12" s="183"/>
      <c r="M12" s="183"/>
      <c r="N12" s="183"/>
      <c r="O12" s="183"/>
      <c r="P12" s="183"/>
      <c r="Q12" s="183"/>
      <c r="R12" s="183"/>
      <c r="S12" s="183"/>
      <c r="T12" s="183"/>
      <c r="U12" s="183"/>
      <c r="V12" s="183"/>
      <c r="W12" s="183"/>
      <c r="X12" s="5"/>
    </row>
    <row r="13" spans="1:24" ht="15.75" x14ac:dyDescent="0.25">
      <c r="A13" s="179"/>
      <c r="B13" s="180"/>
      <c r="C13" s="180"/>
      <c r="D13" s="180"/>
      <c r="E13" s="180"/>
      <c r="F13" s="180"/>
      <c r="G13" s="180"/>
      <c r="H13" s="180"/>
      <c r="I13" s="180"/>
      <c r="J13" s="180"/>
      <c r="K13" s="180"/>
      <c r="L13" s="180"/>
      <c r="M13" s="180"/>
      <c r="N13" s="180"/>
      <c r="O13" s="180"/>
      <c r="P13" s="180"/>
      <c r="Q13" s="180"/>
      <c r="R13" s="180"/>
      <c r="S13" s="180"/>
      <c r="T13" s="180"/>
      <c r="U13" s="180"/>
      <c r="V13" s="180"/>
      <c r="W13" s="180"/>
      <c r="X13" s="5"/>
    </row>
    <row r="14" spans="1:24" ht="15.75" x14ac:dyDescent="0.25">
      <c r="A14" s="181"/>
      <c r="B14" s="388" t="s">
        <v>1</v>
      </c>
      <c r="C14" s="255"/>
      <c r="D14" s="255"/>
      <c r="E14" s="255"/>
      <c r="F14" s="255"/>
      <c r="G14" s="255"/>
      <c r="H14" s="255"/>
      <c r="I14" s="255"/>
      <c r="J14" s="255"/>
      <c r="K14" s="255"/>
      <c r="L14" s="255"/>
      <c r="M14" s="255"/>
      <c r="N14" s="255"/>
      <c r="O14" s="255"/>
      <c r="P14" s="255"/>
      <c r="Q14" s="255"/>
      <c r="R14" s="255"/>
      <c r="S14" s="255"/>
      <c r="T14" s="255"/>
      <c r="U14" s="255"/>
      <c r="V14" s="276" t="s">
        <v>239</v>
      </c>
      <c r="W14" s="255"/>
      <c r="X14" s="5"/>
    </row>
    <row r="15" spans="1:24" ht="15.75" x14ac:dyDescent="0.25">
      <c r="A15" s="181"/>
      <c r="B15" s="388" t="s">
        <v>2</v>
      </c>
      <c r="C15" s="255"/>
      <c r="D15" s="255"/>
      <c r="E15" s="255"/>
      <c r="F15" s="255"/>
      <c r="G15" s="255"/>
      <c r="H15" s="389"/>
      <c r="I15" s="389"/>
      <c r="J15" s="389"/>
      <c r="K15" s="389"/>
      <c r="L15" s="389"/>
      <c r="M15" s="389"/>
      <c r="N15" s="389"/>
      <c r="O15" s="389"/>
      <c r="P15" s="389"/>
      <c r="Q15" s="389"/>
      <c r="R15" s="389" t="s">
        <v>104</v>
      </c>
      <c r="S15" s="390">
        <v>0.47189999999999999</v>
      </c>
      <c r="T15" s="391" t="s">
        <v>140</v>
      </c>
      <c r="U15" s="390">
        <v>0.52810000000000001</v>
      </c>
      <c r="V15" s="276"/>
      <c r="W15" s="255"/>
      <c r="X15" s="5"/>
    </row>
    <row r="16" spans="1:24" ht="15.75" x14ac:dyDescent="0.25">
      <c r="A16" s="181"/>
      <c r="B16" s="388" t="s">
        <v>3</v>
      </c>
      <c r="C16" s="255"/>
      <c r="D16" s="255"/>
      <c r="E16" s="255"/>
      <c r="F16" s="255"/>
      <c r="G16" s="255"/>
      <c r="H16" s="389"/>
      <c r="I16" s="389"/>
      <c r="J16" s="389"/>
      <c r="K16" s="389"/>
      <c r="L16" s="389"/>
      <c r="M16" s="389"/>
      <c r="N16" s="389"/>
      <c r="O16" s="389"/>
      <c r="P16" s="389"/>
      <c r="Q16" s="389"/>
      <c r="R16" s="389" t="s">
        <v>104</v>
      </c>
      <c r="S16" s="390">
        <v>0.55800000000000005</v>
      </c>
      <c r="T16" s="391" t="s">
        <v>140</v>
      </c>
      <c r="U16" s="390">
        <v>0.442</v>
      </c>
      <c r="V16" s="276"/>
      <c r="W16" s="255"/>
      <c r="X16" s="5"/>
    </row>
    <row r="17" spans="1:24" ht="15.75" x14ac:dyDescent="0.25">
      <c r="A17" s="181"/>
      <c r="B17" s="388" t="s">
        <v>4</v>
      </c>
      <c r="C17" s="255"/>
      <c r="D17" s="255"/>
      <c r="E17" s="255"/>
      <c r="F17" s="255"/>
      <c r="G17" s="255"/>
      <c r="H17" s="255"/>
      <c r="I17" s="255"/>
      <c r="J17" s="255"/>
      <c r="K17" s="255"/>
      <c r="L17" s="255"/>
      <c r="M17" s="255"/>
      <c r="N17" s="255"/>
      <c r="O17" s="255"/>
      <c r="P17" s="255"/>
      <c r="Q17" s="255"/>
      <c r="R17" s="255"/>
      <c r="S17" s="255"/>
      <c r="T17" s="255"/>
      <c r="U17" s="255"/>
      <c r="V17" s="392">
        <v>39282</v>
      </c>
      <c r="W17" s="255"/>
      <c r="X17" s="5"/>
    </row>
    <row r="18" spans="1:24" ht="15.75" x14ac:dyDescent="0.25">
      <c r="A18" s="181"/>
      <c r="B18" s="388" t="s">
        <v>5</v>
      </c>
      <c r="C18" s="255"/>
      <c r="D18" s="255"/>
      <c r="E18" s="255"/>
      <c r="F18" s="255"/>
      <c r="G18" s="255"/>
      <c r="H18" s="255"/>
      <c r="I18" s="255"/>
      <c r="J18" s="255"/>
      <c r="K18" s="255"/>
      <c r="L18" s="255"/>
      <c r="M18" s="255"/>
      <c r="N18" s="255"/>
      <c r="O18" s="255"/>
      <c r="P18" s="255"/>
      <c r="Q18" s="255"/>
      <c r="R18" s="255"/>
      <c r="S18" s="255"/>
      <c r="T18" s="255"/>
      <c r="U18" s="255"/>
      <c r="V18" s="392">
        <v>42724</v>
      </c>
      <c r="W18" s="255"/>
      <c r="X18" s="5"/>
    </row>
    <row r="19" spans="1:24" ht="15.75" x14ac:dyDescent="0.25">
      <c r="A19" s="181"/>
      <c r="B19" s="183"/>
      <c r="C19" s="183"/>
      <c r="D19" s="183"/>
      <c r="E19" s="183"/>
      <c r="F19" s="183"/>
      <c r="G19" s="183"/>
      <c r="H19" s="183"/>
      <c r="I19" s="183"/>
      <c r="J19" s="183"/>
      <c r="K19" s="183"/>
      <c r="L19" s="183"/>
      <c r="M19" s="183"/>
      <c r="N19" s="183"/>
      <c r="O19" s="183"/>
      <c r="P19" s="183"/>
      <c r="Q19" s="183"/>
      <c r="R19" s="183"/>
      <c r="S19" s="183"/>
      <c r="T19" s="183"/>
      <c r="U19" s="183"/>
      <c r="V19" s="190"/>
      <c r="W19" s="183"/>
      <c r="X19" s="5"/>
    </row>
    <row r="20" spans="1:24" ht="15.75" x14ac:dyDescent="0.25">
      <c r="A20" s="181"/>
      <c r="B20" s="280" t="s">
        <v>6</v>
      </c>
      <c r="C20" s="255"/>
      <c r="D20" s="255"/>
      <c r="E20" s="255"/>
      <c r="F20" s="255"/>
      <c r="G20" s="255"/>
      <c r="H20" s="255"/>
      <c r="I20" s="255"/>
      <c r="J20" s="255"/>
      <c r="K20" s="255"/>
      <c r="L20" s="255"/>
      <c r="M20" s="255"/>
      <c r="N20" s="255"/>
      <c r="O20" s="255"/>
      <c r="P20" s="255"/>
      <c r="Q20" s="255"/>
      <c r="R20" s="255"/>
      <c r="S20" s="255"/>
      <c r="T20" s="281" t="s">
        <v>105</v>
      </c>
      <c r="U20" s="255"/>
      <c r="V20" s="261"/>
      <c r="W20" s="183"/>
      <c r="X20" s="5"/>
    </row>
    <row r="21" spans="1:24" ht="15.75" x14ac:dyDescent="0.25">
      <c r="A21" s="181"/>
      <c r="B21" s="183"/>
      <c r="C21" s="183"/>
      <c r="D21" s="183"/>
      <c r="E21" s="183"/>
      <c r="F21" s="183"/>
      <c r="G21" s="183"/>
      <c r="H21" s="183"/>
      <c r="I21" s="183"/>
      <c r="J21" s="183"/>
      <c r="K21" s="183"/>
      <c r="L21" s="183"/>
      <c r="M21" s="183"/>
      <c r="N21" s="183"/>
      <c r="O21" s="183"/>
      <c r="P21" s="183"/>
      <c r="Q21" s="183"/>
      <c r="R21" s="183"/>
      <c r="S21" s="183"/>
      <c r="T21" s="183"/>
      <c r="U21" s="183"/>
      <c r="V21" s="192"/>
      <c r="W21" s="183"/>
      <c r="X21" s="5"/>
    </row>
    <row r="22" spans="1:24" ht="15.75" x14ac:dyDescent="0.25">
      <c r="A22" s="224"/>
      <c r="B22" s="225"/>
      <c r="C22" s="226"/>
      <c r="D22" s="226" t="s">
        <v>177</v>
      </c>
      <c r="E22" s="226"/>
      <c r="F22" s="226" t="s">
        <v>178</v>
      </c>
      <c r="G22" s="226"/>
      <c r="H22" s="226" t="s">
        <v>179</v>
      </c>
      <c r="I22" s="226"/>
      <c r="J22" s="226" t="s">
        <v>219</v>
      </c>
      <c r="K22" s="226"/>
      <c r="L22" s="226" t="s">
        <v>180</v>
      </c>
      <c r="M22" s="226"/>
      <c r="N22" s="226" t="s">
        <v>181</v>
      </c>
      <c r="O22" s="226"/>
      <c r="P22" s="226" t="s">
        <v>182</v>
      </c>
      <c r="Q22" s="226"/>
      <c r="R22" s="226"/>
      <c r="S22" s="228"/>
      <c r="T22" s="228"/>
      <c r="U22" s="229"/>
      <c r="V22" s="229"/>
      <c r="W22" s="225"/>
      <c r="X22" s="5"/>
    </row>
    <row r="23" spans="1:24" ht="15.75" x14ac:dyDescent="0.25">
      <c r="A23" s="193"/>
      <c r="B23" s="250" t="s">
        <v>7</v>
      </c>
      <c r="C23" s="282"/>
      <c r="D23" s="282" t="s">
        <v>212</v>
      </c>
      <c r="E23" s="282"/>
      <c r="F23" s="282" t="s">
        <v>141</v>
      </c>
      <c r="G23" s="282"/>
      <c r="H23" s="282" t="s">
        <v>141</v>
      </c>
      <c r="I23" s="282"/>
      <c r="J23" s="282" t="s">
        <v>141</v>
      </c>
      <c r="K23" s="282"/>
      <c r="L23" s="282" t="s">
        <v>183</v>
      </c>
      <c r="M23" s="282"/>
      <c r="N23" s="282" t="s">
        <v>183</v>
      </c>
      <c r="O23" s="282"/>
      <c r="P23" s="282" t="s">
        <v>142</v>
      </c>
      <c r="Q23" s="282"/>
      <c r="R23" s="282"/>
      <c r="S23" s="282"/>
      <c r="T23" s="282"/>
      <c r="U23" s="273"/>
      <c r="V23" s="273"/>
      <c r="W23" s="250"/>
      <c r="X23" s="5"/>
    </row>
    <row r="24" spans="1:24" ht="15.75" x14ac:dyDescent="0.25">
      <c r="A24" s="285"/>
      <c r="B24" s="286" t="s">
        <v>8</v>
      </c>
      <c r="C24" s="287"/>
      <c r="D24" s="287" t="s">
        <v>213</v>
      </c>
      <c r="E24" s="287"/>
      <c r="F24" s="287" t="s">
        <v>143</v>
      </c>
      <c r="G24" s="287"/>
      <c r="H24" s="287" t="s">
        <v>143</v>
      </c>
      <c r="I24" s="287"/>
      <c r="J24" s="287" t="s">
        <v>143</v>
      </c>
      <c r="K24" s="287"/>
      <c r="L24" s="287" t="s">
        <v>165</v>
      </c>
      <c r="M24" s="287"/>
      <c r="N24" s="287" t="s">
        <v>165</v>
      </c>
      <c r="O24" s="287"/>
      <c r="P24" s="287" t="s">
        <v>144</v>
      </c>
      <c r="Q24" s="287"/>
      <c r="R24" s="287"/>
      <c r="S24" s="287"/>
      <c r="T24" s="287"/>
      <c r="U24" s="288"/>
      <c r="V24" s="288"/>
      <c r="W24" s="289"/>
      <c r="X24" s="5"/>
    </row>
    <row r="25" spans="1:24" ht="15.75" x14ac:dyDescent="0.25">
      <c r="A25" s="290"/>
      <c r="B25" s="286" t="s">
        <v>190</v>
      </c>
      <c r="C25" s="292"/>
      <c r="D25" s="287" t="s">
        <v>214</v>
      </c>
      <c r="E25" s="287"/>
      <c r="F25" s="287" t="s">
        <v>143</v>
      </c>
      <c r="G25" s="287"/>
      <c r="H25" s="287" t="s">
        <v>143</v>
      </c>
      <c r="I25" s="287"/>
      <c r="J25" s="287" t="s">
        <v>143</v>
      </c>
      <c r="K25" s="287"/>
      <c r="L25" s="287" t="s">
        <v>165</v>
      </c>
      <c r="M25" s="287"/>
      <c r="N25" s="287" t="s">
        <v>165</v>
      </c>
      <c r="O25" s="287"/>
      <c r="P25" s="287" t="s">
        <v>144</v>
      </c>
      <c r="Q25" s="287"/>
      <c r="R25" s="287"/>
      <c r="S25" s="292"/>
      <c r="T25" s="287"/>
      <c r="U25" s="288"/>
      <c r="V25" s="288"/>
      <c r="W25" s="289"/>
      <c r="X25" s="5"/>
    </row>
    <row r="26" spans="1:24" ht="15.75" x14ac:dyDescent="0.25">
      <c r="A26" s="393"/>
      <c r="B26" s="297" t="s">
        <v>9</v>
      </c>
      <c r="C26" s="292"/>
      <c r="D26" s="292" t="s">
        <v>141</v>
      </c>
      <c r="E26" s="292"/>
      <c r="F26" s="292" t="s">
        <v>141</v>
      </c>
      <c r="G26" s="292"/>
      <c r="H26" s="292" t="s">
        <v>141</v>
      </c>
      <c r="I26" s="292"/>
      <c r="J26" s="292" t="s">
        <v>141</v>
      </c>
      <c r="K26" s="292"/>
      <c r="L26" s="292" t="s">
        <v>183</v>
      </c>
      <c r="M26" s="292"/>
      <c r="N26" s="292" t="s">
        <v>183</v>
      </c>
      <c r="O26" s="292"/>
      <c r="P26" s="292" t="s">
        <v>142</v>
      </c>
      <c r="Q26" s="292"/>
      <c r="R26" s="292"/>
      <c r="S26" s="292"/>
      <c r="T26" s="287"/>
      <c r="U26" s="288"/>
      <c r="V26" s="288"/>
      <c r="W26" s="289"/>
      <c r="X26" s="5"/>
    </row>
    <row r="27" spans="1:24" ht="15.75" x14ac:dyDescent="0.25">
      <c r="A27" s="295"/>
      <c r="B27" s="297" t="s">
        <v>191</v>
      </c>
      <c r="C27" s="287"/>
      <c r="D27" s="292" t="s">
        <v>143</v>
      </c>
      <c r="E27" s="292"/>
      <c r="F27" s="292" t="s">
        <v>143</v>
      </c>
      <c r="G27" s="292"/>
      <c r="H27" s="292" t="s">
        <v>143</v>
      </c>
      <c r="I27" s="292"/>
      <c r="J27" s="292" t="s">
        <v>143</v>
      </c>
      <c r="K27" s="292"/>
      <c r="L27" s="292" t="s">
        <v>165</v>
      </c>
      <c r="M27" s="292"/>
      <c r="N27" s="292" t="s">
        <v>165</v>
      </c>
      <c r="O27" s="292"/>
      <c r="P27" s="292" t="s">
        <v>330</v>
      </c>
      <c r="Q27" s="292"/>
      <c r="R27" s="292"/>
      <c r="S27" s="287"/>
      <c r="T27" s="296"/>
      <c r="U27" s="288"/>
      <c r="V27" s="288"/>
      <c r="W27" s="289"/>
      <c r="X27" s="5"/>
    </row>
    <row r="28" spans="1:24" ht="15.75" x14ac:dyDescent="0.25">
      <c r="A28" s="295"/>
      <c r="B28" s="297" t="s">
        <v>192</v>
      </c>
      <c r="C28" s="287"/>
      <c r="D28" s="292" t="s">
        <v>143</v>
      </c>
      <c r="E28" s="292"/>
      <c r="F28" s="292" t="s">
        <v>143</v>
      </c>
      <c r="G28" s="292"/>
      <c r="H28" s="292" t="s">
        <v>143</v>
      </c>
      <c r="I28" s="292"/>
      <c r="J28" s="292" t="s">
        <v>143</v>
      </c>
      <c r="K28" s="292"/>
      <c r="L28" s="292" t="s">
        <v>329</v>
      </c>
      <c r="M28" s="292"/>
      <c r="N28" s="292" t="s">
        <v>329</v>
      </c>
      <c r="O28" s="292"/>
      <c r="P28" s="292" t="s">
        <v>330</v>
      </c>
      <c r="Q28" s="292"/>
      <c r="R28" s="292"/>
      <c r="S28" s="287"/>
      <c r="T28" s="296"/>
      <c r="U28" s="288"/>
      <c r="V28" s="288"/>
      <c r="W28" s="289"/>
      <c r="X28" s="5"/>
    </row>
    <row r="29" spans="1:24" ht="15.75" x14ac:dyDescent="0.25">
      <c r="A29" s="295"/>
      <c r="B29" s="286" t="s">
        <v>10</v>
      </c>
      <c r="C29" s="298"/>
      <c r="D29" s="287" t="s">
        <v>242</v>
      </c>
      <c r="E29" s="287"/>
      <c r="F29" s="296" t="s">
        <v>244</v>
      </c>
      <c r="G29" s="287"/>
      <c r="H29" s="287" t="s">
        <v>245</v>
      </c>
      <c r="I29" s="287"/>
      <c r="J29" s="287" t="s">
        <v>247</v>
      </c>
      <c r="K29" s="287"/>
      <c r="L29" s="287" t="s">
        <v>248</v>
      </c>
      <c r="M29" s="287"/>
      <c r="N29" s="287" t="s">
        <v>249</v>
      </c>
      <c r="O29" s="287"/>
      <c r="P29" s="287" t="s">
        <v>250</v>
      </c>
      <c r="Q29" s="287"/>
      <c r="R29" s="287"/>
      <c r="S29" s="299"/>
      <c r="T29" s="299"/>
      <c r="U29" s="300"/>
      <c r="V29" s="299"/>
      <c r="W29" s="301"/>
      <c r="X29" s="5"/>
    </row>
    <row r="30" spans="1:24" ht="15.75" x14ac:dyDescent="0.25">
      <c r="A30" s="295"/>
      <c r="B30" s="286" t="s">
        <v>10</v>
      </c>
      <c r="C30" s="298"/>
      <c r="D30" s="287" t="s">
        <v>243</v>
      </c>
      <c r="E30" s="287"/>
      <c r="F30" s="296" t="s">
        <v>118</v>
      </c>
      <c r="G30" s="287"/>
      <c r="H30" s="287" t="s">
        <v>118</v>
      </c>
      <c r="I30" s="287"/>
      <c r="J30" s="287" t="s">
        <v>246</v>
      </c>
      <c r="K30" s="287"/>
      <c r="L30" s="287" t="s">
        <v>118</v>
      </c>
      <c r="M30" s="287"/>
      <c r="N30" s="287" t="s">
        <v>118</v>
      </c>
      <c r="O30" s="287"/>
      <c r="P30" s="287" t="s">
        <v>118</v>
      </c>
      <c r="Q30" s="287"/>
      <c r="R30" s="287"/>
      <c r="S30" s="299"/>
      <c r="T30" s="299"/>
      <c r="U30" s="300"/>
      <c r="V30" s="299"/>
      <c r="W30" s="301"/>
      <c r="X30" s="5"/>
    </row>
    <row r="31" spans="1:24" ht="15.75" x14ac:dyDescent="0.25">
      <c r="A31" s="393"/>
      <c r="B31" s="286" t="s">
        <v>133</v>
      </c>
      <c r="C31" s="310"/>
      <c r="D31" s="303">
        <v>1000000</v>
      </c>
      <c r="E31" s="298"/>
      <c r="F31" s="299">
        <v>209500</v>
      </c>
      <c r="G31" s="299"/>
      <c r="H31" s="304">
        <v>110000</v>
      </c>
      <c r="I31" s="304"/>
      <c r="J31" s="303">
        <v>150000</v>
      </c>
      <c r="K31" s="299"/>
      <c r="L31" s="299">
        <v>17000</v>
      </c>
      <c r="M31" s="299"/>
      <c r="N31" s="304">
        <v>85500</v>
      </c>
      <c r="O31" s="299"/>
      <c r="P31" s="304">
        <v>110500</v>
      </c>
      <c r="Q31" s="299"/>
      <c r="R31" s="304"/>
      <c r="S31" s="312"/>
      <c r="T31" s="312"/>
      <c r="U31" s="306"/>
      <c r="V31" s="312"/>
      <c r="W31" s="301"/>
      <c r="X31" s="5"/>
    </row>
    <row r="32" spans="1:24" ht="15.75" x14ac:dyDescent="0.25">
      <c r="A32" s="295"/>
      <c r="B32" s="286" t="s">
        <v>132</v>
      </c>
      <c r="C32" s="298"/>
      <c r="D32" s="303">
        <f>D31*D38</f>
        <v>637543.1</v>
      </c>
      <c r="E32" s="298"/>
      <c r="F32" s="299">
        <f>F31*F38</f>
        <v>133565.67750000002</v>
      </c>
      <c r="G32" s="299"/>
      <c r="H32" s="304">
        <f>H31*H38</f>
        <v>70130.741999999998</v>
      </c>
      <c r="I32" s="304"/>
      <c r="J32" s="303">
        <f>J31*J38</f>
        <v>95631.465000000011</v>
      </c>
      <c r="K32" s="299"/>
      <c r="L32" s="299">
        <f>L31*L38</f>
        <v>17000</v>
      </c>
      <c r="M32" s="299"/>
      <c r="N32" s="304">
        <f>N31*N38</f>
        <v>85500</v>
      </c>
      <c r="O32" s="299"/>
      <c r="P32" s="304">
        <f>P31*P38</f>
        <v>110500</v>
      </c>
      <c r="Q32" s="299"/>
      <c r="R32" s="304"/>
      <c r="S32" s="299"/>
      <c r="T32" s="299"/>
      <c r="U32" s="300"/>
      <c r="V32" s="299"/>
      <c r="W32" s="301"/>
      <c r="X32" s="5"/>
    </row>
    <row r="33" spans="1:27" ht="15.75" x14ac:dyDescent="0.25">
      <c r="A33" s="295"/>
      <c r="B33" s="297" t="s">
        <v>134</v>
      </c>
      <c r="C33" s="298"/>
      <c r="D33" s="394">
        <f>D37*D31</f>
        <v>626153.5</v>
      </c>
      <c r="E33" s="310"/>
      <c r="F33" s="312">
        <f>F37*F31</f>
        <v>131179.5563</v>
      </c>
      <c r="G33" s="312"/>
      <c r="H33" s="395">
        <f>H31*H37</f>
        <v>68877.907999999996</v>
      </c>
      <c r="I33" s="395"/>
      <c r="J33" s="394">
        <f>J37*J31</f>
        <v>93923.025000000009</v>
      </c>
      <c r="K33" s="312"/>
      <c r="L33" s="312">
        <f>L31*L37</f>
        <v>17000</v>
      </c>
      <c r="M33" s="312"/>
      <c r="N33" s="395">
        <f>N31*N37</f>
        <v>85500</v>
      </c>
      <c r="O33" s="312"/>
      <c r="P33" s="395">
        <f>P31*P37</f>
        <v>110500</v>
      </c>
      <c r="Q33" s="312"/>
      <c r="R33" s="395"/>
      <c r="S33" s="299"/>
      <c r="T33" s="299"/>
      <c r="U33" s="300"/>
      <c r="V33" s="299"/>
      <c r="W33" s="301"/>
      <c r="X33" s="5"/>
    </row>
    <row r="34" spans="1:27" ht="15.75" x14ac:dyDescent="0.25">
      <c r="A34" s="393"/>
      <c r="B34" s="286" t="s">
        <v>286</v>
      </c>
      <c r="C34" s="310"/>
      <c r="D34" s="299">
        <v>492951</v>
      </c>
      <c r="E34" s="298"/>
      <c r="F34" s="299">
        <v>209500</v>
      </c>
      <c r="G34" s="299"/>
      <c r="H34" s="299">
        <v>74677</v>
      </c>
      <c r="I34" s="299"/>
      <c r="J34" s="299">
        <v>73943</v>
      </c>
      <c r="K34" s="299"/>
      <c r="L34" s="299">
        <v>17000</v>
      </c>
      <c r="M34" s="299"/>
      <c r="N34" s="299">
        <v>58045</v>
      </c>
      <c r="O34" s="299"/>
      <c r="P34" s="299">
        <v>75017</v>
      </c>
      <c r="Q34" s="299"/>
      <c r="R34" s="299"/>
      <c r="S34" s="312"/>
      <c r="T34" s="312"/>
      <c r="U34" s="306"/>
      <c r="V34" s="299">
        <f>SUM(C34:R34)</f>
        <v>1001133</v>
      </c>
      <c r="W34" s="301"/>
      <c r="X34" s="5"/>
    </row>
    <row r="35" spans="1:27" ht="15.75" x14ac:dyDescent="0.25">
      <c r="A35" s="393"/>
      <c r="B35" s="286" t="s">
        <v>287</v>
      </c>
      <c r="C35" s="310"/>
      <c r="D35" s="299">
        <f>D34*D38</f>
        <v>314277.50868810003</v>
      </c>
      <c r="E35" s="298"/>
      <c r="F35" s="299">
        <f>F34*F38</f>
        <v>133565.67750000002</v>
      </c>
      <c r="G35" s="299"/>
      <c r="H35" s="299">
        <f>H34*H38</f>
        <v>47610.485639400002</v>
      </c>
      <c r="I35" s="299"/>
      <c r="J35" s="299">
        <f>J34*J38</f>
        <v>47141.849443300001</v>
      </c>
      <c r="K35" s="299"/>
      <c r="L35" s="299">
        <f>L34*L38</f>
        <v>17000</v>
      </c>
      <c r="M35" s="299"/>
      <c r="N35" s="299">
        <f>N34*N38</f>
        <v>58045</v>
      </c>
      <c r="O35" s="299"/>
      <c r="P35" s="299">
        <f>P34*P38</f>
        <v>75017</v>
      </c>
      <c r="Q35" s="299"/>
      <c r="R35" s="299"/>
      <c r="S35" s="299"/>
      <c r="T35" s="299"/>
      <c r="U35" s="300"/>
      <c r="V35" s="299">
        <f>SUM(C35:R35)-1</f>
        <v>692656.52127080003</v>
      </c>
      <c r="W35" s="301"/>
      <c r="X35" s="5"/>
    </row>
    <row r="36" spans="1:27" ht="15.75" x14ac:dyDescent="0.25">
      <c r="A36" s="393"/>
      <c r="B36" s="297" t="s">
        <v>288</v>
      </c>
      <c r="C36" s="310"/>
      <c r="D36" s="312">
        <f>D34*D37</f>
        <v>308662.99397850002</v>
      </c>
      <c r="E36" s="310"/>
      <c r="F36" s="312">
        <f>F34*F37</f>
        <v>131179.5563</v>
      </c>
      <c r="G36" s="312"/>
      <c r="H36" s="312">
        <f>H34*H37</f>
        <v>46759.959415600002</v>
      </c>
      <c r="I36" s="312"/>
      <c r="J36" s="312">
        <f>J34*J37</f>
        <v>46299.668250499999</v>
      </c>
      <c r="K36" s="312"/>
      <c r="L36" s="312">
        <f>L34*L37</f>
        <v>17000</v>
      </c>
      <c r="M36" s="312"/>
      <c r="N36" s="312">
        <f>N34*N37</f>
        <v>58045</v>
      </c>
      <c r="O36" s="312"/>
      <c r="P36" s="312">
        <f>P34*P37</f>
        <v>75017</v>
      </c>
      <c r="Q36" s="312"/>
      <c r="R36" s="312"/>
      <c r="S36" s="311"/>
      <c r="T36" s="311"/>
      <c r="U36" s="300"/>
      <c r="V36" s="312">
        <f>SUM(C36:R36)</f>
        <v>682964.1779446</v>
      </c>
      <c r="W36" s="301"/>
      <c r="X36" s="5"/>
    </row>
    <row r="37" spans="1:27" ht="15.75" x14ac:dyDescent="0.25">
      <c r="A37" s="285"/>
      <c r="B37" s="313" t="s">
        <v>130</v>
      </c>
      <c r="C37" s="314"/>
      <c r="D37" s="315">
        <v>0.62615350000000003</v>
      </c>
      <c r="E37" s="315"/>
      <c r="F37" s="315">
        <v>0.62615540000000003</v>
      </c>
      <c r="G37" s="315"/>
      <c r="H37" s="315">
        <v>0.62616280000000002</v>
      </c>
      <c r="I37" s="315"/>
      <c r="J37" s="315">
        <v>0.62615350000000003</v>
      </c>
      <c r="K37" s="315"/>
      <c r="L37" s="315">
        <v>1</v>
      </c>
      <c r="M37" s="315"/>
      <c r="N37" s="315">
        <v>1</v>
      </c>
      <c r="O37" s="315"/>
      <c r="P37" s="315">
        <v>1</v>
      </c>
      <c r="Q37" s="315"/>
      <c r="R37" s="315"/>
      <c r="S37" s="316"/>
      <c r="T37" s="316"/>
      <c r="U37" s="317"/>
      <c r="V37" s="317"/>
      <c r="W37" s="318"/>
      <c r="X37" s="5"/>
    </row>
    <row r="38" spans="1:27" ht="15.75" x14ac:dyDescent="0.25">
      <c r="A38" s="285"/>
      <c r="B38" s="313" t="s">
        <v>131</v>
      </c>
      <c r="C38" s="314"/>
      <c r="D38" s="315">
        <v>0.63754310000000003</v>
      </c>
      <c r="E38" s="315"/>
      <c r="F38" s="315">
        <v>0.63754500000000003</v>
      </c>
      <c r="G38" s="315"/>
      <c r="H38" s="315">
        <v>0.63755220000000001</v>
      </c>
      <c r="I38" s="315"/>
      <c r="J38" s="315">
        <v>0.63754310000000003</v>
      </c>
      <c r="K38" s="315"/>
      <c r="L38" s="315">
        <v>1</v>
      </c>
      <c r="M38" s="315"/>
      <c r="N38" s="315">
        <v>1</v>
      </c>
      <c r="O38" s="315"/>
      <c r="P38" s="315">
        <v>1</v>
      </c>
      <c r="Q38" s="315"/>
      <c r="R38" s="315"/>
      <c r="S38" s="319"/>
      <c r="T38" s="320"/>
      <c r="U38" s="317"/>
      <c r="V38" s="319"/>
      <c r="W38" s="318"/>
      <c r="X38" s="5"/>
    </row>
    <row r="39" spans="1:27" ht="15.75" x14ac:dyDescent="0.25">
      <c r="A39" s="285"/>
      <c r="B39" s="286" t="s">
        <v>11</v>
      </c>
      <c r="C39" s="286"/>
      <c r="D39" s="296" t="s">
        <v>304</v>
      </c>
      <c r="E39" s="286"/>
      <c r="F39" s="296" t="s">
        <v>256</v>
      </c>
      <c r="G39" s="296"/>
      <c r="H39" s="296" t="s">
        <v>257</v>
      </c>
      <c r="I39" s="296"/>
      <c r="J39" s="296" t="s">
        <v>258</v>
      </c>
      <c r="K39" s="296"/>
      <c r="L39" s="296" t="s">
        <v>259</v>
      </c>
      <c r="M39" s="296"/>
      <c r="N39" s="296" t="s">
        <v>259</v>
      </c>
      <c r="O39" s="296"/>
      <c r="P39" s="296" t="s">
        <v>260</v>
      </c>
      <c r="Q39" s="296"/>
      <c r="R39" s="296"/>
      <c r="S39" s="321"/>
      <c r="T39" s="322"/>
      <c r="U39" s="288"/>
      <c r="V39" s="288"/>
      <c r="W39" s="289"/>
      <c r="X39" s="5"/>
    </row>
    <row r="40" spans="1:27" ht="15.75" x14ac:dyDescent="0.25">
      <c r="A40" s="285"/>
      <c r="B40" s="286" t="s">
        <v>12</v>
      </c>
      <c r="C40" s="286"/>
      <c r="D40" s="322">
        <v>7.1817000000000001E-3</v>
      </c>
      <c r="E40" s="286"/>
      <c r="F40" s="322">
        <v>6.4187999999999997E-3</v>
      </c>
      <c r="G40" s="321"/>
      <c r="H40" s="322">
        <v>0</v>
      </c>
      <c r="I40" s="322"/>
      <c r="J40" s="322">
        <v>1.07028E-2</v>
      </c>
      <c r="K40" s="321"/>
      <c r="L40" s="322">
        <v>9.2187999999999992E-3</v>
      </c>
      <c r="M40" s="321"/>
      <c r="N40" s="322">
        <v>2.3800000000000002E-3</v>
      </c>
      <c r="O40" s="321"/>
      <c r="P40" s="322">
        <v>7.9799999999999992E-3</v>
      </c>
      <c r="Q40" s="321"/>
      <c r="R40" s="322"/>
      <c r="S40" s="321"/>
      <c r="T40" s="322"/>
      <c r="U40" s="288"/>
      <c r="V40" s="296"/>
      <c r="W40" s="289"/>
      <c r="X40" s="5"/>
      <c r="AA40" s="1" t="s">
        <v>193</v>
      </c>
    </row>
    <row r="41" spans="1:27" ht="15.75" x14ac:dyDescent="0.25">
      <c r="A41" s="285"/>
      <c r="B41" s="286" t="s">
        <v>13</v>
      </c>
      <c r="C41" s="286"/>
      <c r="D41" s="322">
        <v>6.8764999999999998E-3</v>
      </c>
      <c r="E41" s="286"/>
      <c r="F41" s="322">
        <v>8.3187999999999995E-3</v>
      </c>
      <c r="G41" s="321"/>
      <c r="H41" s="322">
        <v>0</v>
      </c>
      <c r="I41" s="322"/>
      <c r="J41" s="322">
        <v>8.7250000000000001E-3</v>
      </c>
      <c r="K41" s="321"/>
      <c r="L41" s="322">
        <v>1.11188E-2</v>
      </c>
      <c r="M41" s="321"/>
      <c r="N41" s="322">
        <v>2.7699999999999999E-3</v>
      </c>
      <c r="O41" s="321"/>
      <c r="P41" s="322">
        <v>8.3700000000000007E-3</v>
      </c>
      <c r="Q41" s="321"/>
      <c r="R41" s="322"/>
      <c r="S41" s="321"/>
      <c r="T41" s="322"/>
      <c r="U41" s="288"/>
      <c r="V41" s="321" t="s">
        <v>193</v>
      </c>
      <c r="W41" s="289"/>
      <c r="X41" s="5"/>
    </row>
    <row r="42" spans="1:27" ht="15.75" x14ac:dyDescent="0.25">
      <c r="A42" s="285"/>
      <c r="B42" s="286" t="s">
        <v>289</v>
      </c>
      <c r="C42" s="286"/>
      <c r="D42" s="296" t="s">
        <v>311</v>
      </c>
      <c r="E42" s="286"/>
      <c r="F42" s="296" t="s">
        <v>256</v>
      </c>
      <c r="G42" s="296"/>
      <c r="H42" s="296" t="s">
        <v>261</v>
      </c>
      <c r="I42" s="296"/>
      <c r="J42" s="296" t="s">
        <v>261</v>
      </c>
      <c r="K42" s="296"/>
      <c r="L42" s="296" t="s">
        <v>259</v>
      </c>
      <c r="M42" s="296"/>
      <c r="N42" s="296" t="s">
        <v>263</v>
      </c>
      <c r="O42" s="296"/>
      <c r="P42" s="296" t="s">
        <v>264</v>
      </c>
      <c r="Q42" s="296"/>
      <c r="R42" s="296"/>
      <c r="S42" s="321"/>
      <c r="T42" s="322"/>
      <c r="U42" s="288"/>
      <c r="V42" s="288"/>
      <c r="W42" s="289"/>
      <c r="X42" s="5"/>
    </row>
    <row r="43" spans="1:27" ht="15.75" x14ac:dyDescent="0.25">
      <c r="A43" s="285"/>
      <c r="B43" s="286" t="s">
        <v>290</v>
      </c>
      <c r="C43" s="323"/>
      <c r="D43" s="322">
        <v>5.8157E-3</v>
      </c>
      <c r="E43" s="322"/>
      <c r="F43" s="322">
        <f>+F40</f>
        <v>6.4187999999999997E-3</v>
      </c>
      <c r="G43" s="322"/>
      <c r="H43" s="322">
        <v>6.5687999999999996E-3</v>
      </c>
      <c r="I43" s="322"/>
      <c r="J43" s="322">
        <v>6.5988000000000002E-3</v>
      </c>
      <c r="K43" s="322"/>
      <c r="L43" s="322">
        <f>+L40</f>
        <v>9.2187999999999992E-3</v>
      </c>
      <c r="M43" s="322"/>
      <c r="N43" s="322">
        <v>9.9527999999999995E-3</v>
      </c>
      <c r="O43" s="322"/>
      <c r="P43" s="322">
        <v>1.61128E-2</v>
      </c>
      <c r="Q43" s="321"/>
      <c r="R43" s="322"/>
      <c r="S43" s="296"/>
      <c r="T43" s="296"/>
      <c r="U43" s="288"/>
      <c r="V43" s="321">
        <f>SUMPRODUCT(D43:R43,D35:R35)/V35</f>
        <v>7.582491616700715E-3</v>
      </c>
      <c r="W43" s="289"/>
      <c r="X43" s="5"/>
    </row>
    <row r="44" spans="1:27" ht="15.75" x14ac:dyDescent="0.25">
      <c r="A44" s="285"/>
      <c r="B44" s="286" t="s">
        <v>291</v>
      </c>
      <c r="C44" s="323"/>
      <c r="D44" s="322">
        <v>7.7156999999999998E-3</v>
      </c>
      <c r="E44" s="322"/>
      <c r="F44" s="322">
        <f>+F41</f>
        <v>8.3187999999999995E-3</v>
      </c>
      <c r="G44" s="322"/>
      <c r="H44" s="322">
        <v>8.4688000000000003E-3</v>
      </c>
      <c r="I44" s="322"/>
      <c r="J44" s="322">
        <v>8.4988000000000008E-3</v>
      </c>
      <c r="K44" s="322"/>
      <c r="L44" s="322">
        <f>+L41</f>
        <v>1.11188E-2</v>
      </c>
      <c r="M44" s="322"/>
      <c r="N44" s="322">
        <v>1.18528E-2</v>
      </c>
      <c r="O44" s="322"/>
      <c r="P44" s="322">
        <v>1.8012799999999999E-2</v>
      </c>
      <c r="Q44" s="321"/>
      <c r="R44" s="322"/>
      <c r="S44" s="296"/>
      <c r="T44" s="296"/>
      <c r="U44" s="288"/>
      <c r="V44" s="288"/>
      <c r="W44" s="289"/>
      <c r="X44" s="5"/>
    </row>
    <row r="45" spans="1:27" ht="15.75" x14ac:dyDescent="0.25">
      <c r="A45" s="285"/>
      <c r="B45" s="286" t="s">
        <v>14</v>
      </c>
      <c r="C45" s="286"/>
      <c r="D45" s="323">
        <v>40709</v>
      </c>
      <c r="E45" s="323"/>
      <c r="F45" s="323">
        <v>40709</v>
      </c>
      <c r="G45" s="323"/>
      <c r="H45" s="323">
        <v>40709</v>
      </c>
      <c r="I45" s="323"/>
      <c r="J45" s="323">
        <v>40709</v>
      </c>
      <c r="K45" s="323"/>
      <c r="L45" s="323">
        <v>40709</v>
      </c>
      <c r="M45" s="323"/>
      <c r="N45" s="323">
        <v>40709</v>
      </c>
      <c r="O45" s="323"/>
      <c r="P45" s="323">
        <v>40709</v>
      </c>
      <c r="Q45" s="323"/>
      <c r="R45" s="323"/>
      <c r="S45" s="296"/>
      <c r="T45" s="296"/>
      <c r="U45" s="288"/>
      <c r="V45" s="288"/>
      <c r="W45" s="289"/>
      <c r="X45" s="5"/>
    </row>
    <row r="46" spans="1:27" ht="15.75" x14ac:dyDescent="0.25">
      <c r="A46" s="285"/>
      <c r="B46" s="286" t="s">
        <v>15</v>
      </c>
      <c r="C46" s="286"/>
      <c r="D46" s="323">
        <v>41075</v>
      </c>
      <c r="E46" s="323"/>
      <c r="F46" s="323">
        <v>41075</v>
      </c>
      <c r="G46" s="323"/>
      <c r="H46" s="323">
        <v>41075</v>
      </c>
      <c r="I46" s="323"/>
      <c r="J46" s="323">
        <v>41075</v>
      </c>
      <c r="K46" s="296"/>
      <c r="L46" s="323">
        <v>41075</v>
      </c>
      <c r="M46" s="296"/>
      <c r="N46" s="323">
        <v>41075</v>
      </c>
      <c r="O46" s="296"/>
      <c r="P46" s="323">
        <v>41075</v>
      </c>
      <c r="Q46" s="296"/>
      <c r="R46" s="323"/>
      <c r="S46" s="296"/>
      <c r="T46" s="296"/>
      <c r="U46" s="288"/>
      <c r="V46" s="288"/>
      <c r="W46" s="289"/>
      <c r="X46" s="5"/>
    </row>
    <row r="47" spans="1:27" ht="15.75" x14ac:dyDescent="0.25">
      <c r="A47" s="285"/>
      <c r="B47" s="286" t="s">
        <v>119</v>
      </c>
      <c r="C47" s="286"/>
      <c r="D47" s="296" t="s">
        <v>304</v>
      </c>
      <c r="E47" s="286"/>
      <c r="F47" s="296" t="s">
        <v>256</v>
      </c>
      <c r="G47" s="296"/>
      <c r="H47" s="296" t="s">
        <v>257</v>
      </c>
      <c r="I47" s="296"/>
      <c r="J47" s="296" t="s">
        <v>258</v>
      </c>
      <c r="K47" s="296"/>
      <c r="L47" s="296" t="s">
        <v>259</v>
      </c>
      <c r="M47" s="296"/>
      <c r="N47" s="296" t="s">
        <v>259</v>
      </c>
      <c r="O47" s="296"/>
      <c r="P47" s="296" t="s">
        <v>260</v>
      </c>
      <c r="Q47" s="296"/>
      <c r="R47" s="296"/>
      <c r="S47" s="325"/>
      <c r="T47" s="325"/>
      <c r="U47" s="325"/>
      <c r="V47" s="325"/>
      <c r="W47" s="289"/>
      <c r="X47" s="5"/>
    </row>
    <row r="48" spans="1:27" ht="15.75" x14ac:dyDescent="0.25">
      <c r="A48" s="285"/>
      <c r="B48" s="286" t="s">
        <v>292</v>
      </c>
      <c r="C48" s="286"/>
      <c r="D48" s="296" t="s">
        <v>311</v>
      </c>
      <c r="E48" s="286"/>
      <c r="F48" s="296" t="s">
        <v>256</v>
      </c>
      <c r="G48" s="296"/>
      <c r="H48" s="296" t="s">
        <v>261</v>
      </c>
      <c r="I48" s="296"/>
      <c r="J48" s="296" t="s">
        <v>261</v>
      </c>
      <c r="K48" s="296"/>
      <c r="L48" s="296" t="s">
        <v>259</v>
      </c>
      <c r="M48" s="296"/>
      <c r="N48" s="296" t="s">
        <v>263</v>
      </c>
      <c r="O48" s="296"/>
      <c r="P48" s="296" t="s">
        <v>264</v>
      </c>
      <c r="Q48" s="296"/>
      <c r="R48" s="296"/>
      <c r="S48" s="286"/>
      <c r="T48" s="286"/>
      <c r="U48" s="286"/>
      <c r="V48" s="321"/>
      <c r="W48" s="289"/>
      <c r="X48" s="5"/>
    </row>
    <row r="49" spans="1:25" ht="15.75" x14ac:dyDescent="0.25">
      <c r="A49" s="285"/>
      <c r="B49" s="286"/>
      <c r="C49" s="286"/>
      <c r="D49" s="296"/>
      <c r="E49" s="286"/>
      <c r="F49" s="296"/>
      <c r="G49" s="296"/>
      <c r="H49" s="296"/>
      <c r="I49" s="296"/>
      <c r="J49" s="296"/>
      <c r="K49" s="296"/>
      <c r="L49" s="296"/>
      <c r="M49" s="296"/>
      <c r="N49" s="296"/>
      <c r="O49" s="296"/>
      <c r="P49" s="296"/>
      <c r="Q49" s="296"/>
      <c r="R49" s="296"/>
      <c r="S49" s="286"/>
      <c r="T49" s="286"/>
      <c r="U49" s="286"/>
      <c r="V49" s="321" t="s">
        <v>193</v>
      </c>
      <c r="W49" s="289"/>
      <c r="X49" s="5"/>
    </row>
    <row r="50" spans="1:25" ht="15.75" x14ac:dyDescent="0.25">
      <c r="A50" s="285"/>
      <c r="B50" s="286" t="s">
        <v>169</v>
      </c>
      <c r="C50" s="286"/>
      <c r="D50" s="296"/>
      <c r="E50" s="286"/>
      <c r="F50" s="296"/>
      <c r="G50" s="296"/>
      <c r="H50" s="296"/>
      <c r="I50" s="296"/>
      <c r="J50" s="296"/>
      <c r="K50" s="296"/>
      <c r="L50" s="296"/>
      <c r="M50" s="296"/>
      <c r="N50" s="296"/>
      <c r="O50" s="296"/>
      <c r="P50" s="296"/>
      <c r="Q50" s="296"/>
      <c r="R50" s="296"/>
      <c r="S50" s="286"/>
      <c r="T50" s="286"/>
      <c r="U50" s="286"/>
      <c r="V50" s="321">
        <f>SUM(L34:R34)/SUM(D34:J34)</f>
        <v>0.17632136449250416</v>
      </c>
      <c r="W50" s="289"/>
      <c r="X50" s="5"/>
    </row>
    <row r="51" spans="1:25" ht="15.75" x14ac:dyDescent="0.25">
      <c r="A51" s="285"/>
      <c r="B51" s="286" t="s">
        <v>170</v>
      </c>
      <c r="C51" s="286"/>
      <c r="D51" s="286"/>
      <c r="E51" s="286"/>
      <c r="F51" s="326"/>
      <c r="G51" s="286"/>
      <c r="H51" s="286"/>
      <c r="I51" s="286"/>
      <c r="J51" s="286"/>
      <c r="K51" s="286"/>
      <c r="L51" s="286"/>
      <c r="M51" s="286"/>
      <c r="N51" s="286"/>
      <c r="O51" s="286"/>
      <c r="P51" s="286"/>
      <c r="Q51" s="286"/>
      <c r="R51" s="286"/>
      <c r="S51" s="286"/>
      <c r="T51" s="286"/>
      <c r="U51" s="286"/>
      <c r="V51" s="321">
        <f>SUM(L36:R36)/SUM(D36:J36)</f>
        <v>0.28159389510995825</v>
      </c>
      <c r="W51" s="289"/>
      <c r="X51" s="5"/>
    </row>
    <row r="52" spans="1:25" ht="15.75" x14ac:dyDescent="0.25">
      <c r="A52" s="285"/>
      <c r="B52" s="286" t="s">
        <v>171</v>
      </c>
      <c r="C52" s="286"/>
      <c r="D52" s="286"/>
      <c r="E52" s="286"/>
      <c r="F52" s="286"/>
      <c r="G52" s="286"/>
      <c r="H52" s="286"/>
      <c r="I52" s="286"/>
      <c r="J52" s="286"/>
      <c r="K52" s="286"/>
      <c r="L52" s="286"/>
      <c r="M52" s="286"/>
      <c r="N52" s="286"/>
      <c r="O52" s="286"/>
      <c r="P52" s="286"/>
      <c r="Q52" s="286"/>
      <c r="R52" s="286"/>
      <c r="S52" s="286"/>
      <c r="T52" s="296"/>
      <c r="U52" s="296"/>
      <c r="V52" s="299" t="s">
        <v>268</v>
      </c>
      <c r="W52" s="289"/>
      <c r="X52" s="5"/>
    </row>
    <row r="53" spans="1:25" ht="15.75" x14ac:dyDescent="0.25">
      <c r="A53" s="285"/>
      <c r="B53" s="286"/>
      <c r="C53" s="286"/>
      <c r="D53" s="286"/>
      <c r="E53" s="286"/>
      <c r="F53" s="286"/>
      <c r="G53" s="286"/>
      <c r="H53" s="286"/>
      <c r="I53" s="286"/>
      <c r="J53" s="286"/>
      <c r="K53" s="286"/>
      <c r="L53" s="286"/>
      <c r="M53" s="286"/>
      <c r="N53" s="286"/>
      <c r="O53" s="286"/>
      <c r="P53" s="286"/>
      <c r="Q53" s="286"/>
      <c r="R53" s="286"/>
      <c r="S53" s="286"/>
      <c r="T53" s="286"/>
      <c r="U53" s="286"/>
      <c r="V53" s="327"/>
      <c r="W53" s="289"/>
      <c r="X53" s="5"/>
    </row>
    <row r="54" spans="1:25" ht="15.75" x14ac:dyDescent="0.25">
      <c r="A54" s="285"/>
      <c r="B54" s="286" t="s">
        <v>202</v>
      </c>
      <c r="C54" s="286"/>
      <c r="D54" s="286"/>
      <c r="E54" s="286"/>
      <c r="F54" s="286"/>
      <c r="G54" s="286"/>
      <c r="H54" s="286"/>
      <c r="I54" s="286"/>
      <c r="J54" s="286"/>
      <c r="K54" s="286"/>
      <c r="L54" s="286"/>
      <c r="M54" s="286"/>
      <c r="N54" s="286"/>
      <c r="O54" s="286"/>
      <c r="P54" s="286"/>
      <c r="Q54" s="286"/>
      <c r="R54" s="286"/>
      <c r="S54" s="286"/>
      <c r="T54" s="286"/>
      <c r="U54" s="286"/>
      <c r="V54" s="311" t="s">
        <v>203</v>
      </c>
      <c r="W54" s="289"/>
      <c r="X54" s="5"/>
    </row>
    <row r="55" spans="1:25" ht="15.75" x14ac:dyDescent="0.25">
      <c r="A55" s="285"/>
      <c r="B55" s="286" t="s">
        <v>270</v>
      </c>
      <c r="C55" s="286"/>
      <c r="D55" s="286"/>
      <c r="E55" s="286"/>
      <c r="F55" s="286"/>
      <c r="G55" s="286"/>
      <c r="H55" s="286"/>
      <c r="I55" s="286"/>
      <c r="J55" s="286"/>
      <c r="K55" s="286"/>
      <c r="L55" s="286"/>
      <c r="M55" s="286"/>
      <c r="N55" s="286"/>
      <c r="O55" s="286"/>
      <c r="P55" s="286"/>
      <c r="Q55" s="286"/>
      <c r="R55" s="286"/>
      <c r="S55" s="286"/>
      <c r="T55" s="296"/>
      <c r="U55" s="296"/>
      <c r="V55" s="396" t="s">
        <v>111</v>
      </c>
      <c r="W55" s="289"/>
      <c r="X55" s="5"/>
    </row>
    <row r="56" spans="1:25" ht="15.75" x14ac:dyDescent="0.25">
      <c r="A56" s="285"/>
      <c r="B56" s="297" t="s">
        <v>201</v>
      </c>
      <c r="C56" s="297"/>
      <c r="D56" s="297"/>
      <c r="E56" s="297"/>
      <c r="F56" s="297"/>
      <c r="G56" s="297"/>
      <c r="H56" s="297"/>
      <c r="I56" s="297"/>
      <c r="J56" s="297"/>
      <c r="K56" s="297"/>
      <c r="L56" s="297"/>
      <c r="M56" s="297"/>
      <c r="N56" s="297"/>
      <c r="O56" s="297"/>
      <c r="P56" s="297"/>
      <c r="Q56" s="297"/>
      <c r="R56" s="297"/>
      <c r="S56" s="297"/>
      <c r="T56" s="397"/>
      <c r="U56" s="397"/>
      <c r="V56" s="398">
        <v>42719</v>
      </c>
      <c r="W56" s="289"/>
      <c r="X56" s="5"/>
    </row>
    <row r="57" spans="1:25" ht="15.75" x14ac:dyDescent="0.25">
      <c r="A57" s="285"/>
      <c r="B57" s="286" t="s">
        <v>121</v>
      </c>
      <c r="C57" s="286"/>
      <c r="D57" s="286"/>
      <c r="E57" s="286"/>
      <c r="F57" s="286"/>
      <c r="G57" s="286"/>
      <c r="H57" s="332"/>
      <c r="I57" s="332"/>
      <c r="J57" s="332"/>
      <c r="K57" s="332"/>
      <c r="L57" s="332"/>
      <c r="M57" s="332"/>
      <c r="N57" s="332"/>
      <c r="O57" s="332"/>
      <c r="P57" s="332"/>
      <c r="Q57" s="332"/>
      <c r="R57" s="286">
        <f>+V57-T57+1</f>
        <v>92</v>
      </c>
      <c r="S57" s="332"/>
      <c r="T57" s="333">
        <v>42536</v>
      </c>
      <c r="U57" s="334"/>
      <c r="V57" s="333">
        <v>42627</v>
      </c>
      <c r="W57" s="289"/>
      <c r="X57" s="5"/>
    </row>
    <row r="58" spans="1:25" ht="15.75" x14ac:dyDescent="0.25">
      <c r="A58" s="285"/>
      <c r="B58" s="286" t="s">
        <v>122</v>
      </c>
      <c r="C58" s="286"/>
      <c r="D58" s="286"/>
      <c r="E58" s="286"/>
      <c r="F58" s="286"/>
      <c r="G58" s="286"/>
      <c r="H58" s="286"/>
      <c r="I58" s="286"/>
      <c r="J58" s="286"/>
      <c r="K58" s="286"/>
      <c r="L58" s="286"/>
      <c r="M58" s="286"/>
      <c r="N58" s="286"/>
      <c r="O58" s="286"/>
      <c r="P58" s="286"/>
      <c r="Q58" s="286"/>
      <c r="R58" s="286">
        <f>+V58-T58+1</f>
        <v>91</v>
      </c>
      <c r="S58" s="286"/>
      <c r="T58" s="333">
        <v>42628</v>
      </c>
      <c r="U58" s="334"/>
      <c r="V58" s="333">
        <v>42718</v>
      </c>
      <c r="W58" s="289"/>
      <c r="X58" s="5"/>
    </row>
    <row r="59" spans="1:25" ht="15.75" x14ac:dyDescent="0.25">
      <c r="A59" s="285"/>
      <c r="B59" s="286" t="s">
        <v>223</v>
      </c>
      <c r="C59" s="286"/>
      <c r="D59" s="286"/>
      <c r="E59" s="286"/>
      <c r="F59" s="286"/>
      <c r="G59" s="286"/>
      <c r="H59" s="286"/>
      <c r="I59" s="286"/>
      <c r="J59" s="286"/>
      <c r="K59" s="286"/>
      <c r="L59" s="286"/>
      <c r="M59" s="286"/>
      <c r="N59" s="286"/>
      <c r="O59" s="286"/>
      <c r="P59" s="286"/>
      <c r="Q59" s="286"/>
      <c r="R59" s="286"/>
      <c r="S59" s="286"/>
      <c r="T59" s="333"/>
      <c r="U59" s="334"/>
      <c r="V59" s="333" t="s">
        <v>120</v>
      </c>
      <c r="W59" s="289"/>
      <c r="X59" s="5"/>
    </row>
    <row r="60" spans="1:25" ht="15.75" x14ac:dyDescent="0.25">
      <c r="A60" s="285"/>
      <c r="B60" s="286" t="s">
        <v>271</v>
      </c>
      <c r="C60" s="286"/>
      <c r="D60" s="286"/>
      <c r="E60" s="286"/>
      <c r="F60" s="286"/>
      <c r="G60" s="286"/>
      <c r="H60" s="286"/>
      <c r="I60" s="286"/>
      <c r="J60" s="286"/>
      <c r="K60" s="286"/>
      <c r="L60" s="286"/>
      <c r="M60" s="286"/>
      <c r="N60" s="286"/>
      <c r="O60" s="286"/>
      <c r="P60" s="286"/>
      <c r="Q60" s="286"/>
      <c r="R60" s="286"/>
      <c r="S60" s="286"/>
      <c r="T60" s="333"/>
      <c r="U60" s="334"/>
      <c r="V60" s="333" t="s">
        <v>154</v>
      </c>
      <c r="W60" s="289"/>
      <c r="X60" s="5"/>
      <c r="Y60" s="133"/>
    </row>
    <row r="61" spans="1:25" ht="15.75" x14ac:dyDescent="0.25">
      <c r="A61" s="285"/>
      <c r="B61" s="286" t="s">
        <v>16</v>
      </c>
      <c r="C61" s="286"/>
      <c r="D61" s="286"/>
      <c r="E61" s="286"/>
      <c r="F61" s="286"/>
      <c r="G61" s="286"/>
      <c r="H61" s="286"/>
      <c r="I61" s="286"/>
      <c r="J61" s="286"/>
      <c r="K61" s="286"/>
      <c r="L61" s="286"/>
      <c r="M61" s="286"/>
      <c r="N61" s="286"/>
      <c r="O61" s="286"/>
      <c r="P61" s="286"/>
      <c r="Q61" s="286"/>
      <c r="R61" s="286"/>
      <c r="S61" s="286"/>
      <c r="T61" s="333"/>
      <c r="U61" s="334"/>
      <c r="V61" s="333">
        <v>42705</v>
      </c>
      <c r="W61" s="289"/>
      <c r="X61" s="5"/>
    </row>
    <row r="62" spans="1:25" ht="15.75" x14ac:dyDescent="0.25">
      <c r="A62" s="181"/>
      <c r="B62" s="212"/>
      <c r="C62" s="212"/>
      <c r="D62" s="212"/>
      <c r="E62" s="212"/>
      <c r="F62" s="212"/>
      <c r="G62" s="212"/>
      <c r="H62" s="212"/>
      <c r="I62" s="212"/>
      <c r="J62" s="212"/>
      <c r="K62" s="212"/>
      <c r="L62" s="212"/>
      <c r="M62" s="212"/>
      <c r="N62" s="212"/>
      <c r="O62" s="212"/>
      <c r="P62" s="212"/>
      <c r="Q62" s="212"/>
      <c r="R62" s="212"/>
      <c r="S62" s="212"/>
      <c r="T62" s="283"/>
      <c r="U62" s="284"/>
      <c r="V62" s="283"/>
      <c r="W62" s="212"/>
      <c r="X62" s="5"/>
    </row>
    <row r="63" spans="1:25" ht="15.75" x14ac:dyDescent="0.25">
      <c r="A63" s="181"/>
      <c r="B63" s="183"/>
      <c r="C63" s="183"/>
      <c r="D63" s="183"/>
      <c r="E63" s="183"/>
      <c r="F63" s="183"/>
      <c r="G63" s="183"/>
      <c r="H63" s="183"/>
      <c r="I63" s="183"/>
      <c r="J63" s="183"/>
      <c r="K63" s="183"/>
      <c r="L63" s="183"/>
      <c r="M63" s="183"/>
      <c r="N63" s="183"/>
      <c r="O63" s="183"/>
      <c r="P63" s="183"/>
      <c r="Q63" s="183"/>
      <c r="R63" s="183"/>
      <c r="S63" s="183"/>
      <c r="T63" s="195"/>
      <c r="U63" s="196"/>
      <c r="V63" s="195"/>
      <c r="W63" s="183"/>
      <c r="X63" s="5"/>
    </row>
    <row r="64" spans="1:25" ht="19.5" thickBot="1" x14ac:dyDescent="0.35">
      <c r="A64" s="197"/>
      <c r="B64" s="270" t="s">
        <v>337</v>
      </c>
      <c r="C64" s="198"/>
      <c r="D64" s="198"/>
      <c r="E64" s="198"/>
      <c r="F64" s="198"/>
      <c r="G64" s="198"/>
      <c r="H64" s="198"/>
      <c r="I64" s="198"/>
      <c r="J64" s="198"/>
      <c r="K64" s="198"/>
      <c r="L64" s="198"/>
      <c r="M64" s="198"/>
      <c r="N64" s="198"/>
      <c r="O64" s="198"/>
      <c r="P64" s="198"/>
      <c r="Q64" s="198"/>
      <c r="R64" s="198"/>
      <c r="S64" s="198"/>
      <c r="T64" s="198"/>
      <c r="U64" s="198"/>
      <c r="V64" s="199"/>
      <c r="W64" s="200"/>
      <c r="X64" s="5"/>
    </row>
    <row r="65" spans="1:24" ht="15.75" x14ac:dyDescent="0.25">
      <c r="A65" s="224"/>
      <c r="B65" s="230" t="s">
        <v>17</v>
      </c>
      <c r="C65" s="225"/>
      <c r="D65" s="225"/>
      <c r="E65" s="225"/>
      <c r="F65" s="225"/>
      <c r="G65" s="225"/>
      <c r="H65" s="225"/>
      <c r="I65" s="225"/>
      <c r="J65" s="225"/>
      <c r="K65" s="225"/>
      <c r="L65" s="225"/>
      <c r="M65" s="225"/>
      <c r="N65" s="225"/>
      <c r="O65" s="225"/>
      <c r="P65" s="225"/>
      <c r="Q65" s="225"/>
      <c r="R65" s="225"/>
      <c r="S65" s="225"/>
      <c r="T65" s="225"/>
      <c r="U65" s="225"/>
      <c r="V65" s="231"/>
      <c r="W65" s="225"/>
      <c r="X65" s="5"/>
    </row>
    <row r="66" spans="1:24" ht="15.75" x14ac:dyDescent="0.25">
      <c r="A66" s="181"/>
      <c r="B66" s="189"/>
      <c r="C66" s="183"/>
      <c r="D66" s="183"/>
      <c r="E66" s="183"/>
      <c r="F66" s="183"/>
      <c r="G66" s="183"/>
      <c r="H66" s="183"/>
      <c r="I66" s="183"/>
      <c r="J66" s="183"/>
      <c r="K66" s="183"/>
      <c r="L66" s="183"/>
      <c r="M66" s="183"/>
      <c r="N66" s="183"/>
      <c r="O66" s="183"/>
      <c r="P66" s="183"/>
      <c r="Q66" s="183"/>
      <c r="R66" s="183"/>
      <c r="S66" s="183"/>
      <c r="T66" s="183"/>
      <c r="U66" s="183"/>
      <c r="V66" s="202"/>
      <c r="W66" s="183"/>
      <c r="X66" s="5"/>
    </row>
    <row r="67" spans="1:24" ht="47.25" x14ac:dyDescent="0.25">
      <c r="A67" s="181"/>
      <c r="B67" s="203" t="s">
        <v>18</v>
      </c>
      <c r="C67" s="204"/>
      <c r="D67" s="204"/>
      <c r="E67" s="204"/>
      <c r="F67" s="204"/>
      <c r="G67" s="204"/>
      <c r="H67" s="204"/>
      <c r="I67" s="204"/>
      <c r="J67" s="204"/>
      <c r="K67" s="204"/>
      <c r="L67" s="204" t="s">
        <v>94</v>
      </c>
      <c r="M67" s="204"/>
      <c r="N67" s="204" t="s">
        <v>96</v>
      </c>
      <c r="O67" s="204"/>
      <c r="P67" s="204" t="s">
        <v>98</v>
      </c>
      <c r="Q67" s="204"/>
      <c r="R67" s="204" t="s">
        <v>100</v>
      </c>
      <c r="S67" s="204"/>
      <c r="T67" s="204" t="s">
        <v>106</v>
      </c>
      <c r="U67" s="204"/>
      <c r="V67" s="205" t="s">
        <v>112</v>
      </c>
      <c r="W67" s="206"/>
      <c r="X67" s="5"/>
    </row>
    <row r="68" spans="1:24" ht="15.75" x14ac:dyDescent="0.25">
      <c r="A68" s="285"/>
      <c r="B68" s="286" t="s">
        <v>19</v>
      </c>
      <c r="C68" s="337"/>
      <c r="D68" s="337"/>
      <c r="E68" s="337"/>
      <c r="F68" s="337"/>
      <c r="G68" s="337"/>
      <c r="H68" s="337"/>
      <c r="I68" s="337"/>
      <c r="J68" s="337"/>
      <c r="K68" s="337"/>
      <c r="L68" s="337">
        <v>812446</v>
      </c>
      <c r="M68" s="337"/>
      <c r="N68" s="338">
        <v>692657</v>
      </c>
      <c r="O68" s="337"/>
      <c r="P68" s="337">
        <f>9693+96+62</f>
        <v>9851</v>
      </c>
      <c r="Q68" s="337"/>
      <c r="R68" s="337">
        <f>96+62</f>
        <v>158</v>
      </c>
      <c r="S68" s="337"/>
      <c r="T68" s="337">
        <v>0</v>
      </c>
      <c r="U68" s="337"/>
      <c r="V68" s="338">
        <f>+N68-P68+R68-T68</f>
        <v>682964</v>
      </c>
      <c r="W68" s="289"/>
      <c r="X68" s="5"/>
    </row>
    <row r="69" spans="1:24" ht="15.75" x14ac:dyDescent="0.25">
      <c r="A69" s="285"/>
      <c r="B69" s="286" t="s">
        <v>20</v>
      </c>
      <c r="C69" s="337"/>
      <c r="D69" s="337"/>
      <c r="E69" s="337"/>
      <c r="F69" s="337"/>
      <c r="G69" s="337"/>
      <c r="H69" s="337"/>
      <c r="I69" s="337"/>
      <c r="J69" s="337"/>
      <c r="K69" s="337"/>
      <c r="L69" s="337">
        <v>0</v>
      </c>
      <c r="M69" s="337"/>
      <c r="N69" s="338">
        <v>0</v>
      </c>
      <c r="O69" s="337"/>
      <c r="P69" s="337">
        <v>0</v>
      </c>
      <c r="Q69" s="337"/>
      <c r="R69" s="337">
        <v>0</v>
      </c>
      <c r="S69" s="337"/>
      <c r="T69" s="337">
        <v>0</v>
      </c>
      <c r="U69" s="337"/>
      <c r="V69" s="338">
        <f>+L69-P69</f>
        <v>0</v>
      </c>
      <c r="W69" s="289"/>
      <c r="X69" s="5"/>
    </row>
    <row r="70" spans="1:24" ht="15.75" x14ac:dyDescent="0.25">
      <c r="A70" s="285"/>
      <c r="B70" s="286"/>
      <c r="C70" s="337"/>
      <c r="D70" s="337"/>
      <c r="E70" s="337"/>
      <c r="F70" s="337"/>
      <c r="G70" s="337"/>
      <c r="H70" s="337"/>
      <c r="I70" s="337"/>
      <c r="J70" s="337"/>
      <c r="K70" s="337"/>
      <c r="L70" s="337"/>
      <c r="M70" s="337"/>
      <c r="N70" s="338"/>
      <c r="O70" s="337"/>
      <c r="P70" s="337"/>
      <c r="Q70" s="337"/>
      <c r="R70" s="337"/>
      <c r="S70" s="337"/>
      <c r="T70" s="337"/>
      <c r="U70" s="337"/>
      <c r="V70" s="338"/>
      <c r="W70" s="289"/>
      <c r="X70" s="5"/>
    </row>
    <row r="71" spans="1:24" ht="15.75" x14ac:dyDescent="0.25">
      <c r="A71" s="285"/>
      <c r="B71" s="286" t="s">
        <v>21</v>
      </c>
      <c r="C71" s="337"/>
      <c r="D71" s="337"/>
      <c r="E71" s="337"/>
      <c r="F71" s="337"/>
      <c r="G71" s="337"/>
      <c r="H71" s="337"/>
      <c r="I71" s="337"/>
      <c r="J71" s="337"/>
      <c r="K71" s="337"/>
      <c r="L71" s="337">
        <f>SUM(L68:L70)</f>
        <v>812446</v>
      </c>
      <c r="M71" s="337"/>
      <c r="N71" s="337">
        <f>N68+N69</f>
        <v>692657</v>
      </c>
      <c r="O71" s="337"/>
      <c r="P71" s="337">
        <f>SUM(P68:P70)</f>
        <v>9851</v>
      </c>
      <c r="Q71" s="337"/>
      <c r="R71" s="337">
        <f>SUM(R68:R70)</f>
        <v>158</v>
      </c>
      <c r="S71" s="337"/>
      <c r="T71" s="337">
        <f>SUM(T68:T70)</f>
        <v>0</v>
      </c>
      <c r="U71" s="337"/>
      <c r="V71" s="337">
        <f>SUM(V68:V70)</f>
        <v>682964</v>
      </c>
      <c r="W71" s="289"/>
      <c r="X71" s="5"/>
    </row>
    <row r="72" spans="1:24" ht="15.75" x14ac:dyDescent="0.25">
      <c r="A72" s="181"/>
      <c r="B72" s="212"/>
      <c r="C72" s="335"/>
      <c r="D72" s="335"/>
      <c r="E72" s="335"/>
      <c r="F72" s="335"/>
      <c r="G72" s="335"/>
      <c r="H72" s="335"/>
      <c r="I72" s="335"/>
      <c r="J72" s="335"/>
      <c r="K72" s="335"/>
      <c r="L72" s="335"/>
      <c r="M72" s="335"/>
      <c r="N72" s="335"/>
      <c r="O72" s="335"/>
      <c r="P72" s="335"/>
      <c r="Q72" s="335"/>
      <c r="R72" s="335"/>
      <c r="S72" s="335"/>
      <c r="T72" s="335"/>
      <c r="U72" s="335"/>
      <c r="V72" s="336"/>
      <c r="W72" s="212"/>
      <c r="X72" s="5"/>
    </row>
    <row r="73" spans="1:24" ht="15.75" x14ac:dyDescent="0.25">
      <c r="A73" s="181"/>
      <c r="B73" s="185" t="s">
        <v>22</v>
      </c>
      <c r="C73" s="207"/>
      <c r="D73" s="207"/>
      <c r="E73" s="207"/>
      <c r="F73" s="207"/>
      <c r="G73" s="207"/>
      <c r="H73" s="207"/>
      <c r="I73" s="207"/>
      <c r="J73" s="207"/>
      <c r="K73" s="207"/>
      <c r="L73" s="207"/>
      <c r="M73" s="207"/>
      <c r="N73" s="207"/>
      <c r="O73" s="207"/>
      <c r="P73" s="207"/>
      <c r="Q73" s="207"/>
      <c r="R73" s="207"/>
      <c r="S73" s="207"/>
      <c r="T73" s="207"/>
      <c r="U73" s="207"/>
      <c r="V73" s="208"/>
      <c r="W73" s="183"/>
      <c r="X73" s="5"/>
    </row>
    <row r="74" spans="1:24" ht="15.75" x14ac:dyDescent="0.25">
      <c r="A74" s="181"/>
      <c r="B74" s="183"/>
      <c r="C74" s="207"/>
      <c r="D74" s="207"/>
      <c r="E74" s="207"/>
      <c r="F74" s="207"/>
      <c r="G74" s="207"/>
      <c r="H74" s="207"/>
      <c r="I74" s="207"/>
      <c r="J74" s="207"/>
      <c r="K74" s="207"/>
      <c r="L74" s="207"/>
      <c r="M74" s="207"/>
      <c r="N74" s="207"/>
      <c r="O74" s="207"/>
      <c r="P74" s="207"/>
      <c r="Q74" s="207"/>
      <c r="R74" s="207"/>
      <c r="S74" s="207"/>
      <c r="T74" s="207"/>
      <c r="U74" s="207"/>
      <c r="V74" s="208"/>
      <c r="W74" s="183"/>
      <c r="X74" s="5"/>
    </row>
    <row r="75" spans="1:24" ht="15.75" x14ac:dyDescent="0.25">
      <c r="A75" s="285"/>
      <c r="B75" s="286" t="s">
        <v>19</v>
      </c>
      <c r="C75" s="337"/>
      <c r="D75" s="337"/>
      <c r="E75" s="337"/>
      <c r="F75" s="337"/>
      <c r="G75" s="337"/>
      <c r="H75" s="337"/>
      <c r="I75" s="337"/>
      <c r="J75" s="337"/>
      <c r="K75" s="337"/>
      <c r="L75" s="337"/>
      <c r="M75" s="337"/>
      <c r="N75" s="337"/>
      <c r="O75" s="337"/>
      <c r="P75" s="337"/>
      <c r="Q75" s="337"/>
      <c r="R75" s="337"/>
      <c r="S75" s="337"/>
      <c r="T75" s="337"/>
      <c r="U75" s="337"/>
      <c r="V75" s="337"/>
      <c r="W75" s="289"/>
      <c r="X75" s="5"/>
    </row>
    <row r="76" spans="1:24" ht="15.75" x14ac:dyDescent="0.25">
      <c r="A76" s="285"/>
      <c r="B76" s="286" t="s">
        <v>20</v>
      </c>
      <c r="C76" s="337"/>
      <c r="D76" s="337"/>
      <c r="E76" s="337"/>
      <c r="F76" s="337"/>
      <c r="G76" s="337"/>
      <c r="H76" s="337"/>
      <c r="I76" s="337"/>
      <c r="J76" s="337"/>
      <c r="K76" s="337"/>
      <c r="L76" s="337"/>
      <c r="M76" s="337"/>
      <c r="N76" s="337"/>
      <c r="O76" s="337"/>
      <c r="P76" s="337"/>
      <c r="Q76" s="337"/>
      <c r="R76" s="337"/>
      <c r="S76" s="337"/>
      <c r="T76" s="337"/>
      <c r="U76" s="337"/>
      <c r="V76" s="337"/>
      <c r="W76" s="289"/>
      <c r="X76" s="5"/>
    </row>
    <row r="77" spans="1:24" ht="15.75" x14ac:dyDescent="0.25">
      <c r="A77" s="285"/>
      <c r="B77" s="286"/>
      <c r="C77" s="337"/>
      <c r="D77" s="337"/>
      <c r="E77" s="337"/>
      <c r="F77" s="337"/>
      <c r="G77" s="337"/>
      <c r="H77" s="337"/>
      <c r="I77" s="337"/>
      <c r="J77" s="337"/>
      <c r="K77" s="337"/>
      <c r="L77" s="337"/>
      <c r="M77" s="337"/>
      <c r="N77" s="337"/>
      <c r="O77" s="337"/>
      <c r="P77" s="337"/>
      <c r="Q77" s="337"/>
      <c r="R77" s="337"/>
      <c r="S77" s="337"/>
      <c r="T77" s="337"/>
      <c r="U77" s="337"/>
      <c r="V77" s="337"/>
      <c r="W77" s="289"/>
      <c r="X77" s="5"/>
    </row>
    <row r="78" spans="1:24" ht="15.75" x14ac:dyDescent="0.25">
      <c r="A78" s="285"/>
      <c r="B78" s="286" t="s">
        <v>21</v>
      </c>
      <c r="C78" s="337"/>
      <c r="D78" s="337"/>
      <c r="E78" s="337"/>
      <c r="F78" s="337"/>
      <c r="G78" s="337"/>
      <c r="H78" s="337"/>
      <c r="I78" s="337"/>
      <c r="J78" s="337"/>
      <c r="K78" s="337"/>
      <c r="L78" s="337"/>
      <c r="M78" s="337"/>
      <c r="N78" s="337"/>
      <c r="O78" s="337"/>
      <c r="P78" s="337"/>
      <c r="Q78" s="337"/>
      <c r="R78" s="337"/>
      <c r="S78" s="337"/>
      <c r="T78" s="337"/>
      <c r="U78" s="337"/>
      <c r="V78" s="337"/>
      <c r="W78" s="289"/>
      <c r="X78" s="5"/>
    </row>
    <row r="79" spans="1:24" ht="15.75" x14ac:dyDescent="0.25">
      <c r="A79" s="285"/>
      <c r="B79" s="286"/>
      <c r="C79" s="337"/>
      <c r="D79" s="337"/>
      <c r="E79" s="337"/>
      <c r="F79" s="337"/>
      <c r="G79" s="337"/>
      <c r="H79" s="337"/>
      <c r="I79" s="337"/>
      <c r="J79" s="337"/>
      <c r="K79" s="337"/>
      <c r="L79" s="337"/>
      <c r="M79" s="337"/>
      <c r="N79" s="337"/>
      <c r="O79" s="337"/>
      <c r="P79" s="337"/>
      <c r="Q79" s="337"/>
      <c r="R79" s="337"/>
      <c r="S79" s="337"/>
      <c r="T79" s="337"/>
      <c r="U79" s="337"/>
      <c r="V79" s="337"/>
      <c r="W79" s="289"/>
      <c r="X79" s="5"/>
    </row>
    <row r="80" spans="1:24" ht="15.75" x14ac:dyDescent="0.25">
      <c r="A80" s="285"/>
      <c r="B80" s="286" t="s">
        <v>23</v>
      </c>
      <c r="C80" s="337"/>
      <c r="D80" s="337"/>
      <c r="E80" s="337"/>
      <c r="F80" s="337"/>
      <c r="G80" s="337"/>
      <c r="H80" s="337"/>
      <c r="I80" s="337"/>
      <c r="J80" s="337"/>
      <c r="K80" s="337"/>
      <c r="L80" s="337">
        <v>0</v>
      </c>
      <c r="M80" s="337"/>
      <c r="N80" s="337">
        <v>0</v>
      </c>
      <c r="O80" s="337"/>
      <c r="P80" s="337"/>
      <c r="Q80" s="337"/>
      <c r="R80" s="337"/>
      <c r="S80" s="337"/>
      <c r="T80" s="337"/>
      <c r="U80" s="337"/>
      <c r="V80" s="338">
        <v>0</v>
      </c>
      <c r="W80" s="289"/>
      <c r="X80" s="5"/>
    </row>
    <row r="81" spans="1:24" ht="15.75" x14ac:dyDescent="0.25">
      <c r="A81" s="285"/>
      <c r="B81" s="286" t="s">
        <v>117</v>
      </c>
      <c r="C81" s="337"/>
      <c r="D81" s="337"/>
      <c r="E81" s="337"/>
      <c r="F81" s="337"/>
      <c r="G81" s="337"/>
      <c r="H81" s="337"/>
      <c r="I81" s="337"/>
      <c r="J81" s="337"/>
      <c r="K81" s="337"/>
      <c r="L81" s="337">
        <v>188687</v>
      </c>
      <c r="M81" s="337"/>
      <c r="N81" s="337">
        <v>0</v>
      </c>
      <c r="O81" s="337"/>
      <c r="P81" s="337">
        <v>0</v>
      </c>
      <c r="Q81" s="337"/>
      <c r="R81" s="337"/>
      <c r="S81" s="337"/>
      <c r="T81" s="337"/>
      <c r="U81" s="337"/>
      <c r="V81" s="337">
        <f>SUM(N81:R81)</f>
        <v>0</v>
      </c>
      <c r="W81" s="289"/>
      <c r="X81" s="5"/>
    </row>
    <row r="82" spans="1:24" ht="15.75" x14ac:dyDescent="0.25">
      <c r="A82" s="285"/>
      <c r="B82" s="286"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89"/>
      <c r="X82" s="5"/>
    </row>
    <row r="83" spans="1:24" ht="15.75" x14ac:dyDescent="0.25">
      <c r="A83" s="285"/>
      <c r="B83" s="286" t="s">
        <v>25</v>
      </c>
      <c r="C83" s="337"/>
      <c r="D83" s="337"/>
      <c r="E83" s="337"/>
      <c r="F83" s="337"/>
      <c r="G83" s="337"/>
      <c r="H83" s="337"/>
      <c r="I83" s="337"/>
      <c r="J83" s="337"/>
      <c r="K83" s="337"/>
      <c r="L83" s="337">
        <v>0</v>
      </c>
      <c r="M83" s="337"/>
      <c r="N83" s="337">
        <v>0</v>
      </c>
      <c r="O83" s="337"/>
      <c r="P83" s="337"/>
      <c r="Q83" s="337"/>
      <c r="R83" s="337"/>
      <c r="S83" s="337"/>
      <c r="T83" s="337"/>
      <c r="U83" s="337"/>
      <c r="V83" s="337">
        <v>0</v>
      </c>
      <c r="W83" s="289"/>
      <c r="X83" s="5"/>
    </row>
    <row r="84" spans="1:24" ht="15.75" x14ac:dyDescent="0.25">
      <c r="A84" s="285"/>
      <c r="B84" s="286" t="s">
        <v>26</v>
      </c>
      <c r="C84" s="337"/>
      <c r="D84" s="337"/>
      <c r="E84" s="337"/>
      <c r="F84" s="337"/>
      <c r="G84" s="337"/>
      <c r="H84" s="337"/>
      <c r="I84" s="337"/>
      <c r="J84" s="337"/>
      <c r="K84" s="337"/>
      <c r="L84" s="337">
        <f>SUM(L71:L83)</f>
        <v>1001133</v>
      </c>
      <c r="M84" s="337"/>
      <c r="N84" s="337">
        <f>SUM(N71:N83)</f>
        <v>692657</v>
      </c>
      <c r="O84" s="337"/>
      <c r="P84" s="337"/>
      <c r="Q84" s="337"/>
      <c r="R84" s="337"/>
      <c r="S84" s="337"/>
      <c r="T84" s="337"/>
      <c r="U84" s="337"/>
      <c r="V84" s="337">
        <f>SUM(V71:V83)</f>
        <v>682964</v>
      </c>
      <c r="W84" s="289"/>
      <c r="X84" s="5"/>
    </row>
    <row r="85" spans="1:24" ht="15.75" x14ac:dyDescent="0.25">
      <c r="A85" s="181"/>
      <c r="B85" s="212"/>
      <c r="C85" s="335"/>
      <c r="D85" s="335"/>
      <c r="E85" s="335"/>
      <c r="F85" s="335"/>
      <c r="G85" s="335"/>
      <c r="H85" s="335"/>
      <c r="I85" s="335"/>
      <c r="J85" s="335"/>
      <c r="K85" s="335"/>
      <c r="L85" s="335"/>
      <c r="M85" s="335"/>
      <c r="N85" s="335"/>
      <c r="O85" s="335"/>
      <c r="P85" s="335"/>
      <c r="Q85" s="335"/>
      <c r="R85" s="335"/>
      <c r="S85" s="335"/>
      <c r="T85" s="335"/>
      <c r="U85" s="335"/>
      <c r="V85" s="336"/>
      <c r="W85" s="212"/>
      <c r="X85" s="5"/>
    </row>
    <row r="86" spans="1:24" ht="15.75" x14ac:dyDescent="0.25">
      <c r="A86" s="181"/>
      <c r="B86" s="183"/>
      <c r="C86" s="183"/>
      <c r="D86" s="183"/>
      <c r="E86" s="183"/>
      <c r="F86" s="183"/>
      <c r="G86" s="183"/>
      <c r="H86" s="183"/>
      <c r="I86" s="183"/>
      <c r="J86" s="183"/>
      <c r="K86" s="183"/>
      <c r="L86" s="183"/>
      <c r="M86" s="183"/>
      <c r="N86" s="183"/>
      <c r="O86" s="183"/>
      <c r="P86" s="183"/>
      <c r="Q86" s="183"/>
      <c r="R86" s="183"/>
      <c r="S86" s="183"/>
      <c r="T86" s="183"/>
      <c r="U86" s="183"/>
      <c r="V86" s="183"/>
      <c r="W86" s="183"/>
      <c r="X86" s="5"/>
    </row>
    <row r="87" spans="1:24" ht="15.75" x14ac:dyDescent="0.25">
      <c r="A87" s="224"/>
      <c r="B87" s="399" t="s">
        <v>27</v>
      </c>
      <c r="C87" s="399"/>
      <c r="D87" s="399"/>
      <c r="E87" s="399"/>
      <c r="F87" s="399"/>
      <c r="G87" s="399"/>
      <c r="H87" s="400"/>
      <c r="I87" s="400"/>
      <c r="J87" s="400"/>
      <c r="K87" s="400"/>
      <c r="L87" s="401" t="s">
        <v>95</v>
      </c>
      <c r="M87" s="400"/>
      <c r="N87" s="402">
        <f>+T202</f>
        <v>42704</v>
      </c>
      <c r="O87" s="400"/>
      <c r="P87" s="400"/>
      <c r="Q87" s="400"/>
      <c r="R87" s="400"/>
      <c r="S87" s="400"/>
      <c r="T87" s="400" t="s">
        <v>107</v>
      </c>
      <c r="U87" s="400"/>
      <c r="V87" s="400" t="s">
        <v>113</v>
      </c>
      <c r="W87" s="225"/>
      <c r="X87" s="5"/>
    </row>
    <row r="88" spans="1:24" ht="15.75" x14ac:dyDescent="0.25">
      <c r="A88" s="248"/>
      <c r="B88" s="250" t="s">
        <v>28</v>
      </c>
      <c r="C88" s="194"/>
      <c r="D88" s="194"/>
      <c r="E88" s="194"/>
      <c r="F88" s="194"/>
      <c r="G88" s="194"/>
      <c r="H88" s="194"/>
      <c r="I88" s="194"/>
      <c r="J88" s="194"/>
      <c r="K88" s="194"/>
      <c r="L88" s="194"/>
      <c r="M88" s="194"/>
      <c r="N88" s="194"/>
      <c r="O88" s="194"/>
      <c r="P88" s="194"/>
      <c r="Q88" s="194"/>
      <c r="R88" s="194"/>
      <c r="S88" s="194"/>
      <c r="T88" s="249">
        <v>0</v>
      </c>
      <c r="U88" s="250"/>
      <c r="V88" s="253">
        <v>0</v>
      </c>
      <c r="W88" s="194"/>
      <c r="X88" s="5"/>
    </row>
    <row r="89" spans="1:24" ht="15.75" x14ac:dyDescent="0.25">
      <c r="A89" s="295"/>
      <c r="B89" s="286" t="s">
        <v>29</v>
      </c>
      <c r="C89" s="314"/>
      <c r="D89" s="314"/>
      <c r="E89" s="314"/>
      <c r="F89" s="314"/>
      <c r="G89" s="314"/>
      <c r="H89" s="339"/>
      <c r="I89" s="339"/>
      <c r="J89" s="339"/>
      <c r="K89" s="340"/>
      <c r="L89" s="339"/>
      <c r="M89" s="314"/>
      <c r="N89" s="341"/>
      <c r="O89" s="314"/>
      <c r="P89" s="314"/>
      <c r="Q89" s="314"/>
      <c r="R89" s="314"/>
      <c r="S89" s="314"/>
      <c r="T89" s="337">
        <f>9851+18</f>
        <v>9869</v>
      </c>
      <c r="U89" s="286"/>
      <c r="V89" s="338"/>
      <c r="W89" s="318"/>
      <c r="X89" s="5"/>
    </row>
    <row r="90" spans="1:24" ht="15.75" x14ac:dyDescent="0.25">
      <c r="A90" s="295"/>
      <c r="B90" s="286" t="s">
        <v>215</v>
      </c>
      <c r="C90" s="314"/>
      <c r="D90" s="314"/>
      <c r="E90" s="314"/>
      <c r="F90" s="314"/>
      <c r="G90" s="314"/>
      <c r="H90" s="339"/>
      <c r="I90" s="339"/>
      <c r="J90" s="339"/>
      <c r="K90" s="340"/>
      <c r="L90" s="339"/>
      <c r="M90" s="314"/>
      <c r="N90" s="341"/>
      <c r="O90" s="314"/>
      <c r="P90" s="314"/>
      <c r="Q90" s="314"/>
      <c r="R90" s="314"/>
      <c r="S90" s="314"/>
      <c r="T90" s="337"/>
      <c r="U90" s="286"/>
      <c r="V90" s="338">
        <f>3183+2540-901-707</f>
        <v>4115</v>
      </c>
      <c r="W90" s="318"/>
      <c r="X90" s="5"/>
    </row>
    <row r="91" spans="1:24" ht="15.75" x14ac:dyDescent="0.25">
      <c r="A91" s="295"/>
      <c r="B91" s="286" t="s">
        <v>210</v>
      </c>
      <c r="C91" s="314"/>
      <c r="D91" s="314"/>
      <c r="E91" s="314"/>
      <c r="F91" s="314"/>
      <c r="G91" s="314"/>
      <c r="H91" s="339"/>
      <c r="I91" s="339"/>
      <c r="J91" s="339"/>
      <c r="K91" s="340"/>
      <c r="L91" s="339"/>
      <c r="M91" s="314"/>
      <c r="N91" s="341"/>
      <c r="O91" s="314"/>
      <c r="P91" s="314"/>
      <c r="Q91" s="314"/>
      <c r="R91" s="314"/>
      <c r="S91" s="314"/>
      <c r="T91" s="337"/>
      <c r="U91" s="286"/>
      <c r="V91" s="338">
        <f>52+99</f>
        <v>151</v>
      </c>
      <c r="W91" s="318"/>
      <c r="X91" s="5"/>
    </row>
    <row r="92" spans="1:24" ht="15.75" x14ac:dyDescent="0.25">
      <c r="A92" s="295"/>
      <c r="B92" s="286" t="s">
        <v>211</v>
      </c>
      <c r="C92" s="314"/>
      <c r="D92" s="314"/>
      <c r="E92" s="314"/>
      <c r="F92" s="314"/>
      <c r="G92" s="314"/>
      <c r="H92" s="339"/>
      <c r="I92" s="339"/>
      <c r="J92" s="339"/>
      <c r="K92" s="340"/>
      <c r="L92" s="339"/>
      <c r="M92" s="314"/>
      <c r="N92" s="341"/>
      <c r="O92" s="314"/>
      <c r="P92" s="314"/>
      <c r="Q92" s="314"/>
      <c r="R92" s="314"/>
      <c r="S92" s="314"/>
      <c r="T92" s="337"/>
      <c r="U92" s="286"/>
      <c r="V92" s="338">
        <v>34</v>
      </c>
      <c r="W92" s="318"/>
      <c r="X92" s="5"/>
    </row>
    <row r="93" spans="1:24" ht="15.75" x14ac:dyDescent="0.25">
      <c r="A93" s="295"/>
      <c r="B93" s="286" t="s">
        <v>233</v>
      </c>
      <c r="C93" s="314"/>
      <c r="D93" s="314"/>
      <c r="E93" s="314"/>
      <c r="F93" s="314"/>
      <c r="G93" s="314"/>
      <c r="H93" s="339"/>
      <c r="I93" s="339"/>
      <c r="J93" s="339"/>
      <c r="K93" s="340"/>
      <c r="L93" s="339"/>
      <c r="M93" s="314"/>
      <c r="N93" s="341"/>
      <c r="O93" s="314"/>
      <c r="P93" s="314"/>
      <c r="Q93" s="314"/>
      <c r="R93" s="314"/>
      <c r="S93" s="314"/>
      <c r="T93" s="337"/>
      <c r="U93" s="286"/>
      <c r="V93" s="338">
        <v>0</v>
      </c>
      <c r="W93" s="318"/>
      <c r="X93" s="5"/>
    </row>
    <row r="94" spans="1:24" ht="15.75" x14ac:dyDescent="0.25">
      <c r="A94" s="295"/>
      <c r="B94" s="286" t="s">
        <v>235</v>
      </c>
      <c r="C94" s="314"/>
      <c r="D94" s="314"/>
      <c r="E94" s="314"/>
      <c r="F94" s="314"/>
      <c r="G94" s="314"/>
      <c r="H94" s="339"/>
      <c r="I94" s="339"/>
      <c r="J94" s="339"/>
      <c r="K94" s="340"/>
      <c r="L94" s="339"/>
      <c r="M94" s="314"/>
      <c r="N94" s="341"/>
      <c r="O94" s="314"/>
      <c r="P94" s="314"/>
      <c r="Q94" s="314"/>
      <c r="R94" s="314"/>
      <c r="S94" s="314"/>
      <c r="T94" s="337"/>
      <c r="U94" s="286"/>
      <c r="V94" s="338">
        <v>0</v>
      </c>
      <c r="W94" s="318"/>
      <c r="X94" s="5"/>
    </row>
    <row r="95" spans="1:24" ht="15.75" x14ac:dyDescent="0.25">
      <c r="A95" s="295"/>
      <c r="B95" s="286" t="s">
        <v>135</v>
      </c>
      <c r="C95" s="314"/>
      <c r="D95" s="314"/>
      <c r="E95" s="314"/>
      <c r="F95" s="314"/>
      <c r="G95" s="314"/>
      <c r="H95" s="314"/>
      <c r="I95" s="314"/>
      <c r="J95" s="314"/>
      <c r="K95" s="314"/>
      <c r="L95" s="314"/>
      <c r="M95" s="314"/>
      <c r="N95" s="314"/>
      <c r="O95" s="314"/>
      <c r="P95" s="314"/>
      <c r="Q95" s="314"/>
      <c r="R95" s="314"/>
      <c r="S95" s="314"/>
      <c r="T95" s="337"/>
      <c r="U95" s="286"/>
      <c r="V95" s="338">
        <v>0</v>
      </c>
      <c r="W95" s="318"/>
      <c r="X95" s="5"/>
    </row>
    <row r="96" spans="1:24" ht="15.75" x14ac:dyDescent="0.25">
      <c r="A96" s="295"/>
      <c r="B96" s="286" t="s">
        <v>272</v>
      </c>
      <c r="C96" s="314"/>
      <c r="D96" s="314"/>
      <c r="E96" s="314"/>
      <c r="F96" s="314"/>
      <c r="G96" s="314"/>
      <c r="H96" s="314"/>
      <c r="I96" s="314"/>
      <c r="J96" s="314"/>
      <c r="K96" s="314"/>
      <c r="L96" s="314"/>
      <c r="M96" s="314"/>
      <c r="N96" s="314"/>
      <c r="O96" s="314"/>
      <c r="P96" s="314"/>
      <c r="Q96" s="314"/>
      <c r="R96" s="314"/>
      <c r="S96" s="314"/>
      <c r="T96" s="337"/>
      <c r="U96" s="286"/>
      <c r="V96" s="338">
        <v>0</v>
      </c>
      <c r="W96" s="318"/>
      <c r="X96" s="5"/>
    </row>
    <row r="97" spans="1:25" ht="15.75" x14ac:dyDescent="0.25">
      <c r="A97" s="295"/>
      <c r="B97" s="286" t="s">
        <v>30</v>
      </c>
      <c r="C97" s="314"/>
      <c r="D97" s="314"/>
      <c r="E97" s="314"/>
      <c r="F97" s="314"/>
      <c r="G97" s="314"/>
      <c r="H97" s="314"/>
      <c r="I97" s="314"/>
      <c r="J97" s="314"/>
      <c r="K97" s="314"/>
      <c r="L97" s="314"/>
      <c r="M97" s="314"/>
      <c r="N97" s="314"/>
      <c r="O97" s="314"/>
      <c r="P97" s="314"/>
      <c r="Q97" s="314"/>
      <c r="R97" s="314"/>
      <c r="S97" s="314"/>
      <c r="T97" s="337">
        <f>SUM(T88:T96)</f>
        <v>9869</v>
      </c>
      <c r="U97" s="286"/>
      <c r="V97" s="337">
        <f>SUM(V88:V96)</f>
        <v>4300</v>
      </c>
      <c r="W97" s="318"/>
      <c r="X97" s="5"/>
    </row>
    <row r="98" spans="1:25" ht="15.75" x14ac:dyDescent="0.25">
      <c r="A98" s="295"/>
      <c r="B98" s="286" t="s">
        <v>161</v>
      </c>
      <c r="C98" s="314"/>
      <c r="D98" s="314"/>
      <c r="E98" s="314"/>
      <c r="F98" s="314"/>
      <c r="G98" s="314"/>
      <c r="H98" s="314"/>
      <c r="I98" s="314"/>
      <c r="J98" s="314"/>
      <c r="K98" s="314"/>
      <c r="L98" s="314"/>
      <c r="M98" s="314"/>
      <c r="N98" s="314"/>
      <c r="O98" s="314"/>
      <c r="P98" s="314"/>
      <c r="Q98" s="314"/>
      <c r="R98" s="314"/>
      <c r="S98" s="314"/>
      <c r="T98" s="337">
        <f>-V98</f>
        <v>0</v>
      </c>
      <c r="U98" s="286"/>
      <c r="V98" s="337">
        <v>0</v>
      </c>
      <c r="W98" s="318"/>
      <c r="X98" s="5"/>
    </row>
    <row r="99" spans="1:25" ht="15.75" x14ac:dyDescent="0.25">
      <c r="A99" s="295"/>
      <c r="B99" s="286" t="s">
        <v>31</v>
      </c>
      <c r="C99" s="314"/>
      <c r="D99" s="314"/>
      <c r="E99" s="314"/>
      <c r="F99" s="314"/>
      <c r="G99" s="314"/>
      <c r="H99" s="314"/>
      <c r="I99" s="314"/>
      <c r="J99" s="314"/>
      <c r="K99" s="314"/>
      <c r="L99" s="314"/>
      <c r="M99" s="314"/>
      <c r="N99" s="314"/>
      <c r="O99" s="314"/>
      <c r="P99" s="314"/>
      <c r="Q99" s="314"/>
      <c r="R99" s="314"/>
      <c r="S99" s="314"/>
      <c r="T99" s="337">
        <f>-V99</f>
        <v>0</v>
      </c>
      <c r="U99" s="286"/>
      <c r="V99" s="338">
        <v>0</v>
      </c>
      <c r="W99" s="318"/>
      <c r="X99" s="5"/>
    </row>
    <row r="100" spans="1:25" ht="15.75" x14ac:dyDescent="0.25">
      <c r="A100" s="295"/>
      <c r="B100" s="286" t="s">
        <v>274</v>
      </c>
      <c r="C100" s="314"/>
      <c r="D100" s="314"/>
      <c r="E100" s="314"/>
      <c r="F100" s="314"/>
      <c r="G100" s="314"/>
      <c r="H100" s="314"/>
      <c r="I100" s="314"/>
      <c r="J100" s="314"/>
      <c r="K100" s="314"/>
      <c r="L100" s="314"/>
      <c r="M100" s="314"/>
      <c r="N100" s="314"/>
      <c r="O100" s="314"/>
      <c r="P100" s="314"/>
      <c r="Q100" s="314"/>
      <c r="R100" s="314"/>
      <c r="S100" s="314"/>
      <c r="T100" s="337"/>
      <c r="U100" s="286"/>
      <c r="V100" s="338">
        <v>-70</v>
      </c>
      <c r="W100" s="318"/>
      <c r="X100" s="5"/>
    </row>
    <row r="101" spans="1:25" ht="15.75" x14ac:dyDescent="0.25">
      <c r="A101" s="295"/>
      <c r="B101" s="286" t="s">
        <v>32</v>
      </c>
      <c r="C101" s="314"/>
      <c r="D101" s="314"/>
      <c r="E101" s="314"/>
      <c r="F101" s="314"/>
      <c r="G101" s="314"/>
      <c r="H101" s="314"/>
      <c r="I101" s="314"/>
      <c r="J101" s="314"/>
      <c r="K101" s="314"/>
      <c r="L101" s="314"/>
      <c r="M101" s="314"/>
      <c r="N101" s="314"/>
      <c r="O101" s="314"/>
      <c r="P101" s="314"/>
      <c r="Q101" s="314"/>
      <c r="R101" s="314"/>
      <c r="S101" s="314"/>
      <c r="T101" s="337">
        <f>T97+T99+T98</f>
        <v>9869</v>
      </c>
      <c r="U101" s="286"/>
      <c r="V101" s="337">
        <f>V97+V99+V98+V100</f>
        <v>4230</v>
      </c>
      <c r="W101" s="318"/>
      <c r="X101" s="5"/>
    </row>
    <row r="102" spans="1:25" ht="15.75" x14ac:dyDescent="0.25">
      <c r="A102" s="285"/>
      <c r="B102" s="342" t="s">
        <v>33</v>
      </c>
      <c r="C102" s="314"/>
      <c r="D102" s="314"/>
      <c r="E102" s="314"/>
      <c r="F102" s="314"/>
      <c r="G102" s="314"/>
      <c r="H102" s="314"/>
      <c r="I102" s="314"/>
      <c r="J102" s="314"/>
      <c r="K102" s="314"/>
      <c r="L102" s="314"/>
      <c r="M102" s="314"/>
      <c r="N102" s="314"/>
      <c r="O102" s="314"/>
      <c r="P102" s="314"/>
      <c r="Q102" s="314"/>
      <c r="R102" s="314"/>
      <c r="S102" s="314"/>
      <c r="T102" s="337"/>
      <c r="U102" s="286"/>
      <c r="V102" s="338"/>
      <c r="W102" s="318"/>
      <c r="X102" s="5"/>
    </row>
    <row r="103" spans="1:25" ht="15.75" x14ac:dyDescent="0.25">
      <c r="A103" s="295">
        <v>1</v>
      </c>
      <c r="B103" s="286" t="s">
        <v>34</v>
      </c>
      <c r="C103" s="286"/>
      <c r="D103" s="286"/>
      <c r="E103" s="314"/>
      <c r="F103" s="314"/>
      <c r="G103" s="314"/>
      <c r="H103" s="314"/>
      <c r="I103" s="314"/>
      <c r="J103" s="314"/>
      <c r="K103" s="314"/>
      <c r="L103" s="314"/>
      <c r="M103" s="314"/>
      <c r="N103" s="314"/>
      <c r="O103" s="314"/>
      <c r="P103" s="314"/>
      <c r="Q103" s="314"/>
      <c r="R103" s="314"/>
      <c r="S103" s="314"/>
      <c r="T103" s="286"/>
      <c r="U103" s="286"/>
      <c r="V103" s="338">
        <v>0</v>
      </c>
      <c r="W103" s="318"/>
      <c r="X103" s="5"/>
    </row>
    <row r="104" spans="1:25" ht="15.75" x14ac:dyDescent="0.25">
      <c r="A104" s="295">
        <f>+A103+1</f>
        <v>2</v>
      </c>
      <c r="B104" s="286" t="s">
        <v>314</v>
      </c>
      <c r="C104" s="286"/>
      <c r="D104" s="286"/>
      <c r="E104" s="314"/>
      <c r="F104" s="314"/>
      <c r="G104" s="314"/>
      <c r="H104" s="314"/>
      <c r="I104" s="314"/>
      <c r="J104" s="314"/>
      <c r="K104" s="314"/>
      <c r="L104" s="314"/>
      <c r="M104" s="314"/>
      <c r="N104" s="314"/>
      <c r="O104" s="314"/>
      <c r="P104" s="314"/>
      <c r="Q104" s="314"/>
      <c r="R104" s="314"/>
      <c r="S104" s="314"/>
      <c r="T104" s="286"/>
      <c r="U104" s="286"/>
      <c r="V104" s="338">
        <v>-2</v>
      </c>
      <c r="W104" s="318"/>
      <c r="X104" s="5"/>
    </row>
    <row r="105" spans="1:25" ht="15.75" x14ac:dyDescent="0.25">
      <c r="A105" s="295">
        <f>+A104+1</f>
        <v>3</v>
      </c>
      <c r="B105" s="412" t="s">
        <v>316</v>
      </c>
      <c r="C105" s="286"/>
      <c r="D105" s="286"/>
      <c r="E105" s="314"/>
      <c r="F105" s="314"/>
      <c r="G105" s="314"/>
      <c r="H105" s="314"/>
      <c r="I105" s="314"/>
      <c r="J105" s="314"/>
      <c r="K105" s="314"/>
      <c r="L105" s="314"/>
      <c r="M105" s="314"/>
      <c r="N105" s="314"/>
      <c r="O105" s="314"/>
      <c r="P105" s="314"/>
      <c r="Q105" s="314"/>
      <c r="R105" s="314"/>
      <c r="S105" s="314"/>
      <c r="T105" s="286"/>
      <c r="U105" s="286"/>
      <c r="V105" s="338">
        <f>-263-100-9</f>
        <v>-372</v>
      </c>
      <c r="W105" s="318"/>
      <c r="X105" s="5"/>
    </row>
    <row r="106" spans="1:25" ht="15.75" x14ac:dyDescent="0.25">
      <c r="A106" s="295" t="s">
        <v>127</v>
      </c>
      <c r="B106" s="286" t="s">
        <v>116</v>
      </c>
      <c r="C106" s="286"/>
      <c r="D106" s="286"/>
      <c r="E106" s="314"/>
      <c r="F106" s="314"/>
      <c r="G106" s="314"/>
      <c r="H106" s="314"/>
      <c r="I106" s="314"/>
      <c r="J106" s="314"/>
      <c r="K106" s="314"/>
      <c r="L106" s="314"/>
      <c r="M106" s="314"/>
      <c r="N106" s="314"/>
      <c r="O106" s="314"/>
      <c r="P106" s="314"/>
      <c r="Q106" s="314"/>
      <c r="R106" s="314"/>
      <c r="S106" s="314"/>
      <c r="T106" s="286"/>
      <c r="U106" s="286"/>
      <c r="V106" s="338">
        <v>0</v>
      </c>
      <c r="W106" s="318"/>
      <c r="X106" s="5"/>
    </row>
    <row r="107" spans="1:25" ht="15.75" x14ac:dyDescent="0.25">
      <c r="A107" s="295" t="s">
        <v>128</v>
      </c>
      <c r="B107" s="286" t="s">
        <v>220</v>
      </c>
      <c r="C107" s="286"/>
      <c r="D107" s="286"/>
      <c r="E107" s="314"/>
      <c r="F107" s="314"/>
      <c r="G107" s="314"/>
      <c r="H107" s="314"/>
      <c r="I107" s="314"/>
      <c r="J107" s="314"/>
      <c r="K107" s="314"/>
      <c r="L107" s="314"/>
      <c r="M107" s="314"/>
      <c r="N107" s="314"/>
      <c r="O107" s="314"/>
      <c r="P107" s="314"/>
      <c r="Q107" s="314"/>
      <c r="R107" s="314"/>
      <c r="S107" s="314"/>
      <c r="T107" s="286"/>
      <c r="U107" s="286"/>
      <c r="V107" s="338">
        <f>-825+214</f>
        <v>-611</v>
      </c>
      <c r="W107" s="318"/>
      <c r="X107" s="5"/>
      <c r="Y107" s="109"/>
    </row>
    <row r="108" spans="1:25" ht="15.75" x14ac:dyDescent="0.25">
      <c r="A108" s="295" t="s">
        <v>150</v>
      </c>
      <c r="B108" s="286" t="s">
        <v>184</v>
      </c>
      <c r="C108" s="286"/>
      <c r="D108" s="286"/>
      <c r="E108" s="314"/>
      <c r="F108" s="314"/>
      <c r="G108" s="314"/>
      <c r="H108" s="314"/>
      <c r="I108" s="314"/>
      <c r="J108" s="314"/>
      <c r="K108" s="314"/>
      <c r="L108" s="314"/>
      <c r="M108" s="314"/>
      <c r="N108" s="314"/>
      <c r="O108" s="314"/>
      <c r="P108" s="314"/>
      <c r="Q108" s="314"/>
      <c r="R108" s="314"/>
      <c r="S108" s="314"/>
      <c r="T108" s="286"/>
      <c r="U108" s="286"/>
      <c r="V108" s="338">
        <v>-214</v>
      </c>
      <c r="W108" s="318"/>
      <c r="X108" s="5"/>
      <c r="Y108" s="109"/>
    </row>
    <row r="109" spans="1:25" ht="15.75" x14ac:dyDescent="0.25">
      <c r="A109" s="295" t="s">
        <v>205</v>
      </c>
      <c r="B109" s="286" t="s">
        <v>185</v>
      </c>
      <c r="C109" s="286"/>
      <c r="D109" s="286"/>
      <c r="E109" s="314"/>
      <c r="F109" s="314"/>
      <c r="G109" s="314"/>
      <c r="H109" s="314"/>
      <c r="I109" s="314"/>
      <c r="J109" s="314"/>
      <c r="K109" s="314"/>
      <c r="L109" s="314"/>
      <c r="M109" s="314"/>
      <c r="N109" s="314"/>
      <c r="O109" s="314"/>
      <c r="P109" s="314"/>
      <c r="Q109" s="314"/>
      <c r="R109" s="314"/>
      <c r="S109" s="314"/>
      <c r="T109" s="286"/>
      <c r="U109" s="286"/>
      <c r="V109" s="338">
        <v>-144</v>
      </c>
      <c r="W109" s="318"/>
      <c r="X109" s="5"/>
      <c r="Y109" s="109"/>
    </row>
    <row r="110" spans="1:25" ht="15.75" x14ac:dyDescent="0.25">
      <c r="A110" s="295" t="s">
        <v>206</v>
      </c>
      <c r="B110" s="286" t="s">
        <v>186</v>
      </c>
      <c r="C110" s="286"/>
      <c r="D110" s="286"/>
      <c r="E110" s="314"/>
      <c r="F110" s="314"/>
      <c r="G110" s="314"/>
      <c r="H110" s="314"/>
      <c r="I110" s="314"/>
      <c r="J110" s="314"/>
      <c r="K110" s="314"/>
      <c r="L110" s="314"/>
      <c r="M110" s="314"/>
      <c r="N110" s="314"/>
      <c r="O110" s="314"/>
      <c r="P110" s="314"/>
      <c r="Q110" s="314"/>
      <c r="R110" s="314"/>
      <c r="S110" s="314"/>
      <c r="T110" s="286"/>
      <c r="U110" s="286"/>
      <c r="V110" s="338">
        <v>-39</v>
      </c>
      <c r="W110" s="318"/>
      <c r="X110" s="5"/>
      <c r="Y110" s="109"/>
    </row>
    <row r="111" spans="1:25" ht="15.75" x14ac:dyDescent="0.25">
      <c r="A111" s="295">
        <v>6</v>
      </c>
      <c r="B111" s="286" t="s">
        <v>196</v>
      </c>
      <c r="C111" s="286"/>
      <c r="D111" s="286"/>
      <c r="E111" s="314"/>
      <c r="F111" s="314"/>
      <c r="G111" s="314"/>
      <c r="H111" s="314"/>
      <c r="I111" s="314"/>
      <c r="J111" s="314"/>
      <c r="K111" s="314"/>
      <c r="L111" s="314"/>
      <c r="M111" s="314"/>
      <c r="N111" s="314"/>
      <c r="O111" s="314"/>
      <c r="P111" s="314"/>
      <c r="Q111" s="314"/>
      <c r="R111" s="314"/>
      <c r="S111" s="314"/>
      <c r="T111" s="286"/>
      <c r="U111" s="286"/>
      <c r="V111" s="338">
        <v>-301</v>
      </c>
      <c r="W111" s="318"/>
      <c r="X111" s="5"/>
      <c r="Y111" s="109"/>
    </row>
    <row r="112" spans="1:25" ht="15.75" x14ac:dyDescent="0.25">
      <c r="A112" s="295">
        <v>7</v>
      </c>
      <c r="B112" s="412" t="s">
        <v>315</v>
      </c>
      <c r="C112" s="286"/>
      <c r="D112" s="286"/>
      <c r="E112" s="314"/>
      <c r="F112" s="314"/>
      <c r="G112" s="314"/>
      <c r="H112" s="314"/>
      <c r="I112" s="314"/>
      <c r="J112" s="314"/>
      <c r="K112" s="314"/>
      <c r="L112" s="314"/>
      <c r="M112" s="314"/>
      <c r="N112" s="314"/>
      <c r="O112" s="314"/>
      <c r="P112" s="314"/>
      <c r="Q112" s="314"/>
      <c r="R112" s="314"/>
      <c r="S112" s="314"/>
      <c r="T112" s="286"/>
      <c r="U112" s="286"/>
      <c r="V112" s="338">
        <v>0</v>
      </c>
      <c r="W112" s="318"/>
      <c r="X112" s="5"/>
      <c r="Y112" s="109"/>
    </row>
    <row r="113" spans="1:24" ht="15.75" x14ac:dyDescent="0.25">
      <c r="A113" s="295">
        <v>8</v>
      </c>
      <c r="B113" s="286" t="s">
        <v>35</v>
      </c>
      <c r="C113" s="286"/>
      <c r="D113" s="286"/>
      <c r="E113" s="314"/>
      <c r="F113" s="314"/>
      <c r="G113" s="314"/>
      <c r="H113" s="314"/>
      <c r="I113" s="314"/>
      <c r="J113" s="314"/>
      <c r="K113" s="314"/>
      <c r="L113" s="314"/>
      <c r="M113" s="314"/>
      <c r="N113" s="314"/>
      <c r="O113" s="314"/>
      <c r="P113" s="314"/>
      <c r="Q113" s="314"/>
      <c r="R113" s="314"/>
      <c r="S113" s="314"/>
      <c r="T113" s="286"/>
      <c r="U113" s="286"/>
      <c r="V113" s="338">
        <v>-20</v>
      </c>
      <c r="W113" s="318"/>
      <c r="X113" s="5"/>
    </row>
    <row r="114" spans="1:24" ht="15.75" x14ac:dyDescent="0.25">
      <c r="A114" s="295">
        <f t="shared" ref="A114:A119" si="0">+A113+1</f>
        <v>9</v>
      </c>
      <c r="B114" s="286" t="s">
        <v>45</v>
      </c>
      <c r="C114" s="286"/>
      <c r="D114" s="286"/>
      <c r="E114" s="314"/>
      <c r="F114" s="314"/>
      <c r="G114" s="314"/>
      <c r="H114" s="314"/>
      <c r="I114" s="314"/>
      <c r="J114" s="314"/>
      <c r="K114" s="314"/>
      <c r="L114" s="314"/>
      <c r="M114" s="314"/>
      <c r="N114" s="314"/>
      <c r="O114" s="314"/>
      <c r="P114" s="314"/>
      <c r="Q114" s="314"/>
      <c r="R114" s="314"/>
      <c r="S114" s="314"/>
      <c r="T114" s="337">
        <f>-V114</f>
        <v>-18</v>
      </c>
      <c r="U114" s="286"/>
      <c r="V114" s="338">
        <v>18</v>
      </c>
      <c r="W114" s="318"/>
      <c r="X114" s="5"/>
    </row>
    <row r="115" spans="1:24" ht="15.75" x14ac:dyDescent="0.25">
      <c r="A115" s="295">
        <f t="shared" si="0"/>
        <v>10</v>
      </c>
      <c r="B115" s="286" t="s">
        <v>125</v>
      </c>
      <c r="C115" s="286"/>
      <c r="D115" s="286"/>
      <c r="E115" s="314"/>
      <c r="F115" s="314"/>
      <c r="G115" s="314"/>
      <c r="H115" s="314"/>
      <c r="I115" s="314"/>
      <c r="J115" s="314"/>
      <c r="K115" s="314"/>
      <c r="L115" s="314"/>
      <c r="M115" s="314"/>
      <c r="N115" s="314"/>
      <c r="O115" s="314"/>
      <c r="P115" s="314"/>
      <c r="Q115" s="314"/>
      <c r="R115" s="314"/>
      <c r="S115" s="314"/>
      <c r="T115" s="286"/>
      <c r="U115" s="286"/>
      <c r="V115" s="338">
        <v>0</v>
      </c>
      <c r="W115" s="318"/>
      <c r="X115" s="5"/>
    </row>
    <row r="116" spans="1:24" ht="15.75" x14ac:dyDescent="0.25">
      <c r="A116" s="295">
        <f t="shared" si="0"/>
        <v>11</v>
      </c>
      <c r="B116" s="286" t="s">
        <v>225</v>
      </c>
      <c r="C116" s="286"/>
      <c r="D116" s="286"/>
      <c r="E116" s="314"/>
      <c r="F116" s="314"/>
      <c r="G116" s="314"/>
      <c r="H116" s="314"/>
      <c r="I116" s="314"/>
      <c r="J116" s="314"/>
      <c r="K116" s="314"/>
      <c r="L116" s="314"/>
      <c r="M116" s="314"/>
      <c r="N116" s="314"/>
      <c r="O116" s="314"/>
      <c r="P116" s="314"/>
      <c r="Q116" s="314"/>
      <c r="R116" s="314"/>
      <c r="S116" s="314"/>
      <c r="T116" s="286"/>
      <c r="U116" s="286"/>
      <c r="V116" s="338">
        <v>0</v>
      </c>
      <c r="W116" s="318"/>
      <c r="X116" s="5"/>
    </row>
    <row r="117" spans="1:24" ht="15.75" x14ac:dyDescent="0.25">
      <c r="A117" s="295">
        <f t="shared" si="0"/>
        <v>12</v>
      </c>
      <c r="B117" s="286" t="s">
        <v>36</v>
      </c>
      <c r="C117" s="286"/>
      <c r="D117" s="286"/>
      <c r="E117" s="314"/>
      <c r="F117" s="314"/>
      <c r="G117" s="314"/>
      <c r="H117" s="314"/>
      <c r="I117" s="314"/>
      <c r="J117" s="314"/>
      <c r="K117" s="314"/>
      <c r="L117" s="314"/>
      <c r="M117" s="314"/>
      <c r="N117" s="314"/>
      <c r="O117" s="314"/>
      <c r="P117" s="314"/>
      <c r="Q117" s="314"/>
      <c r="R117" s="314"/>
      <c r="S117" s="314"/>
      <c r="T117" s="286"/>
      <c r="U117" s="286"/>
      <c r="V117" s="338">
        <v>0</v>
      </c>
      <c r="W117" s="318"/>
      <c r="X117" s="5"/>
    </row>
    <row r="118" spans="1:24" ht="15.75" x14ac:dyDescent="0.25">
      <c r="A118" s="295">
        <f t="shared" si="0"/>
        <v>13</v>
      </c>
      <c r="B118" s="286" t="s">
        <v>149</v>
      </c>
      <c r="C118" s="286"/>
      <c r="D118" s="286"/>
      <c r="E118" s="314"/>
      <c r="F118" s="314"/>
      <c r="G118" s="314"/>
      <c r="H118" s="314"/>
      <c r="I118" s="314"/>
      <c r="J118" s="314"/>
      <c r="K118" s="314"/>
      <c r="L118" s="314"/>
      <c r="M118" s="314"/>
      <c r="N118" s="314"/>
      <c r="O118" s="314"/>
      <c r="P118" s="314"/>
      <c r="Q118" s="314"/>
      <c r="R118" s="314"/>
      <c r="S118" s="314"/>
      <c r="T118" s="286"/>
      <c r="U118" s="286"/>
      <c r="V118" s="338">
        <v>-262</v>
      </c>
      <c r="W118" s="318"/>
      <c r="X118" s="5"/>
    </row>
    <row r="119" spans="1:24" ht="15.75" x14ac:dyDescent="0.25">
      <c r="A119" s="295">
        <f t="shared" si="0"/>
        <v>14</v>
      </c>
      <c r="B119" s="286" t="s">
        <v>126</v>
      </c>
      <c r="C119" s="286"/>
      <c r="D119" s="286"/>
      <c r="E119" s="314"/>
      <c r="F119" s="314"/>
      <c r="G119" s="314"/>
      <c r="H119" s="314"/>
      <c r="I119" s="314"/>
      <c r="J119" s="314"/>
      <c r="K119" s="314"/>
      <c r="L119" s="314"/>
      <c r="M119" s="314"/>
      <c r="N119" s="314"/>
      <c r="O119" s="314"/>
      <c r="P119" s="314"/>
      <c r="Q119" s="314"/>
      <c r="R119" s="314"/>
      <c r="S119" s="314"/>
      <c r="T119" s="286"/>
      <c r="U119" s="286"/>
      <c r="V119" s="338">
        <f>-V101-SUM(V103:V118)</f>
        <v>-2283</v>
      </c>
      <c r="W119" s="318"/>
      <c r="X119" s="5"/>
    </row>
    <row r="120" spans="1:24" ht="15.75" x14ac:dyDescent="0.25">
      <c r="A120" s="285"/>
      <c r="B120" s="342" t="s">
        <v>37</v>
      </c>
      <c r="C120" s="314"/>
      <c r="D120" s="314"/>
      <c r="E120" s="314"/>
      <c r="F120" s="314"/>
      <c r="G120" s="314"/>
      <c r="H120" s="314"/>
      <c r="I120" s="314"/>
      <c r="J120" s="314"/>
      <c r="K120" s="314"/>
      <c r="L120" s="314"/>
      <c r="M120" s="314"/>
      <c r="N120" s="314"/>
      <c r="O120" s="314"/>
      <c r="P120" s="314"/>
      <c r="Q120" s="314"/>
      <c r="R120" s="314"/>
      <c r="S120" s="314"/>
      <c r="T120" s="286"/>
      <c r="U120" s="286"/>
      <c r="V120" s="343"/>
      <c r="W120" s="318"/>
      <c r="X120" s="5"/>
    </row>
    <row r="121" spans="1:24" ht="15.75" x14ac:dyDescent="0.25">
      <c r="A121" s="285"/>
      <c r="B121" s="286" t="s">
        <v>173</v>
      </c>
      <c r="C121" s="314"/>
      <c r="D121" s="314"/>
      <c r="E121" s="314"/>
      <c r="F121" s="314"/>
      <c r="G121" s="314"/>
      <c r="H121" s="314"/>
      <c r="I121" s="314"/>
      <c r="J121" s="314"/>
      <c r="K121" s="314"/>
      <c r="L121" s="314"/>
      <c r="M121" s="314"/>
      <c r="N121" s="314"/>
      <c r="O121" s="314"/>
      <c r="P121" s="314"/>
      <c r="Q121" s="314"/>
      <c r="R121" s="314"/>
      <c r="S121" s="314"/>
      <c r="T121" s="337">
        <f>-T186</f>
        <v>0</v>
      </c>
      <c r="U121" s="337"/>
      <c r="V121" s="338"/>
      <c r="W121" s="318"/>
      <c r="X121" s="5"/>
    </row>
    <row r="122" spans="1:24" ht="15.75" x14ac:dyDescent="0.25">
      <c r="A122" s="285"/>
      <c r="B122" s="286" t="s">
        <v>174</v>
      </c>
      <c r="C122" s="314"/>
      <c r="D122" s="314"/>
      <c r="E122" s="314"/>
      <c r="F122" s="314"/>
      <c r="G122" s="314"/>
      <c r="H122" s="314"/>
      <c r="I122" s="314"/>
      <c r="J122" s="314"/>
      <c r="K122" s="314"/>
      <c r="L122" s="314"/>
      <c r="M122" s="314"/>
      <c r="N122" s="314"/>
      <c r="O122" s="314"/>
      <c r="P122" s="314"/>
      <c r="Q122" s="314"/>
      <c r="R122" s="314"/>
      <c r="S122" s="314"/>
      <c r="T122" s="337">
        <v>0</v>
      </c>
      <c r="U122" s="337"/>
      <c r="V122" s="338"/>
      <c r="W122" s="318"/>
      <c r="X122" s="5"/>
    </row>
    <row r="123" spans="1:24" ht="15.75" x14ac:dyDescent="0.25">
      <c r="A123" s="285"/>
      <c r="B123" s="286" t="s">
        <v>38</v>
      </c>
      <c r="C123" s="314"/>
      <c r="D123" s="314"/>
      <c r="E123" s="314"/>
      <c r="F123" s="314"/>
      <c r="G123" s="314"/>
      <c r="H123" s="314"/>
      <c r="I123" s="314"/>
      <c r="J123" s="314"/>
      <c r="K123" s="314"/>
      <c r="L123" s="314"/>
      <c r="M123" s="314"/>
      <c r="N123" s="314"/>
      <c r="O123" s="314"/>
      <c r="P123" s="314"/>
      <c r="Q123" s="314"/>
      <c r="R123" s="314"/>
      <c r="S123" s="314"/>
      <c r="T123" s="337">
        <f>-S186</f>
        <v>-158</v>
      </c>
      <c r="U123" s="337"/>
      <c r="V123" s="338"/>
      <c r="W123" s="318"/>
      <c r="X123" s="5"/>
    </row>
    <row r="124" spans="1:24" ht="15.75" x14ac:dyDescent="0.25">
      <c r="A124" s="285"/>
      <c r="B124" s="286" t="s">
        <v>197</v>
      </c>
      <c r="C124" s="314"/>
      <c r="D124" s="314"/>
      <c r="E124" s="314"/>
      <c r="F124" s="314"/>
      <c r="G124" s="314"/>
      <c r="H124" s="314"/>
      <c r="I124" s="314"/>
      <c r="J124" s="314"/>
      <c r="K124" s="314"/>
      <c r="L124" s="314"/>
      <c r="M124" s="314"/>
      <c r="N124" s="314"/>
      <c r="O124" s="314"/>
      <c r="P124" s="314"/>
      <c r="Q124" s="314"/>
      <c r="R124" s="314"/>
      <c r="S124" s="314"/>
      <c r="T124" s="337">
        <v>-5614</v>
      </c>
      <c r="U124" s="337"/>
      <c r="V124" s="338"/>
      <c r="W124" s="318"/>
      <c r="X124" s="5"/>
    </row>
    <row r="125" spans="1:24" ht="15.75" x14ac:dyDescent="0.25">
      <c r="A125" s="285"/>
      <c r="B125" s="286" t="s">
        <v>195</v>
      </c>
      <c r="C125" s="314"/>
      <c r="D125" s="314"/>
      <c r="E125" s="314"/>
      <c r="F125" s="314"/>
      <c r="G125" s="314"/>
      <c r="H125" s="314"/>
      <c r="I125" s="314"/>
      <c r="J125" s="314"/>
      <c r="K125" s="314"/>
      <c r="L125" s="314"/>
      <c r="M125" s="314"/>
      <c r="N125" s="314"/>
      <c r="O125" s="314"/>
      <c r="P125" s="314"/>
      <c r="Q125" s="314"/>
      <c r="R125" s="314"/>
      <c r="S125" s="314"/>
      <c r="T125" s="337">
        <v>-2386</v>
      </c>
      <c r="U125" s="337"/>
      <c r="V125" s="338"/>
      <c r="W125" s="318"/>
      <c r="X125" s="5"/>
    </row>
    <row r="126" spans="1:24" ht="15.75" x14ac:dyDescent="0.25">
      <c r="A126" s="285"/>
      <c r="B126" s="286" t="s">
        <v>194</v>
      </c>
      <c r="C126" s="314"/>
      <c r="D126" s="314"/>
      <c r="E126" s="314"/>
      <c r="F126" s="314"/>
      <c r="G126" s="314"/>
      <c r="H126" s="314"/>
      <c r="I126" s="314"/>
      <c r="J126" s="314"/>
      <c r="K126" s="314"/>
      <c r="L126" s="314"/>
      <c r="M126" s="314"/>
      <c r="N126" s="314"/>
      <c r="O126" s="314"/>
      <c r="P126" s="314"/>
      <c r="Q126" s="314"/>
      <c r="R126" s="314"/>
      <c r="S126" s="314"/>
      <c r="T126" s="337">
        <v>-851</v>
      </c>
      <c r="U126" s="337"/>
      <c r="V126" s="338"/>
      <c r="W126" s="318"/>
      <c r="X126" s="5"/>
    </row>
    <row r="127" spans="1:24" ht="15.75" x14ac:dyDescent="0.25">
      <c r="A127" s="285"/>
      <c r="B127" s="286" t="s">
        <v>222</v>
      </c>
      <c r="C127" s="314"/>
      <c r="D127" s="314"/>
      <c r="E127" s="314"/>
      <c r="F127" s="314"/>
      <c r="G127" s="314"/>
      <c r="H127" s="314"/>
      <c r="I127" s="314"/>
      <c r="J127" s="314"/>
      <c r="K127" s="314"/>
      <c r="L127" s="314"/>
      <c r="M127" s="314"/>
      <c r="N127" s="314"/>
      <c r="O127" s="314"/>
      <c r="P127" s="314"/>
      <c r="Q127" s="314"/>
      <c r="R127" s="314"/>
      <c r="S127" s="314"/>
      <c r="T127" s="337">
        <v>-842</v>
      </c>
      <c r="U127" s="337"/>
      <c r="V127" s="338"/>
      <c r="W127" s="318"/>
      <c r="X127" s="5"/>
    </row>
    <row r="128" spans="1:24" ht="15.75" x14ac:dyDescent="0.25">
      <c r="A128" s="285"/>
      <c r="B128" s="286" t="s">
        <v>189</v>
      </c>
      <c r="C128" s="314"/>
      <c r="D128" s="314"/>
      <c r="E128" s="314"/>
      <c r="F128" s="314"/>
      <c r="G128" s="314"/>
      <c r="H128" s="314"/>
      <c r="I128" s="314"/>
      <c r="J128" s="314"/>
      <c r="K128" s="314"/>
      <c r="L128" s="314"/>
      <c r="M128" s="314"/>
      <c r="N128" s="314"/>
      <c r="O128" s="314"/>
      <c r="P128" s="314"/>
      <c r="Q128" s="314"/>
      <c r="R128" s="314"/>
      <c r="S128" s="314"/>
      <c r="T128" s="337">
        <v>0</v>
      </c>
      <c r="U128" s="337"/>
      <c r="V128" s="338"/>
      <c r="W128" s="318"/>
      <c r="X128" s="5"/>
    </row>
    <row r="129" spans="1:24" ht="15.75" x14ac:dyDescent="0.25">
      <c r="A129" s="285"/>
      <c r="B129" s="286" t="s">
        <v>188</v>
      </c>
      <c r="C129" s="314"/>
      <c r="D129" s="314"/>
      <c r="E129" s="314"/>
      <c r="F129" s="314"/>
      <c r="G129" s="314"/>
      <c r="H129" s="314"/>
      <c r="I129" s="314"/>
      <c r="J129" s="314"/>
      <c r="K129" s="314"/>
      <c r="L129" s="314"/>
      <c r="M129" s="314"/>
      <c r="N129" s="314"/>
      <c r="O129" s="314"/>
      <c r="P129" s="314"/>
      <c r="Q129" s="314"/>
      <c r="R129" s="314"/>
      <c r="S129" s="314"/>
      <c r="T129" s="337">
        <v>0</v>
      </c>
      <c r="U129" s="337"/>
      <c r="V129" s="338"/>
      <c r="W129" s="318"/>
      <c r="X129" s="5"/>
    </row>
    <row r="130" spans="1:24" ht="15.75" x14ac:dyDescent="0.25">
      <c r="A130" s="285"/>
      <c r="B130" s="286" t="s">
        <v>187</v>
      </c>
      <c r="C130" s="314"/>
      <c r="D130" s="314"/>
      <c r="E130" s="314"/>
      <c r="F130" s="314"/>
      <c r="G130" s="314"/>
      <c r="H130" s="314"/>
      <c r="I130" s="314"/>
      <c r="J130" s="314"/>
      <c r="K130" s="314"/>
      <c r="L130" s="314"/>
      <c r="M130" s="314"/>
      <c r="N130" s="314"/>
      <c r="O130" s="314"/>
      <c r="P130" s="314"/>
      <c r="Q130" s="314"/>
      <c r="R130" s="314"/>
      <c r="S130" s="314"/>
      <c r="T130" s="337">
        <v>0</v>
      </c>
      <c r="U130" s="337"/>
      <c r="V130" s="338"/>
      <c r="W130" s="318"/>
      <c r="X130" s="5"/>
    </row>
    <row r="131" spans="1:24" ht="15.75" x14ac:dyDescent="0.25">
      <c r="A131" s="285"/>
      <c r="B131" s="286" t="s">
        <v>39</v>
      </c>
      <c r="C131" s="314"/>
      <c r="D131" s="314"/>
      <c r="E131" s="314"/>
      <c r="F131" s="314"/>
      <c r="G131" s="314"/>
      <c r="H131" s="314"/>
      <c r="I131" s="314"/>
      <c r="J131" s="314"/>
      <c r="K131" s="314"/>
      <c r="L131" s="314"/>
      <c r="M131" s="314"/>
      <c r="N131" s="314"/>
      <c r="O131" s="314"/>
      <c r="P131" s="314"/>
      <c r="Q131" s="314"/>
      <c r="R131" s="314"/>
      <c r="S131" s="314"/>
      <c r="T131" s="337">
        <f>SUM(T121:T130)</f>
        <v>-9851</v>
      </c>
      <c r="U131" s="337"/>
      <c r="V131" s="337">
        <f>SUM(V102:V129)</f>
        <v>-4230</v>
      </c>
      <c r="W131" s="318"/>
      <c r="X131" s="5"/>
    </row>
    <row r="132" spans="1:24" ht="15.75" x14ac:dyDescent="0.25">
      <c r="A132" s="285"/>
      <c r="B132" s="286" t="s">
        <v>40</v>
      </c>
      <c r="C132" s="314"/>
      <c r="D132" s="314"/>
      <c r="E132" s="314"/>
      <c r="F132" s="314"/>
      <c r="G132" s="314"/>
      <c r="H132" s="314"/>
      <c r="I132" s="314"/>
      <c r="J132" s="314"/>
      <c r="K132" s="314"/>
      <c r="L132" s="314"/>
      <c r="M132" s="314"/>
      <c r="N132" s="314"/>
      <c r="O132" s="314"/>
      <c r="P132" s="314"/>
      <c r="Q132" s="314"/>
      <c r="R132" s="314"/>
      <c r="S132" s="314"/>
      <c r="T132" s="337">
        <f>T101+T131+T114</f>
        <v>0</v>
      </c>
      <c r="U132" s="337"/>
      <c r="V132" s="337">
        <f>V101+V131</f>
        <v>0</v>
      </c>
      <c r="W132" s="318"/>
      <c r="X132" s="5"/>
    </row>
    <row r="133" spans="1:24" ht="15.75" x14ac:dyDescent="0.25">
      <c r="A133" s="181"/>
      <c r="B133" s="212"/>
      <c r="C133" s="212"/>
      <c r="D133" s="212"/>
      <c r="E133" s="212"/>
      <c r="F133" s="212"/>
      <c r="G133" s="212"/>
      <c r="H133" s="212"/>
      <c r="I133" s="212"/>
      <c r="J133" s="212"/>
      <c r="K133" s="212"/>
      <c r="L133" s="212"/>
      <c r="M133" s="212"/>
      <c r="N133" s="212"/>
      <c r="O133" s="212"/>
      <c r="P133" s="212"/>
      <c r="Q133" s="212"/>
      <c r="R133" s="212"/>
      <c r="S133" s="212"/>
      <c r="T133" s="335"/>
      <c r="U133" s="335"/>
      <c r="V133" s="335"/>
      <c r="W133" s="212"/>
      <c r="X133" s="5"/>
    </row>
    <row r="134" spans="1:24" ht="15.75" x14ac:dyDescent="0.25">
      <c r="A134" s="181"/>
      <c r="B134" s="183"/>
      <c r="C134" s="183"/>
      <c r="D134" s="183"/>
      <c r="E134" s="183"/>
      <c r="F134" s="183"/>
      <c r="G134" s="183"/>
      <c r="H134" s="183"/>
      <c r="I134" s="183"/>
      <c r="J134" s="183"/>
      <c r="K134" s="183"/>
      <c r="L134" s="183"/>
      <c r="M134" s="183"/>
      <c r="N134" s="183"/>
      <c r="O134" s="183"/>
      <c r="P134" s="183"/>
      <c r="Q134" s="183"/>
      <c r="R134" s="183"/>
      <c r="S134" s="183"/>
      <c r="T134" s="183"/>
      <c r="U134" s="183"/>
      <c r="V134" s="202"/>
      <c r="W134" s="183"/>
      <c r="X134" s="5"/>
    </row>
    <row r="135" spans="1:24" ht="19.5" thickBot="1" x14ac:dyDescent="0.35">
      <c r="A135" s="197"/>
      <c r="B135" s="270" t="str">
        <f>B64</f>
        <v>PM15 INVESTOR REPORT QUARTER ENDING NOVEMBER 2016</v>
      </c>
      <c r="C135" s="198"/>
      <c r="D135" s="198"/>
      <c r="E135" s="198"/>
      <c r="F135" s="198"/>
      <c r="G135" s="198"/>
      <c r="H135" s="198"/>
      <c r="I135" s="198"/>
      <c r="J135" s="198"/>
      <c r="K135" s="198"/>
      <c r="L135" s="198"/>
      <c r="M135" s="198"/>
      <c r="N135" s="198"/>
      <c r="O135" s="198"/>
      <c r="P135" s="198"/>
      <c r="Q135" s="198"/>
      <c r="R135" s="198"/>
      <c r="S135" s="198"/>
      <c r="T135" s="198"/>
      <c r="U135" s="198"/>
      <c r="V135" s="209"/>
      <c r="W135" s="200"/>
      <c r="X135" s="5"/>
    </row>
    <row r="136" spans="1:24" ht="15.75" x14ac:dyDescent="0.25">
      <c r="A136" s="236"/>
      <c r="B136" s="403" t="s">
        <v>41</v>
      </c>
      <c r="C136" s="238"/>
      <c r="D136" s="238"/>
      <c r="E136" s="238"/>
      <c r="F136" s="238"/>
      <c r="G136" s="238"/>
      <c r="H136" s="238"/>
      <c r="I136" s="238"/>
      <c r="J136" s="238"/>
      <c r="K136" s="238"/>
      <c r="L136" s="238"/>
      <c r="M136" s="238"/>
      <c r="N136" s="238"/>
      <c r="O136" s="238"/>
      <c r="P136" s="238"/>
      <c r="Q136" s="238"/>
      <c r="R136" s="238"/>
      <c r="S136" s="238"/>
      <c r="T136" s="238"/>
      <c r="U136" s="238"/>
      <c r="V136" s="239"/>
      <c r="W136" s="238"/>
      <c r="X136" s="5"/>
    </row>
    <row r="137" spans="1:24" ht="15.75" x14ac:dyDescent="0.25">
      <c r="A137" s="181"/>
      <c r="B137" s="191"/>
      <c r="C137" s="183"/>
      <c r="D137" s="183"/>
      <c r="E137" s="183"/>
      <c r="F137" s="183"/>
      <c r="G137" s="183"/>
      <c r="H137" s="183"/>
      <c r="I137" s="183"/>
      <c r="J137" s="183"/>
      <c r="K137" s="183"/>
      <c r="L137" s="183"/>
      <c r="M137" s="183"/>
      <c r="N137" s="183"/>
      <c r="O137" s="183"/>
      <c r="P137" s="183"/>
      <c r="Q137" s="183"/>
      <c r="R137" s="183"/>
      <c r="S137" s="183"/>
      <c r="T137" s="183"/>
      <c r="U137" s="183"/>
      <c r="V137" s="202"/>
      <c r="W137" s="183"/>
      <c r="X137" s="5"/>
    </row>
    <row r="138" spans="1:24" ht="15.75" x14ac:dyDescent="0.25">
      <c r="A138" s="181"/>
      <c r="B138" s="210" t="s">
        <v>42</v>
      </c>
      <c r="C138" s="183"/>
      <c r="D138" s="183"/>
      <c r="E138" s="183"/>
      <c r="F138" s="183"/>
      <c r="G138" s="183"/>
      <c r="H138" s="183"/>
      <c r="I138" s="183"/>
      <c r="J138" s="183"/>
      <c r="K138" s="183"/>
      <c r="L138" s="183"/>
      <c r="M138" s="183"/>
      <c r="N138" s="183"/>
      <c r="O138" s="183"/>
      <c r="P138" s="183"/>
      <c r="Q138" s="183"/>
      <c r="R138" s="183"/>
      <c r="S138" s="183"/>
      <c r="T138" s="183"/>
      <c r="U138" s="183"/>
      <c r="V138" s="202"/>
      <c r="W138" s="183"/>
      <c r="X138" s="5"/>
    </row>
    <row r="139" spans="1:24" ht="15.75" x14ac:dyDescent="0.25">
      <c r="A139" s="285"/>
      <c r="B139" s="286" t="s">
        <v>43</v>
      </c>
      <c r="C139" s="286"/>
      <c r="D139" s="286"/>
      <c r="E139" s="286"/>
      <c r="F139" s="286"/>
      <c r="G139" s="286"/>
      <c r="H139" s="286"/>
      <c r="I139" s="286"/>
      <c r="J139" s="286"/>
      <c r="K139" s="286"/>
      <c r="L139" s="286"/>
      <c r="M139" s="286"/>
      <c r="N139" s="286"/>
      <c r="O139" s="286"/>
      <c r="P139" s="286"/>
      <c r="Q139" s="286"/>
      <c r="R139" s="286"/>
      <c r="S139" s="286"/>
      <c r="T139" s="286"/>
      <c r="U139" s="286"/>
      <c r="V139" s="338">
        <f>+V34*0.019</f>
        <v>19021.526999999998</v>
      </c>
      <c r="W139" s="289"/>
      <c r="X139" s="5"/>
    </row>
    <row r="140" spans="1:24" ht="15.75" x14ac:dyDescent="0.25">
      <c r="A140" s="285"/>
      <c r="B140" s="286" t="s">
        <v>44</v>
      </c>
      <c r="C140" s="286"/>
      <c r="D140" s="286"/>
      <c r="E140" s="286"/>
      <c r="F140" s="286"/>
      <c r="G140" s="286"/>
      <c r="H140" s="286"/>
      <c r="I140" s="286"/>
      <c r="J140" s="286"/>
      <c r="K140" s="286"/>
      <c r="L140" s="286"/>
      <c r="M140" s="286"/>
      <c r="N140" s="286"/>
      <c r="O140" s="286"/>
      <c r="P140" s="286"/>
      <c r="Q140" s="286"/>
      <c r="R140" s="286"/>
      <c r="S140" s="286"/>
      <c r="T140" s="286"/>
      <c r="U140" s="286"/>
      <c r="V140" s="338">
        <v>19022</v>
      </c>
      <c r="W140" s="289"/>
      <c r="X140" s="5"/>
    </row>
    <row r="141" spans="1:24" ht="15.75" x14ac:dyDescent="0.25">
      <c r="A141" s="285"/>
      <c r="B141" s="286" t="s">
        <v>136</v>
      </c>
      <c r="C141" s="286"/>
      <c r="D141" s="286"/>
      <c r="E141" s="286"/>
      <c r="F141" s="286"/>
      <c r="G141" s="286"/>
      <c r="H141" s="286"/>
      <c r="I141" s="286"/>
      <c r="J141" s="286"/>
      <c r="K141" s="286"/>
      <c r="L141" s="286"/>
      <c r="M141" s="286"/>
      <c r="N141" s="286"/>
      <c r="O141" s="286"/>
      <c r="P141" s="286"/>
      <c r="Q141" s="286"/>
      <c r="R141" s="286"/>
      <c r="S141" s="286"/>
      <c r="T141" s="286"/>
      <c r="U141" s="286"/>
      <c r="V141" s="338"/>
      <c r="W141" s="289"/>
      <c r="X141" s="5"/>
    </row>
    <row r="142" spans="1:24" ht="15.75" x14ac:dyDescent="0.25">
      <c r="A142" s="285"/>
      <c r="B142" s="286" t="s">
        <v>123</v>
      </c>
      <c r="C142" s="286"/>
      <c r="D142" s="286"/>
      <c r="E142" s="286"/>
      <c r="F142" s="286"/>
      <c r="G142" s="286"/>
      <c r="H142" s="286"/>
      <c r="I142" s="286"/>
      <c r="J142" s="286"/>
      <c r="K142" s="286"/>
      <c r="L142" s="286"/>
      <c r="M142" s="286"/>
      <c r="N142" s="286"/>
      <c r="O142" s="286"/>
      <c r="P142" s="286"/>
      <c r="Q142" s="286"/>
      <c r="R142" s="286"/>
      <c r="S142" s="286"/>
      <c r="T142" s="286"/>
      <c r="U142" s="286"/>
      <c r="V142" s="338">
        <v>0</v>
      </c>
      <c r="W142" s="289"/>
      <c r="X142" s="5"/>
    </row>
    <row r="143" spans="1:24" ht="15.75" x14ac:dyDescent="0.25">
      <c r="A143" s="285"/>
      <c r="B143" s="286" t="s">
        <v>124</v>
      </c>
      <c r="C143" s="286"/>
      <c r="D143" s="286"/>
      <c r="E143" s="286"/>
      <c r="F143" s="286"/>
      <c r="G143" s="286"/>
      <c r="H143" s="286"/>
      <c r="I143" s="286"/>
      <c r="J143" s="286"/>
      <c r="K143" s="286"/>
      <c r="L143" s="286"/>
      <c r="M143" s="286"/>
      <c r="N143" s="286"/>
      <c r="O143" s="286"/>
      <c r="P143" s="286"/>
      <c r="Q143" s="286"/>
      <c r="R143" s="286"/>
      <c r="S143" s="286"/>
      <c r="T143" s="286"/>
      <c r="U143" s="286"/>
      <c r="V143" s="338">
        <v>0</v>
      </c>
      <c r="W143" s="289"/>
      <c r="X143" s="5"/>
    </row>
    <row r="144" spans="1:24" ht="15.75" x14ac:dyDescent="0.25">
      <c r="A144" s="285"/>
      <c r="B144" s="286" t="s">
        <v>175</v>
      </c>
      <c r="C144" s="286"/>
      <c r="D144" s="286"/>
      <c r="E144" s="286"/>
      <c r="F144" s="286"/>
      <c r="G144" s="286"/>
      <c r="H144" s="286"/>
      <c r="I144" s="286"/>
      <c r="J144" s="286"/>
      <c r="K144" s="286"/>
      <c r="L144" s="286"/>
      <c r="M144" s="286"/>
      <c r="N144" s="286"/>
      <c r="O144" s="286"/>
      <c r="P144" s="286"/>
      <c r="Q144" s="286"/>
      <c r="R144" s="286"/>
      <c r="S144" s="286"/>
      <c r="T144" s="286"/>
      <c r="U144" s="286"/>
      <c r="V144" s="338">
        <v>0</v>
      </c>
      <c r="W144" s="289"/>
      <c r="X144" s="5"/>
    </row>
    <row r="145" spans="1:25" ht="15.75" x14ac:dyDescent="0.25">
      <c r="A145" s="285"/>
      <c r="B145" s="286" t="s">
        <v>45</v>
      </c>
      <c r="C145" s="286"/>
      <c r="D145" s="286"/>
      <c r="E145" s="286"/>
      <c r="F145" s="286"/>
      <c r="G145" s="286"/>
      <c r="H145" s="286"/>
      <c r="I145" s="286"/>
      <c r="J145" s="286"/>
      <c r="K145" s="286"/>
      <c r="L145" s="286"/>
      <c r="M145" s="286"/>
      <c r="N145" s="286"/>
      <c r="O145" s="286"/>
      <c r="P145" s="286"/>
      <c r="Q145" s="286"/>
      <c r="R145" s="286"/>
      <c r="S145" s="286"/>
      <c r="T145" s="286"/>
      <c r="U145" s="286"/>
      <c r="V145" s="338">
        <v>0</v>
      </c>
      <c r="W145" s="289"/>
      <c r="X145" s="5"/>
    </row>
    <row r="146" spans="1:25" ht="15.75" x14ac:dyDescent="0.25">
      <c r="A146" s="285"/>
      <c r="B146" s="286" t="s">
        <v>129</v>
      </c>
      <c r="C146" s="286"/>
      <c r="D146" s="286"/>
      <c r="E146" s="286"/>
      <c r="F146" s="286"/>
      <c r="G146" s="286"/>
      <c r="H146" s="286"/>
      <c r="I146" s="286"/>
      <c r="J146" s="286"/>
      <c r="K146" s="286"/>
      <c r="L146" s="286"/>
      <c r="M146" s="286"/>
      <c r="N146" s="286"/>
      <c r="O146" s="286"/>
      <c r="P146" s="286"/>
      <c r="Q146" s="286"/>
      <c r="R146" s="286"/>
      <c r="S146" s="286"/>
      <c r="T146" s="286"/>
      <c r="U146" s="286"/>
      <c r="V146" s="338">
        <v>0</v>
      </c>
      <c r="W146" s="289"/>
      <c r="X146" s="5"/>
    </row>
    <row r="147" spans="1:25" ht="15.75" x14ac:dyDescent="0.25">
      <c r="A147" s="285"/>
      <c r="B147" s="286" t="s">
        <v>241</v>
      </c>
      <c r="C147" s="286"/>
      <c r="D147" s="286"/>
      <c r="E147" s="286"/>
      <c r="F147" s="286"/>
      <c r="G147" s="286"/>
      <c r="H147" s="286"/>
      <c r="I147" s="286"/>
      <c r="J147" s="286"/>
      <c r="K147" s="286"/>
      <c r="L147" s="286"/>
      <c r="M147" s="286"/>
      <c r="N147" s="286"/>
      <c r="O147" s="286"/>
      <c r="P147" s="286"/>
      <c r="Q147" s="286"/>
      <c r="R147" s="286"/>
      <c r="S147" s="286"/>
      <c r="T147" s="286"/>
      <c r="U147" s="286"/>
      <c r="V147" s="338">
        <v>0</v>
      </c>
      <c r="W147" s="289"/>
      <c r="X147" s="5"/>
      <c r="Y147" s="109"/>
    </row>
    <row r="148" spans="1:25" ht="15.75" x14ac:dyDescent="0.25">
      <c r="A148" s="285"/>
      <c r="B148" s="286" t="s">
        <v>46</v>
      </c>
      <c r="C148" s="286"/>
      <c r="D148" s="286"/>
      <c r="E148" s="286"/>
      <c r="F148" s="286"/>
      <c r="G148" s="286"/>
      <c r="H148" s="286"/>
      <c r="I148" s="286"/>
      <c r="J148" s="286"/>
      <c r="K148" s="286"/>
      <c r="L148" s="286"/>
      <c r="M148" s="286"/>
      <c r="N148" s="286"/>
      <c r="O148" s="286"/>
      <c r="P148" s="286"/>
      <c r="Q148" s="286"/>
      <c r="R148" s="286"/>
      <c r="S148" s="286"/>
      <c r="T148" s="286"/>
      <c r="U148" s="286"/>
      <c r="V148" s="338">
        <f>SUM(V140:V147)</f>
        <v>19022</v>
      </c>
      <c r="W148" s="289"/>
      <c r="X148" s="5"/>
    </row>
    <row r="149" spans="1:25" ht="15.75" x14ac:dyDescent="0.25">
      <c r="A149" s="285"/>
      <c r="B149" s="314"/>
      <c r="C149" s="314"/>
      <c r="D149" s="314"/>
      <c r="E149" s="314"/>
      <c r="F149" s="314"/>
      <c r="G149" s="314"/>
      <c r="H149" s="314"/>
      <c r="I149" s="314"/>
      <c r="J149" s="314"/>
      <c r="K149" s="314"/>
      <c r="L149" s="314"/>
      <c r="M149" s="314"/>
      <c r="N149" s="314"/>
      <c r="O149" s="314"/>
      <c r="P149" s="314"/>
      <c r="Q149" s="314"/>
      <c r="R149" s="314"/>
      <c r="S149" s="314"/>
      <c r="T149" s="314"/>
      <c r="U149" s="314"/>
      <c r="V149" s="345"/>
      <c r="W149" s="318"/>
      <c r="X149" s="5"/>
    </row>
    <row r="150" spans="1:25" ht="15.75" x14ac:dyDescent="0.25">
      <c r="A150" s="285"/>
      <c r="B150" s="342" t="s">
        <v>269</v>
      </c>
      <c r="C150" s="314"/>
      <c r="D150" s="314"/>
      <c r="E150" s="314"/>
      <c r="F150" s="314"/>
      <c r="G150" s="314"/>
      <c r="H150" s="314"/>
      <c r="I150" s="314"/>
      <c r="J150" s="314"/>
      <c r="K150" s="314"/>
      <c r="L150" s="314"/>
      <c r="M150" s="314"/>
      <c r="N150" s="314"/>
      <c r="O150" s="314"/>
      <c r="P150" s="314"/>
      <c r="Q150" s="314"/>
      <c r="R150" s="314"/>
      <c r="S150" s="314"/>
      <c r="T150" s="314"/>
      <c r="U150" s="314"/>
      <c r="V150" s="345"/>
      <c r="W150" s="318"/>
      <c r="X150" s="5"/>
    </row>
    <row r="151" spans="1:25" ht="15.75" x14ac:dyDescent="0.25">
      <c r="A151" s="285"/>
      <c r="B151" s="286" t="s">
        <v>155</v>
      </c>
      <c r="C151" s="286"/>
      <c r="D151" s="286"/>
      <c r="E151" s="286"/>
      <c r="F151" s="286"/>
      <c r="G151" s="286"/>
      <c r="H151" s="286"/>
      <c r="I151" s="286"/>
      <c r="J151" s="286"/>
      <c r="K151" s="286"/>
      <c r="L151" s="286"/>
      <c r="M151" s="286"/>
      <c r="N151" s="286"/>
      <c r="O151" s="286"/>
      <c r="P151" s="286"/>
      <c r="Q151" s="286"/>
      <c r="R151" s="286"/>
      <c r="S151" s="286"/>
      <c r="T151" s="286"/>
      <c r="U151" s="286"/>
      <c r="V151" s="338">
        <v>0</v>
      </c>
      <c r="W151" s="289"/>
      <c r="X151" s="5"/>
    </row>
    <row r="152" spans="1:25" ht="15.75" x14ac:dyDescent="0.25">
      <c r="A152" s="285"/>
      <c r="B152" s="286" t="s">
        <v>172</v>
      </c>
      <c r="C152" s="286"/>
      <c r="D152" s="286"/>
      <c r="E152" s="286"/>
      <c r="F152" s="286"/>
      <c r="G152" s="286"/>
      <c r="H152" s="286"/>
      <c r="I152" s="286"/>
      <c r="J152" s="286"/>
      <c r="K152" s="286"/>
      <c r="L152" s="286"/>
      <c r="M152" s="286"/>
      <c r="N152" s="286"/>
      <c r="O152" s="286"/>
      <c r="P152" s="286"/>
      <c r="Q152" s="286"/>
      <c r="R152" s="286"/>
      <c r="S152" s="286"/>
      <c r="T152" s="286"/>
      <c r="U152" s="286"/>
      <c r="V152" s="338">
        <v>0</v>
      </c>
      <c r="W152" s="289"/>
      <c r="X152" s="5"/>
    </row>
    <row r="153" spans="1:25" ht="15.75" x14ac:dyDescent="0.25">
      <c r="A153" s="285"/>
      <c r="B153" s="286" t="s">
        <v>226</v>
      </c>
      <c r="C153" s="286"/>
      <c r="D153" s="286"/>
      <c r="E153" s="286"/>
      <c r="F153" s="286"/>
      <c r="G153" s="286"/>
      <c r="H153" s="286"/>
      <c r="I153" s="286"/>
      <c r="J153" s="286"/>
      <c r="K153" s="286"/>
      <c r="L153" s="286"/>
      <c r="M153" s="286"/>
      <c r="N153" s="286"/>
      <c r="O153" s="286"/>
      <c r="P153" s="286"/>
      <c r="Q153" s="286"/>
      <c r="R153" s="286"/>
      <c r="S153" s="286"/>
      <c r="T153" s="286"/>
      <c r="U153" s="286"/>
      <c r="V153" s="338">
        <v>0</v>
      </c>
      <c r="W153" s="289"/>
      <c r="X153" s="5"/>
    </row>
    <row r="154" spans="1:25" ht="15.75" x14ac:dyDescent="0.25">
      <c r="A154" s="285"/>
      <c r="B154" s="314"/>
      <c r="C154" s="314"/>
      <c r="D154" s="314"/>
      <c r="E154" s="314"/>
      <c r="F154" s="314"/>
      <c r="G154" s="314"/>
      <c r="H154" s="314"/>
      <c r="I154" s="314"/>
      <c r="J154" s="314"/>
      <c r="K154" s="314"/>
      <c r="L154" s="314"/>
      <c r="M154" s="314"/>
      <c r="N154" s="314"/>
      <c r="O154" s="314"/>
      <c r="P154" s="314"/>
      <c r="Q154" s="314"/>
      <c r="R154" s="314"/>
      <c r="S154" s="314"/>
      <c r="T154" s="314"/>
      <c r="U154" s="314"/>
      <c r="V154" s="345"/>
      <c r="W154" s="318"/>
      <c r="X154" s="5"/>
    </row>
    <row r="155" spans="1:25" ht="15.75" x14ac:dyDescent="0.25">
      <c r="A155" s="181"/>
      <c r="B155" s="212"/>
      <c r="C155" s="212"/>
      <c r="D155" s="212"/>
      <c r="E155" s="212"/>
      <c r="F155" s="212"/>
      <c r="G155" s="212"/>
      <c r="H155" s="212"/>
      <c r="I155" s="212"/>
      <c r="J155" s="212"/>
      <c r="K155" s="212"/>
      <c r="L155" s="212"/>
      <c r="M155" s="212"/>
      <c r="N155" s="212"/>
      <c r="O155" s="212"/>
      <c r="P155" s="212"/>
      <c r="Q155" s="212"/>
      <c r="R155" s="212"/>
      <c r="S155" s="212"/>
      <c r="T155" s="212"/>
      <c r="U155" s="212"/>
      <c r="V155" s="344"/>
      <c r="W155" s="212"/>
      <c r="X155" s="5"/>
    </row>
    <row r="156" spans="1:25" ht="15.75" x14ac:dyDescent="0.25">
      <c r="A156" s="181"/>
      <c r="B156" s="210" t="s">
        <v>24</v>
      </c>
      <c r="C156" s="183"/>
      <c r="D156" s="183"/>
      <c r="E156" s="183"/>
      <c r="F156" s="183"/>
      <c r="G156" s="183"/>
      <c r="H156" s="183"/>
      <c r="I156" s="183"/>
      <c r="J156" s="183"/>
      <c r="K156" s="183"/>
      <c r="L156" s="183"/>
      <c r="M156" s="183"/>
      <c r="N156" s="183"/>
      <c r="O156" s="183"/>
      <c r="P156" s="183"/>
      <c r="Q156" s="183"/>
      <c r="R156" s="183"/>
      <c r="S156" s="183"/>
      <c r="T156" s="183"/>
      <c r="U156" s="183"/>
      <c r="V156" s="202"/>
      <c r="W156" s="183"/>
      <c r="X156" s="5"/>
    </row>
    <row r="157" spans="1:25" ht="15.75" x14ac:dyDescent="0.25">
      <c r="A157" s="285"/>
      <c r="B157" s="286" t="s">
        <v>47</v>
      </c>
      <c r="C157" s="286"/>
      <c r="D157" s="286"/>
      <c r="E157" s="286"/>
      <c r="F157" s="286"/>
      <c r="G157" s="286"/>
      <c r="H157" s="286"/>
      <c r="I157" s="286"/>
      <c r="J157" s="286"/>
      <c r="K157" s="286"/>
      <c r="L157" s="286"/>
      <c r="M157" s="286"/>
      <c r="N157" s="286"/>
      <c r="O157" s="286"/>
      <c r="P157" s="286"/>
      <c r="Q157" s="286"/>
      <c r="R157" s="286"/>
      <c r="S157" s="286"/>
      <c r="T157" s="286"/>
      <c r="U157" s="286"/>
      <c r="V157" s="343" t="s">
        <v>118</v>
      </c>
      <c r="W157" s="318"/>
      <c r="X157" s="5"/>
    </row>
    <row r="158" spans="1:25" ht="15.75" x14ac:dyDescent="0.25">
      <c r="A158" s="285"/>
      <c r="B158" s="286" t="s">
        <v>48</v>
      </c>
      <c r="C158" s="288"/>
      <c r="D158" s="288"/>
      <c r="E158" s="288"/>
      <c r="F158" s="288"/>
      <c r="G158" s="288"/>
      <c r="H158" s="288"/>
      <c r="I158" s="288"/>
      <c r="J158" s="288"/>
      <c r="K158" s="288"/>
      <c r="L158" s="288"/>
      <c r="M158" s="288"/>
      <c r="N158" s="288"/>
      <c r="O158" s="288"/>
      <c r="P158" s="288"/>
      <c r="Q158" s="288"/>
      <c r="R158" s="288"/>
      <c r="S158" s="288"/>
      <c r="T158" s="288"/>
      <c r="U158" s="288"/>
      <c r="V158" s="343" t="s">
        <v>118</v>
      </c>
      <c r="W158" s="318"/>
      <c r="X158" s="5"/>
    </row>
    <row r="159" spans="1:25" ht="15.75" x14ac:dyDescent="0.25">
      <c r="A159" s="285"/>
      <c r="B159" s="286" t="s">
        <v>49</v>
      </c>
      <c r="C159" s="286"/>
      <c r="D159" s="286"/>
      <c r="E159" s="286"/>
      <c r="F159" s="286"/>
      <c r="G159" s="286"/>
      <c r="H159" s="286"/>
      <c r="I159" s="286"/>
      <c r="J159" s="286"/>
      <c r="K159" s="286"/>
      <c r="L159" s="286"/>
      <c r="M159" s="286"/>
      <c r="N159" s="286"/>
      <c r="O159" s="286"/>
      <c r="P159" s="286"/>
      <c r="Q159" s="286"/>
      <c r="R159" s="286"/>
      <c r="S159" s="286"/>
      <c r="T159" s="286"/>
      <c r="U159" s="286"/>
      <c r="V159" s="343" t="s">
        <v>118</v>
      </c>
      <c r="W159" s="318"/>
      <c r="X159" s="5"/>
    </row>
    <row r="160" spans="1:25" ht="15.75" x14ac:dyDescent="0.25">
      <c r="A160" s="285"/>
      <c r="B160" s="286" t="s">
        <v>50</v>
      </c>
      <c r="C160" s="286"/>
      <c r="D160" s="286"/>
      <c r="E160" s="286"/>
      <c r="F160" s="286"/>
      <c r="G160" s="286"/>
      <c r="H160" s="286"/>
      <c r="I160" s="286"/>
      <c r="J160" s="286"/>
      <c r="K160" s="286"/>
      <c r="L160" s="286"/>
      <c r="M160" s="286"/>
      <c r="N160" s="286"/>
      <c r="O160" s="286"/>
      <c r="P160" s="286"/>
      <c r="Q160" s="286"/>
      <c r="R160" s="286"/>
      <c r="S160" s="286"/>
      <c r="T160" s="286"/>
      <c r="U160" s="286"/>
      <c r="V160" s="343" t="s">
        <v>118</v>
      </c>
      <c r="W160" s="318"/>
      <c r="X160" s="5"/>
    </row>
    <row r="161" spans="1:256" ht="15.75" x14ac:dyDescent="0.25">
      <c r="A161" s="181"/>
      <c r="B161" s="212"/>
      <c r="C161" s="212"/>
      <c r="D161" s="212"/>
      <c r="E161" s="212"/>
      <c r="F161" s="212"/>
      <c r="G161" s="212"/>
      <c r="H161" s="212"/>
      <c r="I161" s="212"/>
      <c r="J161" s="212"/>
      <c r="K161" s="212"/>
      <c r="L161" s="212"/>
      <c r="M161" s="212"/>
      <c r="N161" s="212"/>
      <c r="O161" s="212"/>
      <c r="P161" s="212"/>
      <c r="Q161" s="212"/>
      <c r="R161" s="212"/>
      <c r="S161" s="212"/>
      <c r="T161" s="212"/>
      <c r="U161" s="212"/>
      <c r="V161" s="344"/>
      <c r="W161" s="212"/>
      <c r="X161" s="5"/>
    </row>
    <row r="162" spans="1:256" ht="15.75" x14ac:dyDescent="0.25">
      <c r="A162" s="181"/>
      <c r="B162" s="210" t="s">
        <v>51</v>
      </c>
      <c r="C162" s="183"/>
      <c r="D162" s="183"/>
      <c r="E162" s="183"/>
      <c r="F162" s="183"/>
      <c r="G162" s="183"/>
      <c r="H162" s="183"/>
      <c r="I162" s="183"/>
      <c r="J162" s="183"/>
      <c r="K162" s="183"/>
      <c r="L162" s="183"/>
      <c r="M162" s="183"/>
      <c r="N162" s="183"/>
      <c r="O162" s="183"/>
      <c r="P162" s="183"/>
      <c r="Q162" s="183"/>
      <c r="R162" s="183"/>
      <c r="S162" s="183"/>
      <c r="T162" s="183"/>
      <c r="U162" s="183"/>
      <c r="V162" s="211"/>
      <c r="W162" s="183"/>
      <c r="X162" s="5"/>
    </row>
    <row r="163" spans="1:256" ht="15.75" x14ac:dyDescent="0.25">
      <c r="A163" s="285"/>
      <c r="B163" s="286" t="s">
        <v>52</v>
      </c>
      <c r="C163" s="286"/>
      <c r="D163" s="286"/>
      <c r="E163" s="286"/>
      <c r="F163" s="286"/>
      <c r="G163" s="286"/>
      <c r="H163" s="286"/>
      <c r="I163" s="286"/>
      <c r="J163" s="286"/>
      <c r="K163" s="286"/>
      <c r="L163" s="286"/>
      <c r="M163" s="286"/>
      <c r="N163" s="286"/>
      <c r="O163" s="286"/>
      <c r="P163" s="286"/>
      <c r="Q163" s="286"/>
      <c r="R163" s="286"/>
      <c r="S163" s="286"/>
      <c r="T163" s="286"/>
      <c r="U163" s="286"/>
      <c r="V163" s="338">
        <v>0</v>
      </c>
      <c r="W163" s="289"/>
      <c r="X163" s="5"/>
    </row>
    <row r="164" spans="1:256" ht="15.75" x14ac:dyDescent="0.25">
      <c r="A164" s="285"/>
      <c r="B164" s="286" t="s">
        <v>53</v>
      </c>
      <c r="C164" s="286"/>
      <c r="D164" s="286"/>
      <c r="E164" s="286"/>
      <c r="F164" s="286"/>
      <c r="G164" s="286"/>
      <c r="H164" s="286"/>
      <c r="I164" s="286"/>
      <c r="J164" s="286"/>
      <c r="K164" s="286"/>
      <c r="L164" s="286"/>
      <c r="M164" s="286"/>
      <c r="N164" s="286"/>
      <c r="O164" s="286"/>
      <c r="P164" s="286"/>
      <c r="Q164" s="286"/>
      <c r="R164" s="286"/>
      <c r="S164" s="286"/>
      <c r="T164" s="286"/>
      <c r="U164" s="286"/>
      <c r="V164" s="338">
        <v>-18</v>
      </c>
      <c r="W164" s="289"/>
      <c r="X164" s="5"/>
    </row>
    <row r="165" spans="1:256" ht="15.75" x14ac:dyDescent="0.25">
      <c r="A165" s="285"/>
      <c r="B165" s="286" t="s">
        <v>54</v>
      </c>
      <c r="C165" s="286"/>
      <c r="D165" s="286"/>
      <c r="E165" s="286"/>
      <c r="F165" s="286"/>
      <c r="G165" s="286"/>
      <c r="H165" s="286"/>
      <c r="I165" s="286"/>
      <c r="J165" s="286"/>
      <c r="K165" s="286"/>
      <c r="L165" s="286"/>
      <c r="M165" s="286"/>
      <c r="N165" s="286"/>
      <c r="O165" s="286"/>
      <c r="P165" s="286"/>
      <c r="Q165" s="286"/>
      <c r="R165" s="286"/>
      <c r="S165" s="286"/>
      <c r="T165" s="286"/>
      <c r="U165" s="286"/>
      <c r="V165" s="338">
        <f>V164+V163</f>
        <v>-18</v>
      </c>
      <c r="W165" s="289"/>
      <c r="X165" s="5"/>
    </row>
    <row r="166" spans="1:256" ht="15.75" x14ac:dyDescent="0.25">
      <c r="A166" s="285"/>
      <c r="B166" s="286" t="s">
        <v>303</v>
      </c>
      <c r="C166" s="286"/>
      <c r="D166" s="286"/>
      <c r="E166" s="286"/>
      <c r="F166" s="286"/>
      <c r="G166" s="286"/>
      <c r="H166" s="286"/>
      <c r="I166" s="286"/>
      <c r="J166" s="286"/>
      <c r="K166" s="286"/>
      <c r="L166" s="286"/>
      <c r="M166" s="286"/>
      <c r="N166" s="286"/>
      <c r="O166" s="286"/>
      <c r="P166" s="286"/>
      <c r="Q166" s="286"/>
      <c r="R166" s="286"/>
      <c r="S166" s="286"/>
      <c r="T166" s="286"/>
      <c r="U166" s="286"/>
      <c r="V166" s="338">
        <f>V114</f>
        <v>18</v>
      </c>
      <c r="W166" s="289"/>
      <c r="X166" s="5"/>
    </row>
    <row r="167" spans="1:256" ht="15.75" x14ac:dyDescent="0.25">
      <c r="A167" s="285"/>
      <c r="B167" s="286" t="s">
        <v>55</v>
      </c>
      <c r="C167" s="286"/>
      <c r="D167" s="286"/>
      <c r="E167" s="286"/>
      <c r="F167" s="286"/>
      <c r="G167" s="286"/>
      <c r="H167" s="286"/>
      <c r="I167" s="286"/>
      <c r="J167" s="286"/>
      <c r="K167" s="286"/>
      <c r="L167" s="286"/>
      <c r="M167" s="286"/>
      <c r="N167" s="286"/>
      <c r="O167" s="286"/>
      <c r="P167" s="286"/>
      <c r="Q167" s="286"/>
      <c r="R167" s="286"/>
      <c r="S167" s="286"/>
      <c r="T167" s="286"/>
      <c r="U167" s="286"/>
      <c r="V167" s="338">
        <f>V165+V166</f>
        <v>0</v>
      </c>
      <c r="W167" s="289"/>
      <c r="X167" s="5"/>
    </row>
    <row r="168" spans="1:256" ht="15.75" x14ac:dyDescent="0.25">
      <c r="A168" s="285"/>
      <c r="B168" s="286" t="s">
        <v>274</v>
      </c>
      <c r="C168" s="286"/>
      <c r="D168" s="286"/>
      <c r="E168" s="286"/>
      <c r="F168" s="286"/>
      <c r="G168" s="286"/>
      <c r="H168" s="286"/>
      <c r="I168" s="286"/>
      <c r="J168" s="286"/>
      <c r="K168" s="286"/>
      <c r="L168" s="286"/>
      <c r="M168" s="286"/>
      <c r="N168" s="286"/>
      <c r="O168" s="286"/>
      <c r="P168" s="286"/>
      <c r="Q168" s="286"/>
      <c r="R168" s="286"/>
      <c r="S168" s="286"/>
      <c r="T168" s="286"/>
      <c r="U168" s="286"/>
      <c r="V168" s="338">
        <f>-V100</f>
        <v>70</v>
      </c>
      <c r="W168" s="289"/>
      <c r="X168" s="5"/>
    </row>
    <row r="169" spans="1:256" ht="16.5" thickBot="1" x14ac:dyDescent="0.3">
      <c r="A169" s="181"/>
      <c r="B169" s="212"/>
      <c r="C169" s="212"/>
      <c r="D169" s="212"/>
      <c r="E169" s="212"/>
      <c r="F169" s="212"/>
      <c r="G169" s="212"/>
      <c r="H169" s="212"/>
      <c r="I169" s="212"/>
      <c r="J169" s="212"/>
      <c r="K169" s="212"/>
      <c r="L169" s="212"/>
      <c r="M169" s="212"/>
      <c r="N169" s="212"/>
      <c r="O169" s="212"/>
      <c r="P169" s="212"/>
      <c r="Q169" s="212"/>
      <c r="R169" s="212"/>
      <c r="S169" s="212"/>
      <c r="T169" s="212"/>
      <c r="U169" s="212"/>
      <c r="V169" s="344"/>
      <c r="W169" s="212"/>
      <c r="X169" s="5"/>
    </row>
    <row r="170" spans="1:256" ht="15.75" x14ac:dyDescent="0.25">
      <c r="A170" s="179"/>
      <c r="B170" s="180"/>
      <c r="C170" s="180"/>
      <c r="D170" s="180"/>
      <c r="E170" s="180"/>
      <c r="F170" s="180"/>
      <c r="G170" s="180"/>
      <c r="H170" s="180"/>
      <c r="I170" s="180"/>
      <c r="J170" s="180"/>
      <c r="K170" s="180"/>
      <c r="L170" s="180"/>
      <c r="M170" s="180"/>
      <c r="N170" s="180"/>
      <c r="O170" s="180"/>
      <c r="P170" s="180"/>
      <c r="Q170" s="180"/>
      <c r="R170" s="180"/>
      <c r="S170" s="180"/>
      <c r="T170" s="180"/>
      <c r="U170" s="180"/>
      <c r="V170" s="201"/>
      <c r="W170" s="180"/>
      <c r="X170" s="5"/>
    </row>
    <row r="171" spans="1:256" s="158" customFormat="1" ht="15.75" x14ac:dyDescent="0.25">
      <c r="A171" s="181"/>
      <c r="B171" s="210" t="s">
        <v>230</v>
      </c>
      <c r="C171" s="212"/>
      <c r="D171" s="212"/>
      <c r="E171" s="212"/>
      <c r="F171" s="212"/>
      <c r="G171" s="212"/>
      <c r="H171" s="212"/>
      <c r="I171" s="212"/>
      <c r="J171" s="212"/>
      <c r="K171" s="212"/>
      <c r="L171" s="212"/>
      <c r="M171" s="212"/>
      <c r="N171" s="212"/>
      <c r="O171" s="212"/>
      <c r="P171" s="212"/>
      <c r="Q171" s="212"/>
      <c r="R171" s="212"/>
      <c r="S171" s="212"/>
      <c r="T171" s="212"/>
      <c r="U171" s="212"/>
      <c r="V171" s="213"/>
      <c r="W171" s="212"/>
      <c r="X171" s="5"/>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s="160" customFormat="1" ht="15.75" x14ac:dyDescent="0.25">
      <c r="A172" s="285"/>
      <c r="B172" s="286" t="s">
        <v>231</v>
      </c>
      <c r="C172" s="286"/>
      <c r="D172" s="286"/>
      <c r="E172" s="286"/>
      <c r="F172" s="286"/>
      <c r="G172" s="286"/>
      <c r="H172" s="286"/>
      <c r="I172" s="286"/>
      <c r="J172" s="286"/>
      <c r="K172" s="286"/>
      <c r="L172" s="286"/>
      <c r="M172" s="286"/>
      <c r="N172" s="286"/>
      <c r="O172" s="286"/>
      <c r="P172" s="286"/>
      <c r="Q172" s="286"/>
      <c r="R172" s="286"/>
      <c r="S172" s="286"/>
      <c r="T172" s="286"/>
      <c r="U172" s="286"/>
      <c r="V172" s="338">
        <f>+'Aug 08'!V173</f>
        <v>0</v>
      </c>
      <c r="W172" s="289"/>
      <c r="X172" s="5"/>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s="160" customFormat="1" ht="15.75" x14ac:dyDescent="0.25">
      <c r="A173" s="285"/>
      <c r="B173" s="286" t="s">
        <v>234</v>
      </c>
      <c r="C173" s="286"/>
      <c r="D173" s="286"/>
      <c r="E173" s="286"/>
      <c r="F173" s="286"/>
      <c r="G173" s="286"/>
      <c r="H173" s="286"/>
      <c r="I173" s="286"/>
      <c r="J173" s="286"/>
      <c r="K173" s="286"/>
      <c r="L173" s="286"/>
      <c r="M173" s="286"/>
      <c r="N173" s="286"/>
      <c r="O173" s="286"/>
      <c r="P173" s="286"/>
      <c r="Q173" s="286"/>
      <c r="R173" s="286"/>
      <c r="S173" s="286"/>
      <c r="T173" s="286"/>
      <c r="U173" s="286"/>
      <c r="V173" s="338">
        <f>+V94</f>
        <v>0</v>
      </c>
      <c r="W173" s="289"/>
      <c r="X173" s="5"/>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s="160" customFormat="1" ht="15.75" x14ac:dyDescent="0.25">
      <c r="A174" s="285"/>
      <c r="B174" s="286" t="s">
        <v>232</v>
      </c>
      <c r="C174" s="286"/>
      <c r="D174" s="286"/>
      <c r="E174" s="286"/>
      <c r="F174" s="286"/>
      <c r="G174" s="286"/>
      <c r="H174" s="286"/>
      <c r="I174" s="286"/>
      <c r="J174" s="286"/>
      <c r="K174" s="286"/>
      <c r="L174" s="286"/>
      <c r="M174" s="286"/>
      <c r="N174" s="286"/>
      <c r="O174" s="286"/>
      <c r="P174" s="286"/>
      <c r="Q174" s="286"/>
      <c r="R174" s="286"/>
      <c r="S174" s="286"/>
      <c r="T174" s="286"/>
      <c r="U174" s="286"/>
      <c r="V174" s="338">
        <f>+V172-V173</f>
        <v>0</v>
      </c>
      <c r="W174" s="289"/>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6.5" thickBot="1" x14ac:dyDescent="0.3">
      <c r="A175" s="197"/>
      <c r="B175" s="212"/>
      <c r="C175" s="212"/>
      <c r="D175" s="212"/>
      <c r="E175" s="212"/>
      <c r="F175" s="212"/>
      <c r="G175" s="212"/>
      <c r="H175" s="212"/>
      <c r="I175" s="212"/>
      <c r="J175" s="212"/>
      <c r="K175" s="212"/>
      <c r="L175" s="212"/>
      <c r="M175" s="212"/>
      <c r="N175" s="212"/>
      <c r="O175" s="212"/>
      <c r="P175" s="212"/>
      <c r="Q175" s="212"/>
      <c r="R175" s="212"/>
      <c r="S175" s="212"/>
      <c r="T175" s="212"/>
      <c r="U175" s="212"/>
      <c r="V175" s="344"/>
      <c r="W175" s="212"/>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4" customFormat="1" ht="15.75" x14ac:dyDescent="0.25">
      <c r="A176" s="179"/>
      <c r="B176" s="180"/>
      <c r="C176" s="180"/>
      <c r="D176" s="180"/>
      <c r="E176" s="180"/>
      <c r="F176" s="180"/>
      <c r="G176" s="180"/>
      <c r="H176" s="180"/>
      <c r="I176" s="180"/>
      <c r="J176" s="180"/>
      <c r="K176" s="180"/>
      <c r="L176" s="180"/>
      <c r="M176" s="180"/>
      <c r="N176" s="180"/>
      <c r="O176" s="180"/>
      <c r="P176" s="180"/>
      <c r="Q176" s="180"/>
      <c r="R176" s="180"/>
      <c r="S176" s="180"/>
      <c r="T176" s="180"/>
      <c r="U176" s="180"/>
      <c r="V176" s="201"/>
      <c r="W176" s="180"/>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4" ht="15.75" x14ac:dyDescent="0.25">
      <c r="A177" s="181"/>
      <c r="B177" s="210" t="s">
        <v>56</v>
      </c>
      <c r="C177" s="183"/>
      <c r="D177" s="183"/>
      <c r="E177" s="183"/>
      <c r="F177" s="183"/>
      <c r="G177" s="183"/>
      <c r="H177" s="183"/>
      <c r="I177" s="183"/>
      <c r="J177" s="183"/>
      <c r="K177" s="183"/>
      <c r="L177" s="183"/>
      <c r="M177" s="183"/>
      <c r="N177" s="183"/>
      <c r="O177" s="183"/>
      <c r="P177" s="183"/>
      <c r="Q177" s="183"/>
      <c r="R177" s="183"/>
      <c r="S177" s="183"/>
      <c r="T177" s="183"/>
      <c r="U177" s="183"/>
      <c r="V177" s="202"/>
      <c r="W177" s="183"/>
      <c r="X177" s="5"/>
    </row>
    <row r="178" spans="1:24" ht="15.75" x14ac:dyDescent="0.25">
      <c r="A178" s="181"/>
      <c r="B178" s="191"/>
      <c r="C178" s="183"/>
      <c r="D178" s="183"/>
      <c r="E178" s="183"/>
      <c r="F178" s="183"/>
      <c r="G178" s="183"/>
      <c r="H178" s="183"/>
      <c r="I178" s="183"/>
      <c r="J178" s="183"/>
      <c r="K178" s="183"/>
      <c r="L178" s="183"/>
      <c r="M178" s="183"/>
      <c r="N178" s="183"/>
      <c r="O178" s="183"/>
      <c r="P178" s="183"/>
      <c r="Q178" s="183"/>
      <c r="R178" s="183"/>
      <c r="S178" s="183"/>
      <c r="T178" s="183"/>
      <c r="U178" s="183"/>
      <c r="V178" s="202"/>
      <c r="W178" s="183"/>
      <c r="X178" s="5"/>
    </row>
    <row r="179" spans="1:24" ht="15.75" x14ac:dyDescent="0.25">
      <c r="A179" s="285"/>
      <c r="B179" s="286" t="s">
        <v>57</v>
      </c>
      <c r="C179" s="286"/>
      <c r="D179" s="286"/>
      <c r="E179" s="286"/>
      <c r="F179" s="286"/>
      <c r="G179" s="286"/>
      <c r="H179" s="286"/>
      <c r="I179" s="286"/>
      <c r="J179" s="286"/>
      <c r="K179" s="286"/>
      <c r="L179" s="286"/>
      <c r="M179" s="286"/>
      <c r="N179" s="286"/>
      <c r="O179" s="286"/>
      <c r="P179" s="286"/>
      <c r="Q179" s="286"/>
      <c r="R179" s="286"/>
      <c r="S179" s="286"/>
      <c r="T179" s="286"/>
      <c r="U179" s="286"/>
      <c r="V179" s="338">
        <f>V71</f>
        <v>682964</v>
      </c>
      <c r="W179" s="289"/>
      <c r="X179" s="5"/>
    </row>
    <row r="180" spans="1:24" ht="15.75" x14ac:dyDescent="0.25">
      <c r="A180" s="285"/>
      <c r="B180" s="286" t="s">
        <v>58</v>
      </c>
      <c r="C180" s="286"/>
      <c r="D180" s="286"/>
      <c r="E180" s="286"/>
      <c r="F180" s="286"/>
      <c r="G180" s="286"/>
      <c r="H180" s="286"/>
      <c r="I180" s="286"/>
      <c r="J180" s="286"/>
      <c r="K180" s="286"/>
      <c r="L180" s="286"/>
      <c r="M180" s="286"/>
      <c r="N180" s="286"/>
      <c r="O180" s="286"/>
      <c r="P180" s="286"/>
      <c r="Q180" s="286"/>
      <c r="R180" s="286"/>
      <c r="S180" s="286"/>
      <c r="T180" s="286"/>
      <c r="U180" s="286"/>
      <c r="V180" s="338">
        <f>V84</f>
        <v>682964</v>
      </c>
      <c r="W180" s="289"/>
      <c r="X180" s="5"/>
    </row>
    <row r="181" spans="1:24" ht="16.5" thickBot="1" x14ac:dyDescent="0.3">
      <c r="A181" s="181"/>
      <c r="B181" s="212"/>
      <c r="C181" s="212"/>
      <c r="D181" s="212"/>
      <c r="E181" s="212"/>
      <c r="F181" s="212"/>
      <c r="G181" s="212"/>
      <c r="H181" s="212"/>
      <c r="I181" s="212"/>
      <c r="J181" s="212"/>
      <c r="K181" s="212"/>
      <c r="L181" s="212"/>
      <c r="M181" s="212"/>
      <c r="N181" s="212"/>
      <c r="O181" s="212"/>
      <c r="P181" s="212"/>
      <c r="Q181" s="212"/>
      <c r="R181" s="212"/>
      <c r="S181" s="212"/>
      <c r="T181" s="212"/>
      <c r="U181" s="212"/>
      <c r="V181" s="344"/>
      <c r="W181" s="212"/>
      <c r="X181" s="5"/>
    </row>
    <row r="182" spans="1:24" ht="15.75" x14ac:dyDescent="0.25">
      <c r="A182" s="179"/>
      <c r="B182" s="180"/>
      <c r="C182" s="180"/>
      <c r="D182" s="180"/>
      <c r="E182" s="180"/>
      <c r="F182" s="180"/>
      <c r="G182" s="180"/>
      <c r="H182" s="180"/>
      <c r="I182" s="180"/>
      <c r="J182" s="180"/>
      <c r="K182" s="180"/>
      <c r="L182" s="180"/>
      <c r="M182" s="180"/>
      <c r="N182" s="180"/>
      <c r="O182" s="180"/>
      <c r="P182" s="180"/>
      <c r="Q182" s="180"/>
      <c r="R182" s="180"/>
      <c r="S182" s="180"/>
      <c r="T182" s="180"/>
      <c r="U182" s="180"/>
      <c r="V182" s="201"/>
      <c r="W182" s="180"/>
      <c r="X182" s="5"/>
    </row>
    <row r="183" spans="1:24" ht="15.75" x14ac:dyDescent="0.25">
      <c r="A183" s="181"/>
      <c r="B183" s="210" t="s">
        <v>59</v>
      </c>
      <c r="C183" s="206"/>
      <c r="D183" s="206"/>
      <c r="E183" s="206"/>
      <c r="F183" s="206"/>
      <c r="G183" s="206"/>
      <c r="H183" s="214"/>
      <c r="I183" s="214"/>
      <c r="J183" s="214"/>
      <c r="K183" s="214"/>
      <c r="L183" s="214"/>
      <c r="M183" s="214"/>
      <c r="N183" s="214"/>
      <c r="O183" s="214"/>
      <c r="P183" s="214"/>
      <c r="Q183" s="214"/>
      <c r="R183" s="214"/>
      <c r="S183" s="214" t="s">
        <v>101</v>
      </c>
      <c r="T183" s="214" t="s">
        <v>176</v>
      </c>
      <c r="U183" s="185"/>
      <c r="V183" s="215" t="s">
        <v>114</v>
      </c>
      <c r="W183" s="216"/>
      <c r="X183" s="5"/>
    </row>
    <row r="184" spans="1:24" ht="15.75" x14ac:dyDescent="0.25">
      <c r="A184" s="285"/>
      <c r="B184" s="286" t="s">
        <v>60</v>
      </c>
      <c r="C184" s="286"/>
      <c r="D184" s="286"/>
      <c r="E184" s="286"/>
      <c r="F184" s="286"/>
      <c r="G184" s="286"/>
      <c r="H184" s="286"/>
      <c r="I184" s="286"/>
      <c r="J184" s="286"/>
      <c r="K184" s="286"/>
      <c r="L184" s="286"/>
      <c r="M184" s="286"/>
      <c r="N184" s="286"/>
      <c r="O184" s="286"/>
      <c r="P184" s="286"/>
      <c r="Q184" s="286"/>
      <c r="R184" s="286"/>
      <c r="S184" s="338">
        <f>+V34*0.16</f>
        <v>160181.28</v>
      </c>
      <c r="T184" s="325"/>
      <c r="U184" s="286"/>
      <c r="V184" s="338"/>
      <c r="W184" s="289"/>
      <c r="X184" s="5"/>
    </row>
    <row r="185" spans="1:24" ht="15.75" x14ac:dyDescent="0.25">
      <c r="A185" s="285"/>
      <c r="B185" s="286" t="s">
        <v>61</v>
      </c>
      <c r="C185" s="286"/>
      <c r="D185" s="286"/>
      <c r="E185" s="286"/>
      <c r="F185" s="286"/>
      <c r="G185" s="286"/>
      <c r="H185" s="286"/>
      <c r="I185" s="286"/>
      <c r="J185" s="286"/>
      <c r="K185" s="286"/>
      <c r="L185" s="286"/>
      <c r="M185" s="286"/>
      <c r="N185" s="286"/>
      <c r="O185" s="286"/>
      <c r="P185" s="286"/>
      <c r="Q185" s="286"/>
      <c r="R185" s="286"/>
      <c r="S185" s="338">
        <f>+'Aug 16'!S187</f>
        <v>12978</v>
      </c>
      <c r="T185" s="338">
        <f>+'Aug 16'!T187</f>
        <v>6095</v>
      </c>
      <c r="U185" s="286"/>
      <c r="V185" s="338">
        <f>S185+T185</f>
        <v>19073</v>
      </c>
      <c r="W185" s="289"/>
      <c r="X185" s="5"/>
    </row>
    <row r="186" spans="1:24" ht="15.75" x14ac:dyDescent="0.25">
      <c r="A186" s="285"/>
      <c r="B186" s="286" t="s">
        <v>62</v>
      </c>
      <c r="C186" s="286"/>
      <c r="D186" s="286"/>
      <c r="E186" s="286"/>
      <c r="F186" s="286"/>
      <c r="G186" s="286"/>
      <c r="H186" s="286"/>
      <c r="I186" s="286"/>
      <c r="J186" s="286"/>
      <c r="K186" s="286"/>
      <c r="L186" s="286"/>
      <c r="M186" s="286"/>
      <c r="N186" s="286"/>
      <c r="O186" s="286"/>
      <c r="P186" s="286"/>
      <c r="Q186" s="286"/>
      <c r="R186" s="286"/>
      <c r="S186" s="337">
        <f>96+62</f>
        <v>158</v>
      </c>
      <c r="T186" s="337">
        <v>0</v>
      </c>
      <c r="U186" s="286"/>
      <c r="V186" s="338">
        <f>S186+T186</f>
        <v>158</v>
      </c>
      <c r="W186" s="289"/>
      <c r="X186" s="5"/>
    </row>
    <row r="187" spans="1:24" ht="15.75" x14ac:dyDescent="0.25">
      <c r="A187" s="285"/>
      <c r="B187" s="286" t="s">
        <v>63</v>
      </c>
      <c r="C187" s="286"/>
      <c r="D187" s="286"/>
      <c r="E187" s="286"/>
      <c r="F187" s="286"/>
      <c r="G187" s="286"/>
      <c r="H187" s="286"/>
      <c r="I187" s="286"/>
      <c r="J187" s="286"/>
      <c r="K187" s="286"/>
      <c r="L187" s="286"/>
      <c r="M187" s="286"/>
      <c r="N187" s="286"/>
      <c r="O187" s="286"/>
      <c r="P187" s="286"/>
      <c r="Q187" s="286"/>
      <c r="R187" s="286"/>
      <c r="S187" s="338">
        <f>S185+S186</f>
        <v>13136</v>
      </c>
      <c r="T187" s="338">
        <f>T186+T185</f>
        <v>6095</v>
      </c>
      <c r="U187" s="286"/>
      <c r="V187" s="338">
        <f>S187+T187</f>
        <v>19231</v>
      </c>
      <c r="W187" s="289"/>
      <c r="X187" s="5"/>
    </row>
    <row r="188" spans="1:24" ht="15.75" x14ac:dyDescent="0.25">
      <c r="A188" s="285"/>
      <c r="B188" s="286" t="s">
        <v>64</v>
      </c>
      <c r="C188" s="286"/>
      <c r="D188" s="286"/>
      <c r="E188" s="286"/>
      <c r="F188" s="286"/>
      <c r="G188" s="286"/>
      <c r="H188" s="286"/>
      <c r="I188" s="286"/>
      <c r="J188" s="286"/>
      <c r="K188" s="286"/>
      <c r="L188" s="286"/>
      <c r="M188" s="286"/>
      <c r="N188" s="286"/>
      <c r="O188" s="286"/>
      <c r="P188" s="286"/>
      <c r="Q188" s="286"/>
      <c r="R188" s="286"/>
      <c r="S188" s="338">
        <f>S184-S187-T187</f>
        <v>140950.28</v>
      </c>
      <c r="T188" s="325"/>
      <c r="U188" s="286"/>
      <c r="V188" s="338"/>
      <c r="W188" s="289"/>
      <c r="X188" s="5"/>
    </row>
    <row r="189" spans="1:24" ht="16.5" thickBot="1" x14ac:dyDescent="0.3">
      <c r="A189" s="181"/>
      <c r="B189" s="212"/>
      <c r="C189" s="212"/>
      <c r="D189" s="212"/>
      <c r="E189" s="212"/>
      <c r="F189" s="212"/>
      <c r="G189" s="212"/>
      <c r="H189" s="212"/>
      <c r="I189" s="212"/>
      <c r="J189" s="212"/>
      <c r="K189" s="212"/>
      <c r="L189" s="212"/>
      <c r="M189" s="212"/>
      <c r="N189" s="212"/>
      <c r="O189" s="212"/>
      <c r="P189" s="212"/>
      <c r="Q189" s="212"/>
      <c r="R189" s="212"/>
      <c r="S189" s="212"/>
      <c r="T189" s="212"/>
      <c r="U189" s="212"/>
      <c r="V189" s="344"/>
      <c r="W189" s="212"/>
      <c r="X189" s="5"/>
    </row>
    <row r="190" spans="1:24" ht="15.75" x14ac:dyDescent="0.25">
      <c r="A190" s="179"/>
      <c r="B190" s="180"/>
      <c r="C190" s="180"/>
      <c r="D190" s="180"/>
      <c r="E190" s="180"/>
      <c r="F190" s="180"/>
      <c r="G190" s="180"/>
      <c r="H190" s="180"/>
      <c r="I190" s="180"/>
      <c r="J190" s="180"/>
      <c r="K190" s="180"/>
      <c r="L190" s="180"/>
      <c r="M190" s="180"/>
      <c r="N190" s="180"/>
      <c r="O190" s="180"/>
      <c r="P190" s="180"/>
      <c r="Q190" s="180"/>
      <c r="R190" s="180"/>
      <c r="S190" s="180"/>
      <c r="T190" s="180"/>
      <c r="U190" s="180"/>
      <c r="V190" s="201"/>
      <c r="W190" s="180"/>
      <c r="X190" s="5"/>
    </row>
    <row r="191" spans="1:24" ht="15.75" x14ac:dyDescent="0.25">
      <c r="A191" s="181"/>
      <c r="B191" s="210" t="s">
        <v>65</v>
      </c>
      <c r="C191" s="183"/>
      <c r="D191" s="183"/>
      <c r="E191" s="183"/>
      <c r="F191" s="183"/>
      <c r="G191" s="183"/>
      <c r="H191" s="183"/>
      <c r="I191" s="183"/>
      <c r="J191" s="183"/>
      <c r="K191" s="183"/>
      <c r="L191" s="183"/>
      <c r="M191" s="183"/>
      <c r="N191" s="183"/>
      <c r="O191" s="183"/>
      <c r="P191" s="183"/>
      <c r="Q191" s="183"/>
      <c r="R191" s="183"/>
      <c r="S191" s="183"/>
      <c r="T191" s="183"/>
      <c r="U191" s="183"/>
      <c r="V191" s="217"/>
      <c r="W191" s="183"/>
      <c r="X191" s="5"/>
    </row>
    <row r="192" spans="1:24" ht="15.75" x14ac:dyDescent="0.25">
      <c r="A192" s="285"/>
      <c r="B192" s="286" t="s">
        <v>66</v>
      </c>
      <c r="C192" s="286"/>
      <c r="D192" s="286"/>
      <c r="E192" s="286"/>
      <c r="F192" s="286"/>
      <c r="G192" s="286"/>
      <c r="H192" s="286"/>
      <c r="I192" s="286"/>
      <c r="J192" s="286"/>
      <c r="K192" s="286"/>
      <c r="L192" s="286"/>
      <c r="M192" s="286"/>
      <c r="N192" s="286"/>
      <c r="O192" s="286"/>
      <c r="P192" s="286"/>
      <c r="Q192" s="286"/>
      <c r="R192" s="286"/>
      <c r="S192" s="286"/>
      <c r="T192" s="286"/>
      <c r="U192" s="286"/>
      <c r="V192" s="343">
        <f>(V101+V103+V104+V105+V106)/-(V107+V108)</f>
        <v>4.6739393939393938</v>
      </c>
      <c r="W192" s="289" t="s">
        <v>115</v>
      </c>
      <c r="X192" s="5"/>
    </row>
    <row r="193" spans="1:24" ht="15.75" x14ac:dyDescent="0.25">
      <c r="A193" s="285"/>
      <c r="B193" s="286" t="s">
        <v>67</v>
      </c>
      <c r="C193" s="286"/>
      <c r="D193" s="286"/>
      <c r="E193" s="286"/>
      <c r="F193" s="286"/>
      <c r="G193" s="286"/>
      <c r="H193" s="286"/>
      <c r="I193" s="286"/>
      <c r="J193" s="286"/>
      <c r="K193" s="286"/>
      <c r="L193" s="286"/>
      <c r="M193" s="286"/>
      <c r="N193" s="286"/>
      <c r="O193" s="286"/>
      <c r="P193" s="286"/>
      <c r="Q193" s="286"/>
      <c r="R193" s="286"/>
      <c r="S193" s="286"/>
      <c r="T193" s="286"/>
      <c r="U193" s="286"/>
      <c r="V193" s="347">
        <v>2.1</v>
      </c>
      <c r="W193" s="289" t="s">
        <v>115</v>
      </c>
      <c r="X193" s="5"/>
    </row>
    <row r="194" spans="1:24" ht="15.75" x14ac:dyDescent="0.25">
      <c r="A194" s="285"/>
      <c r="B194" s="286" t="s">
        <v>68</v>
      </c>
      <c r="C194" s="286"/>
      <c r="D194" s="286"/>
      <c r="E194" s="286"/>
      <c r="F194" s="286"/>
      <c r="G194" s="286"/>
      <c r="H194" s="286"/>
      <c r="I194" s="286"/>
      <c r="J194" s="286"/>
      <c r="K194" s="286"/>
      <c r="L194" s="286"/>
      <c r="M194" s="286"/>
      <c r="N194" s="286"/>
      <c r="O194" s="286"/>
      <c r="P194" s="286"/>
      <c r="Q194" s="286"/>
      <c r="R194" s="286"/>
      <c r="S194" s="286"/>
      <c r="T194" s="286"/>
      <c r="U194" s="286"/>
      <c r="V194" s="343">
        <f>(V101+V103+V104+V105+V106+V107+V108)/-(V109+V110)</f>
        <v>16.562841530054644</v>
      </c>
      <c r="W194" s="289" t="s">
        <v>115</v>
      </c>
      <c r="X194" s="5"/>
    </row>
    <row r="195" spans="1:24" ht="15.75" x14ac:dyDescent="0.25">
      <c r="A195" s="285"/>
      <c r="B195" s="286" t="s">
        <v>69</v>
      </c>
      <c r="C195" s="286"/>
      <c r="D195" s="286"/>
      <c r="E195" s="286"/>
      <c r="F195" s="286"/>
      <c r="G195" s="286"/>
      <c r="H195" s="286"/>
      <c r="I195" s="286"/>
      <c r="J195" s="286"/>
      <c r="K195" s="286"/>
      <c r="L195" s="286"/>
      <c r="M195" s="286"/>
      <c r="N195" s="286"/>
      <c r="O195" s="286"/>
      <c r="P195" s="286"/>
      <c r="Q195" s="286"/>
      <c r="R195" s="286"/>
      <c r="S195" s="286"/>
      <c r="T195" s="286"/>
      <c r="U195" s="286"/>
      <c r="V195" s="347">
        <v>9.57</v>
      </c>
      <c r="W195" s="289" t="s">
        <v>115</v>
      </c>
      <c r="X195" s="5"/>
    </row>
    <row r="196" spans="1:24" ht="15.75" x14ac:dyDescent="0.25">
      <c r="A196" s="285"/>
      <c r="B196" s="286" t="s">
        <v>198</v>
      </c>
      <c r="C196" s="286"/>
      <c r="D196" s="286"/>
      <c r="E196" s="286"/>
      <c r="F196" s="286"/>
      <c r="G196" s="286"/>
      <c r="H196" s="286"/>
      <c r="I196" s="286"/>
      <c r="J196" s="286"/>
      <c r="K196" s="286"/>
      <c r="L196" s="286"/>
      <c r="M196" s="286"/>
      <c r="N196" s="286"/>
      <c r="O196" s="286"/>
      <c r="P196" s="286"/>
      <c r="Q196" s="286"/>
      <c r="R196" s="286"/>
      <c r="S196" s="286"/>
      <c r="T196" s="286"/>
      <c r="U196" s="286"/>
      <c r="V196" s="343">
        <f>(V101+V103+V104+V105+V106+V107+V108+V109+V110)/-(V111)</f>
        <v>9.4617940199335546</v>
      </c>
      <c r="W196" s="289" t="s">
        <v>115</v>
      </c>
      <c r="X196" s="5"/>
    </row>
    <row r="197" spans="1:24" ht="15.75" x14ac:dyDescent="0.25">
      <c r="A197" s="285"/>
      <c r="B197" s="286" t="s">
        <v>199</v>
      </c>
      <c r="C197" s="286"/>
      <c r="D197" s="286"/>
      <c r="E197" s="286"/>
      <c r="F197" s="286"/>
      <c r="G197" s="286"/>
      <c r="H197" s="286"/>
      <c r="I197" s="286"/>
      <c r="J197" s="286"/>
      <c r="K197" s="286"/>
      <c r="L197" s="286"/>
      <c r="M197" s="286"/>
      <c r="N197" s="286"/>
      <c r="O197" s="286"/>
      <c r="P197" s="286"/>
      <c r="Q197" s="286"/>
      <c r="R197" s="286"/>
      <c r="S197" s="286"/>
      <c r="T197" s="286"/>
      <c r="U197" s="286"/>
      <c r="V197" s="347">
        <v>6.96</v>
      </c>
      <c r="W197" s="289" t="s">
        <v>115</v>
      </c>
      <c r="X197" s="5"/>
    </row>
    <row r="198" spans="1:24" ht="15.75" x14ac:dyDescent="0.25">
      <c r="A198" s="285"/>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9"/>
      <c r="X198" s="5"/>
    </row>
    <row r="199" spans="1:24" ht="15.75" x14ac:dyDescent="0.25">
      <c r="A199" s="181"/>
      <c r="B199" s="346"/>
      <c r="C199" s="346"/>
      <c r="D199" s="346"/>
      <c r="E199" s="346"/>
      <c r="F199" s="346"/>
      <c r="G199" s="346"/>
      <c r="H199" s="346"/>
      <c r="I199" s="346"/>
      <c r="J199" s="346"/>
      <c r="K199" s="346"/>
      <c r="L199" s="346"/>
      <c r="M199" s="346"/>
      <c r="N199" s="346"/>
      <c r="O199" s="346"/>
      <c r="P199" s="346"/>
      <c r="Q199" s="346"/>
      <c r="R199" s="346"/>
      <c r="S199" s="346"/>
      <c r="T199" s="346"/>
      <c r="U199" s="346"/>
      <c r="V199" s="346"/>
      <c r="W199" s="346"/>
      <c r="X199" s="5"/>
    </row>
    <row r="200" spans="1:24" ht="15.75" x14ac:dyDescent="0.25">
      <c r="A200" s="181"/>
      <c r="B200" s="255"/>
      <c r="C200" s="255"/>
      <c r="D200" s="255"/>
      <c r="E200" s="255"/>
      <c r="F200" s="255"/>
      <c r="G200" s="255"/>
      <c r="H200" s="255"/>
      <c r="I200" s="255"/>
      <c r="J200" s="255"/>
      <c r="K200" s="255"/>
      <c r="L200" s="255"/>
      <c r="M200" s="255"/>
      <c r="N200" s="255"/>
      <c r="O200" s="255"/>
      <c r="P200" s="255"/>
      <c r="Q200" s="255"/>
      <c r="R200" s="255"/>
      <c r="S200" s="255"/>
      <c r="T200" s="255"/>
      <c r="U200" s="255"/>
      <c r="V200" s="255"/>
      <c r="W200" s="255"/>
      <c r="X200" s="5"/>
    </row>
    <row r="201" spans="1:24" ht="19.5" thickBot="1" x14ac:dyDescent="0.35">
      <c r="A201" s="197"/>
      <c r="B201" s="270" t="str">
        <f>B135</f>
        <v>PM15 INVESTOR REPORT QUARTER ENDING NOVEMBER 2016</v>
      </c>
      <c r="C201" s="271"/>
      <c r="D201" s="271"/>
      <c r="E201" s="271"/>
      <c r="F201" s="271"/>
      <c r="G201" s="271"/>
      <c r="H201" s="271"/>
      <c r="I201" s="271"/>
      <c r="J201" s="271"/>
      <c r="K201" s="271"/>
      <c r="L201" s="271"/>
      <c r="M201" s="271"/>
      <c r="N201" s="271"/>
      <c r="O201" s="271"/>
      <c r="P201" s="271"/>
      <c r="Q201" s="271"/>
      <c r="R201" s="271"/>
      <c r="S201" s="271"/>
      <c r="T201" s="271"/>
      <c r="U201" s="271"/>
      <c r="V201" s="271"/>
      <c r="W201" s="272"/>
      <c r="X201" s="5"/>
    </row>
    <row r="202" spans="1:24" ht="15.75" x14ac:dyDescent="0.25">
      <c r="A202" s="236"/>
      <c r="B202" s="403" t="s">
        <v>70</v>
      </c>
      <c r="C202" s="404"/>
      <c r="D202" s="404"/>
      <c r="E202" s="404"/>
      <c r="F202" s="404"/>
      <c r="G202" s="405"/>
      <c r="H202" s="405"/>
      <c r="I202" s="405"/>
      <c r="J202" s="405"/>
      <c r="K202" s="405"/>
      <c r="L202" s="405"/>
      <c r="M202" s="405"/>
      <c r="N202" s="405"/>
      <c r="O202" s="405"/>
      <c r="P202" s="405"/>
      <c r="Q202" s="405"/>
      <c r="R202" s="405"/>
      <c r="S202" s="405"/>
      <c r="T202" s="405">
        <v>42704</v>
      </c>
      <c r="U202" s="238"/>
      <c r="V202" s="238"/>
      <c r="W202" s="238"/>
      <c r="X202" s="5"/>
    </row>
    <row r="203" spans="1:24" ht="15.75" x14ac:dyDescent="0.25">
      <c r="A203" s="218"/>
      <c r="B203" s="219"/>
      <c r="C203" s="220"/>
      <c r="D203" s="220"/>
      <c r="E203" s="220"/>
      <c r="F203" s="220"/>
      <c r="G203" s="221"/>
      <c r="H203" s="221"/>
      <c r="I203" s="221"/>
      <c r="J203" s="221"/>
      <c r="K203" s="221"/>
      <c r="L203" s="221"/>
      <c r="M203" s="221"/>
      <c r="N203" s="221"/>
      <c r="O203" s="221"/>
      <c r="P203" s="221"/>
      <c r="Q203" s="221"/>
      <c r="R203" s="221"/>
      <c r="S203" s="221"/>
      <c r="T203" s="221"/>
      <c r="U203" s="183"/>
      <c r="V203" s="183"/>
      <c r="W203" s="183"/>
      <c r="X203" s="5"/>
    </row>
    <row r="204" spans="1:24" ht="15.75" x14ac:dyDescent="0.25">
      <c r="A204" s="350"/>
      <c r="B204" s="286" t="s">
        <v>71</v>
      </c>
      <c r="C204" s="406"/>
      <c r="D204" s="406"/>
      <c r="E204" s="406"/>
      <c r="F204" s="406"/>
      <c r="G204" s="397"/>
      <c r="H204" s="397"/>
      <c r="I204" s="397"/>
      <c r="J204" s="397"/>
      <c r="K204" s="397"/>
      <c r="L204" s="397"/>
      <c r="M204" s="397"/>
      <c r="N204" s="397"/>
      <c r="O204" s="397"/>
      <c r="P204" s="397"/>
      <c r="Q204" s="397"/>
      <c r="R204" s="397"/>
      <c r="S204" s="397"/>
      <c r="T204" s="321">
        <v>5.3830000000000003E-2</v>
      </c>
      <c r="U204" s="286"/>
      <c r="V204" s="286"/>
      <c r="W204" s="289"/>
      <c r="X204" s="5"/>
    </row>
    <row r="205" spans="1:24" ht="15.75" x14ac:dyDescent="0.25">
      <c r="A205" s="350"/>
      <c r="B205" s="286" t="s">
        <v>151</v>
      </c>
      <c r="C205" s="406"/>
      <c r="D205" s="406"/>
      <c r="E205" s="406"/>
      <c r="F205" s="406"/>
      <c r="G205" s="397"/>
      <c r="H205" s="397"/>
      <c r="I205" s="397"/>
      <c r="J205" s="397"/>
      <c r="K205" s="397"/>
      <c r="L205" s="397"/>
      <c r="M205" s="397"/>
      <c r="N205" s="397"/>
      <c r="O205" s="397"/>
      <c r="P205" s="397"/>
      <c r="Q205" s="397"/>
      <c r="R205" s="397"/>
      <c r="S205" s="397"/>
      <c r="T205" s="321">
        <v>6.25E-2</v>
      </c>
      <c r="U205" s="286"/>
      <c r="V205" s="286"/>
      <c r="W205" s="289"/>
      <c r="X205" s="5"/>
    </row>
    <row r="206" spans="1:24" ht="15.75" x14ac:dyDescent="0.25">
      <c r="A206" s="350"/>
      <c r="B206" s="286" t="s">
        <v>72</v>
      </c>
      <c r="C206" s="406"/>
      <c r="D206" s="406"/>
      <c r="E206" s="406"/>
      <c r="F206" s="406"/>
      <c r="G206" s="397"/>
      <c r="H206" s="397"/>
      <c r="I206" s="397"/>
      <c r="J206" s="397"/>
      <c r="K206" s="397"/>
      <c r="L206" s="397"/>
      <c r="M206" s="397"/>
      <c r="N206" s="397"/>
      <c r="O206" s="397"/>
      <c r="P206" s="397"/>
      <c r="Q206" s="397"/>
      <c r="R206" s="397"/>
      <c r="S206" s="397"/>
      <c r="T206" s="321">
        <f>T204-T205</f>
        <v>-8.6699999999999972E-3</v>
      </c>
      <c r="U206" s="286"/>
      <c r="V206" s="286"/>
      <c r="W206" s="289"/>
      <c r="X206" s="5"/>
    </row>
    <row r="207" spans="1:24" ht="15.75" x14ac:dyDescent="0.25">
      <c r="A207" s="350"/>
      <c r="B207" s="286" t="s">
        <v>73</v>
      </c>
      <c r="C207" s="406"/>
      <c r="D207" s="406"/>
      <c r="E207" s="406"/>
      <c r="F207" s="406"/>
      <c r="G207" s="397"/>
      <c r="H207" s="397"/>
      <c r="I207" s="397"/>
      <c r="J207" s="397"/>
      <c r="K207" s="397"/>
      <c r="L207" s="397"/>
      <c r="M207" s="397"/>
      <c r="N207" s="397"/>
      <c r="O207" s="397"/>
      <c r="P207" s="397"/>
      <c r="Q207" s="397"/>
      <c r="R207" s="397"/>
      <c r="S207" s="397"/>
      <c r="T207" s="321">
        <v>2.308E-2</v>
      </c>
      <c r="U207" s="286"/>
      <c r="V207" s="286"/>
      <c r="W207" s="289"/>
      <c r="X207" s="5"/>
    </row>
    <row r="208" spans="1:24" ht="15.75" x14ac:dyDescent="0.25">
      <c r="A208" s="350"/>
      <c r="B208" s="286" t="s">
        <v>218</v>
      </c>
      <c r="C208" s="406"/>
      <c r="D208" s="406"/>
      <c r="E208" s="406"/>
      <c r="F208" s="406"/>
      <c r="G208" s="397"/>
      <c r="H208" s="397"/>
      <c r="I208" s="397"/>
      <c r="J208" s="397"/>
      <c r="K208" s="397"/>
      <c r="L208" s="397"/>
      <c r="M208" s="397"/>
      <c r="N208" s="397"/>
      <c r="O208" s="397"/>
      <c r="P208" s="397"/>
      <c r="Q208" s="397"/>
      <c r="R208" s="397"/>
      <c r="S208" s="397"/>
      <c r="T208" s="321">
        <f>V43</f>
        <v>7.582491616700715E-3</v>
      </c>
      <c r="U208" s="286"/>
      <c r="V208" s="286"/>
      <c r="W208" s="289"/>
      <c r="X208" s="5"/>
    </row>
    <row r="209" spans="1:24" ht="15.75" x14ac:dyDescent="0.25">
      <c r="A209" s="350"/>
      <c r="B209" s="286" t="s">
        <v>74</v>
      </c>
      <c r="C209" s="406"/>
      <c r="D209" s="406"/>
      <c r="E209" s="406"/>
      <c r="F209" s="406"/>
      <c r="G209" s="397"/>
      <c r="H209" s="397"/>
      <c r="I209" s="397"/>
      <c r="J209" s="397"/>
      <c r="K209" s="397"/>
      <c r="L209" s="397"/>
      <c r="M209" s="397"/>
      <c r="N209" s="397"/>
      <c r="O209" s="397"/>
      <c r="P209" s="397"/>
      <c r="Q209" s="397"/>
      <c r="R209" s="397"/>
      <c r="S209" s="397"/>
      <c r="T209" s="321">
        <f>T207-T208</f>
        <v>1.5497508383299285E-2</v>
      </c>
      <c r="U209" s="286"/>
      <c r="V209" s="286"/>
      <c r="W209" s="289"/>
      <c r="X209" s="5"/>
    </row>
    <row r="210" spans="1:24" ht="15.75" x14ac:dyDescent="0.25">
      <c r="A210" s="350"/>
      <c r="B210" s="286" t="s">
        <v>227</v>
      </c>
      <c r="C210" s="406"/>
      <c r="D210" s="406"/>
      <c r="E210" s="406"/>
      <c r="F210" s="406"/>
      <c r="G210" s="397"/>
      <c r="H210" s="397"/>
      <c r="I210" s="397"/>
      <c r="J210" s="397"/>
      <c r="K210" s="397"/>
      <c r="L210" s="397"/>
      <c r="M210" s="397"/>
      <c r="N210" s="397"/>
      <c r="O210" s="397"/>
      <c r="P210" s="397"/>
      <c r="Q210" s="397"/>
      <c r="R210" s="397"/>
      <c r="S210" s="397"/>
      <c r="T210" s="321">
        <f>V101/N71</f>
        <v>6.1069187202323809E-3</v>
      </c>
      <c r="U210" s="286"/>
      <c r="V210" s="286"/>
      <c r="W210" s="289"/>
      <c r="X210" s="5"/>
    </row>
    <row r="211" spans="1:24" ht="15.75" x14ac:dyDescent="0.25">
      <c r="A211" s="350"/>
      <c r="B211" s="286" t="s">
        <v>207</v>
      </c>
      <c r="C211" s="406"/>
      <c r="D211" s="406"/>
      <c r="E211" s="406"/>
      <c r="F211" s="406"/>
      <c r="G211" s="397"/>
      <c r="H211" s="397"/>
      <c r="I211" s="397"/>
      <c r="J211" s="397"/>
      <c r="K211" s="397"/>
      <c r="L211" s="397"/>
      <c r="M211" s="397"/>
      <c r="N211" s="397"/>
      <c r="O211" s="397"/>
      <c r="P211" s="397"/>
      <c r="Q211" s="397"/>
      <c r="R211" s="397"/>
      <c r="S211" s="397"/>
      <c r="T211" s="352">
        <v>51105</v>
      </c>
      <c r="U211" s="286"/>
      <c r="V211" s="286"/>
      <c r="W211" s="289"/>
      <c r="X211" s="5"/>
    </row>
    <row r="212" spans="1:24" ht="15.75" x14ac:dyDescent="0.25">
      <c r="A212" s="350"/>
      <c r="B212" s="286" t="s">
        <v>208</v>
      </c>
      <c r="C212" s="406"/>
      <c r="D212" s="406"/>
      <c r="E212" s="406"/>
      <c r="F212" s="406"/>
      <c r="G212" s="397"/>
      <c r="H212" s="397"/>
      <c r="I212" s="397"/>
      <c r="J212" s="397"/>
      <c r="K212" s="397"/>
      <c r="L212" s="397"/>
      <c r="M212" s="397"/>
      <c r="N212" s="397"/>
      <c r="O212" s="397"/>
      <c r="P212" s="397"/>
      <c r="Q212" s="397"/>
      <c r="R212" s="397"/>
      <c r="S212" s="397"/>
      <c r="T212" s="352">
        <v>51105</v>
      </c>
      <c r="U212" s="286"/>
      <c r="V212" s="286"/>
      <c r="W212" s="289"/>
      <c r="X212" s="5"/>
    </row>
    <row r="213" spans="1:24" ht="15.75" x14ac:dyDescent="0.25">
      <c r="A213" s="350"/>
      <c r="B213" s="286" t="s">
        <v>209</v>
      </c>
      <c r="C213" s="406"/>
      <c r="D213" s="406"/>
      <c r="E213" s="406"/>
      <c r="F213" s="406"/>
      <c r="G213" s="397"/>
      <c r="H213" s="397"/>
      <c r="I213" s="397"/>
      <c r="J213" s="397"/>
      <c r="K213" s="397"/>
      <c r="L213" s="397"/>
      <c r="M213" s="397"/>
      <c r="N213" s="397"/>
      <c r="O213" s="397"/>
      <c r="P213" s="397"/>
      <c r="Q213" s="397"/>
      <c r="R213" s="397"/>
      <c r="S213" s="397"/>
      <c r="T213" s="352">
        <v>51105</v>
      </c>
      <c r="U213" s="286"/>
      <c r="V213" s="286"/>
      <c r="W213" s="289"/>
      <c r="X213" s="5"/>
    </row>
    <row r="214" spans="1:24" ht="15.75" x14ac:dyDescent="0.25">
      <c r="A214" s="350"/>
      <c r="B214" s="286" t="s">
        <v>75</v>
      </c>
      <c r="C214" s="406"/>
      <c r="D214" s="406"/>
      <c r="E214" s="406"/>
      <c r="F214" s="406"/>
      <c r="G214" s="397"/>
      <c r="H214" s="397"/>
      <c r="I214" s="397"/>
      <c r="J214" s="397"/>
      <c r="K214" s="397"/>
      <c r="L214" s="397"/>
      <c r="M214" s="397"/>
      <c r="N214" s="397"/>
      <c r="O214" s="397"/>
      <c r="P214" s="397"/>
      <c r="Q214" s="397"/>
      <c r="R214" s="397"/>
      <c r="S214" s="397"/>
      <c r="T214" s="327">
        <v>21.06</v>
      </c>
      <c r="U214" s="286" t="s">
        <v>110</v>
      </c>
      <c r="V214" s="286"/>
      <c r="W214" s="289"/>
      <c r="X214" s="5"/>
    </row>
    <row r="215" spans="1:24" ht="15.75" x14ac:dyDescent="0.25">
      <c r="A215" s="350"/>
      <c r="B215" s="286" t="s">
        <v>76</v>
      </c>
      <c r="C215" s="406"/>
      <c r="D215" s="406"/>
      <c r="E215" s="406"/>
      <c r="F215" s="406"/>
      <c r="G215" s="397"/>
      <c r="H215" s="397"/>
      <c r="I215" s="397"/>
      <c r="J215" s="397"/>
      <c r="K215" s="397"/>
      <c r="L215" s="397"/>
      <c r="M215" s="397"/>
      <c r="N215" s="397"/>
      <c r="O215" s="397"/>
      <c r="P215" s="397"/>
      <c r="Q215" s="397"/>
      <c r="R215" s="397"/>
      <c r="S215" s="397"/>
      <c r="T215" s="327">
        <v>12.1</v>
      </c>
      <c r="U215" s="286" t="s">
        <v>110</v>
      </c>
      <c r="V215" s="286"/>
      <c r="W215" s="289"/>
      <c r="X215" s="5"/>
    </row>
    <row r="216" spans="1:24" ht="15.75" x14ac:dyDescent="0.25">
      <c r="A216" s="350"/>
      <c r="B216" s="286" t="s">
        <v>77</v>
      </c>
      <c r="C216" s="406"/>
      <c r="D216" s="406"/>
      <c r="E216" s="406"/>
      <c r="F216" s="406"/>
      <c r="G216" s="397"/>
      <c r="H216" s="397"/>
      <c r="I216" s="397"/>
      <c r="J216" s="397"/>
      <c r="K216" s="397"/>
      <c r="L216" s="397"/>
      <c r="M216" s="397"/>
      <c r="N216" s="397"/>
      <c r="O216" s="397"/>
      <c r="P216" s="397"/>
      <c r="Q216" s="397"/>
      <c r="R216" s="397"/>
      <c r="S216" s="397"/>
      <c r="T216" s="321">
        <f>+P68/N68</f>
        <v>1.4222046409694841E-2</v>
      </c>
      <c r="U216" s="286"/>
      <c r="V216" s="286"/>
      <c r="W216" s="289"/>
      <c r="X216" s="5"/>
    </row>
    <row r="217" spans="1:24" ht="15.75" x14ac:dyDescent="0.25">
      <c r="A217" s="350"/>
      <c r="B217" s="286" t="s">
        <v>78</v>
      </c>
      <c r="C217" s="406"/>
      <c r="D217" s="406"/>
      <c r="E217" s="406"/>
      <c r="F217" s="406"/>
      <c r="G217" s="397"/>
      <c r="H217" s="397"/>
      <c r="I217" s="397"/>
      <c r="J217" s="397"/>
      <c r="K217" s="397"/>
      <c r="L217" s="397"/>
      <c r="M217" s="397"/>
      <c r="N217" s="397"/>
      <c r="O217" s="397"/>
      <c r="P217" s="397"/>
      <c r="Q217" s="397"/>
      <c r="R217" s="397"/>
      <c r="S217" s="397"/>
      <c r="T217" s="321">
        <v>4.1700000000000001E-2</v>
      </c>
      <c r="U217" s="286"/>
      <c r="V217" s="286"/>
      <c r="W217" s="289"/>
      <c r="X217" s="5"/>
    </row>
    <row r="218" spans="1:24" ht="15.75" x14ac:dyDescent="0.25">
      <c r="A218" s="218"/>
      <c r="B218" s="348"/>
      <c r="C218" s="348"/>
      <c r="D218" s="348"/>
      <c r="E218" s="348"/>
      <c r="F218" s="348"/>
      <c r="G218" s="212"/>
      <c r="H218" s="212"/>
      <c r="I218" s="212"/>
      <c r="J218" s="212"/>
      <c r="K218" s="212"/>
      <c r="L218" s="212"/>
      <c r="M218" s="212"/>
      <c r="N218" s="212"/>
      <c r="O218" s="212"/>
      <c r="P218" s="212"/>
      <c r="Q218" s="212"/>
      <c r="R218" s="212"/>
      <c r="S218" s="212"/>
      <c r="T218" s="344"/>
      <c r="U218" s="212"/>
      <c r="V218" s="349"/>
      <c r="W218" s="212"/>
      <c r="X218" s="5"/>
    </row>
    <row r="219" spans="1:24" ht="15.75" x14ac:dyDescent="0.25">
      <c r="A219" s="242"/>
      <c r="B219" s="399" t="s">
        <v>79</v>
      </c>
      <c r="C219" s="400"/>
      <c r="D219" s="400"/>
      <c r="E219" s="400"/>
      <c r="F219" s="407"/>
      <c r="G219" s="400"/>
      <c r="H219" s="400"/>
      <c r="I219" s="400"/>
      <c r="J219" s="400"/>
      <c r="K219" s="400"/>
      <c r="L219" s="400"/>
      <c r="M219" s="400"/>
      <c r="N219" s="400"/>
      <c r="O219" s="400"/>
      <c r="P219" s="400"/>
      <c r="Q219" s="400"/>
      <c r="R219" s="400"/>
      <c r="S219" s="400" t="s">
        <v>102</v>
      </c>
      <c r="T219" s="407" t="s">
        <v>108</v>
      </c>
      <c r="U219" s="225"/>
      <c r="V219" s="225"/>
      <c r="W219" s="225"/>
      <c r="X219" s="5"/>
    </row>
    <row r="220" spans="1:24" ht="15.75" x14ac:dyDescent="0.25">
      <c r="A220" s="222"/>
      <c r="B220" s="250" t="s">
        <v>80</v>
      </c>
      <c r="C220" s="249"/>
      <c r="D220" s="249"/>
      <c r="E220" s="249"/>
      <c r="F220" s="250"/>
      <c r="G220" s="250"/>
      <c r="H220" s="268"/>
      <c r="I220" s="268"/>
      <c r="J220" s="268"/>
      <c r="K220" s="268"/>
      <c r="L220" s="268"/>
      <c r="M220" s="268"/>
      <c r="N220" s="268"/>
      <c r="O220" s="268"/>
      <c r="P220" s="268"/>
      <c r="Q220" s="268"/>
      <c r="R220" s="268"/>
      <c r="S220" s="268">
        <v>1</v>
      </c>
      <c r="T220" s="269">
        <v>78</v>
      </c>
      <c r="U220" s="250"/>
      <c r="V220" s="266"/>
      <c r="W220" s="223"/>
      <c r="X220" s="5"/>
    </row>
    <row r="221" spans="1:24" ht="15.75" x14ac:dyDescent="0.25">
      <c r="A221" s="358"/>
      <c r="B221" s="286" t="s">
        <v>145</v>
      </c>
      <c r="C221" s="337"/>
      <c r="D221" s="337"/>
      <c r="E221" s="337"/>
      <c r="F221" s="286"/>
      <c r="G221" s="286"/>
      <c r="H221" s="296"/>
      <c r="I221" s="296"/>
      <c r="J221" s="296"/>
      <c r="K221" s="296"/>
      <c r="L221" s="296"/>
      <c r="M221" s="296"/>
      <c r="N221" s="296"/>
      <c r="O221" s="296"/>
      <c r="P221" s="296"/>
      <c r="Q221" s="296"/>
      <c r="R221" s="296"/>
      <c r="S221" s="359">
        <f>+R273</f>
        <v>80</v>
      </c>
      <c r="T221" s="360">
        <f>+T273</f>
        <v>10879</v>
      </c>
      <c r="U221" s="286"/>
      <c r="V221" s="361"/>
      <c r="W221" s="362"/>
      <c r="X221" s="5"/>
    </row>
    <row r="222" spans="1:24" ht="15.75" x14ac:dyDescent="0.25">
      <c r="A222" s="358"/>
      <c r="B222" s="286" t="s">
        <v>81</v>
      </c>
      <c r="C222" s="337"/>
      <c r="D222" s="337"/>
      <c r="E222" s="337"/>
      <c r="F222" s="286"/>
      <c r="G222" s="286"/>
      <c r="H222" s="296"/>
      <c r="I222" s="296"/>
      <c r="J222" s="296"/>
      <c r="K222" s="296"/>
      <c r="L222" s="296"/>
      <c r="M222" s="296"/>
      <c r="N222" s="296"/>
      <c r="O222" s="296"/>
      <c r="P222" s="296"/>
      <c r="Q222" s="296"/>
      <c r="R222" s="296"/>
      <c r="S222" s="359">
        <f>+R285</f>
        <v>0</v>
      </c>
      <c r="T222" s="360">
        <f>+T285</f>
        <v>0</v>
      </c>
      <c r="U222" s="286"/>
      <c r="V222" s="361"/>
      <c r="W222" s="362"/>
      <c r="X222" s="5"/>
    </row>
    <row r="223" spans="1:24" ht="15.75" x14ac:dyDescent="0.25">
      <c r="A223" s="358"/>
      <c r="B223" s="313" t="s">
        <v>82</v>
      </c>
      <c r="C223" s="363"/>
      <c r="D223" s="363"/>
      <c r="E223" s="363"/>
      <c r="F223" s="314"/>
      <c r="G223" s="314"/>
      <c r="H223" s="314"/>
      <c r="I223" s="314"/>
      <c r="J223" s="314"/>
      <c r="K223" s="314"/>
      <c r="L223" s="314"/>
      <c r="M223" s="314"/>
      <c r="N223" s="314"/>
      <c r="O223" s="314"/>
      <c r="P223" s="314"/>
      <c r="Q223" s="314"/>
      <c r="R223" s="314"/>
      <c r="S223" s="286"/>
      <c r="T223" s="360">
        <v>0</v>
      </c>
      <c r="U223" s="314"/>
      <c r="V223" s="364"/>
      <c r="W223" s="362"/>
      <c r="X223" s="5"/>
    </row>
    <row r="224" spans="1:24" ht="15.75" x14ac:dyDescent="0.25">
      <c r="A224" s="358"/>
      <c r="B224" s="313" t="s">
        <v>228</v>
      </c>
      <c r="C224" s="363"/>
      <c r="D224" s="363"/>
      <c r="E224" s="363"/>
      <c r="F224" s="314"/>
      <c r="G224" s="314"/>
      <c r="H224" s="314"/>
      <c r="I224" s="314"/>
      <c r="J224" s="314"/>
      <c r="K224" s="314"/>
      <c r="L224" s="314"/>
      <c r="M224" s="314"/>
      <c r="N224" s="314"/>
      <c r="O224" s="314"/>
      <c r="P224" s="314"/>
      <c r="Q224" s="314"/>
      <c r="R224" s="314"/>
      <c r="S224" s="286"/>
      <c r="T224" s="360">
        <f>+N81</f>
        <v>0</v>
      </c>
      <c r="U224" s="314"/>
      <c r="V224" s="364"/>
      <c r="W224" s="362"/>
      <c r="X224" s="5"/>
    </row>
    <row r="225" spans="1:24" ht="15.75" x14ac:dyDescent="0.25">
      <c r="A225" s="365"/>
      <c r="B225" s="313" t="s">
        <v>83</v>
      </c>
      <c r="C225" s="366"/>
      <c r="D225" s="366"/>
      <c r="E225" s="366"/>
      <c r="F225" s="366"/>
      <c r="G225" s="314"/>
      <c r="H225" s="314"/>
      <c r="I225" s="314"/>
      <c r="J225" s="314"/>
      <c r="K225" s="314"/>
      <c r="L225" s="314"/>
      <c r="M225" s="314"/>
      <c r="N225" s="314"/>
      <c r="O225" s="314"/>
      <c r="P225" s="314"/>
      <c r="Q225" s="314"/>
      <c r="R225" s="314"/>
      <c r="S225" s="286"/>
      <c r="T225" s="360"/>
      <c r="U225" s="314"/>
      <c r="V225" s="364"/>
      <c r="W225" s="367"/>
      <c r="X225" s="5"/>
    </row>
    <row r="226" spans="1:24" ht="15.75" x14ac:dyDescent="0.25">
      <c r="A226" s="365"/>
      <c r="B226" s="286" t="s">
        <v>84</v>
      </c>
      <c r="C226" s="366"/>
      <c r="D226" s="366"/>
      <c r="E226" s="366"/>
      <c r="F226" s="366"/>
      <c r="G226" s="314"/>
      <c r="H226" s="314"/>
      <c r="I226" s="314"/>
      <c r="J226" s="314"/>
      <c r="K226" s="314"/>
      <c r="L226" s="314"/>
      <c r="M226" s="314"/>
      <c r="N226" s="314"/>
      <c r="O226" s="314"/>
      <c r="P226" s="314"/>
      <c r="Q226" s="314"/>
      <c r="R226" s="314"/>
      <c r="S226" s="296"/>
      <c r="T226" s="360">
        <f>V164</f>
        <v>-18</v>
      </c>
      <c r="U226" s="314"/>
      <c r="V226" s="364"/>
      <c r="W226" s="367"/>
      <c r="X226" s="5"/>
    </row>
    <row r="227" spans="1:24" ht="15.75" x14ac:dyDescent="0.25">
      <c r="A227" s="358"/>
      <c r="B227" s="286" t="s">
        <v>85</v>
      </c>
      <c r="C227" s="363"/>
      <c r="D227" s="363"/>
      <c r="E227" s="363"/>
      <c r="F227" s="363"/>
      <c r="G227" s="314"/>
      <c r="H227" s="314"/>
      <c r="I227" s="314"/>
      <c r="J227" s="314"/>
      <c r="K227" s="314"/>
      <c r="L227" s="314"/>
      <c r="M227" s="314"/>
      <c r="N227" s="314"/>
      <c r="O227" s="314"/>
      <c r="P227" s="314"/>
      <c r="Q227" s="314"/>
      <c r="R227" s="314"/>
      <c r="S227" s="296"/>
      <c r="T227" s="360">
        <f>'Aug 16'!T227+T226</f>
        <v>7900</v>
      </c>
      <c r="U227" s="314"/>
      <c r="V227" s="364"/>
      <c r="W227" s="367"/>
      <c r="X227" s="5"/>
    </row>
    <row r="228" spans="1:24" ht="15.75" x14ac:dyDescent="0.25">
      <c r="A228" s="365"/>
      <c r="B228" s="313" t="s">
        <v>285</v>
      </c>
      <c r="C228" s="366"/>
      <c r="D228" s="366"/>
      <c r="E228" s="366"/>
      <c r="F228" s="366"/>
      <c r="G228" s="314"/>
      <c r="H228" s="314"/>
      <c r="I228" s="314"/>
      <c r="J228" s="314"/>
      <c r="K228" s="314"/>
      <c r="L228" s="314"/>
      <c r="M228" s="314"/>
      <c r="N228" s="314"/>
      <c r="O228" s="314"/>
      <c r="P228" s="314"/>
      <c r="Q228" s="314"/>
      <c r="R228" s="314"/>
      <c r="S228" s="296"/>
      <c r="T228" s="360"/>
      <c r="U228" s="314"/>
      <c r="V228" s="364"/>
      <c r="W228" s="367"/>
      <c r="X228" s="5"/>
    </row>
    <row r="229" spans="1:24" ht="15.75" x14ac:dyDescent="0.25">
      <c r="A229" s="365"/>
      <c r="B229" s="286" t="s">
        <v>282</v>
      </c>
      <c r="C229" s="366"/>
      <c r="D229" s="366"/>
      <c r="E229" s="366"/>
      <c r="F229" s="366"/>
      <c r="G229" s="314"/>
      <c r="H229" s="314"/>
      <c r="I229" s="314"/>
      <c r="J229" s="314"/>
      <c r="K229" s="314"/>
      <c r="L229" s="314"/>
      <c r="M229" s="314"/>
      <c r="N229" s="314"/>
      <c r="O229" s="314"/>
      <c r="P229" s="314"/>
      <c r="Q229" s="314"/>
      <c r="R229" s="314"/>
      <c r="S229" s="296">
        <v>0</v>
      </c>
      <c r="T229" s="360">
        <v>0</v>
      </c>
      <c r="U229" s="314"/>
      <c r="V229" s="364"/>
      <c r="W229" s="367"/>
      <c r="X229" s="5"/>
    </row>
    <row r="230" spans="1:24" ht="15.75" x14ac:dyDescent="0.25">
      <c r="A230" s="358"/>
      <c r="B230" s="286" t="s">
        <v>86</v>
      </c>
      <c r="C230" s="368"/>
      <c r="D230" s="368"/>
      <c r="E230" s="368"/>
      <c r="F230" s="369"/>
      <c r="G230" s="314"/>
      <c r="H230" s="314"/>
      <c r="I230" s="314"/>
      <c r="J230" s="314"/>
      <c r="K230" s="314"/>
      <c r="L230" s="314"/>
      <c r="M230" s="314"/>
      <c r="N230" s="314"/>
      <c r="O230" s="314"/>
      <c r="P230" s="314"/>
      <c r="Q230" s="314"/>
      <c r="R230" s="314"/>
      <c r="S230" s="286"/>
      <c r="T230" s="370">
        <v>0</v>
      </c>
      <c r="U230" s="314"/>
      <c r="V230" s="364"/>
      <c r="W230" s="367"/>
      <c r="X230" s="5"/>
    </row>
    <row r="231" spans="1:24" ht="15.75" x14ac:dyDescent="0.25">
      <c r="A231" s="358"/>
      <c r="B231" s="286" t="s">
        <v>87</v>
      </c>
      <c r="C231" s="368"/>
      <c r="D231" s="368"/>
      <c r="E231" s="368"/>
      <c r="F231" s="369"/>
      <c r="G231" s="314"/>
      <c r="H231" s="314"/>
      <c r="I231" s="314"/>
      <c r="J231" s="314"/>
      <c r="K231" s="314"/>
      <c r="L231" s="314"/>
      <c r="M231" s="314"/>
      <c r="N231" s="314"/>
      <c r="O231" s="314"/>
      <c r="P231" s="314"/>
      <c r="Q231" s="314"/>
      <c r="R231" s="314"/>
      <c r="S231" s="286"/>
      <c r="T231" s="370">
        <v>0</v>
      </c>
      <c r="U231" s="314"/>
      <c r="V231" s="364"/>
      <c r="W231" s="367"/>
      <c r="X231" s="5"/>
    </row>
    <row r="232" spans="1:24" ht="15.75" x14ac:dyDescent="0.25">
      <c r="A232" s="358"/>
      <c r="B232" s="313" t="s">
        <v>216</v>
      </c>
      <c r="C232" s="368"/>
      <c r="D232" s="368"/>
      <c r="E232" s="368"/>
      <c r="F232" s="369"/>
      <c r="G232" s="314"/>
      <c r="H232" s="314"/>
      <c r="I232" s="314"/>
      <c r="J232" s="314"/>
      <c r="K232" s="314"/>
      <c r="L232" s="314"/>
      <c r="M232" s="314"/>
      <c r="N232" s="314"/>
      <c r="O232" s="314"/>
      <c r="P232" s="314"/>
      <c r="Q232" s="314"/>
      <c r="R232" s="314"/>
      <c r="S232" s="286"/>
      <c r="T232" s="371"/>
      <c r="U232" s="314"/>
      <c r="V232" s="364"/>
      <c r="W232" s="367"/>
      <c r="X232" s="5"/>
    </row>
    <row r="233" spans="1:24" ht="15.75" x14ac:dyDescent="0.25">
      <c r="A233" s="358"/>
      <c r="B233" s="286" t="s">
        <v>282</v>
      </c>
      <c r="C233" s="368"/>
      <c r="D233" s="368"/>
      <c r="E233" s="368"/>
      <c r="F233" s="369"/>
      <c r="G233" s="314"/>
      <c r="H233" s="314"/>
      <c r="I233" s="314"/>
      <c r="J233" s="314"/>
      <c r="K233" s="314"/>
      <c r="L233" s="314"/>
      <c r="M233" s="314"/>
      <c r="N233" s="314"/>
      <c r="O233" s="314"/>
      <c r="P233" s="314"/>
      <c r="Q233" s="314"/>
      <c r="R233" s="314"/>
      <c r="S233" s="296">
        <v>5</v>
      </c>
      <c r="T233" s="360">
        <v>651</v>
      </c>
      <c r="U233" s="314"/>
      <c r="V233" s="364"/>
      <c r="W233" s="367"/>
      <c r="X233" s="5"/>
    </row>
    <row r="234" spans="1:24" ht="15.75" x14ac:dyDescent="0.25">
      <c r="A234" s="358"/>
      <c r="B234" s="286" t="s">
        <v>217</v>
      </c>
      <c r="C234" s="368"/>
      <c r="D234" s="368"/>
      <c r="E234" s="368"/>
      <c r="F234" s="369"/>
      <c r="G234" s="314"/>
      <c r="H234" s="314"/>
      <c r="I234" s="314"/>
      <c r="J234" s="314"/>
      <c r="K234" s="314"/>
      <c r="L234" s="314"/>
      <c r="M234" s="314"/>
      <c r="N234" s="314"/>
      <c r="O234" s="314"/>
      <c r="P234" s="314"/>
      <c r="Q234" s="314"/>
      <c r="R234" s="314"/>
      <c r="S234" s="286"/>
      <c r="T234" s="370">
        <v>2.21</v>
      </c>
      <c r="U234" s="314"/>
      <c r="V234" s="364"/>
      <c r="W234" s="367"/>
      <c r="X234" s="5"/>
    </row>
    <row r="235" spans="1:24" ht="15.75" x14ac:dyDescent="0.25">
      <c r="A235" s="358"/>
      <c r="B235" s="366"/>
      <c r="C235" s="368"/>
      <c r="D235" s="368"/>
      <c r="E235" s="368"/>
      <c r="F235" s="369"/>
      <c r="G235" s="314"/>
      <c r="H235" s="314"/>
      <c r="I235" s="314"/>
      <c r="J235" s="314"/>
      <c r="K235" s="314"/>
      <c r="L235" s="314"/>
      <c r="M235" s="314"/>
      <c r="N235" s="314"/>
      <c r="O235" s="314"/>
      <c r="P235" s="314"/>
      <c r="Q235" s="314"/>
      <c r="R235" s="314"/>
      <c r="S235" s="286"/>
      <c r="T235" s="371"/>
      <c r="U235" s="314"/>
      <c r="V235" s="364"/>
      <c r="W235" s="367"/>
      <c r="X235" s="5"/>
    </row>
    <row r="236" spans="1:24" ht="15.75" x14ac:dyDescent="0.25">
      <c r="A236" s="358"/>
      <c r="B236" s="366"/>
      <c r="C236" s="368"/>
      <c r="D236" s="368"/>
      <c r="E236" s="368"/>
      <c r="F236" s="369"/>
      <c r="G236" s="314"/>
      <c r="H236" s="314"/>
      <c r="I236" s="314"/>
      <c r="J236" s="314"/>
      <c r="K236" s="314"/>
      <c r="L236" s="314"/>
      <c r="M236" s="314"/>
      <c r="N236" s="314"/>
      <c r="O236" s="314"/>
      <c r="P236" s="314"/>
      <c r="Q236" s="314"/>
      <c r="R236" s="314"/>
      <c r="S236" s="314"/>
      <c r="T236" s="372"/>
      <c r="U236" s="314"/>
      <c r="V236" s="364"/>
      <c r="W236" s="367"/>
      <c r="X236" s="5"/>
    </row>
    <row r="237" spans="1:24" ht="18.75" x14ac:dyDescent="0.3">
      <c r="A237" s="358"/>
      <c r="B237" s="373" t="s">
        <v>168</v>
      </c>
      <c r="C237" s="368"/>
      <c r="D237" s="368"/>
      <c r="E237" s="368"/>
      <c r="F237" s="369"/>
      <c r="G237" s="314"/>
      <c r="H237" s="314"/>
      <c r="I237" s="314"/>
      <c r="J237" s="314"/>
      <c r="K237" s="314"/>
      <c r="L237" s="314"/>
      <c r="M237" s="314"/>
      <c r="N237" s="314"/>
      <c r="O237" s="314"/>
      <c r="P237" s="374" t="s">
        <v>167</v>
      </c>
      <c r="Q237" s="314"/>
      <c r="R237" s="314"/>
      <c r="S237" s="314"/>
      <c r="T237" s="372"/>
      <c r="U237" s="314"/>
      <c r="V237" s="364"/>
      <c r="W237" s="367"/>
      <c r="X237" s="5"/>
    </row>
    <row r="238" spans="1:24" ht="15.75" x14ac:dyDescent="0.25">
      <c r="A238" s="353"/>
      <c r="B238" s="348"/>
      <c r="C238" s="354"/>
      <c r="D238" s="354"/>
      <c r="E238" s="354"/>
      <c r="F238" s="355"/>
      <c r="G238" s="212"/>
      <c r="H238" s="212"/>
      <c r="I238" s="212"/>
      <c r="J238" s="212"/>
      <c r="K238" s="212"/>
      <c r="L238" s="212"/>
      <c r="M238" s="212"/>
      <c r="N238" s="212"/>
      <c r="O238" s="212"/>
      <c r="P238" s="212"/>
      <c r="Q238" s="212"/>
      <c r="R238" s="212"/>
      <c r="S238" s="212"/>
      <c r="T238" s="356"/>
      <c r="U238" s="212"/>
      <c r="V238" s="349"/>
      <c r="W238" s="357"/>
      <c r="X238" s="5"/>
    </row>
    <row r="239" spans="1:24" ht="15.75" x14ac:dyDescent="0.25">
      <c r="A239" s="224"/>
      <c r="B239" s="399" t="s">
        <v>297</v>
      </c>
      <c r="C239" s="400"/>
      <c r="D239" s="400"/>
      <c r="E239" s="400"/>
      <c r="F239" s="407"/>
      <c r="G239" s="400"/>
      <c r="H239" s="400"/>
      <c r="I239" s="400"/>
      <c r="J239" s="400"/>
      <c r="K239" s="400"/>
      <c r="L239" s="400"/>
      <c r="M239" s="400"/>
      <c r="N239" s="400"/>
      <c r="O239" s="400"/>
      <c r="P239" s="400"/>
      <c r="Q239" s="400"/>
      <c r="R239" s="407" t="s">
        <v>102</v>
      </c>
      <c r="S239" s="400" t="s">
        <v>103</v>
      </c>
      <c r="T239" s="407" t="s">
        <v>109</v>
      </c>
      <c r="U239" s="400" t="s">
        <v>103</v>
      </c>
      <c r="V239" s="225"/>
      <c r="W239" s="399"/>
      <c r="X239" s="5"/>
    </row>
    <row r="240" spans="1:24" ht="15.75" x14ac:dyDescent="0.25">
      <c r="A240" s="193"/>
      <c r="B240" s="249" t="s">
        <v>88</v>
      </c>
      <c r="C240" s="265"/>
      <c r="D240" s="265"/>
      <c r="E240" s="265"/>
      <c r="F240" s="250"/>
      <c r="G240" s="265"/>
      <c r="H240" s="265"/>
      <c r="I240" s="265"/>
      <c r="J240" s="265"/>
      <c r="K240" s="265"/>
      <c r="L240" s="265"/>
      <c r="M240" s="265"/>
      <c r="N240" s="265"/>
      <c r="O240" s="265"/>
      <c r="P240" s="265"/>
      <c r="Q240" s="265"/>
      <c r="R240" s="249">
        <f t="shared" ref="R240:R247" si="1">+R252+R264+R276</f>
        <v>4927</v>
      </c>
      <c r="S240" s="252">
        <f t="shared" ref="S240:S247" si="2">R240/$R$249</f>
        <v>0.99656148867313921</v>
      </c>
      <c r="T240" s="253">
        <f t="shared" ref="T240:T247" si="3">+T252+T264+T276</f>
        <v>680387</v>
      </c>
      <c r="U240" s="252">
        <f t="shared" ref="U240:U247" si="4">T240/$T$249</f>
        <v>0.99622674108737796</v>
      </c>
      <c r="V240" s="266"/>
      <c r="W240" s="408"/>
      <c r="X240" s="5"/>
    </row>
    <row r="241" spans="1:25" ht="15.75" x14ac:dyDescent="0.25">
      <c r="A241" s="285"/>
      <c r="B241" s="337" t="s">
        <v>89</v>
      </c>
      <c r="C241" s="378"/>
      <c r="D241" s="378"/>
      <c r="E241" s="378"/>
      <c r="F241" s="286"/>
      <c r="G241" s="379"/>
      <c r="H241" s="378"/>
      <c r="I241" s="378"/>
      <c r="J241" s="378"/>
      <c r="K241" s="378"/>
      <c r="L241" s="378"/>
      <c r="M241" s="378"/>
      <c r="N241" s="378"/>
      <c r="O241" s="378"/>
      <c r="P241" s="378"/>
      <c r="Q241" s="378"/>
      <c r="R241" s="337">
        <f t="shared" si="1"/>
        <v>7</v>
      </c>
      <c r="S241" s="379">
        <f t="shared" si="2"/>
        <v>1.4158576051779936E-3</v>
      </c>
      <c r="T241" s="338">
        <f t="shared" si="3"/>
        <v>1006</v>
      </c>
      <c r="U241" s="379">
        <f t="shared" si="4"/>
        <v>1.4729912557616507E-3</v>
      </c>
      <c r="V241" s="361"/>
      <c r="W241" s="409"/>
      <c r="X241" s="5"/>
      <c r="Y241" s="109"/>
    </row>
    <row r="242" spans="1:25" ht="15.75" x14ac:dyDescent="0.25">
      <c r="A242" s="285"/>
      <c r="B242" s="337" t="s">
        <v>90</v>
      </c>
      <c r="C242" s="378"/>
      <c r="D242" s="378"/>
      <c r="E242" s="378"/>
      <c r="F242" s="286"/>
      <c r="G242" s="379"/>
      <c r="H242" s="378"/>
      <c r="I242" s="378"/>
      <c r="J242" s="378"/>
      <c r="K242" s="378"/>
      <c r="L242" s="378"/>
      <c r="M242" s="378"/>
      <c r="N242" s="378"/>
      <c r="O242" s="378"/>
      <c r="P242" s="378"/>
      <c r="Q242" s="378"/>
      <c r="R242" s="337">
        <f t="shared" si="1"/>
        <v>4</v>
      </c>
      <c r="S242" s="379">
        <f t="shared" si="2"/>
        <v>8.090614886731392E-4</v>
      </c>
      <c r="T242" s="338">
        <f t="shared" si="3"/>
        <v>711</v>
      </c>
      <c r="U242" s="379">
        <f t="shared" si="4"/>
        <v>1.0410504799667332E-3</v>
      </c>
      <c r="V242" s="361"/>
      <c r="W242" s="409"/>
      <c r="X242" s="5"/>
    </row>
    <row r="243" spans="1:25" ht="15.75" x14ac:dyDescent="0.25">
      <c r="A243" s="285"/>
      <c r="B243" s="337" t="s">
        <v>156</v>
      </c>
      <c r="C243" s="378"/>
      <c r="D243" s="378"/>
      <c r="E243" s="378"/>
      <c r="F243" s="286"/>
      <c r="G243" s="379"/>
      <c r="H243" s="378"/>
      <c r="I243" s="378"/>
      <c r="J243" s="378"/>
      <c r="K243" s="378"/>
      <c r="L243" s="378"/>
      <c r="M243" s="378"/>
      <c r="N243" s="378"/>
      <c r="O243" s="378"/>
      <c r="P243" s="378"/>
      <c r="Q243" s="378"/>
      <c r="R243" s="337">
        <f t="shared" si="1"/>
        <v>0</v>
      </c>
      <c r="S243" s="379">
        <f t="shared" si="2"/>
        <v>0</v>
      </c>
      <c r="T243" s="338">
        <f t="shared" si="3"/>
        <v>0</v>
      </c>
      <c r="U243" s="379">
        <f t="shared" si="4"/>
        <v>0</v>
      </c>
      <c r="V243" s="361"/>
      <c r="W243" s="409"/>
      <c r="X243" s="5"/>
      <c r="Y243" s="109"/>
    </row>
    <row r="244" spans="1:25" ht="15.75" x14ac:dyDescent="0.25">
      <c r="A244" s="285"/>
      <c r="B244" s="337" t="s">
        <v>157</v>
      </c>
      <c r="C244" s="378"/>
      <c r="D244" s="378"/>
      <c r="E244" s="378"/>
      <c r="F244" s="286"/>
      <c r="G244" s="379"/>
      <c r="H244" s="378"/>
      <c r="I244" s="378"/>
      <c r="J244" s="378"/>
      <c r="K244" s="378"/>
      <c r="L244" s="378"/>
      <c r="M244" s="378"/>
      <c r="N244" s="378"/>
      <c r="O244" s="378"/>
      <c r="P244" s="378"/>
      <c r="Q244" s="378"/>
      <c r="R244" s="337">
        <f t="shared" si="1"/>
        <v>0</v>
      </c>
      <c r="S244" s="379">
        <f t="shared" si="2"/>
        <v>0</v>
      </c>
      <c r="T244" s="338">
        <f t="shared" si="3"/>
        <v>0</v>
      </c>
      <c r="U244" s="379">
        <f t="shared" si="4"/>
        <v>0</v>
      </c>
      <c r="V244" s="361"/>
      <c r="W244" s="409"/>
      <c r="X244" s="5"/>
    </row>
    <row r="245" spans="1:25" ht="15.75" x14ac:dyDescent="0.25">
      <c r="A245" s="285"/>
      <c r="B245" s="337" t="s">
        <v>158</v>
      </c>
      <c r="C245" s="378"/>
      <c r="D245" s="378"/>
      <c r="E245" s="378"/>
      <c r="F245" s="286"/>
      <c r="G245" s="379"/>
      <c r="H245" s="378"/>
      <c r="I245" s="378"/>
      <c r="J245" s="378"/>
      <c r="K245" s="378"/>
      <c r="L245" s="378"/>
      <c r="M245" s="378"/>
      <c r="N245" s="378"/>
      <c r="O245" s="378"/>
      <c r="P245" s="378"/>
      <c r="Q245" s="378"/>
      <c r="R245" s="337">
        <f t="shared" si="1"/>
        <v>0</v>
      </c>
      <c r="S245" s="379">
        <f t="shared" si="2"/>
        <v>0</v>
      </c>
      <c r="T245" s="338">
        <f t="shared" si="3"/>
        <v>0</v>
      </c>
      <c r="U245" s="379">
        <f t="shared" si="4"/>
        <v>0</v>
      </c>
      <c r="V245" s="361"/>
      <c r="W245" s="409"/>
      <c r="X245" s="5"/>
      <c r="Y245" s="109"/>
    </row>
    <row r="246" spans="1:25" ht="15.75" x14ac:dyDescent="0.25">
      <c r="A246" s="285"/>
      <c r="B246" s="337" t="s">
        <v>159</v>
      </c>
      <c r="C246" s="378"/>
      <c r="D246" s="378"/>
      <c r="E246" s="378"/>
      <c r="F246" s="286"/>
      <c r="G246" s="379"/>
      <c r="H246" s="378"/>
      <c r="I246" s="378"/>
      <c r="J246" s="378"/>
      <c r="K246" s="378"/>
      <c r="L246" s="378"/>
      <c r="M246" s="378"/>
      <c r="N246" s="378"/>
      <c r="O246" s="378"/>
      <c r="P246" s="378"/>
      <c r="Q246" s="378"/>
      <c r="R246" s="337">
        <f t="shared" si="1"/>
        <v>3</v>
      </c>
      <c r="S246" s="379">
        <f t="shared" si="2"/>
        <v>6.0679611650485432E-4</v>
      </c>
      <c r="T246" s="338">
        <f t="shared" si="3"/>
        <v>416</v>
      </c>
      <c r="U246" s="379">
        <f t="shared" si="4"/>
        <v>6.0910970417181584E-4</v>
      </c>
      <c r="V246" s="361"/>
      <c r="W246" s="409"/>
      <c r="X246" s="5"/>
    </row>
    <row r="247" spans="1:25" ht="15.75" x14ac:dyDescent="0.25">
      <c r="A247" s="285"/>
      <c r="B247" s="337" t="s">
        <v>160</v>
      </c>
      <c r="C247" s="378"/>
      <c r="D247" s="378"/>
      <c r="E247" s="378"/>
      <c r="F247" s="286"/>
      <c r="G247" s="379"/>
      <c r="H247" s="378"/>
      <c r="I247" s="378"/>
      <c r="J247" s="378"/>
      <c r="K247" s="378"/>
      <c r="L247" s="378"/>
      <c r="M247" s="378"/>
      <c r="N247" s="378"/>
      <c r="O247" s="378"/>
      <c r="P247" s="378"/>
      <c r="Q247" s="378"/>
      <c r="R247" s="386">
        <f t="shared" si="1"/>
        <v>3</v>
      </c>
      <c r="S247" s="379">
        <f t="shared" si="2"/>
        <v>6.0679611650485432E-4</v>
      </c>
      <c r="T247" s="383">
        <f t="shared" si="3"/>
        <v>444</v>
      </c>
      <c r="U247" s="387">
        <f t="shared" si="4"/>
        <v>6.5010747272184184E-4</v>
      </c>
      <c r="V247" s="361"/>
      <c r="W247" s="409"/>
      <c r="X247" s="5"/>
      <c r="Y247" s="109"/>
    </row>
    <row r="248" spans="1:25" ht="15.75" x14ac:dyDescent="0.25">
      <c r="A248" s="285"/>
      <c r="B248" s="337"/>
      <c r="C248" s="378"/>
      <c r="D248" s="378"/>
      <c r="E248" s="378"/>
      <c r="F248" s="286"/>
      <c r="G248" s="379"/>
      <c r="H248" s="378"/>
      <c r="I248" s="378"/>
      <c r="J248" s="378"/>
      <c r="K248" s="378"/>
      <c r="L248" s="378"/>
      <c r="M248" s="378"/>
      <c r="N248" s="378"/>
      <c r="O248" s="378"/>
      <c r="P248" s="378"/>
      <c r="Q248" s="378"/>
      <c r="R248" s="337"/>
      <c r="S248" s="379"/>
      <c r="T248" s="338"/>
      <c r="U248" s="379"/>
      <c r="V248" s="361"/>
      <c r="W248" s="409"/>
      <c r="X248" s="5"/>
    </row>
    <row r="249" spans="1:25" ht="15.75" x14ac:dyDescent="0.25">
      <c r="A249" s="285"/>
      <c r="B249" s="286"/>
      <c r="C249" s="286"/>
      <c r="D249" s="286"/>
      <c r="E249" s="286"/>
      <c r="F249" s="286"/>
      <c r="G249" s="286"/>
      <c r="H249" s="381"/>
      <c r="I249" s="381"/>
      <c r="J249" s="381"/>
      <c r="K249" s="381"/>
      <c r="L249" s="381"/>
      <c r="M249" s="381"/>
      <c r="N249" s="381"/>
      <c r="O249" s="381"/>
      <c r="P249" s="381"/>
      <c r="Q249" s="381"/>
      <c r="R249" s="337">
        <f>SUM(R240:R248)</f>
        <v>4944</v>
      </c>
      <c r="S249" s="379">
        <f>SUM(S240:S248)</f>
        <v>1</v>
      </c>
      <c r="T249" s="338">
        <f>SUM(T240:T248)</f>
        <v>682964</v>
      </c>
      <c r="U249" s="379">
        <f>SUM(U240:U248)</f>
        <v>1</v>
      </c>
      <c r="V249" s="286"/>
      <c r="W249" s="289"/>
      <c r="X249" s="5"/>
    </row>
    <row r="250" spans="1:25" ht="15.75" x14ac:dyDescent="0.25">
      <c r="A250" s="181"/>
      <c r="B250" s="212"/>
      <c r="C250" s="212"/>
      <c r="D250" s="212"/>
      <c r="E250" s="212"/>
      <c r="F250" s="212"/>
      <c r="G250" s="212"/>
      <c r="H250" s="375"/>
      <c r="I250" s="375"/>
      <c r="J250" s="375"/>
      <c r="K250" s="375"/>
      <c r="L250" s="375"/>
      <c r="M250" s="375"/>
      <c r="N250" s="375"/>
      <c r="O250" s="375"/>
      <c r="P250" s="375"/>
      <c r="Q250" s="375"/>
      <c r="R250" s="335"/>
      <c r="S250" s="376"/>
      <c r="T250" s="377"/>
      <c r="U250" s="376"/>
      <c r="V250" s="212"/>
      <c r="W250" s="212"/>
      <c r="X250" s="5"/>
    </row>
    <row r="251" spans="1:25" ht="15.75" x14ac:dyDescent="0.25">
      <c r="A251" s="224"/>
      <c r="B251" s="399" t="s">
        <v>162</v>
      </c>
      <c r="C251" s="400"/>
      <c r="D251" s="400"/>
      <c r="E251" s="400"/>
      <c r="F251" s="407"/>
      <c r="G251" s="400"/>
      <c r="H251" s="400"/>
      <c r="I251" s="400"/>
      <c r="J251" s="400"/>
      <c r="K251" s="400"/>
      <c r="L251" s="400"/>
      <c r="M251" s="400"/>
      <c r="N251" s="400"/>
      <c r="O251" s="400"/>
      <c r="P251" s="400"/>
      <c r="Q251" s="400"/>
      <c r="R251" s="407" t="s">
        <v>102</v>
      </c>
      <c r="S251" s="400" t="s">
        <v>103</v>
      </c>
      <c r="T251" s="407" t="s">
        <v>109</v>
      </c>
      <c r="U251" s="400" t="s">
        <v>103</v>
      </c>
      <c r="V251" s="225"/>
      <c r="W251" s="399"/>
      <c r="X251" s="5"/>
    </row>
    <row r="252" spans="1:25" ht="15.75" x14ac:dyDescent="0.25">
      <c r="A252" s="193"/>
      <c r="B252" s="249" t="s">
        <v>88</v>
      </c>
      <c r="C252" s="265"/>
      <c r="D252" s="265"/>
      <c r="E252" s="265"/>
      <c r="F252" s="250"/>
      <c r="G252" s="265"/>
      <c r="H252" s="265"/>
      <c r="I252" s="265"/>
      <c r="J252" s="265"/>
      <c r="K252" s="265"/>
      <c r="L252" s="265"/>
      <c r="M252" s="265"/>
      <c r="N252" s="265"/>
      <c r="O252" s="265"/>
      <c r="P252" s="265"/>
      <c r="Q252" s="265"/>
      <c r="R252" s="249">
        <v>4856</v>
      </c>
      <c r="S252" s="252">
        <f t="shared" ref="S252:S259" si="5">R252/$R$261</f>
        <v>0.99835526315789469</v>
      </c>
      <c r="T252" s="253">
        <v>670775</v>
      </c>
      <c r="U252" s="252">
        <f t="shared" ref="U252:U259" si="6">T252/$T$261</f>
        <v>0.99805084178340542</v>
      </c>
      <c r="V252" s="266"/>
      <c r="W252" s="408"/>
      <c r="X252" s="5"/>
    </row>
    <row r="253" spans="1:25" ht="15.75" x14ac:dyDescent="0.25">
      <c r="A253" s="285"/>
      <c r="B253" s="337" t="s">
        <v>89</v>
      </c>
      <c r="C253" s="378"/>
      <c r="D253" s="378"/>
      <c r="E253" s="378"/>
      <c r="F253" s="286"/>
      <c r="G253" s="379"/>
      <c r="H253" s="378"/>
      <c r="I253" s="378"/>
      <c r="J253" s="378"/>
      <c r="K253" s="378"/>
      <c r="L253" s="378"/>
      <c r="M253" s="378"/>
      <c r="N253" s="378"/>
      <c r="O253" s="378"/>
      <c r="P253" s="378"/>
      <c r="Q253" s="378"/>
      <c r="R253" s="337">
        <v>6</v>
      </c>
      <c r="S253" s="379">
        <f t="shared" si="5"/>
        <v>1.2335526315789473E-3</v>
      </c>
      <c r="T253" s="338">
        <v>902</v>
      </c>
      <c r="U253" s="379">
        <f t="shared" si="6"/>
        <v>1.3420921460827128E-3</v>
      </c>
      <c r="V253" s="361"/>
      <c r="W253" s="409"/>
      <c r="X253" s="5"/>
      <c r="Y253" s="109"/>
    </row>
    <row r="254" spans="1:25" ht="15.75" x14ac:dyDescent="0.25">
      <c r="A254" s="285"/>
      <c r="B254" s="337" t="s">
        <v>90</v>
      </c>
      <c r="C254" s="378"/>
      <c r="D254" s="378"/>
      <c r="E254" s="378"/>
      <c r="F254" s="286"/>
      <c r="G254" s="379"/>
      <c r="H254" s="378"/>
      <c r="I254" s="378"/>
      <c r="J254" s="378"/>
      <c r="K254" s="378"/>
      <c r="L254" s="378"/>
      <c r="M254" s="378"/>
      <c r="N254" s="378"/>
      <c r="O254" s="378"/>
      <c r="P254" s="378"/>
      <c r="Q254" s="378"/>
      <c r="R254" s="337">
        <v>2</v>
      </c>
      <c r="S254" s="379">
        <f t="shared" si="5"/>
        <v>4.1118421052631577E-4</v>
      </c>
      <c r="T254" s="338">
        <v>408</v>
      </c>
      <c r="U254" s="379">
        <f t="shared" si="6"/>
        <v>6.0706607051191441E-4</v>
      </c>
      <c r="V254" s="361"/>
      <c r="W254" s="409"/>
      <c r="X254" s="5"/>
    </row>
    <row r="255" spans="1:25" ht="15.75" x14ac:dyDescent="0.25">
      <c r="A255" s="285"/>
      <c r="B255" s="337" t="s">
        <v>156</v>
      </c>
      <c r="C255" s="378"/>
      <c r="D255" s="378"/>
      <c r="E255" s="378"/>
      <c r="F255" s="286"/>
      <c r="G255" s="379"/>
      <c r="H255" s="378"/>
      <c r="I255" s="378"/>
      <c r="J255" s="378"/>
      <c r="K255" s="378"/>
      <c r="L255" s="378"/>
      <c r="M255" s="378"/>
      <c r="N255" s="378"/>
      <c r="O255" s="378"/>
      <c r="P255" s="378"/>
      <c r="Q255" s="378"/>
      <c r="R255" s="337">
        <v>0</v>
      </c>
      <c r="S255" s="379">
        <f t="shared" si="5"/>
        <v>0</v>
      </c>
      <c r="T255" s="338">
        <v>0</v>
      </c>
      <c r="U255" s="379">
        <f t="shared" si="6"/>
        <v>0</v>
      </c>
      <c r="V255" s="361"/>
      <c r="W255" s="409"/>
      <c r="X255" s="5"/>
      <c r="Y255" s="109"/>
    </row>
    <row r="256" spans="1:25" ht="15.75" x14ac:dyDescent="0.25">
      <c r="A256" s="285"/>
      <c r="B256" s="337" t="s">
        <v>157</v>
      </c>
      <c r="C256" s="378"/>
      <c r="D256" s="378"/>
      <c r="E256" s="378"/>
      <c r="F256" s="286"/>
      <c r="G256" s="379"/>
      <c r="H256" s="378"/>
      <c r="I256" s="378"/>
      <c r="J256" s="378"/>
      <c r="K256" s="378"/>
      <c r="L256" s="378"/>
      <c r="M256" s="378"/>
      <c r="N256" s="378"/>
      <c r="O256" s="378"/>
      <c r="P256" s="378"/>
      <c r="Q256" s="378"/>
      <c r="R256" s="337">
        <v>0</v>
      </c>
      <c r="S256" s="379">
        <f t="shared" si="5"/>
        <v>0</v>
      </c>
      <c r="T256" s="338">
        <v>0</v>
      </c>
      <c r="U256" s="379">
        <f t="shared" si="6"/>
        <v>0</v>
      </c>
      <c r="V256" s="361"/>
      <c r="W256" s="409"/>
      <c r="X256" s="5"/>
    </row>
    <row r="257" spans="1:25" ht="15.75" x14ac:dyDescent="0.25">
      <c r="A257" s="285"/>
      <c r="B257" s="337" t="s">
        <v>158</v>
      </c>
      <c r="C257" s="378"/>
      <c r="D257" s="378"/>
      <c r="E257" s="378"/>
      <c r="F257" s="286"/>
      <c r="G257" s="379"/>
      <c r="H257" s="378"/>
      <c r="I257" s="378"/>
      <c r="J257" s="378"/>
      <c r="K257" s="378"/>
      <c r="L257" s="378"/>
      <c r="M257" s="378"/>
      <c r="N257" s="378"/>
      <c r="O257" s="378"/>
      <c r="P257" s="378"/>
      <c r="Q257" s="378"/>
      <c r="R257" s="337">
        <v>0</v>
      </c>
      <c r="S257" s="379">
        <f t="shared" si="5"/>
        <v>0</v>
      </c>
      <c r="T257" s="338">
        <v>0</v>
      </c>
      <c r="U257" s="379">
        <f t="shared" si="6"/>
        <v>0</v>
      </c>
      <c r="V257" s="361"/>
      <c r="W257" s="409"/>
      <c r="X257" s="5"/>
      <c r="Y257" s="109"/>
    </row>
    <row r="258" spans="1:25" ht="15.75" x14ac:dyDescent="0.25">
      <c r="A258" s="285"/>
      <c r="B258" s="337" t="s">
        <v>159</v>
      </c>
      <c r="C258" s="378"/>
      <c r="D258" s="378"/>
      <c r="E258" s="378"/>
      <c r="F258" s="286"/>
      <c r="G258" s="379"/>
      <c r="H258" s="378"/>
      <c r="I258" s="378"/>
      <c r="J258" s="378"/>
      <c r="K258" s="378"/>
      <c r="L258" s="378"/>
      <c r="M258" s="378"/>
      <c r="N258" s="378"/>
      <c r="O258" s="378"/>
      <c r="P258" s="378"/>
      <c r="Q258" s="378"/>
      <c r="R258" s="337">
        <v>0</v>
      </c>
      <c r="S258" s="379">
        <f t="shared" si="5"/>
        <v>0</v>
      </c>
      <c r="T258" s="338">
        <v>0</v>
      </c>
      <c r="U258" s="379">
        <f t="shared" si="6"/>
        <v>0</v>
      </c>
      <c r="V258" s="361"/>
      <c r="W258" s="409"/>
      <c r="X258" s="5"/>
    </row>
    <row r="259" spans="1:25" ht="15.75" x14ac:dyDescent="0.25">
      <c r="A259" s="285"/>
      <c r="B259" s="337" t="s">
        <v>160</v>
      </c>
      <c r="C259" s="378"/>
      <c r="D259" s="378"/>
      <c r="E259" s="378"/>
      <c r="F259" s="286"/>
      <c r="G259" s="379"/>
      <c r="H259" s="378"/>
      <c r="I259" s="378"/>
      <c r="J259" s="378"/>
      <c r="K259" s="378"/>
      <c r="L259" s="378"/>
      <c r="M259" s="378"/>
      <c r="N259" s="378"/>
      <c r="O259" s="378"/>
      <c r="P259" s="378"/>
      <c r="Q259" s="378"/>
      <c r="R259" s="337">
        <v>0</v>
      </c>
      <c r="S259" s="379">
        <f t="shared" si="5"/>
        <v>0</v>
      </c>
      <c r="T259" s="338">
        <v>0</v>
      </c>
      <c r="U259" s="379">
        <f t="shared" si="6"/>
        <v>0</v>
      </c>
      <c r="V259" s="361"/>
      <c r="W259" s="409"/>
      <c r="X259" s="5"/>
      <c r="Y259" s="109"/>
    </row>
    <row r="260" spans="1:25" ht="15.75" x14ac:dyDescent="0.25">
      <c r="A260" s="285"/>
      <c r="B260" s="337"/>
      <c r="C260" s="378"/>
      <c r="D260" s="378"/>
      <c r="E260" s="378"/>
      <c r="F260" s="286"/>
      <c r="G260" s="379"/>
      <c r="H260" s="378"/>
      <c r="I260" s="378"/>
      <c r="J260" s="378"/>
      <c r="K260" s="378"/>
      <c r="L260" s="378"/>
      <c r="M260" s="378"/>
      <c r="N260" s="378"/>
      <c r="O260" s="378"/>
      <c r="P260" s="378"/>
      <c r="Q260" s="378"/>
      <c r="R260" s="337"/>
      <c r="S260" s="379"/>
      <c r="T260" s="338"/>
      <c r="U260" s="379"/>
      <c r="V260" s="361"/>
      <c r="W260" s="409"/>
      <c r="X260" s="5"/>
    </row>
    <row r="261" spans="1:25" ht="15.75" x14ac:dyDescent="0.25">
      <c r="A261" s="285"/>
      <c r="B261" s="286"/>
      <c r="C261" s="286"/>
      <c r="D261" s="286"/>
      <c r="E261" s="286"/>
      <c r="F261" s="286"/>
      <c r="G261" s="286"/>
      <c r="H261" s="381"/>
      <c r="I261" s="381"/>
      <c r="J261" s="381"/>
      <c r="K261" s="381"/>
      <c r="L261" s="381"/>
      <c r="M261" s="381"/>
      <c r="N261" s="381"/>
      <c r="O261" s="381"/>
      <c r="P261" s="381"/>
      <c r="Q261" s="381"/>
      <c r="R261" s="337">
        <f>SUM(R252:R260)</f>
        <v>4864</v>
      </c>
      <c r="S261" s="379">
        <f>SUM(S252:S260)</f>
        <v>1</v>
      </c>
      <c r="T261" s="338">
        <f>SUM(T252:T260)</f>
        <v>672085</v>
      </c>
      <c r="U261" s="379">
        <f>SUM(U252:U260)</f>
        <v>1</v>
      </c>
      <c r="V261" s="286"/>
      <c r="W261" s="289"/>
      <c r="X261" s="5"/>
    </row>
    <row r="262" spans="1:25" ht="15.75" x14ac:dyDescent="0.25">
      <c r="A262" s="181"/>
      <c r="B262" s="212"/>
      <c r="C262" s="212"/>
      <c r="D262" s="212"/>
      <c r="E262" s="212"/>
      <c r="F262" s="212"/>
      <c r="G262" s="212"/>
      <c r="H262" s="375"/>
      <c r="I262" s="375"/>
      <c r="J262" s="375"/>
      <c r="K262" s="375"/>
      <c r="L262" s="375"/>
      <c r="M262" s="375"/>
      <c r="N262" s="375"/>
      <c r="O262" s="375"/>
      <c r="P262" s="375"/>
      <c r="Q262" s="375"/>
      <c r="R262" s="335"/>
      <c r="S262" s="376"/>
      <c r="T262" s="377"/>
      <c r="U262" s="376"/>
      <c r="V262" s="212"/>
      <c r="W262" s="212"/>
      <c r="X262" s="5"/>
    </row>
    <row r="263" spans="1:25" ht="15.75" x14ac:dyDescent="0.25">
      <c r="A263" s="244"/>
      <c r="B263" s="399" t="s">
        <v>236</v>
      </c>
      <c r="C263" s="400"/>
      <c r="D263" s="400"/>
      <c r="E263" s="400"/>
      <c r="F263" s="407"/>
      <c r="G263" s="400"/>
      <c r="H263" s="400"/>
      <c r="I263" s="400"/>
      <c r="J263" s="400"/>
      <c r="K263" s="400"/>
      <c r="L263" s="400"/>
      <c r="M263" s="400"/>
      <c r="N263" s="400"/>
      <c r="O263" s="400"/>
      <c r="P263" s="400"/>
      <c r="Q263" s="400"/>
      <c r="R263" s="407" t="s">
        <v>102</v>
      </c>
      <c r="S263" s="400" t="s">
        <v>103</v>
      </c>
      <c r="T263" s="407" t="s">
        <v>109</v>
      </c>
      <c r="U263" s="400" t="s">
        <v>103</v>
      </c>
      <c r="V263" s="245"/>
      <c r="W263" s="246"/>
      <c r="X263" s="5"/>
    </row>
    <row r="264" spans="1:25" ht="15.75" x14ac:dyDescent="0.25">
      <c r="A264" s="193"/>
      <c r="B264" s="249" t="s">
        <v>88</v>
      </c>
      <c r="C264" s="265"/>
      <c r="D264" s="265"/>
      <c r="E264" s="265"/>
      <c r="F264" s="250"/>
      <c r="G264" s="265"/>
      <c r="H264" s="265"/>
      <c r="I264" s="265"/>
      <c r="J264" s="265"/>
      <c r="K264" s="265"/>
      <c r="L264" s="265"/>
      <c r="M264" s="265"/>
      <c r="N264" s="265"/>
      <c r="O264" s="265"/>
      <c r="P264" s="265"/>
      <c r="Q264" s="265"/>
      <c r="R264" s="249">
        <v>71</v>
      </c>
      <c r="S264" s="252">
        <f t="shared" ref="S264:S270" si="7">R264/$R$273</f>
        <v>0.88749999999999996</v>
      </c>
      <c r="T264" s="253">
        <v>9612</v>
      </c>
      <c r="U264" s="252">
        <f t="shared" ref="U264:U271" si="8">T264/$T$273</f>
        <v>0.88353708980604839</v>
      </c>
      <c r="V264" s="250"/>
      <c r="W264" s="250"/>
      <c r="X264" s="5"/>
    </row>
    <row r="265" spans="1:25" ht="15.75" x14ac:dyDescent="0.25">
      <c r="A265" s="285"/>
      <c r="B265" s="337" t="s">
        <v>89</v>
      </c>
      <c r="C265" s="378"/>
      <c r="D265" s="378"/>
      <c r="E265" s="378"/>
      <c r="F265" s="286"/>
      <c r="G265" s="379"/>
      <c r="H265" s="378"/>
      <c r="I265" s="378"/>
      <c r="J265" s="378"/>
      <c r="K265" s="378"/>
      <c r="L265" s="378"/>
      <c r="M265" s="378"/>
      <c r="N265" s="378"/>
      <c r="O265" s="378"/>
      <c r="P265" s="378"/>
      <c r="Q265" s="378"/>
      <c r="R265" s="337">
        <v>1</v>
      </c>
      <c r="S265" s="379">
        <f t="shared" si="7"/>
        <v>1.2500000000000001E-2</v>
      </c>
      <c r="T265" s="338">
        <v>104</v>
      </c>
      <c r="U265" s="379">
        <f t="shared" si="8"/>
        <v>9.5597021785090545E-3</v>
      </c>
      <c r="V265" s="286"/>
      <c r="W265" s="289"/>
      <c r="X265" s="5"/>
    </row>
    <row r="266" spans="1:25" ht="15.75" x14ac:dyDescent="0.25">
      <c r="A266" s="285"/>
      <c r="B266" s="337" t="s">
        <v>90</v>
      </c>
      <c r="C266" s="378"/>
      <c r="D266" s="378"/>
      <c r="E266" s="378"/>
      <c r="F266" s="286"/>
      <c r="G266" s="379"/>
      <c r="H266" s="378"/>
      <c r="I266" s="378"/>
      <c r="J266" s="378"/>
      <c r="K266" s="378"/>
      <c r="L266" s="378"/>
      <c r="M266" s="378"/>
      <c r="N266" s="378"/>
      <c r="O266" s="378"/>
      <c r="P266" s="378"/>
      <c r="Q266" s="378"/>
      <c r="R266" s="337">
        <v>2</v>
      </c>
      <c r="S266" s="379">
        <f t="shared" si="7"/>
        <v>2.5000000000000001E-2</v>
      </c>
      <c r="T266" s="338">
        <v>303</v>
      </c>
      <c r="U266" s="379">
        <f t="shared" si="8"/>
        <v>2.785182461623311E-2</v>
      </c>
      <c r="V266" s="286"/>
      <c r="W266" s="289"/>
      <c r="X266" s="5"/>
    </row>
    <row r="267" spans="1:25" ht="15.75" x14ac:dyDescent="0.25">
      <c r="A267" s="285"/>
      <c r="B267" s="337" t="s">
        <v>156</v>
      </c>
      <c r="C267" s="378"/>
      <c r="D267" s="378"/>
      <c r="E267" s="378"/>
      <c r="F267" s="286"/>
      <c r="G267" s="379"/>
      <c r="H267" s="378"/>
      <c r="I267" s="378"/>
      <c r="J267" s="378"/>
      <c r="K267" s="378"/>
      <c r="L267" s="378"/>
      <c r="M267" s="378"/>
      <c r="N267" s="378"/>
      <c r="O267" s="378"/>
      <c r="P267" s="378"/>
      <c r="Q267" s="378"/>
      <c r="R267" s="337">
        <v>0</v>
      </c>
      <c r="S267" s="379">
        <f t="shared" si="7"/>
        <v>0</v>
      </c>
      <c r="T267" s="338">
        <v>0</v>
      </c>
      <c r="U267" s="379">
        <f t="shared" si="8"/>
        <v>0</v>
      </c>
      <c r="V267" s="286"/>
      <c r="W267" s="289"/>
      <c r="X267" s="5"/>
    </row>
    <row r="268" spans="1:25" ht="15.75" x14ac:dyDescent="0.25">
      <c r="A268" s="285"/>
      <c r="B268" s="337" t="s">
        <v>157</v>
      </c>
      <c r="C268" s="378"/>
      <c r="D268" s="378"/>
      <c r="E268" s="378"/>
      <c r="F268" s="286"/>
      <c r="G268" s="379"/>
      <c r="H268" s="378"/>
      <c r="I268" s="378"/>
      <c r="J268" s="378"/>
      <c r="K268" s="378"/>
      <c r="L268" s="378"/>
      <c r="M268" s="378"/>
      <c r="N268" s="378"/>
      <c r="O268" s="378"/>
      <c r="P268" s="378"/>
      <c r="Q268" s="378"/>
      <c r="R268" s="337">
        <v>0</v>
      </c>
      <c r="S268" s="379">
        <f t="shared" si="7"/>
        <v>0</v>
      </c>
      <c r="T268" s="338">
        <v>0</v>
      </c>
      <c r="U268" s="379">
        <f t="shared" si="8"/>
        <v>0</v>
      </c>
      <c r="V268" s="286"/>
      <c r="W268" s="289"/>
      <c r="X268" s="5"/>
    </row>
    <row r="269" spans="1:25" ht="15.75" x14ac:dyDescent="0.25">
      <c r="A269" s="285"/>
      <c r="B269" s="337" t="s">
        <v>158</v>
      </c>
      <c r="C269" s="378"/>
      <c r="D269" s="378"/>
      <c r="E269" s="378"/>
      <c r="F269" s="286"/>
      <c r="G269" s="379"/>
      <c r="H269" s="378"/>
      <c r="I269" s="378"/>
      <c r="J269" s="378"/>
      <c r="K269" s="378"/>
      <c r="L269" s="378"/>
      <c r="M269" s="378"/>
      <c r="N269" s="378"/>
      <c r="O269" s="378"/>
      <c r="P269" s="378"/>
      <c r="Q269" s="378"/>
      <c r="R269" s="337">
        <v>0</v>
      </c>
      <c r="S269" s="379">
        <f t="shared" si="7"/>
        <v>0</v>
      </c>
      <c r="T269" s="338">
        <v>0</v>
      </c>
      <c r="U269" s="379">
        <f t="shared" si="8"/>
        <v>0</v>
      </c>
      <c r="V269" s="286"/>
      <c r="W269" s="289"/>
      <c r="X269" s="5"/>
    </row>
    <row r="270" spans="1:25" ht="15.75" x14ac:dyDescent="0.25">
      <c r="A270" s="285"/>
      <c r="B270" s="337" t="s">
        <v>159</v>
      </c>
      <c r="C270" s="378"/>
      <c r="D270" s="378"/>
      <c r="E270" s="378"/>
      <c r="F270" s="286"/>
      <c r="G270" s="379"/>
      <c r="H270" s="378"/>
      <c r="I270" s="378"/>
      <c r="J270" s="378"/>
      <c r="K270" s="378"/>
      <c r="L270" s="378"/>
      <c r="M270" s="378"/>
      <c r="N270" s="378"/>
      <c r="O270" s="378"/>
      <c r="P270" s="378"/>
      <c r="Q270" s="378"/>
      <c r="R270" s="337">
        <v>3</v>
      </c>
      <c r="S270" s="379">
        <f t="shared" si="7"/>
        <v>3.7499999999999999E-2</v>
      </c>
      <c r="T270" s="338">
        <v>416</v>
      </c>
      <c r="U270" s="379">
        <f t="shared" si="8"/>
        <v>3.8238808714036218E-2</v>
      </c>
      <c r="V270" s="286"/>
      <c r="W270" s="289"/>
      <c r="X270" s="5"/>
    </row>
    <row r="271" spans="1:25" ht="15.75" x14ac:dyDescent="0.25">
      <c r="A271" s="285"/>
      <c r="B271" s="337" t="s">
        <v>160</v>
      </c>
      <c r="C271" s="378"/>
      <c r="D271" s="378"/>
      <c r="E271" s="378"/>
      <c r="F271" s="286"/>
      <c r="G271" s="379"/>
      <c r="H271" s="378"/>
      <c r="I271" s="378"/>
      <c r="J271" s="378"/>
      <c r="K271" s="378"/>
      <c r="L271" s="378"/>
      <c r="M271" s="378"/>
      <c r="N271" s="378"/>
      <c r="O271" s="378"/>
      <c r="P271" s="378"/>
      <c r="Q271" s="378"/>
      <c r="R271" s="337">
        <v>3</v>
      </c>
      <c r="S271" s="379">
        <f>R271/$R$273</f>
        <v>3.7499999999999999E-2</v>
      </c>
      <c r="T271" s="338">
        <v>444</v>
      </c>
      <c r="U271" s="379">
        <f t="shared" si="8"/>
        <v>4.081257468517327E-2</v>
      </c>
      <c r="V271" s="286"/>
      <c r="W271" s="289"/>
      <c r="X271" s="5"/>
    </row>
    <row r="272" spans="1:25" ht="15.75" x14ac:dyDescent="0.25">
      <c r="A272" s="285"/>
      <c r="B272" s="337"/>
      <c r="C272" s="378"/>
      <c r="D272" s="378"/>
      <c r="E272" s="378"/>
      <c r="F272" s="286"/>
      <c r="G272" s="379"/>
      <c r="H272" s="378"/>
      <c r="I272" s="378"/>
      <c r="J272" s="378"/>
      <c r="K272" s="378"/>
      <c r="L272" s="378"/>
      <c r="M272" s="378"/>
      <c r="N272" s="378"/>
      <c r="O272" s="378"/>
      <c r="P272" s="378"/>
      <c r="Q272" s="378"/>
      <c r="R272" s="337"/>
      <c r="S272" s="379"/>
      <c r="T272" s="338"/>
      <c r="U272" s="379"/>
      <c r="V272" s="286"/>
      <c r="W272" s="289"/>
      <c r="X272" s="5"/>
    </row>
    <row r="273" spans="1:24" ht="15.75" x14ac:dyDescent="0.25">
      <c r="A273" s="285"/>
      <c r="B273" s="286"/>
      <c r="C273" s="286"/>
      <c r="D273" s="286"/>
      <c r="E273" s="286"/>
      <c r="F273" s="286"/>
      <c r="G273" s="286"/>
      <c r="H273" s="381"/>
      <c r="I273" s="381"/>
      <c r="J273" s="381"/>
      <c r="K273" s="381"/>
      <c r="L273" s="381"/>
      <c r="M273" s="381"/>
      <c r="N273" s="381"/>
      <c r="O273" s="381"/>
      <c r="P273" s="381"/>
      <c r="Q273" s="381"/>
      <c r="R273" s="337">
        <f>SUM(R264:R272)</f>
        <v>80</v>
      </c>
      <c r="S273" s="379">
        <f>SUM(S264:S272)</f>
        <v>0.99999999999999989</v>
      </c>
      <c r="T273" s="338">
        <f>SUM(T264:T272)</f>
        <v>10879</v>
      </c>
      <c r="U273" s="379">
        <f>SUM(U264:U272)</f>
        <v>1</v>
      </c>
      <c r="V273" s="286"/>
      <c r="W273" s="289"/>
      <c r="X273" s="5"/>
    </row>
    <row r="274" spans="1:24" ht="15.75" x14ac:dyDescent="0.25">
      <c r="A274" s="181"/>
      <c r="B274" s="212"/>
      <c r="C274" s="212"/>
      <c r="D274" s="212"/>
      <c r="E274" s="212"/>
      <c r="F274" s="212"/>
      <c r="G274" s="212"/>
      <c r="H274" s="375"/>
      <c r="I274" s="375"/>
      <c r="J274" s="375"/>
      <c r="K274" s="375"/>
      <c r="L274" s="375"/>
      <c r="M274" s="375"/>
      <c r="N274" s="375"/>
      <c r="O274" s="375"/>
      <c r="P274" s="375"/>
      <c r="Q274" s="375"/>
      <c r="R274" s="335"/>
      <c r="S274" s="376"/>
      <c r="T274" s="377"/>
      <c r="U274" s="376"/>
      <c r="V274" s="212"/>
      <c r="W274" s="212"/>
      <c r="X274" s="5"/>
    </row>
    <row r="275" spans="1:24" ht="15.75" x14ac:dyDescent="0.25">
      <c r="A275" s="244"/>
      <c r="B275" s="399" t="s">
        <v>163</v>
      </c>
      <c r="C275" s="245"/>
      <c r="D275" s="245"/>
      <c r="E275" s="245"/>
      <c r="F275" s="245"/>
      <c r="G275" s="245"/>
      <c r="H275" s="247"/>
      <c r="I275" s="247"/>
      <c r="J275" s="247"/>
      <c r="K275" s="247"/>
      <c r="L275" s="247"/>
      <c r="M275" s="247"/>
      <c r="N275" s="247"/>
      <c r="O275" s="247"/>
      <c r="P275" s="247"/>
      <c r="Q275" s="247"/>
      <c r="R275" s="407" t="s">
        <v>102</v>
      </c>
      <c r="S275" s="400" t="s">
        <v>103</v>
      </c>
      <c r="T275" s="407" t="s">
        <v>109</v>
      </c>
      <c r="U275" s="400" t="s">
        <v>103</v>
      </c>
      <c r="V275" s="245"/>
      <c r="W275" s="246"/>
      <c r="X275" s="5"/>
    </row>
    <row r="276" spans="1:24" ht="15.75" x14ac:dyDescent="0.25">
      <c r="A276" s="248"/>
      <c r="B276" s="249" t="s">
        <v>88</v>
      </c>
      <c r="C276" s="250"/>
      <c r="D276" s="250"/>
      <c r="E276" s="250"/>
      <c r="F276" s="250"/>
      <c r="G276" s="250"/>
      <c r="H276" s="251"/>
      <c r="I276" s="251"/>
      <c r="J276" s="251"/>
      <c r="K276" s="251"/>
      <c r="L276" s="251"/>
      <c r="M276" s="251"/>
      <c r="N276" s="251"/>
      <c r="O276" s="251"/>
      <c r="P276" s="251"/>
      <c r="Q276" s="251"/>
      <c r="R276" s="249">
        <v>0</v>
      </c>
      <c r="S276" s="252">
        <v>0</v>
      </c>
      <c r="T276" s="253">
        <v>0</v>
      </c>
      <c r="U276" s="252">
        <v>0</v>
      </c>
      <c r="V276" s="250"/>
      <c r="W276" s="250"/>
      <c r="X276" s="5"/>
    </row>
    <row r="277" spans="1:24" ht="15.75" x14ac:dyDescent="0.25">
      <c r="A277" s="295"/>
      <c r="B277" s="337" t="s">
        <v>89</v>
      </c>
      <c r="C277" s="286"/>
      <c r="D277" s="286"/>
      <c r="E277" s="286"/>
      <c r="F277" s="286"/>
      <c r="G277" s="286"/>
      <c r="H277" s="381"/>
      <c r="I277" s="381"/>
      <c r="J277" s="381"/>
      <c r="K277" s="381"/>
      <c r="L277" s="381"/>
      <c r="M277" s="381"/>
      <c r="N277" s="381"/>
      <c r="O277" s="381"/>
      <c r="P277" s="381"/>
      <c r="Q277" s="381"/>
      <c r="R277" s="337">
        <v>0</v>
      </c>
      <c r="S277" s="379">
        <v>0</v>
      </c>
      <c r="T277" s="338">
        <v>0</v>
      </c>
      <c r="U277" s="379">
        <v>0</v>
      </c>
      <c r="V277" s="286"/>
      <c r="W277" s="289"/>
      <c r="X277" s="5"/>
    </row>
    <row r="278" spans="1:24" ht="15.75" x14ac:dyDescent="0.25">
      <c r="A278" s="295"/>
      <c r="B278" s="337" t="s">
        <v>90</v>
      </c>
      <c r="C278" s="286"/>
      <c r="D278" s="286"/>
      <c r="E278" s="286"/>
      <c r="F278" s="286"/>
      <c r="G278" s="286"/>
      <c r="H278" s="381"/>
      <c r="I278" s="381"/>
      <c r="J278" s="381"/>
      <c r="K278" s="381"/>
      <c r="L278" s="381"/>
      <c r="M278" s="381"/>
      <c r="N278" s="381"/>
      <c r="O278" s="381"/>
      <c r="P278" s="381"/>
      <c r="Q278" s="381"/>
      <c r="R278" s="337">
        <v>0</v>
      </c>
      <c r="S278" s="379">
        <v>0</v>
      </c>
      <c r="T278" s="338">
        <v>0</v>
      </c>
      <c r="U278" s="379">
        <v>0</v>
      </c>
      <c r="V278" s="286"/>
      <c r="W278" s="289"/>
      <c r="X278" s="5"/>
    </row>
    <row r="279" spans="1:24" ht="15.75" x14ac:dyDescent="0.25">
      <c r="A279" s="295"/>
      <c r="B279" s="337" t="s">
        <v>156</v>
      </c>
      <c r="C279" s="286"/>
      <c r="D279" s="286"/>
      <c r="E279" s="286"/>
      <c r="F279" s="286"/>
      <c r="G279" s="286"/>
      <c r="H279" s="381"/>
      <c r="I279" s="381"/>
      <c r="J279" s="381"/>
      <c r="K279" s="381"/>
      <c r="L279" s="381"/>
      <c r="M279" s="381"/>
      <c r="N279" s="381"/>
      <c r="O279" s="381"/>
      <c r="P279" s="381"/>
      <c r="Q279" s="381"/>
      <c r="R279" s="337">
        <v>0</v>
      </c>
      <c r="S279" s="379">
        <v>0</v>
      </c>
      <c r="T279" s="338">
        <v>0</v>
      </c>
      <c r="U279" s="379">
        <v>0</v>
      </c>
      <c r="V279" s="286"/>
      <c r="W279" s="289"/>
      <c r="X279" s="5"/>
    </row>
    <row r="280" spans="1:24" ht="15.75" x14ac:dyDescent="0.25">
      <c r="A280" s="295"/>
      <c r="B280" s="337" t="s">
        <v>157</v>
      </c>
      <c r="C280" s="286"/>
      <c r="D280" s="286"/>
      <c r="E280" s="286"/>
      <c r="F280" s="286"/>
      <c r="G280" s="286"/>
      <c r="H280" s="381"/>
      <c r="I280" s="381"/>
      <c r="J280" s="381"/>
      <c r="K280" s="381"/>
      <c r="L280" s="381"/>
      <c r="M280" s="381"/>
      <c r="N280" s="381"/>
      <c r="O280" s="381"/>
      <c r="P280" s="381"/>
      <c r="Q280" s="381"/>
      <c r="R280" s="337">
        <v>0</v>
      </c>
      <c r="S280" s="379">
        <v>0</v>
      </c>
      <c r="T280" s="338">
        <v>0</v>
      </c>
      <c r="U280" s="379">
        <v>0</v>
      </c>
      <c r="V280" s="286"/>
      <c r="W280" s="289"/>
      <c r="X280" s="5"/>
    </row>
    <row r="281" spans="1:24" ht="15.75" x14ac:dyDescent="0.25">
      <c r="A281" s="295"/>
      <c r="B281" s="337" t="s">
        <v>158</v>
      </c>
      <c r="C281" s="286"/>
      <c r="D281" s="286"/>
      <c r="E281" s="286"/>
      <c r="F281" s="286"/>
      <c r="G281" s="286"/>
      <c r="H281" s="381"/>
      <c r="I281" s="381"/>
      <c r="J281" s="381"/>
      <c r="K281" s="381"/>
      <c r="L281" s="381"/>
      <c r="M281" s="381"/>
      <c r="N281" s="381"/>
      <c r="O281" s="381"/>
      <c r="P281" s="381"/>
      <c r="Q281" s="381"/>
      <c r="R281" s="337">
        <v>0</v>
      </c>
      <c r="S281" s="379">
        <v>0</v>
      </c>
      <c r="T281" s="338">
        <v>0</v>
      </c>
      <c r="U281" s="379">
        <v>0</v>
      </c>
      <c r="V281" s="286"/>
      <c r="W281" s="289"/>
      <c r="X281" s="5"/>
    </row>
    <row r="282" spans="1:24" ht="15.75" x14ac:dyDescent="0.25">
      <c r="A282" s="295"/>
      <c r="B282" s="337" t="s">
        <v>159</v>
      </c>
      <c r="C282" s="286"/>
      <c r="D282" s="286"/>
      <c r="E282" s="286"/>
      <c r="F282" s="286"/>
      <c r="G282" s="286"/>
      <c r="H282" s="381"/>
      <c r="I282" s="381"/>
      <c r="J282" s="381"/>
      <c r="K282" s="381"/>
      <c r="L282" s="381"/>
      <c r="M282" s="381"/>
      <c r="N282" s="381"/>
      <c r="O282" s="381"/>
      <c r="P282" s="381"/>
      <c r="Q282" s="381"/>
      <c r="R282" s="337">
        <v>0</v>
      </c>
      <c r="S282" s="379">
        <v>0</v>
      </c>
      <c r="T282" s="338">
        <v>0</v>
      </c>
      <c r="U282" s="379">
        <v>0</v>
      </c>
      <c r="V282" s="286"/>
      <c r="W282" s="289"/>
      <c r="X282" s="5"/>
    </row>
    <row r="283" spans="1:24" ht="15.75" x14ac:dyDescent="0.25">
      <c r="A283" s="295"/>
      <c r="B283" s="337" t="s">
        <v>160</v>
      </c>
      <c r="C283" s="286"/>
      <c r="D283" s="286"/>
      <c r="E283" s="286"/>
      <c r="F283" s="286"/>
      <c r="G283" s="286"/>
      <c r="H283" s="381"/>
      <c r="I283" s="381"/>
      <c r="J283" s="381"/>
      <c r="K283" s="381"/>
      <c r="L283" s="381"/>
      <c r="M283" s="381"/>
      <c r="N283" s="381"/>
      <c r="O283" s="381"/>
      <c r="P283" s="381"/>
      <c r="Q283" s="381"/>
      <c r="R283" s="337">
        <v>0</v>
      </c>
      <c r="S283" s="379">
        <v>0</v>
      </c>
      <c r="T283" s="338">
        <v>0</v>
      </c>
      <c r="U283" s="379">
        <v>0</v>
      </c>
      <c r="V283" s="286"/>
      <c r="W283" s="289"/>
      <c r="X283" s="5"/>
    </row>
    <row r="284" spans="1:24" ht="15.75" x14ac:dyDescent="0.25">
      <c r="A284" s="295"/>
      <c r="B284" s="337"/>
      <c r="C284" s="286"/>
      <c r="D284" s="286"/>
      <c r="E284" s="286"/>
      <c r="F284" s="286"/>
      <c r="G284" s="286"/>
      <c r="H284" s="381"/>
      <c r="I284" s="381"/>
      <c r="J284" s="381"/>
      <c r="K284" s="381"/>
      <c r="L284" s="381"/>
      <c r="M284" s="381"/>
      <c r="N284" s="381"/>
      <c r="O284" s="381"/>
      <c r="P284" s="381"/>
      <c r="Q284" s="381"/>
      <c r="R284" s="337"/>
      <c r="S284" s="379"/>
      <c r="T284" s="338"/>
      <c r="U284" s="379"/>
      <c r="V284" s="286"/>
      <c r="W284" s="289"/>
      <c r="X284" s="5"/>
    </row>
    <row r="285" spans="1:24" ht="15.75" x14ac:dyDescent="0.25">
      <c r="A285" s="295"/>
      <c r="B285" s="286" t="s">
        <v>114</v>
      </c>
      <c r="C285" s="286"/>
      <c r="D285" s="286"/>
      <c r="E285" s="286"/>
      <c r="F285" s="286"/>
      <c r="G285" s="286"/>
      <c r="H285" s="381"/>
      <c r="I285" s="381"/>
      <c r="J285" s="381"/>
      <c r="K285" s="381"/>
      <c r="L285" s="381"/>
      <c r="M285" s="381"/>
      <c r="N285" s="381"/>
      <c r="O285" s="381"/>
      <c r="P285" s="381"/>
      <c r="Q285" s="381"/>
      <c r="R285" s="337">
        <f>SUM(R276:R283)</f>
        <v>0</v>
      </c>
      <c r="S285" s="379">
        <f>SUM(S276:S283)</f>
        <v>0</v>
      </c>
      <c r="T285" s="338">
        <f>SUM(T276:T283)</f>
        <v>0</v>
      </c>
      <c r="U285" s="379">
        <f>SUM(U276:U283)</f>
        <v>0</v>
      </c>
      <c r="V285" s="286"/>
      <c r="W285" s="289"/>
      <c r="X285" s="5"/>
    </row>
    <row r="286" spans="1:24" ht="15.75" x14ac:dyDescent="0.25">
      <c r="A286" s="295"/>
      <c r="B286" s="286"/>
      <c r="C286" s="286"/>
      <c r="D286" s="286"/>
      <c r="E286" s="286"/>
      <c r="F286" s="286"/>
      <c r="G286" s="286"/>
      <c r="H286" s="381"/>
      <c r="I286" s="381"/>
      <c r="J286" s="381"/>
      <c r="K286" s="381"/>
      <c r="L286" s="381"/>
      <c r="M286" s="381"/>
      <c r="N286" s="381"/>
      <c r="O286" s="381"/>
      <c r="P286" s="381"/>
      <c r="Q286" s="381"/>
      <c r="R286" s="337"/>
      <c r="S286" s="379"/>
      <c r="T286" s="338"/>
      <c r="U286" s="379"/>
      <c r="V286" s="286"/>
      <c r="W286" s="289"/>
      <c r="X286" s="5"/>
    </row>
    <row r="287" spans="1:24" ht="15.75" x14ac:dyDescent="0.25">
      <c r="A287" s="295"/>
      <c r="B287" s="297" t="s">
        <v>164</v>
      </c>
      <c r="C287" s="286"/>
      <c r="D287" s="286"/>
      <c r="E287" s="286"/>
      <c r="F287" s="286"/>
      <c r="G287" s="286"/>
      <c r="H287" s="381"/>
      <c r="I287" s="381"/>
      <c r="J287" s="381"/>
      <c r="K287" s="381"/>
      <c r="L287" s="381"/>
      <c r="M287" s="381"/>
      <c r="N287" s="381"/>
      <c r="O287" s="381"/>
      <c r="P287" s="381"/>
      <c r="Q287" s="381"/>
      <c r="R287" s="384">
        <f>R285+R273+R261</f>
        <v>4944</v>
      </c>
      <c r="S287" s="379"/>
      <c r="T287" s="410">
        <f>+T285+T273+T261</f>
        <v>682964</v>
      </c>
      <c r="U287" s="379"/>
      <c r="V287" s="286"/>
      <c r="W287" s="289"/>
      <c r="X287" s="5"/>
    </row>
    <row r="288" spans="1:24" ht="15.75" x14ac:dyDescent="0.25">
      <c r="A288" s="254"/>
      <c r="B288" s="346"/>
      <c r="C288" s="346"/>
      <c r="D288" s="346"/>
      <c r="E288" s="346"/>
      <c r="F288" s="346"/>
      <c r="G288" s="346"/>
      <c r="H288" s="382"/>
      <c r="I288" s="382"/>
      <c r="J288" s="382"/>
      <c r="K288" s="382"/>
      <c r="L288" s="382"/>
      <c r="M288" s="382"/>
      <c r="N288" s="382"/>
      <c r="O288" s="382"/>
      <c r="P288" s="382"/>
      <c r="Q288" s="382"/>
      <c r="R288" s="382"/>
      <c r="S288" s="382"/>
      <c r="T288" s="383"/>
      <c r="U288" s="382"/>
      <c r="V288" s="346"/>
      <c r="W288" s="346"/>
      <c r="X288" s="5"/>
    </row>
    <row r="289" spans="1:24" ht="15.75" x14ac:dyDescent="0.25">
      <c r="A289" s="254"/>
      <c r="B289" s="255"/>
      <c r="C289" s="255"/>
      <c r="D289" s="255"/>
      <c r="E289" s="255"/>
      <c r="F289" s="255"/>
      <c r="G289" s="255"/>
      <c r="H289" s="256"/>
      <c r="I289" s="256"/>
      <c r="J289" s="256"/>
      <c r="K289" s="256"/>
      <c r="L289" s="256"/>
      <c r="M289" s="256"/>
      <c r="N289" s="256"/>
      <c r="O289" s="256"/>
      <c r="P289" s="256"/>
      <c r="Q289" s="256"/>
      <c r="R289" s="256"/>
      <c r="S289" s="256"/>
      <c r="T289" s="257"/>
      <c r="U289" s="256"/>
      <c r="V289" s="255"/>
      <c r="W289" s="255"/>
      <c r="X289" s="5"/>
    </row>
    <row r="290" spans="1:24" ht="15.75" x14ac:dyDescent="0.25">
      <c r="A290" s="258"/>
      <c r="B290" s="388" t="s">
        <v>91</v>
      </c>
      <c r="C290" s="255"/>
      <c r="D290" s="255"/>
      <c r="E290" s="255"/>
      <c r="F290" s="391" t="s">
        <v>97</v>
      </c>
      <c r="G290" s="255"/>
      <c r="H290" s="388" t="s">
        <v>99</v>
      </c>
      <c r="I290" s="388"/>
      <c r="J290" s="388"/>
      <c r="K290" s="261"/>
      <c r="L290" s="261"/>
      <c r="M290" s="261"/>
      <c r="N290" s="261"/>
      <c r="O290" s="261"/>
      <c r="P290" s="261"/>
      <c r="Q290" s="261"/>
      <c r="R290" s="261"/>
      <c r="S290" s="261"/>
      <c r="T290" s="261"/>
      <c r="U290" s="261"/>
      <c r="V290" s="261"/>
      <c r="W290" s="261"/>
      <c r="X290" s="5"/>
    </row>
    <row r="291" spans="1:24" ht="15.75" x14ac:dyDescent="0.25">
      <c r="A291" s="258"/>
      <c r="B291" s="261"/>
      <c r="C291" s="255"/>
      <c r="D291" s="255"/>
      <c r="E291" s="255"/>
      <c r="F291" s="255"/>
      <c r="G291" s="255"/>
      <c r="H291" s="255"/>
      <c r="I291" s="255"/>
      <c r="J291" s="255"/>
      <c r="K291" s="261"/>
      <c r="L291" s="261"/>
      <c r="M291" s="261"/>
      <c r="N291" s="261"/>
      <c r="O291" s="261"/>
      <c r="P291" s="261"/>
      <c r="Q291" s="261"/>
      <c r="R291" s="261"/>
      <c r="S291" s="261"/>
      <c r="T291" s="261"/>
      <c r="U291" s="261"/>
      <c r="V291" s="261"/>
      <c r="W291" s="261"/>
      <c r="X291" s="5"/>
    </row>
    <row r="292" spans="1:24" ht="15.75" x14ac:dyDescent="0.25">
      <c r="A292" s="258"/>
      <c r="B292" s="388" t="s">
        <v>318</v>
      </c>
      <c r="C292" s="388"/>
      <c r="D292" s="388"/>
      <c r="E292" s="388"/>
      <c r="F292" s="411" t="s">
        <v>148</v>
      </c>
      <c r="G292" s="388"/>
      <c r="H292" s="388" t="s">
        <v>152</v>
      </c>
      <c r="I292" s="388"/>
      <c r="J292" s="388"/>
      <c r="K292" s="261"/>
      <c r="L292" s="261"/>
      <c r="M292" s="261"/>
      <c r="N292" s="261"/>
      <c r="O292" s="261"/>
      <c r="P292" s="261"/>
      <c r="Q292" s="261"/>
      <c r="R292" s="261"/>
      <c r="S292" s="261"/>
      <c r="T292" s="261"/>
      <c r="U292" s="261"/>
      <c r="V292" s="261"/>
      <c r="W292" s="261"/>
      <c r="X292" s="5"/>
    </row>
    <row r="293" spans="1:24" ht="15.75" x14ac:dyDescent="0.25">
      <c r="A293" s="258"/>
      <c r="B293" s="388" t="s">
        <v>319</v>
      </c>
      <c r="C293" s="388"/>
      <c r="D293" s="388"/>
      <c r="E293" s="388"/>
      <c r="F293" s="411" t="s">
        <v>266</v>
      </c>
      <c r="G293" s="388"/>
      <c r="H293" s="388" t="s">
        <v>267</v>
      </c>
      <c r="I293" s="388"/>
      <c r="J293" s="388"/>
      <c r="K293" s="261"/>
      <c r="L293" s="261"/>
      <c r="M293" s="261"/>
      <c r="N293" s="261"/>
      <c r="O293" s="261"/>
      <c r="P293" s="261"/>
      <c r="Q293" s="261"/>
      <c r="R293" s="261"/>
      <c r="S293" s="261"/>
      <c r="T293" s="261"/>
      <c r="U293" s="261"/>
      <c r="V293" s="261"/>
      <c r="W293" s="261"/>
      <c r="X293" s="5"/>
    </row>
    <row r="294" spans="1:24" ht="15.75" x14ac:dyDescent="0.25">
      <c r="A294" s="258"/>
      <c r="B294" s="388" t="s">
        <v>320</v>
      </c>
      <c r="C294" s="388"/>
      <c r="D294" s="388"/>
      <c r="E294" s="388"/>
      <c r="F294" s="411" t="s">
        <v>147</v>
      </c>
      <c r="G294" s="388"/>
      <c r="H294" s="388" t="s">
        <v>153</v>
      </c>
      <c r="I294" s="388"/>
      <c r="J294" s="388"/>
      <c r="K294" s="261"/>
      <c r="L294" s="261"/>
      <c r="M294" s="261"/>
      <c r="N294" s="261"/>
      <c r="O294" s="261"/>
      <c r="P294" s="261"/>
      <c r="Q294" s="261"/>
      <c r="R294" s="261"/>
      <c r="S294" s="261"/>
      <c r="T294" s="261"/>
      <c r="U294" s="261"/>
      <c r="V294" s="261"/>
      <c r="W294" s="261"/>
      <c r="X294" s="5"/>
    </row>
    <row r="295" spans="1:24" ht="15.75" x14ac:dyDescent="0.25">
      <c r="A295" s="258"/>
      <c r="B295" s="388"/>
      <c r="C295" s="388"/>
      <c r="D295" s="388"/>
      <c r="E295" s="388"/>
      <c r="F295" s="388"/>
      <c r="G295" s="263"/>
      <c r="H295" s="261"/>
      <c r="I295" s="261"/>
      <c r="J295" s="261"/>
      <c r="K295" s="261"/>
      <c r="L295" s="261"/>
      <c r="M295" s="261"/>
      <c r="N295" s="261"/>
      <c r="O295" s="261"/>
      <c r="P295" s="261"/>
      <c r="Q295" s="261"/>
      <c r="R295" s="261"/>
      <c r="S295" s="261"/>
      <c r="T295" s="261"/>
      <c r="U295" s="261"/>
      <c r="V295" s="261"/>
      <c r="W295" s="261"/>
      <c r="X295" s="5"/>
    </row>
    <row r="296" spans="1:24" ht="15.75" x14ac:dyDescent="0.25">
      <c r="A296" s="258"/>
      <c r="B296" s="388"/>
      <c r="C296" s="388"/>
      <c r="D296" s="388"/>
      <c r="E296" s="388"/>
      <c r="F296" s="388"/>
      <c r="G296" s="263"/>
      <c r="H296" s="261"/>
      <c r="I296" s="261"/>
      <c r="J296" s="261"/>
      <c r="K296" s="261"/>
      <c r="L296" s="261"/>
      <c r="M296" s="261"/>
      <c r="N296" s="261"/>
      <c r="O296" s="261"/>
      <c r="P296" s="261"/>
      <c r="Q296" s="261"/>
      <c r="R296" s="261"/>
      <c r="S296" s="261"/>
      <c r="T296" s="261"/>
      <c r="U296" s="261"/>
      <c r="V296" s="261"/>
      <c r="W296" s="261"/>
      <c r="X296" s="5"/>
    </row>
    <row r="297" spans="1:24" ht="19.5" thickBot="1" x14ac:dyDescent="0.35">
      <c r="A297" s="258"/>
      <c r="B297" s="264" t="str">
        <f>B201</f>
        <v>PM15 INVESTOR REPORT QUARTER ENDING NOVEMBER 2016</v>
      </c>
      <c r="C297" s="388"/>
      <c r="D297" s="388"/>
      <c r="E297" s="388"/>
      <c r="F297" s="388"/>
      <c r="G297" s="263"/>
      <c r="H297" s="261"/>
      <c r="I297" s="261"/>
      <c r="J297" s="261"/>
      <c r="K297" s="261"/>
      <c r="L297" s="261"/>
      <c r="M297" s="261"/>
      <c r="N297" s="261"/>
      <c r="O297" s="261"/>
      <c r="P297" s="261"/>
      <c r="Q297" s="261"/>
      <c r="R297" s="261"/>
      <c r="S297" s="261"/>
      <c r="T297" s="261"/>
      <c r="U297" s="261"/>
      <c r="V297" s="261"/>
      <c r="W297" s="261"/>
      <c r="X297" s="5"/>
    </row>
    <row r="298" spans="1:24" x14ac:dyDescent="0.2">
      <c r="A298" s="100"/>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00"/>
    </row>
  </sheetData>
  <hyperlinks>
    <hyperlink ref="P237" r:id="rId1" xr:uid="{00000000-0004-0000-2400-000000000000}"/>
    <hyperlink ref="I9" r:id="rId2" xr:uid="{00000000-0004-0000-24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5" max="14" man="1"/>
    <brk id="201" max="14" man="1"/>
  </rowBreaks>
  <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6"/>
  </sheetPr>
  <dimension ref="A1:IV297"/>
  <sheetViews>
    <sheetView showGridLines="0" showOutlineSymbols="0" zoomScale="70" zoomScaleNormal="70" workbookViewId="0"/>
  </sheetViews>
  <sheetFormatPr defaultColWidth="9.6640625" defaultRowHeight="15" x14ac:dyDescent="0.2"/>
  <cols>
    <col min="1" max="1" width="4" style="1" customWidth="1"/>
    <col min="2" max="2" width="71.21875" style="1" customWidth="1"/>
    <col min="3" max="3" width="2.21875" style="1" customWidth="1"/>
    <col min="4" max="4" width="19.33203125" style="1" customWidth="1"/>
    <col min="5" max="5" width="2.21875" style="1" customWidth="1"/>
    <col min="6" max="6" width="25.109375" style="1" customWidth="1"/>
    <col min="7" max="7" width="2.21875" style="1" customWidth="1"/>
    <col min="8" max="8" width="16.21875" style="1" customWidth="1"/>
    <col min="9" max="9" width="2.88671875" style="1" customWidth="1"/>
    <col min="10" max="10" width="16.21875" style="1" customWidth="1"/>
    <col min="11" max="11" width="2.21875" style="1" customWidth="1"/>
    <col min="12" max="12" width="17.88671875" style="1" customWidth="1"/>
    <col min="13" max="13" width="2.33203125" style="1" customWidth="1"/>
    <col min="14" max="14" width="14.88671875" style="1" customWidth="1"/>
    <col min="15" max="15" width="2.33203125" style="1" customWidth="1"/>
    <col min="16" max="16" width="15.5546875" style="1" customWidth="1"/>
    <col min="17" max="17" width="2.21875" style="1" customWidth="1"/>
    <col min="18" max="18" width="15.5546875" style="1" customWidth="1"/>
    <col min="19" max="20" width="12.6640625" style="1" customWidth="1"/>
    <col min="21" max="21" width="7.77734375" style="1" customWidth="1"/>
    <col min="22" max="22" width="14.6640625" style="1" customWidth="1"/>
    <col min="23" max="23" width="11.77734375" style="1" customWidth="1"/>
    <col min="24" max="16384" width="9.6640625" style="1"/>
  </cols>
  <sheetData>
    <row r="1" spans="1:24" ht="20.25" x14ac:dyDescent="0.3">
      <c r="A1" s="179"/>
      <c r="B1" s="274" t="s">
        <v>237</v>
      </c>
      <c r="C1" s="180"/>
      <c r="D1" s="180"/>
      <c r="E1" s="180"/>
      <c r="F1" s="180"/>
      <c r="G1" s="180"/>
      <c r="H1" s="180"/>
      <c r="I1" s="180"/>
      <c r="J1" s="180"/>
      <c r="K1" s="180"/>
      <c r="L1" s="180"/>
      <c r="M1" s="180"/>
      <c r="N1" s="180"/>
      <c r="O1" s="180"/>
      <c r="P1" s="180"/>
      <c r="Q1" s="180"/>
      <c r="R1" s="180"/>
      <c r="S1" s="180"/>
      <c r="T1" s="180"/>
      <c r="U1" s="180"/>
      <c r="V1" s="180"/>
      <c r="W1" s="180"/>
      <c r="X1" s="5"/>
    </row>
    <row r="2" spans="1:24" ht="15.75" x14ac:dyDescent="0.25">
      <c r="A2" s="181"/>
      <c r="B2" s="182"/>
      <c r="C2" s="183"/>
      <c r="D2" s="183"/>
      <c r="E2" s="183"/>
      <c r="F2" s="183"/>
      <c r="G2" s="183"/>
      <c r="H2" s="183"/>
      <c r="I2" s="183"/>
      <c r="J2" s="183"/>
      <c r="K2" s="183"/>
      <c r="L2" s="183"/>
      <c r="M2" s="183"/>
      <c r="N2" s="183"/>
      <c r="O2" s="183"/>
      <c r="P2" s="183"/>
      <c r="Q2" s="183"/>
      <c r="R2" s="183"/>
      <c r="S2" s="183"/>
      <c r="T2" s="183"/>
      <c r="U2" s="183"/>
      <c r="V2" s="183"/>
      <c r="W2" s="183"/>
      <c r="X2" s="5"/>
    </row>
    <row r="3" spans="1:24" ht="15.75" x14ac:dyDescent="0.25">
      <c r="A3" s="184"/>
      <c r="B3" s="185" t="s">
        <v>238</v>
      </c>
      <c r="C3" s="183"/>
      <c r="D3" s="183"/>
      <c r="E3" s="183"/>
      <c r="F3" s="183"/>
      <c r="G3" s="183"/>
      <c r="H3" s="183"/>
      <c r="I3" s="183"/>
      <c r="J3" s="183"/>
      <c r="K3" s="183"/>
      <c r="L3" s="183"/>
      <c r="M3" s="183"/>
      <c r="N3" s="183"/>
      <c r="O3" s="183"/>
      <c r="P3" s="183"/>
      <c r="Q3" s="183"/>
      <c r="R3" s="183"/>
      <c r="S3" s="183"/>
      <c r="T3" s="183"/>
      <c r="U3" s="183"/>
      <c r="V3" s="183"/>
      <c r="W3" s="183"/>
      <c r="X3" s="5"/>
    </row>
    <row r="4" spans="1:24" ht="15.75" x14ac:dyDescent="0.25">
      <c r="A4" s="181"/>
      <c r="B4" s="182"/>
      <c r="C4" s="183"/>
      <c r="D4" s="183"/>
      <c r="E4" s="183"/>
      <c r="F4" s="183"/>
      <c r="G4" s="183"/>
      <c r="H4" s="183"/>
      <c r="I4" s="183"/>
      <c r="J4" s="183"/>
      <c r="K4" s="183"/>
      <c r="L4" s="183"/>
      <c r="M4" s="183"/>
      <c r="N4" s="183"/>
      <c r="O4" s="183"/>
      <c r="P4" s="183"/>
      <c r="Q4" s="183"/>
      <c r="R4" s="183"/>
      <c r="S4" s="183"/>
      <c r="T4" s="183"/>
      <c r="U4" s="183"/>
      <c r="V4" s="183"/>
      <c r="W4" s="183"/>
      <c r="X4" s="5"/>
    </row>
    <row r="5" spans="1:24" ht="15.75" x14ac:dyDescent="0.25">
      <c r="A5" s="181"/>
      <c r="B5" s="275" t="s">
        <v>137</v>
      </c>
      <c r="C5" s="183"/>
      <c r="D5" s="183"/>
      <c r="E5" s="183"/>
      <c r="F5" s="183"/>
      <c r="G5" s="183"/>
      <c r="H5" s="183"/>
      <c r="I5" s="183"/>
      <c r="J5" s="183"/>
      <c r="K5" s="183"/>
      <c r="L5" s="183"/>
      <c r="M5" s="183"/>
      <c r="N5" s="183"/>
      <c r="O5" s="183"/>
      <c r="P5" s="183"/>
      <c r="Q5" s="183"/>
      <c r="R5" s="183"/>
      <c r="S5" s="183"/>
      <c r="T5" s="183"/>
      <c r="U5" s="183"/>
      <c r="V5" s="183"/>
      <c r="W5" s="183"/>
      <c r="X5" s="5"/>
    </row>
    <row r="6" spans="1:24" ht="15.75" x14ac:dyDescent="0.25">
      <c r="A6" s="181"/>
      <c r="B6" s="275" t="s">
        <v>139</v>
      </c>
      <c r="C6" s="183"/>
      <c r="D6" s="183"/>
      <c r="E6" s="183"/>
      <c r="F6" s="183"/>
      <c r="G6" s="183"/>
      <c r="H6" s="183"/>
      <c r="I6" s="183"/>
      <c r="J6" s="183"/>
      <c r="K6" s="183"/>
      <c r="L6" s="183"/>
      <c r="M6" s="183"/>
      <c r="N6" s="183"/>
      <c r="O6" s="183"/>
      <c r="P6" s="183"/>
      <c r="Q6" s="183"/>
      <c r="R6" s="183"/>
      <c r="S6" s="183"/>
      <c r="T6" s="183"/>
      <c r="U6" s="183"/>
      <c r="V6" s="183"/>
      <c r="W6" s="183"/>
      <c r="X6" s="5"/>
    </row>
    <row r="7" spans="1:24" ht="15.75" x14ac:dyDescent="0.25">
      <c r="A7" s="181"/>
      <c r="B7" s="275" t="s">
        <v>138</v>
      </c>
      <c r="C7" s="183"/>
      <c r="D7" s="183"/>
      <c r="E7" s="183"/>
      <c r="F7" s="183"/>
      <c r="G7" s="183"/>
      <c r="H7" s="183"/>
      <c r="I7" s="183"/>
      <c r="J7" s="183"/>
      <c r="K7" s="183"/>
      <c r="L7" s="183"/>
      <c r="M7" s="183"/>
      <c r="N7" s="183"/>
      <c r="O7" s="183"/>
      <c r="P7" s="183"/>
      <c r="Q7" s="183"/>
      <c r="R7" s="183"/>
      <c r="S7" s="183"/>
      <c r="T7" s="183"/>
      <c r="U7" s="183"/>
      <c r="V7" s="183"/>
      <c r="W7" s="183"/>
      <c r="X7" s="5"/>
    </row>
    <row r="8" spans="1:24" ht="15.75" x14ac:dyDescent="0.25">
      <c r="A8" s="181"/>
      <c r="B8" s="186"/>
      <c r="C8" s="183"/>
      <c r="D8" s="183"/>
      <c r="E8" s="183"/>
      <c r="F8" s="183"/>
      <c r="G8" s="183"/>
      <c r="H8" s="183"/>
      <c r="I8" s="183"/>
      <c r="J8" s="183"/>
      <c r="K8" s="183"/>
      <c r="L8" s="183"/>
      <c r="M8" s="183"/>
      <c r="N8" s="183"/>
      <c r="O8" s="183"/>
      <c r="P8" s="183"/>
      <c r="Q8" s="183"/>
      <c r="R8" s="183"/>
      <c r="S8" s="183"/>
      <c r="T8" s="183"/>
      <c r="U8" s="183"/>
      <c r="V8" s="183"/>
      <c r="W8" s="183"/>
      <c r="X8" s="5"/>
    </row>
    <row r="9" spans="1:24" ht="18.75" x14ac:dyDescent="0.3">
      <c r="A9" s="181"/>
      <c r="B9" s="187" t="s">
        <v>166</v>
      </c>
      <c r="C9" s="183"/>
      <c r="D9" s="183"/>
      <c r="E9" s="183"/>
      <c r="F9" s="183"/>
      <c r="G9" s="183"/>
      <c r="H9" s="183"/>
      <c r="I9" s="188" t="s">
        <v>167</v>
      </c>
      <c r="J9" s="183"/>
      <c r="K9" s="183"/>
      <c r="L9" s="188"/>
      <c r="M9" s="183"/>
      <c r="N9" s="188"/>
      <c r="O9" s="183"/>
      <c r="P9" s="183"/>
      <c r="Q9" s="183"/>
      <c r="R9" s="183"/>
      <c r="S9" s="183"/>
      <c r="T9" s="183"/>
      <c r="U9" s="183"/>
      <c r="V9" s="183"/>
      <c r="W9" s="183"/>
      <c r="X9" s="5"/>
    </row>
    <row r="10" spans="1:24" ht="15.75" x14ac:dyDescent="0.25">
      <c r="A10" s="181"/>
      <c r="B10" s="186"/>
      <c r="C10" s="189"/>
      <c r="D10" s="189"/>
      <c r="E10" s="189"/>
      <c r="F10" s="183"/>
      <c r="G10" s="183"/>
      <c r="H10" s="183"/>
      <c r="I10" s="183"/>
      <c r="J10" s="183"/>
      <c r="K10" s="183"/>
      <c r="L10" s="183"/>
      <c r="M10" s="183"/>
      <c r="N10" s="183"/>
      <c r="O10" s="183"/>
      <c r="P10" s="183"/>
      <c r="Q10" s="183"/>
      <c r="R10" s="183"/>
      <c r="S10" s="183"/>
      <c r="T10" s="183"/>
      <c r="U10" s="183"/>
      <c r="V10" s="183"/>
      <c r="W10" s="183"/>
      <c r="X10" s="5"/>
    </row>
    <row r="11" spans="1:24" ht="15.75" x14ac:dyDescent="0.25">
      <c r="A11" s="181"/>
      <c r="B11" s="388" t="s">
        <v>0</v>
      </c>
      <c r="C11" s="183"/>
      <c r="D11" s="183"/>
      <c r="E11" s="183"/>
      <c r="F11" s="183"/>
      <c r="G11" s="183"/>
      <c r="H11" s="183"/>
      <c r="I11" s="183"/>
      <c r="J11" s="183"/>
      <c r="K11" s="183"/>
      <c r="L11" s="183"/>
      <c r="M11" s="183"/>
      <c r="N11" s="183"/>
      <c r="O11" s="183"/>
      <c r="P11" s="183"/>
      <c r="Q11" s="183"/>
      <c r="R11" s="183"/>
      <c r="S11" s="183"/>
      <c r="T11" s="183"/>
      <c r="U11" s="183"/>
      <c r="V11" s="183"/>
      <c r="W11" s="183"/>
      <c r="X11" s="5"/>
    </row>
    <row r="12" spans="1:24" ht="16.5" thickBot="1" x14ac:dyDescent="0.3">
      <c r="A12" s="181"/>
      <c r="B12" s="189"/>
      <c r="C12" s="183"/>
      <c r="D12" s="183"/>
      <c r="E12" s="183"/>
      <c r="F12" s="183"/>
      <c r="G12" s="183"/>
      <c r="H12" s="183"/>
      <c r="I12" s="183"/>
      <c r="J12" s="183"/>
      <c r="K12" s="183"/>
      <c r="L12" s="183"/>
      <c r="M12" s="183"/>
      <c r="N12" s="183"/>
      <c r="O12" s="183"/>
      <c r="P12" s="183"/>
      <c r="Q12" s="183"/>
      <c r="R12" s="183"/>
      <c r="S12" s="183"/>
      <c r="T12" s="183"/>
      <c r="U12" s="183"/>
      <c r="V12" s="183"/>
      <c r="W12" s="183"/>
      <c r="X12" s="5"/>
    </row>
    <row r="13" spans="1:24" ht="15.75" x14ac:dyDescent="0.25">
      <c r="A13" s="179"/>
      <c r="B13" s="180"/>
      <c r="C13" s="180"/>
      <c r="D13" s="180"/>
      <c r="E13" s="180"/>
      <c r="F13" s="180"/>
      <c r="G13" s="180"/>
      <c r="H13" s="180"/>
      <c r="I13" s="180"/>
      <c r="J13" s="180"/>
      <c r="K13" s="180"/>
      <c r="L13" s="180"/>
      <c r="M13" s="180"/>
      <c r="N13" s="180"/>
      <c r="O13" s="180"/>
      <c r="P13" s="180"/>
      <c r="Q13" s="180"/>
      <c r="R13" s="180"/>
      <c r="S13" s="180"/>
      <c r="T13" s="180"/>
      <c r="U13" s="180"/>
      <c r="V13" s="180"/>
      <c r="W13" s="180"/>
      <c r="X13" s="5"/>
    </row>
    <row r="14" spans="1:24" ht="15.75" x14ac:dyDescent="0.25">
      <c r="A14" s="181"/>
      <c r="B14" s="388" t="s">
        <v>1</v>
      </c>
      <c r="C14" s="255"/>
      <c r="D14" s="255"/>
      <c r="E14" s="255"/>
      <c r="F14" s="255"/>
      <c r="G14" s="255"/>
      <c r="H14" s="255"/>
      <c r="I14" s="255"/>
      <c r="J14" s="255"/>
      <c r="K14" s="255"/>
      <c r="L14" s="255"/>
      <c r="M14" s="255"/>
      <c r="N14" s="255"/>
      <c r="O14" s="255"/>
      <c r="P14" s="255"/>
      <c r="Q14" s="255"/>
      <c r="R14" s="255"/>
      <c r="S14" s="255"/>
      <c r="T14" s="255"/>
      <c r="U14" s="255"/>
      <c r="V14" s="276" t="s">
        <v>239</v>
      </c>
      <c r="W14" s="255"/>
      <c r="X14" s="5"/>
    </row>
    <row r="15" spans="1:24" ht="15.75" x14ac:dyDescent="0.25">
      <c r="A15" s="181"/>
      <c r="B15" s="388" t="s">
        <v>2</v>
      </c>
      <c r="C15" s="255"/>
      <c r="D15" s="255"/>
      <c r="E15" s="255"/>
      <c r="F15" s="255"/>
      <c r="G15" s="255"/>
      <c r="H15" s="389"/>
      <c r="I15" s="389"/>
      <c r="J15" s="389"/>
      <c r="K15" s="389"/>
      <c r="L15" s="389"/>
      <c r="M15" s="389"/>
      <c r="N15" s="389"/>
      <c r="O15" s="389"/>
      <c r="P15" s="389"/>
      <c r="Q15" s="389"/>
      <c r="R15" s="389" t="s">
        <v>104</v>
      </c>
      <c r="S15" s="390">
        <v>0.47189999999999999</v>
      </c>
      <c r="T15" s="391" t="s">
        <v>140</v>
      </c>
      <c r="U15" s="390">
        <v>0.52810000000000001</v>
      </c>
      <c r="V15" s="276"/>
      <c r="W15" s="255"/>
      <c r="X15" s="5"/>
    </row>
    <row r="16" spans="1:24" ht="15.75" x14ac:dyDescent="0.25">
      <c r="A16" s="181"/>
      <c r="B16" s="388" t="s">
        <v>3</v>
      </c>
      <c r="C16" s="255"/>
      <c r="D16" s="255"/>
      <c r="E16" s="255"/>
      <c r="F16" s="255"/>
      <c r="G16" s="255"/>
      <c r="H16" s="389"/>
      <c r="I16" s="389"/>
      <c r="J16" s="389"/>
      <c r="K16" s="389"/>
      <c r="L16" s="389"/>
      <c r="M16" s="389"/>
      <c r="N16" s="389"/>
      <c r="O16" s="389"/>
      <c r="P16" s="389"/>
      <c r="Q16" s="389"/>
      <c r="R16" s="389" t="s">
        <v>104</v>
      </c>
      <c r="S16" s="390">
        <v>0.56030000000000002</v>
      </c>
      <c r="T16" s="391" t="s">
        <v>140</v>
      </c>
      <c r="U16" s="390">
        <v>0.43969999999999998</v>
      </c>
      <c r="V16" s="276"/>
      <c r="W16" s="255"/>
      <c r="X16" s="5"/>
    </row>
    <row r="17" spans="1:24" ht="15.75" x14ac:dyDescent="0.25">
      <c r="A17" s="181"/>
      <c r="B17" s="388" t="s">
        <v>4</v>
      </c>
      <c r="C17" s="255"/>
      <c r="D17" s="255"/>
      <c r="E17" s="255"/>
      <c r="F17" s="255"/>
      <c r="G17" s="255"/>
      <c r="H17" s="255"/>
      <c r="I17" s="255"/>
      <c r="J17" s="255"/>
      <c r="K17" s="255"/>
      <c r="L17" s="255"/>
      <c r="M17" s="255"/>
      <c r="N17" s="255"/>
      <c r="O17" s="255"/>
      <c r="P17" s="255"/>
      <c r="Q17" s="255"/>
      <c r="R17" s="255"/>
      <c r="S17" s="255"/>
      <c r="T17" s="255"/>
      <c r="U17" s="255"/>
      <c r="V17" s="392">
        <v>39282</v>
      </c>
      <c r="W17" s="255"/>
      <c r="X17" s="5"/>
    </row>
    <row r="18" spans="1:24" ht="15.75" x14ac:dyDescent="0.25">
      <c r="A18" s="181"/>
      <c r="B18" s="388" t="s">
        <v>5</v>
      </c>
      <c r="C18" s="255"/>
      <c r="D18" s="255"/>
      <c r="E18" s="255"/>
      <c r="F18" s="255"/>
      <c r="G18" s="255"/>
      <c r="H18" s="255"/>
      <c r="I18" s="255"/>
      <c r="J18" s="255"/>
      <c r="K18" s="255"/>
      <c r="L18" s="255"/>
      <c r="M18" s="255"/>
      <c r="N18" s="255"/>
      <c r="O18" s="255"/>
      <c r="P18" s="255"/>
      <c r="Q18" s="255"/>
      <c r="R18" s="255"/>
      <c r="S18" s="255"/>
      <c r="T18" s="255"/>
      <c r="U18" s="255"/>
      <c r="V18" s="392">
        <v>42814</v>
      </c>
      <c r="W18" s="255"/>
      <c r="X18" s="5"/>
    </row>
    <row r="19" spans="1:24" ht="15.75" x14ac:dyDescent="0.25">
      <c r="A19" s="181"/>
      <c r="B19" s="183"/>
      <c r="C19" s="183"/>
      <c r="D19" s="183"/>
      <c r="E19" s="183"/>
      <c r="F19" s="183"/>
      <c r="G19" s="183"/>
      <c r="H19" s="183"/>
      <c r="I19" s="183"/>
      <c r="J19" s="183"/>
      <c r="K19" s="183"/>
      <c r="L19" s="183"/>
      <c r="M19" s="183"/>
      <c r="N19" s="183"/>
      <c r="O19" s="183"/>
      <c r="P19" s="183"/>
      <c r="Q19" s="183"/>
      <c r="R19" s="183"/>
      <c r="S19" s="183"/>
      <c r="T19" s="183"/>
      <c r="U19" s="183"/>
      <c r="V19" s="190"/>
      <c r="W19" s="183"/>
      <c r="X19" s="5"/>
    </row>
    <row r="20" spans="1:24" ht="15.75" x14ac:dyDescent="0.25">
      <c r="A20" s="181"/>
      <c r="B20" s="280" t="s">
        <v>6</v>
      </c>
      <c r="C20" s="255"/>
      <c r="D20" s="255"/>
      <c r="E20" s="255"/>
      <c r="F20" s="255"/>
      <c r="G20" s="255"/>
      <c r="H20" s="255"/>
      <c r="I20" s="255"/>
      <c r="J20" s="255"/>
      <c r="K20" s="255"/>
      <c r="L20" s="255"/>
      <c r="M20" s="255"/>
      <c r="N20" s="255"/>
      <c r="O20" s="255"/>
      <c r="P20" s="255"/>
      <c r="Q20" s="255"/>
      <c r="R20" s="255"/>
      <c r="S20" s="255"/>
      <c r="T20" s="281" t="s">
        <v>105</v>
      </c>
      <c r="U20" s="255"/>
      <c r="V20" s="261"/>
      <c r="W20" s="183"/>
      <c r="X20" s="5"/>
    </row>
    <row r="21" spans="1:24" ht="15.75" x14ac:dyDescent="0.25">
      <c r="A21" s="181"/>
      <c r="B21" s="183"/>
      <c r="C21" s="183"/>
      <c r="D21" s="183"/>
      <c r="E21" s="183"/>
      <c r="F21" s="183"/>
      <c r="G21" s="183"/>
      <c r="H21" s="183"/>
      <c r="I21" s="183"/>
      <c r="J21" s="183"/>
      <c r="K21" s="183"/>
      <c r="L21" s="183"/>
      <c r="M21" s="183"/>
      <c r="N21" s="183"/>
      <c r="O21" s="183"/>
      <c r="P21" s="183"/>
      <c r="Q21" s="183"/>
      <c r="R21" s="183"/>
      <c r="S21" s="183"/>
      <c r="T21" s="183"/>
      <c r="U21" s="183"/>
      <c r="V21" s="192"/>
      <c r="W21" s="183"/>
      <c r="X21" s="5"/>
    </row>
    <row r="22" spans="1:24" ht="15.75" x14ac:dyDescent="0.25">
      <c r="A22" s="224"/>
      <c r="B22" s="225"/>
      <c r="C22" s="226"/>
      <c r="D22" s="226" t="s">
        <v>177</v>
      </c>
      <c r="E22" s="226"/>
      <c r="F22" s="226" t="s">
        <v>178</v>
      </c>
      <c r="G22" s="226"/>
      <c r="H22" s="226" t="s">
        <v>179</v>
      </c>
      <c r="I22" s="226"/>
      <c r="J22" s="226" t="s">
        <v>219</v>
      </c>
      <c r="K22" s="226"/>
      <c r="L22" s="226" t="s">
        <v>180</v>
      </c>
      <c r="M22" s="226"/>
      <c r="N22" s="226" t="s">
        <v>181</v>
      </c>
      <c r="O22" s="226"/>
      <c r="P22" s="226" t="s">
        <v>182</v>
      </c>
      <c r="Q22" s="226"/>
      <c r="R22" s="226"/>
      <c r="S22" s="228"/>
      <c r="T22" s="228"/>
      <c r="U22" s="229"/>
      <c r="V22" s="229"/>
      <c r="W22" s="225"/>
      <c r="X22" s="5"/>
    </row>
    <row r="23" spans="1:24" ht="15.75" x14ac:dyDescent="0.25">
      <c r="A23" s="193"/>
      <c r="B23" s="250" t="s">
        <v>7</v>
      </c>
      <c r="C23" s="282"/>
      <c r="D23" s="282" t="s">
        <v>212</v>
      </c>
      <c r="E23" s="282"/>
      <c r="F23" s="282" t="s">
        <v>141</v>
      </c>
      <c r="G23" s="282"/>
      <c r="H23" s="282" t="s">
        <v>141</v>
      </c>
      <c r="I23" s="282"/>
      <c r="J23" s="282" t="s">
        <v>141</v>
      </c>
      <c r="K23" s="282"/>
      <c r="L23" s="282" t="s">
        <v>183</v>
      </c>
      <c r="M23" s="282"/>
      <c r="N23" s="282" t="s">
        <v>183</v>
      </c>
      <c r="O23" s="282"/>
      <c r="P23" s="282" t="s">
        <v>142</v>
      </c>
      <c r="Q23" s="282"/>
      <c r="R23" s="282"/>
      <c r="S23" s="282"/>
      <c r="T23" s="282"/>
      <c r="U23" s="273"/>
      <c r="V23" s="273"/>
      <c r="W23" s="250"/>
      <c r="X23" s="5"/>
    </row>
    <row r="24" spans="1:24" ht="15.75" x14ac:dyDescent="0.25">
      <c r="A24" s="285"/>
      <c r="B24" s="286" t="s">
        <v>8</v>
      </c>
      <c r="C24" s="287"/>
      <c r="D24" s="287" t="s">
        <v>213</v>
      </c>
      <c r="E24" s="287"/>
      <c r="F24" s="287" t="s">
        <v>143</v>
      </c>
      <c r="G24" s="287"/>
      <c r="H24" s="287" t="s">
        <v>143</v>
      </c>
      <c r="I24" s="287"/>
      <c r="J24" s="287" t="s">
        <v>143</v>
      </c>
      <c r="K24" s="287"/>
      <c r="L24" s="287" t="s">
        <v>165</v>
      </c>
      <c r="M24" s="287"/>
      <c r="N24" s="287" t="s">
        <v>165</v>
      </c>
      <c r="O24" s="287"/>
      <c r="P24" s="287" t="s">
        <v>144</v>
      </c>
      <c r="Q24" s="287"/>
      <c r="R24" s="287"/>
      <c r="S24" s="287"/>
      <c r="T24" s="287"/>
      <c r="U24" s="288"/>
      <c r="V24" s="288"/>
      <c r="W24" s="289"/>
      <c r="X24" s="5"/>
    </row>
    <row r="25" spans="1:24" ht="15.75" x14ac:dyDescent="0.25">
      <c r="A25" s="290"/>
      <c r="B25" s="286" t="s">
        <v>190</v>
      </c>
      <c r="C25" s="292"/>
      <c r="D25" s="287" t="s">
        <v>214</v>
      </c>
      <c r="E25" s="287"/>
      <c r="F25" s="287" t="s">
        <v>143</v>
      </c>
      <c r="G25" s="287"/>
      <c r="H25" s="287" t="s">
        <v>143</v>
      </c>
      <c r="I25" s="287"/>
      <c r="J25" s="287" t="s">
        <v>143</v>
      </c>
      <c r="K25" s="287"/>
      <c r="L25" s="287" t="s">
        <v>165</v>
      </c>
      <c r="M25" s="287"/>
      <c r="N25" s="287" t="s">
        <v>165</v>
      </c>
      <c r="O25" s="287"/>
      <c r="P25" s="287" t="s">
        <v>144</v>
      </c>
      <c r="Q25" s="287"/>
      <c r="R25" s="287"/>
      <c r="S25" s="292"/>
      <c r="T25" s="287"/>
      <c r="U25" s="288"/>
      <c r="V25" s="288"/>
      <c r="W25" s="289"/>
      <c r="X25" s="5"/>
    </row>
    <row r="26" spans="1:24" ht="15.75" x14ac:dyDescent="0.25">
      <c r="A26" s="393"/>
      <c r="B26" s="297" t="s">
        <v>9</v>
      </c>
      <c r="C26" s="292"/>
      <c r="D26" s="292" t="s">
        <v>141</v>
      </c>
      <c r="E26" s="292"/>
      <c r="F26" s="292" t="s">
        <v>141</v>
      </c>
      <c r="G26" s="292"/>
      <c r="H26" s="292" t="s">
        <v>141</v>
      </c>
      <c r="I26" s="292"/>
      <c r="J26" s="292" t="s">
        <v>141</v>
      </c>
      <c r="K26" s="292"/>
      <c r="L26" s="292" t="s">
        <v>183</v>
      </c>
      <c r="M26" s="292"/>
      <c r="N26" s="292" t="s">
        <v>183</v>
      </c>
      <c r="O26" s="292"/>
      <c r="P26" s="292" t="s">
        <v>142</v>
      </c>
      <c r="Q26" s="292"/>
      <c r="R26" s="292"/>
      <c r="S26" s="292"/>
      <c r="T26" s="287"/>
      <c r="U26" s="288"/>
      <c r="V26" s="288"/>
      <c r="W26" s="289"/>
      <c r="X26" s="5"/>
    </row>
    <row r="27" spans="1:24" ht="15.75" x14ac:dyDescent="0.25">
      <c r="A27" s="295"/>
      <c r="B27" s="297" t="s">
        <v>191</v>
      </c>
      <c r="C27" s="287"/>
      <c r="D27" s="292" t="s">
        <v>143</v>
      </c>
      <c r="E27" s="292"/>
      <c r="F27" s="292" t="s">
        <v>143</v>
      </c>
      <c r="G27" s="292"/>
      <c r="H27" s="292" t="s">
        <v>143</v>
      </c>
      <c r="I27" s="292"/>
      <c r="J27" s="292" t="s">
        <v>143</v>
      </c>
      <c r="K27" s="292"/>
      <c r="L27" s="292" t="s">
        <v>165</v>
      </c>
      <c r="M27" s="292"/>
      <c r="N27" s="292" t="s">
        <v>165</v>
      </c>
      <c r="O27" s="292"/>
      <c r="P27" s="292" t="s">
        <v>330</v>
      </c>
      <c r="Q27" s="292"/>
      <c r="R27" s="292"/>
      <c r="S27" s="287"/>
      <c r="T27" s="296"/>
      <c r="U27" s="288"/>
      <c r="V27" s="288"/>
      <c r="W27" s="289"/>
      <c r="X27" s="5"/>
    </row>
    <row r="28" spans="1:24" ht="15.75" x14ac:dyDescent="0.25">
      <c r="A28" s="295"/>
      <c r="B28" s="297" t="s">
        <v>192</v>
      </c>
      <c r="C28" s="287"/>
      <c r="D28" s="292" t="s">
        <v>143</v>
      </c>
      <c r="E28" s="292"/>
      <c r="F28" s="292" t="s">
        <v>143</v>
      </c>
      <c r="G28" s="292"/>
      <c r="H28" s="292" t="s">
        <v>143</v>
      </c>
      <c r="I28" s="292"/>
      <c r="J28" s="292" t="s">
        <v>143</v>
      </c>
      <c r="K28" s="292"/>
      <c r="L28" s="292" t="s">
        <v>143</v>
      </c>
      <c r="M28" s="292"/>
      <c r="N28" s="292" t="s">
        <v>143</v>
      </c>
      <c r="O28" s="292"/>
      <c r="P28" s="292" t="s">
        <v>330</v>
      </c>
      <c r="Q28" s="292"/>
      <c r="R28" s="292"/>
      <c r="S28" s="287"/>
      <c r="T28" s="296"/>
      <c r="U28" s="288"/>
      <c r="V28" s="288"/>
      <c r="W28" s="289"/>
      <c r="X28" s="5"/>
    </row>
    <row r="29" spans="1:24" ht="15.75" x14ac:dyDescent="0.25">
      <c r="A29" s="295"/>
      <c r="B29" s="286" t="s">
        <v>10</v>
      </c>
      <c r="C29" s="298"/>
      <c r="D29" s="287" t="s">
        <v>242</v>
      </c>
      <c r="E29" s="287"/>
      <c r="F29" s="296" t="s">
        <v>244</v>
      </c>
      <c r="G29" s="287"/>
      <c r="H29" s="287" t="s">
        <v>245</v>
      </c>
      <c r="I29" s="287"/>
      <c r="J29" s="287" t="s">
        <v>247</v>
      </c>
      <c r="K29" s="287"/>
      <c r="L29" s="287" t="s">
        <v>248</v>
      </c>
      <c r="M29" s="287"/>
      <c r="N29" s="287" t="s">
        <v>249</v>
      </c>
      <c r="O29" s="287"/>
      <c r="P29" s="287" t="s">
        <v>250</v>
      </c>
      <c r="Q29" s="287"/>
      <c r="R29" s="287"/>
      <c r="S29" s="299"/>
      <c r="T29" s="299"/>
      <c r="U29" s="300"/>
      <c r="V29" s="299"/>
      <c r="W29" s="301"/>
      <c r="X29" s="5"/>
    </row>
    <row r="30" spans="1:24" ht="15.75" x14ac:dyDescent="0.25">
      <c r="A30" s="295"/>
      <c r="B30" s="286" t="s">
        <v>10</v>
      </c>
      <c r="C30" s="298"/>
      <c r="D30" s="287" t="s">
        <v>243</v>
      </c>
      <c r="E30" s="287"/>
      <c r="F30" s="296" t="s">
        <v>118</v>
      </c>
      <c r="G30" s="287"/>
      <c r="H30" s="287" t="s">
        <v>118</v>
      </c>
      <c r="I30" s="287"/>
      <c r="J30" s="287" t="s">
        <v>246</v>
      </c>
      <c r="K30" s="287"/>
      <c r="L30" s="287" t="s">
        <v>118</v>
      </c>
      <c r="M30" s="287"/>
      <c r="N30" s="287" t="s">
        <v>118</v>
      </c>
      <c r="O30" s="287"/>
      <c r="P30" s="287" t="s">
        <v>118</v>
      </c>
      <c r="Q30" s="287"/>
      <c r="R30" s="287"/>
      <c r="S30" s="299"/>
      <c r="T30" s="299"/>
      <c r="U30" s="300"/>
      <c r="V30" s="299"/>
      <c r="W30" s="301"/>
      <c r="X30" s="5"/>
    </row>
    <row r="31" spans="1:24" ht="15.75" x14ac:dyDescent="0.25">
      <c r="A31" s="393"/>
      <c r="B31" s="286" t="s">
        <v>133</v>
      </c>
      <c r="C31" s="310"/>
      <c r="D31" s="303">
        <v>1000000</v>
      </c>
      <c r="E31" s="298"/>
      <c r="F31" s="299">
        <v>209500</v>
      </c>
      <c r="G31" s="299"/>
      <c r="H31" s="304">
        <v>110000</v>
      </c>
      <c r="I31" s="304"/>
      <c r="J31" s="303">
        <v>150000</v>
      </c>
      <c r="K31" s="299"/>
      <c r="L31" s="299">
        <v>17000</v>
      </c>
      <c r="M31" s="299"/>
      <c r="N31" s="304">
        <v>85500</v>
      </c>
      <c r="O31" s="299"/>
      <c r="P31" s="304">
        <v>110500</v>
      </c>
      <c r="Q31" s="299"/>
      <c r="R31" s="304"/>
      <c r="S31" s="312"/>
      <c r="T31" s="312"/>
      <c r="U31" s="306"/>
      <c r="V31" s="312"/>
      <c r="W31" s="301"/>
      <c r="X31" s="5"/>
    </row>
    <row r="32" spans="1:24" ht="15.75" x14ac:dyDescent="0.25">
      <c r="A32" s="295"/>
      <c r="B32" s="286" t="s">
        <v>132</v>
      </c>
      <c r="C32" s="298"/>
      <c r="D32" s="303">
        <f>D31*D38</f>
        <v>626153.5</v>
      </c>
      <c r="E32" s="298"/>
      <c r="F32" s="299">
        <f>F31*F38</f>
        <v>131179.5563</v>
      </c>
      <c r="G32" s="299"/>
      <c r="H32" s="304">
        <f>H31*H38</f>
        <v>68877.907999999996</v>
      </c>
      <c r="I32" s="304"/>
      <c r="J32" s="303">
        <f>J31*J38</f>
        <v>93923.025000000009</v>
      </c>
      <c r="K32" s="299"/>
      <c r="L32" s="299">
        <f>L31*L38</f>
        <v>17000</v>
      </c>
      <c r="M32" s="299"/>
      <c r="N32" s="304">
        <f>N31*N38</f>
        <v>85500</v>
      </c>
      <c r="O32" s="299"/>
      <c r="P32" s="304">
        <f>P31*P38</f>
        <v>110500</v>
      </c>
      <c r="Q32" s="299"/>
      <c r="R32" s="304"/>
      <c r="S32" s="299"/>
      <c r="T32" s="299"/>
      <c r="U32" s="300"/>
      <c r="V32" s="299"/>
      <c r="W32" s="301"/>
      <c r="X32" s="5"/>
    </row>
    <row r="33" spans="1:27" ht="15.75" x14ac:dyDescent="0.25">
      <c r="A33" s="295"/>
      <c r="B33" s="297" t="s">
        <v>134</v>
      </c>
      <c r="C33" s="298"/>
      <c r="D33" s="394">
        <f>D37*D31</f>
        <v>613105.9</v>
      </c>
      <c r="E33" s="310"/>
      <c r="F33" s="312">
        <f>F37*F31</f>
        <v>128446.08409999999</v>
      </c>
      <c r="G33" s="312"/>
      <c r="H33" s="395">
        <f>H31*H37</f>
        <v>67442.694000000003</v>
      </c>
      <c r="I33" s="395"/>
      <c r="J33" s="394">
        <f>J37*J31</f>
        <v>91965.884999999995</v>
      </c>
      <c r="K33" s="312"/>
      <c r="L33" s="312">
        <f>L31*L37</f>
        <v>17000</v>
      </c>
      <c r="M33" s="312"/>
      <c r="N33" s="395">
        <f>N31*N37</f>
        <v>85500</v>
      </c>
      <c r="O33" s="312"/>
      <c r="P33" s="395">
        <f>P31*P37</f>
        <v>110500</v>
      </c>
      <c r="Q33" s="312"/>
      <c r="R33" s="395"/>
      <c r="S33" s="299"/>
      <c r="T33" s="299"/>
      <c r="U33" s="300"/>
      <c r="V33" s="299"/>
      <c r="W33" s="301"/>
      <c r="X33" s="5"/>
    </row>
    <row r="34" spans="1:27" ht="15.75" x14ac:dyDescent="0.25">
      <c r="A34" s="393"/>
      <c r="B34" s="286" t="s">
        <v>286</v>
      </c>
      <c r="C34" s="310"/>
      <c r="D34" s="299">
        <v>492951</v>
      </c>
      <c r="E34" s="298"/>
      <c r="F34" s="299">
        <v>209500</v>
      </c>
      <c r="G34" s="299"/>
      <c r="H34" s="299">
        <v>74677</v>
      </c>
      <c r="I34" s="299"/>
      <c r="J34" s="299">
        <v>73943</v>
      </c>
      <c r="K34" s="299"/>
      <c r="L34" s="299">
        <v>17000</v>
      </c>
      <c r="M34" s="299"/>
      <c r="N34" s="299">
        <v>58045</v>
      </c>
      <c r="O34" s="299"/>
      <c r="P34" s="299">
        <v>75017</v>
      </c>
      <c r="Q34" s="299"/>
      <c r="R34" s="299"/>
      <c r="S34" s="312"/>
      <c r="T34" s="312"/>
      <c r="U34" s="306"/>
      <c r="V34" s="299">
        <f>SUM(C34:R34)</f>
        <v>1001133</v>
      </c>
      <c r="W34" s="301"/>
      <c r="X34" s="5"/>
    </row>
    <row r="35" spans="1:27" ht="15.75" x14ac:dyDescent="0.25">
      <c r="A35" s="393"/>
      <c r="B35" s="286" t="s">
        <v>287</v>
      </c>
      <c r="C35" s="310"/>
      <c r="D35" s="299">
        <f>D34*D38</f>
        <v>308662.99397850002</v>
      </c>
      <c r="E35" s="298"/>
      <c r="F35" s="299">
        <f>F34*F38</f>
        <v>131179.5563</v>
      </c>
      <c r="G35" s="299"/>
      <c r="H35" s="299">
        <f>H34*H38</f>
        <v>46759.959415600002</v>
      </c>
      <c r="I35" s="299"/>
      <c r="J35" s="299">
        <f>J34*J38</f>
        <v>46299.668250499999</v>
      </c>
      <c r="K35" s="299"/>
      <c r="L35" s="299">
        <f>L34*L38</f>
        <v>17000</v>
      </c>
      <c r="M35" s="299"/>
      <c r="N35" s="299">
        <f>N34*N38</f>
        <v>58045</v>
      </c>
      <c r="O35" s="299"/>
      <c r="P35" s="299">
        <f>P34*P38</f>
        <v>75017</v>
      </c>
      <c r="Q35" s="299"/>
      <c r="R35" s="299"/>
      <c r="S35" s="299"/>
      <c r="T35" s="299"/>
      <c r="U35" s="300"/>
      <c r="V35" s="299">
        <f>SUM(C35:R35)</f>
        <v>682964.1779446</v>
      </c>
      <c r="W35" s="301"/>
      <c r="X35" s="5"/>
    </row>
    <row r="36" spans="1:27" ht="15.75" x14ac:dyDescent="0.25">
      <c r="A36" s="393"/>
      <c r="B36" s="297" t="s">
        <v>288</v>
      </c>
      <c r="C36" s="310"/>
      <c r="D36" s="312">
        <f>D34*D37</f>
        <v>302231.16651090002</v>
      </c>
      <c r="E36" s="310"/>
      <c r="F36" s="312">
        <f>F34*F37</f>
        <v>128446.08409999999</v>
      </c>
      <c r="G36" s="312"/>
      <c r="H36" s="312">
        <f>H34*H37</f>
        <v>45785.618725799999</v>
      </c>
      <c r="I36" s="312"/>
      <c r="J36" s="312">
        <f>J34*J37</f>
        <v>45334.889563699995</v>
      </c>
      <c r="K36" s="312"/>
      <c r="L36" s="312">
        <f>L34*L37</f>
        <v>17000</v>
      </c>
      <c r="M36" s="312"/>
      <c r="N36" s="312">
        <f>N34*N37</f>
        <v>58045</v>
      </c>
      <c r="O36" s="312"/>
      <c r="P36" s="312">
        <f>P34*P37</f>
        <v>75017</v>
      </c>
      <c r="Q36" s="312"/>
      <c r="R36" s="312"/>
      <c r="S36" s="311"/>
      <c r="T36" s="311"/>
      <c r="U36" s="300"/>
      <c r="V36" s="312">
        <f>SUM(C36:R36)</f>
        <v>671859.75890040002</v>
      </c>
      <c r="W36" s="301"/>
      <c r="X36" s="5"/>
    </row>
    <row r="37" spans="1:27" ht="15.75" x14ac:dyDescent="0.25">
      <c r="A37" s="285"/>
      <c r="B37" s="313" t="s">
        <v>130</v>
      </c>
      <c r="C37" s="314"/>
      <c r="D37" s="315">
        <v>0.61310589999999998</v>
      </c>
      <c r="E37" s="315"/>
      <c r="F37" s="315">
        <v>0.61310779999999998</v>
      </c>
      <c r="G37" s="315"/>
      <c r="H37" s="315">
        <v>0.61311539999999998</v>
      </c>
      <c r="I37" s="315"/>
      <c r="J37" s="315">
        <v>0.61310589999999998</v>
      </c>
      <c r="K37" s="315"/>
      <c r="L37" s="315">
        <v>1</v>
      </c>
      <c r="M37" s="315"/>
      <c r="N37" s="315">
        <v>1</v>
      </c>
      <c r="O37" s="315"/>
      <c r="P37" s="315">
        <v>1</v>
      </c>
      <c r="Q37" s="315"/>
      <c r="R37" s="315"/>
      <c r="S37" s="316"/>
      <c r="T37" s="316"/>
      <c r="U37" s="317"/>
      <c r="V37" s="317"/>
      <c r="W37" s="318"/>
      <c r="X37" s="5"/>
    </row>
    <row r="38" spans="1:27" ht="15.75" x14ac:dyDescent="0.25">
      <c r="A38" s="285"/>
      <c r="B38" s="313" t="s">
        <v>131</v>
      </c>
      <c r="C38" s="314"/>
      <c r="D38" s="315">
        <v>0.62615350000000003</v>
      </c>
      <c r="E38" s="315"/>
      <c r="F38" s="315">
        <v>0.62615540000000003</v>
      </c>
      <c r="G38" s="315"/>
      <c r="H38" s="315">
        <v>0.62616280000000002</v>
      </c>
      <c r="I38" s="315"/>
      <c r="J38" s="315">
        <v>0.62615350000000003</v>
      </c>
      <c r="K38" s="315"/>
      <c r="L38" s="315">
        <v>1</v>
      </c>
      <c r="M38" s="315"/>
      <c r="N38" s="315">
        <v>1</v>
      </c>
      <c r="O38" s="315"/>
      <c r="P38" s="315">
        <v>1</v>
      </c>
      <c r="Q38" s="315"/>
      <c r="R38" s="315"/>
      <c r="S38" s="319"/>
      <c r="T38" s="320"/>
      <c r="U38" s="317"/>
      <c r="V38" s="319"/>
      <c r="W38" s="318"/>
      <c r="X38" s="5"/>
    </row>
    <row r="39" spans="1:27" ht="15.75" x14ac:dyDescent="0.25">
      <c r="A39" s="285"/>
      <c r="B39" s="286" t="s">
        <v>11</v>
      </c>
      <c r="C39" s="286"/>
      <c r="D39" s="296" t="s">
        <v>304</v>
      </c>
      <c r="E39" s="286"/>
      <c r="F39" s="296" t="s">
        <v>256</v>
      </c>
      <c r="G39" s="296"/>
      <c r="H39" s="296" t="s">
        <v>257</v>
      </c>
      <c r="I39" s="296"/>
      <c r="J39" s="296" t="s">
        <v>258</v>
      </c>
      <c r="K39" s="296"/>
      <c r="L39" s="296" t="s">
        <v>259</v>
      </c>
      <c r="M39" s="296"/>
      <c r="N39" s="296" t="s">
        <v>259</v>
      </c>
      <c r="O39" s="296"/>
      <c r="P39" s="296" t="s">
        <v>260</v>
      </c>
      <c r="Q39" s="296"/>
      <c r="R39" s="296"/>
      <c r="S39" s="321"/>
      <c r="T39" s="322"/>
      <c r="U39" s="288"/>
      <c r="V39" s="288"/>
      <c r="W39" s="289"/>
      <c r="X39" s="5"/>
    </row>
    <row r="40" spans="1:27" ht="15.75" x14ac:dyDescent="0.25">
      <c r="A40" s="285"/>
      <c r="B40" s="286" t="s">
        <v>12</v>
      </c>
      <c r="C40" s="286"/>
      <c r="D40" s="322">
        <v>9.4999999999999998E-3</v>
      </c>
      <c r="E40" s="286"/>
      <c r="F40" s="322">
        <v>6.3312999999999998E-3</v>
      </c>
      <c r="G40" s="321"/>
      <c r="H40" s="322">
        <v>0</v>
      </c>
      <c r="I40" s="322"/>
      <c r="J40" s="322">
        <v>1.18344E-2</v>
      </c>
      <c r="K40" s="321"/>
      <c r="L40" s="322">
        <v>9.1313000000000002E-3</v>
      </c>
      <c r="M40" s="321"/>
      <c r="N40" s="322">
        <v>2.2399999999999998E-3</v>
      </c>
      <c r="O40" s="321"/>
      <c r="P40" s="322">
        <v>7.8399999999999997E-3</v>
      </c>
      <c r="Q40" s="321"/>
      <c r="R40" s="322"/>
      <c r="S40" s="321"/>
      <c r="T40" s="322"/>
      <c r="U40" s="288"/>
      <c r="V40" s="296"/>
      <c r="W40" s="289"/>
      <c r="X40" s="5"/>
      <c r="AA40" s="1" t="s">
        <v>193</v>
      </c>
    </row>
    <row r="41" spans="1:27" ht="15.75" x14ac:dyDescent="0.25">
      <c r="A41" s="285"/>
      <c r="B41" s="286" t="s">
        <v>13</v>
      </c>
      <c r="C41" s="286"/>
      <c r="D41" s="322">
        <v>7.1817000000000001E-3</v>
      </c>
      <c r="E41" s="286"/>
      <c r="F41" s="322">
        <v>6.4187999999999997E-3</v>
      </c>
      <c r="G41" s="321"/>
      <c r="H41" s="322">
        <v>0</v>
      </c>
      <c r="I41" s="322"/>
      <c r="J41" s="322">
        <v>1.07028E-2</v>
      </c>
      <c r="K41" s="321"/>
      <c r="L41" s="322">
        <v>9.2187999999999992E-3</v>
      </c>
      <c r="M41" s="321"/>
      <c r="N41" s="322">
        <v>2.3800000000000002E-3</v>
      </c>
      <c r="O41" s="321"/>
      <c r="P41" s="322">
        <v>7.9799999999999992E-3</v>
      </c>
      <c r="Q41" s="321"/>
      <c r="R41" s="322"/>
      <c r="S41" s="321"/>
      <c r="T41" s="322"/>
      <c r="U41" s="288"/>
      <c r="V41" s="321" t="s">
        <v>193</v>
      </c>
      <c r="W41" s="289"/>
      <c r="X41" s="5"/>
    </row>
    <row r="42" spans="1:27" ht="15.75" x14ac:dyDescent="0.25">
      <c r="A42" s="285"/>
      <c r="B42" s="286" t="s">
        <v>289</v>
      </c>
      <c r="C42" s="286"/>
      <c r="D42" s="296" t="s">
        <v>311</v>
      </c>
      <c r="E42" s="286"/>
      <c r="F42" s="296" t="s">
        <v>256</v>
      </c>
      <c r="G42" s="296"/>
      <c r="H42" s="296" t="s">
        <v>261</v>
      </c>
      <c r="I42" s="296"/>
      <c r="J42" s="296" t="s">
        <v>261</v>
      </c>
      <c r="K42" s="296"/>
      <c r="L42" s="296" t="s">
        <v>259</v>
      </c>
      <c r="M42" s="296"/>
      <c r="N42" s="296" t="s">
        <v>263</v>
      </c>
      <c r="O42" s="296"/>
      <c r="P42" s="296" t="s">
        <v>264</v>
      </c>
      <c r="Q42" s="296"/>
      <c r="R42" s="296"/>
      <c r="S42" s="321"/>
      <c r="T42" s="322"/>
      <c r="U42" s="288"/>
      <c r="V42" s="288"/>
      <c r="W42" s="289"/>
      <c r="X42" s="5"/>
    </row>
    <row r="43" spans="1:27" ht="15.75" x14ac:dyDescent="0.25">
      <c r="A43" s="285"/>
      <c r="B43" s="286" t="s">
        <v>290</v>
      </c>
      <c r="C43" s="323"/>
      <c r="D43" s="322">
        <v>5.7282000000000001E-3</v>
      </c>
      <c r="E43" s="322"/>
      <c r="F43" s="322">
        <f>+F40</f>
        <v>6.3312999999999998E-3</v>
      </c>
      <c r="G43" s="322"/>
      <c r="H43" s="322">
        <v>6.4812999999999997E-3</v>
      </c>
      <c r="I43" s="322"/>
      <c r="J43" s="322">
        <v>6.5113000000000002E-3</v>
      </c>
      <c r="K43" s="322"/>
      <c r="L43" s="322">
        <f>+L40</f>
        <v>9.1313000000000002E-3</v>
      </c>
      <c r="M43" s="322"/>
      <c r="N43" s="322">
        <v>9.8653000000000005E-3</v>
      </c>
      <c r="O43" s="322"/>
      <c r="P43" s="322">
        <v>1.6025299999999999E-2</v>
      </c>
      <c r="Q43" s="321"/>
      <c r="R43" s="322"/>
      <c r="S43" s="296"/>
      <c r="T43" s="296"/>
      <c r="U43" s="288"/>
      <c r="V43" s="321">
        <f>SUMPRODUCT(D43:R43,D35:R35)/V35</f>
        <v>7.5160460476830929E-3</v>
      </c>
      <c r="W43" s="289"/>
      <c r="X43" s="5"/>
    </row>
    <row r="44" spans="1:27" ht="15.75" x14ac:dyDescent="0.25">
      <c r="A44" s="285"/>
      <c r="B44" s="286" t="s">
        <v>291</v>
      </c>
      <c r="C44" s="323"/>
      <c r="D44" s="322">
        <v>5.8157E-3</v>
      </c>
      <c r="E44" s="322"/>
      <c r="F44" s="322">
        <f>+F41</f>
        <v>6.4187999999999997E-3</v>
      </c>
      <c r="G44" s="322"/>
      <c r="H44" s="322">
        <v>6.5687999999999996E-3</v>
      </c>
      <c r="I44" s="322"/>
      <c r="J44" s="322">
        <v>6.5988000000000002E-3</v>
      </c>
      <c r="K44" s="322"/>
      <c r="L44" s="322">
        <f>+L41</f>
        <v>9.2187999999999992E-3</v>
      </c>
      <c r="M44" s="322"/>
      <c r="N44" s="322">
        <v>9.9527999999999995E-3</v>
      </c>
      <c r="O44" s="322"/>
      <c r="P44" s="322">
        <v>1.61128E-2</v>
      </c>
      <c r="Q44" s="321"/>
      <c r="R44" s="322"/>
      <c r="S44" s="296"/>
      <c r="T44" s="296"/>
      <c r="U44" s="288"/>
      <c r="V44" s="288"/>
      <c r="W44" s="289"/>
      <c r="X44" s="5"/>
    </row>
    <row r="45" spans="1:27" ht="15.75" x14ac:dyDescent="0.25">
      <c r="A45" s="285"/>
      <c r="B45" s="286" t="s">
        <v>14</v>
      </c>
      <c r="C45" s="286"/>
      <c r="D45" s="323">
        <v>40709</v>
      </c>
      <c r="E45" s="323"/>
      <c r="F45" s="323">
        <v>40709</v>
      </c>
      <c r="G45" s="323"/>
      <c r="H45" s="323">
        <v>40709</v>
      </c>
      <c r="I45" s="323"/>
      <c r="J45" s="323">
        <v>40709</v>
      </c>
      <c r="K45" s="323"/>
      <c r="L45" s="323">
        <v>40709</v>
      </c>
      <c r="M45" s="323"/>
      <c r="N45" s="323">
        <v>40709</v>
      </c>
      <c r="O45" s="323"/>
      <c r="P45" s="323">
        <v>40709</v>
      </c>
      <c r="Q45" s="323"/>
      <c r="R45" s="323"/>
      <c r="S45" s="296"/>
      <c r="T45" s="296"/>
      <c r="U45" s="288"/>
      <c r="V45" s="288"/>
      <c r="W45" s="289"/>
      <c r="X45" s="5"/>
    </row>
    <row r="46" spans="1:27" ht="15.75" x14ac:dyDescent="0.25">
      <c r="A46" s="285"/>
      <c r="B46" s="286" t="s">
        <v>15</v>
      </c>
      <c r="C46" s="286"/>
      <c r="D46" s="323">
        <v>41075</v>
      </c>
      <c r="E46" s="323"/>
      <c r="F46" s="323">
        <v>41075</v>
      </c>
      <c r="G46" s="323"/>
      <c r="H46" s="323">
        <v>41075</v>
      </c>
      <c r="I46" s="323"/>
      <c r="J46" s="323">
        <v>41075</v>
      </c>
      <c r="K46" s="296"/>
      <c r="L46" s="323">
        <v>41075</v>
      </c>
      <c r="M46" s="296"/>
      <c r="N46" s="323">
        <v>41075</v>
      </c>
      <c r="O46" s="296"/>
      <c r="P46" s="323">
        <v>41075</v>
      </c>
      <c r="Q46" s="296"/>
      <c r="R46" s="323"/>
      <c r="S46" s="296"/>
      <c r="T46" s="296"/>
      <c r="U46" s="288"/>
      <c r="V46" s="288"/>
      <c r="W46" s="289"/>
      <c r="X46" s="5"/>
    </row>
    <row r="47" spans="1:27" ht="15.75" x14ac:dyDescent="0.25">
      <c r="A47" s="285"/>
      <c r="B47" s="286" t="s">
        <v>119</v>
      </c>
      <c r="C47" s="286"/>
      <c r="D47" s="296" t="s">
        <v>304</v>
      </c>
      <c r="E47" s="286"/>
      <c r="F47" s="296" t="s">
        <v>256</v>
      </c>
      <c r="G47" s="296"/>
      <c r="H47" s="296" t="s">
        <v>257</v>
      </c>
      <c r="I47" s="296"/>
      <c r="J47" s="296" t="s">
        <v>258</v>
      </c>
      <c r="K47" s="296"/>
      <c r="L47" s="296" t="s">
        <v>259</v>
      </c>
      <c r="M47" s="296"/>
      <c r="N47" s="296" t="s">
        <v>259</v>
      </c>
      <c r="O47" s="296"/>
      <c r="P47" s="296" t="s">
        <v>260</v>
      </c>
      <c r="Q47" s="296"/>
      <c r="R47" s="296"/>
      <c r="S47" s="325"/>
      <c r="T47" s="325"/>
      <c r="U47" s="325"/>
      <c r="V47" s="325"/>
      <c r="W47" s="289"/>
      <c r="X47" s="5"/>
    </row>
    <row r="48" spans="1:27" ht="15.75" x14ac:dyDescent="0.25">
      <c r="A48" s="285"/>
      <c r="B48" s="286" t="s">
        <v>292</v>
      </c>
      <c r="C48" s="286"/>
      <c r="D48" s="296" t="s">
        <v>311</v>
      </c>
      <c r="E48" s="286"/>
      <c r="F48" s="296" t="s">
        <v>256</v>
      </c>
      <c r="G48" s="296"/>
      <c r="H48" s="296" t="s">
        <v>261</v>
      </c>
      <c r="I48" s="296"/>
      <c r="J48" s="296" t="s">
        <v>261</v>
      </c>
      <c r="K48" s="296"/>
      <c r="L48" s="296" t="s">
        <v>259</v>
      </c>
      <c r="M48" s="296"/>
      <c r="N48" s="296" t="s">
        <v>263</v>
      </c>
      <c r="O48" s="296"/>
      <c r="P48" s="296" t="s">
        <v>264</v>
      </c>
      <c r="Q48" s="296"/>
      <c r="R48" s="296"/>
      <c r="S48" s="286"/>
      <c r="T48" s="286"/>
      <c r="U48" s="286"/>
      <c r="V48" s="321"/>
      <c r="W48" s="289"/>
      <c r="X48" s="5"/>
    </row>
    <row r="49" spans="1:25" ht="15.75" x14ac:dyDescent="0.25">
      <c r="A49" s="285"/>
      <c r="B49" s="286"/>
      <c r="C49" s="286"/>
      <c r="D49" s="296"/>
      <c r="E49" s="286"/>
      <c r="F49" s="296"/>
      <c r="G49" s="296"/>
      <c r="H49" s="296"/>
      <c r="I49" s="296"/>
      <c r="J49" s="296"/>
      <c r="K49" s="296"/>
      <c r="L49" s="296"/>
      <c r="M49" s="296"/>
      <c r="N49" s="296"/>
      <c r="O49" s="296"/>
      <c r="P49" s="296"/>
      <c r="Q49" s="296"/>
      <c r="R49" s="296"/>
      <c r="S49" s="286"/>
      <c r="T49" s="286"/>
      <c r="U49" s="286"/>
      <c r="V49" s="321" t="s">
        <v>193</v>
      </c>
      <c r="W49" s="289"/>
      <c r="X49" s="5"/>
    </row>
    <row r="50" spans="1:25" ht="15.75" x14ac:dyDescent="0.25">
      <c r="A50" s="285"/>
      <c r="B50" s="286" t="s">
        <v>169</v>
      </c>
      <c r="C50" s="286"/>
      <c r="D50" s="296"/>
      <c r="E50" s="286"/>
      <c r="F50" s="296"/>
      <c r="G50" s="296"/>
      <c r="H50" s="296"/>
      <c r="I50" s="296"/>
      <c r="J50" s="296"/>
      <c r="K50" s="296"/>
      <c r="L50" s="296"/>
      <c r="M50" s="296"/>
      <c r="N50" s="296"/>
      <c r="O50" s="296"/>
      <c r="P50" s="296"/>
      <c r="Q50" s="296"/>
      <c r="R50" s="296"/>
      <c r="S50" s="286"/>
      <c r="T50" s="286"/>
      <c r="U50" s="286"/>
      <c r="V50" s="321">
        <f>SUM(L34:R34)/SUM(D34:J34)</f>
        <v>0.17632136449250416</v>
      </c>
      <c r="W50" s="289"/>
      <c r="X50" s="5"/>
    </row>
    <row r="51" spans="1:25" ht="15.75" x14ac:dyDescent="0.25">
      <c r="A51" s="285"/>
      <c r="B51" s="286" t="s">
        <v>170</v>
      </c>
      <c r="C51" s="286"/>
      <c r="D51" s="286"/>
      <c r="E51" s="286"/>
      <c r="F51" s="326"/>
      <c r="G51" s="286"/>
      <c r="H51" s="286"/>
      <c r="I51" s="286"/>
      <c r="J51" s="286"/>
      <c r="K51" s="286"/>
      <c r="L51" s="286"/>
      <c r="M51" s="286"/>
      <c r="N51" s="286"/>
      <c r="O51" s="286"/>
      <c r="P51" s="286"/>
      <c r="Q51" s="286"/>
      <c r="R51" s="286"/>
      <c r="S51" s="286"/>
      <c r="T51" s="286"/>
      <c r="U51" s="286"/>
      <c r="V51" s="321">
        <f>SUM(L36:R36)/SUM(D36:J36)</f>
        <v>0.28758651688391712</v>
      </c>
      <c r="W51" s="289"/>
      <c r="X51" s="5"/>
    </row>
    <row r="52" spans="1:25" ht="15.75" x14ac:dyDescent="0.25">
      <c r="A52" s="285"/>
      <c r="B52" s="286" t="s">
        <v>171</v>
      </c>
      <c r="C52" s="286"/>
      <c r="D52" s="286"/>
      <c r="E52" s="286"/>
      <c r="F52" s="286"/>
      <c r="G52" s="286"/>
      <c r="H52" s="286"/>
      <c r="I52" s="286"/>
      <c r="J52" s="286"/>
      <c r="K52" s="286"/>
      <c r="L52" s="286"/>
      <c r="M52" s="286"/>
      <c r="N52" s="286"/>
      <c r="O52" s="286"/>
      <c r="P52" s="286"/>
      <c r="Q52" s="286"/>
      <c r="R52" s="286"/>
      <c r="S52" s="286"/>
      <c r="T52" s="296"/>
      <c r="U52" s="296"/>
      <c r="V52" s="299" t="s">
        <v>268</v>
      </c>
      <c r="W52" s="289"/>
      <c r="X52" s="5"/>
    </row>
    <row r="53" spans="1:25" ht="15.75" x14ac:dyDescent="0.25">
      <c r="A53" s="285"/>
      <c r="B53" s="286"/>
      <c r="C53" s="286"/>
      <c r="D53" s="286"/>
      <c r="E53" s="286"/>
      <c r="F53" s="286"/>
      <c r="G53" s="286"/>
      <c r="H53" s="286"/>
      <c r="I53" s="286"/>
      <c r="J53" s="286"/>
      <c r="K53" s="286"/>
      <c r="L53" s="286"/>
      <c r="M53" s="286"/>
      <c r="N53" s="286"/>
      <c r="O53" s="286"/>
      <c r="P53" s="286"/>
      <c r="Q53" s="286"/>
      <c r="R53" s="286"/>
      <c r="S53" s="286"/>
      <c r="T53" s="286"/>
      <c r="U53" s="286"/>
      <c r="V53" s="327"/>
      <c r="W53" s="289"/>
      <c r="X53" s="5"/>
    </row>
    <row r="54" spans="1:25" ht="15.75" x14ac:dyDescent="0.25">
      <c r="A54" s="285"/>
      <c r="B54" s="286" t="s">
        <v>202</v>
      </c>
      <c r="C54" s="286"/>
      <c r="D54" s="286"/>
      <c r="E54" s="286"/>
      <c r="F54" s="286"/>
      <c r="G54" s="286"/>
      <c r="H54" s="286"/>
      <c r="I54" s="286"/>
      <c r="J54" s="286"/>
      <c r="K54" s="286"/>
      <c r="L54" s="286"/>
      <c r="M54" s="286"/>
      <c r="N54" s="286"/>
      <c r="O54" s="286"/>
      <c r="P54" s="286"/>
      <c r="Q54" s="286"/>
      <c r="R54" s="286"/>
      <c r="S54" s="286"/>
      <c r="T54" s="286"/>
      <c r="U54" s="286"/>
      <c r="V54" s="311" t="s">
        <v>203</v>
      </c>
      <c r="W54" s="289"/>
      <c r="X54" s="5"/>
    </row>
    <row r="55" spans="1:25" ht="15.75" x14ac:dyDescent="0.25">
      <c r="A55" s="285"/>
      <c r="B55" s="286" t="s">
        <v>270</v>
      </c>
      <c r="C55" s="286"/>
      <c r="D55" s="286"/>
      <c r="E55" s="286"/>
      <c r="F55" s="286"/>
      <c r="G55" s="286"/>
      <c r="H55" s="286"/>
      <c r="I55" s="286"/>
      <c r="J55" s="286"/>
      <c r="K55" s="286"/>
      <c r="L55" s="286"/>
      <c r="M55" s="286"/>
      <c r="N55" s="286"/>
      <c r="O55" s="286"/>
      <c r="P55" s="286"/>
      <c r="Q55" s="286"/>
      <c r="R55" s="286"/>
      <c r="S55" s="286"/>
      <c r="T55" s="296"/>
      <c r="U55" s="296"/>
      <c r="V55" s="396" t="s">
        <v>111</v>
      </c>
      <c r="W55" s="289"/>
      <c r="X55" s="5"/>
    </row>
    <row r="56" spans="1:25" ht="15.75" x14ac:dyDescent="0.25">
      <c r="A56" s="285"/>
      <c r="B56" s="297" t="s">
        <v>201</v>
      </c>
      <c r="C56" s="297"/>
      <c r="D56" s="297"/>
      <c r="E56" s="297"/>
      <c r="F56" s="297"/>
      <c r="G56" s="297"/>
      <c r="H56" s="297"/>
      <c r="I56" s="297"/>
      <c r="J56" s="297"/>
      <c r="K56" s="297"/>
      <c r="L56" s="297"/>
      <c r="M56" s="297"/>
      <c r="N56" s="297"/>
      <c r="O56" s="297"/>
      <c r="P56" s="297"/>
      <c r="Q56" s="297"/>
      <c r="R56" s="297"/>
      <c r="S56" s="297"/>
      <c r="T56" s="397"/>
      <c r="U56" s="397"/>
      <c r="V56" s="398">
        <v>42809</v>
      </c>
      <c r="W56" s="289"/>
      <c r="X56" s="5"/>
    </row>
    <row r="57" spans="1:25" ht="15.75" x14ac:dyDescent="0.25">
      <c r="A57" s="285"/>
      <c r="B57" s="286" t="s">
        <v>121</v>
      </c>
      <c r="C57" s="286"/>
      <c r="D57" s="286"/>
      <c r="E57" s="286"/>
      <c r="F57" s="286"/>
      <c r="G57" s="286"/>
      <c r="H57" s="332"/>
      <c r="I57" s="332"/>
      <c r="J57" s="332"/>
      <c r="K57" s="332"/>
      <c r="L57" s="332"/>
      <c r="M57" s="332"/>
      <c r="N57" s="332"/>
      <c r="O57" s="332"/>
      <c r="P57" s="332"/>
      <c r="Q57" s="332"/>
      <c r="R57" s="286">
        <f>+V57-T57+1</f>
        <v>91</v>
      </c>
      <c r="S57" s="332"/>
      <c r="T57" s="333">
        <v>42628</v>
      </c>
      <c r="U57" s="334"/>
      <c r="V57" s="333">
        <v>42718</v>
      </c>
      <c r="W57" s="289"/>
      <c r="X57" s="5"/>
    </row>
    <row r="58" spans="1:25" ht="15.75" x14ac:dyDescent="0.25">
      <c r="A58" s="285"/>
      <c r="B58" s="286" t="s">
        <v>122</v>
      </c>
      <c r="C58" s="286"/>
      <c r="D58" s="286"/>
      <c r="E58" s="286"/>
      <c r="F58" s="286"/>
      <c r="G58" s="286"/>
      <c r="H58" s="286"/>
      <c r="I58" s="286"/>
      <c r="J58" s="286"/>
      <c r="K58" s="286"/>
      <c r="L58" s="286"/>
      <c r="M58" s="286"/>
      <c r="N58" s="286"/>
      <c r="O58" s="286"/>
      <c r="P58" s="286"/>
      <c r="Q58" s="286"/>
      <c r="R58" s="286">
        <f>+V58-T58+1</f>
        <v>90</v>
      </c>
      <c r="S58" s="286"/>
      <c r="T58" s="333">
        <v>42719</v>
      </c>
      <c r="U58" s="334"/>
      <c r="V58" s="333">
        <v>42808</v>
      </c>
      <c r="W58" s="289"/>
      <c r="X58" s="5"/>
    </row>
    <row r="59" spans="1:25" ht="15.75" x14ac:dyDescent="0.25">
      <c r="A59" s="285"/>
      <c r="B59" s="286" t="s">
        <v>223</v>
      </c>
      <c r="C59" s="286"/>
      <c r="D59" s="286"/>
      <c r="E59" s="286"/>
      <c r="F59" s="286"/>
      <c r="G59" s="286"/>
      <c r="H59" s="286"/>
      <c r="I59" s="286"/>
      <c r="J59" s="286"/>
      <c r="K59" s="286"/>
      <c r="L59" s="286"/>
      <c r="M59" s="286"/>
      <c r="N59" s="286"/>
      <c r="O59" s="286"/>
      <c r="P59" s="286"/>
      <c r="Q59" s="286"/>
      <c r="R59" s="286"/>
      <c r="S59" s="286"/>
      <c r="T59" s="333"/>
      <c r="U59" s="334"/>
      <c r="V59" s="333" t="s">
        <v>120</v>
      </c>
      <c r="W59" s="289"/>
      <c r="X59" s="5"/>
    </row>
    <row r="60" spans="1:25" ht="15.75" x14ac:dyDescent="0.25">
      <c r="A60" s="285"/>
      <c r="B60" s="286" t="s">
        <v>271</v>
      </c>
      <c r="C60" s="286"/>
      <c r="D60" s="286"/>
      <c r="E60" s="286"/>
      <c r="F60" s="286"/>
      <c r="G60" s="286"/>
      <c r="H60" s="286"/>
      <c r="I60" s="286"/>
      <c r="J60" s="286"/>
      <c r="K60" s="286"/>
      <c r="L60" s="286"/>
      <c r="M60" s="286"/>
      <c r="N60" s="286"/>
      <c r="O60" s="286"/>
      <c r="P60" s="286"/>
      <c r="Q60" s="286"/>
      <c r="R60" s="286"/>
      <c r="S60" s="286"/>
      <c r="T60" s="333"/>
      <c r="U60" s="334"/>
      <c r="V60" s="333" t="s">
        <v>154</v>
      </c>
      <c r="W60" s="289"/>
      <c r="X60" s="5"/>
      <c r="Y60" s="133"/>
    </row>
    <row r="61" spans="1:25" ht="15.75" x14ac:dyDescent="0.25">
      <c r="A61" s="285"/>
      <c r="B61" s="286" t="s">
        <v>16</v>
      </c>
      <c r="C61" s="286"/>
      <c r="D61" s="286"/>
      <c r="E61" s="286"/>
      <c r="F61" s="286"/>
      <c r="G61" s="286"/>
      <c r="H61" s="286"/>
      <c r="I61" s="286"/>
      <c r="J61" s="286"/>
      <c r="K61" s="286"/>
      <c r="L61" s="286"/>
      <c r="M61" s="286"/>
      <c r="N61" s="286"/>
      <c r="O61" s="286"/>
      <c r="P61" s="286"/>
      <c r="Q61" s="286"/>
      <c r="R61" s="286"/>
      <c r="S61" s="286"/>
      <c r="T61" s="333"/>
      <c r="U61" s="334"/>
      <c r="V61" s="333">
        <v>42795</v>
      </c>
      <c r="W61" s="289"/>
      <c r="X61" s="5"/>
    </row>
    <row r="62" spans="1:25" ht="15.75" x14ac:dyDescent="0.25">
      <c r="A62" s="181"/>
      <c r="B62" s="212"/>
      <c r="C62" s="212"/>
      <c r="D62" s="212"/>
      <c r="E62" s="212"/>
      <c r="F62" s="212"/>
      <c r="G62" s="212"/>
      <c r="H62" s="212"/>
      <c r="I62" s="212"/>
      <c r="J62" s="212"/>
      <c r="K62" s="212"/>
      <c r="L62" s="212"/>
      <c r="M62" s="212"/>
      <c r="N62" s="212"/>
      <c r="O62" s="212"/>
      <c r="P62" s="212"/>
      <c r="Q62" s="212"/>
      <c r="R62" s="212"/>
      <c r="S62" s="212"/>
      <c r="T62" s="283"/>
      <c r="U62" s="284"/>
      <c r="V62" s="283"/>
      <c r="W62" s="212"/>
      <c r="X62" s="5"/>
    </row>
    <row r="63" spans="1:25" ht="15.75" x14ac:dyDescent="0.25">
      <c r="A63" s="181"/>
      <c r="B63" s="183"/>
      <c r="C63" s="183"/>
      <c r="D63" s="183"/>
      <c r="E63" s="183"/>
      <c r="F63" s="183"/>
      <c r="G63" s="183"/>
      <c r="H63" s="183"/>
      <c r="I63" s="183"/>
      <c r="J63" s="183"/>
      <c r="K63" s="183"/>
      <c r="L63" s="183"/>
      <c r="M63" s="183"/>
      <c r="N63" s="183"/>
      <c r="O63" s="183"/>
      <c r="P63" s="183"/>
      <c r="Q63" s="183"/>
      <c r="R63" s="183"/>
      <c r="S63" s="183"/>
      <c r="T63" s="195"/>
      <c r="U63" s="196"/>
      <c r="V63" s="195"/>
      <c r="W63" s="183"/>
      <c r="X63" s="5"/>
    </row>
    <row r="64" spans="1:25" ht="19.5" thickBot="1" x14ac:dyDescent="0.35">
      <c r="A64" s="197"/>
      <c r="B64" s="270" t="s">
        <v>338</v>
      </c>
      <c r="C64" s="198"/>
      <c r="D64" s="198"/>
      <c r="E64" s="198"/>
      <c r="F64" s="198"/>
      <c r="G64" s="198"/>
      <c r="H64" s="198"/>
      <c r="I64" s="198"/>
      <c r="J64" s="198"/>
      <c r="K64" s="198"/>
      <c r="L64" s="198"/>
      <c r="M64" s="198"/>
      <c r="N64" s="198"/>
      <c r="O64" s="198"/>
      <c r="P64" s="198"/>
      <c r="Q64" s="198"/>
      <c r="R64" s="198"/>
      <c r="S64" s="198"/>
      <c r="T64" s="198"/>
      <c r="U64" s="198"/>
      <c r="V64" s="199"/>
      <c r="W64" s="200"/>
      <c r="X64" s="5"/>
    </row>
    <row r="65" spans="1:24" ht="15.75" x14ac:dyDescent="0.25">
      <c r="A65" s="224"/>
      <c r="B65" s="230" t="s">
        <v>17</v>
      </c>
      <c r="C65" s="225"/>
      <c r="D65" s="225"/>
      <c r="E65" s="225"/>
      <c r="F65" s="225"/>
      <c r="G65" s="225"/>
      <c r="H65" s="225"/>
      <c r="I65" s="225"/>
      <c r="J65" s="225"/>
      <c r="K65" s="225"/>
      <c r="L65" s="225"/>
      <c r="M65" s="225"/>
      <c r="N65" s="225"/>
      <c r="O65" s="225"/>
      <c r="P65" s="225"/>
      <c r="Q65" s="225"/>
      <c r="R65" s="225"/>
      <c r="S65" s="225"/>
      <c r="T65" s="225"/>
      <c r="U65" s="225"/>
      <c r="V65" s="231"/>
      <c r="W65" s="225"/>
      <c r="X65" s="5"/>
    </row>
    <row r="66" spans="1:24" ht="15.75" x14ac:dyDescent="0.25">
      <c r="A66" s="181"/>
      <c r="B66" s="189"/>
      <c r="C66" s="183"/>
      <c r="D66" s="183"/>
      <c r="E66" s="183"/>
      <c r="F66" s="183"/>
      <c r="G66" s="183"/>
      <c r="H66" s="183"/>
      <c r="I66" s="183"/>
      <c r="J66" s="183"/>
      <c r="K66" s="183"/>
      <c r="L66" s="183"/>
      <c r="M66" s="183"/>
      <c r="N66" s="183"/>
      <c r="O66" s="183"/>
      <c r="P66" s="183"/>
      <c r="Q66" s="183"/>
      <c r="R66" s="183"/>
      <c r="S66" s="183"/>
      <c r="T66" s="183"/>
      <c r="U66" s="183"/>
      <c r="V66" s="202"/>
      <c r="W66" s="183"/>
      <c r="X66" s="5"/>
    </row>
    <row r="67" spans="1:24" ht="47.25" x14ac:dyDescent="0.25">
      <c r="A67" s="181"/>
      <c r="B67" s="203" t="s">
        <v>18</v>
      </c>
      <c r="C67" s="204"/>
      <c r="D67" s="204"/>
      <c r="E67" s="204"/>
      <c r="F67" s="204"/>
      <c r="G67" s="204"/>
      <c r="H67" s="204"/>
      <c r="I67" s="204"/>
      <c r="J67" s="204"/>
      <c r="K67" s="204"/>
      <c r="L67" s="204" t="s">
        <v>94</v>
      </c>
      <c r="M67" s="204"/>
      <c r="N67" s="204" t="s">
        <v>96</v>
      </c>
      <c r="O67" s="204"/>
      <c r="P67" s="204" t="s">
        <v>98</v>
      </c>
      <c r="Q67" s="204"/>
      <c r="R67" s="204" t="s">
        <v>100</v>
      </c>
      <c r="S67" s="204"/>
      <c r="T67" s="204" t="s">
        <v>106</v>
      </c>
      <c r="U67" s="204"/>
      <c r="V67" s="205" t="s">
        <v>112</v>
      </c>
      <c r="W67" s="206"/>
      <c r="X67" s="5"/>
    </row>
    <row r="68" spans="1:24" ht="15.75" x14ac:dyDescent="0.25">
      <c r="A68" s="285"/>
      <c r="B68" s="286" t="s">
        <v>19</v>
      </c>
      <c r="C68" s="337"/>
      <c r="D68" s="337"/>
      <c r="E68" s="337"/>
      <c r="F68" s="337"/>
      <c r="G68" s="337"/>
      <c r="H68" s="337"/>
      <c r="I68" s="337"/>
      <c r="J68" s="337"/>
      <c r="K68" s="337"/>
      <c r="L68" s="337">
        <v>812446</v>
      </c>
      <c r="M68" s="337"/>
      <c r="N68" s="338">
        <v>682964</v>
      </c>
      <c r="O68" s="337"/>
      <c r="P68" s="337">
        <f>11104+45</f>
        <v>11149</v>
      </c>
      <c r="Q68" s="337"/>
      <c r="R68" s="337">
        <v>45</v>
      </c>
      <c r="S68" s="337"/>
      <c r="T68" s="337">
        <v>0</v>
      </c>
      <c r="U68" s="337"/>
      <c r="V68" s="338">
        <f>+N68-P68+R68-T68</f>
        <v>671860</v>
      </c>
      <c r="W68" s="289"/>
      <c r="X68" s="5"/>
    </row>
    <row r="69" spans="1:24" ht="15.75" x14ac:dyDescent="0.25">
      <c r="A69" s="285"/>
      <c r="B69" s="286" t="s">
        <v>20</v>
      </c>
      <c r="C69" s="337"/>
      <c r="D69" s="337"/>
      <c r="E69" s="337"/>
      <c r="F69" s="337"/>
      <c r="G69" s="337"/>
      <c r="H69" s="337"/>
      <c r="I69" s="337"/>
      <c r="J69" s="337"/>
      <c r="K69" s="337"/>
      <c r="L69" s="337">
        <v>0</v>
      </c>
      <c r="M69" s="337"/>
      <c r="N69" s="338">
        <v>0</v>
      </c>
      <c r="O69" s="337"/>
      <c r="P69" s="337">
        <v>0</v>
      </c>
      <c r="Q69" s="337"/>
      <c r="R69" s="337">
        <v>0</v>
      </c>
      <c r="S69" s="337"/>
      <c r="T69" s="337">
        <v>0</v>
      </c>
      <c r="U69" s="337"/>
      <c r="V69" s="338">
        <f>+L69-P69</f>
        <v>0</v>
      </c>
      <c r="W69" s="289"/>
      <c r="X69" s="5"/>
    </row>
    <row r="70" spans="1:24" ht="15.75" x14ac:dyDescent="0.25">
      <c r="A70" s="285"/>
      <c r="B70" s="286"/>
      <c r="C70" s="337"/>
      <c r="D70" s="337"/>
      <c r="E70" s="337"/>
      <c r="F70" s="337"/>
      <c r="G70" s="337"/>
      <c r="H70" s="337"/>
      <c r="I70" s="337"/>
      <c r="J70" s="337"/>
      <c r="K70" s="337"/>
      <c r="L70" s="337"/>
      <c r="M70" s="337"/>
      <c r="N70" s="338"/>
      <c r="O70" s="337"/>
      <c r="P70" s="337"/>
      <c r="Q70" s="337"/>
      <c r="R70" s="337"/>
      <c r="S70" s="337"/>
      <c r="T70" s="337"/>
      <c r="U70" s="337"/>
      <c r="V70" s="338"/>
      <c r="W70" s="289"/>
      <c r="X70" s="5"/>
    </row>
    <row r="71" spans="1:24" ht="15.75" x14ac:dyDescent="0.25">
      <c r="A71" s="285"/>
      <c r="B71" s="286" t="s">
        <v>21</v>
      </c>
      <c r="C71" s="337"/>
      <c r="D71" s="337"/>
      <c r="E71" s="337"/>
      <c r="F71" s="337"/>
      <c r="G71" s="337"/>
      <c r="H71" s="337"/>
      <c r="I71" s="337"/>
      <c r="J71" s="337"/>
      <c r="K71" s="337"/>
      <c r="L71" s="337">
        <f>SUM(L68:L70)</f>
        <v>812446</v>
      </c>
      <c r="M71" s="337"/>
      <c r="N71" s="337">
        <f>N68+N69</f>
        <v>682964</v>
      </c>
      <c r="O71" s="337"/>
      <c r="P71" s="337">
        <f>SUM(P68:P70)</f>
        <v>11149</v>
      </c>
      <c r="Q71" s="337"/>
      <c r="R71" s="337">
        <f>SUM(R68:R70)</f>
        <v>45</v>
      </c>
      <c r="S71" s="337"/>
      <c r="T71" s="337">
        <f>SUM(T68:T70)</f>
        <v>0</v>
      </c>
      <c r="U71" s="337"/>
      <c r="V71" s="337">
        <f>SUM(V68:V70)</f>
        <v>671860</v>
      </c>
      <c r="W71" s="289"/>
      <c r="X71" s="5"/>
    </row>
    <row r="72" spans="1:24" ht="15.75" x14ac:dyDescent="0.25">
      <c r="A72" s="181"/>
      <c r="B72" s="212"/>
      <c r="C72" s="335"/>
      <c r="D72" s="335"/>
      <c r="E72" s="335"/>
      <c r="F72" s="335"/>
      <c r="G72" s="335"/>
      <c r="H72" s="335"/>
      <c r="I72" s="335"/>
      <c r="J72" s="335"/>
      <c r="K72" s="335"/>
      <c r="L72" s="335"/>
      <c r="M72" s="335"/>
      <c r="N72" s="335"/>
      <c r="O72" s="335"/>
      <c r="P72" s="335"/>
      <c r="Q72" s="335"/>
      <c r="R72" s="335"/>
      <c r="S72" s="335"/>
      <c r="T72" s="335"/>
      <c r="U72" s="335"/>
      <c r="V72" s="336"/>
      <c r="W72" s="212"/>
      <c r="X72" s="5"/>
    </row>
    <row r="73" spans="1:24" ht="15.75" x14ac:dyDescent="0.25">
      <c r="A73" s="181"/>
      <c r="B73" s="185" t="s">
        <v>22</v>
      </c>
      <c r="C73" s="207"/>
      <c r="D73" s="207"/>
      <c r="E73" s="207"/>
      <c r="F73" s="207"/>
      <c r="G73" s="207"/>
      <c r="H73" s="207"/>
      <c r="I73" s="207"/>
      <c r="J73" s="207"/>
      <c r="K73" s="207"/>
      <c r="L73" s="207"/>
      <c r="M73" s="207"/>
      <c r="N73" s="207"/>
      <c r="O73" s="207"/>
      <c r="P73" s="207"/>
      <c r="Q73" s="207"/>
      <c r="R73" s="207"/>
      <c r="S73" s="207"/>
      <c r="T73" s="207"/>
      <c r="U73" s="207"/>
      <c r="V73" s="208"/>
      <c r="W73" s="183"/>
      <c r="X73" s="5"/>
    </row>
    <row r="74" spans="1:24" ht="15.75" x14ac:dyDescent="0.25">
      <c r="A74" s="181"/>
      <c r="B74" s="183"/>
      <c r="C74" s="207"/>
      <c r="D74" s="207"/>
      <c r="E74" s="207"/>
      <c r="F74" s="207"/>
      <c r="G74" s="207"/>
      <c r="H74" s="207"/>
      <c r="I74" s="207"/>
      <c r="J74" s="207"/>
      <c r="K74" s="207"/>
      <c r="L74" s="207"/>
      <c r="M74" s="207"/>
      <c r="N74" s="207"/>
      <c r="O74" s="207"/>
      <c r="P74" s="207"/>
      <c r="Q74" s="207"/>
      <c r="R74" s="207"/>
      <c r="S74" s="207"/>
      <c r="T74" s="207"/>
      <c r="U74" s="207"/>
      <c r="V74" s="208"/>
      <c r="W74" s="183"/>
      <c r="X74" s="5"/>
    </row>
    <row r="75" spans="1:24" ht="15.75" x14ac:dyDescent="0.25">
      <c r="A75" s="285"/>
      <c r="B75" s="286" t="s">
        <v>19</v>
      </c>
      <c r="C75" s="337"/>
      <c r="D75" s="337"/>
      <c r="E75" s="337"/>
      <c r="F75" s="337"/>
      <c r="G75" s="337"/>
      <c r="H75" s="337"/>
      <c r="I75" s="337"/>
      <c r="J75" s="337"/>
      <c r="K75" s="337"/>
      <c r="L75" s="337"/>
      <c r="M75" s="337"/>
      <c r="N75" s="337"/>
      <c r="O75" s="337"/>
      <c r="P75" s="337"/>
      <c r="Q75" s="337"/>
      <c r="R75" s="337"/>
      <c r="S75" s="337"/>
      <c r="T75" s="337"/>
      <c r="U75" s="337"/>
      <c r="V75" s="337"/>
      <c r="W75" s="289"/>
      <c r="X75" s="5"/>
    </row>
    <row r="76" spans="1:24" ht="15.75" x14ac:dyDescent="0.25">
      <c r="A76" s="285"/>
      <c r="B76" s="286" t="s">
        <v>20</v>
      </c>
      <c r="C76" s="337"/>
      <c r="D76" s="337"/>
      <c r="E76" s="337"/>
      <c r="F76" s="337"/>
      <c r="G76" s="337"/>
      <c r="H76" s="337"/>
      <c r="I76" s="337"/>
      <c r="J76" s="337"/>
      <c r="K76" s="337"/>
      <c r="L76" s="337"/>
      <c r="M76" s="337"/>
      <c r="N76" s="337"/>
      <c r="O76" s="337"/>
      <c r="P76" s="337"/>
      <c r="Q76" s="337"/>
      <c r="R76" s="337"/>
      <c r="S76" s="337"/>
      <c r="T76" s="337"/>
      <c r="U76" s="337"/>
      <c r="V76" s="337"/>
      <c r="W76" s="289"/>
      <c r="X76" s="5"/>
    </row>
    <row r="77" spans="1:24" ht="15.75" x14ac:dyDescent="0.25">
      <c r="A77" s="285"/>
      <c r="B77" s="286"/>
      <c r="C77" s="337"/>
      <c r="D77" s="337"/>
      <c r="E77" s="337"/>
      <c r="F77" s="337"/>
      <c r="G77" s="337"/>
      <c r="H77" s="337"/>
      <c r="I77" s="337"/>
      <c r="J77" s="337"/>
      <c r="K77" s="337"/>
      <c r="L77" s="337"/>
      <c r="M77" s="337"/>
      <c r="N77" s="337"/>
      <c r="O77" s="337"/>
      <c r="P77" s="337"/>
      <c r="Q77" s="337"/>
      <c r="R77" s="337"/>
      <c r="S77" s="337"/>
      <c r="T77" s="337"/>
      <c r="U77" s="337"/>
      <c r="V77" s="337"/>
      <c r="W77" s="289"/>
      <c r="X77" s="5"/>
    </row>
    <row r="78" spans="1:24" ht="15.75" x14ac:dyDescent="0.25">
      <c r="A78" s="285"/>
      <c r="B78" s="286" t="s">
        <v>21</v>
      </c>
      <c r="C78" s="337"/>
      <c r="D78" s="337"/>
      <c r="E78" s="337"/>
      <c r="F78" s="337"/>
      <c r="G78" s="337"/>
      <c r="H78" s="337"/>
      <c r="I78" s="337"/>
      <c r="J78" s="337"/>
      <c r="K78" s="337"/>
      <c r="L78" s="337"/>
      <c r="M78" s="337"/>
      <c r="N78" s="337"/>
      <c r="O78" s="337"/>
      <c r="P78" s="337"/>
      <c r="Q78" s="337"/>
      <c r="R78" s="337"/>
      <c r="S78" s="337"/>
      <c r="T78" s="337"/>
      <c r="U78" s="337"/>
      <c r="V78" s="337"/>
      <c r="W78" s="289"/>
      <c r="X78" s="5"/>
    </row>
    <row r="79" spans="1:24" ht="15.75" x14ac:dyDescent="0.25">
      <c r="A79" s="285"/>
      <c r="B79" s="286"/>
      <c r="C79" s="337"/>
      <c r="D79" s="337"/>
      <c r="E79" s="337"/>
      <c r="F79" s="337"/>
      <c r="G79" s="337"/>
      <c r="H79" s="337"/>
      <c r="I79" s="337"/>
      <c r="J79" s="337"/>
      <c r="K79" s="337"/>
      <c r="L79" s="337"/>
      <c r="M79" s="337"/>
      <c r="N79" s="337"/>
      <c r="O79" s="337"/>
      <c r="P79" s="337"/>
      <c r="Q79" s="337"/>
      <c r="R79" s="337"/>
      <c r="S79" s="337"/>
      <c r="T79" s="337"/>
      <c r="U79" s="337"/>
      <c r="V79" s="337"/>
      <c r="W79" s="289"/>
      <c r="X79" s="5"/>
    </row>
    <row r="80" spans="1:24" ht="15.75" x14ac:dyDescent="0.25">
      <c r="A80" s="285"/>
      <c r="B80" s="286" t="s">
        <v>23</v>
      </c>
      <c r="C80" s="337"/>
      <c r="D80" s="337"/>
      <c r="E80" s="337"/>
      <c r="F80" s="337"/>
      <c r="G80" s="337"/>
      <c r="H80" s="337"/>
      <c r="I80" s="337"/>
      <c r="J80" s="337"/>
      <c r="K80" s="337"/>
      <c r="L80" s="337">
        <v>0</v>
      </c>
      <c r="M80" s="337"/>
      <c r="N80" s="337">
        <v>0</v>
      </c>
      <c r="O80" s="337"/>
      <c r="P80" s="337"/>
      <c r="Q80" s="337"/>
      <c r="R80" s="337"/>
      <c r="S80" s="337"/>
      <c r="T80" s="337"/>
      <c r="U80" s="337"/>
      <c r="V80" s="338">
        <v>0</v>
      </c>
      <c r="W80" s="289"/>
      <c r="X80" s="5"/>
    </row>
    <row r="81" spans="1:24" ht="15.75" x14ac:dyDescent="0.25">
      <c r="A81" s="285"/>
      <c r="B81" s="286" t="s">
        <v>117</v>
      </c>
      <c r="C81" s="337"/>
      <c r="D81" s="337"/>
      <c r="E81" s="337"/>
      <c r="F81" s="337"/>
      <c r="G81" s="337"/>
      <c r="H81" s="337"/>
      <c r="I81" s="337"/>
      <c r="J81" s="337"/>
      <c r="K81" s="337"/>
      <c r="L81" s="337">
        <v>188687</v>
      </c>
      <c r="M81" s="337"/>
      <c r="N81" s="337">
        <v>0</v>
      </c>
      <c r="O81" s="337"/>
      <c r="P81" s="337">
        <v>0</v>
      </c>
      <c r="Q81" s="337"/>
      <c r="R81" s="337"/>
      <c r="S81" s="337"/>
      <c r="T81" s="337"/>
      <c r="U81" s="337"/>
      <c r="V81" s="337">
        <f>SUM(N81:R81)</f>
        <v>0</v>
      </c>
      <c r="W81" s="289"/>
      <c r="X81" s="5"/>
    </row>
    <row r="82" spans="1:24" ht="15.75" x14ac:dyDescent="0.25">
      <c r="A82" s="285"/>
      <c r="B82" s="286"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89"/>
      <c r="X82" s="5"/>
    </row>
    <row r="83" spans="1:24" ht="15.75" x14ac:dyDescent="0.25">
      <c r="A83" s="285"/>
      <c r="B83" s="286" t="s">
        <v>25</v>
      </c>
      <c r="C83" s="337"/>
      <c r="D83" s="337"/>
      <c r="E83" s="337"/>
      <c r="F83" s="337"/>
      <c r="G83" s="337"/>
      <c r="H83" s="337"/>
      <c r="I83" s="337"/>
      <c r="J83" s="337"/>
      <c r="K83" s="337"/>
      <c r="L83" s="337">
        <v>0</v>
      </c>
      <c r="M83" s="337"/>
      <c r="N83" s="337">
        <v>0</v>
      </c>
      <c r="O83" s="337"/>
      <c r="P83" s="337"/>
      <c r="Q83" s="337"/>
      <c r="R83" s="337"/>
      <c r="S83" s="337"/>
      <c r="T83" s="337"/>
      <c r="U83" s="337"/>
      <c r="V83" s="337">
        <v>0</v>
      </c>
      <c r="W83" s="289"/>
      <c r="X83" s="5"/>
    </row>
    <row r="84" spans="1:24" ht="15.75" x14ac:dyDescent="0.25">
      <c r="A84" s="285"/>
      <c r="B84" s="286" t="s">
        <v>26</v>
      </c>
      <c r="C84" s="337"/>
      <c r="D84" s="337"/>
      <c r="E84" s="337"/>
      <c r="F84" s="337"/>
      <c r="G84" s="337"/>
      <c r="H84" s="337"/>
      <c r="I84" s="337"/>
      <c r="J84" s="337"/>
      <c r="K84" s="337"/>
      <c r="L84" s="337">
        <f>SUM(L71:L83)</f>
        <v>1001133</v>
      </c>
      <c r="M84" s="337"/>
      <c r="N84" s="337">
        <f>SUM(N71:N83)</f>
        <v>682964</v>
      </c>
      <c r="O84" s="337"/>
      <c r="P84" s="337"/>
      <c r="Q84" s="337"/>
      <c r="R84" s="337"/>
      <c r="S84" s="337"/>
      <c r="T84" s="337"/>
      <c r="U84" s="337"/>
      <c r="V84" s="337">
        <f>SUM(V71:V83)</f>
        <v>671860</v>
      </c>
      <c r="W84" s="289"/>
      <c r="X84" s="5"/>
    </row>
    <row r="85" spans="1:24" ht="15.75" x14ac:dyDescent="0.25">
      <c r="A85" s="181"/>
      <c r="B85" s="212"/>
      <c r="C85" s="335"/>
      <c r="D85" s="335"/>
      <c r="E85" s="335"/>
      <c r="F85" s="335"/>
      <c r="G85" s="335"/>
      <c r="H85" s="335"/>
      <c r="I85" s="335"/>
      <c r="J85" s="335"/>
      <c r="K85" s="335"/>
      <c r="L85" s="335"/>
      <c r="M85" s="335"/>
      <c r="N85" s="335"/>
      <c r="O85" s="335"/>
      <c r="P85" s="335"/>
      <c r="Q85" s="335"/>
      <c r="R85" s="335"/>
      <c r="S85" s="335"/>
      <c r="T85" s="335"/>
      <c r="U85" s="335"/>
      <c r="V85" s="336"/>
      <c r="W85" s="212"/>
      <c r="X85" s="5"/>
    </row>
    <row r="86" spans="1:24" ht="15.75" x14ac:dyDescent="0.25">
      <c r="A86" s="181"/>
      <c r="B86" s="183"/>
      <c r="C86" s="183"/>
      <c r="D86" s="183"/>
      <c r="E86" s="183"/>
      <c r="F86" s="183"/>
      <c r="G86" s="183"/>
      <c r="H86" s="183"/>
      <c r="I86" s="183"/>
      <c r="J86" s="183"/>
      <c r="K86" s="183"/>
      <c r="L86" s="183"/>
      <c r="M86" s="183"/>
      <c r="N86" s="183"/>
      <c r="O86" s="183"/>
      <c r="P86" s="183"/>
      <c r="Q86" s="183"/>
      <c r="R86" s="183"/>
      <c r="S86" s="183"/>
      <c r="T86" s="183"/>
      <c r="U86" s="183"/>
      <c r="V86" s="183"/>
      <c r="W86" s="183"/>
      <c r="X86" s="5"/>
    </row>
    <row r="87" spans="1:24" ht="15.75" x14ac:dyDescent="0.25">
      <c r="A87" s="224"/>
      <c r="B87" s="399" t="s">
        <v>27</v>
      </c>
      <c r="C87" s="399"/>
      <c r="D87" s="399"/>
      <c r="E87" s="399"/>
      <c r="F87" s="399"/>
      <c r="G87" s="399"/>
      <c r="H87" s="400"/>
      <c r="I87" s="400"/>
      <c r="J87" s="400"/>
      <c r="K87" s="400"/>
      <c r="L87" s="401" t="s">
        <v>95</v>
      </c>
      <c r="M87" s="400"/>
      <c r="N87" s="402">
        <f>+T202</f>
        <v>42794</v>
      </c>
      <c r="O87" s="400"/>
      <c r="P87" s="400"/>
      <c r="Q87" s="400"/>
      <c r="R87" s="400"/>
      <c r="S87" s="400"/>
      <c r="T87" s="400" t="s">
        <v>107</v>
      </c>
      <c r="U87" s="400"/>
      <c r="V87" s="400" t="s">
        <v>113</v>
      </c>
      <c r="W87" s="225"/>
      <c r="X87" s="5"/>
    </row>
    <row r="88" spans="1:24" ht="15.75" x14ac:dyDescent="0.25">
      <c r="A88" s="248"/>
      <c r="B88" s="250" t="s">
        <v>28</v>
      </c>
      <c r="C88" s="194"/>
      <c r="D88" s="194"/>
      <c r="E88" s="194"/>
      <c r="F88" s="194"/>
      <c r="G88" s="194"/>
      <c r="H88" s="194"/>
      <c r="I88" s="194"/>
      <c r="J88" s="194"/>
      <c r="K88" s="194"/>
      <c r="L88" s="194"/>
      <c r="M88" s="194"/>
      <c r="N88" s="194"/>
      <c r="O88" s="194"/>
      <c r="P88" s="194"/>
      <c r="Q88" s="194"/>
      <c r="R88" s="194"/>
      <c r="S88" s="194"/>
      <c r="T88" s="249">
        <v>0</v>
      </c>
      <c r="U88" s="250"/>
      <c r="V88" s="253">
        <v>0</v>
      </c>
      <c r="W88" s="194"/>
      <c r="X88" s="5"/>
    </row>
    <row r="89" spans="1:24" ht="15.75" x14ac:dyDescent="0.25">
      <c r="A89" s="295"/>
      <c r="B89" s="286" t="s">
        <v>29</v>
      </c>
      <c r="C89" s="314"/>
      <c r="D89" s="314"/>
      <c r="E89" s="314"/>
      <c r="F89" s="314"/>
      <c r="G89" s="314"/>
      <c r="H89" s="339"/>
      <c r="I89" s="339"/>
      <c r="J89" s="339"/>
      <c r="K89" s="340"/>
      <c r="L89" s="339"/>
      <c r="M89" s="314"/>
      <c r="N89" s="341"/>
      <c r="O89" s="314"/>
      <c r="P89" s="314"/>
      <c r="Q89" s="314"/>
      <c r="R89" s="314"/>
      <c r="S89" s="314"/>
      <c r="T89" s="337">
        <f>11149-146</f>
        <v>11003</v>
      </c>
      <c r="U89" s="286"/>
      <c r="V89" s="338"/>
      <c r="W89" s="318"/>
      <c r="X89" s="5"/>
    </row>
    <row r="90" spans="1:24" ht="15.75" x14ac:dyDescent="0.25">
      <c r="A90" s="295"/>
      <c r="B90" s="286" t="s">
        <v>215</v>
      </c>
      <c r="C90" s="314"/>
      <c r="D90" s="314"/>
      <c r="E90" s="314"/>
      <c r="F90" s="314"/>
      <c r="G90" s="314"/>
      <c r="H90" s="339"/>
      <c r="I90" s="339"/>
      <c r="J90" s="339"/>
      <c r="K90" s="340"/>
      <c r="L90" s="339"/>
      <c r="M90" s="314"/>
      <c r="N90" s="341"/>
      <c r="O90" s="314"/>
      <c r="P90" s="314"/>
      <c r="Q90" s="314"/>
      <c r="R90" s="314"/>
      <c r="S90" s="314"/>
      <c r="T90" s="337"/>
      <c r="U90" s="286"/>
      <c r="V90" s="338">
        <f>2785+2572-594-805</f>
        <v>3958</v>
      </c>
      <c r="W90" s="318"/>
      <c r="X90" s="5"/>
    </row>
    <row r="91" spans="1:24" ht="15.75" x14ac:dyDescent="0.25">
      <c r="A91" s="295"/>
      <c r="B91" s="286" t="s">
        <v>210</v>
      </c>
      <c r="C91" s="314"/>
      <c r="D91" s="314"/>
      <c r="E91" s="314"/>
      <c r="F91" s="314"/>
      <c r="G91" s="314"/>
      <c r="H91" s="339"/>
      <c r="I91" s="339"/>
      <c r="J91" s="339"/>
      <c r="K91" s="340"/>
      <c r="L91" s="339"/>
      <c r="M91" s="314"/>
      <c r="N91" s="341"/>
      <c r="O91" s="314"/>
      <c r="P91" s="314"/>
      <c r="Q91" s="314"/>
      <c r="R91" s="314"/>
      <c r="S91" s="314"/>
      <c r="T91" s="337"/>
      <c r="U91" s="286"/>
      <c r="V91" s="338">
        <f>27+69</f>
        <v>96</v>
      </c>
      <c r="W91" s="318"/>
      <c r="X91" s="5"/>
    </row>
    <row r="92" spans="1:24" ht="15.75" x14ac:dyDescent="0.25">
      <c r="A92" s="295"/>
      <c r="B92" s="286" t="s">
        <v>211</v>
      </c>
      <c r="C92" s="314"/>
      <c r="D92" s="314"/>
      <c r="E92" s="314"/>
      <c r="F92" s="314"/>
      <c r="G92" s="314"/>
      <c r="H92" s="339"/>
      <c r="I92" s="339"/>
      <c r="J92" s="339"/>
      <c r="K92" s="340"/>
      <c r="L92" s="339"/>
      <c r="M92" s="314"/>
      <c r="N92" s="341"/>
      <c r="O92" s="314"/>
      <c r="P92" s="314"/>
      <c r="Q92" s="314"/>
      <c r="R92" s="314"/>
      <c r="S92" s="314"/>
      <c r="T92" s="337"/>
      <c r="U92" s="286"/>
      <c r="V92" s="338">
        <v>19</v>
      </c>
      <c r="W92" s="318"/>
      <c r="X92" s="5"/>
    </row>
    <row r="93" spans="1:24" ht="15.75" x14ac:dyDescent="0.25">
      <c r="A93" s="295"/>
      <c r="B93" s="286" t="s">
        <v>233</v>
      </c>
      <c r="C93" s="314"/>
      <c r="D93" s="314"/>
      <c r="E93" s="314"/>
      <c r="F93" s="314"/>
      <c r="G93" s="314"/>
      <c r="H93" s="339"/>
      <c r="I93" s="339"/>
      <c r="J93" s="339"/>
      <c r="K93" s="340"/>
      <c r="L93" s="339"/>
      <c r="M93" s="314"/>
      <c r="N93" s="341"/>
      <c r="O93" s="314"/>
      <c r="P93" s="314"/>
      <c r="Q93" s="314"/>
      <c r="R93" s="314"/>
      <c r="S93" s="314"/>
      <c r="T93" s="337"/>
      <c r="U93" s="286"/>
      <c r="V93" s="338">
        <v>0</v>
      </c>
      <c r="W93" s="318"/>
      <c r="X93" s="5"/>
    </row>
    <row r="94" spans="1:24" ht="15.75" x14ac:dyDescent="0.25">
      <c r="A94" s="295"/>
      <c r="B94" s="286" t="s">
        <v>235</v>
      </c>
      <c r="C94" s="314"/>
      <c r="D94" s="314"/>
      <c r="E94" s="314"/>
      <c r="F94" s="314"/>
      <c r="G94" s="314"/>
      <c r="H94" s="339"/>
      <c r="I94" s="339"/>
      <c r="J94" s="339"/>
      <c r="K94" s="340"/>
      <c r="L94" s="339"/>
      <c r="M94" s="314"/>
      <c r="N94" s="341"/>
      <c r="O94" s="314"/>
      <c r="P94" s="314"/>
      <c r="Q94" s="314"/>
      <c r="R94" s="314"/>
      <c r="S94" s="314"/>
      <c r="T94" s="337"/>
      <c r="U94" s="286"/>
      <c r="V94" s="338">
        <v>0</v>
      </c>
      <c r="W94" s="318"/>
      <c r="X94" s="5"/>
    </row>
    <row r="95" spans="1:24" ht="15.75" x14ac:dyDescent="0.25">
      <c r="A95" s="295"/>
      <c r="B95" s="286" t="s">
        <v>135</v>
      </c>
      <c r="C95" s="314"/>
      <c r="D95" s="314"/>
      <c r="E95" s="314"/>
      <c r="F95" s="314"/>
      <c r="G95" s="314"/>
      <c r="H95" s="314"/>
      <c r="I95" s="314"/>
      <c r="J95" s="314"/>
      <c r="K95" s="314"/>
      <c r="L95" s="314"/>
      <c r="M95" s="314"/>
      <c r="N95" s="314"/>
      <c r="O95" s="314"/>
      <c r="P95" s="314"/>
      <c r="Q95" s="314"/>
      <c r="R95" s="314"/>
      <c r="S95" s="314"/>
      <c r="T95" s="337"/>
      <c r="U95" s="286"/>
      <c r="V95" s="338">
        <v>0</v>
      </c>
      <c r="W95" s="318"/>
      <c r="X95" s="5"/>
    </row>
    <row r="96" spans="1:24" ht="15.75" x14ac:dyDescent="0.25">
      <c r="A96" s="295"/>
      <c r="B96" s="286" t="s">
        <v>272</v>
      </c>
      <c r="C96" s="314"/>
      <c r="D96" s="314"/>
      <c r="E96" s="314"/>
      <c r="F96" s="314"/>
      <c r="G96" s="314"/>
      <c r="H96" s="314"/>
      <c r="I96" s="314"/>
      <c r="J96" s="314"/>
      <c r="K96" s="314"/>
      <c r="L96" s="314"/>
      <c r="M96" s="314"/>
      <c r="N96" s="314"/>
      <c r="O96" s="314"/>
      <c r="P96" s="314"/>
      <c r="Q96" s="314"/>
      <c r="R96" s="314"/>
      <c r="S96" s="314"/>
      <c r="T96" s="337"/>
      <c r="U96" s="286"/>
      <c r="V96" s="338">
        <v>0</v>
      </c>
      <c r="W96" s="318"/>
      <c r="X96" s="5"/>
    </row>
    <row r="97" spans="1:25" ht="15.75" x14ac:dyDescent="0.25">
      <c r="A97" s="295"/>
      <c r="B97" s="286" t="s">
        <v>30</v>
      </c>
      <c r="C97" s="314"/>
      <c r="D97" s="314"/>
      <c r="E97" s="314"/>
      <c r="F97" s="314"/>
      <c r="G97" s="314"/>
      <c r="H97" s="314"/>
      <c r="I97" s="314"/>
      <c r="J97" s="314"/>
      <c r="K97" s="314"/>
      <c r="L97" s="314"/>
      <c r="M97" s="314"/>
      <c r="N97" s="314"/>
      <c r="O97" s="314"/>
      <c r="P97" s="314"/>
      <c r="Q97" s="314"/>
      <c r="R97" s="314"/>
      <c r="S97" s="314"/>
      <c r="T97" s="337">
        <f>SUM(T88:T96)</f>
        <v>11003</v>
      </c>
      <c r="U97" s="286"/>
      <c r="V97" s="337">
        <f>SUM(V88:V96)</f>
        <v>4073</v>
      </c>
      <c r="W97" s="318"/>
      <c r="X97" s="5"/>
    </row>
    <row r="98" spans="1:25" ht="15.75" x14ac:dyDescent="0.25">
      <c r="A98" s="295"/>
      <c r="B98" s="286" t="s">
        <v>161</v>
      </c>
      <c r="C98" s="314"/>
      <c r="D98" s="314"/>
      <c r="E98" s="314"/>
      <c r="F98" s="314"/>
      <c r="G98" s="314"/>
      <c r="H98" s="314"/>
      <c r="I98" s="314"/>
      <c r="J98" s="314"/>
      <c r="K98" s="314"/>
      <c r="L98" s="314"/>
      <c r="M98" s="314"/>
      <c r="N98" s="314"/>
      <c r="O98" s="314"/>
      <c r="P98" s="314"/>
      <c r="Q98" s="314"/>
      <c r="R98" s="314"/>
      <c r="S98" s="314"/>
      <c r="T98" s="337">
        <f>-V98</f>
        <v>0</v>
      </c>
      <c r="U98" s="286"/>
      <c r="V98" s="337">
        <v>0</v>
      </c>
      <c r="W98" s="318"/>
      <c r="X98" s="5"/>
    </row>
    <row r="99" spans="1:25" ht="15.75" x14ac:dyDescent="0.25">
      <c r="A99" s="295"/>
      <c r="B99" s="286" t="s">
        <v>31</v>
      </c>
      <c r="C99" s="314"/>
      <c r="D99" s="314"/>
      <c r="E99" s="314"/>
      <c r="F99" s="314"/>
      <c r="G99" s="314"/>
      <c r="H99" s="314"/>
      <c r="I99" s="314"/>
      <c r="J99" s="314"/>
      <c r="K99" s="314"/>
      <c r="L99" s="314"/>
      <c r="M99" s="314"/>
      <c r="N99" s="314"/>
      <c r="O99" s="314"/>
      <c r="P99" s="314"/>
      <c r="Q99" s="314"/>
      <c r="R99" s="314"/>
      <c r="S99" s="314"/>
      <c r="T99" s="337">
        <f>-V99</f>
        <v>0</v>
      </c>
      <c r="U99" s="286"/>
      <c r="V99" s="338">
        <v>0</v>
      </c>
      <c r="W99" s="318"/>
      <c r="X99" s="5"/>
    </row>
    <row r="100" spans="1:25" ht="15.75" x14ac:dyDescent="0.25">
      <c r="A100" s="295"/>
      <c r="B100" s="286" t="s">
        <v>274</v>
      </c>
      <c r="C100" s="314"/>
      <c r="D100" s="314"/>
      <c r="E100" s="314"/>
      <c r="F100" s="314"/>
      <c r="G100" s="314"/>
      <c r="H100" s="314"/>
      <c r="I100" s="314"/>
      <c r="J100" s="314"/>
      <c r="K100" s="314"/>
      <c r="L100" s="314"/>
      <c r="M100" s="314"/>
      <c r="N100" s="314"/>
      <c r="O100" s="314"/>
      <c r="P100" s="314"/>
      <c r="Q100" s="314"/>
      <c r="R100" s="314"/>
      <c r="S100" s="314"/>
      <c r="T100" s="337"/>
      <c r="U100" s="286"/>
      <c r="V100" s="338">
        <v>50</v>
      </c>
      <c r="W100" s="318"/>
      <c r="X100" s="5"/>
    </row>
    <row r="101" spans="1:25" ht="15.75" x14ac:dyDescent="0.25">
      <c r="A101" s="295"/>
      <c r="B101" s="286" t="s">
        <v>32</v>
      </c>
      <c r="C101" s="314"/>
      <c r="D101" s="314"/>
      <c r="E101" s="314"/>
      <c r="F101" s="314"/>
      <c r="G101" s="314"/>
      <c r="H101" s="314"/>
      <c r="I101" s="314"/>
      <c r="J101" s="314"/>
      <c r="K101" s="314"/>
      <c r="L101" s="314"/>
      <c r="M101" s="314"/>
      <c r="N101" s="314"/>
      <c r="O101" s="314"/>
      <c r="P101" s="314"/>
      <c r="Q101" s="314"/>
      <c r="R101" s="314"/>
      <c r="S101" s="314"/>
      <c r="T101" s="337">
        <f>T97+T99+T98</f>
        <v>11003</v>
      </c>
      <c r="U101" s="286"/>
      <c r="V101" s="337">
        <f>V97+V99+V98+V100</f>
        <v>4123</v>
      </c>
      <c r="W101" s="318"/>
      <c r="X101" s="5"/>
    </row>
    <row r="102" spans="1:25" ht="15.75" x14ac:dyDescent="0.25">
      <c r="A102" s="285"/>
      <c r="B102" s="342" t="s">
        <v>33</v>
      </c>
      <c r="C102" s="314"/>
      <c r="D102" s="314"/>
      <c r="E102" s="314"/>
      <c r="F102" s="314"/>
      <c r="G102" s="314"/>
      <c r="H102" s="314"/>
      <c r="I102" s="314"/>
      <c r="J102" s="314"/>
      <c r="K102" s="314"/>
      <c r="L102" s="314"/>
      <c r="M102" s="314"/>
      <c r="N102" s="314"/>
      <c r="O102" s="314"/>
      <c r="P102" s="314"/>
      <c r="Q102" s="314"/>
      <c r="R102" s="314"/>
      <c r="S102" s="314"/>
      <c r="T102" s="337"/>
      <c r="U102" s="286"/>
      <c r="V102" s="338"/>
      <c r="W102" s="318"/>
      <c r="X102" s="5"/>
    </row>
    <row r="103" spans="1:25" ht="15.75" x14ac:dyDescent="0.25">
      <c r="A103" s="295">
        <v>1</v>
      </c>
      <c r="B103" s="286" t="s">
        <v>34</v>
      </c>
      <c r="C103" s="286"/>
      <c r="D103" s="286"/>
      <c r="E103" s="314"/>
      <c r="F103" s="314"/>
      <c r="G103" s="314"/>
      <c r="H103" s="314"/>
      <c r="I103" s="314"/>
      <c r="J103" s="314"/>
      <c r="K103" s="314"/>
      <c r="L103" s="314"/>
      <c r="M103" s="314"/>
      <c r="N103" s="314"/>
      <c r="O103" s="314"/>
      <c r="P103" s="314"/>
      <c r="Q103" s="314"/>
      <c r="R103" s="314"/>
      <c r="S103" s="314"/>
      <c r="T103" s="286"/>
      <c r="U103" s="286"/>
      <c r="V103" s="338">
        <v>0</v>
      </c>
      <c r="W103" s="318"/>
      <c r="X103" s="5"/>
    </row>
    <row r="104" spans="1:25" ht="15.75" x14ac:dyDescent="0.25">
      <c r="A104" s="295">
        <f>+A103+1</f>
        <v>2</v>
      </c>
      <c r="B104" s="286" t="s">
        <v>314</v>
      </c>
      <c r="C104" s="286"/>
      <c r="D104" s="286"/>
      <c r="E104" s="314"/>
      <c r="F104" s="314"/>
      <c r="G104" s="314"/>
      <c r="H104" s="314"/>
      <c r="I104" s="314"/>
      <c r="J104" s="314"/>
      <c r="K104" s="314"/>
      <c r="L104" s="314"/>
      <c r="M104" s="314"/>
      <c r="N104" s="314"/>
      <c r="O104" s="314"/>
      <c r="P104" s="314"/>
      <c r="Q104" s="314"/>
      <c r="R104" s="314"/>
      <c r="S104" s="314"/>
      <c r="T104" s="286"/>
      <c r="U104" s="286"/>
      <c r="V104" s="338">
        <v>-2</v>
      </c>
      <c r="W104" s="318"/>
      <c r="X104" s="5"/>
    </row>
    <row r="105" spans="1:25" ht="15.75" x14ac:dyDescent="0.25">
      <c r="A105" s="295">
        <f>+A104+1</f>
        <v>3</v>
      </c>
      <c r="B105" s="412" t="s">
        <v>316</v>
      </c>
      <c r="C105" s="286"/>
      <c r="D105" s="286"/>
      <c r="E105" s="314"/>
      <c r="F105" s="314"/>
      <c r="G105" s="314"/>
      <c r="H105" s="314"/>
      <c r="I105" s="314"/>
      <c r="J105" s="314"/>
      <c r="K105" s="314"/>
      <c r="L105" s="314"/>
      <c r="M105" s="314"/>
      <c r="N105" s="314"/>
      <c r="O105" s="314"/>
      <c r="P105" s="314"/>
      <c r="Q105" s="314"/>
      <c r="R105" s="314"/>
      <c r="S105" s="314"/>
      <c r="T105" s="286"/>
      <c r="U105" s="286"/>
      <c r="V105" s="338">
        <f>-256-92-8</f>
        <v>-356</v>
      </c>
      <c r="W105" s="318"/>
      <c r="X105" s="5"/>
    </row>
    <row r="106" spans="1:25" ht="15.75" x14ac:dyDescent="0.25">
      <c r="A106" s="295" t="s">
        <v>127</v>
      </c>
      <c r="B106" s="286" t="s">
        <v>116</v>
      </c>
      <c r="C106" s="286"/>
      <c r="D106" s="286"/>
      <c r="E106" s="314"/>
      <c r="F106" s="314"/>
      <c r="G106" s="314"/>
      <c r="H106" s="314"/>
      <c r="I106" s="314"/>
      <c r="J106" s="314"/>
      <c r="K106" s="314"/>
      <c r="L106" s="314"/>
      <c r="M106" s="314"/>
      <c r="N106" s="314"/>
      <c r="O106" s="314"/>
      <c r="P106" s="314"/>
      <c r="Q106" s="314"/>
      <c r="R106" s="314"/>
      <c r="S106" s="314"/>
      <c r="T106" s="286"/>
      <c r="U106" s="286"/>
      <c r="V106" s="338">
        <v>0</v>
      </c>
      <c r="W106" s="318"/>
      <c r="X106" s="5"/>
    </row>
    <row r="107" spans="1:25" ht="15.75" x14ac:dyDescent="0.25">
      <c r="A107" s="295" t="s">
        <v>128</v>
      </c>
      <c r="B107" s="286" t="s">
        <v>220</v>
      </c>
      <c r="C107" s="286"/>
      <c r="D107" s="286"/>
      <c r="E107" s="314"/>
      <c r="F107" s="314"/>
      <c r="G107" s="314"/>
      <c r="H107" s="314"/>
      <c r="I107" s="314"/>
      <c r="J107" s="314"/>
      <c r="K107" s="314"/>
      <c r="L107" s="314"/>
      <c r="M107" s="314"/>
      <c r="N107" s="314"/>
      <c r="O107" s="314"/>
      <c r="P107" s="314"/>
      <c r="Q107" s="314"/>
      <c r="R107" s="314"/>
      <c r="S107" s="314"/>
      <c r="T107" s="286"/>
      <c r="U107" s="286"/>
      <c r="V107" s="338">
        <f>-790+205</f>
        <v>-585</v>
      </c>
      <c r="W107" s="318"/>
      <c r="X107" s="5"/>
      <c r="Y107" s="109"/>
    </row>
    <row r="108" spans="1:25" ht="15.75" x14ac:dyDescent="0.25">
      <c r="A108" s="295" t="s">
        <v>150</v>
      </c>
      <c r="B108" s="286" t="s">
        <v>184</v>
      </c>
      <c r="C108" s="286"/>
      <c r="D108" s="286"/>
      <c r="E108" s="314"/>
      <c r="F108" s="314"/>
      <c r="G108" s="314"/>
      <c r="H108" s="314"/>
      <c r="I108" s="314"/>
      <c r="J108" s="314"/>
      <c r="K108" s="314"/>
      <c r="L108" s="314"/>
      <c r="M108" s="314"/>
      <c r="N108" s="314"/>
      <c r="O108" s="314"/>
      <c r="P108" s="314"/>
      <c r="Q108" s="314"/>
      <c r="R108" s="314"/>
      <c r="S108" s="314"/>
      <c r="T108" s="286"/>
      <c r="U108" s="286"/>
      <c r="V108" s="338">
        <v>-205</v>
      </c>
      <c r="W108" s="318"/>
      <c r="X108" s="5"/>
      <c r="Y108" s="109"/>
    </row>
    <row r="109" spans="1:25" ht="15.75" x14ac:dyDescent="0.25">
      <c r="A109" s="295" t="s">
        <v>205</v>
      </c>
      <c r="B109" s="286" t="s">
        <v>185</v>
      </c>
      <c r="C109" s="286"/>
      <c r="D109" s="286"/>
      <c r="E109" s="314"/>
      <c r="F109" s="314"/>
      <c r="G109" s="314"/>
      <c r="H109" s="314"/>
      <c r="I109" s="314"/>
      <c r="J109" s="314"/>
      <c r="K109" s="314"/>
      <c r="L109" s="314"/>
      <c r="M109" s="314"/>
      <c r="N109" s="314"/>
      <c r="O109" s="314"/>
      <c r="P109" s="314"/>
      <c r="Q109" s="314"/>
      <c r="R109" s="314"/>
      <c r="S109" s="314"/>
      <c r="T109" s="286"/>
      <c r="U109" s="286"/>
      <c r="V109" s="338">
        <v>-141</v>
      </c>
      <c r="W109" s="318"/>
      <c r="X109" s="5"/>
      <c r="Y109" s="109"/>
    </row>
    <row r="110" spans="1:25" ht="15.75" x14ac:dyDescent="0.25">
      <c r="A110" s="295" t="s">
        <v>206</v>
      </c>
      <c r="B110" s="286" t="s">
        <v>186</v>
      </c>
      <c r="C110" s="286"/>
      <c r="D110" s="286"/>
      <c r="E110" s="314"/>
      <c r="F110" s="314"/>
      <c r="G110" s="314"/>
      <c r="H110" s="314"/>
      <c r="I110" s="314"/>
      <c r="J110" s="314"/>
      <c r="K110" s="314"/>
      <c r="L110" s="314"/>
      <c r="M110" s="314"/>
      <c r="N110" s="314"/>
      <c r="O110" s="314"/>
      <c r="P110" s="314"/>
      <c r="Q110" s="314"/>
      <c r="R110" s="314"/>
      <c r="S110" s="314"/>
      <c r="T110" s="286"/>
      <c r="U110" s="286"/>
      <c r="V110" s="338">
        <v>-38</v>
      </c>
      <c r="W110" s="318"/>
      <c r="X110" s="5"/>
      <c r="Y110" s="109"/>
    </row>
    <row r="111" spans="1:25" ht="15.75" x14ac:dyDescent="0.25">
      <c r="A111" s="295">
        <v>6</v>
      </c>
      <c r="B111" s="286" t="s">
        <v>196</v>
      </c>
      <c r="C111" s="286"/>
      <c r="D111" s="286"/>
      <c r="E111" s="314"/>
      <c r="F111" s="314"/>
      <c r="G111" s="314"/>
      <c r="H111" s="314"/>
      <c r="I111" s="314"/>
      <c r="J111" s="314"/>
      <c r="K111" s="314"/>
      <c r="L111" s="314"/>
      <c r="M111" s="314"/>
      <c r="N111" s="314"/>
      <c r="O111" s="314"/>
      <c r="P111" s="314"/>
      <c r="Q111" s="314"/>
      <c r="R111" s="314"/>
      <c r="S111" s="314"/>
      <c r="T111" s="286"/>
      <c r="U111" s="286"/>
      <c r="V111" s="338">
        <v>-296</v>
      </c>
      <c r="W111" s="318"/>
      <c r="X111" s="5"/>
      <c r="Y111" s="109"/>
    </row>
    <row r="112" spans="1:25" ht="15.75" x14ac:dyDescent="0.25">
      <c r="A112" s="295">
        <v>7</v>
      </c>
      <c r="B112" s="412" t="s">
        <v>315</v>
      </c>
      <c r="C112" s="286"/>
      <c r="D112" s="286"/>
      <c r="E112" s="314"/>
      <c r="F112" s="314"/>
      <c r="G112" s="314"/>
      <c r="H112" s="314"/>
      <c r="I112" s="314"/>
      <c r="J112" s="314"/>
      <c r="K112" s="314"/>
      <c r="L112" s="314"/>
      <c r="M112" s="314"/>
      <c r="N112" s="314"/>
      <c r="O112" s="314"/>
      <c r="P112" s="314"/>
      <c r="Q112" s="314"/>
      <c r="R112" s="314"/>
      <c r="S112" s="314"/>
      <c r="T112" s="286"/>
      <c r="U112" s="286"/>
      <c r="V112" s="338">
        <v>0</v>
      </c>
      <c r="W112" s="318"/>
      <c r="X112" s="5"/>
      <c r="Y112" s="109"/>
    </row>
    <row r="113" spans="1:24" ht="15.75" x14ac:dyDescent="0.25">
      <c r="A113" s="295">
        <v>8</v>
      </c>
      <c r="B113" s="286" t="s">
        <v>35</v>
      </c>
      <c r="C113" s="286"/>
      <c r="D113" s="286"/>
      <c r="E113" s="314"/>
      <c r="F113" s="314"/>
      <c r="G113" s="314"/>
      <c r="H113" s="314"/>
      <c r="I113" s="314"/>
      <c r="J113" s="314"/>
      <c r="K113" s="314"/>
      <c r="L113" s="314"/>
      <c r="M113" s="314"/>
      <c r="N113" s="314"/>
      <c r="O113" s="314"/>
      <c r="P113" s="314"/>
      <c r="Q113" s="314"/>
      <c r="R113" s="314"/>
      <c r="S113" s="314"/>
      <c r="T113" s="286"/>
      <c r="U113" s="286"/>
      <c r="V113" s="338">
        <v>-20</v>
      </c>
      <c r="W113" s="318"/>
      <c r="X113" s="5"/>
    </row>
    <row r="114" spans="1:24" ht="15.75" x14ac:dyDescent="0.25">
      <c r="A114" s="295">
        <f t="shared" ref="A114:A119" si="0">+A113+1</f>
        <v>9</v>
      </c>
      <c r="B114" s="286" t="s">
        <v>45</v>
      </c>
      <c r="C114" s="286"/>
      <c r="D114" s="286"/>
      <c r="E114" s="314"/>
      <c r="F114" s="314"/>
      <c r="G114" s="314"/>
      <c r="H114" s="314"/>
      <c r="I114" s="314"/>
      <c r="J114" s="314"/>
      <c r="K114" s="314"/>
      <c r="L114" s="314"/>
      <c r="M114" s="314"/>
      <c r="N114" s="314"/>
      <c r="O114" s="314"/>
      <c r="P114" s="314"/>
      <c r="Q114" s="314"/>
      <c r="R114" s="314"/>
      <c r="S114" s="314"/>
      <c r="T114" s="337">
        <f>-V114</f>
        <v>146</v>
      </c>
      <c r="U114" s="286"/>
      <c r="V114" s="338">
        <v>-146</v>
      </c>
      <c r="W114" s="318"/>
      <c r="X114" s="5"/>
    </row>
    <row r="115" spans="1:24" ht="15.75" x14ac:dyDescent="0.25">
      <c r="A115" s="295">
        <f t="shared" si="0"/>
        <v>10</v>
      </c>
      <c r="B115" s="286" t="s">
        <v>125</v>
      </c>
      <c r="C115" s="286"/>
      <c r="D115" s="286"/>
      <c r="E115" s="314"/>
      <c r="F115" s="314"/>
      <c r="G115" s="314"/>
      <c r="H115" s="314"/>
      <c r="I115" s="314"/>
      <c r="J115" s="314"/>
      <c r="K115" s="314"/>
      <c r="L115" s="314"/>
      <c r="M115" s="314"/>
      <c r="N115" s="314"/>
      <c r="O115" s="314"/>
      <c r="P115" s="314"/>
      <c r="Q115" s="314"/>
      <c r="R115" s="314"/>
      <c r="S115" s="314"/>
      <c r="T115" s="286"/>
      <c r="U115" s="286"/>
      <c r="V115" s="338">
        <v>0</v>
      </c>
      <c r="W115" s="318"/>
      <c r="X115" s="5"/>
    </row>
    <row r="116" spans="1:24" ht="15.75" x14ac:dyDescent="0.25">
      <c r="A116" s="295">
        <f t="shared" si="0"/>
        <v>11</v>
      </c>
      <c r="B116" s="286" t="s">
        <v>225</v>
      </c>
      <c r="C116" s="286"/>
      <c r="D116" s="286"/>
      <c r="E116" s="314"/>
      <c r="F116" s="314"/>
      <c r="G116" s="314"/>
      <c r="H116" s="314"/>
      <c r="I116" s="314"/>
      <c r="J116" s="314"/>
      <c r="K116" s="314"/>
      <c r="L116" s="314"/>
      <c r="M116" s="314"/>
      <c r="N116" s="314"/>
      <c r="O116" s="314"/>
      <c r="P116" s="314"/>
      <c r="Q116" s="314"/>
      <c r="R116" s="314"/>
      <c r="S116" s="314"/>
      <c r="T116" s="286"/>
      <c r="U116" s="286"/>
      <c r="V116" s="338">
        <v>0</v>
      </c>
      <c r="W116" s="318"/>
      <c r="X116" s="5"/>
    </row>
    <row r="117" spans="1:24" ht="15.75" x14ac:dyDescent="0.25">
      <c r="A117" s="295">
        <f t="shared" si="0"/>
        <v>12</v>
      </c>
      <c r="B117" s="286" t="s">
        <v>36</v>
      </c>
      <c r="C117" s="286"/>
      <c r="D117" s="286"/>
      <c r="E117" s="314"/>
      <c r="F117" s="314"/>
      <c r="G117" s="314"/>
      <c r="H117" s="314"/>
      <c r="I117" s="314"/>
      <c r="J117" s="314"/>
      <c r="K117" s="314"/>
      <c r="L117" s="314"/>
      <c r="M117" s="314"/>
      <c r="N117" s="314"/>
      <c r="O117" s="314"/>
      <c r="P117" s="314"/>
      <c r="Q117" s="314"/>
      <c r="R117" s="314"/>
      <c r="S117" s="314"/>
      <c r="T117" s="286"/>
      <c r="U117" s="286"/>
      <c r="V117" s="338">
        <v>0</v>
      </c>
      <c r="W117" s="318"/>
      <c r="X117" s="5"/>
    </row>
    <row r="118" spans="1:24" ht="15.75" x14ac:dyDescent="0.25">
      <c r="A118" s="295">
        <f t="shared" si="0"/>
        <v>13</v>
      </c>
      <c r="B118" s="286" t="s">
        <v>149</v>
      </c>
      <c r="C118" s="286"/>
      <c r="D118" s="286"/>
      <c r="E118" s="314"/>
      <c r="F118" s="314"/>
      <c r="G118" s="314"/>
      <c r="H118" s="314"/>
      <c r="I118" s="314"/>
      <c r="J118" s="314"/>
      <c r="K118" s="314"/>
      <c r="L118" s="314"/>
      <c r="M118" s="314"/>
      <c r="N118" s="314"/>
      <c r="O118" s="314"/>
      <c r="P118" s="314"/>
      <c r="Q118" s="314"/>
      <c r="R118" s="314"/>
      <c r="S118" s="314"/>
      <c r="T118" s="286"/>
      <c r="U118" s="286"/>
      <c r="V118" s="338">
        <v>-256</v>
      </c>
      <c r="W118" s="318"/>
      <c r="X118" s="5"/>
    </row>
    <row r="119" spans="1:24" ht="15.75" x14ac:dyDescent="0.25">
      <c r="A119" s="295">
        <f t="shared" si="0"/>
        <v>14</v>
      </c>
      <c r="B119" s="286" t="s">
        <v>126</v>
      </c>
      <c r="C119" s="286"/>
      <c r="D119" s="286"/>
      <c r="E119" s="314"/>
      <c r="F119" s="314"/>
      <c r="G119" s="314"/>
      <c r="H119" s="314"/>
      <c r="I119" s="314"/>
      <c r="J119" s="314"/>
      <c r="K119" s="314"/>
      <c r="L119" s="314"/>
      <c r="M119" s="314"/>
      <c r="N119" s="314"/>
      <c r="O119" s="314"/>
      <c r="P119" s="314"/>
      <c r="Q119" s="314"/>
      <c r="R119" s="314"/>
      <c r="S119" s="314"/>
      <c r="T119" s="286"/>
      <c r="U119" s="286"/>
      <c r="V119" s="338">
        <f>-V101-SUM(V103:V118)</f>
        <v>-2078</v>
      </c>
      <c r="W119" s="318"/>
      <c r="X119" s="5"/>
    </row>
    <row r="120" spans="1:24" ht="15.75" x14ac:dyDescent="0.25">
      <c r="A120" s="285"/>
      <c r="B120" s="342" t="s">
        <v>37</v>
      </c>
      <c r="C120" s="314"/>
      <c r="D120" s="314"/>
      <c r="E120" s="314"/>
      <c r="F120" s="314"/>
      <c r="G120" s="314"/>
      <c r="H120" s="314"/>
      <c r="I120" s="314"/>
      <c r="J120" s="314"/>
      <c r="K120" s="314"/>
      <c r="L120" s="314"/>
      <c r="M120" s="314"/>
      <c r="N120" s="314"/>
      <c r="O120" s="314"/>
      <c r="P120" s="314"/>
      <c r="Q120" s="314"/>
      <c r="R120" s="314"/>
      <c r="S120" s="314"/>
      <c r="T120" s="286"/>
      <c r="U120" s="286"/>
      <c r="V120" s="343"/>
      <c r="W120" s="318"/>
      <c r="X120" s="5"/>
    </row>
    <row r="121" spans="1:24" ht="15.75" x14ac:dyDescent="0.25">
      <c r="A121" s="285"/>
      <c r="B121" s="286" t="s">
        <v>173</v>
      </c>
      <c r="C121" s="314"/>
      <c r="D121" s="314"/>
      <c r="E121" s="314"/>
      <c r="F121" s="314"/>
      <c r="G121" s="314"/>
      <c r="H121" s="314"/>
      <c r="I121" s="314"/>
      <c r="J121" s="314"/>
      <c r="K121" s="314"/>
      <c r="L121" s="314"/>
      <c r="M121" s="314"/>
      <c r="N121" s="314"/>
      <c r="O121" s="314"/>
      <c r="P121" s="314"/>
      <c r="Q121" s="314"/>
      <c r="R121" s="314"/>
      <c r="S121" s="314"/>
      <c r="T121" s="337">
        <f>-T186</f>
        <v>0</v>
      </c>
      <c r="U121" s="337"/>
      <c r="V121" s="338"/>
      <c r="W121" s="318"/>
      <c r="X121" s="5"/>
    </row>
    <row r="122" spans="1:24" ht="15.75" x14ac:dyDescent="0.25">
      <c r="A122" s="285"/>
      <c r="B122" s="286" t="s">
        <v>174</v>
      </c>
      <c r="C122" s="314"/>
      <c r="D122" s="314"/>
      <c r="E122" s="314"/>
      <c r="F122" s="314"/>
      <c r="G122" s="314"/>
      <c r="H122" s="314"/>
      <c r="I122" s="314"/>
      <c r="J122" s="314"/>
      <c r="K122" s="314"/>
      <c r="L122" s="314"/>
      <c r="M122" s="314"/>
      <c r="N122" s="314"/>
      <c r="O122" s="314"/>
      <c r="P122" s="314"/>
      <c r="Q122" s="314"/>
      <c r="R122" s="314"/>
      <c r="S122" s="314"/>
      <c r="T122" s="337">
        <v>0</v>
      </c>
      <c r="U122" s="337"/>
      <c r="V122" s="338"/>
      <c r="W122" s="318"/>
      <c r="X122" s="5"/>
    </row>
    <row r="123" spans="1:24" ht="15.75" x14ac:dyDescent="0.25">
      <c r="A123" s="285"/>
      <c r="B123" s="286" t="s">
        <v>38</v>
      </c>
      <c r="C123" s="314"/>
      <c r="D123" s="314"/>
      <c r="E123" s="314"/>
      <c r="F123" s="314"/>
      <c r="G123" s="314"/>
      <c r="H123" s="314"/>
      <c r="I123" s="314"/>
      <c r="J123" s="314"/>
      <c r="K123" s="314"/>
      <c r="L123" s="314"/>
      <c r="M123" s="314"/>
      <c r="N123" s="314"/>
      <c r="O123" s="314"/>
      <c r="P123" s="314"/>
      <c r="Q123" s="314"/>
      <c r="R123" s="314"/>
      <c r="S123" s="314"/>
      <c r="T123" s="337">
        <f>-S186</f>
        <v>-45</v>
      </c>
      <c r="U123" s="337"/>
      <c r="V123" s="338"/>
      <c r="W123" s="318"/>
      <c r="X123" s="5"/>
    </row>
    <row r="124" spans="1:24" ht="15.75" x14ac:dyDescent="0.25">
      <c r="A124" s="285"/>
      <c r="B124" s="286" t="s">
        <v>197</v>
      </c>
      <c r="C124" s="314"/>
      <c r="D124" s="314"/>
      <c r="E124" s="314"/>
      <c r="F124" s="314"/>
      <c r="G124" s="314"/>
      <c r="H124" s="314"/>
      <c r="I124" s="314"/>
      <c r="J124" s="314"/>
      <c r="K124" s="314"/>
      <c r="L124" s="314"/>
      <c r="M124" s="314"/>
      <c r="N124" s="314"/>
      <c r="O124" s="314"/>
      <c r="P124" s="314"/>
      <c r="Q124" s="314"/>
      <c r="R124" s="314"/>
      <c r="S124" s="314"/>
      <c r="T124" s="337">
        <v>-6432</v>
      </c>
      <c r="U124" s="337"/>
      <c r="V124" s="338"/>
      <c r="W124" s="318"/>
      <c r="X124" s="5"/>
    </row>
    <row r="125" spans="1:24" ht="15.75" x14ac:dyDescent="0.25">
      <c r="A125" s="285"/>
      <c r="B125" s="286" t="s">
        <v>195</v>
      </c>
      <c r="C125" s="314"/>
      <c r="D125" s="314"/>
      <c r="E125" s="314"/>
      <c r="F125" s="314"/>
      <c r="G125" s="314"/>
      <c r="H125" s="314"/>
      <c r="I125" s="314"/>
      <c r="J125" s="314"/>
      <c r="K125" s="314"/>
      <c r="L125" s="314"/>
      <c r="M125" s="314"/>
      <c r="N125" s="314"/>
      <c r="O125" s="314"/>
      <c r="P125" s="314"/>
      <c r="Q125" s="314"/>
      <c r="R125" s="314"/>
      <c r="S125" s="314"/>
      <c r="T125" s="337">
        <v>-2733</v>
      </c>
      <c r="U125" s="337"/>
      <c r="V125" s="338"/>
      <c r="W125" s="318"/>
      <c r="X125" s="5"/>
    </row>
    <row r="126" spans="1:24" ht="15.75" x14ac:dyDescent="0.25">
      <c r="A126" s="285"/>
      <c r="B126" s="286" t="s">
        <v>194</v>
      </c>
      <c r="C126" s="314"/>
      <c r="D126" s="314"/>
      <c r="E126" s="314"/>
      <c r="F126" s="314"/>
      <c r="G126" s="314"/>
      <c r="H126" s="314"/>
      <c r="I126" s="314"/>
      <c r="J126" s="314"/>
      <c r="K126" s="314"/>
      <c r="L126" s="314"/>
      <c r="M126" s="314"/>
      <c r="N126" s="314"/>
      <c r="O126" s="314"/>
      <c r="P126" s="314"/>
      <c r="Q126" s="314"/>
      <c r="R126" s="314"/>
      <c r="S126" s="314"/>
      <c r="T126" s="337">
        <v>-974</v>
      </c>
      <c r="U126" s="337"/>
      <c r="V126" s="338"/>
      <c r="W126" s="318"/>
      <c r="X126" s="5"/>
    </row>
    <row r="127" spans="1:24" ht="15.75" x14ac:dyDescent="0.25">
      <c r="A127" s="285"/>
      <c r="B127" s="286" t="s">
        <v>222</v>
      </c>
      <c r="C127" s="314"/>
      <c r="D127" s="314"/>
      <c r="E127" s="314"/>
      <c r="F127" s="314"/>
      <c r="G127" s="314"/>
      <c r="H127" s="314"/>
      <c r="I127" s="314"/>
      <c r="J127" s="314"/>
      <c r="K127" s="314"/>
      <c r="L127" s="314"/>
      <c r="M127" s="314"/>
      <c r="N127" s="314"/>
      <c r="O127" s="314"/>
      <c r="P127" s="314"/>
      <c r="Q127" s="314"/>
      <c r="R127" s="314"/>
      <c r="S127" s="314"/>
      <c r="T127" s="337">
        <v>-965</v>
      </c>
      <c r="U127" s="337"/>
      <c r="V127" s="338"/>
      <c r="W127" s="318"/>
      <c r="X127" s="5"/>
    </row>
    <row r="128" spans="1:24" ht="15.75" x14ac:dyDescent="0.25">
      <c r="A128" s="285"/>
      <c r="B128" s="286" t="s">
        <v>189</v>
      </c>
      <c r="C128" s="314"/>
      <c r="D128" s="314"/>
      <c r="E128" s="314"/>
      <c r="F128" s="314"/>
      <c r="G128" s="314"/>
      <c r="H128" s="314"/>
      <c r="I128" s="314"/>
      <c r="J128" s="314"/>
      <c r="K128" s="314"/>
      <c r="L128" s="314"/>
      <c r="M128" s="314"/>
      <c r="N128" s="314"/>
      <c r="O128" s="314"/>
      <c r="P128" s="314"/>
      <c r="Q128" s="314"/>
      <c r="R128" s="314"/>
      <c r="S128" s="314"/>
      <c r="T128" s="337">
        <v>0</v>
      </c>
      <c r="U128" s="337"/>
      <c r="V128" s="338"/>
      <c r="W128" s="318"/>
      <c r="X128" s="5"/>
    </row>
    <row r="129" spans="1:24" ht="15.75" x14ac:dyDescent="0.25">
      <c r="A129" s="285"/>
      <c r="B129" s="286" t="s">
        <v>188</v>
      </c>
      <c r="C129" s="314"/>
      <c r="D129" s="314"/>
      <c r="E129" s="314"/>
      <c r="F129" s="314"/>
      <c r="G129" s="314"/>
      <c r="H129" s="314"/>
      <c r="I129" s="314"/>
      <c r="J129" s="314"/>
      <c r="K129" s="314"/>
      <c r="L129" s="314"/>
      <c r="M129" s="314"/>
      <c r="N129" s="314"/>
      <c r="O129" s="314"/>
      <c r="P129" s="314"/>
      <c r="Q129" s="314"/>
      <c r="R129" s="314"/>
      <c r="S129" s="314"/>
      <c r="T129" s="337">
        <v>0</v>
      </c>
      <c r="U129" s="337"/>
      <c r="V129" s="338"/>
      <c r="W129" s="318"/>
      <c r="X129" s="5"/>
    </row>
    <row r="130" spans="1:24" ht="15.75" x14ac:dyDescent="0.25">
      <c r="A130" s="285"/>
      <c r="B130" s="286" t="s">
        <v>187</v>
      </c>
      <c r="C130" s="314"/>
      <c r="D130" s="314"/>
      <c r="E130" s="314"/>
      <c r="F130" s="314"/>
      <c r="G130" s="314"/>
      <c r="H130" s="314"/>
      <c r="I130" s="314"/>
      <c r="J130" s="314"/>
      <c r="K130" s="314"/>
      <c r="L130" s="314"/>
      <c r="M130" s="314"/>
      <c r="N130" s="314"/>
      <c r="O130" s="314"/>
      <c r="P130" s="314"/>
      <c r="Q130" s="314"/>
      <c r="R130" s="314"/>
      <c r="S130" s="314"/>
      <c r="T130" s="337">
        <v>0</v>
      </c>
      <c r="U130" s="337"/>
      <c r="V130" s="338"/>
      <c r="W130" s="318"/>
      <c r="X130" s="5"/>
    </row>
    <row r="131" spans="1:24" ht="15.75" x14ac:dyDescent="0.25">
      <c r="A131" s="285"/>
      <c r="B131" s="286" t="s">
        <v>39</v>
      </c>
      <c r="C131" s="314"/>
      <c r="D131" s="314"/>
      <c r="E131" s="314"/>
      <c r="F131" s="314"/>
      <c r="G131" s="314"/>
      <c r="H131" s="314"/>
      <c r="I131" s="314"/>
      <c r="J131" s="314"/>
      <c r="K131" s="314"/>
      <c r="L131" s="314"/>
      <c r="M131" s="314"/>
      <c r="N131" s="314"/>
      <c r="O131" s="314"/>
      <c r="P131" s="314"/>
      <c r="Q131" s="314"/>
      <c r="R131" s="314"/>
      <c r="S131" s="314"/>
      <c r="T131" s="337">
        <f>SUM(T121:T130)</f>
        <v>-11149</v>
      </c>
      <c r="U131" s="337"/>
      <c r="V131" s="337">
        <f>SUM(V102:V129)</f>
        <v>-4123</v>
      </c>
      <c r="W131" s="318"/>
      <c r="X131" s="5"/>
    </row>
    <row r="132" spans="1:24" ht="15.75" x14ac:dyDescent="0.25">
      <c r="A132" s="285"/>
      <c r="B132" s="286" t="s">
        <v>40</v>
      </c>
      <c r="C132" s="314"/>
      <c r="D132" s="314"/>
      <c r="E132" s="314"/>
      <c r="F132" s="314"/>
      <c r="G132" s="314"/>
      <c r="H132" s="314"/>
      <c r="I132" s="314"/>
      <c r="J132" s="314"/>
      <c r="K132" s="314"/>
      <c r="L132" s="314"/>
      <c r="M132" s="314"/>
      <c r="N132" s="314"/>
      <c r="O132" s="314"/>
      <c r="P132" s="314"/>
      <c r="Q132" s="314"/>
      <c r="R132" s="314"/>
      <c r="S132" s="314"/>
      <c r="T132" s="337">
        <f>T101+T131+T114</f>
        <v>0</v>
      </c>
      <c r="U132" s="337"/>
      <c r="V132" s="337">
        <f>V101+V131</f>
        <v>0</v>
      </c>
      <c r="W132" s="318"/>
      <c r="X132" s="5"/>
    </row>
    <row r="133" spans="1:24" ht="15.75" x14ac:dyDescent="0.25">
      <c r="A133" s="181"/>
      <c r="B133" s="212"/>
      <c r="C133" s="212"/>
      <c r="D133" s="212"/>
      <c r="E133" s="212"/>
      <c r="F133" s="212"/>
      <c r="G133" s="212"/>
      <c r="H133" s="212"/>
      <c r="I133" s="212"/>
      <c r="J133" s="212"/>
      <c r="K133" s="212"/>
      <c r="L133" s="212"/>
      <c r="M133" s="212"/>
      <c r="N133" s="212"/>
      <c r="O133" s="212"/>
      <c r="P133" s="212"/>
      <c r="Q133" s="212"/>
      <c r="R133" s="212"/>
      <c r="S133" s="212"/>
      <c r="T133" s="335"/>
      <c r="U133" s="335"/>
      <c r="V133" s="335"/>
      <c r="W133" s="212"/>
      <c r="X133" s="5"/>
    </row>
    <row r="134" spans="1:24" ht="15.75" x14ac:dyDescent="0.25">
      <c r="A134" s="181"/>
      <c r="B134" s="183"/>
      <c r="C134" s="183"/>
      <c r="D134" s="183"/>
      <c r="E134" s="183"/>
      <c r="F134" s="183"/>
      <c r="G134" s="183"/>
      <c r="H134" s="183"/>
      <c r="I134" s="183"/>
      <c r="J134" s="183"/>
      <c r="K134" s="183"/>
      <c r="L134" s="183"/>
      <c r="M134" s="183"/>
      <c r="N134" s="183"/>
      <c r="O134" s="183"/>
      <c r="P134" s="183"/>
      <c r="Q134" s="183"/>
      <c r="R134" s="183"/>
      <c r="S134" s="183"/>
      <c r="T134" s="183"/>
      <c r="U134" s="183"/>
      <c r="V134" s="202"/>
      <c r="W134" s="183"/>
      <c r="X134" s="5"/>
    </row>
    <row r="135" spans="1:24" ht="19.5" thickBot="1" x14ac:dyDescent="0.35">
      <c r="A135" s="197"/>
      <c r="B135" s="270" t="str">
        <f>B64</f>
        <v>PM15 INVESTOR REPORT QUARTER ENDING FEBRUARY 2017</v>
      </c>
      <c r="C135" s="198"/>
      <c r="D135" s="198"/>
      <c r="E135" s="198"/>
      <c r="F135" s="198"/>
      <c r="G135" s="198"/>
      <c r="H135" s="198"/>
      <c r="I135" s="198"/>
      <c r="J135" s="198"/>
      <c r="K135" s="198"/>
      <c r="L135" s="198"/>
      <c r="M135" s="198"/>
      <c r="N135" s="198"/>
      <c r="O135" s="198"/>
      <c r="P135" s="198"/>
      <c r="Q135" s="198"/>
      <c r="R135" s="198"/>
      <c r="S135" s="198"/>
      <c r="T135" s="198"/>
      <c r="U135" s="198"/>
      <c r="V135" s="209"/>
      <c r="W135" s="200"/>
      <c r="X135" s="5"/>
    </row>
    <row r="136" spans="1:24" ht="15.75" x14ac:dyDescent="0.25">
      <c r="A136" s="236"/>
      <c r="B136" s="403" t="s">
        <v>41</v>
      </c>
      <c r="C136" s="238"/>
      <c r="D136" s="238"/>
      <c r="E136" s="238"/>
      <c r="F136" s="238"/>
      <c r="G136" s="238"/>
      <c r="H136" s="238"/>
      <c r="I136" s="238"/>
      <c r="J136" s="238"/>
      <c r="K136" s="238"/>
      <c r="L136" s="238"/>
      <c r="M136" s="238"/>
      <c r="N136" s="238"/>
      <c r="O136" s="238"/>
      <c r="P136" s="238"/>
      <c r="Q136" s="238"/>
      <c r="R136" s="238"/>
      <c r="S136" s="238"/>
      <c r="T136" s="238"/>
      <c r="U136" s="238"/>
      <c r="V136" s="239"/>
      <c r="W136" s="238"/>
      <c r="X136" s="5"/>
    </row>
    <row r="137" spans="1:24" ht="15.75" x14ac:dyDescent="0.25">
      <c r="A137" s="181"/>
      <c r="B137" s="191"/>
      <c r="C137" s="183"/>
      <c r="D137" s="183"/>
      <c r="E137" s="183"/>
      <c r="F137" s="183"/>
      <c r="G137" s="183"/>
      <c r="H137" s="183"/>
      <c r="I137" s="183"/>
      <c r="J137" s="183"/>
      <c r="K137" s="183"/>
      <c r="L137" s="183"/>
      <c r="M137" s="183"/>
      <c r="N137" s="183"/>
      <c r="O137" s="183"/>
      <c r="P137" s="183"/>
      <c r="Q137" s="183"/>
      <c r="R137" s="183"/>
      <c r="S137" s="183"/>
      <c r="T137" s="183"/>
      <c r="U137" s="183"/>
      <c r="V137" s="202"/>
      <c r="W137" s="183"/>
      <c r="X137" s="5"/>
    </row>
    <row r="138" spans="1:24" ht="15.75" x14ac:dyDescent="0.25">
      <c r="A138" s="181"/>
      <c r="B138" s="210" t="s">
        <v>42</v>
      </c>
      <c r="C138" s="183"/>
      <c r="D138" s="183"/>
      <c r="E138" s="183"/>
      <c r="F138" s="183"/>
      <c r="G138" s="183"/>
      <c r="H138" s="183"/>
      <c r="I138" s="183"/>
      <c r="J138" s="183"/>
      <c r="K138" s="183"/>
      <c r="L138" s="183"/>
      <c r="M138" s="183"/>
      <c r="N138" s="183"/>
      <c r="O138" s="183"/>
      <c r="P138" s="183"/>
      <c r="Q138" s="183"/>
      <c r="R138" s="183"/>
      <c r="S138" s="183"/>
      <c r="T138" s="183"/>
      <c r="U138" s="183"/>
      <c r="V138" s="202"/>
      <c r="W138" s="183"/>
      <c r="X138" s="5"/>
    </row>
    <row r="139" spans="1:24" ht="15.75" x14ac:dyDescent="0.25">
      <c r="A139" s="285"/>
      <c r="B139" s="286" t="s">
        <v>43</v>
      </c>
      <c r="C139" s="286"/>
      <c r="D139" s="286"/>
      <c r="E139" s="286"/>
      <c r="F139" s="286"/>
      <c r="G139" s="286"/>
      <c r="H139" s="286"/>
      <c r="I139" s="286"/>
      <c r="J139" s="286"/>
      <c r="K139" s="286"/>
      <c r="L139" s="286"/>
      <c r="M139" s="286"/>
      <c r="N139" s="286"/>
      <c r="O139" s="286"/>
      <c r="P139" s="286"/>
      <c r="Q139" s="286"/>
      <c r="R139" s="286"/>
      <c r="S139" s="286"/>
      <c r="T139" s="286"/>
      <c r="U139" s="286"/>
      <c r="V139" s="338">
        <f>+V34*0.019</f>
        <v>19021.526999999998</v>
      </c>
      <c r="W139" s="289"/>
      <c r="X139" s="5"/>
    </row>
    <row r="140" spans="1:24" ht="15.75" x14ac:dyDescent="0.25">
      <c r="A140" s="285"/>
      <c r="B140" s="286" t="s">
        <v>44</v>
      </c>
      <c r="C140" s="286"/>
      <c r="D140" s="286"/>
      <c r="E140" s="286"/>
      <c r="F140" s="286"/>
      <c r="G140" s="286"/>
      <c r="H140" s="286"/>
      <c r="I140" s="286"/>
      <c r="J140" s="286"/>
      <c r="K140" s="286"/>
      <c r="L140" s="286"/>
      <c r="M140" s="286"/>
      <c r="N140" s="286"/>
      <c r="O140" s="286"/>
      <c r="P140" s="286"/>
      <c r="Q140" s="286"/>
      <c r="R140" s="286"/>
      <c r="S140" s="286"/>
      <c r="T140" s="286"/>
      <c r="U140" s="286"/>
      <c r="V140" s="338">
        <v>19022</v>
      </c>
      <c r="W140" s="289"/>
      <c r="X140" s="5"/>
    </row>
    <row r="141" spans="1:24" ht="15.75" x14ac:dyDescent="0.25">
      <c r="A141" s="285"/>
      <c r="B141" s="286" t="s">
        <v>136</v>
      </c>
      <c r="C141" s="286"/>
      <c r="D141" s="286"/>
      <c r="E141" s="286"/>
      <c r="F141" s="286"/>
      <c r="G141" s="286"/>
      <c r="H141" s="286"/>
      <c r="I141" s="286"/>
      <c r="J141" s="286"/>
      <c r="K141" s="286"/>
      <c r="L141" s="286"/>
      <c r="M141" s="286"/>
      <c r="N141" s="286"/>
      <c r="O141" s="286"/>
      <c r="P141" s="286"/>
      <c r="Q141" s="286"/>
      <c r="R141" s="286"/>
      <c r="S141" s="286"/>
      <c r="T141" s="286"/>
      <c r="U141" s="286"/>
      <c r="V141" s="338"/>
      <c r="W141" s="289"/>
      <c r="X141" s="5"/>
    </row>
    <row r="142" spans="1:24" ht="15.75" x14ac:dyDescent="0.25">
      <c r="A142" s="285"/>
      <c r="B142" s="286" t="s">
        <v>123</v>
      </c>
      <c r="C142" s="286"/>
      <c r="D142" s="286"/>
      <c r="E142" s="286"/>
      <c r="F142" s="286"/>
      <c r="G142" s="286"/>
      <c r="H142" s="286"/>
      <c r="I142" s="286"/>
      <c r="J142" s="286"/>
      <c r="K142" s="286"/>
      <c r="L142" s="286"/>
      <c r="M142" s="286"/>
      <c r="N142" s="286"/>
      <c r="O142" s="286"/>
      <c r="P142" s="286"/>
      <c r="Q142" s="286"/>
      <c r="R142" s="286"/>
      <c r="S142" s="286"/>
      <c r="T142" s="286"/>
      <c r="U142" s="286"/>
      <c r="V142" s="338">
        <v>0</v>
      </c>
      <c r="W142" s="289"/>
      <c r="X142" s="5"/>
    </row>
    <row r="143" spans="1:24" ht="15.75" x14ac:dyDescent="0.25">
      <c r="A143" s="285"/>
      <c r="B143" s="286" t="s">
        <v>124</v>
      </c>
      <c r="C143" s="286"/>
      <c r="D143" s="286"/>
      <c r="E143" s="286"/>
      <c r="F143" s="286"/>
      <c r="G143" s="286"/>
      <c r="H143" s="286"/>
      <c r="I143" s="286"/>
      <c r="J143" s="286"/>
      <c r="K143" s="286"/>
      <c r="L143" s="286"/>
      <c r="M143" s="286"/>
      <c r="N143" s="286"/>
      <c r="O143" s="286"/>
      <c r="P143" s="286"/>
      <c r="Q143" s="286"/>
      <c r="R143" s="286"/>
      <c r="S143" s="286"/>
      <c r="T143" s="286"/>
      <c r="U143" s="286"/>
      <c r="V143" s="338">
        <v>0</v>
      </c>
      <c r="W143" s="289"/>
      <c r="X143" s="5"/>
    </row>
    <row r="144" spans="1:24" ht="15.75" x14ac:dyDescent="0.25">
      <c r="A144" s="285"/>
      <c r="B144" s="286" t="s">
        <v>175</v>
      </c>
      <c r="C144" s="286"/>
      <c r="D144" s="286"/>
      <c r="E144" s="286"/>
      <c r="F144" s="286"/>
      <c r="G144" s="286"/>
      <c r="H144" s="286"/>
      <c r="I144" s="286"/>
      <c r="J144" s="286"/>
      <c r="K144" s="286"/>
      <c r="L144" s="286"/>
      <c r="M144" s="286"/>
      <c r="N144" s="286"/>
      <c r="O144" s="286"/>
      <c r="P144" s="286"/>
      <c r="Q144" s="286"/>
      <c r="R144" s="286"/>
      <c r="S144" s="286"/>
      <c r="T144" s="286"/>
      <c r="U144" s="286"/>
      <c r="V144" s="338">
        <v>0</v>
      </c>
      <c r="W144" s="289"/>
      <c r="X144" s="5"/>
    </row>
    <row r="145" spans="1:25" ht="15.75" x14ac:dyDescent="0.25">
      <c r="A145" s="285"/>
      <c r="B145" s="286" t="s">
        <v>45</v>
      </c>
      <c r="C145" s="286"/>
      <c r="D145" s="286"/>
      <c r="E145" s="286"/>
      <c r="F145" s="286"/>
      <c r="G145" s="286"/>
      <c r="H145" s="286"/>
      <c r="I145" s="286"/>
      <c r="J145" s="286"/>
      <c r="K145" s="286"/>
      <c r="L145" s="286"/>
      <c r="M145" s="286"/>
      <c r="N145" s="286"/>
      <c r="O145" s="286"/>
      <c r="P145" s="286"/>
      <c r="Q145" s="286"/>
      <c r="R145" s="286"/>
      <c r="S145" s="286"/>
      <c r="T145" s="286"/>
      <c r="U145" s="286"/>
      <c r="V145" s="338">
        <v>0</v>
      </c>
      <c r="W145" s="289"/>
      <c r="X145" s="5"/>
    </row>
    <row r="146" spans="1:25" ht="15.75" x14ac:dyDescent="0.25">
      <c r="A146" s="285"/>
      <c r="B146" s="286" t="s">
        <v>129</v>
      </c>
      <c r="C146" s="286"/>
      <c r="D146" s="286"/>
      <c r="E146" s="286"/>
      <c r="F146" s="286"/>
      <c r="G146" s="286"/>
      <c r="H146" s="286"/>
      <c r="I146" s="286"/>
      <c r="J146" s="286"/>
      <c r="K146" s="286"/>
      <c r="L146" s="286"/>
      <c r="M146" s="286"/>
      <c r="N146" s="286"/>
      <c r="O146" s="286"/>
      <c r="P146" s="286"/>
      <c r="Q146" s="286"/>
      <c r="R146" s="286"/>
      <c r="S146" s="286"/>
      <c r="T146" s="286"/>
      <c r="U146" s="286"/>
      <c r="V146" s="338">
        <v>0</v>
      </c>
      <c r="W146" s="289"/>
      <c r="X146" s="5"/>
    </row>
    <row r="147" spans="1:25" ht="15.75" x14ac:dyDescent="0.25">
      <c r="A147" s="285"/>
      <c r="B147" s="286" t="s">
        <v>241</v>
      </c>
      <c r="C147" s="286"/>
      <c r="D147" s="286"/>
      <c r="E147" s="286"/>
      <c r="F147" s="286"/>
      <c r="G147" s="286"/>
      <c r="H147" s="286"/>
      <c r="I147" s="286"/>
      <c r="J147" s="286"/>
      <c r="K147" s="286"/>
      <c r="L147" s="286"/>
      <c r="M147" s="286"/>
      <c r="N147" s="286"/>
      <c r="O147" s="286"/>
      <c r="P147" s="286"/>
      <c r="Q147" s="286"/>
      <c r="R147" s="286"/>
      <c r="S147" s="286"/>
      <c r="T147" s="286"/>
      <c r="U147" s="286"/>
      <c r="V147" s="338">
        <v>0</v>
      </c>
      <c r="W147" s="289"/>
      <c r="X147" s="5"/>
      <c r="Y147" s="109"/>
    </row>
    <row r="148" spans="1:25" ht="15.75" x14ac:dyDescent="0.25">
      <c r="A148" s="285"/>
      <c r="B148" s="286" t="s">
        <v>46</v>
      </c>
      <c r="C148" s="286"/>
      <c r="D148" s="286"/>
      <c r="E148" s="286"/>
      <c r="F148" s="286"/>
      <c r="G148" s="286"/>
      <c r="H148" s="286"/>
      <c r="I148" s="286"/>
      <c r="J148" s="286"/>
      <c r="K148" s="286"/>
      <c r="L148" s="286"/>
      <c r="M148" s="286"/>
      <c r="N148" s="286"/>
      <c r="O148" s="286"/>
      <c r="P148" s="286"/>
      <c r="Q148" s="286"/>
      <c r="R148" s="286"/>
      <c r="S148" s="286"/>
      <c r="T148" s="286"/>
      <c r="U148" s="286"/>
      <c r="V148" s="338">
        <f>SUM(V140:V147)</f>
        <v>19022</v>
      </c>
      <c r="W148" s="289"/>
      <c r="X148" s="5"/>
    </row>
    <row r="149" spans="1:25" ht="15.75" x14ac:dyDescent="0.25">
      <c r="A149" s="285"/>
      <c r="B149" s="314"/>
      <c r="C149" s="314"/>
      <c r="D149" s="314"/>
      <c r="E149" s="314"/>
      <c r="F149" s="314"/>
      <c r="G149" s="314"/>
      <c r="H149" s="314"/>
      <c r="I149" s="314"/>
      <c r="J149" s="314"/>
      <c r="K149" s="314"/>
      <c r="L149" s="314"/>
      <c r="M149" s="314"/>
      <c r="N149" s="314"/>
      <c r="O149" s="314"/>
      <c r="P149" s="314"/>
      <c r="Q149" s="314"/>
      <c r="R149" s="314"/>
      <c r="S149" s="314"/>
      <c r="T149" s="314"/>
      <c r="U149" s="314"/>
      <c r="V149" s="345"/>
      <c r="W149" s="318"/>
      <c r="X149" s="5"/>
    </row>
    <row r="150" spans="1:25" ht="15.75" x14ac:dyDescent="0.25">
      <c r="A150" s="285"/>
      <c r="B150" s="342" t="s">
        <v>269</v>
      </c>
      <c r="C150" s="314"/>
      <c r="D150" s="314"/>
      <c r="E150" s="314"/>
      <c r="F150" s="314"/>
      <c r="G150" s="314"/>
      <c r="H150" s="314"/>
      <c r="I150" s="314"/>
      <c r="J150" s="314"/>
      <c r="K150" s="314"/>
      <c r="L150" s="314"/>
      <c r="M150" s="314"/>
      <c r="N150" s="314"/>
      <c r="O150" s="314"/>
      <c r="P150" s="314"/>
      <c r="Q150" s="314"/>
      <c r="R150" s="314"/>
      <c r="S150" s="314"/>
      <c r="T150" s="314"/>
      <c r="U150" s="314"/>
      <c r="V150" s="345"/>
      <c r="W150" s="318"/>
      <c r="X150" s="5"/>
    </row>
    <row r="151" spans="1:25" ht="15.75" x14ac:dyDescent="0.25">
      <c r="A151" s="285"/>
      <c r="B151" s="286" t="s">
        <v>155</v>
      </c>
      <c r="C151" s="286"/>
      <c r="D151" s="286"/>
      <c r="E151" s="286"/>
      <c r="F151" s="286"/>
      <c r="G151" s="286"/>
      <c r="H151" s="286"/>
      <c r="I151" s="286"/>
      <c r="J151" s="286"/>
      <c r="K151" s="286"/>
      <c r="L151" s="286"/>
      <c r="M151" s="286"/>
      <c r="N151" s="286"/>
      <c r="O151" s="286"/>
      <c r="P151" s="286"/>
      <c r="Q151" s="286"/>
      <c r="R151" s="286"/>
      <c r="S151" s="286"/>
      <c r="T151" s="286"/>
      <c r="U151" s="286"/>
      <c r="V151" s="338">
        <v>0</v>
      </c>
      <c r="W151" s="289"/>
      <c r="X151" s="5"/>
    </row>
    <row r="152" spans="1:25" ht="15.75" x14ac:dyDescent="0.25">
      <c r="A152" s="285"/>
      <c r="B152" s="286" t="s">
        <v>172</v>
      </c>
      <c r="C152" s="286"/>
      <c r="D152" s="286"/>
      <c r="E152" s="286"/>
      <c r="F152" s="286"/>
      <c r="G152" s="286"/>
      <c r="H152" s="286"/>
      <c r="I152" s="286"/>
      <c r="J152" s="286"/>
      <c r="K152" s="286"/>
      <c r="L152" s="286"/>
      <c r="M152" s="286"/>
      <c r="N152" s="286"/>
      <c r="O152" s="286"/>
      <c r="P152" s="286"/>
      <c r="Q152" s="286"/>
      <c r="R152" s="286"/>
      <c r="S152" s="286"/>
      <c r="T152" s="286"/>
      <c r="U152" s="286"/>
      <c r="V152" s="338">
        <v>0</v>
      </c>
      <c r="W152" s="289"/>
      <c r="X152" s="5"/>
    </row>
    <row r="153" spans="1:25" ht="15.75" x14ac:dyDescent="0.25">
      <c r="A153" s="285"/>
      <c r="B153" s="286" t="s">
        <v>226</v>
      </c>
      <c r="C153" s="286"/>
      <c r="D153" s="286"/>
      <c r="E153" s="286"/>
      <c r="F153" s="286"/>
      <c r="G153" s="286"/>
      <c r="H153" s="286"/>
      <c r="I153" s="286"/>
      <c r="J153" s="286"/>
      <c r="K153" s="286"/>
      <c r="L153" s="286"/>
      <c r="M153" s="286"/>
      <c r="N153" s="286"/>
      <c r="O153" s="286"/>
      <c r="P153" s="286"/>
      <c r="Q153" s="286"/>
      <c r="R153" s="286"/>
      <c r="S153" s="286"/>
      <c r="T153" s="286"/>
      <c r="U153" s="286"/>
      <c r="V153" s="338">
        <v>0</v>
      </c>
      <c r="W153" s="289"/>
      <c r="X153" s="5"/>
    </row>
    <row r="154" spans="1:25" ht="15.75" x14ac:dyDescent="0.25">
      <c r="A154" s="285"/>
      <c r="B154" s="314"/>
      <c r="C154" s="314"/>
      <c r="D154" s="314"/>
      <c r="E154" s="314"/>
      <c r="F154" s="314"/>
      <c r="G154" s="314"/>
      <c r="H154" s="314"/>
      <c r="I154" s="314"/>
      <c r="J154" s="314"/>
      <c r="K154" s="314"/>
      <c r="L154" s="314"/>
      <c r="M154" s="314"/>
      <c r="N154" s="314"/>
      <c r="O154" s="314"/>
      <c r="P154" s="314"/>
      <c r="Q154" s="314"/>
      <c r="R154" s="314"/>
      <c r="S154" s="314"/>
      <c r="T154" s="314"/>
      <c r="U154" s="314"/>
      <c r="V154" s="345"/>
      <c r="W154" s="318"/>
      <c r="X154" s="5"/>
    </row>
    <row r="155" spans="1:25" ht="15.75" x14ac:dyDescent="0.25">
      <c r="A155" s="181"/>
      <c r="B155" s="212"/>
      <c r="C155" s="212"/>
      <c r="D155" s="212"/>
      <c r="E155" s="212"/>
      <c r="F155" s="212"/>
      <c r="G155" s="212"/>
      <c r="H155" s="212"/>
      <c r="I155" s="212"/>
      <c r="J155" s="212"/>
      <c r="K155" s="212"/>
      <c r="L155" s="212"/>
      <c r="M155" s="212"/>
      <c r="N155" s="212"/>
      <c r="O155" s="212"/>
      <c r="P155" s="212"/>
      <c r="Q155" s="212"/>
      <c r="R155" s="212"/>
      <c r="S155" s="212"/>
      <c r="T155" s="212"/>
      <c r="U155" s="212"/>
      <c r="V155" s="344"/>
      <c r="W155" s="212"/>
      <c r="X155" s="5"/>
    </row>
    <row r="156" spans="1:25" ht="15.75" x14ac:dyDescent="0.25">
      <c r="A156" s="181"/>
      <c r="B156" s="210" t="s">
        <v>24</v>
      </c>
      <c r="C156" s="183"/>
      <c r="D156" s="183"/>
      <c r="E156" s="183"/>
      <c r="F156" s="183"/>
      <c r="G156" s="183"/>
      <c r="H156" s="183"/>
      <c r="I156" s="183"/>
      <c r="J156" s="183"/>
      <c r="K156" s="183"/>
      <c r="L156" s="183"/>
      <c r="M156" s="183"/>
      <c r="N156" s="183"/>
      <c r="O156" s="183"/>
      <c r="P156" s="183"/>
      <c r="Q156" s="183"/>
      <c r="R156" s="183"/>
      <c r="S156" s="183"/>
      <c r="T156" s="183"/>
      <c r="U156" s="183"/>
      <c r="V156" s="202"/>
      <c r="W156" s="183"/>
      <c r="X156" s="5"/>
    </row>
    <row r="157" spans="1:25" ht="15.75" x14ac:dyDescent="0.25">
      <c r="A157" s="285"/>
      <c r="B157" s="286" t="s">
        <v>47</v>
      </c>
      <c r="C157" s="286"/>
      <c r="D157" s="286"/>
      <c r="E157" s="286"/>
      <c r="F157" s="286"/>
      <c r="G157" s="286"/>
      <c r="H157" s="286"/>
      <c r="I157" s="286"/>
      <c r="J157" s="286"/>
      <c r="K157" s="286"/>
      <c r="L157" s="286"/>
      <c r="M157" s="286"/>
      <c r="N157" s="286"/>
      <c r="O157" s="286"/>
      <c r="P157" s="286"/>
      <c r="Q157" s="286"/>
      <c r="R157" s="286"/>
      <c r="S157" s="286"/>
      <c r="T157" s="286"/>
      <c r="U157" s="286"/>
      <c r="V157" s="343" t="s">
        <v>118</v>
      </c>
      <c r="W157" s="318"/>
      <c r="X157" s="5"/>
    </row>
    <row r="158" spans="1:25" ht="15.75" x14ac:dyDescent="0.25">
      <c r="A158" s="285"/>
      <c r="B158" s="286" t="s">
        <v>48</v>
      </c>
      <c r="C158" s="288"/>
      <c r="D158" s="288"/>
      <c r="E158" s="288"/>
      <c r="F158" s="288"/>
      <c r="G158" s="288"/>
      <c r="H158" s="288"/>
      <c r="I158" s="288"/>
      <c r="J158" s="288"/>
      <c r="K158" s="288"/>
      <c r="L158" s="288"/>
      <c r="M158" s="288"/>
      <c r="N158" s="288"/>
      <c r="O158" s="288"/>
      <c r="P158" s="288"/>
      <c r="Q158" s="288"/>
      <c r="R158" s="288"/>
      <c r="S158" s="288"/>
      <c r="T158" s="288"/>
      <c r="U158" s="288"/>
      <c r="V158" s="343" t="s">
        <v>118</v>
      </c>
      <c r="W158" s="318"/>
      <c r="X158" s="5"/>
    </row>
    <row r="159" spans="1:25" ht="15.75" x14ac:dyDescent="0.25">
      <c r="A159" s="285"/>
      <c r="B159" s="286" t="s">
        <v>49</v>
      </c>
      <c r="C159" s="286"/>
      <c r="D159" s="286"/>
      <c r="E159" s="286"/>
      <c r="F159" s="286"/>
      <c r="G159" s="286"/>
      <c r="H159" s="286"/>
      <c r="I159" s="286"/>
      <c r="J159" s="286"/>
      <c r="K159" s="286"/>
      <c r="L159" s="286"/>
      <c r="M159" s="286"/>
      <c r="N159" s="286"/>
      <c r="O159" s="286"/>
      <c r="P159" s="286"/>
      <c r="Q159" s="286"/>
      <c r="R159" s="286"/>
      <c r="S159" s="286"/>
      <c r="T159" s="286"/>
      <c r="U159" s="286"/>
      <c r="V159" s="343" t="s">
        <v>118</v>
      </c>
      <c r="W159" s="318"/>
      <c r="X159" s="5"/>
    </row>
    <row r="160" spans="1:25" ht="15.75" x14ac:dyDescent="0.25">
      <c r="A160" s="285"/>
      <c r="B160" s="286" t="s">
        <v>50</v>
      </c>
      <c r="C160" s="286"/>
      <c r="D160" s="286"/>
      <c r="E160" s="286"/>
      <c r="F160" s="286"/>
      <c r="G160" s="286"/>
      <c r="H160" s="286"/>
      <c r="I160" s="286"/>
      <c r="J160" s="286"/>
      <c r="K160" s="286"/>
      <c r="L160" s="286"/>
      <c r="M160" s="286"/>
      <c r="N160" s="286"/>
      <c r="O160" s="286"/>
      <c r="P160" s="286"/>
      <c r="Q160" s="286"/>
      <c r="R160" s="286"/>
      <c r="S160" s="286"/>
      <c r="T160" s="286"/>
      <c r="U160" s="286"/>
      <c r="V160" s="343" t="s">
        <v>118</v>
      </c>
      <c r="W160" s="318"/>
      <c r="X160" s="5"/>
    </row>
    <row r="161" spans="1:256" ht="15.75" x14ac:dyDescent="0.25">
      <c r="A161" s="181"/>
      <c r="B161" s="212"/>
      <c r="C161" s="212"/>
      <c r="D161" s="212"/>
      <c r="E161" s="212"/>
      <c r="F161" s="212"/>
      <c r="G161" s="212"/>
      <c r="H161" s="212"/>
      <c r="I161" s="212"/>
      <c r="J161" s="212"/>
      <c r="K161" s="212"/>
      <c r="L161" s="212"/>
      <c r="M161" s="212"/>
      <c r="N161" s="212"/>
      <c r="O161" s="212"/>
      <c r="P161" s="212"/>
      <c r="Q161" s="212"/>
      <c r="R161" s="212"/>
      <c r="S161" s="212"/>
      <c r="T161" s="212"/>
      <c r="U161" s="212"/>
      <c r="V161" s="344"/>
      <c r="W161" s="212"/>
      <c r="X161" s="5"/>
    </row>
    <row r="162" spans="1:256" ht="15.75" x14ac:dyDescent="0.25">
      <c r="A162" s="181"/>
      <c r="B162" s="210" t="s">
        <v>51</v>
      </c>
      <c r="C162" s="183"/>
      <c r="D162" s="183"/>
      <c r="E162" s="183"/>
      <c r="F162" s="183"/>
      <c r="G162" s="183"/>
      <c r="H162" s="183"/>
      <c r="I162" s="183"/>
      <c r="J162" s="183"/>
      <c r="K162" s="183"/>
      <c r="L162" s="183"/>
      <c r="M162" s="183"/>
      <c r="N162" s="183"/>
      <c r="O162" s="183"/>
      <c r="P162" s="183"/>
      <c r="Q162" s="183"/>
      <c r="R162" s="183"/>
      <c r="S162" s="183"/>
      <c r="T162" s="183"/>
      <c r="U162" s="183"/>
      <c r="V162" s="211"/>
      <c r="W162" s="183"/>
      <c r="X162" s="5"/>
    </row>
    <row r="163" spans="1:256" ht="15.75" x14ac:dyDescent="0.25">
      <c r="A163" s="285"/>
      <c r="B163" s="286" t="s">
        <v>52</v>
      </c>
      <c r="C163" s="286"/>
      <c r="D163" s="286"/>
      <c r="E163" s="286"/>
      <c r="F163" s="286"/>
      <c r="G163" s="286"/>
      <c r="H163" s="286"/>
      <c r="I163" s="286"/>
      <c r="J163" s="286"/>
      <c r="K163" s="286"/>
      <c r="L163" s="286"/>
      <c r="M163" s="286"/>
      <c r="N163" s="286"/>
      <c r="O163" s="286"/>
      <c r="P163" s="286"/>
      <c r="Q163" s="286"/>
      <c r="R163" s="286"/>
      <c r="S163" s="286"/>
      <c r="T163" s="286"/>
      <c r="U163" s="286"/>
      <c r="V163" s="338">
        <v>0</v>
      </c>
      <c r="W163" s="289"/>
      <c r="X163" s="5"/>
    </row>
    <row r="164" spans="1:256" ht="15.75" x14ac:dyDescent="0.25">
      <c r="A164" s="285"/>
      <c r="B164" s="286" t="s">
        <v>53</v>
      </c>
      <c r="C164" s="286"/>
      <c r="D164" s="286"/>
      <c r="E164" s="286"/>
      <c r="F164" s="286"/>
      <c r="G164" s="286"/>
      <c r="H164" s="286"/>
      <c r="I164" s="286"/>
      <c r="J164" s="286"/>
      <c r="K164" s="286"/>
      <c r="L164" s="286"/>
      <c r="M164" s="286"/>
      <c r="N164" s="286"/>
      <c r="O164" s="286"/>
      <c r="P164" s="286"/>
      <c r="Q164" s="286"/>
      <c r="R164" s="286"/>
      <c r="S164" s="286"/>
      <c r="T164" s="286"/>
      <c r="U164" s="286"/>
      <c r="V164" s="338">
        <v>146</v>
      </c>
      <c r="W164" s="289"/>
      <c r="X164" s="5"/>
    </row>
    <row r="165" spans="1:256" ht="15.75" x14ac:dyDescent="0.25">
      <c r="A165" s="285"/>
      <c r="B165" s="286" t="s">
        <v>54</v>
      </c>
      <c r="C165" s="286"/>
      <c r="D165" s="286"/>
      <c r="E165" s="286"/>
      <c r="F165" s="286"/>
      <c r="G165" s="286"/>
      <c r="H165" s="286"/>
      <c r="I165" s="286"/>
      <c r="J165" s="286"/>
      <c r="K165" s="286"/>
      <c r="L165" s="286"/>
      <c r="M165" s="286"/>
      <c r="N165" s="286"/>
      <c r="O165" s="286"/>
      <c r="P165" s="286"/>
      <c r="Q165" s="286"/>
      <c r="R165" s="286"/>
      <c r="S165" s="286"/>
      <c r="T165" s="286"/>
      <c r="U165" s="286"/>
      <c r="V165" s="338">
        <f>V164+V163</f>
        <v>146</v>
      </c>
      <c r="W165" s="289"/>
      <c r="X165" s="5"/>
    </row>
    <row r="166" spans="1:256" ht="15.75" x14ac:dyDescent="0.25">
      <c r="A166" s="285"/>
      <c r="B166" s="286" t="s">
        <v>303</v>
      </c>
      <c r="C166" s="286"/>
      <c r="D166" s="286"/>
      <c r="E166" s="286"/>
      <c r="F166" s="286"/>
      <c r="G166" s="286"/>
      <c r="H166" s="286"/>
      <c r="I166" s="286"/>
      <c r="J166" s="286"/>
      <c r="K166" s="286"/>
      <c r="L166" s="286"/>
      <c r="M166" s="286"/>
      <c r="N166" s="286"/>
      <c r="O166" s="286"/>
      <c r="P166" s="286"/>
      <c r="Q166" s="286"/>
      <c r="R166" s="286"/>
      <c r="S166" s="286"/>
      <c r="T166" s="286"/>
      <c r="U166" s="286"/>
      <c r="V166" s="338">
        <f>V114</f>
        <v>-146</v>
      </c>
      <c r="W166" s="289"/>
      <c r="X166" s="5"/>
    </row>
    <row r="167" spans="1:256" ht="15.75" x14ac:dyDescent="0.25">
      <c r="A167" s="285"/>
      <c r="B167" s="286" t="s">
        <v>55</v>
      </c>
      <c r="C167" s="286"/>
      <c r="D167" s="286"/>
      <c r="E167" s="286"/>
      <c r="F167" s="286"/>
      <c r="G167" s="286"/>
      <c r="H167" s="286"/>
      <c r="I167" s="286"/>
      <c r="J167" s="286"/>
      <c r="K167" s="286"/>
      <c r="L167" s="286"/>
      <c r="M167" s="286"/>
      <c r="N167" s="286"/>
      <c r="O167" s="286"/>
      <c r="P167" s="286"/>
      <c r="Q167" s="286"/>
      <c r="R167" s="286"/>
      <c r="S167" s="286"/>
      <c r="T167" s="286"/>
      <c r="U167" s="286"/>
      <c r="V167" s="338">
        <f>V165+V166</f>
        <v>0</v>
      </c>
      <c r="W167" s="289"/>
      <c r="X167" s="5"/>
    </row>
    <row r="168" spans="1:256" ht="15.75" x14ac:dyDescent="0.25">
      <c r="A168" s="285"/>
      <c r="B168" s="286" t="s">
        <v>274</v>
      </c>
      <c r="C168" s="286"/>
      <c r="D168" s="286"/>
      <c r="E168" s="286"/>
      <c r="F168" s="286"/>
      <c r="G168" s="286"/>
      <c r="H168" s="286"/>
      <c r="I168" s="286"/>
      <c r="J168" s="286"/>
      <c r="K168" s="286"/>
      <c r="L168" s="286"/>
      <c r="M168" s="286"/>
      <c r="N168" s="286"/>
      <c r="O168" s="286"/>
      <c r="P168" s="286"/>
      <c r="Q168" s="286"/>
      <c r="R168" s="286"/>
      <c r="S168" s="286"/>
      <c r="T168" s="286"/>
      <c r="U168" s="286"/>
      <c r="V168" s="338">
        <v>0</v>
      </c>
      <c r="W168" s="289"/>
      <c r="X168" s="5"/>
    </row>
    <row r="169" spans="1:256" ht="16.5" thickBot="1" x14ac:dyDescent="0.3">
      <c r="A169" s="181"/>
      <c r="B169" s="212"/>
      <c r="C169" s="212"/>
      <c r="D169" s="212"/>
      <c r="E169" s="212"/>
      <c r="F169" s="212"/>
      <c r="G169" s="212"/>
      <c r="H169" s="212"/>
      <c r="I169" s="212"/>
      <c r="J169" s="212"/>
      <c r="K169" s="212"/>
      <c r="L169" s="212"/>
      <c r="M169" s="212"/>
      <c r="N169" s="212"/>
      <c r="O169" s="212"/>
      <c r="P169" s="212"/>
      <c r="Q169" s="212"/>
      <c r="R169" s="212"/>
      <c r="S169" s="212"/>
      <c r="T169" s="212"/>
      <c r="U169" s="212"/>
      <c r="V169" s="344"/>
      <c r="W169" s="212"/>
      <c r="X169" s="5"/>
    </row>
    <row r="170" spans="1:256" ht="15.75" x14ac:dyDescent="0.25">
      <c r="A170" s="179"/>
      <c r="B170" s="180"/>
      <c r="C170" s="180"/>
      <c r="D170" s="180"/>
      <c r="E170" s="180"/>
      <c r="F170" s="180"/>
      <c r="G170" s="180"/>
      <c r="H170" s="180"/>
      <c r="I170" s="180"/>
      <c r="J170" s="180"/>
      <c r="K170" s="180"/>
      <c r="L170" s="180"/>
      <c r="M170" s="180"/>
      <c r="N170" s="180"/>
      <c r="O170" s="180"/>
      <c r="P170" s="180"/>
      <c r="Q170" s="180"/>
      <c r="R170" s="180"/>
      <c r="S170" s="180"/>
      <c r="T170" s="180"/>
      <c r="U170" s="180"/>
      <c r="V170" s="201"/>
      <c r="W170" s="180"/>
      <c r="X170" s="5"/>
    </row>
    <row r="171" spans="1:256" s="158" customFormat="1" ht="15.75" x14ac:dyDescent="0.25">
      <c r="A171" s="181"/>
      <c r="B171" s="210" t="s">
        <v>230</v>
      </c>
      <c r="C171" s="212"/>
      <c r="D171" s="212"/>
      <c r="E171" s="212"/>
      <c r="F171" s="212"/>
      <c r="G171" s="212"/>
      <c r="H171" s="212"/>
      <c r="I171" s="212"/>
      <c r="J171" s="212"/>
      <c r="K171" s="212"/>
      <c r="L171" s="212"/>
      <c r="M171" s="212"/>
      <c r="N171" s="212"/>
      <c r="O171" s="212"/>
      <c r="P171" s="212"/>
      <c r="Q171" s="212"/>
      <c r="R171" s="212"/>
      <c r="S171" s="212"/>
      <c r="T171" s="212"/>
      <c r="U171" s="212"/>
      <c r="V171" s="213"/>
      <c r="W171" s="212"/>
      <c r="X171" s="5"/>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s="160" customFormat="1" ht="15.75" x14ac:dyDescent="0.25">
      <c r="A172" s="285"/>
      <c r="B172" s="286" t="s">
        <v>231</v>
      </c>
      <c r="C172" s="286"/>
      <c r="D172" s="286"/>
      <c r="E172" s="286"/>
      <c r="F172" s="286"/>
      <c r="G172" s="286"/>
      <c r="H172" s="286"/>
      <c r="I172" s="286"/>
      <c r="J172" s="286"/>
      <c r="K172" s="286"/>
      <c r="L172" s="286"/>
      <c r="M172" s="286"/>
      <c r="N172" s="286"/>
      <c r="O172" s="286"/>
      <c r="P172" s="286"/>
      <c r="Q172" s="286"/>
      <c r="R172" s="286"/>
      <c r="S172" s="286"/>
      <c r="T172" s="286"/>
      <c r="U172" s="286"/>
      <c r="V172" s="338">
        <f>+'Aug 08'!V173</f>
        <v>0</v>
      </c>
      <c r="W172" s="289"/>
      <c r="X172" s="5"/>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s="160" customFormat="1" ht="15.75" x14ac:dyDescent="0.25">
      <c r="A173" s="285"/>
      <c r="B173" s="286" t="s">
        <v>234</v>
      </c>
      <c r="C173" s="286"/>
      <c r="D173" s="286"/>
      <c r="E173" s="286"/>
      <c r="F173" s="286"/>
      <c r="G173" s="286"/>
      <c r="H173" s="286"/>
      <c r="I173" s="286"/>
      <c r="J173" s="286"/>
      <c r="K173" s="286"/>
      <c r="L173" s="286"/>
      <c r="M173" s="286"/>
      <c r="N173" s="286"/>
      <c r="O173" s="286"/>
      <c r="P173" s="286"/>
      <c r="Q173" s="286"/>
      <c r="R173" s="286"/>
      <c r="S173" s="286"/>
      <c r="T173" s="286"/>
      <c r="U173" s="286"/>
      <c r="V173" s="338">
        <f>+V94</f>
        <v>0</v>
      </c>
      <c r="W173" s="289"/>
      <c r="X173" s="5"/>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s="160" customFormat="1" ht="15.75" x14ac:dyDescent="0.25">
      <c r="A174" s="285"/>
      <c r="B174" s="286" t="s">
        <v>232</v>
      </c>
      <c r="C174" s="286"/>
      <c r="D174" s="286"/>
      <c r="E174" s="286"/>
      <c r="F174" s="286"/>
      <c r="G174" s="286"/>
      <c r="H174" s="286"/>
      <c r="I174" s="286"/>
      <c r="J174" s="286"/>
      <c r="K174" s="286"/>
      <c r="L174" s="286"/>
      <c r="M174" s="286"/>
      <c r="N174" s="286"/>
      <c r="O174" s="286"/>
      <c r="P174" s="286"/>
      <c r="Q174" s="286"/>
      <c r="R174" s="286"/>
      <c r="S174" s="286"/>
      <c r="T174" s="286"/>
      <c r="U174" s="286"/>
      <c r="V174" s="338">
        <f>+V172-V173</f>
        <v>0</v>
      </c>
      <c r="W174" s="289"/>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6.5" thickBot="1" x14ac:dyDescent="0.3">
      <c r="A175" s="197"/>
      <c r="B175" s="212"/>
      <c r="C175" s="212"/>
      <c r="D175" s="212"/>
      <c r="E175" s="212"/>
      <c r="F175" s="212"/>
      <c r="G175" s="212"/>
      <c r="H175" s="212"/>
      <c r="I175" s="212"/>
      <c r="J175" s="212"/>
      <c r="K175" s="212"/>
      <c r="L175" s="212"/>
      <c r="M175" s="212"/>
      <c r="N175" s="212"/>
      <c r="O175" s="212"/>
      <c r="P175" s="212"/>
      <c r="Q175" s="212"/>
      <c r="R175" s="212"/>
      <c r="S175" s="212"/>
      <c r="T175" s="212"/>
      <c r="U175" s="212"/>
      <c r="V175" s="344"/>
      <c r="W175" s="212"/>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4" customFormat="1" ht="15.75" x14ac:dyDescent="0.25">
      <c r="A176" s="179"/>
      <c r="B176" s="180"/>
      <c r="C176" s="180"/>
      <c r="D176" s="180"/>
      <c r="E176" s="180"/>
      <c r="F176" s="180"/>
      <c r="G176" s="180"/>
      <c r="H176" s="180"/>
      <c r="I176" s="180"/>
      <c r="J176" s="180"/>
      <c r="K176" s="180"/>
      <c r="L176" s="180"/>
      <c r="M176" s="180"/>
      <c r="N176" s="180"/>
      <c r="O176" s="180"/>
      <c r="P176" s="180"/>
      <c r="Q176" s="180"/>
      <c r="R176" s="180"/>
      <c r="S176" s="180"/>
      <c r="T176" s="180"/>
      <c r="U176" s="180"/>
      <c r="V176" s="201"/>
      <c r="W176" s="180"/>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4" ht="15.75" x14ac:dyDescent="0.25">
      <c r="A177" s="181"/>
      <c r="B177" s="210" t="s">
        <v>56</v>
      </c>
      <c r="C177" s="183"/>
      <c r="D177" s="183"/>
      <c r="E177" s="183"/>
      <c r="F177" s="183"/>
      <c r="G177" s="183"/>
      <c r="H177" s="183"/>
      <c r="I177" s="183"/>
      <c r="J177" s="183"/>
      <c r="K177" s="183"/>
      <c r="L177" s="183"/>
      <c r="M177" s="183"/>
      <c r="N177" s="183"/>
      <c r="O177" s="183"/>
      <c r="P177" s="183"/>
      <c r="Q177" s="183"/>
      <c r="R177" s="183"/>
      <c r="S177" s="183"/>
      <c r="T177" s="183"/>
      <c r="U177" s="183"/>
      <c r="V177" s="202"/>
      <c r="W177" s="183"/>
      <c r="X177" s="5"/>
    </row>
    <row r="178" spans="1:24" ht="15.75" x14ac:dyDescent="0.25">
      <c r="A178" s="181"/>
      <c r="B178" s="191"/>
      <c r="C178" s="183"/>
      <c r="D178" s="183"/>
      <c r="E178" s="183"/>
      <c r="F178" s="183"/>
      <c r="G178" s="183"/>
      <c r="H178" s="183"/>
      <c r="I178" s="183"/>
      <c r="J178" s="183"/>
      <c r="K178" s="183"/>
      <c r="L178" s="183"/>
      <c r="M178" s="183"/>
      <c r="N178" s="183"/>
      <c r="O178" s="183"/>
      <c r="P178" s="183"/>
      <c r="Q178" s="183"/>
      <c r="R178" s="183"/>
      <c r="S178" s="183"/>
      <c r="T178" s="183"/>
      <c r="U178" s="183"/>
      <c r="V178" s="202"/>
      <c r="W178" s="183"/>
      <c r="X178" s="5"/>
    </row>
    <row r="179" spans="1:24" ht="15.75" x14ac:dyDescent="0.25">
      <c r="A179" s="285"/>
      <c r="B179" s="286" t="s">
        <v>57</v>
      </c>
      <c r="C179" s="286"/>
      <c r="D179" s="286"/>
      <c r="E179" s="286"/>
      <c r="F179" s="286"/>
      <c r="G179" s="286"/>
      <c r="H179" s="286"/>
      <c r="I179" s="286"/>
      <c r="J179" s="286"/>
      <c r="K179" s="286"/>
      <c r="L179" s="286"/>
      <c r="M179" s="286"/>
      <c r="N179" s="286"/>
      <c r="O179" s="286"/>
      <c r="P179" s="286"/>
      <c r="Q179" s="286"/>
      <c r="R179" s="286"/>
      <c r="S179" s="286"/>
      <c r="T179" s="286"/>
      <c r="U179" s="286"/>
      <c r="V179" s="338">
        <f>V71</f>
        <v>671860</v>
      </c>
      <c r="W179" s="289"/>
      <c r="X179" s="5"/>
    </row>
    <row r="180" spans="1:24" ht="15.75" x14ac:dyDescent="0.25">
      <c r="A180" s="285"/>
      <c r="B180" s="286" t="s">
        <v>58</v>
      </c>
      <c r="C180" s="286"/>
      <c r="D180" s="286"/>
      <c r="E180" s="286"/>
      <c r="F180" s="286"/>
      <c r="G180" s="286"/>
      <c r="H180" s="286"/>
      <c r="I180" s="286"/>
      <c r="J180" s="286"/>
      <c r="K180" s="286"/>
      <c r="L180" s="286"/>
      <c r="M180" s="286"/>
      <c r="N180" s="286"/>
      <c r="O180" s="286"/>
      <c r="P180" s="286"/>
      <c r="Q180" s="286"/>
      <c r="R180" s="286"/>
      <c r="S180" s="286"/>
      <c r="T180" s="286"/>
      <c r="U180" s="286"/>
      <c r="V180" s="338">
        <f>V84</f>
        <v>671860</v>
      </c>
      <c r="W180" s="289"/>
      <c r="X180" s="5"/>
    </row>
    <row r="181" spans="1:24" ht="16.5" thickBot="1" x14ac:dyDescent="0.3">
      <c r="A181" s="181"/>
      <c r="B181" s="212"/>
      <c r="C181" s="212"/>
      <c r="D181" s="212"/>
      <c r="E181" s="212"/>
      <c r="F181" s="212"/>
      <c r="G181" s="212"/>
      <c r="H181" s="212"/>
      <c r="I181" s="212"/>
      <c r="J181" s="212"/>
      <c r="K181" s="212"/>
      <c r="L181" s="212"/>
      <c r="M181" s="212"/>
      <c r="N181" s="212"/>
      <c r="O181" s="212"/>
      <c r="P181" s="212"/>
      <c r="Q181" s="212"/>
      <c r="R181" s="212"/>
      <c r="S181" s="212"/>
      <c r="T181" s="212"/>
      <c r="U181" s="212"/>
      <c r="V181" s="344"/>
      <c r="W181" s="212"/>
      <c r="X181" s="5"/>
    </row>
    <row r="182" spans="1:24" ht="15.75" x14ac:dyDescent="0.25">
      <c r="A182" s="179"/>
      <c r="B182" s="180"/>
      <c r="C182" s="180"/>
      <c r="D182" s="180"/>
      <c r="E182" s="180"/>
      <c r="F182" s="180"/>
      <c r="G182" s="180"/>
      <c r="H182" s="180"/>
      <c r="I182" s="180"/>
      <c r="J182" s="180"/>
      <c r="K182" s="180"/>
      <c r="L182" s="180"/>
      <c r="M182" s="180"/>
      <c r="N182" s="180"/>
      <c r="O182" s="180"/>
      <c r="P182" s="180"/>
      <c r="Q182" s="180"/>
      <c r="R182" s="180"/>
      <c r="S182" s="180"/>
      <c r="T182" s="180"/>
      <c r="U182" s="180"/>
      <c r="V182" s="201"/>
      <c r="W182" s="180"/>
      <c r="X182" s="5"/>
    </row>
    <row r="183" spans="1:24" ht="15.75" x14ac:dyDescent="0.25">
      <c r="A183" s="181"/>
      <c r="B183" s="210" t="s">
        <v>59</v>
      </c>
      <c r="C183" s="206"/>
      <c r="D183" s="206"/>
      <c r="E183" s="206"/>
      <c r="F183" s="206"/>
      <c r="G183" s="206"/>
      <c r="H183" s="214"/>
      <c r="I183" s="214"/>
      <c r="J183" s="214"/>
      <c r="K183" s="214"/>
      <c r="L183" s="214"/>
      <c r="M183" s="214"/>
      <c r="N183" s="214"/>
      <c r="O183" s="214"/>
      <c r="P183" s="214"/>
      <c r="Q183" s="214"/>
      <c r="R183" s="214"/>
      <c r="S183" s="214" t="s">
        <v>101</v>
      </c>
      <c r="T183" s="214" t="s">
        <v>176</v>
      </c>
      <c r="U183" s="185"/>
      <c r="V183" s="215" t="s">
        <v>114</v>
      </c>
      <c r="W183" s="216"/>
      <c r="X183" s="5"/>
    </row>
    <row r="184" spans="1:24" ht="15.75" x14ac:dyDescent="0.25">
      <c r="A184" s="285"/>
      <c r="B184" s="286" t="s">
        <v>60</v>
      </c>
      <c r="C184" s="286"/>
      <c r="D184" s="286"/>
      <c r="E184" s="286"/>
      <c r="F184" s="286"/>
      <c r="G184" s="286"/>
      <c r="H184" s="286"/>
      <c r="I184" s="286"/>
      <c r="J184" s="286"/>
      <c r="K184" s="286"/>
      <c r="L184" s="286"/>
      <c r="M184" s="286"/>
      <c r="N184" s="286"/>
      <c r="O184" s="286"/>
      <c r="P184" s="286"/>
      <c r="Q184" s="286"/>
      <c r="R184" s="286"/>
      <c r="S184" s="338">
        <f>+V34*0.16</f>
        <v>160181.28</v>
      </c>
      <c r="T184" s="325"/>
      <c r="U184" s="286"/>
      <c r="V184" s="338"/>
      <c r="W184" s="289"/>
      <c r="X184" s="5"/>
    </row>
    <row r="185" spans="1:24" ht="15.75" x14ac:dyDescent="0.25">
      <c r="A185" s="285"/>
      <c r="B185" s="286" t="s">
        <v>61</v>
      </c>
      <c r="C185" s="286"/>
      <c r="D185" s="286"/>
      <c r="E185" s="286"/>
      <c r="F185" s="286"/>
      <c r="G185" s="286"/>
      <c r="H185" s="286"/>
      <c r="I185" s="286"/>
      <c r="J185" s="286"/>
      <c r="K185" s="286"/>
      <c r="L185" s="286"/>
      <c r="M185" s="286"/>
      <c r="N185" s="286"/>
      <c r="O185" s="286"/>
      <c r="P185" s="286"/>
      <c r="Q185" s="286"/>
      <c r="R185" s="286"/>
      <c r="S185" s="338">
        <f>+'Nov 16'!S187</f>
        <v>13136</v>
      </c>
      <c r="T185" s="338">
        <f>+'Nov 16'!T187</f>
        <v>6095</v>
      </c>
      <c r="U185" s="286"/>
      <c r="V185" s="338">
        <f>S185+T185</f>
        <v>19231</v>
      </c>
      <c r="W185" s="289"/>
      <c r="X185" s="5"/>
    </row>
    <row r="186" spans="1:24" ht="15.75" x14ac:dyDescent="0.25">
      <c r="A186" s="285"/>
      <c r="B186" s="286" t="s">
        <v>62</v>
      </c>
      <c r="C186" s="286"/>
      <c r="D186" s="286"/>
      <c r="E186" s="286"/>
      <c r="F186" s="286"/>
      <c r="G186" s="286"/>
      <c r="H186" s="286"/>
      <c r="I186" s="286"/>
      <c r="J186" s="286"/>
      <c r="K186" s="286"/>
      <c r="L186" s="286"/>
      <c r="M186" s="286"/>
      <c r="N186" s="286"/>
      <c r="O186" s="286"/>
      <c r="P186" s="286"/>
      <c r="Q186" s="286"/>
      <c r="R186" s="286"/>
      <c r="S186" s="337">
        <v>45</v>
      </c>
      <c r="T186" s="337">
        <v>0</v>
      </c>
      <c r="U186" s="286"/>
      <c r="V186" s="338">
        <f>S186+T186</f>
        <v>45</v>
      </c>
      <c r="W186" s="289"/>
      <c r="X186" s="5"/>
    </row>
    <row r="187" spans="1:24" ht="15.75" x14ac:dyDescent="0.25">
      <c r="A187" s="285"/>
      <c r="B187" s="286" t="s">
        <v>63</v>
      </c>
      <c r="C187" s="286"/>
      <c r="D187" s="286"/>
      <c r="E187" s="286"/>
      <c r="F187" s="286"/>
      <c r="G187" s="286"/>
      <c r="H187" s="286"/>
      <c r="I187" s="286"/>
      <c r="J187" s="286"/>
      <c r="K187" s="286"/>
      <c r="L187" s="286"/>
      <c r="M187" s="286"/>
      <c r="N187" s="286"/>
      <c r="O187" s="286"/>
      <c r="P187" s="286"/>
      <c r="Q187" s="286"/>
      <c r="R187" s="286"/>
      <c r="S187" s="338">
        <f>S185+S186</f>
        <v>13181</v>
      </c>
      <c r="T187" s="338">
        <f>T186+T185</f>
        <v>6095</v>
      </c>
      <c r="U187" s="286"/>
      <c r="V187" s="338">
        <f>S187+T187</f>
        <v>19276</v>
      </c>
      <c r="W187" s="289"/>
      <c r="X187" s="5"/>
    </row>
    <row r="188" spans="1:24" ht="15.75" x14ac:dyDescent="0.25">
      <c r="A188" s="285"/>
      <c r="B188" s="286" t="s">
        <v>64</v>
      </c>
      <c r="C188" s="286"/>
      <c r="D188" s="286"/>
      <c r="E188" s="286"/>
      <c r="F188" s="286"/>
      <c r="G188" s="286"/>
      <c r="H188" s="286"/>
      <c r="I188" s="286"/>
      <c r="J188" s="286"/>
      <c r="K188" s="286"/>
      <c r="L188" s="286"/>
      <c r="M188" s="286"/>
      <c r="N188" s="286"/>
      <c r="O188" s="286"/>
      <c r="P188" s="286"/>
      <c r="Q188" s="286"/>
      <c r="R188" s="286"/>
      <c r="S188" s="338">
        <f>S184-S187-T187</f>
        <v>140905.28</v>
      </c>
      <c r="T188" s="325"/>
      <c r="U188" s="286"/>
      <c r="V188" s="338"/>
      <c r="W188" s="289"/>
      <c r="X188" s="5"/>
    </row>
    <row r="189" spans="1:24" ht="16.5" thickBot="1" x14ac:dyDescent="0.3">
      <c r="A189" s="181"/>
      <c r="B189" s="212"/>
      <c r="C189" s="212"/>
      <c r="D189" s="212"/>
      <c r="E189" s="212"/>
      <c r="F189" s="212"/>
      <c r="G189" s="212"/>
      <c r="H189" s="212"/>
      <c r="I189" s="212"/>
      <c r="J189" s="212"/>
      <c r="K189" s="212"/>
      <c r="L189" s="212"/>
      <c r="M189" s="212"/>
      <c r="N189" s="212"/>
      <c r="O189" s="212"/>
      <c r="P189" s="212"/>
      <c r="Q189" s="212"/>
      <c r="R189" s="212"/>
      <c r="S189" s="212"/>
      <c r="T189" s="212"/>
      <c r="U189" s="212"/>
      <c r="V189" s="344"/>
      <c r="W189" s="212"/>
      <c r="X189" s="5"/>
    </row>
    <row r="190" spans="1:24" ht="15.75" x14ac:dyDescent="0.25">
      <c r="A190" s="179"/>
      <c r="B190" s="180"/>
      <c r="C190" s="180"/>
      <c r="D190" s="180"/>
      <c r="E190" s="180"/>
      <c r="F190" s="180"/>
      <c r="G190" s="180"/>
      <c r="H190" s="180"/>
      <c r="I190" s="180"/>
      <c r="J190" s="180"/>
      <c r="K190" s="180"/>
      <c r="L190" s="180"/>
      <c r="M190" s="180"/>
      <c r="N190" s="180"/>
      <c r="O190" s="180"/>
      <c r="P190" s="180"/>
      <c r="Q190" s="180"/>
      <c r="R190" s="180"/>
      <c r="S190" s="180"/>
      <c r="T190" s="180"/>
      <c r="U190" s="180"/>
      <c r="V190" s="201"/>
      <c r="W190" s="180"/>
      <c r="X190" s="5"/>
    </row>
    <row r="191" spans="1:24" ht="15.75" x14ac:dyDescent="0.25">
      <c r="A191" s="181"/>
      <c r="B191" s="210" t="s">
        <v>65</v>
      </c>
      <c r="C191" s="183"/>
      <c r="D191" s="183"/>
      <c r="E191" s="183"/>
      <c r="F191" s="183"/>
      <c r="G191" s="183"/>
      <c r="H191" s="183"/>
      <c r="I191" s="183"/>
      <c r="J191" s="183"/>
      <c r="K191" s="183"/>
      <c r="L191" s="183"/>
      <c r="M191" s="183"/>
      <c r="N191" s="183"/>
      <c r="O191" s="183"/>
      <c r="P191" s="183"/>
      <c r="Q191" s="183"/>
      <c r="R191" s="183"/>
      <c r="S191" s="183"/>
      <c r="T191" s="183"/>
      <c r="U191" s="183"/>
      <c r="V191" s="217"/>
      <c r="W191" s="183"/>
      <c r="X191" s="5"/>
    </row>
    <row r="192" spans="1:24" ht="15.75" x14ac:dyDescent="0.25">
      <c r="A192" s="285"/>
      <c r="B192" s="286" t="s">
        <v>66</v>
      </c>
      <c r="C192" s="286"/>
      <c r="D192" s="286"/>
      <c r="E192" s="286"/>
      <c r="F192" s="286"/>
      <c r="G192" s="286"/>
      <c r="H192" s="286"/>
      <c r="I192" s="286"/>
      <c r="J192" s="286"/>
      <c r="K192" s="286"/>
      <c r="L192" s="286"/>
      <c r="M192" s="286"/>
      <c r="N192" s="286"/>
      <c r="O192" s="286"/>
      <c r="P192" s="286"/>
      <c r="Q192" s="286"/>
      <c r="R192" s="286"/>
      <c r="S192" s="286"/>
      <c r="T192" s="286"/>
      <c r="U192" s="286"/>
      <c r="V192" s="343">
        <f>(V101+V103+V104+V105+V106)/-(V107+V108)</f>
        <v>4.7658227848101262</v>
      </c>
      <c r="W192" s="289" t="s">
        <v>115</v>
      </c>
      <c r="X192" s="5"/>
    </row>
    <row r="193" spans="1:24" ht="15.75" x14ac:dyDescent="0.25">
      <c r="A193" s="285"/>
      <c r="B193" s="286" t="s">
        <v>67</v>
      </c>
      <c r="C193" s="286"/>
      <c r="D193" s="286"/>
      <c r="E193" s="286"/>
      <c r="F193" s="286"/>
      <c r="G193" s="286"/>
      <c r="H193" s="286"/>
      <c r="I193" s="286"/>
      <c r="J193" s="286"/>
      <c r="K193" s="286"/>
      <c r="L193" s="286"/>
      <c r="M193" s="286"/>
      <c r="N193" s="286"/>
      <c r="O193" s="286"/>
      <c r="P193" s="286"/>
      <c r="Q193" s="286"/>
      <c r="R193" s="286"/>
      <c r="S193" s="286"/>
      <c r="T193" s="286"/>
      <c r="U193" s="286"/>
      <c r="V193" s="347">
        <v>2.12</v>
      </c>
      <c r="W193" s="289" t="s">
        <v>115</v>
      </c>
      <c r="X193" s="5"/>
    </row>
    <row r="194" spans="1:24" ht="15.75" x14ac:dyDescent="0.25">
      <c r="A194" s="285"/>
      <c r="B194" s="286" t="s">
        <v>68</v>
      </c>
      <c r="C194" s="286"/>
      <c r="D194" s="286"/>
      <c r="E194" s="286"/>
      <c r="F194" s="286"/>
      <c r="G194" s="286"/>
      <c r="H194" s="286"/>
      <c r="I194" s="286"/>
      <c r="J194" s="286"/>
      <c r="K194" s="286"/>
      <c r="L194" s="286"/>
      <c r="M194" s="286"/>
      <c r="N194" s="286"/>
      <c r="O194" s="286"/>
      <c r="P194" s="286"/>
      <c r="Q194" s="286"/>
      <c r="R194" s="286"/>
      <c r="S194" s="286"/>
      <c r="T194" s="286"/>
      <c r="U194" s="286"/>
      <c r="V194" s="343">
        <f>(V101+V103+V104+V105+V106+V107+V108)/-(V109+V110)</f>
        <v>16.620111731843576</v>
      </c>
      <c r="W194" s="289" t="s">
        <v>115</v>
      </c>
      <c r="X194" s="5"/>
    </row>
    <row r="195" spans="1:24" ht="15.75" x14ac:dyDescent="0.25">
      <c r="A195" s="285"/>
      <c r="B195" s="286" t="s">
        <v>69</v>
      </c>
      <c r="C195" s="286"/>
      <c r="D195" s="286"/>
      <c r="E195" s="286"/>
      <c r="F195" s="286"/>
      <c r="G195" s="286"/>
      <c r="H195" s="286"/>
      <c r="I195" s="286"/>
      <c r="J195" s="286"/>
      <c r="K195" s="286"/>
      <c r="L195" s="286"/>
      <c r="M195" s="286"/>
      <c r="N195" s="286"/>
      <c r="O195" s="286"/>
      <c r="P195" s="286"/>
      <c r="Q195" s="286"/>
      <c r="R195" s="286"/>
      <c r="S195" s="286"/>
      <c r="T195" s="286"/>
      <c r="U195" s="286"/>
      <c r="V195" s="347">
        <v>9.66</v>
      </c>
      <c r="W195" s="289" t="s">
        <v>115</v>
      </c>
      <c r="X195" s="5"/>
    </row>
    <row r="196" spans="1:24" ht="15.75" x14ac:dyDescent="0.25">
      <c r="A196" s="285"/>
      <c r="B196" s="286" t="s">
        <v>198</v>
      </c>
      <c r="C196" s="286"/>
      <c r="D196" s="286"/>
      <c r="E196" s="286"/>
      <c r="F196" s="286"/>
      <c r="G196" s="286"/>
      <c r="H196" s="286"/>
      <c r="I196" s="286"/>
      <c r="J196" s="286"/>
      <c r="K196" s="286"/>
      <c r="L196" s="286"/>
      <c r="M196" s="286"/>
      <c r="N196" s="286"/>
      <c r="O196" s="286"/>
      <c r="P196" s="286"/>
      <c r="Q196" s="286"/>
      <c r="R196" s="286"/>
      <c r="S196" s="286"/>
      <c r="T196" s="286"/>
      <c r="U196" s="286"/>
      <c r="V196" s="343">
        <f>(V101+V103+V104+V105+V106+V107+V108+V109+V110)/-(V111)</f>
        <v>9.4459459459459456</v>
      </c>
      <c r="W196" s="289" t="s">
        <v>115</v>
      </c>
      <c r="X196" s="5"/>
    </row>
    <row r="197" spans="1:24" ht="15.75" x14ac:dyDescent="0.25">
      <c r="A197" s="285"/>
      <c r="B197" s="286" t="s">
        <v>199</v>
      </c>
      <c r="C197" s="286"/>
      <c r="D197" s="286"/>
      <c r="E197" s="286"/>
      <c r="F197" s="286"/>
      <c r="G197" s="286"/>
      <c r="H197" s="286"/>
      <c r="I197" s="286"/>
      <c r="J197" s="286"/>
      <c r="K197" s="286"/>
      <c r="L197" s="286"/>
      <c r="M197" s="286"/>
      <c r="N197" s="286"/>
      <c r="O197" s="286"/>
      <c r="P197" s="286"/>
      <c r="Q197" s="286"/>
      <c r="R197" s="286"/>
      <c r="S197" s="286"/>
      <c r="T197" s="286"/>
      <c r="U197" s="286"/>
      <c r="V197" s="347">
        <v>7</v>
      </c>
      <c r="W197" s="289" t="s">
        <v>115</v>
      </c>
      <c r="X197" s="5"/>
    </row>
    <row r="198" spans="1:24" ht="15.75" x14ac:dyDescent="0.25">
      <c r="A198" s="285"/>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9"/>
      <c r="X198" s="5"/>
    </row>
    <row r="199" spans="1:24" ht="15.75" x14ac:dyDescent="0.25">
      <c r="A199" s="181"/>
      <c r="B199" s="346"/>
      <c r="C199" s="346"/>
      <c r="D199" s="346"/>
      <c r="E199" s="346"/>
      <c r="F199" s="346"/>
      <c r="G199" s="346"/>
      <c r="H199" s="346"/>
      <c r="I199" s="346"/>
      <c r="J199" s="346"/>
      <c r="K199" s="346"/>
      <c r="L199" s="346"/>
      <c r="M199" s="346"/>
      <c r="N199" s="346"/>
      <c r="O199" s="346"/>
      <c r="P199" s="346"/>
      <c r="Q199" s="346"/>
      <c r="R199" s="346"/>
      <c r="S199" s="346"/>
      <c r="T199" s="346"/>
      <c r="U199" s="346"/>
      <c r="V199" s="346"/>
      <c r="W199" s="346"/>
      <c r="X199" s="5"/>
    </row>
    <row r="200" spans="1:24" ht="15.75" x14ac:dyDescent="0.25">
      <c r="A200" s="181"/>
      <c r="B200" s="255"/>
      <c r="C200" s="255"/>
      <c r="D200" s="255"/>
      <c r="E200" s="255"/>
      <c r="F200" s="255"/>
      <c r="G200" s="255"/>
      <c r="H200" s="255"/>
      <c r="I200" s="255"/>
      <c r="J200" s="255"/>
      <c r="K200" s="255"/>
      <c r="L200" s="255"/>
      <c r="M200" s="255"/>
      <c r="N200" s="255"/>
      <c r="O200" s="255"/>
      <c r="P200" s="255"/>
      <c r="Q200" s="255"/>
      <c r="R200" s="255"/>
      <c r="S200" s="255"/>
      <c r="T200" s="255"/>
      <c r="U200" s="255"/>
      <c r="V200" s="255"/>
      <c r="W200" s="255"/>
      <c r="X200" s="5"/>
    </row>
    <row r="201" spans="1:24" ht="19.5" thickBot="1" x14ac:dyDescent="0.35">
      <c r="A201" s="197"/>
      <c r="B201" s="270" t="str">
        <f>B135</f>
        <v>PM15 INVESTOR REPORT QUARTER ENDING FEBRUARY 2017</v>
      </c>
      <c r="C201" s="271"/>
      <c r="D201" s="271"/>
      <c r="E201" s="271"/>
      <c r="F201" s="271"/>
      <c r="G201" s="271"/>
      <c r="H201" s="271"/>
      <c r="I201" s="271"/>
      <c r="J201" s="271"/>
      <c r="K201" s="271"/>
      <c r="L201" s="271"/>
      <c r="M201" s="271"/>
      <c r="N201" s="271"/>
      <c r="O201" s="271"/>
      <c r="P201" s="271"/>
      <c r="Q201" s="271"/>
      <c r="R201" s="271"/>
      <c r="S201" s="271"/>
      <c r="T201" s="271"/>
      <c r="U201" s="271"/>
      <c r="V201" s="271"/>
      <c r="W201" s="272"/>
      <c r="X201" s="5"/>
    </row>
    <row r="202" spans="1:24" ht="15.75" x14ac:dyDescent="0.25">
      <c r="A202" s="236"/>
      <c r="B202" s="403" t="s">
        <v>70</v>
      </c>
      <c r="C202" s="404"/>
      <c r="D202" s="404"/>
      <c r="E202" s="404"/>
      <c r="F202" s="404"/>
      <c r="G202" s="405"/>
      <c r="H202" s="405"/>
      <c r="I202" s="405"/>
      <c r="J202" s="405"/>
      <c r="K202" s="405"/>
      <c r="L202" s="405"/>
      <c r="M202" s="405"/>
      <c r="N202" s="405"/>
      <c r="O202" s="405"/>
      <c r="P202" s="405"/>
      <c r="Q202" s="405"/>
      <c r="R202" s="405"/>
      <c r="S202" s="405"/>
      <c r="T202" s="405">
        <v>42794</v>
      </c>
      <c r="U202" s="238"/>
      <c r="V202" s="238"/>
      <c r="W202" s="238"/>
      <c r="X202" s="5"/>
    </row>
    <row r="203" spans="1:24" ht="15.75" x14ac:dyDescent="0.25">
      <c r="A203" s="218"/>
      <c r="B203" s="219"/>
      <c r="C203" s="220"/>
      <c r="D203" s="220"/>
      <c r="E203" s="220"/>
      <c r="F203" s="220"/>
      <c r="G203" s="221"/>
      <c r="H203" s="221"/>
      <c r="I203" s="221"/>
      <c r="J203" s="221"/>
      <c r="K203" s="221"/>
      <c r="L203" s="221"/>
      <c r="M203" s="221"/>
      <c r="N203" s="221"/>
      <c r="O203" s="221"/>
      <c r="P203" s="221"/>
      <c r="Q203" s="221"/>
      <c r="R203" s="221"/>
      <c r="S203" s="221"/>
      <c r="T203" s="221"/>
      <c r="U203" s="183"/>
      <c r="V203" s="183"/>
      <c r="W203" s="183"/>
      <c r="X203" s="5"/>
    </row>
    <row r="204" spans="1:24" ht="15.75" x14ac:dyDescent="0.25">
      <c r="A204" s="350"/>
      <c r="B204" s="286" t="s">
        <v>71</v>
      </c>
      <c r="C204" s="406"/>
      <c r="D204" s="406"/>
      <c r="E204" s="406"/>
      <c r="F204" s="406"/>
      <c r="G204" s="397"/>
      <c r="H204" s="397"/>
      <c r="I204" s="397"/>
      <c r="J204" s="397"/>
      <c r="K204" s="397"/>
      <c r="L204" s="397"/>
      <c r="M204" s="397"/>
      <c r="N204" s="397"/>
      <c r="O204" s="397"/>
      <c r="P204" s="397"/>
      <c r="Q204" s="397"/>
      <c r="R204" s="397"/>
      <c r="S204" s="397"/>
      <c r="T204" s="321">
        <v>5.3830000000000003E-2</v>
      </c>
      <c r="U204" s="286"/>
      <c r="V204" s="286"/>
      <c r="W204" s="289"/>
      <c r="X204" s="5"/>
    </row>
    <row r="205" spans="1:24" ht="15.75" x14ac:dyDescent="0.25">
      <c r="A205" s="350"/>
      <c r="B205" s="286" t="s">
        <v>151</v>
      </c>
      <c r="C205" s="406"/>
      <c r="D205" s="406"/>
      <c r="E205" s="406"/>
      <c r="F205" s="406"/>
      <c r="G205" s="397"/>
      <c r="H205" s="397"/>
      <c r="I205" s="397"/>
      <c r="J205" s="397"/>
      <c r="K205" s="397"/>
      <c r="L205" s="397"/>
      <c r="M205" s="397"/>
      <c r="N205" s="397"/>
      <c r="O205" s="397"/>
      <c r="P205" s="397"/>
      <c r="Q205" s="397"/>
      <c r="R205" s="397"/>
      <c r="S205" s="397"/>
      <c r="T205" s="321">
        <v>6.25E-2</v>
      </c>
      <c r="U205" s="286"/>
      <c r="V205" s="286"/>
      <c r="W205" s="289"/>
      <c r="X205" s="5"/>
    </row>
    <row r="206" spans="1:24" ht="15.75" x14ac:dyDescent="0.25">
      <c r="A206" s="350"/>
      <c r="B206" s="286" t="s">
        <v>72</v>
      </c>
      <c r="C206" s="406"/>
      <c r="D206" s="406"/>
      <c r="E206" s="406"/>
      <c r="F206" s="406"/>
      <c r="G206" s="397"/>
      <c r="H206" s="397"/>
      <c r="I206" s="397"/>
      <c r="J206" s="397"/>
      <c r="K206" s="397"/>
      <c r="L206" s="397"/>
      <c r="M206" s="397"/>
      <c r="N206" s="397"/>
      <c r="O206" s="397"/>
      <c r="P206" s="397"/>
      <c r="Q206" s="397"/>
      <c r="R206" s="397"/>
      <c r="S206" s="397"/>
      <c r="T206" s="321">
        <f>T204-T205</f>
        <v>-8.6699999999999972E-3</v>
      </c>
      <c r="U206" s="286"/>
      <c r="V206" s="286"/>
      <c r="W206" s="289"/>
      <c r="X206" s="5"/>
    </row>
    <row r="207" spans="1:24" ht="15.75" x14ac:dyDescent="0.25">
      <c r="A207" s="350"/>
      <c r="B207" s="286" t="s">
        <v>73</v>
      </c>
      <c r="C207" s="406"/>
      <c r="D207" s="406"/>
      <c r="E207" s="406"/>
      <c r="F207" s="406"/>
      <c r="G207" s="397"/>
      <c r="H207" s="397"/>
      <c r="I207" s="397"/>
      <c r="J207" s="397"/>
      <c r="K207" s="397"/>
      <c r="L207" s="397"/>
      <c r="M207" s="397"/>
      <c r="N207" s="397"/>
      <c r="O207" s="397"/>
      <c r="P207" s="397"/>
      <c r="Q207" s="397"/>
      <c r="R207" s="397"/>
      <c r="S207" s="397"/>
      <c r="T207" s="321">
        <v>2.308E-2</v>
      </c>
      <c r="U207" s="286"/>
      <c r="V207" s="286"/>
      <c r="W207" s="289"/>
      <c r="X207" s="5"/>
    </row>
    <row r="208" spans="1:24" ht="15.75" x14ac:dyDescent="0.25">
      <c r="A208" s="350"/>
      <c r="B208" s="286" t="s">
        <v>218</v>
      </c>
      <c r="C208" s="406"/>
      <c r="D208" s="406"/>
      <c r="E208" s="406"/>
      <c r="F208" s="406"/>
      <c r="G208" s="397"/>
      <c r="H208" s="397"/>
      <c r="I208" s="397"/>
      <c r="J208" s="397"/>
      <c r="K208" s="397"/>
      <c r="L208" s="397"/>
      <c r="M208" s="397"/>
      <c r="N208" s="397"/>
      <c r="O208" s="397"/>
      <c r="P208" s="397"/>
      <c r="Q208" s="397"/>
      <c r="R208" s="397"/>
      <c r="S208" s="397"/>
      <c r="T208" s="321">
        <f>V43</f>
        <v>7.5160460476830929E-3</v>
      </c>
      <c r="U208" s="286"/>
      <c r="V208" s="286"/>
      <c r="W208" s="289"/>
      <c r="X208" s="5"/>
    </row>
    <row r="209" spans="1:24" ht="15.75" x14ac:dyDescent="0.25">
      <c r="A209" s="350"/>
      <c r="B209" s="286" t="s">
        <v>74</v>
      </c>
      <c r="C209" s="406"/>
      <c r="D209" s="406"/>
      <c r="E209" s="406"/>
      <c r="F209" s="406"/>
      <c r="G209" s="397"/>
      <c r="H209" s="397"/>
      <c r="I209" s="397"/>
      <c r="J209" s="397"/>
      <c r="K209" s="397"/>
      <c r="L209" s="397"/>
      <c r="M209" s="397"/>
      <c r="N209" s="397"/>
      <c r="O209" s="397"/>
      <c r="P209" s="397"/>
      <c r="Q209" s="397"/>
      <c r="R209" s="397"/>
      <c r="S209" s="397"/>
      <c r="T209" s="321">
        <f>T207-T208</f>
        <v>1.5563953952316908E-2</v>
      </c>
      <c r="U209" s="286"/>
      <c r="V209" s="286"/>
      <c r="W209" s="289"/>
      <c r="X209" s="5"/>
    </row>
    <row r="210" spans="1:24" ht="15.75" x14ac:dyDescent="0.25">
      <c r="A210" s="350"/>
      <c r="B210" s="286" t="s">
        <v>227</v>
      </c>
      <c r="C210" s="406"/>
      <c r="D210" s="406"/>
      <c r="E210" s="406"/>
      <c r="F210" s="406"/>
      <c r="G210" s="397"/>
      <c r="H210" s="397"/>
      <c r="I210" s="397"/>
      <c r="J210" s="397"/>
      <c r="K210" s="397"/>
      <c r="L210" s="397"/>
      <c r="M210" s="397"/>
      <c r="N210" s="397"/>
      <c r="O210" s="397"/>
      <c r="P210" s="397"/>
      <c r="Q210" s="397"/>
      <c r="R210" s="397"/>
      <c r="S210" s="397"/>
      <c r="T210" s="321">
        <f>V101/N71</f>
        <v>6.0369214189913379E-3</v>
      </c>
      <c r="U210" s="286"/>
      <c r="V210" s="286"/>
      <c r="W210" s="289"/>
      <c r="X210" s="5"/>
    </row>
    <row r="211" spans="1:24" ht="15.75" x14ac:dyDescent="0.25">
      <c r="A211" s="350"/>
      <c r="B211" s="286" t="s">
        <v>207</v>
      </c>
      <c r="C211" s="406"/>
      <c r="D211" s="406"/>
      <c r="E211" s="406"/>
      <c r="F211" s="406"/>
      <c r="G211" s="397"/>
      <c r="H211" s="397"/>
      <c r="I211" s="397"/>
      <c r="J211" s="397"/>
      <c r="K211" s="397"/>
      <c r="L211" s="397"/>
      <c r="M211" s="397"/>
      <c r="N211" s="397"/>
      <c r="O211" s="397"/>
      <c r="P211" s="397"/>
      <c r="Q211" s="397"/>
      <c r="R211" s="397"/>
      <c r="S211" s="397"/>
      <c r="T211" s="352">
        <v>51105</v>
      </c>
      <c r="U211" s="286"/>
      <c r="V211" s="286"/>
      <c r="W211" s="289"/>
      <c r="X211" s="5"/>
    </row>
    <row r="212" spans="1:24" ht="15.75" x14ac:dyDescent="0.25">
      <c r="A212" s="350"/>
      <c r="B212" s="286" t="s">
        <v>208</v>
      </c>
      <c r="C212" s="406"/>
      <c r="D212" s="406"/>
      <c r="E212" s="406"/>
      <c r="F212" s="406"/>
      <c r="G212" s="397"/>
      <c r="H212" s="397"/>
      <c r="I212" s="397"/>
      <c r="J212" s="397"/>
      <c r="K212" s="397"/>
      <c r="L212" s="397"/>
      <c r="M212" s="397"/>
      <c r="N212" s="397"/>
      <c r="O212" s="397"/>
      <c r="P212" s="397"/>
      <c r="Q212" s="397"/>
      <c r="R212" s="397"/>
      <c r="S212" s="397"/>
      <c r="T212" s="352">
        <v>51105</v>
      </c>
      <c r="U212" s="286"/>
      <c r="V212" s="286"/>
      <c r="W212" s="289"/>
      <c r="X212" s="5"/>
    </row>
    <row r="213" spans="1:24" ht="15.75" x14ac:dyDescent="0.25">
      <c r="A213" s="350"/>
      <c r="B213" s="286" t="s">
        <v>209</v>
      </c>
      <c r="C213" s="406"/>
      <c r="D213" s="406"/>
      <c r="E213" s="406"/>
      <c r="F213" s="406"/>
      <c r="G213" s="397"/>
      <c r="H213" s="397"/>
      <c r="I213" s="397"/>
      <c r="J213" s="397"/>
      <c r="K213" s="397"/>
      <c r="L213" s="397"/>
      <c r="M213" s="397"/>
      <c r="N213" s="397"/>
      <c r="O213" s="397"/>
      <c r="P213" s="397"/>
      <c r="Q213" s="397"/>
      <c r="R213" s="397"/>
      <c r="S213" s="397"/>
      <c r="T213" s="352">
        <v>51105</v>
      </c>
      <c r="U213" s="286"/>
      <c r="V213" s="286"/>
      <c r="W213" s="289"/>
      <c r="X213" s="5"/>
    </row>
    <row r="214" spans="1:24" ht="15.75" x14ac:dyDescent="0.25">
      <c r="A214" s="350"/>
      <c r="B214" s="286" t="s">
        <v>75</v>
      </c>
      <c r="C214" s="406"/>
      <c r="D214" s="406"/>
      <c r="E214" s="406"/>
      <c r="F214" s="406"/>
      <c r="G214" s="397"/>
      <c r="H214" s="397"/>
      <c r="I214" s="397"/>
      <c r="J214" s="397"/>
      <c r="K214" s="397"/>
      <c r="L214" s="397"/>
      <c r="M214" s="397"/>
      <c r="N214" s="397"/>
      <c r="O214" s="397"/>
      <c r="P214" s="397"/>
      <c r="Q214" s="397"/>
      <c r="R214" s="397"/>
      <c r="S214" s="397"/>
      <c r="T214" s="327">
        <v>21.06</v>
      </c>
      <c r="U214" s="286" t="s">
        <v>110</v>
      </c>
      <c r="V214" s="286"/>
      <c r="W214" s="289"/>
      <c r="X214" s="5"/>
    </row>
    <row r="215" spans="1:24" ht="15.75" x14ac:dyDescent="0.25">
      <c r="A215" s="350"/>
      <c r="B215" s="286" t="s">
        <v>76</v>
      </c>
      <c r="C215" s="406"/>
      <c r="D215" s="406"/>
      <c r="E215" s="406"/>
      <c r="F215" s="406"/>
      <c r="G215" s="397"/>
      <c r="H215" s="397"/>
      <c r="I215" s="397"/>
      <c r="J215" s="397"/>
      <c r="K215" s="397"/>
      <c r="L215" s="397"/>
      <c r="M215" s="397"/>
      <c r="N215" s="397"/>
      <c r="O215" s="397"/>
      <c r="P215" s="397"/>
      <c r="Q215" s="397"/>
      <c r="R215" s="397"/>
      <c r="S215" s="397"/>
      <c r="T215" s="327">
        <v>11.89</v>
      </c>
      <c r="U215" s="286" t="s">
        <v>110</v>
      </c>
      <c r="V215" s="286"/>
      <c r="W215" s="289"/>
      <c r="X215" s="5"/>
    </row>
    <row r="216" spans="1:24" ht="15.75" x14ac:dyDescent="0.25">
      <c r="A216" s="350"/>
      <c r="B216" s="286" t="s">
        <v>77</v>
      </c>
      <c r="C216" s="406"/>
      <c r="D216" s="406"/>
      <c r="E216" s="406"/>
      <c r="F216" s="406"/>
      <c r="G216" s="397"/>
      <c r="H216" s="397"/>
      <c r="I216" s="397"/>
      <c r="J216" s="397"/>
      <c r="K216" s="397"/>
      <c r="L216" s="397"/>
      <c r="M216" s="397"/>
      <c r="N216" s="397"/>
      <c r="O216" s="397"/>
      <c r="P216" s="397"/>
      <c r="Q216" s="397"/>
      <c r="R216" s="397"/>
      <c r="S216" s="397"/>
      <c r="T216" s="321">
        <f>+P68/N68</f>
        <v>1.6324432913008592E-2</v>
      </c>
      <c r="U216" s="286"/>
      <c r="V216" s="286"/>
      <c r="W216" s="289"/>
      <c r="X216" s="5"/>
    </row>
    <row r="217" spans="1:24" ht="15.75" x14ac:dyDescent="0.25">
      <c r="A217" s="350"/>
      <c r="B217" s="286" t="s">
        <v>78</v>
      </c>
      <c r="C217" s="406"/>
      <c r="D217" s="406"/>
      <c r="E217" s="406"/>
      <c r="F217" s="406"/>
      <c r="G217" s="397"/>
      <c r="H217" s="397"/>
      <c r="I217" s="397"/>
      <c r="J217" s="397"/>
      <c r="K217" s="397"/>
      <c r="L217" s="397"/>
      <c r="M217" s="397"/>
      <c r="N217" s="397"/>
      <c r="O217" s="397"/>
      <c r="P217" s="397"/>
      <c r="Q217" s="397"/>
      <c r="R217" s="397"/>
      <c r="S217" s="397"/>
      <c r="T217" s="321">
        <v>4.2200000000000001E-2</v>
      </c>
      <c r="U217" s="286"/>
      <c r="V217" s="286"/>
      <c r="W217" s="289"/>
      <c r="X217" s="5"/>
    </row>
    <row r="218" spans="1:24" ht="15.75" x14ac:dyDescent="0.25">
      <c r="A218" s="218"/>
      <c r="B218" s="348"/>
      <c r="C218" s="348"/>
      <c r="D218" s="348"/>
      <c r="E218" s="348"/>
      <c r="F218" s="348"/>
      <c r="G218" s="212"/>
      <c r="H218" s="212"/>
      <c r="I218" s="212"/>
      <c r="J218" s="212"/>
      <c r="K218" s="212"/>
      <c r="L218" s="212"/>
      <c r="M218" s="212"/>
      <c r="N218" s="212"/>
      <c r="O218" s="212"/>
      <c r="P218" s="212"/>
      <c r="Q218" s="212"/>
      <c r="R218" s="212"/>
      <c r="S218" s="212"/>
      <c r="T218" s="344"/>
      <c r="U218" s="212"/>
      <c r="V218" s="349"/>
      <c r="W218" s="212"/>
      <c r="X218" s="5"/>
    </row>
    <row r="219" spans="1:24" ht="15.75" x14ac:dyDescent="0.25">
      <c r="A219" s="242"/>
      <c r="B219" s="399" t="s">
        <v>79</v>
      </c>
      <c r="C219" s="400"/>
      <c r="D219" s="400"/>
      <c r="E219" s="400"/>
      <c r="F219" s="407"/>
      <c r="G219" s="400"/>
      <c r="H219" s="400"/>
      <c r="I219" s="400"/>
      <c r="J219" s="400"/>
      <c r="K219" s="400"/>
      <c r="L219" s="400"/>
      <c r="M219" s="400"/>
      <c r="N219" s="400"/>
      <c r="O219" s="400"/>
      <c r="P219" s="400"/>
      <c r="Q219" s="400"/>
      <c r="R219" s="400"/>
      <c r="S219" s="400" t="s">
        <v>102</v>
      </c>
      <c r="T219" s="407" t="s">
        <v>108</v>
      </c>
      <c r="U219" s="225"/>
      <c r="V219" s="225"/>
      <c r="W219" s="225"/>
      <c r="X219" s="5"/>
    </row>
    <row r="220" spans="1:24" ht="15.75" x14ac:dyDescent="0.25">
      <c r="A220" s="222"/>
      <c r="B220" s="250" t="s">
        <v>80</v>
      </c>
      <c r="C220" s="249"/>
      <c r="D220" s="249"/>
      <c r="E220" s="249"/>
      <c r="F220" s="250"/>
      <c r="G220" s="250"/>
      <c r="H220" s="268"/>
      <c r="I220" s="268"/>
      <c r="J220" s="268"/>
      <c r="K220" s="268"/>
      <c r="L220" s="268"/>
      <c r="M220" s="268"/>
      <c r="N220" s="268"/>
      <c r="O220" s="268"/>
      <c r="P220" s="268"/>
      <c r="Q220" s="268"/>
      <c r="R220" s="268"/>
      <c r="S220" s="268">
        <v>0</v>
      </c>
      <c r="T220" s="269">
        <v>0</v>
      </c>
      <c r="U220" s="250"/>
      <c r="V220" s="266"/>
      <c r="W220" s="223"/>
      <c r="X220" s="5"/>
    </row>
    <row r="221" spans="1:24" ht="15.75" x14ac:dyDescent="0.25">
      <c r="A221" s="358"/>
      <c r="B221" s="286" t="s">
        <v>145</v>
      </c>
      <c r="C221" s="337"/>
      <c r="D221" s="337"/>
      <c r="E221" s="337"/>
      <c r="F221" s="286"/>
      <c r="G221" s="286"/>
      <c r="H221" s="296"/>
      <c r="I221" s="296"/>
      <c r="J221" s="296"/>
      <c r="K221" s="296"/>
      <c r="L221" s="296"/>
      <c r="M221" s="296"/>
      <c r="N221" s="296"/>
      <c r="O221" s="296"/>
      <c r="P221" s="296"/>
      <c r="Q221" s="296"/>
      <c r="R221" s="296"/>
      <c r="S221" s="359">
        <f>+R273</f>
        <v>79</v>
      </c>
      <c r="T221" s="360">
        <f>+T273</f>
        <v>10576</v>
      </c>
      <c r="U221" s="286"/>
      <c r="V221" s="361"/>
      <c r="W221" s="362"/>
      <c r="X221" s="5"/>
    </row>
    <row r="222" spans="1:24" ht="15.75" x14ac:dyDescent="0.25">
      <c r="A222" s="358"/>
      <c r="B222" s="286" t="s">
        <v>81</v>
      </c>
      <c r="C222" s="337"/>
      <c r="D222" s="337"/>
      <c r="E222" s="337"/>
      <c r="F222" s="286"/>
      <c r="G222" s="286"/>
      <c r="H222" s="296"/>
      <c r="I222" s="296"/>
      <c r="J222" s="296"/>
      <c r="K222" s="296"/>
      <c r="L222" s="296"/>
      <c r="M222" s="296"/>
      <c r="N222" s="296"/>
      <c r="O222" s="296"/>
      <c r="P222" s="296"/>
      <c r="Q222" s="296"/>
      <c r="R222" s="296"/>
      <c r="S222" s="359">
        <f>+R285</f>
        <v>0</v>
      </c>
      <c r="T222" s="360">
        <f>+T285</f>
        <v>0</v>
      </c>
      <c r="U222" s="286"/>
      <c r="V222" s="361"/>
      <c r="W222" s="362"/>
      <c r="X222" s="5"/>
    </row>
    <row r="223" spans="1:24" ht="15.75" x14ac:dyDescent="0.25">
      <c r="A223" s="358"/>
      <c r="B223" s="313" t="s">
        <v>82</v>
      </c>
      <c r="C223" s="363"/>
      <c r="D223" s="363"/>
      <c r="E223" s="363"/>
      <c r="F223" s="314"/>
      <c r="G223" s="314"/>
      <c r="H223" s="314"/>
      <c r="I223" s="314"/>
      <c r="J223" s="314"/>
      <c r="K223" s="314"/>
      <c r="L223" s="314"/>
      <c r="M223" s="314"/>
      <c r="N223" s="314"/>
      <c r="O223" s="314"/>
      <c r="P223" s="314"/>
      <c r="Q223" s="314"/>
      <c r="R223" s="314"/>
      <c r="S223" s="286"/>
      <c r="T223" s="360">
        <v>0</v>
      </c>
      <c r="U223" s="314"/>
      <c r="V223" s="364"/>
      <c r="W223" s="362"/>
      <c r="X223" s="5"/>
    </row>
    <row r="224" spans="1:24" ht="15.75" x14ac:dyDescent="0.25">
      <c r="A224" s="358"/>
      <c r="B224" s="313" t="s">
        <v>228</v>
      </c>
      <c r="C224" s="363"/>
      <c r="D224" s="363"/>
      <c r="E224" s="363"/>
      <c r="F224" s="314"/>
      <c r="G224" s="314"/>
      <c r="H224" s="314"/>
      <c r="I224" s="314"/>
      <c r="J224" s="314"/>
      <c r="K224" s="314"/>
      <c r="L224" s="314"/>
      <c r="M224" s="314"/>
      <c r="N224" s="314"/>
      <c r="O224" s="314"/>
      <c r="P224" s="314"/>
      <c r="Q224" s="314"/>
      <c r="R224" s="314"/>
      <c r="S224" s="286"/>
      <c r="T224" s="360">
        <f>+N81</f>
        <v>0</v>
      </c>
      <c r="U224" s="314"/>
      <c r="V224" s="364"/>
      <c r="W224" s="362"/>
      <c r="X224" s="5"/>
    </row>
    <row r="225" spans="1:24" ht="15.75" x14ac:dyDescent="0.25">
      <c r="A225" s="365"/>
      <c r="B225" s="313" t="s">
        <v>83</v>
      </c>
      <c r="C225" s="366"/>
      <c r="D225" s="366"/>
      <c r="E225" s="366"/>
      <c r="F225" s="366"/>
      <c r="G225" s="314"/>
      <c r="H225" s="314"/>
      <c r="I225" s="314"/>
      <c r="J225" s="314"/>
      <c r="K225" s="314"/>
      <c r="L225" s="314"/>
      <c r="M225" s="314"/>
      <c r="N225" s="314"/>
      <c r="O225" s="314"/>
      <c r="P225" s="314"/>
      <c r="Q225" s="314"/>
      <c r="R225" s="314"/>
      <c r="S225" s="286"/>
      <c r="T225" s="360"/>
      <c r="U225" s="314"/>
      <c r="V225" s="364"/>
      <c r="W225" s="367"/>
      <c r="X225" s="5"/>
    </row>
    <row r="226" spans="1:24" ht="15.75" x14ac:dyDescent="0.25">
      <c r="A226" s="365"/>
      <c r="B226" s="286" t="s">
        <v>84</v>
      </c>
      <c r="C226" s="366"/>
      <c r="D226" s="366"/>
      <c r="E226" s="366"/>
      <c r="F226" s="366"/>
      <c r="G226" s="314"/>
      <c r="H226" s="314"/>
      <c r="I226" s="314"/>
      <c r="J226" s="314"/>
      <c r="K226" s="314"/>
      <c r="L226" s="314"/>
      <c r="M226" s="314"/>
      <c r="N226" s="314"/>
      <c r="O226" s="314"/>
      <c r="P226" s="314"/>
      <c r="Q226" s="314"/>
      <c r="R226" s="314"/>
      <c r="S226" s="296"/>
      <c r="T226" s="360">
        <f>V164</f>
        <v>146</v>
      </c>
      <c r="U226" s="314"/>
      <c r="V226" s="364"/>
      <c r="W226" s="367"/>
      <c r="X226" s="5"/>
    </row>
    <row r="227" spans="1:24" ht="15.75" x14ac:dyDescent="0.25">
      <c r="A227" s="358"/>
      <c r="B227" s="286" t="s">
        <v>85</v>
      </c>
      <c r="C227" s="363"/>
      <c r="D227" s="363"/>
      <c r="E227" s="363"/>
      <c r="F227" s="363"/>
      <c r="G227" s="314"/>
      <c r="H227" s="314"/>
      <c r="I227" s="314"/>
      <c r="J227" s="314"/>
      <c r="K227" s="314"/>
      <c r="L227" s="314"/>
      <c r="M227" s="314"/>
      <c r="N227" s="314"/>
      <c r="O227" s="314"/>
      <c r="P227" s="314"/>
      <c r="Q227" s="314"/>
      <c r="R227" s="314"/>
      <c r="S227" s="296"/>
      <c r="T227" s="360">
        <f>'Nov 16'!T227+T226</f>
        <v>8046</v>
      </c>
      <c r="U227" s="314"/>
      <c r="V227" s="364"/>
      <c r="W227" s="367"/>
      <c r="X227" s="5"/>
    </row>
    <row r="228" spans="1:24" ht="15.75" x14ac:dyDescent="0.25">
      <c r="A228" s="365"/>
      <c r="B228" s="313" t="s">
        <v>285</v>
      </c>
      <c r="C228" s="366"/>
      <c r="D228" s="366"/>
      <c r="E228" s="366"/>
      <c r="F228" s="366"/>
      <c r="G228" s="314"/>
      <c r="H228" s="314"/>
      <c r="I228" s="314"/>
      <c r="J228" s="314"/>
      <c r="K228" s="314"/>
      <c r="L228" s="314"/>
      <c r="M228" s="314"/>
      <c r="N228" s="314"/>
      <c r="O228" s="314"/>
      <c r="P228" s="314"/>
      <c r="Q228" s="314"/>
      <c r="R228" s="314"/>
      <c r="S228" s="296"/>
      <c r="T228" s="360"/>
      <c r="U228" s="314"/>
      <c r="V228" s="364"/>
      <c r="W228" s="367"/>
      <c r="X228" s="5"/>
    </row>
    <row r="229" spans="1:24" ht="15.75" x14ac:dyDescent="0.25">
      <c r="A229" s="365"/>
      <c r="B229" s="286" t="s">
        <v>282</v>
      </c>
      <c r="C229" s="366"/>
      <c r="D229" s="366"/>
      <c r="E229" s="366"/>
      <c r="F229" s="366"/>
      <c r="G229" s="314"/>
      <c r="H229" s="314"/>
      <c r="I229" s="314"/>
      <c r="J229" s="314"/>
      <c r="K229" s="314"/>
      <c r="L229" s="314"/>
      <c r="M229" s="314"/>
      <c r="N229" s="314"/>
      <c r="O229" s="314"/>
      <c r="P229" s="314"/>
      <c r="Q229" s="314"/>
      <c r="R229" s="314"/>
      <c r="S229" s="296">
        <v>0</v>
      </c>
      <c r="T229" s="360">
        <v>0</v>
      </c>
      <c r="U229" s="314"/>
      <c r="V229" s="364"/>
      <c r="W229" s="367"/>
      <c r="X229" s="5"/>
    </row>
    <row r="230" spans="1:24" ht="15.75" x14ac:dyDescent="0.25">
      <c r="A230" s="358"/>
      <c r="B230" s="286" t="s">
        <v>86</v>
      </c>
      <c r="C230" s="368"/>
      <c r="D230" s="368"/>
      <c r="E230" s="368"/>
      <c r="F230" s="369"/>
      <c r="G230" s="314"/>
      <c r="H230" s="314"/>
      <c r="I230" s="314"/>
      <c r="J230" s="314"/>
      <c r="K230" s="314"/>
      <c r="L230" s="314"/>
      <c r="M230" s="314"/>
      <c r="N230" s="314"/>
      <c r="O230" s="314"/>
      <c r="P230" s="314"/>
      <c r="Q230" s="314"/>
      <c r="R230" s="314"/>
      <c r="S230" s="286"/>
      <c r="T230" s="370">
        <v>0</v>
      </c>
      <c r="U230" s="314"/>
      <c r="V230" s="364"/>
      <c r="W230" s="367"/>
      <c r="X230" s="5"/>
    </row>
    <row r="231" spans="1:24" ht="15.75" x14ac:dyDescent="0.25">
      <c r="A231" s="358"/>
      <c r="B231" s="286" t="s">
        <v>87</v>
      </c>
      <c r="C231" s="368"/>
      <c r="D231" s="368"/>
      <c r="E231" s="368"/>
      <c r="F231" s="369"/>
      <c r="G231" s="314"/>
      <c r="H231" s="314"/>
      <c r="I231" s="314"/>
      <c r="J231" s="314"/>
      <c r="K231" s="314"/>
      <c r="L231" s="314"/>
      <c r="M231" s="314"/>
      <c r="N231" s="314"/>
      <c r="O231" s="314"/>
      <c r="P231" s="314"/>
      <c r="Q231" s="314"/>
      <c r="R231" s="314"/>
      <c r="S231" s="286"/>
      <c r="T231" s="370">
        <v>0</v>
      </c>
      <c r="U231" s="314"/>
      <c r="V231" s="364"/>
      <c r="W231" s="367"/>
      <c r="X231" s="5"/>
    </row>
    <row r="232" spans="1:24" ht="15.75" x14ac:dyDescent="0.25">
      <c r="A232" s="358"/>
      <c r="B232" s="313" t="s">
        <v>216</v>
      </c>
      <c r="C232" s="368"/>
      <c r="D232" s="368"/>
      <c r="E232" s="368"/>
      <c r="F232" s="369"/>
      <c r="G232" s="314"/>
      <c r="H232" s="314"/>
      <c r="I232" s="314"/>
      <c r="J232" s="314"/>
      <c r="K232" s="314"/>
      <c r="L232" s="314"/>
      <c r="M232" s="314"/>
      <c r="N232" s="314"/>
      <c r="O232" s="314"/>
      <c r="P232" s="314"/>
      <c r="Q232" s="314"/>
      <c r="R232" s="314"/>
      <c r="S232" s="286"/>
      <c r="T232" s="371"/>
      <c r="U232" s="314"/>
      <c r="V232" s="364"/>
      <c r="W232" s="367"/>
      <c r="X232" s="5"/>
    </row>
    <row r="233" spans="1:24" ht="15.75" x14ac:dyDescent="0.25">
      <c r="A233" s="358"/>
      <c r="B233" s="286" t="s">
        <v>282</v>
      </c>
      <c r="C233" s="368"/>
      <c r="D233" s="368"/>
      <c r="E233" s="368"/>
      <c r="F233" s="369"/>
      <c r="G233" s="314"/>
      <c r="H233" s="314"/>
      <c r="I233" s="314"/>
      <c r="J233" s="314"/>
      <c r="K233" s="314"/>
      <c r="L233" s="314"/>
      <c r="M233" s="314"/>
      <c r="N233" s="314"/>
      <c r="O233" s="314"/>
      <c r="P233" s="314"/>
      <c r="Q233" s="314"/>
      <c r="R233" s="314"/>
      <c r="S233" s="296">
        <v>6</v>
      </c>
      <c r="T233" s="360">
        <v>796</v>
      </c>
      <c r="U233" s="314"/>
      <c r="V233" s="364"/>
      <c r="W233" s="367"/>
      <c r="X233" s="5"/>
    </row>
    <row r="234" spans="1:24" ht="15.75" x14ac:dyDescent="0.25">
      <c r="A234" s="358"/>
      <c r="B234" s="286" t="s">
        <v>217</v>
      </c>
      <c r="C234" s="368"/>
      <c r="D234" s="368"/>
      <c r="E234" s="368"/>
      <c r="F234" s="369"/>
      <c r="G234" s="314"/>
      <c r="H234" s="314"/>
      <c r="I234" s="314"/>
      <c r="J234" s="314"/>
      <c r="K234" s="314"/>
      <c r="L234" s="314"/>
      <c r="M234" s="314"/>
      <c r="N234" s="314"/>
      <c r="O234" s="314"/>
      <c r="P234" s="314"/>
      <c r="Q234" s="314"/>
      <c r="R234" s="314"/>
      <c r="S234" s="286"/>
      <c r="T234" s="370">
        <v>4.5599999999999996</v>
      </c>
      <c r="U234" s="314"/>
      <c r="V234" s="364"/>
      <c r="W234" s="367"/>
      <c r="X234" s="5"/>
    </row>
    <row r="235" spans="1:24" ht="15.75" x14ac:dyDescent="0.25">
      <c r="A235" s="358"/>
      <c r="B235" s="366"/>
      <c r="C235" s="368"/>
      <c r="D235" s="368"/>
      <c r="E235" s="368"/>
      <c r="F235" s="369"/>
      <c r="G235" s="314"/>
      <c r="H235" s="314"/>
      <c r="I235" s="314"/>
      <c r="J235" s="314"/>
      <c r="K235" s="314"/>
      <c r="L235" s="314"/>
      <c r="M235" s="314"/>
      <c r="N235" s="314"/>
      <c r="O235" s="314"/>
      <c r="P235" s="314"/>
      <c r="Q235" s="314"/>
      <c r="R235" s="314"/>
      <c r="S235" s="286"/>
      <c r="T235" s="371"/>
      <c r="U235" s="314"/>
      <c r="V235" s="364"/>
      <c r="W235" s="367"/>
      <c r="X235" s="5"/>
    </row>
    <row r="236" spans="1:24" ht="15.75" x14ac:dyDescent="0.25">
      <c r="A236" s="358"/>
      <c r="B236" s="366"/>
      <c r="C236" s="368"/>
      <c r="D236" s="368"/>
      <c r="E236" s="368"/>
      <c r="F236" s="369"/>
      <c r="G236" s="314"/>
      <c r="H236" s="314"/>
      <c r="I236" s="314"/>
      <c r="J236" s="314"/>
      <c r="K236" s="314"/>
      <c r="L236" s="314"/>
      <c r="M236" s="314"/>
      <c r="N236" s="314"/>
      <c r="O236" s="314"/>
      <c r="P236" s="314"/>
      <c r="Q236" s="314"/>
      <c r="R236" s="314"/>
      <c r="S236" s="314"/>
      <c r="T236" s="372"/>
      <c r="U236" s="314"/>
      <c r="V236" s="364"/>
      <c r="W236" s="367"/>
      <c r="X236" s="5"/>
    </row>
    <row r="237" spans="1:24" ht="18.75" x14ac:dyDescent="0.3">
      <c r="A237" s="358"/>
      <c r="B237" s="373" t="s">
        <v>168</v>
      </c>
      <c r="C237" s="368"/>
      <c r="D237" s="368"/>
      <c r="E237" s="368"/>
      <c r="F237" s="369"/>
      <c r="G237" s="314"/>
      <c r="H237" s="314"/>
      <c r="I237" s="314"/>
      <c r="J237" s="314"/>
      <c r="K237" s="314"/>
      <c r="L237" s="314"/>
      <c r="M237" s="314"/>
      <c r="N237" s="314"/>
      <c r="O237" s="314"/>
      <c r="P237" s="374" t="s">
        <v>167</v>
      </c>
      <c r="Q237" s="314"/>
      <c r="R237" s="314"/>
      <c r="S237" s="314"/>
      <c r="T237" s="372"/>
      <c r="U237" s="314"/>
      <c r="V237" s="364"/>
      <c r="W237" s="367"/>
      <c r="X237" s="5"/>
    </row>
    <row r="238" spans="1:24" ht="15.75" x14ac:dyDescent="0.25">
      <c r="A238" s="353"/>
      <c r="B238" s="348"/>
      <c r="C238" s="354"/>
      <c r="D238" s="354"/>
      <c r="E238" s="354"/>
      <c r="F238" s="355"/>
      <c r="G238" s="212"/>
      <c r="H238" s="212"/>
      <c r="I238" s="212"/>
      <c r="J238" s="212"/>
      <c r="K238" s="212"/>
      <c r="L238" s="212"/>
      <c r="M238" s="212"/>
      <c r="N238" s="212"/>
      <c r="O238" s="212"/>
      <c r="P238" s="212"/>
      <c r="Q238" s="212"/>
      <c r="R238" s="212"/>
      <c r="S238" s="212"/>
      <c r="T238" s="356"/>
      <c r="U238" s="212"/>
      <c r="V238" s="349"/>
      <c r="W238" s="357"/>
      <c r="X238" s="5"/>
    </row>
    <row r="239" spans="1:24" ht="15.75" x14ac:dyDescent="0.25">
      <c r="A239" s="224"/>
      <c r="B239" s="399" t="s">
        <v>297</v>
      </c>
      <c r="C239" s="400"/>
      <c r="D239" s="400"/>
      <c r="E239" s="400"/>
      <c r="F239" s="407"/>
      <c r="G239" s="400"/>
      <c r="H239" s="400"/>
      <c r="I239" s="400"/>
      <c r="J239" s="400"/>
      <c r="K239" s="400"/>
      <c r="L239" s="400"/>
      <c r="M239" s="400"/>
      <c r="N239" s="400"/>
      <c r="O239" s="400"/>
      <c r="P239" s="400"/>
      <c r="Q239" s="400"/>
      <c r="R239" s="407" t="s">
        <v>102</v>
      </c>
      <c r="S239" s="400" t="s">
        <v>103</v>
      </c>
      <c r="T239" s="407" t="s">
        <v>109</v>
      </c>
      <c r="U239" s="400" t="s">
        <v>103</v>
      </c>
      <c r="V239" s="225"/>
      <c r="W239" s="399"/>
      <c r="X239" s="5"/>
    </row>
    <row r="240" spans="1:24" ht="15.75" x14ac:dyDescent="0.25">
      <c r="A240" s="193"/>
      <c r="B240" s="249" t="s">
        <v>88</v>
      </c>
      <c r="C240" s="265"/>
      <c r="D240" s="265"/>
      <c r="E240" s="265"/>
      <c r="F240" s="250"/>
      <c r="G240" s="265"/>
      <c r="H240" s="265"/>
      <c r="I240" s="265"/>
      <c r="J240" s="265"/>
      <c r="K240" s="265"/>
      <c r="L240" s="265"/>
      <c r="M240" s="265"/>
      <c r="N240" s="265"/>
      <c r="O240" s="265"/>
      <c r="P240" s="265"/>
      <c r="Q240" s="265"/>
      <c r="R240" s="249">
        <f t="shared" ref="R240:R247" si="1">+R252+R264+R276</f>
        <v>4851</v>
      </c>
      <c r="S240" s="252">
        <f t="shared" ref="S240:S247" si="2">R240/$R$249</f>
        <v>0.99630314232902029</v>
      </c>
      <c r="T240" s="253">
        <f t="shared" ref="T240:T247" si="3">+T252+T264+T276</f>
        <v>669741</v>
      </c>
      <c r="U240" s="252">
        <f t="shared" ref="U240:U247" si="4">T240/$T$249</f>
        <v>0.99684606912154317</v>
      </c>
      <c r="V240" s="266"/>
      <c r="W240" s="408"/>
      <c r="X240" s="5"/>
    </row>
    <row r="241" spans="1:25" ht="15.75" x14ac:dyDescent="0.25">
      <c r="A241" s="285"/>
      <c r="B241" s="337" t="s">
        <v>89</v>
      </c>
      <c r="C241" s="378"/>
      <c r="D241" s="378"/>
      <c r="E241" s="378"/>
      <c r="F241" s="286"/>
      <c r="G241" s="379"/>
      <c r="H241" s="378"/>
      <c r="I241" s="378"/>
      <c r="J241" s="378"/>
      <c r="K241" s="378"/>
      <c r="L241" s="378"/>
      <c r="M241" s="378"/>
      <c r="N241" s="378"/>
      <c r="O241" s="378"/>
      <c r="P241" s="378"/>
      <c r="Q241" s="378"/>
      <c r="R241" s="337">
        <f t="shared" si="1"/>
        <v>8</v>
      </c>
      <c r="S241" s="379">
        <f t="shared" si="2"/>
        <v>1.6430478537687409E-3</v>
      </c>
      <c r="T241" s="338">
        <f t="shared" si="3"/>
        <v>911</v>
      </c>
      <c r="U241" s="379">
        <f t="shared" si="4"/>
        <v>1.3559372488316018E-3</v>
      </c>
      <c r="V241" s="361"/>
      <c r="W241" s="409"/>
      <c r="X241" s="5"/>
      <c r="Y241" s="109"/>
    </row>
    <row r="242" spans="1:25" ht="15.75" x14ac:dyDescent="0.25">
      <c r="A242" s="285"/>
      <c r="B242" s="337" t="s">
        <v>90</v>
      </c>
      <c r="C242" s="378"/>
      <c r="D242" s="378"/>
      <c r="E242" s="378"/>
      <c r="F242" s="286"/>
      <c r="G242" s="379"/>
      <c r="H242" s="378"/>
      <c r="I242" s="378"/>
      <c r="J242" s="378"/>
      <c r="K242" s="378"/>
      <c r="L242" s="378"/>
      <c r="M242" s="378"/>
      <c r="N242" s="378"/>
      <c r="O242" s="378"/>
      <c r="P242" s="378"/>
      <c r="Q242" s="378"/>
      <c r="R242" s="337">
        <f t="shared" si="1"/>
        <v>4</v>
      </c>
      <c r="S242" s="379">
        <f t="shared" si="2"/>
        <v>8.2152392688437047E-4</v>
      </c>
      <c r="T242" s="338">
        <f t="shared" si="3"/>
        <v>340</v>
      </c>
      <c r="U242" s="379">
        <f t="shared" si="4"/>
        <v>5.0605780966272735E-4</v>
      </c>
      <c r="V242" s="361"/>
      <c r="W242" s="409"/>
      <c r="X242" s="5"/>
    </row>
    <row r="243" spans="1:25" ht="15.75" x14ac:dyDescent="0.25">
      <c r="A243" s="285"/>
      <c r="B243" s="337" t="s">
        <v>156</v>
      </c>
      <c r="C243" s="378"/>
      <c r="D243" s="378"/>
      <c r="E243" s="378"/>
      <c r="F243" s="286"/>
      <c r="G243" s="379"/>
      <c r="H243" s="378"/>
      <c r="I243" s="378"/>
      <c r="J243" s="378"/>
      <c r="K243" s="378"/>
      <c r="L243" s="378"/>
      <c r="M243" s="378"/>
      <c r="N243" s="378"/>
      <c r="O243" s="378"/>
      <c r="P243" s="378"/>
      <c r="Q243" s="378"/>
      <c r="R243" s="337">
        <f t="shared" si="1"/>
        <v>0</v>
      </c>
      <c r="S243" s="379">
        <f t="shared" si="2"/>
        <v>0</v>
      </c>
      <c r="T243" s="338">
        <f t="shared" si="3"/>
        <v>0</v>
      </c>
      <c r="U243" s="379">
        <f t="shared" si="4"/>
        <v>0</v>
      </c>
      <c r="V243" s="361"/>
      <c r="W243" s="409"/>
      <c r="X243" s="5"/>
      <c r="Y243" s="109"/>
    </row>
    <row r="244" spans="1:25" ht="15.75" x14ac:dyDescent="0.25">
      <c r="A244" s="285"/>
      <c r="B244" s="337" t="s">
        <v>157</v>
      </c>
      <c r="C244" s="378"/>
      <c r="D244" s="378"/>
      <c r="E244" s="378"/>
      <c r="F244" s="286"/>
      <c r="G244" s="379"/>
      <c r="H244" s="378"/>
      <c r="I244" s="378"/>
      <c r="J244" s="378"/>
      <c r="K244" s="378"/>
      <c r="L244" s="378"/>
      <c r="M244" s="378"/>
      <c r="N244" s="378"/>
      <c r="O244" s="378"/>
      <c r="P244" s="378"/>
      <c r="Q244" s="378"/>
      <c r="R244" s="337">
        <f t="shared" si="1"/>
        <v>2</v>
      </c>
      <c r="S244" s="379">
        <f t="shared" si="2"/>
        <v>4.1076196344218524E-4</v>
      </c>
      <c r="T244" s="338">
        <f t="shared" si="3"/>
        <v>298</v>
      </c>
      <c r="U244" s="379">
        <f t="shared" si="4"/>
        <v>4.4354478611615517E-4</v>
      </c>
      <c r="V244" s="361"/>
      <c r="W244" s="409"/>
      <c r="X244" s="5"/>
    </row>
    <row r="245" spans="1:25" ht="15.75" x14ac:dyDescent="0.25">
      <c r="A245" s="285"/>
      <c r="B245" s="337" t="s">
        <v>158</v>
      </c>
      <c r="C245" s="378"/>
      <c r="D245" s="378"/>
      <c r="E245" s="378"/>
      <c r="F245" s="286"/>
      <c r="G245" s="379"/>
      <c r="H245" s="378"/>
      <c r="I245" s="378"/>
      <c r="J245" s="378"/>
      <c r="K245" s="378"/>
      <c r="L245" s="378"/>
      <c r="M245" s="378"/>
      <c r="N245" s="378"/>
      <c r="O245" s="378"/>
      <c r="P245" s="378"/>
      <c r="Q245" s="378"/>
      <c r="R245" s="337">
        <f t="shared" si="1"/>
        <v>0</v>
      </c>
      <c r="S245" s="379">
        <f t="shared" si="2"/>
        <v>0</v>
      </c>
      <c r="T245" s="338">
        <f t="shared" si="3"/>
        <v>0</v>
      </c>
      <c r="U245" s="379">
        <f t="shared" si="4"/>
        <v>0</v>
      </c>
      <c r="V245" s="361"/>
      <c r="W245" s="409"/>
      <c r="X245" s="5"/>
      <c r="Y245" s="109"/>
    </row>
    <row r="246" spans="1:25" ht="15.75" x14ac:dyDescent="0.25">
      <c r="A246" s="285"/>
      <c r="B246" s="337" t="s">
        <v>159</v>
      </c>
      <c r="C246" s="378"/>
      <c r="D246" s="378"/>
      <c r="E246" s="378"/>
      <c r="F246" s="286"/>
      <c r="G246" s="379"/>
      <c r="H246" s="378"/>
      <c r="I246" s="378"/>
      <c r="J246" s="378"/>
      <c r="K246" s="378"/>
      <c r="L246" s="378"/>
      <c r="M246" s="378"/>
      <c r="N246" s="378"/>
      <c r="O246" s="378"/>
      <c r="P246" s="378"/>
      <c r="Q246" s="378"/>
      <c r="R246" s="337">
        <f t="shared" si="1"/>
        <v>2</v>
      </c>
      <c r="S246" s="379">
        <f t="shared" si="2"/>
        <v>4.1076196344218524E-4</v>
      </c>
      <c r="T246" s="338">
        <f t="shared" si="3"/>
        <v>267</v>
      </c>
      <c r="U246" s="379">
        <f t="shared" si="4"/>
        <v>3.9740422111749472E-4</v>
      </c>
      <c r="V246" s="361"/>
      <c r="W246" s="409"/>
      <c r="X246" s="5"/>
    </row>
    <row r="247" spans="1:25" ht="15.75" x14ac:dyDescent="0.25">
      <c r="A247" s="285"/>
      <c r="B247" s="337" t="s">
        <v>160</v>
      </c>
      <c r="C247" s="378"/>
      <c r="D247" s="378"/>
      <c r="E247" s="378"/>
      <c r="F247" s="286"/>
      <c r="G247" s="379"/>
      <c r="H247" s="378"/>
      <c r="I247" s="378"/>
      <c r="J247" s="378"/>
      <c r="K247" s="378"/>
      <c r="L247" s="378"/>
      <c r="M247" s="378"/>
      <c r="N247" s="378"/>
      <c r="O247" s="378"/>
      <c r="P247" s="378"/>
      <c r="Q247" s="378"/>
      <c r="R247" s="386">
        <f t="shared" si="1"/>
        <v>2</v>
      </c>
      <c r="S247" s="379">
        <f t="shared" si="2"/>
        <v>4.1076196344218524E-4</v>
      </c>
      <c r="T247" s="383">
        <f t="shared" si="3"/>
        <v>303</v>
      </c>
      <c r="U247" s="387">
        <f t="shared" si="4"/>
        <v>4.509868127288423E-4</v>
      </c>
      <c r="V247" s="361"/>
      <c r="W247" s="409"/>
      <c r="X247" s="5"/>
      <c r="Y247" s="109"/>
    </row>
    <row r="248" spans="1:25" ht="15.75" x14ac:dyDescent="0.25">
      <c r="A248" s="285"/>
      <c r="B248" s="337"/>
      <c r="C248" s="378"/>
      <c r="D248" s="378"/>
      <c r="E248" s="378"/>
      <c r="F248" s="286"/>
      <c r="G248" s="379"/>
      <c r="H248" s="378"/>
      <c r="I248" s="378"/>
      <c r="J248" s="378"/>
      <c r="K248" s="378"/>
      <c r="L248" s="378"/>
      <c r="M248" s="378"/>
      <c r="N248" s="378"/>
      <c r="O248" s="378"/>
      <c r="P248" s="378"/>
      <c r="Q248" s="378"/>
      <c r="R248" s="337"/>
      <c r="S248" s="379"/>
      <c r="T248" s="338"/>
      <c r="U248" s="379"/>
      <c r="V248" s="361"/>
      <c r="W248" s="409"/>
      <c r="X248" s="5"/>
    </row>
    <row r="249" spans="1:25" ht="15.75" x14ac:dyDescent="0.25">
      <c r="A249" s="285"/>
      <c r="B249" s="286"/>
      <c r="C249" s="286"/>
      <c r="D249" s="286"/>
      <c r="E249" s="286"/>
      <c r="F249" s="286"/>
      <c r="G249" s="286"/>
      <c r="H249" s="381"/>
      <c r="I249" s="381"/>
      <c r="J249" s="381"/>
      <c r="K249" s="381"/>
      <c r="L249" s="381"/>
      <c r="M249" s="381"/>
      <c r="N249" s="381"/>
      <c r="O249" s="381"/>
      <c r="P249" s="381"/>
      <c r="Q249" s="381"/>
      <c r="R249" s="337">
        <f>SUM(R240:R248)</f>
        <v>4869</v>
      </c>
      <c r="S249" s="379">
        <f>SUM(S240:S248)</f>
        <v>0.99999999999999989</v>
      </c>
      <c r="T249" s="338">
        <f>SUM(T240:T248)</f>
        <v>671860</v>
      </c>
      <c r="U249" s="379">
        <f>SUM(U240:U248)</f>
        <v>1</v>
      </c>
      <c r="V249" s="286"/>
      <c r="W249" s="289"/>
      <c r="X249" s="5"/>
    </row>
    <row r="250" spans="1:25" ht="15.75" x14ac:dyDescent="0.25">
      <c r="A250" s="181"/>
      <c r="B250" s="212"/>
      <c r="C250" s="212"/>
      <c r="D250" s="212"/>
      <c r="E250" s="212"/>
      <c r="F250" s="212"/>
      <c r="G250" s="212"/>
      <c r="H250" s="375"/>
      <c r="I250" s="375"/>
      <c r="J250" s="375"/>
      <c r="K250" s="375"/>
      <c r="L250" s="375"/>
      <c r="M250" s="375"/>
      <c r="N250" s="375"/>
      <c r="O250" s="375"/>
      <c r="P250" s="375"/>
      <c r="Q250" s="375"/>
      <c r="R250" s="335"/>
      <c r="S250" s="376"/>
      <c r="T250" s="377"/>
      <c r="U250" s="376"/>
      <c r="V250" s="212"/>
      <c r="W250" s="212"/>
      <c r="X250" s="5"/>
    </row>
    <row r="251" spans="1:25" ht="15.75" x14ac:dyDescent="0.25">
      <c r="A251" s="224"/>
      <c r="B251" s="399" t="s">
        <v>162</v>
      </c>
      <c r="C251" s="400"/>
      <c r="D251" s="400"/>
      <c r="E251" s="400"/>
      <c r="F251" s="407"/>
      <c r="G251" s="400"/>
      <c r="H251" s="400"/>
      <c r="I251" s="400"/>
      <c r="J251" s="400"/>
      <c r="K251" s="400"/>
      <c r="L251" s="400"/>
      <c r="M251" s="400"/>
      <c r="N251" s="400"/>
      <c r="O251" s="400"/>
      <c r="P251" s="400"/>
      <c r="Q251" s="400"/>
      <c r="R251" s="407" t="s">
        <v>102</v>
      </c>
      <c r="S251" s="400" t="s">
        <v>103</v>
      </c>
      <c r="T251" s="407" t="s">
        <v>109</v>
      </c>
      <c r="U251" s="400" t="s">
        <v>103</v>
      </c>
      <c r="V251" s="225"/>
      <c r="W251" s="399"/>
      <c r="X251" s="5"/>
    </row>
    <row r="252" spans="1:25" ht="15.75" x14ac:dyDescent="0.25">
      <c r="A252" s="193"/>
      <c r="B252" s="249" t="s">
        <v>88</v>
      </c>
      <c r="C252" s="265"/>
      <c r="D252" s="265"/>
      <c r="E252" s="265"/>
      <c r="F252" s="250"/>
      <c r="G252" s="265"/>
      <c r="H252" s="265"/>
      <c r="I252" s="265"/>
      <c r="J252" s="265"/>
      <c r="K252" s="265"/>
      <c r="L252" s="265"/>
      <c r="M252" s="265"/>
      <c r="N252" s="265"/>
      <c r="O252" s="265"/>
      <c r="P252" s="265"/>
      <c r="Q252" s="265"/>
      <c r="R252" s="249">
        <v>4782</v>
      </c>
      <c r="S252" s="252">
        <f t="shared" ref="S252:S259" si="5">R252/$R$261</f>
        <v>0.99832985386221296</v>
      </c>
      <c r="T252" s="253">
        <v>660402</v>
      </c>
      <c r="U252" s="252">
        <f t="shared" ref="U252:U259" si="6">T252/$T$261</f>
        <v>0.99866623115030762</v>
      </c>
      <c r="V252" s="266"/>
      <c r="W252" s="408"/>
      <c r="X252" s="5"/>
    </row>
    <row r="253" spans="1:25" ht="15.75" x14ac:dyDescent="0.25">
      <c r="A253" s="285"/>
      <c r="B253" s="337" t="s">
        <v>89</v>
      </c>
      <c r="C253" s="378"/>
      <c r="D253" s="378"/>
      <c r="E253" s="378"/>
      <c r="F253" s="286"/>
      <c r="G253" s="379"/>
      <c r="H253" s="378"/>
      <c r="I253" s="378"/>
      <c r="J253" s="378"/>
      <c r="K253" s="378"/>
      <c r="L253" s="378"/>
      <c r="M253" s="378"/>
      <c r="N253" s="378"/>
      <c r="O253" s="378"/>
      <c r="P253" s="378"/>
      <c r="Q253" s="378"/>
      <c r="R253" s="337">
        <v>7</v>
      </c>
      <c r="S253" s="379">
        <f t="shared" si="5"/>
        <v>1.4613778705636743E-3</v>
      </c>
      <c r="T253" s="338">
        <v>794</v>
      </c>
      <c r="U253" s="379">
        <f t="shared" si="6"/>
        <v>1.2006944066392049E-3</v>
      </c>
      <c r="V253" s="361"/>
      <c r="W253" s="409"/>
      <c r="X253" s="5"/>
      <c r="Y253" s="109"/>
    </row>
    <row r="254" spans="1:25" ht="15.75" x14ac:dyDescent="0.25">
      <c r="A254" s="285"/>
      <c r="B254" s="337" t="s">
        <v>90</v>
      </c>
      <c r="C254" s="378"/>
      <c r="D254" s="378"/>
      <c r="E254" s="378"/>
      <c r="F254" s="286"/>
      <c r="G254" s="379"/>
      <c r="H254" s="378"/>
      <c r="I254" s="378"/>
      <c r="J254" s="378"/>
      <c r="K254" s="378"/>
      <c r="L254" s="378"/>
      <c r="M254" s="378"/>
      <c r="N254" s="378"/>
      <c r="O254" s="378"/>
      <c r="P254" s="378"/>
      <c r="Q254" s="378"/>
      <c r="R254" s="337">
        <v>1</v>
      </c>
      <c r="S254" s="379">
        <f t="shared" si="5"/>
        <v>2.0876826722338206E-4</v>
      </c>
      <c r="T254" s="338">
        <v>88</v>
      </c>
      <c r="U254" s="379">
        <f t="shared" si="6"/>
        <v>1.3307444305321164E-4</v>
      </c>
      <c r="V254" s="361"/>
      <c r="W254" s="409"/>
      <c r="X254" s="5"/>
    </row>
    <row r="255" spans="1:25" ht="15.75" x14ac:dyDescent="0.25">
      <c r="A255" s="285"/>
      <c r="B255" s="337" t="s">
        <v>156</v>
      </c>
      <c r="C255" s="378"/>
      <c r="D255" s="378"/>
      <c r="E255" s="378"/>
      <c r="F255" s="286"/>
      <c r="G255" s="379"/>
      <c r="H255" s="378"/>
      <c r="I255" s="378"/>
      <c r="J255" s="378"/>
      <c r="K255" s="378"/>
      <c r="L255" s="378"/>
      <c r="M255" s="378"/>
      <c r="N255" s="378"/>
      <c r="O255" s="378"/>
      <c r="P255" s="378"/>
      <c r="Q255" s="378"/>
      <c r="R255" s="337">
        <v>0</v>
      </c>
      <c r="S255" s="379">
        <f t="shared" si="5"/>
        <v>0</v>
      </c>
      <c r="T255" s="338">
        <v>0</v>
      </c>
      <c r="U255" s="379">
        <f t="shared" si="6"/>
        <v>0</v>
      </c>
      <c r="V255" s="361"/>
      <c r="W255" s="409"/>
      <c r="X255" s="5"/>
      <c r="Y255" s="109"/>
    </row>
    <row r="256" spans="1:25" ht="15.75" x14ac:dyDescent="0.25">
      <c r="A256" s="285"/>
      <c r="B256" s="337" t="s">
        <v>157</v>
      </c>
      <c r="C256" s="378"/>
      <c r="D256" s="378"/>
      <c r="E256" s="378"/>
      <c r="F256" s="286"/>
      <c r="G256" s="379"/>
      <c r="H256" s="378"/>
      <c r="I256" s="378"/>
      <c r="J256" s="378"/>
      <c r="K256" s="378"/>
      <c r="L256" s="378"/>
      <c r="M256" s="378"/>
      <c r="N256" s="378"/>
      <c r="O256" s="378"/>
      <c r="P256" s="378"/>
      <c r="Q256" s="378"/>
      <c r="R256" s="337">
        <v>0</v>
      </c>
      <c r="S256" s="379">
        <f t="shared" si="5"/>
        <v>0</v>
      </c>
      <c r="T256" s="338">
        <v>0</v>
      </c>
      <c r="U256" s="379">
        <f t="shared" si="6"/>
        <v>0</v>
      </c>
      <c r="V256" s="361"/>
      <c r="W256" s="409"/>
      <c r="X256" s="5"/>
    </row>
    <row r="257" spans="1:25" ht="15.75" x14ac:dyDescent="0.25">
      <c r="A257" s="285"/>
      <c r="B257" s="337" t="s">
        <v>158</v>
      </c>
      <c r="C257" s="378"/>
      <c r="D257" s="378"/>
      <c r="E257" s="378"/>
      <c r="F257" s="286"/>
      <c r="G257" s="379"/>
      <c r="H257" s="378"/>
      <c r="I257" s="378"/>
      <c r="J257" s="378"/>
      <c r="K257" s="378"/>
      <c r="L257" s="378"/>
      <c r="M257" s="378"/>
      <c r="N257" s="378"/>
      <c r="O257" s="378"/>
      <c r="P257" s="378"/>
      <c r="Q257" s="378"/>
      <c r="R257" s="337">
        <v>0</v>
      </c>
      <c r="S257" s="379">
        <f t="shared" si="5"/>
        <v>0</v>
      </c>
      <c r="T257" s="338">
        <v>0</v>
      </c>
      <c r="U257" s="379">
        <f t="shared" si="6"/>
        <v>0</v>
      </c>
      <c r="V257" s="361"/>
      <c r="W257" s="409"/>
      <c r="X257" s="5"/>
      <c r="Y257" s="109"/>
    </row>
    <row r="258" spans="1:25" ht="15.75" x14ac:dyDescent="0.25">
      <c r="A258" s="285"/>
      <c r="B258" s="337" t="s">
        <v>159</v>
      </c>
      <c r="C258" s="378"/>
      <c r="D258" s="378"/>
      <c r="E258" s="378"/>
      <c r="F258" s="286"/>
      <c r="G258" s="379"/>
      <c r="H258" s="378"/>
      <c r="I258" s="378"/>
      <c r="J258" s="378"/>
      <c r="K258" s="378"/>
      <c r="L258" s="378"/>
      <c r="M258" s="378"/>
      <c r="N258" s="378"/>
      <c r="O258" s="378"/>
      <c r="P258" s="378"/>
      <c r="Q258" s="378"/>
      <c r="R258" s="337">
        <v>0</v>
      </c>
      <c r="S258" s="379">
        <f t="shared" si="5"/>
        <v>0</v>
      </c>
      <c r="T258" s="338">
        <v>0</v>
      </c>
      <c r="U258" s="379">
        <f t="shared" si="6"/>
        <v>0</v>
      </c>
      <c r="V258" s="361"/>
      <c r="W258" s="409"/>
      <c r="X258" s="5"/>
    </row>
    <row r="259" spans="1:25" ht="15.75" x14ac:dyDescent="0.25">
      <c r="A259" s="285"/>
      <c r="B259" s="337" t="s">
        <v>160</v>
      </c>
      <c r="C259" s="378"/>
      <c r="D259" s="378"/>
      <c r="E259" s="378"/>
      <c r="F259" s="286"/>
      <c r="G259" s="379"/>
      <c r="H259" s="378"/>
      <c r="I259" s="378"/>
      <c r="J259" s="378"/>
      <c r="K259" s="378"/>
      <c r="L259" s="378"/>
      <c r="M259" s="378"/>
      <c r="N259" s="378"/>
      <c r="O259" s="378"/>
      <c r="P259" s="378"/>
      <c r="Q259" s="378"/>
      <c r="R259" s="337">
        <v>0</v>
      </c>
      <c r="S259" s="379">
        <f t="shared" si="5"/>
        <v>0</v>
      </c>
      <c r="T259" s="338">
        <v>0</v>
      </c>
      <c r="U259" s="379">
        <f t="shared" si="6"/>
        <v>0</v>
      </c>
      <c r="V259" s="361"/>
      <c r="W259" s="409"/>
      <c r="X259" s="5"/>
      <c r="Y259" s="109"/>
    </row>
    <row r="260" spans="1:25" ht="15.75" x14ac:dyDescent="0.25">
      <c r="A260" s="285"/>
      <c r="B260" s="337"/>
      <c r="C260" s="378"/>
      <c r="D260" s="378"/>
      <c r="E260" s="378"/>
      <c r="F260" s="286"/>
      <c r="G260" s="379"/>
      <c r="H260" s="378"/>
      <c r="I260" s="378"/>
      <c r="J260" s="378"/>
      <c r="K260" s="378"/>
      <c r="L260" s="378"/>
      <c r="M260" s="378"/>
      <c r="N260" s="378"/>
      <c r="O260" s="378"/>
      <c r="P260" s="378"/>
      <c r="Q260" s="378"/>
      <c r="R260" s="337"/>
      <c r="S260" s="379"/>
      <c r="T260" s="338"/>
      <c r="U260" s="379"/>
      <c r="V260" s="361"/>
      <c r="W260" s="409"/>
      <c r="X260" s="5"/>
    </row>
    <row r="261" spans="1:25" ht="15.75" x14ac:dyDescent="0.25">
      <c r="A261" s="285"/>
      <c r="B261" s="286"/>
      <c r="C261" s="286"/>
      <c r="D261" s="286"/>
      <c r="E261" s="286"/>
      <c r="F261" s="286"/>
      <c r="G261" s="286"/>
      <c r="H261" s="381"/>
      <c r="I261" s="381"/>
      <c r="J261" s="381"/>
      <c r="K261" s="381"/>
      <c r="L261" s="381"/>
      <c r="M261" s="381"/>
      <c r="N261" s="381"/>
      <c r="O261" s="381"/>
      <c r="P261" s="381"/>
      <c r="Q261" s="381"/>
      <c r="R261" s="337">
        <f>SUM(R252:R260)</f>
        <v>4790</v>
      </c>
      <c r="S261" s="379">
        <f>SUM(S252:S260)</f>
        <v>1</v>
      </c>
      <c r="T261" s="338">
        <f>SUM(T252:T260)</f>
        <v>661284</v>
      </c>
      <c r="U261" s="379">
        <f>SUM(U252:U260)</f>
        <v>1</v>
      </c>
      <c r="V261" s="286"/>
      <c r="W261" s="289"/>
      <c r="X261" s="5"/>
    </row>
    <row r="262" spans="1:25" ht="15.75" x14ac:dyDescent="0.25">
      <c r="A262" s="181"/>
      <c r="B262" s="212"/>
      <c r="C262" s="212"/>
      <c r="D262" s="212"/>
      <c r="E262" s="212"/>
      <c r="F262" s="212"/>
      <c r="G262" s="212"/>
      <c r="H262" s="375"/>
      <c r="I262" s="375"/>
      <c r="J262" s="375"/>
      <c r="K262" s="375"/>
      <c r="L262" s="375"/>
      <c r="M262" s="375"/>
      <c r="N262" s="375"/>
      <c r="O262" s="375"/>
      <c r="P262" s="375"/>
      <c r="Q262" s="375"/>
      <c r="R262" s="335"/>
      <c r="S262" s="376"/>
      <c r="T262" s="377"/>
      <c r="U262" s="376"/>
      <c r="V262" s="212"/>
      <c r="W262" s="212"/>
      <c r="X262" s="5"/>
    </row>
    <row r="263" spans="1:25" ht="15.75" x14ac:dyDescent="0.25">
      <c r="A263" s="244"/>
      <c r="B263" s="399" t="s">
        <v>236</v>
      </c>
      <c r="C263" s="400"/>
      <c r="D263" s="400"/>
      <c r="E263" s="400"/>
      <c r="F263" s="407"/>
      <c r="G263" s="400"/>
      <c r="H263" s="400"/>
      <c r="I263" s="400"/>
      <c r="J263" s="400"/>
      <c r="K263" s="400"/>
      <c r="L263" s="400"/>
      <c r="M263" s="400"/>
      <c r="N263" s="400"/>
      <c r="O263" s="400"/>
      <c r="P263" s="400"/>
      <c r="Q263" s="400"/>
      <c r="R263" s="407" t="s">
        <v>102</v>
      </c>
      <c r="S263" s="400" t="s">
        <v>103</v>
      </c>
      <c r="T263" s="407" t="s">
        <v>109</v>
      </c>
      <c r="U263" s="400" t="s">
        <v>103</v>
      </c>
      <c r="V263" s="245"/>
      <c r="W263" s="246"/>
      <c r="X263" s="5"/>
    </row>
    <row r="264" spans="1:25" ht="15.75" x14ac:dyDescent="0.25">
      <c r="A264" s="193"/>
      <c r="B264" s="249" t="s">
        <v>88</v>
      </c>
      <c r="C264" s="265"/>
      <c r="D264" s="265"/>
      <c r="E264" s="265"/>
      <c r="F264" s="250"/>
      <c r="G264" s="265"/>
      <c r="H264" s="265"/>
      <c r="I264" s="265"/>
      <c r="J264" s="265"/>
      <c r="K264" s="265"/>
      <c r="L264" s="265"/>
      <c r="M264" s="265"/>
      <c r="N264" s="265"/>
      <c r="O264" s="265"/>
      <c r="P264" s="265"/>
      <c r="Q264" s="265"/>
      <c r="R264" s="249">
        <v>69</v>
      </c>
      <c r="S264" s="252">
        <f t="shared" ref="S264:S270" si="7">R264/$R$273</f>
        <v>0.87341772151898733</v>
      </c>
      <c r="T264" s="253">
        <v>9339</v>
      </c>
      <c r="U264" s="252">
        <f t="shared" ref="U264:U271" si="8">T264/$T$273</f>
        <v>0.8830370650529501</v>
      </c>
      <c r="V264" s="250"/>
      <c r="W264" s="250"/>
      <c r="X264" s="5"/>
    </row>
    <row r="265" spans="1:25" ht="15.75" x14ac:dyDescent="0.25">
      <c r="A265" s="285"/>
      <c r="B265" s="337" t="s">
        <v>89</v>
      </c>
      <c r="C265" s="378"/>
      <c r="D265" s="378"/>
      <c r="E265" s="378"/>
      <c r="F265" s="286"/>
      <c r="G265" s="379"/>
      <c r="H265" s="378"/>
      <c r="I265" s="378"/>
      <c r="J265" s="378"/>
      <c r="K265" s="378"/>
      <c r="L265" s="378"/>
      <c r="M265" s="378"/>
      <c r="N265" s="378"/>
      <c r="O265" s="378"/>
      <c r="P265" s="378"/>
      <c r="Q265" s="378"/>
      <c r="R265" s="337">
        <v>1</v>
      </c>
      <c r="S265" s="379">
        <f t="shared" si="7"/>
        <v>1.2658227848101266E-2</v>
      </c>
      <c r="T265" s="338">
        <v>117</v>
      </c>
      <c r="U265" s="379">
        <f t="shared" si="8"/>
        <v>1.1062783661119516E-2</v>
      </c>
      <c r="V265" s="286"/>
      <c r="W265" s="289"/>
      <c r="X265" s="5"/>
    </row>
    <row r="266" spans="1:25" ht="15.75" x14ac:dyDescent="0.25">
      <c r="A266" s="285"/>
      <c r="B266" s="337" t="s">
        <v>90</v>
      </c>
      <c r="C266" s="378"/>
      <c r="D266" s="378"/>
      <c r="E266" s="378"/>
      <c r="F266" s="286"/>
      <c r="G266" s="379"/>
      <c r="H266" s="378"/>
      <c r="I266" s="378"/>
      <c r="J266" s="378"/>
      <c r="K266" s="378"/>
      <c r="L266" s="378"/>
      <c r="M266" s="378"/>
      <c r="N266" s="378"/>
      <c r="O266" s="378"/>
      <c r="P266" s="378"/>
      <c r="Q266" s="378"/>
      <c r="R266" s="337">
        <v>3</v>
      </c>
      <c r="S266" s="379">
        <f t="shared" si="7"/>
        <v>3.7974683544303799E-2</v>
      </c>
      <c r="T266" s="338">
        <v>252</v>
      </c>
      <c r="U266" s="379">
        <f t="shared" si="8"/>
        <v>2.3827534039334342E-2</v>
      </c>
      <c r="V266" s="286"/>
      <c r="W266" s="289"/>
      <c r="X266" s="5"/>
    </row>
    <row r="267" spans="1:25" ht="15.75" x14ac:dyDescent="0.25">
      <c r="A267" s="285"/>
      <c r="B267" s="337" t="s">
        <v>156</v>
      </c>
      <c r="C267" s="378"/>
      <c r="D267" s="378"/>
      <c r="E267" s="378"/>
      <c r="F267" s="286"/>
      <c r="G267" s="379"/>
      <c r="H267" s="378"/>
      <c r="I267" s="378"/>
      <c r="J267" s="378"/>
      <c r="K267" s="378"/>
      <c r="L267" s="378"/>
      <c r="M267" s="378"/>
      <c r="N267" s="378"/>
      <c r="O267" s="378"/>
      <c r="P267" s="378"/>
      <c r="Q267" s="378"/>
      <c r="R267" s="337">
        <v>0</v>
      </c>
      <c r="S267" s="379">
        <f t="shared" si="7"/>
        <v>0</v>
      </c>
      <c r="T267" s="338">
        <v>0</v>
      </c>
      <c r="U267" s="379">
        <f t="shared" si="8"/>
        <v>0</v>
      </c>
      <c r="V267" s="286"/>
      <c r="W267" s="289"/>
      <c r="X267" s="5"/>
    </row>
    <row r="268" spans="1:25" ht="15.75" x14ac:dyDescent="0.25">
      <c r="A268" s="285"/>
      <c r="B268" s="337" t="s">
        <v>157</v>
      </c>
      <c r="C268" s="378"/>
      <c r="D268" s="378"/>
      <c r="E268" s="378"/>
      <c r="F268" s="286"/>
      <c r="G268" s="379"/>
      <c r="H268" s="378"/>
      <c r="I268" s="378"/>
      <c r="J268" s="378"/>
      <c r="K268" s="378"/>
      <c r="L268" s="378"/>
      <c r="M268" s="378"/>
      <c r="N268" s="378"/>
      <c r="O268" s="378"/>
      <c r="P268" s="378"/>
      <c r="Q268" s="378"/>
      <c r="R268" s="337">
        <v>2</v>
      </c>
      <c r="S268" s="379">
        <f t="shared" si="7"/>
        <v>2.5316455696202531E-2</v>
      </c>
      <c r="T268" s="338">
        <v>298</v>
      </c>
      <c r="U268" s="379">
        <f t="shared" si="8"/>
        <v>2.8177004538577913E-2</v>
      </c>
      <c r="V268" s="286"/>
      <c r="W268" s="289"/>
      <c r="X268" s="5"/>
    </row>
    <row r="269" spans="1:25" ht="15.75" x14ac:dyDescent="0.25">
      <c r="A269" s="285"/>
      <c r="B269" s="337" t="s">
        <v>158</v>
      </c>
      <c r="C269" s="378"/>
      <c r="D269" s="378"/>
      <c r="E269" s="378"/>
      <c r="F269" s="286"/>
      <c r="G269" s="379"/>
      <c r="H269" s="378"/>
      <c r="I269" s="378"/>
      <c r="J269" s="378"/>
      <c r="K269" s="378"/>
      <c r="L269" s="378"/>
      <c r="M269" s="378"/>
      <c r="N269" s="378"/>
      <c r="O269" s="378"/>
      <c r="P269" s="378"/>
      <c r="Q269" s="378"/>
      <c r="R269" s="337">
        <v>0</v>
      </c>
      <c r="S269" s="379">
        <f t="shared" si="7"/>
        <v>0</v>
      </c>
      <c r="T269" s="338">
        <v>0</v>
      </c>
      <c r="U269" s="379">
        <f t="shared" si="8"/>
        <v>0</v>
      </c>
      <c r="V269" s="286"/>
      <c r="W269" s="289"/>
      <c r="X269" s="5"/>
    </row>
    <row r="270" spans="1:25" ht="15.75" x14ac:dyDescent="0.25">
      <c r="A270" s="285"/>
      <c r="B270" s="337" t="s">
        <v>159</v>
      </c>
      <c r="C270" s="378"/>
      <c r="D270" s="378"/>
      <c r="E270" s="378"/>
      <c r="F270" s="286"/>
      <c r="G270" s="379"/>
      <c r="H270" s="378"/>
      <c r="I270" s="378"/>
      <c r="J270" s="378"/>
      <c r="K270" s="378"/>
      <c r="L270" s="378"/>
      <c r="M270" s="378"/>
      <c r="N270" s="378"/>
      <c r="O270" s="378"/>
      <c r="P270" s="378"/>
      <c r="Q270" s="378"/>
      <c r="R270" s="337">
        <v>2</v>
      </c>
      <c r="S270" s="379">
        <f t="shared" si="7"/>
        <v>2.5316455696202531E-2</v>
      </c>
      <c r="T270" s="338">
        <v>267</v>
      </c>
      <c r="U270" s="379">
        <f t="shared" si="8"/>
        <v>2.5245839636913767E-2</v>
      </c>
      <c r="V270" s="286"/>
      <c r="W270" s="289"/>
      <c r="X270" s="5"/>
    </row>
    <row r="271" spans="1:25" ht="15.75" x14ac:dyDescent="0.25">
      <c r="A271" s="285"/>
      <c r="B271" s="337" t="s">
        <v>160</v>
      </c>
      <c r="C271" s="378"/>
      <c r="D271" s="378"/>
      <c r="E271" s="378"/>
      <c r="F271" s="286"/>
      <c r="G271" s="379"/>
      <c r="H271" s="378"/>
      <c r="I271" s="378"/>
      <c r="J271" s="378"/>
      <c r="K271" s="378"/>
      <c r="L271" s="378"/>
      <c r="M271" s="378"/>
      <c r="N271" s="378"/>
      <c r="O271" s="378"/>
      <c r="P271" s="378"/>
      <c r="Q271" s="378"/>
      <c r="R271" s="337">
        <v>2</v>
      </c>
      <c r="S271" s="379">
        <f>R271/$R$273</f>
        <v>2.5316455696202531E-2</v>
      </c>
      <c r="T271" s="338">
        <v>303</v>
      </c>
      <c r="U271" s="379">
        <f t="shared" si="8"/>
        <v>2.8649773071104386E-2</v>
      </c>
      <c r="V271" s="286"/>
      <c r="W271" s="289"/>
      <c r="X271" s="5"/>
    </row>
    <row r="272" spans="1:25" ht="15.75" x14ac:dyDescent="0.25">
      <c r="A272" s="285"/>
      <c r="B272" s="337"/>
      <c r="C272" s="378"/>
      <c r="D272" s="378"/>
      <c r="E272" s="378"/>
      <c r="F272" s="286"/>
      <c r="G272" s="379"/>
      <c r="H272" s="378"/>
      <c r="I272" s="378"/>
      <c r="J272" s="378"/>
      <c r="K272" s="378"/>
      <c r="L272" s="378"/>
      <c r="M272" s="378"/>
      <c r="N272" s="378"/>
      <c r="O272" s="378"/>
      <c r="P272" s="378"/>
      <c r="Q272" s="378"/>
      <c r="R272" s="337"/>
      <c r="S272" s="379"/>
      <c r="T272" s="338"/>
      <c r="U272" s="379"/>
      <c r="V272" s="286"/>
      <c r="W272" s="289"/>
      <c r="X272" s="5"/>
    </row>
    <row r="273" spans="1:24" ht="15.75" x14ac:dyDescent="0.25">
      <c r="A273" s="285"/>
      <c r="B273" s="286"/>
      <c r="C273" s="286"/>
      <c r="D273" s="286"/>
      <c r="E273" s="286"/>
      <c r="F273" s="286"/>
      <c r="G273" s="286"/>
      <c r="H273" s="381"/>
      <c r="I273" s="381"/>
      <c r="J273" s="381"/>
      <c r="K273" s="381"/>
      <c r="L273" s="381"/>
      <c r="M273" s="381"/>
      <c r="N273" s="381"/>
      <c r="O273" s="381"/>
      <c r="P273" s="381"/>
      <c r="Q273" s="381"/>
      <c r="R273" s="337">
        <f>SUM(R264:R272)</f>
        <v>79</v>
      </c>
      <c r="S273" s="379">
        <f>SUM(S264:S272)</f>
        <v>1</v>
      </c>
      <c r="T273" s="338">
        <f>SUM(T264:T272)</f>
        <v>10576</v>
      </c>
      <c r="U273" s="379">
        <f>SUM(U264:U272)</f>
        <v>1</v>
      </c>
      <c r="V273" s="286"/>
      <c r="W273" s="289"/>
      <c r="X273" s="5"/>
    </row>
    <row r="274" spans="1:24" ht="15.75" x14ac:dyDescent="0.25">
      <c r="A274" s="181"/>
      <c r="B274" s="212"/>
      <c r="C274" s="212"/>
      <c r="D274" s="212"/>
      <c r="E274" s="212"/>
      <c r="F274" s="212"/>
      <c r="G274" s="212"/>
      <c r="H274" s="375"/>
      <c r="I274" s="375"/>
      <c r="J274" s="375"/>
      <c r="K274" s="375"/>
      <c r="L274" s="375"/>
      <c r="M274" s="375"/>
      <c r="N274" s="375"/>
      <c r="O274" s="375"/>
      <c r="P274" s="375"/>
      <c r="Q274" s="375"/>
      <c r="R274" s="335"/>
      <c r="S274" s="376"/>
      <c r="T274" s="377"/>
      <c r="U274" s="376"/>
      <c r="V274" s="212"/>
      <c r="W274" s="212"/>
      <c r="X274" s="5"/>
    </row>
    <row r="275" spans="1:24" ht="15.75" x14ac:dyDescent="0.25">
      <c r="A275" s="244"/>
      <c r="B275" s="399" t="s">
        <v>163</v>
      </c>
      <c r="C275" s="245"/>
      <c r="D275" s="245"/>
      <c r="E275" s="245"/>
      <c r="F275" s="245"/>
      <c r="G275" s="245"/>
      <c r="H275" s="247"/>
      <c r="I275" s="247"/>
      <c r="J275" s="247"/>
      <c r="K275" s="247"/>
      <c r="L275" s="247"/>
      <c r="M275" s="247"/>
      <c r="N275" s="247"/>
      <c r="O275" s="247"/>
      <c r="P275" s="247"/>
      <c r="Q275" s="247"/>
      <c r="R275" s="407" t="s">
        <v>102</v>
      </c>
      <c r="S275" s="400" t="s">
        <v>103</v>
      </c>
      <c r="T275" s="407" t="s">
        <v>109</v>
      </c>
      <c r="U275" s="400" t="s">
        <v>103</v>
      </c>
      <c r="V275" s="245"/>
      <c r="W275" s="246"/>
      <c r="X275" s="5"/>
    </row>
    <row r="276" spans="1:24" ht="15.75" x14ac:dyDescent="0.25">
      <c r="A276" s="248"/>
      <c r="B276" s="249" t="s">
        <v>88</v>
      </c>
      <c r="C276" s="250"/>
      <c r="D276" s="250"/>
      <c r="E276" s="250"/>
      <c r="F276" s="250"/>
      <c r="G276" s="250"/>
      <c r="H276" s="251"/>
      <c r="I276" s="251"/>
      <c r="J276" s="251"/>
      <c r="K276" s="251"/>
      <c r="L276" s="251"/>
      <c r="M276" s="251"/>
      <c r="N276" s="251"/>
      <c r="O276" s="251"/>
      <c r="P276" s="251"/>
      <c r="Q276" s="251"/>
      <c r="R276" s="249">
        <v>0</v>
      </c>
      <c r="S276" s="252">
        <v>0</v>
      </c>
      <c r="T276" s="253">
        <v>0</v>
      </c>
      <c r="U276" s="252">
        <v>0</v>
      </c>
      <c r="V276" s="250"/>
      <c r="W276" s="250"/>
      <c r="X276" s="5"/>
    </row>
    <row r="277" spans="1:24" ht="15.75" x14ac:dyDescent="0.25">
      <c r="A277" s="295"/>
      <c r="B277" s="337" t="s">
        <v>89</v>
      </c>
      <c r="C277" s="286"/>
      <c r="D277" s="286"/>
      <c r="E277" s="286"/>
      <c r="F277" s="286"/>
      <c r="G277" s="286"/>
      <c r="H277" s="381"/>
      <c r="I277" s="381"/>
      <c r="J277" s="381"/>
      <c r="K277" s="381"/>
      <c r="L277" s="381"/>
      <c r="M277" s="381"/>
      <c r="N277" s="381"/>
      <c r="O277" s="381"/>
      <c r="P277" s="381"/>
      <c r="Q277" s="381"/>
      <c r="R277" s="337">
        <v>0</v>
      </c>
      <c r="S277" s="379">
        <v>0</v>
      </c>
      <c r="T277" s="338">
        <v>0</v>
      </c>
      <c r="U277" s="379">
        <v>0</v>
      </c>
      <c r="V277" s="286"/>
      <c r="W277" s="289"/>
      <c r="X277" s="5"/>
    </row>
    <row r="278" spans="1:24" ht="15.75" x14ac:dyDescent="0.25">
      <c r="A278" s="295"/>
      <c r="B278" s="337" t="s">
        <v>90</v>
      </c>
      <c r="C278" s="286"/>
      <c r="D278" s="286"/>
      <c r="E278" s="286"/>
      <c r="F278" s="286"/>
      <c r="G278" s="286"/>
      <c r="H278" s="381"/>
      <c r="I278" s="381"/>
      <c r="J278" s="381"/>
      <c r="K278" s="381"/>
      <c r="L278" s="381"/>
      <c r="M278" s="381"/>
      <c r="N278" s="381"/>
      <c r="O278" s="381"/>
      <c r="P278" s="381"/>
      <c r="Q278" s="381"/>
      <c r="R278" s="337">
        <v>0</v>
      </c>
      <c r="S278" s="379">
        <v>0</v>
      </c>
      <c r="T278" s="338">
        <v>0</v>
      </c>
      <c r="U278" s="379">
        <v>0</v>
      </c>
      <c r="V278" s="286"/>
      <c r="W278" s="289"/>
      <c r="X278" s="5"/>
    </row>
    <row r="279" spans="1:24" ht="15.75" x14ac:dyDescent="0.25">
      <c r="A279" s="295"/>
      <c r="B279" s="337" t="s">
        <v>156</v>
      </c>
      <c r="C279" s="286"/>
      <c r="D279" s="286"/>
      <c r="E279" s="286"/>
      <c r="F279" s="286"/>
      <c r="G279" s="286"/>
      <c r="H279" s="381"/>
      <c r="I279" s="381"/>
      <c r="J279" s="381"/>
      <c r="K279" s="381"/>
      <c r="L279" s="381"/>
      <c r="M279" s="381"/>
      <c r="N279" s="381"/>
      <c r="O279" s="381"/>
      <c r="P279" s="381"/>
      <c r="Q279" s="381"/>
      <c r="R279" s="337">
        <v>0</v>
      </c>
      <c r="S279" s="379">
        <v>0</v>
      </c>
      <c r="T279" s="338">
        <v>0</v>
      </c>
      <c r="U279" s="379">
        <v>0</v>
      </c>
      <c r="V279" s="286"/>
      <c r="W279" s="289"/>
      <c r="X279" s="5"/>
    </row>
    <row r="280" spans="1:24" ht="15.75" x14ac:dyDescent="0.25">
      <c r="A280" s="295"/>
      <c r="B280" s="337" t="s">
        <v>157</v>
      </c>
      <c r="C280" s="286"/>
      <c r="D280" s="286"/>
      <c r="E280" s="286"/>
      <c r="F280" s="286"/>
      <c r="G280" s="286"/>
      <c r="H280" s="381"/>
      <c r="I280" s="381"/>
      <c r="J280" s="381"/>
      <c r="K280" s="381"/>
      <c r="L280" s="381"/>
      <c r="M280" s="381"/>
      <c r="N280" s="381"/>
      <c r="O280" s="381"/>
      <c r="P280" s="381"/>
      <c r="Q280" s="381"/>
      <c r="R280" s="337">
        <v>0</v>
      </c>
      <c r="S280" s="379">
        <v>0</v>
      </c>
      <c r="T280" s="338">
        <v>0</v>
      </c>
      <c r="U280" s="379">
        <v>0</v>
      </c>
      <c r="V280" s="286"/>
      <c r="W280" s="289"/>
      <c r="X280" s="5"/>
    </row>
    <row r="281" spans="1:24" ht="15.75" x14ac:dyDescent="0.25">
      <c r="A281" s="295"/>
      <c r="B281" s="337" t="s">
        <v>158</v>
      </c>
      <c r="C281" s="286"/>
      <c r="D281" s="286"/>
      <c r="E281" s="286"/>
      <c r="F281" s="286"/>
      <c r="G281" s="286"/>
      <c r="H281" s="381"/>
      <c r="I281" s="381"/>
      <c r="J281" s="381"/>
      <c r="K281" s="381"/>
      <c r="L281" s="381"/>
      <c r="M281" s="381"/>
      <c r="N281" s="381"/>
      <c r="O281" s="381"/>
      <c r="P281" s="381"/>
      <c r="Q281" s="381"/>
      <c r="R281" s="337">
        <v>0</v>
      </c>
      <c r="S281" s="379">
        <v>0</v>
      </c>
      <c r="T281" s="338">
        <v>0</v>
      </c>
      <c r="U281" s="379">
        <v>0</v>
      </c>
      <c r="V281" s="286"/>
      <c r="W281" s="289"/>
      <c r="X281" s="5"/>
    </row>
    <row r="282" spans="1:24" ht="15.75" x14ac:dyDescent="0.25">
      <c r="A282" s="295"/>
      <c r="B282" s="337" t="s">
        <v>159</v>
      </c>
      <c r="C282" s="286"/>
      <c r="D282" s="286"/>
      <c r="E282" s="286"/>
      <c r="F282" s="286"/>
      <c r="G282" s="286"/>
      <c r="H282" s="381"/>
      <c r="I282" s="381"/>
      <c r="J282" s="381"/>
      <c r="K282" s="381"/>
      <c r="L282" s="381"/>
      <c r="M282" s="381"/>
      <c r="N282" s="381"/>
      <c r="O282" s="381"/>
      <c r="P282" s="381"/>
      <c r="Q282" s="381"/>
      <c r="R282" s="337">
        <v>0</v>
      </c>
      <c r="S282" s="379">
        <v>0</v>
      </c>
      <c r="T282" s="338">
        <v>0</v>
      </c>
      <c r="U282" s="379">
        <v>0</v>
      </c>
      <c r="V282" s="286"/>
      <c r="W282" s="289"/>
      <c r="X282" s="5"/>
    </row>
    <row r="283" spans="1:24" ht="15.75" x14ac:dyDescent="0.25">
      <c r="A283" s="295"/>
      <c r="B283" s="337" t="s">
        <v>160</v>
      </c>
      <c r="C283" s="286"/>
      <c r="D283" s="286"/>
      <c r="E283" s="286"/>
      <c r="F283" s="286"/>
      <c r="G283" s="286"/>
      <c r="H283" s="381"/>
      <c r="I283" s="381"/>
      <c r="J283" s="381"/>
      <c r="K283" s="381"/>
      <c r="L283" s="381"/>
      <c r="M283" s="381"/>
      <c r="N283" s="381"/>
      <c r="O283" s="381"/>
      <c r="P283" s="381"/>
      <c r="Q283" s="381"/>
      <c r="R283" s="337">
        <v>0</v>
      </c>
      <c r="S283" s="379">
        <v>0</v>
      </c>
      <c r="T283" s="338">
        <v>0</v>
      </c>
      <c r="U283" s="379">
        <v>0</v>
      </c>
      <c r="V283" s="286"/>
      <c r="W283" s="289"/>
      <c r="X283" s="5"/>
    </row>
    <row r="284" spans="1:24" ht="15.75" x14ac:dyDescent="0.25">
      <c r="A284" s="295"/>
      <c r="B284" s="337"/>
      <c r="C284" s="286"/>
      <c r="D284" s="286"/>
      <c r="E284" s="286"/>
      <c r="F284" s="286"/>
      <c r="G284" s="286"/>
      <c r="H284" s="381"/>
      <c r="I284" s="381"/>
      <c r="J284" s="381"/>
      <c r="K284" s="381"/>
      <c r="L284" s="381"/>
      <c r="M284" s="381"/>
      <c r="N284" s="381"/>
      <c r="O284" s="381"/>
      <c r="P284" s="381"/>
      <c r="Q284" s="381"/>
      <c r="R284" s="337"/>
      <c r="S284" s="379"/>
      <c r="T284" s="338"/>
      <c r="U284" s="379"/>
      <c r="V284" s="286"/>
      <c r="W284" s="289"/>
      <c r="X284" s="5"/>
    </row>
    <row r="285" spans="1:24" ht="15.75" x14ac:dyDescent="0.25">
      <c r="A285" s="295"/>
      <c r="B285" s="286" t="s">
        <v>114</v>
      </c>
      <c r="C285" s="286"/>
      <c r="D285" s="286"/>
      <c r="E285" s="286"/>
      <c r="F285" s="286"/>
      <c r="G285" s="286"/>
      <c r="H285" s="381"/>
      <c r="I285" s="381"/>
      <c r="J285" s="381"/>
      <c r="K285" s="381"/>
      <c r="L285" s="381"/>
      <c r="M285" s="381"/>
      <c r="N285" s="381"/>
      <c r="O285" s="381"/>
      <c r="P285" s="381"/>
      <c r="Q285" s="381"/>
      <c r="R285" s="337">
        <f>SUM(R276:R283)</f>
        <v>0</v>
      </c>
      <c r="S285" s="379">
        <f>SUM(S276:S283)</f>
        <v>0</v>
      </c>
      <c r="T285" s="338">
        <f>SUM(T276:T283)</f>
        <v>0</v>
      </c>
      <c r="U285" s="379">
        <f>SUM(U276:U283)</f>
        <v>0</v>
      </c>
      <c r="V285" s="286"/>
      <c r="W285" s="289"/>
      <c r="X285" s="5"/>
    </row>
    <row r="286" spans="1:24" ht="15.75" x14ac:dyDescent="0.25">
      <c r="A286" s="295"/>
      <c r="B286" s="286"/>
      <c r="C286" s="286"/>
      <c r="D286" s="286"/>
      <c r="E286" s="286"/>
      <c r="F286" s="286"/>
      <c r="G286" s="286"/>
      <c r="H286" s="381"/>
      <c r="I286" s="381"/>
      <c r="J286" s="381"/>
      <c r="K286" s="381"/>
      <c r="L286" s="381"/>
      <c r="M286" s="381"/>
      <c r="N286" s="381"/>
      <c r="O286" s="381"/>
      <c r="P286" s="381"/>
      <c r="Q286" s="381"/>
      <c r="R286" s="337"/>
      <c r="S286" s="379"/>
      <c r="T286" s="338"/>
      <c r="U286" s="379"/>
      <c r="V286" s="286"/>
      <c r="W286" s="289"/>
      <c r="X286" s="5"/>
    </row>
    <row r="287" spans="1:24" ht="15.75" x14ac:dyDescent="0.25">
      <c r="A287" s="295"/>
      <c r="B287" s="297" t="s">
        <v>164</v>
      </c>
      <c r="C287" s="286"/>
      <c r="D287" s="286"/>
      <c r="E287" s="286"/>
      <c r="F287" s="286"/>
      <c r="G287" s="286"/>
      <c r="H287" s="381"/>
      <c r="I287" s="381"/>
      <c r="J287" s="381"/>
      <c r="K287" s="381"/>
      <c r="L287" s="381"/>
      <c r="M287" s="381"/>
      <c r="N287" s="381"/>
      <c r="O287" s="381"/>
      <c r="P287" s="381"/>
      <c r="Q287" s="381"/>
      <c r="R287" s="384">
        <f>R285+R273+R261</f>
        <v>4869</v>
      </c>
      <c r="S287" s="379"/>
      <c r="T287" s="410">
        <f>+T285+T273+T261</f>
        <v>671860</v>
      </c>
      <c r="U287" s="379"/>
      <c r="V287" s="286"/>
      <c r="W287" s="289"/>
      <c r="X287" s="5"/>
    </row>
    <row r="288" spans="1:24" ht="15.75" x14ac:dyDescent="0.25">
      <c r="A288" s="254"/>
      <c r="B288" s="346"/>
      <c r="C288" s="346"/>
      <c r="D288" s="346"/>
      <c r="E288" s="346"/>
      <c r="F288" s="346"/>
      <c r="G288" s="346"/>
      <c r="H288" s="382"/>
      <c r="I288" s="382"/>
      <c r="J288" s="382"/>
      <c r="K288" s="382"/>
      <c r="L288" s="382"/>
      <c r="M288" s="382"/>
      <c r="N288" s="382"/>
      <c r="O288" s="382"/>
      <c r="P288" s="382"/>
      <c r="Q288" s="382"/>
      <c r="R288" s="382"/>
      <c r="S288" s="382"/>
      <c r="T288" s="383"/>
      <c r="U288" s="382"/>
      <c r="V288" s="346"/>
      <c r="W288" s="346"/>
      <c r="X288" s="5"/>
    </row>
    <row r="289" spans="1:24" ht="15.75" x14ac:dyDescent="0.25">
      <c r="A289" s="254"/>
      <c r="B289" s="255"/>
      <c r="C289" s="255"/>
      <c r="D289" s="255"/>
      <c r="E289" s="255"/>
      <c r="F289" s="255"/>
      <c r="G289" s="255"/>
      <c r="H289" s="256"/>
      <c r="I289" s="256"/>
      <c r="J289" s="256"/>
      <c r="K289" s="256"/>
      <c r="L289" s="256"/>
      <c r="M289" s="256"/>
      <c r="N289" s="256"/>
      <c r="O289" s="256"/>
      <c r="P289" s="256"/>
      <c r="Q289" s="256"/>
      <c r="R289" s="256"/>
      <c r="S289" s="256"/>
      <c r="T289" s="257"/>
      <c r="U289" s="256"/>
      <c r="V289" s="255"/>
      <c r="W289" s="255"/>
      <c r="X289" s="5"/>
    </row>
    <row r="290" spans="1:24" ht="15.75" x14ac:dyDescent="0.25">
      <c r="A290" s="258"/>
      <c r="B290" s="388" t="s">
        <v>91</v>
      </c>
      <c r="C290" s="255"/>
      <c r="D290" s="255"/>
      <c r="E290" s="255"/>
      <c r="F290" s="391" t="s">
        <v>97</v>
      </c>
      <c r="G290" s="255"/>
      <c r="H290" s="388" t="s">
        <v>99</v>
      </c>
      <c r="I290" s="388"/>
      <c r="J290" s="388"/>
      <c r="K290" s="261"/>
      <c r="L290" s="261"/>
      <c r="M290" s="261"/>
      <c r="N290" s="261"/>
      <c r="O290" s="261"/>
      <c r="P290" s="261"/>
      <c r="Q290" s="261"/>
      <c r="R290" s="261"/>
      <c r="S290" s="261"/>
      <c r="T290" s="261"/>
      <c r="U290" s="261"/>
      <c r="V290" s="261"/>
      <c r="W290" s="261"/>
      <c r="X290" s="5"/>
    </row>
    <row r="291" spans="1:24" ht="15.75" x14ac:dyDescent="0.25">
      <c r="A291" s="258"/>
      <c r="B291" s="261"/>
      <c r="C291" s="255"/>
      <c r="D291" s="255"/>
      <c r="E291" s="255"/>
      <c r="F291" s="255"/>
      <c r="G291" s="255"/>
      <c r="H291" s="255"/>
      <c r="I291" s="255"/>
      <c r="J291" s="255"/>
      <c r="K291" s="261"/>
      <c r="L291" s="261"/>
      <c r="M291" s="261"/>
      <c r="N291" s="261"/>
      <c r="O291" s="261"/>
      <c r="P291" s="261"/>
      <c r="Q291" s="261"/>
      <c r="R291" s="261"/>
      <c r="S291" s="261"/>
      <c r="T291" s="261"/>
      <c r="U291" s="261"/>
      <c r="V291" s="261"/>
      <c r="W291" s="261"/>
      <c r="X291" s="5"/>
    </row>
    <row r="292" spans="1:24" ht="15.75" x14ac:dyDescent="0.25">
      <c r="A292" s="258"/>
      <c r="B292" s="388" t="s">
        <v>319</v>
      </c>
      <c r="C292" s="388"/>
      <c r="D292" s="388"/>
      <c r="E292" s="388"/>
      <c r="F292" s="411" t="s">
        <v>266</v>
      </c>
      <c r="G292" s="388"/>
      <c r="H292" s="388" t="s">
        <v>267</v>
      </c>
      <c r="I292" s="388"/>
      <c r="J292" s="388"/>
      <c r="K292" s="261"/>
      <c r="L292" s="261"/>
      <c r="M292" s="261"/>
      <c r="N292" s="261"/>
      <c r="O292" s="261"/>
      <c r="P292" s="261"/>
      <c r="Q292" s="261"/>
      <c r="R292" s="261"/>
      <c r="S292" s="261"/>
      <c r="T292" s="261"/>
      <c r="U292" s="261"/>
      <c r="V292" s="261"/>
      <c r="W292" s="261"/>
      <c r="X292" s="5"/>
    </row>
    <row r="293" spans="1:24" ht="15.75" x14ac:dyDescent="0.25">
      <c r="A293" s="258"/>
      <c r="B293" s="388" t="s">
        <v>320</v>
      </c>
      <c r="C293" s="388"/>
      <c r="D293" s="388"/>
      <c r="E293" s="388"/>
      <c r="F293" s="411" t="s">
        <v>147</v>
      </c>
      <c r="G293" s="388"/>
      <c r="H293" s="388" t="s">
        <v>153</v>
      </c>
      <c r="I293" s="388"/>
      <c r="J293" s="388"/>
      <c r="K293" s="261"/>
      <c r="L293" s="261"/>
      <c r="M293" s="261"/>
      <c r="N293" s="261"/>
      <c r="O293" s="261"/>
      <c r="P293" s="261"/>
      <c r="Q293" s="261"/>
      <c r="R293" s="261"/>
      <c r="S293" s="261"/>
      <c r="T293" s="261"/>
      <c r="U293" s="261"/>
      <c r="V293" s="261"/>
      <c r="W293" s="261"/>
      <c r="X293" s="5"/>
    </row>
    <row r="294" spans="1:24" ht="15.75" x14ac:dyDescent="0.25">
      <c r="A294" s="258"/>
      <c r="B294" s="388"/>
      <c r="C294" s="388"/>
      <c r="D294" s="388"/>
      <c r="E294" s="388"/>
      <c r="F294" s="388"/>
      <c r="G294" s="263"/>
      <c r="H294" s="261"/>
      <c r="I294" s="261"/>
      <c r="J294" s="261"/>
      <c r="K294" s="261"/>
      <c r="L294" s="261"/>
      <c r="M294" s="261"/>
      <c r="N294" s="261"/>
      <c r="O294" s="261"/>
      <c r="P294" s="261"/>
      <c r="Q294" s="261"/>
      <c r="R294" s="261"/>
      <c r="S294" s="261"/>
      <c r="T294" s="261"/>
      <c r="U294" s="261"/>
      <c r="V294" s="261"/>
      <c r="W294" s="261"/>
      <c r="X294" s="5"/>
    </row>
    <row r="295" spans="1:24" ht="15.75" x14ac:dyDescent="0.25">
      <c r="A295" s="258"/>
      <c r="B295" s="388"/>
      <c r="C295" s="388"/>
      <c r="D295" s="388"/>
      <c r="E295" s="388"/>
      <c r="F295" s="388"/>
      <c r="G295" s="263"/>
      <c r="H295" s="261"/>
      <c r="I295" s="261"/>
      <c r="J295" s="261"/>
      <c r="K295" s="261"/>
      <c r="L295" s="261"/>
      <c r="M295" s="261"/>
      <c r="N295" s="261"/>
      <c r="O295" s="261"/>
      <c r="P295" s="261"/>
      <c r="Q295" s="261"/>
      <c r="R295" s="261"/>
      <c r="S295" s="261"/>
      <c r="T295" s="261"/>
      <c r="U295" s="261"/>
      <c r="V295" s="261"/>
      <c r="W295" s="261"/>
      <c r="X295" s="5"/>
    </row>
    <row r="296" spans="1:24" ht="19.5" thickBot="1" x14ac:dyDescent="0.35">
      <c r="A296" s="258"/>
      <c r="B296" s="264" t="str">
        <f>B201</f>
        <v>PM15 INVESTOR REPORT QUARTER ENDING FEBRUARY 2017</v>
      </c>
      <c r="C296" s="388"/>
      <c r="D296" s="388"/>
      <c r="E296" s="388"/>
      <c r="F296" s="388"/>
      <c r="G296" s="263"/>
      <c r="H296" s="261"/>
      <c r="I296" s="261"/>
      <c r="J296" s="261"/>
      <c r="K296" s="261"/>
      <c r="L296" s="261"/>
      <c r="M296" s="261"/>
      <c r="N296" s="261"/>
      <c r="O296" s="261"/>
      <c r="P296" s="261"/>
      <c r="Q296" s="261"/>
      <c r="R296" s="261"/>
      <c r="S296" s="261"/>
      <c r="T296" s="261"/>
      <c r="U296" s="261"/>
      <c r="V296" s="261"/>
      <c r="W296" s="261"/>
      <c r="X296" s="5"/>
    </row>
    <row r="297" spans="1:24" x14ac:dyDescent="0.2">
      <c r="A297" s="100"/>
      <c r="B297" s="100"/>
      <c r="C297" s="100"/>
      <c r="D297" s="100"/>
      <c r="E297" s="100"/>
      <c r="F297" s="100"/>
      <c r="G297" s="100"/>
      <c r="H297" s="100"/>
      <c r="I297" s="100"/>
      <c r="J297" s="100"/>
      <c r="K297" s="100"/>
      <c r="L297" s="100"/>
      <c r="M297" s="100"/>
      <c r="N297" s="100"/>
      <c r="O297" s="100"/>
      <c r="P297" s="100"/>
      <c r="Q297" s="100"/>
      <c r="R297" s="100"/>
      <c r="S297" s="100"/>
      <c r="T297" s="100"/>
      <c r="U297" s="100"/>
      <c r="V297" s="100"/>
      <c r="W297" s="100"/>
    </row>
  </sheetData>
  <hyperlinks>
    <hyperlink ref="P237" r:id="rId1" xr:uid="{00000000-0004-0000-2500-000000000000}"/>
    <hyperlink ref="I9" r:id="rId2" xr:uid="{00000000-0004-0000-25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5" max="14" man="1"/>
    <brk id="201" max="14" man="1"/>
  </rowBreaks>
  <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4"/>
  </sheetPr>
  <dimension ref="A1:IV297"/>
  <sheetViews>
    <sheetView showGridLines="0" showOutlineSymbols="0" zoomScale="70" zoomScaleNormal="70" workbookViewId="0"/>
  </sheetViews>
  <sheetFormatPr defaultColWidth="9.6640625" defaultRowHeight="15" x14ac:dyDescent="0.2"/>
  <cols>
    <col min="1" max="1" width="4" style="1" customWidth="1"/>
    <col min="2" max="2" width="71.21875" style="1" customWidth="1"/>
    <col min="3" max="3" width="2.21875" style="1" customWidth="1"/>
    <col min="4" max="4" width="19.33203125" style="1" customWidth="1"/>
    <col min="5" max="5" width="2.21875" style="1" customWidth="1"/>
    <col min="6" max="6" width="25.109375" style="1" customWidth="1"/>
    <col min="7" max="7" width="2.21875" style="1" customWidth="1"/>
    <col min="8" max="8" width="16.21875" style="1" customWidth="1"/>
    <col min="9" max="9" width="2.88671875" style="1" customWidth="1"/>
    <col min="10" max="10" width="16.21875" style="1" customWidth="1"/>
    <col min="11" max="11" width="2.21875" style="1" customWidth="1"/>
    <col min="12" max="12" width="17.88671875" style="1" customWidth="1"/>
    <col min="13" max="13" width="2.33203125" style="1" customWidth="1"/>
    <col min="14" max="14" width="14.88671875" style="1" customWidth="1"/>
    <col min="15" max="15" width="2.33203125" style="1" customWidth="1"/>
    <col min="16" max="16" width="15.5546875" style="1" customWidth="1"/>
    <col min="17" max="17" width="2.21875" style="1" customWidth="1"/>
    <col min="18" max="18" width="15.5546875" style="1" customWidth="1"/>
    <col min="19" max="20" width="12.6640625" style="1" customWidth="1"/>
    <col min="21" max="21" width="7.77734375" style="1" customWidth="1"/>
    <col min="22" max="22" width="14.6640625" style="1" customWidth="1"/>
    <col min="23" max="23" width="11.77734375" style="1" customWidth="1"/>
    <col min="24" max="16384" width="9.6640625" style="1"/>
  </cols>
  <sheetData>
    <row r="1" spans="1:24" ht="20.25" x14ac:dyDescent="0.3">
      <c r="A1" s="179"/>
      <c r="B1" s="274" t="s">
        <v>237</v>
      </c>
      <c r="C1" s="180"/>
      <c r="D1" s="180"/>
      <c r="E1" s="180"/>
      <c r="F1" s="180"/>
      <c r="G1" s="180"/>
      <c r="H1" s="180"/>
      <c r="I1" s="180"/>
      <c r="J1" s="180"/>
      <c r="K1" s="180"/>
      <c r="L1" s="180"/>
      <c r="M1" s="180"/>
      <c r="N1" s="180"/>
      <c r="O1" s="180"/>
      <c r="P1" s="180"/>
      <c r="Q1" s="180"/>
      <c r="R1" s="180"/>
      <c r="S1" s="180"/>
      <c r="T1" s="180"/>
      <c r="U1" s="180"/>
      <c r="V1" s="180"/>
      <c r="W1" s="180"/>
      <c r="X1" s="5"/>
    </row>
    <row r="2" spans="1:24" ht="15.75" x14ac:dyDescent="0.25">
      <c r="A2" s="181"/>
      <c r="B2" s="182"/>
      <c r="C2" s="183"/>
      <c r="D2" s="183"/>
      <c r="E2" s="183"/>
      <c r="F2" s="183"/>
      <c r="G2" s="183"/>
      <c r="H2" s="183"/>
      <c r="I2" s="183"/>
      <c r="J2" s="183"/>
      <c r="K2" s="183"/>
      <c r="L2" s="183"/>
      <c r="M2" s="183"/>
      <c r="N2" s="183"/>
      <c r="O2" s="183"/>
      <c r="P2" s="183"/>
      <c r="Q2" s="183"/>
      <c r="R2" s="183"/>
      <c r="S2" s="183"/>
      <c r="T2" s="183"/>
      <c r="U2" s="183"/>
      <c r="V2" s="183"/>
      <c r="W2" s="183"/>
      <c r="X2" s="5"/>
    </row>
    <row r="3" spans="1:24" ht="15.75" x14ac:dyDescent="0.25">
      <c r="A3" s="184"/>
      <c r="B3" s="185" t="s">
        <v>238</v>
      </c>
      <c r="C3" s="183"/>
      <c r="D3" s="183"/>
      <c r="E3" s="183"/>
      <c r="F3" s="183"/>
      <c r="G3" s="183"/>
      <c r="H3" s="183"/>
      <c r="I3" s="183"/>
      <c r="J3" s="183"/>
      <c r="K3" s="183"/>
      <c r="L3" s="183"/>
      <c r="M3" s="183"/>
      <c r="N3" s="183"/>
      <c r="O3" s="183"/>
      <c r="P3" s="183"/>
      <c r="Q3" s="183"/>
      <c r="R3" s="183"/>
      <c r="S3" s="183"/>
      <c r="T3" s="183"/>
      <c r="U3" s="183"/>
      <c r="V3" s="183"/>
      <c r="W3" s="183"/>
      <c r="X3" s="5"/>
    </row>
    <row r="4" spans="1:24" ht="15.75" x14ac:dyDescent="0.25">
      <c r="A4" s="181"/>
      <c r="B4" s="182"/>
      <c r="C4" s="183"/>
      <c r="D4" s="183"/>
      <c r="E4" s="183"/>
      <c r="F4" s="183"/>
      <c r="G4" s="183"/>
      <c r="H4" s="183"/>
      <c r="I4" s="183"/>
      <c r="J4" s="183"/>
      <c r="K4" s="183"/>
      <c r="L4" s="183"/>
      <c r="M4" s="183"/>
      <c r="N4" s="183"/>
      <c r="O4" s="183"/>
      <c r="P4" s="183"/>
      <c r="Q4" s="183"/>
      <c r="R4" s="183"/>
      <c r="S4" s="183"/>
      <c r="T4" s="183"/>
      <c r="U4" s="183"/>
      <c r="V4" s="183"/>
      <c r="W4" s="183"/>
      <c r="X4" s="5"/>
    </row>
    <row r="5" spans="1:24" ht="15.75" x14ac:dyDescent="0.25">
      <c r="A5" s="181"/>
      <c r="B5" s="275" t="s">
        <v>137</v>
      </c>
      <c r="C5" s="183"/>
      <c r="D5" s="183"/>
      <c r="E5" s="183"/>
      <c r="F5" s="183"/>
      <c r="G5" s="183"/>
      <c r="H5" s="183"/>
      <c r="I5" s="183"/>
      <c r="J5" s="183"/>
      <c r="K5" s="183"/>
      <c r="L5" s="183"/>
      <c r="M5" s="183"/>
      <c r="N5" s="183"/>
      <c r="O5" s="183"/>
      <c r="P5" s="183"/>
      <c r="Q5" s="183"/>
      <c r="R5" s="183"/>
      <c r="S5" s="183"/>
      <c r="T5" s="183"/>
      <c r="U5" s="183"/>
      <c r="V5" s="183"/>
      <c r="W5" s="183"/>
      <c r="X5" s="5"/>
    </row>
    <row r="6" spans="1:24" ht="15.75" x14ac:dyDescent="0.25">
      <c r="A6" s="181"/>
      <c r="B6" s="275" t="s">
        <v>139</v>
      </c>
      <c r="C6" s="183"/>
      <c r="D6" s="183"/>
      <c r="E6" s="183"/>
      <c r="F6" s="183"/>
      <c r="G6" s="183"/>
      <c r="H6" s="183"/>
      <c r="I6" s="183"/>
      <c r="J6" s="183"/>
      <c r="K6" s="183"/>
      <c r="L6" s="183"/>
      <c r="M6" s="183"/>
      <c r="N6" s="183"/>
      <c r="O6" s="183"/>
      <c r="P6" s="183"/>
      <c r="Q6" s="183"/>
      <c r="R6" s="183"/>
      <c r="S6" s="183"/>
      <c r="T6" s="183"/>
      <c r="U6" s="183"/>
      <c r="V6" s="183"/>
      <c r="W6" s="183"/>
      <c r="X6" s="5"/>
    </row>
    <row r="7" spans="1:24" ht="15.75" x14ac:dyDescent="0.25">
      <c r="A7" s="181"/>
      <c r="B7" s="275" t="s">
        <v>138</v>
      </c>
      <c r="C7" s="183"/>
      <c r="D7" s="183"/>
      <c r="E7" s="183"/>
      <c r="F7" s="183"/>
      <c r="G7" s="183"/>
      <c r="H7" s="183"/>
      <c r="I7" s="183"/>
      <c r="J7" s="183"/>
      <c r="K7" s="183"/>
      <c r="L7" s="183"/>
      <c r="M7" s="183"/>
      <c r="N7" s="183"/>
      <c r="O7" s="183"/>
      <c r="P7" s="183"/>
      <c r="Q7" s="183"/>
      <c r="R7" s="183"/>
      <c r="S7" s="183"/>
      <c r="T7" s="183"/>
      <c r="U7" s="183"/>
      <c r="V7" s="183"/>
      <c r="W7" s="183"/>
      <c r="X7" s="5"/>
    </row>
    <row r="8" spans="1:24" ht="15.75" x14ac:dyDescent="0.25">
      <c r="A8" s="181"/>
      <c r="B8" s="186"/>
      <c r="C8" s="183"/>
      <c r="D8" s="183"/>
      <c r="E8" s="183"/>
      <c r="F8" s="183"/>
      <c r="G8" s="183"/>
      <c r="H8" s="183"/>
      <c r="I8" s="183"/>
      <c r="J8" s="183"/>
      <c r="K8" s="183"/>
      <c r="L8" s="183"/>
      <c r="M8" s="183"/>
      <c r="N8" s="183"/>
      <c r="O8" s="183"/>
      <c r="P8" s="183"/>
      <c r="Q8" s="183"/>
      <c r="R8" s="183"/>
      <c r="S8" s="183"/>
      <c r="T8" s="183"/>
      <c r="U8" s="183"/>
      <c r="V8" s="183"/>
      <c r="W8" s="183"/>
      <c r="X8" s="5"/>
    </row>
    <row r="9" spans="1:24" ht="18.75" x14ac:dyDescent="0.3">
      <c r="A9" s="181"/>
      <c r="B9" s="187" t="s">
        <v>166</v>
      </c>
      <c r="C9" s="183"/>
      <c r="D9" s="183"/>
      <c r="E9" s="183"/>
      <c r="F9" s="183"/>
      <c r="G9" s="183"/>
      <c r="H9" s="183"/>
      <c r="I9" s="188" t="s">
        <v>167</v>
      </c>
      <c r="J9" s="183"/>
      <c r="K9" s="183"/>
      <c r="L9" s="188"/>
      <c r="M9" s="183"/>
      <c r="N9" s="188"/>
      <c r="O9" s="183"/>
      <c r="P9" s="183"/>
      <c r="Q9" s="183"/>
      <c r="R9" s="183"/>
      <c r="S9" s="183"/>
      <c r="T9" s="183"/>
      <c r="U9" s="183"/>
      <c r="V9" s="183"/>
      <c r="W9" s="183"/>
      <c r="X9" s="5"/>
    </row>
    <row r="10" spans="1:24" ht="15.75" x14ac:dyDescent="0.25">
      <c r="A10" s="181"/>
      <c r="B10" s="186"/>
      <c r="C10" s="189"/>
      <c r="D10" s="189"/>
      <c r="E10" s="189"/>
      <c r="F10" s="183"/>
      <c r="G10" s="183"/>
      <c r="H10" s="183"/>
      <c r="I10" s="183"/>
      <c r="J10" s="183"/>
      <c r="K10" s="183"/>
      <c r="L10" s="183"/>
      <c r="M10" s="183"/>
      <c r="N10" s="183"/>
      <c r="O10" s="183"/>
      <c r="P10" s="183"/>
      <c r="Q10" s="183"/>
      <c r="R10" s="183"/>
      <c r="S10" s="183"/>
      <c r="T10" s="183"/>
      <c r="U10" s="183"/>
      <c r="V10" s="183"/>
      <c r="W10" s="183"/>
      <c r="X10" s="5"/>
    </row>
    <row r="11" spans="1:24" ht="15.75" x14ac:dyDescent="0.25">
      <c r="A11" s="181"/>
      <c r="B11" s="388" t="s">
        <v>0</v>
      </c>
      <c r="C11" s="183"/>
      <c r="D11" s="183"/>
      <c r="E11" s="183"/>
      <c r="F11" s="183"/>
      <c r="G11" s="183"/>
      <c r="H11" s="183"/>
      <c r="I11" s="183"/>
      <c r="J11" s="183"/>
      <c r="K11" s="183"/>
      <c r="L11" s="183"/>
      <c r="M11" s="183"/>
      <c r="N11" s="183"/>
      <c r="O11" s="183"/>
      <c r="P11" s="183"/>
      <c r="Q11" s="183"/>
      <c r="R11" s="183"/>
      <c r="S11" s="183"/>
      <c r="T11" s="183"/>
      <c r="U11" s="183"/>
      <c r="V11" s="183"/>
      <c r="W11" s="183"/>
      <c r="X11" s="5"/>
    </row>
    <row r="12" spans="1:24" ht="16.5" thickBot="1" x14ac:dyDescent="0.3">
      <c r="A12" s="181"/>
      <c r="B12" s="189"/>
      <c r="C12" s="183"/>
      <c r="D12" s="183"/>
      <c r="E12" s="183"/>
      <c r="F12" s="183"/>
      <c r="G12" s="183"/>
      <c r="H12" s="183"/>
      <c r="I12" s="183"/>
      <c r="J12" s="183"/>
      <c r="K12" s="183"/>
      <c r="L12" s="183"/>
      <c r="M12" s="183"/>
      <c r="N12" s="183"/>
      <c r="O12" s="183"/>
      <c r="P12" s="183"/>
      <c r="Q12" s="183"/>
      <c r="R12" s="183"/>
      <c r="S12" s="183"/>
      <c r="T12" s="183"/>
      <c r="U12" s="183"/>
      <c r="V12" s="183"/>
      <c r="W12" s="183"/>
      <c r="X12" s="5"/>
    </row>
    <row r="13" spans="1:24" ht="15.75" x14ac:dyDescent="0.25">
      <c r="A13" s="179"/>
      <c r="B13" s="180"/>
      <c r="C13" s="180"/>
      <c r="D13" s="180"/>
      <c r="E13" s="180"/>
      <c r="F13" s="180"/>
      <c r="G13" s="180"/>
      <c r="H13" s="180"/>
      <c r="I13" s="180"/>
      <c r="J13" s="180"/>
      <c r="K13" s="180"/>
      <c r="L13" s="180"/>
      <c r="M13" s="180"/>
      <c r="N13" s="180"/>
      <c r="O13" s="180"/>
      <c r="P13" s="180"/>
      <c r="Q13" s="180"/>
      <c r="R13" s="180"/>
      <c r="S13" s="180"/>
      <c r="T13" s="180"/>
      <c r="U13" s="180"/>
      <c r="V13" s="180"/>
      <c r="W13" s="180"/>
      <c r="X13" s="5"/>
    </row>
    <row r="14" spans="1:24" ht="15.75" x14ac:dyDescent="0.25">
      <c r="A14" s="181"/>
      <c r="B14" s="388" t="s">
        <v>1</v>
      </c>
      <c r="C14" s="255"/>
      <c r="D14" s="255"/>
      <c r="E14" s="255"/>
      <c r="F14" s="255"/>
      <c r="G14" s="255"/>
      <c r="H14" s="255"/>
      <c r="I14" s="255"/>
      <c r="J14" s="255"/>
      <c r="K14" s="255"/>
      <c r="L14" s="255"/>
      <c r="M14" s="255"/>
      <c r="N14" s="255"/>
      <c r="O14" s="255"/>
      <c r="P14" s="255"/>
      <c r="Q14" s="255"/>
      <c r="R14" s="255"/>
      <c r="S14" s="255"/>
      <c r="T14" s="255"/>
      <c r="U14" s="255"/>
      <c r="V14" s="276" t="s">
        <v>239</v>
      </c>
      <c r="W14" s="255"/>
      <c r="X14" s="5"/>
    </row>
    <row r="15" spans="1:24" ht="15.75" x14ac:dyDescent="0.25">
      <c r="A15" s="181"/>
      <c r="B15" s="388" t="s">
        <v>2</v>
      </c>
      <c r="C15" s="255"/>
      <c r="D15" s="255"/>
      <c r="E15" s="255"/>
      <c r="F15" s="255"/>
      <c r="G15" s="255"/>
      <c r="H15" s="389"/>
      <c r="I15" s="389"/>
      <c r="J15" s="389"/>
      <c r="K15" s="389"/>
      <c r="L15" s="389"/>
      <c r="M15" s="389"/>
      <c r="N15" s="389"/>
      <c r="O15" s="389"/>
      <c r="P15" s="389"/>
      <c r="Q15" s="389"/>
      <c r="R15" s="389" t="s">
        <v>104</v>
      </c>
      <c r="S15" s="390">
        <v>0.47189999999999999</v>
      </c>
      <c r="T15" s="391" t="s">
        <v>140</v>
      </c>
      <c r="U15" s="390">
        <v>0.52810000000000001</v>
      </c>
      <c r="V15" s="276"/>
      <c r="W15" s="255"/>
      <c r="X15" s="5"/>
    </row>
    <row r="16" spans="1:24" ht="15.75" x14ac:dyDescent="0.25">
      <c r="A16" s="181"/>
      <c r="B16" s="388" t="s">
        <v>3</v>
      </c>
      <c r="C16" s="255"/>
      <c r="D16" s="255"/>
      <c r="E16" s="255"/>
      <c r="F16" s="255"/>
      <c r="G16" s="255"/>
      <c r="H16" s="389"/>
      <c r="I16" s="389"/>
      <c r="J16" s="389"/>
      <c r="K16" s="389"/>
      <c r="L16" s="389"/>
      <c r="M16" s="389"/>
      <c r="N16" s="389"/>
      <c r="O16" s="389"/>
      <c r="P16" s="389"/>
      <c r="Q16" s="389"/>
      <c r="R16" s="389" t="s">
        <v>104</v>
      </c>
      <c r="S16" s="390">
        <v>0.56269999999999998</v>
      </c>
      <c r="T16" s="391" t="s">
        <v>140</v>
      </c>
      <c r="U16" s="390">
        <v>0.43730000000000002</v>
      </c>
      <c r="V16" s="276"/>
      <c r="W16" s="255"/>
      <c r="X16" s="5"/>
    </row>
    <row r="17" spans="1:24" ht="15.75" x14ac:dyDescent="0.25">
      <c r="A17" s="181"/>
      <c r="B17" s="388" t="s">
        <v>4</v>
      </c>
      <c r="C17" s="255"/>
      <c r="D17" s="255"/>
      <c r="E17" s="255"/>
      <c r="F17" s="255"/>
      <c r="G17" s="255"/>
      <c r="H17" s="255"/>
      <c r="I17" s="255"/>
      <c r="J17" s="255"/>
      <c r="K17" s="255"/>
      <c r="L17" s="255"/>
      <c r="M17" s="255"/>
      <c r="N17" s="255"/>
      <c r="O17" s="255"/>
      <c r="P17" s="255"/>
      <c r="Q17" s="255"/>
      <c r="R17" s="255"/>
      <c r="S17" s="255"/>
      <c r="T17" s="255"/>
      <c r="U17" s="255"/>
      <c r="V17" s="392">
        <v>39282</v>
      </c>
      <c r="W17" s="255"/>
      <c r="X17" s="5"/>
    </row>
    <row r="18" spans="1:24" ht="15.75" x14ac:dyDescent="0.25">
      <c r="A18" s="181"/>
      <c r="B18" s="388" t="s">
        <v>5</v>
      </c>
      <c r="C18" s="255"/>
      <c r="D18" s="255"/>
      <c r="E18" s="255"/>
      <c r="F18" s="255"/>
      <c r="G18" s="255"/>
      <c r="H18" s="255"/>
      <c r="I18" s="255"/>
      <c r="J18" s="255"/>
      <c r="K18" s="255"/>
      <c r="L18" s="255"/>
      <c r="M18" s="255"/>
      <c r="N18" s="255"/>
      <c r="O18" s="255"/>
      <c r="P18" s="255"/>
      <c r="Q18" s="255"/>
      <c r="R18" s="255"/>
      <c r="S18" s="255"/>
      <c r="T18" s="255"/>
      <c r="U18" s="255"/>
      <c r="V18" s="392">
        <v>42902</v>
      </c>
      <c r="W18" s="255"/>
      <c r="X18" s="5"/>
    </row>
    <row r="19" spans="1:24" ht="15.75" x14ac:dyDescent="0.25">
      <c r="A19" s="181"/>
      <c r="B19" s="183"/>
      <c r="C19" s="183"/>
      <c r="D19" s="183"/>
      <c r="E19" s="183"/>
      <c r="F19" s="183"/>
      <c r="G19" s="183"/>
      <c r="H19" s="183"/>
      <c r="I19" s="183"/>
      <c r="J19" s="183"/>
      <c r="K19" s="183"/>
      <c r="L19" s="183"/>
      <c r="M19" s="183"/>
      <c r="N19" s="183"/>
      <c r="O19" s="183"/>
      <c r="P19" s="183"/>
      <c r="Q19" s="183"/>
      <c r="R19" s="183"/>
      <c r="S19" s="183"/>
      <c r="T19" s="183"/>
      <c r="U19" s="183"/>
      <c r="V19" s="190"/>
      <c r="W19" s="183"/>
      <c r="X19" s="5"/>
    </row>
    <row r="20" spans="1:24" ht="15.75" x14ac:dyDescent="0.25">
      <c r="A20" s="181"/>
      <c r="B20" s="280" t="s">
        <v>6</v>
      </c>
      <c r="C20" s="255"/>
      <c r="D20" s="255"/>
      <c r="E20" s="255"/>
      <c r="F20" s="255"/>
      <c r="G20" s="255"/>
      <c r="H20" s="255"/>
      <c r="I20" s="255"/>
      <c r="J20" s="255"/>
      <c r="K20" s="255"/>
      <c r="L20" s="255"/>
      <c r="M20" s="255"/>
      <c r="N20" s="255"/>
      <c r="O20" s="255"/>
      <c r="P20" s="255"/>
      <c r="Q20" s="255"/>
      <c r="R20" s="255"/>
      <c r="S20" s="255"/>
      <c r="T20" s="281" t="s">
        <v>105</v>
      </c>
      <c r="U20" s="255"/>
      <c r="V20" s="261"/>
      <c r="W20" s="183"/>
      <c r="X20" s="5"/>
    </row>
    <row r="21" spans="1:24" ht="15.75" x14ac:dyDescent="0.25">
      <c r="A21" s="181"/>
      <c r="B21" s="183"/>
      <c r="C21" s="183"/>
      <c r="D21" s="183"/>
      <c r="E21" s="183"/>
      <c r="F21" s="183"/>
      <c r="G21" s="183"/>
      <c r="H21" s="183"/>
      <c r="I21" s="183"/>
      <c r="J21" s="183"/>
      <c r="K21" s="183"/>
      <c r="L21" s="183"/>
      <c r="M21" s="183"/>
      <c r="N21" s="183"/>
      <c r="O21" s="183"/>
      <c r="P21" s="183"/>
      <c r="Q21" s="183"/>
      <c r="R21" s="183"/>
      <c r="S21" s="183"/>
      <c r="T21" s="183"/>
      <c r="U21" s="183"/>
      <c r="V21" s="192"/>
      <c r="W21" s="183"/>
      <c r="X21" s="5"/>
    </row>
    <row r="22" spans="1:24" ht="15.75" x14ac:dyDescent="0.25">
      <c r="A22" s="224"/>
      <c r="B22" s="225"/>
      <c r="C22" s="226"/>
      <c r="D22" s="226" t="s">
        <v>177</v>
      </c>
      <c r="E22" s="226"/>
      <c r="F22" s="226" t="s">
        <v>178</v>
      </c>
      <c r="G22" s="226"/>
      <c r="H22" s="226" t="s">
        <v>179</v>
      </c>
      <c r="I22" s="226"/>
      <c r="J22" s="226" t="s">
        <v>219</v>
      </c>
      <c r="K22" s="226"/>
      <c r="L22" s="226" t="s">
        <v>180</v>
      </c>
      <c r="M22" s="226"/>
      <c r="N22" s="226" t="s">
        <v>181</v>
      </c>
      <c r="O22" s="226"/>
      <c r="P22" s="226" t="s">
        <v>182</v>
      </c>
      <c r="Q22" s="226"/>
      <c r="R22" s="226"/>
      <c r="S22" s="228"/>
      <c r="T22" s="228"/>
      <c r="U22" s="229"/>
      <c r="V22" s="229"/>
      <c r="W22" s="225"/>
      <c r="X22" s="5"/>
    </row>
    <row r="23" spans="1:24" ht="15.75" x14ac:dyDescent="0.25">
      <c r="A23" s="193"/>
      <c r="B23" s="250" t="s">
        <v>7</v>
      </c>
      <c r="C23" s="282"/>
      <c r="D23" s="282" t="s">
        <v>212</v>
      </c>
      <c r="E23" s="282"/>
      <c r="F23" s="282" t="s">
        <v>141</v>
      </c>
      <c r="G23" s="282"/>
      <c r="H23" s="282" t="s">
        <v>141</v>
      </c>
      <c r="I23" s="282"/>
      <c r="J23" s="282" t="s">
        <v>141</v>
      </c>
      <c r="K23" s="282"/>
      <c r="L23" s="282" t="s">
        <v>183</v>
      </c>
      <c r="M23" s="282"/>
      <c r="N23" s="282" t="s">
        <v>183</v>
      </c>
      <c r="O23" s="282"/>
      <c r="P23" s="282" t="s">
        <v>142</v>
      </c>
      <c r="Q23" s="282"/>
      <c r="R23" s="282"/>
      <c r="S23" s="282"/>
      <c r="T23" s="282"/>
      <c r="U23" s="273"/>
      <c r="V23" s="273"/>
      <c r="W23" s="250"/>
      <c r="X23" s="5"/>
    </row>
    <row r="24" spans="1:24" ht="15.75" x14ac:dyDescent="0.25">
      <c r="A24" s="285"/>
      <c r="B24" s="286" t="s">
        <v>8</v>
      </c>
      <c r="C24" s="287"/>
      <c r="D24" s="287" t="s">
        <v>213</v>
      </c>
      <c r="E24" s="287"/>
      <c r="F24" s="287" t="s">
        <v>143</v>
      </c>
      <c r="G24" s="287"/>
      <c r="H24" s="287" t="s">
        <v>143</v>
      </c>
      <c r="I24" s="287"/>
      <c r="J24" s="287" t="s">
        <v>143</v>
      </c>
      <c r="K24" s="287"/>
      <c r="L24" s="287" t="s">
        <v>165</v>
      </c>
      <c r="M24" s="287"/>
      <c r="N24" s="287" t="s">
        <v>165</v>
      </c>
      <c r="O24" s="287"/>
      <c r="P24" s="287" t="s">
        <v>144</v>
      </c>
      <c r="Q24" s="287"/>
      <c r="R24" s="287"/>
      <c r="S24" s="287"/>
      <c r="T24" s="287"/>
      <c r="U24" s="288"/>
      <c r="V24" s="288"/>
      <c r="W24" s="289"/>
      <c r="X24" s="5"/>
    </row>
    <row r="25" spans="1:24" ht="15.75" x14ac:dyDescent="0.25">
      <c r="A25" s="290"/>
      <c r="B25" s="286" t="s">
        <v>190</v>
      </c>
      <c r="C25" s="292"/>
      <c r="D25" s="287" t="s">
        <v>214</v>
      </c>
      <c r="E25" s="287"/>
      <c r="F25" s="287" t="s">
        <v>143</v>
      </c>
      <c r="G25" s="287"/>
      <c r="H25" s="287" t="s">
        <v>143</v>
      </c>
      <c r="I25" s="287"/>
      <c r="J25" s="287" t="s">
        <v>143</v>
      </c>
      <c r="K25" s="287"/>
      <c r="L25" s="287" t="s">
        <v>165</v>
      </c>
      <c r="M25" s="287"/>
      <c r="N25" s="287" t="s">
        <v>165</v>
      </c>
      <c r="O25" s="287"/>
      <c r="P25" s="287" t="s">
        <v>144</v>
      </c>
      <c r="Q25" s="287"/>
      <c r="R25" s="287"/>
      <c r="S25" s="292"/>
      <c r="T25" s="287"/>
      <c r="U25" s="288"/>
      <c r="V25" s="288"/>
      <c r="W25" s="289"/>
      <c r="X25" s="5"/>
    </row>
    <row r="26" spans="1:24" ht="15.75" x14ac:dyDescent="0.25">
      <c r="A26" s="393"/>
      <c r="B26" s="297" t="s">
        <v>9</v>
      </c>
      <c r="C26" s="292"/>
      <c r="D26" s="292" t="s">
        <v>141</v>
      </c>
      <c r="E26" s="292"/>
      <c r="F26" s="292" t="s">
        <v>141</v>
      </c>
      <c r="G26" s="292"/>
      <c r="H26" s="292" t="s">
        <v>141</v>
      </c>
      <c r="I26" s="292"/>
      <c r="J26" s="292" t="s">
        <v>141</v>
      </c>
      <c r="K26" s="292"/>
      <c r="L26" s="292" t="s">
        <v>183</v>
      </c>
      <c r="M26" s="292"/>
      <c r="N26" s="292" t="s">
        <v>183</v>
      </c>
      <c r="O26" s="292"/>
      <c r="P26" s="292" t="s">
        <v>142</v>
      </c>
      <c r="Q26" s="292"/>
      <c r="R26" s="292"/>
      <c r="S26" s="292"/>
      <c r="T26" s="287"/>
      <c r="U26" s="288"/>
      <c r="V26" s="288"/>
      <c r="W26" s="289"/>
      <c r="X26" s="5"/>
    </row>
    <row r="27" spans="1:24" ht="15.75" x14ac:dyDescent="0.25">
      <c r="A27" s="295"/>
      <c r="B27" s="297" t="s">
        <v>191</v>
      </c>
      <c r="C27" s="287"/>
      <c r="D27" s="292" t="s">
        <v>143</v>
      </c>
      <c r="E27" s="292"/>
      <c r="F27" s="292" t="s">
        <v>143</v>
      </c>
      <c r="G27" s="292"/>
      <c r="H27" s="292" t="s">
        <v>143</v>
      </c>
      <c r="I27" s="292"/>
      <c r="J27" s="292" t="s">
        <v>143</v>
      </c>
      <c r="K27" s="292"/>
      <c r="L27" s="292" t="s">
        <v>165</v>
      </c>
      <c r="M27" s="292"/>
      <c r="N27" s="292" t="s">
        <v>165</v>
      </c>
      <c r="O27" s="292"/>
      <c r="P27" s="292" t="s">
        <v>330</v>
      </c>
      <c r="Q27" s="292"/>
      <c r="R27" s="292"/>
      <c r="S27" s="287"/>
      <c r="T27" s="296"/>
      <c r="U27" s="288"/>
      <c r="V27" s="288"/>
      <c r="W27" s="289"/>
      <c r="X27" s="5"/>
    </row>
    <row r="28" spans="1:24" ht="15.75" x14ac:dyDescent="0.25">
      <c r="A28" s="295"/>
      <c r="B28" s="297" t="s">
        <v>192</v>
      </c>
      <c r="C28" s="287"/>
      <c r="D28" s="292" t="s">
        <v>143</v>
      </c>
      <c r="E28" s="292"/>
      <c r="F28" s="292" t="s">
        <v>143</v>
      </c>
      <c r="G28" s="292"/>
      <c r="H28" s="292" t="s">
        <v>143</v>
      </c>
      <c r="I28" s="292"/>
      <c r="J28" s="292" t="s">
        <v>143</v>
      </c>
      <c r="K28" s="292"/>
      <c r="L28" s="292" t="s">
        <v>143</v>
      </c>
      <c r="M28" s="292"/>
      <c r="N28" s="292" t="s">
        <v>143</v>
      </c>
      <c r="O28" s="292"/>
      <c r="P28" s="292" t="s">
        <v>330</v>
      </c>
      <c r="Q28" s="292"/>
      <c r="R28" s="292"/>
      <c r="S28" s="287"/>
      <c r="T28" s="296"/>
      <c r="U28" s="288"/>
      <c r="V28" s="288"/>
      <c r="W28" s="289"/>
      <c r="X28" s="5"/>
    </row>
    <row r="29" spans="1:24" ht="15.75" x14ac:dyDescent="0.25">
      <c r="A29" s="295"/>
      <c r="B29" s="286" t="s">
        <v>10</v>
      </c>
      <c r="C29" s="298"/>
      <c r="D29" s="287" t="s">
        <v>242</v>
      </c>
      <c r="E29" s="287"/>
      <c r="F29" s="296" t="s">
        <v>244</v>
      </c>
      <c r="G29" s="287"/>
      <c r="H29" s="287" t="s">
        <v>245</v>
      </c>
      <c r="I29" s="287"/>
      <c r="J29" s="287" t="s">
        <v>247</v>
      </c>
      <c r="K29" s="287"/>
      <c r="L29" s="287" t="s">
        <v>248</v>
      </c>
      <c r="M29" s="287"/>
      <c r="N29" s="287" t="s">
        <v>249</v>
      </c>
      <c r="O29" s="287"/>
      <c r="P29" s="287" t="s">
        <v>250</v>
      </c>
      <c r="Q29" s="287"/>
      <c r="R29" s="287"/>
      <c r="S29" s="299"/>
      <c r="T29" s="299"/>
      <c r="U29" s="300"/>
      <c r="V29" s="299"/>
      <c r="W29" s="301"/>
      <c r="X29" s="5"/>
    </row>
    <row r="30" spans="1:24" ht="15.75" x14ac:dyDescent="0.25">
      <c r="A30" s="295"/>
      <c r="B30" s="286" t="s">
        <v>10</v>
      </c>
      <c r="C30" s="298"/>
      <c r="D30" s="287" t="s">
        <v>243</v>
      </c>
      <c r="E30" s="287"/>
      <c r="F30" s="296" t="s">
        <v>118</v>
      </c>
      <c r="G30" s="287"/>
      <c r="H30" s="287" t="s">
        <v>118</v>
      </c>
      <c r="I30" s="287"/>
      <c r="J30" s="287" t="s">
        <v>246</v>
      </c>
      <c r="K30" s="287"/>
      <c r="L30" s="287" t="s">
        <v>118</v>
      </c>
      <c r="M30" s="287"/>
      <c r="N30" s="287" t="s">
        <v>118</v>
      </c>
      <c r="O30" s="287"/>
      <c r="P30" s="287" t="s">
        <v>118</v>
      </c>
      <c r="Q30" s="287"/>
      <c r="R30" s="287"/>
      <c r="S30" s="299"/>
      <c r="T30" s="299"/>
      <c r="U30" s="300"/>
      <c r="V30" s="299"/>
      <c r="W30" s="301"/>
      <c r="X30" s="5"/>
    </row>
    <row r="31" spans="1:24" ht="15.75" x14ac:dyDescent="0.25">
      <c r="A31" s="393"/>
      <c r="B31" s="286" t="s">
        <v>133</v>
      </c>
      <c r="C31" s="310"/>
      <c r="D31" s="303">
        <v>1000000</v>
      </c>
      <c r="E31" s="298"/>
      <c r="F31" s="299">
        <v>209500</v>
      </c>
      <c r="G31" s="299"/>
      <c r="H31" s="304">
        <v>110000</v>
      </c>
      <c r="I31" s="304"/>
      <c r="J31" s="303">
        <v>150000</v>
      </c>
      <c r="K31" s="299"/>
      <c r="L31" s="299">
        <v>17000</v>
      </c>
      <c r="M31" s="299"/>
      <c r="N31" s="304">
        <v>85500</v>
      </c>
      <c r="O31" s="299"/>
      <c r="P31" s="304">
        <v>110500</v>
      </c>
      <c r="Q31" s="299"/>
      <c r="R31" s="304"/>
      <c r="S31" s="312"/>
      <c r="T31" s="312"/>
      <c r="U31" s="306"/>
      <c r="V31" s="312"/>
      <c r="W31" s="301"/>
      <c r="X31" s="5"/>
    </row>
    <row r="32" spans="1:24" ht="15.75" x14ac:dyDescent="0.25">
      <c r="A32" s="295"/>
      <c r="B32" s="286" t="s">
        <v>132</v>
      </c>
      <c r="C32" s="298"/>
      <c r="D32" s="303">
        <f>D31*D38</f>
        <v>613105.9</v>
      </c>
      <c r="E32" s="298"/>
      <c r="F32" s="299">
        <f>F31*F38</f>
        <v>128446.08409999999</v>
      </c>
      <c r="G32" s="299"/>
      <c r="H32" s="304">
        <f>H31*H38</f>
        <v>67442.694000000003</v>
      </c>
      <c r="I32" s="304"/>
      <c r="J32" s="303">
        <f>J31*J38</f>
        <v>91965.884999999995</v>
      </c>
      <c r="K32" s="299"/>
      <c r="L32" s="299">
        <f>L31*L38</f>
        <v>17000</v>
      </c>
      <c r="M32" s="299"/>
      <c r="N32" s="304">
        <f>N31*N38</f>
        <v>85500</v>
      </c>
      <c r="O32" s="299"/>
      <c r="P32" s="304">
        <f>P31*P38</f>
        <v>110500</v>
      </c>
      <c r="Q32" s="299"/>
      <c r="R32" s="304"/>
      <c r="S32" s="299"/>
      <c r="T32" s="299"/>
      <c r="U32" s="300"/>
      <c r="V32" s="299"/>
      <c r="W32" s="301"/>
      <c r="X32" s="5"/>
    </row>
    <row r="33" spans="1:27" ht="15.75" x14ac:dyDescent="0.25">
      <c r="A33" s="295"/>
      <c r="B33" s="297" t="s">
        <v>134</v>
      </c>
      <c r="C33" s="298"/>
      <c r="D33" s="394">
        <f>D37*D31</f>
        <v>597674.30000000005</v>
      </c>
      <c r="E33" s="310"/>
      <c r="F33" s="312">
        <f>F37*F31</f>
        <v>125213.1639</v>
      </c>
      <c r="G33" s="312"/>
      <c r="H33" s="395">
        <f>H31*H37</f>
        <v>65745.262000000002</v>
      </c>
      <c r="I33" s="395"/>
      <c r="J33" s="394">
        <f>J37*J31</f>
        <v>89651.145000000004</v>
      </c>
      <c r="K33" s="312"/>
      <c r="L33" s="312">
        <f>L31*L37</f>
        <v>17000</v>
      </c>
      <c r="M33" s="312"/>
      <c r="N33" s="395">
        <f>N31*N37</f>
        <v>85500</v>
      </c>
      <c r="O33" s="312"/>
      <c r="P33" s="395">
        <f>P31*P37</f>
        <v>110500</v>
      </c>
      <c r="Q33" s="312"/>
      <c r="R33" s="395"/>
      <c r="S33" s="299"/>
      <c r="T33" s="299"/>
      <c r="U33" s="300"/>
      <c r="V33" s="299"/>
      <c r="W33" s="301"/>
      <c r="X33" s="5"/>
    </row>
    <row r="34" spans="1:27" ht="15.75" x14ac:dyDescent="0.25">
      <c r="A34" s="393"/>
      <c r="B34" s="286" t="s">
        <v>286</v>
      </c>
      <c r="C34" s="310"/>
      <c r="D34" s="299">
        <v>492951</v>
      </c>
      <c r="E34" s="298"/>
      <c r="F34" s="299">
        <v>209500</v>
      </c>
      <c r="G34" s="299"/>
      <c r="H34" s="299">
        <v>74677</v>
      </c>
      <c r="I34" s="299"/>
      <c r="J34" s="299">
        <v>73943</v>
      </c>
      <c r="K34" s="299"/>
      <c r="L34" s="299">
        <v>17000</v>
      </c>
      <c r="M34" s="299"/>
      <c r="N34" s="299">
        <v>58045</v>
      </c>
      <c r="O34" s="299"/>
      <c r="P34" s="299">
        <v>75017</v>
      </c>
      <c r="Q34" s="299"/>
      <c r="R34" s="299"/>
      <c r="S34" s="312"/>
      <c r="T34" s="312"/>
      <c r="U34" s="306"/>
      <c r="V34" s="299">
        <f>SUM(C34:R34)</f>
        <v>1001133</v>
      </c>
      <c r="W34" s="301"/>
      <c r="X34" s="5"/>
    </row>
    <row r="35" spans="1:27" ht="15.75" x14ac:dyDescent="0.25">
      <c r="A35" s="393"/>
      <c r="B35" s="286" t="s">
        <v>287</v>
      </c>
      <c r="C35" s="310"/>
      <c r="D35" s="299">
        <f>D34*D38</f>
        <v>302231.16651090002</v>
      </c>
      <c r="E35" s="298"/>
      <c r="F35" s="299">
        <f>F34*F38</f>
        <v>128446.08409999999</v>
      </c>
      <c r="G35" s="299"/>
      <c r="H35" s="299">
        <f>H34*H38</f>
        <v>45785.618725799999</v>
      </c>
      <c r="I35" s="299"/>
      <c r="J35" s="299">
        <f>J34*J38</f>
        <v>45334.889563699995</v>
      </c>
      <c r="K35" s="299"/>
      <c r="L35" s="299">
        <f>L34*L38</f>
        <v>17000</v>
      </c>
      <c r="M35" s="299"/>
      <c r="N35" s="299">
        <f>N34*N38</f>
        <v>58045</v>
      </c>
      <c r="O35" s="299"/>
      <c r="P35" s="299">
        <f>P34*P38</f>
        <v>75017</v>
      </c>
      <c r="Q35" s="299"/>
      <c r="R35" s="299"/>
      <c r="S35" s="299"/>
      <c r="T35" s="299"/>
      <c r="U35" s="300"/>
      <c r="V35" s="299">
        <f>SUM(C35:R35)</f>
        <v>671859.75890040002</v>
      </c>
      <c r="W35" s="301"/>
      <c r="X35" s="5"/>
    </row>
    <row r="36" spans="1:27" ht="15.75" x14ac:dyDescent="0.25">
      <c r="A36" s="393"/>
      <c r="B36" s="297" t="s">
        <v>288</v>
      </c>
      <c r="C36" s="310"/>
      <c r="D36" s="312">
        <f>D34*D37</f>
        <v>294624.14385930001</v>
      </c>
      <c r="E36" s="310"/>
      <c r="F36" s="312">
        <f>F34*F37</f>
        <v>125213.1639</v>
      </c>
      <c r="G36" s="312"/>
      <c r="H36" s="312">
        <f>H34*H37</f>
        <v>44633.263003400003</v>
      </c>
      <c r="I36" s="312"/>
      <c r="J36" s="312">
        <f>J34*J37</f>
        <v>44193.830764899998</v>
      </c>
      <c r="K36" s="312"/>
      <c r="L36" s="312">
        <f>L34*L37</f>
        <v>17000</v>
      </c>
      <c r="M36" s="312"/>
      <c r="N36" s="312">
        <f>N34*N37</f>
        <v>58045</v>
      </c>
      <c r="O36" s="312"/>
      <c r="P36" s="312">
        <f>P34*P37</f>
        <v>75017</v>
      </c>
      <c r="Q36" s="312"/>
      <c r="R36" s="312"/>
      <c r="S36" s="311"/>
      <c r="T36" s="311"/>
      <c r="U36" s="300"/>
      <c r="V36" s="312">
        <f>SUM(C36:R36)</f>
        <v>658726.40152760001</v>
      </c>
      <c r="W36" s="301"/>
      <c r="X36" s="5"/>
    </row>
    <row r="37" spans="1:27" ht="15.75" x14ac:dyDescent="0.25">
      <c r="A37" s="285"/>
      <c r="B37" s="313" t="s">
        <v>130</v>
      </c>
      <c r="C37" s="314"/>
      <c r="D37" s="315">
        <v>0.59767429999999999</v>
      </c>
      <c r="E37" s="315"/>
      <c r="F37" s="315">
        <v>0.59767619999999999</v>
      </c>
      <c r="G37" s="315"/>
      <c r="H37" s="315">
        <v>0.5976842</v>
      </c>
      <c r="I37" s="315"/>
      <c r="J37" s="315">
        <v>0.59767429999999999</v>
      </c>
      <c r="K37" s="315"/>
      <c r="L37" s="315">
        <v>1</v>
      </c>
      <c r="M37" s="315"/>
      <c r="N37" s="315">
        <v>1</v>
      </c>
      <c r="O37" s="315"/>
      <c r="P37" s="315">
        <v>1</v>
      </c>
      <c r="Q37" s="315"/>
      <c r="R37" s="315"/>
      <c r="S37" s="316"/>
      <c r="T37" s="316"/>
      <c r="U37" s="317"/>
      <c r="V37" s="317"/>
      <c r="W37" s="318"/>
      <c r="X37" s="5"/>
    </row>
    <row r="38" spans="1:27" ht="15.75" x14ac:dyDescent="0.25">
      <c r="A38" s="285"/>
      <c r="B38" s="313" t="s">
        <v>131</v>
      </c>
      <c r="C38" s="314"/>
      <c r="D38" s="315">
        <v>0.61310589999999998</v>
      </c>
      <c r="E38" s="315"/>
      <c r="F38" s="315">
        <v>0.61310779999999998</v>
      </c>
      <c r="G38" s="315"/>
      <c r="H38" s="315">
        <v>0.61311539999999998</v>
      </c>
      <c r="I38" s="315"/>
      <c r="J38" s="315">
        <v>0.61310589999999998</v>
      </c>
      <c r="K38" s="315"/>
      <c r="L38" s="315">
        <v>1</v>
      </c>
      <c r="M38" s="315"/>
      <c r="N38" s="315">
        <v>1</v>
      </c>
      <c r="O38" s="315"/>
      <c r="P38" s="315">
        <v>1</v>
      </c>
      <c r="Q38" s="315"/>
      <c r="R38" s="315"/>
      <c r="S38" s="319"/>
      <c r="T38" s="320"/>
      <c r="U38" s="317"/>
      <c r="V38" s="319"/>
      <c r="W38" s="318"/>
      <c r="X38" s="5"/>
    </row>
    <row r="39" spans="1:27" ht="15.75" x14ac:dyDescent="0.25">
      <c r="A39" s="285"/>
      <c r="B39" s="286" t="s">
        <v>11</v>
      </c>
      <c r="C39" s="286"/>
      <c r="D39" s="296" t="s">
        <v>304</v>
      </c>
      <c r="E39" s="286"/>
      <c r="F39" s="296" t="s">
        <v>256</v>
      </c>
      <c r="G39" s="296"/>
      <c r="H39" s="296" t="s">
        <v>257</v>
      </c>
      <c r="I39" s="296"/>
      <c r="J39" s="296" t="s">
        <v>258</v>
      </c>
      <c r="K39" s="296"/>
      <c r="L39" s="296" t="s">
        <v>259</v>
      </c>
      <c r="M39" s="296"/>
      <c r="N39" s="296" t="s">
        <v>259</v>
      </c>
      <c r="O39" s="296"/>
      <c r="P39" s="296" t="s">
        <v>260</v>
      </c>
      <c r="Q39" s="296"/>
      <c r="R39" s="296"/>
      <c r="S39" s="321"/>
      <c r="T39" s="322"/>
      <c r="U39" s="288"/>
      <c r="V39" s="288"/>
      <c r="W39" s="289"/>
      <c r="X39" s="5"/>
    </row>
    <row r="40" spans="1:27" ht="15.75" x14ac:dyDescent="0.25">
      <c r="A40" s="285"/>
      <c r="B40" s="286" t="s">
        <v>12</v>
      </c>
      <c r="C40" s="286"/>
      <c r="D40" s="322">
        <v>1.1691099999999999E-2</v>
      </c>
      <c r="E40" s="286"/>
      <c r="F40" s="322">
        <v>6.0388000000000004E-3</v>
      </c>
      <c r="G40" s="321"/>
      <c r="H40" s="322">
        <v>0</v>
      </c>
      <c r="I40" s="322"/>
      <c r="J40" s="322">
        <v>1.35122E-2</v>
      </c>
      <c r="K40" s="321"/>
      <c r="L40" s="322">
        <v>8.8388000000000008E-3</v>
      </c>
      <c r="M40" s="321"/>
      <c r="N40" s="322">
        <v>2.0999999999999999E-3</v>
      </c>
      <c r="O40" s="321"/>
      <c r="P40" s="322">
        <v>7.7000000000000002E-3</v>
      </c>
      <c r="Q40" s="321"/>
      <c r="R40" s="322"/>
      <c r="S40" s="321"/>
      <c r="T40" s="322"/>
      <c r="U40" s="288"/>
      <c r="V40" s="296"/>
      <c r="W40" s="289"/>
      <c r="X40" s="5"/>
      <c r="AA40" s="1" t="s">
        <v>193</v>
      </c>
    </row>
    <row r="41" spans="1:27" ht="15.75" x14ac:dyDescent="0.25">
      <c r="A41" s="285"/>
      <c r="B41" s="286" t="s">
        <v>13</v>
      </c>
      <c r="C41" s="286"/>
      <c r="D41" s="322">
        <v>9.4999999999999998E-3</v>
      </c>
      <c r="E41" s="286"/>
      <c r="F41" s="322">
        <v>6.3312999999999998E-3</v>
      </c>
      <c r="G41" s="321"/>
      <c r="H41" s="322">
        <v>0</v>
      </c>
      <c r="I41" s="322"/>
      <c r="J41" s="322">
        <v>1.18344E-2</v>
      </c>
      <c r="K41" s="321"/>
      <c r="L41" s="322">
        <v>9.1313000000000002E-3</v>
      </c>
      <c r="M41" s="321"/>
      <c r="N41" s="322">
        <v>2.2399999999999998E-3</v>
      </c>
      <c r="O41" s="321"/>
      <c r="P41" s="322">
        <v>7.8399999999999997E-3</v>
      </c>
      <c r="Q41" s="321"/>
      <c r="R41" s="322"/>
      <c r="S41" s="321"/>
      <c r="T41" s="322"/>
      <c r="U41" s="288"/>
      <c r="V41" s="321" t="s">
        <v>193</v>
      </c>
      <c r="W41" s="289"/>
      <c r="X41" s="5"/>
    </row>
    <row r="42" spans="1:27" ht="15.75" x14ac:dyDescent="0.25">
      <c r="A42" s="285"/>
      <c r="B42" s="286" t="s">
        <v>289</v>
      </c>
      <c r="C42" s="286"/>
      <c r="D42" s="296" t="s">
        <v>311</v>
      </c>
      <c r="E42" s="286"/>
      <c r="F42" s="296" t="s">
        <v>256</v>
      </c>
      <c r="G42" s="296"/>
      <c r="H42" s="296" t="s">
        <v>261</v>
      </c>
      <c r="I42" s="296"/>
      <c r="J42" s="296" t="s">
        <v>261</v>
      </c>
      <c r="K42" s="296"/>
      <c r="L42" s="296" t="s">
        <v>259</v>
      </c>
      <c r="M42" s="296"/>
      <c r="N42" s="296" t="s">
        <v>263</v>
      </c>
      <c r="O42" s="296"/>
      <c r="P42" s="296" t="s">
        <v>264</v>
      </c>
      <c r="Q42" s="296"/>
      <c r="R42" s="296"/>
      <c r="S42" s="321"/>
      <c r="T42" s="322"/>
      <c r="U42" s="288"/>
      <c r="V42" s="288"/>
      <c r="W42" s="289"/>
      <c r="X42" s="5"/>
    </row>
    <row r="43" spans="1:27" ht="15.75" x14ac:dyDescent="0.25">
      <c r="A43" s="285"/>
      <c r="B43" s="286" t="s">
        <v>290</v>
      </c>
      <c r="C43" s="323"/>
      <c r="D43" s="322">
        <v>5.4356999999999999E-3</v>
      </c>
      <c r="E43" s="322"/>
      <c r="F43" s="322">
        <f>+F40</f>
        <v>6.0388000000000004E-3</v>
      </c>
      <c r="G43" s="322"/>
      <c r="H43" s="322">
        <v>6.1888000000000004E-3</v>
      </c>
      <c r="I43" s="322"/>
      <c r="J43" s="322">
        <v>6.2188E-3</v>
      </c>
      <c r="K43" s="322"/>
      <c r="L43" s="322">
        <f>+L40</f>
        <v>8.8388000000000008E-3</v>
      </c>
      <c r="M43" s="322"/>
      <c r="N43" s="322">
        <v>9.5727999999999994E-3</v>
      </c>
      <c r="O43" s="322"/>
      <c r="P43" s="322">
        <v>1.5732800000000002E-2</v>
      </c>
      <c r="Q43" s="321"/>
      <c r="R43" s="322"/>
      <c r="S43" s="296"/>
      <c r="T43" s="296"/>
      <c r="U43" s="288"/>
      <c r="V43" s="321">
        <f>SUMPRODUCT(D43:R43,D35:R35)/V35</f>
        <v>7.2484249606282643E-3</v>
      </c>
      <c r="W43" s="289"/>
      <c r="X43" s="5"/>
    </row>
    <row r="44" spans="1:27" ht="15.75" x14ac:dyDescent="0.25">
      <c r="A44" s="285"/>
      <c r="B44" s="286" t="s">
        <v>291</v>
      </c>
      <c r="C44" s="323"/>
      <c r="D44" s="322">
        <v>5.7282000000000001E-3</v>
      </c>
      <c r="E44" s="322"/>
      <c r="F44" s="322">
        <f>+F41</f>
        <v>6.3312999999999998E-3</v>
      </c>
      <c r="G44" s="322"/>
      <c r="H44" s="322">
        <v>6.4812999999999997E-3</v>
      </c>
      <c r="I44" s="322"/>
      <c r="J44" s="322">
        <v>6.5113000000000002E-3</v>
      </c>
      <c r="K44" s="322"/>
      <c r="L44" s="322">
        <f>+L41</f>
        <v>9.1313000000000002E-3</v>
      </c>
      <c r="M44" s="322"/>
      <c r="N44" s="322">
        <v>9.8653000000000005E-3</v>
      </c>
      <c r="O44" s="322"/>
      <c r="P44" s="322">
        <v>1.6025299999999999E-2</v>
      </c>
      <c r="Q44" s="321"/>
      <c r="R44" s="322"/>
      <c r="S44" s="296"/>
      <c r="T44" s="296"/>
      <c r="U44" s="288"/>
      <c r="V44" s="288"/>
      <c r="W44" s="289"/>
      <c r="X44" s="5"/>
    </row>
    <row r="45" spans="1:27" ht="15.75" x14ac:dyDescent="0.25">
      <c r="A45" s="285"/>
      <c r="B45" s="286" t="s">
        <v>14</v>
      </c>
      <c r="C45" s="286"/>
      <c r="D45" s="323">
        <v>40709</v>
      </c>
      <c r="E45" s="323"/>
      <c r="F45" s="323">
        <v>40709</v>
      </c>
      <c r="G45" s="323"/>
      <c r="H45" s="323">
        <v>40709</v>
      </c>
      <c r="I45" s="323"/>
      <c r="J45" s="323">
        <v>40709</v>
      </c>
      <c r="K45" s="323"/>
      <c r="L45" s="323">
        <v>40709</v>
      </c>
      <c r="M45" s="323"/>
      <c r="N45" s="323">
        <v>40709</v>
      </c>
      <c r="O45" s="323"/>
      <c r="P45" s="323">
        <v>40709</v>
      </c>
      <c r="Q45" s="323"/>
      <c r="R45" s="323"/>
      <c r="S45" s="296"/>
      <c r="T45" s="296"/>
      <c r="U45" s="288"/>
      <c r="V45" s="288"/>
      <c r="W45" s="289"/>
      <c r="X45" s="5"/>
    </row>
    <row r="46" spans="1:27" ht="15.75" x14ac:dyDescent="0.25">
      <c r="A46" s="285"/>
      <c r="B46" s="286" t="s">
        <v>15</v>
      </c>
      <c r="C46" s="286"/>
      <c r="D46" s="323">
        <v>41075</v>
      </c>
      <c r="E46" s="323"/>
      <c r="F46" s="323">
        <v>41075</v>
      </c>
      <c r="G46" s="323"/>
      <c r="H46" s="323">
        <v>41075</v>
      </c>
      <c r="I46" s="323"/>
      <c r="J46" s="323">
        <v>41075</v>
      </c>
      <c r="K46" s="296"/>
      <c r="L46" s="323">
        <v>41075</v>
      </c>
      <c r="M46" s="296"/>
      <c r="N46" s="323">
        <v>41075</v>
      </c>
      <c r="O46" s="296"/>
      <c r="P46" s="323">
        <v>41075</v>
      </c>
      <c r="Q46" s="296"/>
      <c r="R46" s="323"/>
      <c r="S46" s="296"/>
      <c r="T46" s="296"/>
      <c r="U46" s="288"/>
      <c r="V46" s="288"/>
      <c r="W46" s="289"/>
      <c r="X46" s="5"/>
    </row>
    <row r="47" spans="1:27" ht="15.75" x14ac:dyDescent="0.25">
      <c r="A47" s="285"/>
      <c r="B47" s="286" t="s">
        <v>119</v>
      </c>
      <c r="C47" s="286"/>
      <c r="D47" s="296" t="s">
        <v>304</v>
      </c>
      <c r="E47" s="286"/>
      <c r="F47" s="296" t="s">
        <v>256</v>
      </c>
      <c r="G47" s="296"/>
      <c r="H47" s="296" t="s">
        <v>257</v>
      </c>
      <c r="I47" s="296"/>
      <c r="J47" s="296" t="s">
        <v>258</v>
      </c>
      <c r="K47" s="296"/>
      <c r="L47" s="296" t="s">
        <v>259</v>
      </c>
      <c r="M47" s="296"/>
      <c r="N47" s="296" t="s">
        <v>259</v>
      </c>
      <c r="O47" s="296"/>
      <c r="P47" s="296" t="s">
        <v>260</v>
      </c>
      <c r="Q47" s="296"/>
      <c r="R47" s="296"/>
      <c r="S47" s="325"/>
      <c r="T47" s="325"/>
      <c r="U47" s="325"/>
      <c r="V47" s="325"/>
      <c r="W47" s="289"/>
      <c r="X47" s="5"/>
    </row>
    <row r="48" spans="1:27" ht="15.75" x14ac:dyDescent="0.25">
      <c r="A48" s="285"/>
      <c r="B48" s="286" t="s">
        <v>292</v>
      </c>
      <c r="C48" s="286"/>
      <c r="D48" s="296" t="s">
        <v>311</v>
      </c>
      <c r="E48" s="286"/>
      <c r="F48" s="296" t="s">
        <v>256</v>
      </c>
      <c r="G48" s="296"/>
      <c r="H48" s="296" t="s">
        <v>261</v>
      </c>
      <c r="I48" s="296"/>
      <c r="J48" s="296" t="s">
        <v>261</v>
      </c>
      <c r="K48" s="296"/>
      <c r="L48" s="296" t="s">
        <v>259</v>
      </c>
      <c r="M48" s="296"/>
      <c r="N48" s="296" t="s">
        <v>263</v>
      </c>
      <c r="O48" s="296"/>
      <c r="P48" s="296" t="s">
        <v>264</v>
      </c>
      <c r="Q48" s="296"/>
      <c r="R48" s="296"/>
      <c r="S48" s="286"/>
      <c r="T48" s="286"/>
      <c r="U48" s="286"/>
      <c r="V48" s="321"/>
      <c r="W48" s="289"/>
      <c r="X48" s="5"/>
    </row>
    <row r="49" spans="1:25" ht="15.75" x14ac:dyDescent="0.25">
      <c r="A49" s="285"/>
      <c r="B49" s="286"/>
      <c r="C49" s="286"/>
      <c r="D49" s="296"/>
      <c r="E49" s="286"/>
      <c r="F49" s="296"/>
      <c r="G49" s="296"/>
      <c r="H49" s="296"/>
      <c r="I49" s="296"/>
      <c r="J49" s="296"/>
      <c r="K49" s="296"/>
      <c r="L49" s="296"/>
      <c r="M49" s="296"/>
      <c r="N49" s="296"/>
      <c r="O49" s="296"/>
      <c r="P49" s="296"/>
      <c r="Q49" s="296"/>
      <c r="R49" s="296"/>
      <c r="S49" s="286"/>
      <c r="T49" s="286"/>
      <c r="U49" s="286"/>
      <c r="V49" s="321" t="s">
        <v>193</v>
      </c>
      <c r="W49" s="289"/>
      <c r="X49" s="5"/>
    </row>
    <row r="50" spans="1:25" ht="15.75" x14ac:dyDescent="0.25">
      <c r="A50" s="285"/>
      <c r="B50" s="286" t="s">
        <v>169</v>
      </c>
      <c r="C50" s="286"/>
      <c r="D50" s="296"/>
      <c r="E50" s="286"/>
      <c r="F50" s="296"/>
      <c r="G50" s="296"/>
      <c r="H50" s="296"/>
      <c r="I50" s="296"/>
      <c r="J50" s="296"/>
      <c r="K50" s="296"/>
      <c r="L50" s="296"/>
      <c r="M50" s="296"/>
      <c r="N50" s="296"/>
      <c r="O50" s="296"/>
      <c r="P50" s="296"/>
      <c r="Q50" s="296"/>
      <c r="R50" s="296"/>
      <c r="S50" s="286"/>
      <c r="T50" s="286"/>
      <c r="U50" s="286"/>
      <c r="V50" s="321">
        <f>SUM(L34:R34)/SUM(D34:J34)</f>
        <v>0.17632136449250416</v>
      </c>
      <c r="W50" s="289"/>
      <c r="X50" s="5"/>
    </row>
    <row r="51" spans="1:25" ht="15.75" x14ac:dyDescent="0.25">
      <c r="A51" s="285"/>
      <c r="B51" s="286" t="s">
        <v>170</v>
      </c>
      <c r="C51" s="286"/>
      <c r="D51" s="286"/>
      <c r="E51" s="286"/>
      <c r="F51" s="326"/>
      <c r="G51" s="286"/>
      <c r="H51" s="286"/>
      <c r="I51" s="286"/>
      <c r="J51" s="286"/>
      <c r="K51" s="286"/>
      <c r="L51" s="286"/>
      <c r="M51" s="286"/>
      <c r="N51" s="286"/>
      <c r="O51" s="286"/>
      <c r="P51" s="286"/>
      <c r="Q51" s="286"/>
      <c r="R51" s="286"/>
      <c r="S51" s="286"/>
      <c r="T51" s="286"/>
      <c r="U51" s="286"/>
      <c r="V51" s="321">
        <f>SUM(L36:R36)/SUM(D36:J36)</f>
        <v>0.2950117986423661</v>
      </c>
      <c r="W51" s="289"/>
      <c r="X51" s="5"/>
    </row>
    <row r="52" spans="1:25" ht="15.75" x14ac:dyDescent="0.25">
      <c r="A52" s="285"/>
      <c r="B52" s="286" t="s">
        <v>171</v>
      </c>
      <c r="C52" s="286"/>
      <c r="D52" s="286"/>
      <c r="E52" s="286"/>
      <c r="F52" s="286"/>
      <c r="G52" s="286"/>
      <c r="H52" s="286"/>
      <c r="I52" s="286"/>
      <c r="J52" s="286"/>
      <c r="K52" s="286"/>
      <c r="L52" s="286"/>
      <c r="M52" s="286"/>
      <c r="N52" s="286"/>
      <c r="O52" s="286"/>
      <c r="P52" s="286"/>
      <c r="Q52" s="286"/>
      <c r="R52" s="286"/>
      <c r="S52" s="286"/>
      <c r="T52" s="296"/>
      <c r="U52" s="296"/>
      <c r="V52" s="299" t="s">
        <v>268</v>
      </c>
      <c r="W52" s="289"/>
      <c r="X52" s="5"/>
    </row>
    <row r="53" spans="1:25" ht="15.75" x14ac:dyDescent="0.25">
      <c r="A53" s="285"/>
      <c r="B53" s="286"/>
      <c r="C53" s="286"/>
      <c r="D53" s="286"/>
      <c r="E53" s="286"/>
      <c r="F53" s="286"/>
      <c r="G53" s="286"/>
      <c r="H53" s="286"/>
      <c r="I53" s="286"/>
      <c r="J53" s="286"/>
      <c r="K53" s="286"/>
      <c r="L53" s="286"/>
      <c r="M53" s="286"/>
      <c r="N53" s="286"/>
      <c r="O53" s="286"/>
      <c r="P53" s="286"/>
      <c r="Q53" s="286"/>
      <c r="R53" s="286"/>
      <c r="S53" s="286"/>
      <c r="T53" s="286"/>
      <c r="U53" s="286"/>
      <c r="V53" s="327"/>
      <c r="W53" s="289"/>
      <c r="X53" s="5"/>
    </row>
    <row r="54" spans="1:25" ht="15.75" x14ac:dyDescent="0.25">
      <c r="A54" s="285"/>
      <c r="B54" s="286" t="s">
        <v>202</v>
      </c>
      <c r="C54" s="286"/>
      <c r="D54" s="286"/>
      <c r="E54" s="286"/>
      <c r="F54" s="286"/>
      <c r="G54" s="286"/>
      <c r="H54" s="286"/>
      <c r="I54" s="286"/>
      <c r="J54" s="286"/>
      <c r="K54" s="286"/>
      <c r="L54" s="286"/>
      <c r="M54" s="286"/>
      <c r="N54" s="286"/>
      <c r="O54" s="286"/>
      <c r="P54" s="286"/>
      <c r="Q54" s="286"/>
      <c r="R54" s="286"/>
      <c r="S54" s="286"/>
      <c r="T54" s="286"/>
      <c r="U54" s="286"/>
      <c r="V54" s="311" t="s">
        <v>203</v>
      </c>
      <c r="W54" s="289"/>
      <c r="X54" s="5"/>
    </row>
    <row r="55" spans="1:25" ht="15.75" x14ac:dyDescent="0.25">
      <c r="A55" s="285"/>
      <c r="B55" s="286" t="s">
        <v>270</v>
      </c>
      <c r="C55" s="286"/>
      <c r="D55" s="286"/>
      <c r="E55" s="286"/>
      <c r="F55" s="286"/>
      <c r="G55" s="286"/>
      <c r="H55" s="286"/>
      <c r="I55" s="286"/>
      <c r="J55" s="286"/>
      <c r="K55" s="286"/>
      <c r="L55" s="286"/>
      <c r="M55" s="286"/>
      <c r="N55" s="286"/>
      <c r="O55" s="286"/>
      <c r="P55" s="286"/>
      <c r="Q55" s="286"/>
      <c r="R55" s="286"/>
      <c r="S55" s="286"/>
      <c r="T55" s="296"/>
      <c r="U55" s="296"/>
      <c r="V55" s="396" t="s">
        <v>111</v>
      </c>
      <c r="W55" s="289"/>
      <c r="X55" s="5"/>
    </row>
    <row r="56" spans="1:25" ht="15.75" x14ac:dyDescent="0.25">
      <c r="A56" s="285"/>
      <c r="B56" s="297" t="s">
        <v>201</v>
      </c>
      <c r="C56" s="297"/>
      <c r="D56" s="297"/>
      <c r="E56" s="297"/>
      <c r="F56" s="297"/>
      <c r="G56" s="297"/>
      <c r="H56" s="297"/>
      <c r="I56" s="297"/>
      <c r="J56" s="297"/>
      <c r="K56" s="297"/>
      <c r="L56" s="297"/>
      <c r="M56" s="297"/>
      <c r="N56" s="297"/>
      <c r="O56" s="297"/>
      <c r="P56" s="297"/>
      <c r="Q56" s="297"/>
      <c r="R56" s="297"/>
      <c r="S56" s="297"/>
      <c r="T56" s="397"/>
      <c r="U56" s="397"/>
      <c r="V56" s="398">
        <v>42901</v>
      </c>
      <c r="W56" s="289"/>
      <c r="X56" s="5"/>
    </row>
    <row r="57" spans="1:25" ht="15.75" x14ac:dyDescent="0.25">
      <c r="A57" s="285"/>
      <c r="B57" s="286" t="s">
        <v>121</v>
      </c>
      <c r="C57" s="286"/>
      <c r="D57" s="286"/>
      <c r="E57" s="286"/>
      <c r="F57" s="286"/>
      <c r="G57" s="286"/>
      <c r="H57" s="332"/>
      <c r="I57" s="332"/>
      <c r="J57" s="332"/>
      <c r="K57" s="332"/>
      <c r="L57" s="332"/>
      <c r="M57" s="332"/>
      <c r="N57" s="332"/>
      <c r="O57" s="332"/>
      <c r="P57" s="332"/>
      <c r="Q57" s="332"/>
      <c r="R57" s="286">
        <f>+V57-T57+1</f>
        <v>90</v>
      </c>
      <c r="S57" s="332"/>
      <c r="T57" s="333">
        <v>42719</v>
      </c>
      <c r="U57" s="334"/>
      <c r="V57" s="333">
        <v>42808</v>
      </c>
      <c r="W57" s="289"/>
      <c r="X57" s="5"/>
    </row>
    <row r="58" spans="1:25" ht="15.75" x14ac:dyDescent="0.25">
      <c r="A58" s="285"/>
      <c r="B58" s="286" t="s">
        <v>122</v>
      </c>
      <c r="C58" s="286"/>
      <c r="D58" s="286"/>
      <c r="E58" s="286"/>
      <c r="F58" s="286"/>
      <c r="G58" s="286"/>
      <c r="H58" s="286"/>
      <c r="I58" s="286"/>
      <c r="J58" s="286"/>
      <c r="K58" s="286"/>
      <c r="L58" s="286"/>
      <c r="M58" s="286"/>
      <c r="N58" s="286"/>
      <c r="O58" s="286"/>
      <c r="P58" s="286"/>
      <c r="Q58" s="286"/>
      <c r="R58" s="286">
        <f>+V58-T58+1</f>
        <v>92</v>
      </c>
      <c r="S58" s="286"/>
      <c r="T58" s="333">
        <v>42809</v>
      </c>
      <c r="U58" s="334"/>
      <c r="V58" s="333">
        <v>42900</v>
      </c>
      <c r="W58" s="289"/>
      <c r="X58" s="5"/>
    </row>
    <row r="59" spans="1:25" ht="15.75" x14ac:dyDescent="0.25">
      <c r="A59" s="285"/>
      <c r="B59" s="286" t="s">
        <v>223</v>
      </c>
      <c r="C59" s="286"/>
      <c r="D59" s="286"/>
      <c r="E59" s="286"/>
      <c r="F59" s="286"/>
      <c r="G59" s="286"/>
      <c r="H59" s="286"/>
      <c r="I59" s="286"/>
      <c r="J59" s="286"/>
      <c r="K59" s="286"/>
      <c r="L59" s="286"/>
      <c r="M59" s="286"/>
      <c r="N59" s="286"/>
      <c r="O59" s="286"/>
      <c r="P59" s="286"/>
      <c r="Q59" s="286"/>
      <c r="R59" s="286"/>
      <c r="S59" s="286"/>
      <c r="T59" s="333"/>
      <c r="U59" s="334"/>
      <c r="V59" s="333" t="s">
        <v>120</v>
      </c>
      <c r="W59" s="289"/>
      <c r="X59" s="5"/>
    </row>
    <row r="60" spans="1:25" ht="15.75" x14ac:dyDescent="0.25">
      <c r="A60" s="285"/>
      <c r="B60" s="286" t="s">
        <v>271</v>
      </c>
      <c r="C60" s="286"/>
      <c r="D60" s="286"/>
      <c r="E60" s="286"/>
      <c r="F60" s="286"/>
      <c r="G60" s="286"/>
      <c r="H60" s="286"/>
      <c r="I60" s="286"/>
      <c r="J60" s="286"/>
      <c r="K60" s="286"/>
      <c r="L60" s="286"/>
      <c r="M60" s="286"/>
      <c r="N60" s="286"/>
      <c r="O60" s="286"/>
      <c r="P60" s="286"/>
      <c r="Q60" s="286"/>
      <c r="R60" s="286"/>
      <c r="S60" s="286"/>
      <c r="T60" s="333"/>
      <c r="U60" s="334"/>
      <c r="V60" s="333" t="s">
        <v>154</v>
      </c>
      <c r="W60" s="289"/>
      <c r="X60" s="5"/>
      <c r="Y60" s="133"/>
    </row>
    <row r="61" spans="1:25" ht="15.75" x14ac:dyDescent="0.25">
      <c r="A61" s="285"/>
      <c r="B61" s="286" t="s">
        <v>16</v>
      </c>
      <c r="C61" s="286"/>
      <c r="D61" s="286"/>
      <c r="E61" s="286"/>
      <c r="F61" s="286"/>
      <c r="G61" s="286"/>
      <c r="H61" s="286"/>
      <c r="I61" s="286"/>
      <c r="J61" s="286"/>
      <c r="K61" s="286"/>
      <c r="L61" s="286"/>
      <c r="M61" s="286"/>
      <c r="N61" s="286"/>
      <c r="O61" s="286"/>
      <c r="P61" s="286"/>
      <c r="Q61" s="286"/>
      <c r="R61" s="286"/>
      <c r="S61" s="286"/>
      <c r="T61" s="333"/>
      <c r="U61" s="334"/>
      <c r="V61" s="333">
        <v>42887</v>
      </c>
      <c r="W61" s="289"/>
      <c r="X61" s="5"/>
    </row>
    <row r="62" spans="1:25" ht="15.75" x14ac:dyDescent="0.25">
      <c r="A62" s="181"/>
      <c r="B62" s="212"/>
      <c r="C62" s="212"/>
      <c r="D62" s="212"/>
      <c r="E62" s="212"/>
      <c r="F62" s="212"/>
      <c r="G62" s="212"/>
      <c r="H62" s="212"/>
      <c r="I62" s="212"/>
      <c r="J62" s="212"/>
      <c r="K62" s="212"/>
      <c r="L62" s="212"/>
      <c r="M62" s="212"/>
      <c r="N62" s="212"/>
      <c r="O62" s="212"/>
      <c r="P62" s="212"/>
      <c r="Q62" s="212"/>
      <c r="R62" s="212"/>
      <c r="S62" s="212"/>
      <c r="T62" s="283"/>
      <c r="U62" s="284"/>
      <c r="V62" s="283"/>
      <c r="W62" s="212"/>
      <c r="X62" s="5"/>
    </row>
    <row r="63" spans="1:25" ht="15.75" x14ac:dyDescent="0.25">
      <c r="A63" s="181"/>
      <c r="B63" s="183"/>
      <c r="C63" s="183"/>
      <c r="D63" s="183"/>
      <c r="E63" s="183"/>
      <c r="F63" s="183"/>
      <c r="G63" s="183"/>
      <c r="H63" s="183"/>
      <c r="I63" s="183"/>
      <c r="J63" s="183"/>
      <c r="K63" s="183"/>
      <c r="L63" s="183"/>
      <c r="M63" s="183"/>
      <c r="N63" s="183"/>
      <c r="O63" s="183"/>
      <c r="P63" s="183"/>
      <c r="Q63" s="183"/>
      <c r="R63" s="183"/>
      <c r="S63" s="183"/>
      <c r="T63" s="195"/>
      <c r="U63" s="196"/>
      <c r="V63" s="195"/>
      <c r="W63" s="183"/>
      <c r="X63" s="5"/>
    </row>
    <row r="64" spans="1:25" ht="19.5" thickBot="1" x14ac:dyDescent="0.35">
      <c r="A64" s="197"/>
      <c r="B64" s="270" t="s">
        <v>339</v>
      </c>
      <c r="C64" s="198"/>
      <c r="D64" s="198"/>
      <c r="E64" s="198"/>
      <c r="F64" s="198"/>
      <c r="G64" s="198"/>
      <c r="H64" s="198"/>
      <c r="I64" s="198"/>
      <c r="J64" s="198"/>
      <c r="K64" s="198"/>
      <c r="L64" s="198"/>
      <c r="M64" s="198"/>
      <c r="N64" s="198"/>
      <c r="O64" s="198"/>
      <c r="P64" s="198"/>
      <c r="Q64" s="198"/>
      <c r="R64" s="198"/>
      <c r="S64" s="198"/>
      <c r="T64" s="198"/>
      <c r="U64" s="198"/>
      <c r="V64" s="199"/>
      <c r="W64" s="200"/>
      <c r="X64" s="5"/>
    </row>
    <row r="65" spans="1:24" ht="15.75" x14ac:dyDescent="0.25">
      <c r="A65" s="224"/>
      <c r="B65" s="230" t="s">
        <v>17</v>
      </c>
      <c r="C65" s="225"/>
      <c r="D65" s="225"/>
      <c r="E65" s="225"/>
      <c r="F65" s="225"/>
      <c r="G65" s="225"/>
      <c r="H65" s="225"/>
      <c r="I65" s="225"/>
      <c r="J65" s="225"/>
      <c r="K65" s="225"/>
      <c r="L65" s="225"/>
      <c r="M65" s="225"/>
      <c r="N65" s="225"/>
      <c r="O65" s="225"/>
      <c r="P65" s="225"/>
      <c r="Q65" s="225"/>
      <c r="R65" s="225"/>
      <c r="S65" s="225"/>
      <c r="T65" s="225"/>
      <c r="U65" s="225"/>
      <c r="V65" s="231"/>
      <c r="W65" s="225"/>
      <c r="X65" s="5"/>
    </row>
    <row r="66" spans="1:24" ht="15.75" x14ac:dyDescent="0.25">
      <c r="A66" s="181"/>
      <c r="B66" s="189"/>
      <c r="C66" s="183"/>
      <c r="D66" s="183"/>
      <c r="E66" s="183"/>
      <c r="F66" s="183"/>
      <c r="G66" s="183"/>
      <c r="H66" s="183"/>
      <c r="I66" s="183"/>
      <c r="J66" s="183"/>
      <c r="K66" s="183"/>
      <c r="L66" s="183"/>
      <c r="M66" s="183"/>
      <c r="N66" s="183"/>
      <c r="O66" s="183"/>
      <c r="P66" s="183"/>
      <c r="Q66" s="183"/>
      <c r="R66" s="183"/>
      <c r="S66" s="183"/>
      <c r="T66" s="183"/>
      <c r="U66" s="183"/>
      <c r="V66" s="202"/>
      <c r="W66" s="183"/>
      <c r="X66" s="5"/>
    </row>
    <row r="67" spans="1:24" ht="47.25" x14ac:dyDescent="0.25">
      <c r="A67" s="181"/>
      <c r="B67" s="203" t="s">
        <v>18</v>
      </c>
      <c r="C67" s="204"/>
      <c r="D67" s="204"/>
      <c r="E67" s="204"/>
      <c r="F67" s="204"/>
      <c r="G67" s="204"/>
      <c r="H67" s="204"/>
      <c r="I67" s="204"/>
      <c r="J67" s="204"/>
      <c r="K67" s="204"/>
      <c r="L67" s="204" t="s">
        <v>94</v>
      </c>
      <c r="M67" s="204"/>
      <c r="N67" s="204" t="s">
        <v>96</v>
      </c>
      <c r="O67" s="204"/>
      <c r="P67" s="204" t="s">
        <v>98</v>
      </c>
      <c r="Q67" s="204"/>
      <c r="R67" s="204" t="s">
        <v>100</v>
      </c>
      <c r="S67" s="204"/>
      <c r="T67" s="204" t="s">
        <v>106</v>
      </c>
      <c r="U67" s="204"/>
      <c r="V67" s="205" t="s">
        <v>112</v>
      </c>
      <c r="W67" s="206"/>
      <c r="X67" s="5"/>
    </row>
    <row r="68" spans="1:24" ht="15.75" x14ac:dyDescent="0.25">
      <c r="A68" s="285"/>
      <c r="B68" s="286" t="s">
        <v>19</v>
      </c>
      <c r="C68" s="337"/>
      <c r="D68" s="337"/>
      <c r="E68" s="337"/>
      <c r="F68" s="337"/>
      <c r="G68" s="337"/>
      <c r="H68" s="337"/>
      <c r="I68" s="337"/>
      <c r="J68" s="337"/>
      <c r="K68" s="337"/>
      <c r="L68" s="337">
        <v>812446</v>
      </c>
      <c r="M68" s="337"/>
      <c r="N68" s="338">
        <v>671860</v>
      </c>
      <c r="O68" s="337"/>
      <c r="P68" s="337">
        <f>13133+42+33+1</f>
        <v>13209</v>
      </c>
      <c r="Q68" s="337"/>
      <c r="R68" s="337">
        <v>75</v>
      </c>
      <c r="S68" s="337"/>
      <c r="T68" s="337">
        <v>0</v>
      </c>
      <c r="U68" s="337"/>
      <c r="V68" s="338">
        <f>+N68-P68+R68-T68</f>
        <v>658726</v>
      </c>
      <c r="W68" s="289"/>
      <c r="X68" s="5"/>
    </row>
    <row r="69" spans="1:24" ht="15.75" x14ac:dyDescent="0.25">
      <c r="A69" s="285"/>
      <c r="B69" s="286" t="s">
        <v>20</v>
      </c>
      <c r="C69" s="337"/>
      <c r="D69" s="337"/>
      <c r="E69" s="337"/>
      <c r="F69" s="337"/>
      <c r="G69" s="337"/>
      <c r="H69" s="337"/>
      <c r="I69" s="337"/>
      <c r="J69" s="337"/>
      <c r="K69" s="337"/>
      <c r="L69" s="337">
        <v>0</v>
      </c>
      <c r="M69" s="337"/>
      <c r="N69" s="338">
        <v>0</v>
      </c>
      <c r="O69" s="337"/>
      <c r="P69" s="337">
        <v>0</v>
      </c>
      <c r="Q69" s="337"/>
      <c r="R69" s="337">
        <v>0</v>
      </c>
      <c r="S69" s="337"/>
      <c r="T69" s="337">
        <v>0</v>
      </c>
      <c r="U69" s="337"/>
      <c r="V69" s="338">
        <f>+L69-P69</f>
        <v>0</v>
      </c>
      <c r="W69" s="289"/>
      <c r="X69" s="5"/>
    </row>
    <row r="70" spans="1:24" ht="15.75" x14ac:dyDescent="0.25">
      <c r="A70" s="285"/>
      <c r="B70" s="286"/>
      <c r="C70" s="337"/>
      <c r="D70" s="337"/>
      <c r="E70" s="337"/>
      <c r="F70" s="337"/>
      <c r="G70" s="337"/>
      <c r="H70" s="337"/>
      <c r="I70" s="337"/>
      <c r="J70" s="337"/>
      <c r="K70" s="337"/>
      <c r="L70" s="337"/>
      <c r="M70" s="337"/>
      <c r="N70" s="338"/>
      <c r="O70" s="337"/>
      <c r="P70" s="337"/>
      <c r="Q70" s="337"/>
      <c r="R70" s="337"/>
      <c r="S70" s="337"/>
      <c r="T70" s="337"/>
      <c r="U70" s="337"/>
      <c r="V70" s="338"/>
      <c r="W70" s="289"/>
      <c r="X70" s="5"/>
    </row>
    <row r="71" spans="1:24" ht="15.75" x14ac:dyDescent="0.25">
      <c r="A71" s="285"/>
      <c r="B71" s="286" t="s">
        <v>21</v>
      </c>
      <c r="C71" s="337"/>
      <c r="D71" s="337"/>
      <c r="E71" s="337"/>
      <c r="F71" s="337"/>
      <c r="G71" s="337"/>
      <c r="H71" s="337"/>
      <c r="I71" s="337"/>
      <c r="J71" s="337"/>
      <c r="K71" s="337"/>
      <c r="L71" s="337">
        <f>SUM(L68:L70)</f>
        <v>812446</v>
      </c>
      <c r="M71" s="337"/>
      <c r="N71" s="337">
        <f>N68+N69</f>
        <v>671860</v>
      </c>
      <c r="O71" s="337"/>
      <c r="P71" s="337">
        <f>SUM(P68:P70)</f>
        <v>13209</v>
      </c>
      <c r="Q71" s="337"/>
      <c r="R71" s="337">
        <f>SUM(R68:R70)</f>
        <v>75</v>
      </c>
      <c r="S71" s="337"/>
      <c r="T71" s="337">
        <f>SUM(T68:T70)</f>
        <v>0</v>
      </c>
      <c r="U71" s="337"/>
      <c r="V71" s="337">
        <f>SUM(V68:V70)</f>
        <v>658726</v>
      </c>
      <c r="W71" s="289"/>
      <c r="X71" s="5"/>
    </row>
    <row r="72" spans="1:24" ht="15.75" x14ac:dyDescent="0.25">
      <c r="A72" s="181"/>
      <c r="B72" s="212"/>
      <c r="C72" s="335"/>
      <c r="D72" s="335"/>
      <c r="E72" s="335"/>
      <c r="F72" s="335"/>
      <c r="G72" s="335"/>
      <c r="H72" s="335"/>
      <c r="I72" s="335"/>
      <c r="J72" s="335"/>
      <c r="K72" s="335"/>
      <c r="L72" s="335"/>
      <c r="M72" s="335"/>
      <c r="N72" s="335"/>
      <c r="O72" s="335"/>
      <c r="P72" s="335"/>
      <c r="Q72" s="335"/>
      <c r="R72" s="335"/>
      <c r="S72" s="335"/>
      <c r="T72" s="335"/>
      <c r="U72" s="335"/>
      <c r="V72" s="336"/>
      <c r="W72" s="212"/>
      <c r="X72" s="5"/>
    </row>
    <row r="73" spans="1:24" ht="15.75" x14ac:dyDescent="0.25">
      <c r="A73" s="181"/>
      <c r="B73" s="185" t="s">
        <v>22</v>
      </c>
      <c r="C73" s="207"/>
      <c r="D73" s="207"/>
      <c r="E73" s="207"/>
      <c r="F73" s="207"/>
      <c r="G73" s="207"/>
      <c r="H73" s="207"/>
      <c r="I73" s="207"/>
      <c r="J73" s="207"/>
      <c r="K73" s="207"/>
      <c r="L73" s="207"/>
      <c r="M73" s="207"/>
      <c r="N73" s="207"/>
      <c r="O73" s="207"/>
      <c r="P73" s="207"/>
      <c r="Q73" s="207"/>
      <c r="R73" s="207"/>
      <c r="S73" s="207"/>
      <c r="T73" s="207"/>
      <c r="U73" s="207"/>
      <c r="V73" s="208"/>
      <c r="W73" s="183"/>
      <c r="X73" s="5"/>
    </row>
    <row r="74" spans="1:24" ht="15.75" x14ac:dyDescent="0.25">
      <c r="A74" s="181"/>
      <c r="B74" s="183"/>
      <c r="C74" s="207"/>
      <c r="D74" s="207"/>
      <c r="E74" s="207"/>
      <c r="F74" s="207"/>
      <c r="G74" s="207"/>
      <c r="H74" s="207"/>
      <c r="I74" s="207"/>
      <c r="J74" s="207"/>
      <c r="K74" s="207"/>
      <c r="L74" s="207"/>
      <c r="M74" s="207"/>
      <c r="N74" s="207"/>
      <c r="O74" s="207"/>
      <c r="P74" s="207"/>
      <c r="Q74" s="207"/>
      <c r="R74" s="207"/>
      <c r="S74" s="207"/>
      <c r="T74" s="207"/>
      <c r="U74" s="207"/>
      <c r="V74" s="208"/>
      <c r="W74" s="183"/>
      <c r="X74" s="5"/>
    </row>
    <row r="75" spans="1:24" ht="15.75" x14ac:dyDescent="0.25">
      <c r="A75" s="285"/>
      <c r="B75" s="286" t="s">
        <v>19</v>
      </c>
      <c r="C75" s="337"/>
      <c r="D75" s="337"/>
      <c r="E75" s="337"/>
      <c r="F75" s="337"/>
      <c r="G75" s="337"/>
      <c r="H75" s="337"/>
      <c r="I75" s="337"/>
      <c r="J75" s="337"/>
      <c r="K75" s="337"/>
      <c r="L75" s="337"/>
      <c r="M75" s="337"/>
      <c r="N75" s="337"/>
      <c r="O75" s="337"/>
      <c r="P75" s="337"/>
      <c r="Q75" s="337"/>
      <c r="R75" s="337"/>
      <c r="S75" s="337"/>
      <c r="T75" s="337"/>
      <c r="U75" s="337"/>
      <c r="V75" s="337"/>
      <c r="W75" s="289"/>
      <c r="X75" s="5"/>
    </row>
    <row r="76" spans="1:24" ht="15.75" x14ac:dyDescent="0.25">
      <c r="A76" s="285"/>
      <c r="B76" s="286" t="s">
        <v>20</v>
      </c>
      <c r="C76" s="337"/>
      <c r="D76" s="337"/>
      <c r="E76" s="337"/>
      <c r="F76" s="337"/>
      <c r="G76" s="337"/>
      <c r="H76" s="337"/>
      <c r="I76" s="337"/>
      <c r="J76" s="337"/>
      <c r="K76" s="337"/>
      <c r="L76" s="337"/>
      <c r="M76" s="337"/>
      <c r="N76" s="337"/>
      <c r="O76" s="337"/>
      <c r="P76" s="337"/>
      <c r="Q76" s="337"/>
      <c r="R76" s="337"/>
      <c r="S76" s="337"/>
      <c r="T76" s="337"/>
      <c r="U76" s="337"/>
      <c r="V76" s="337"/>
      <c r="W76" s="289"/>
      <c r="X76" s="5"/>
    </row>
    <row r="77" spans="1:24" ht="15.75" x14ac:dyDescent="0.25">
      <c r="A77" s="285"/>
      <c r="B77" s="286"/>
      <c r="C77" s="337"/>
      <c r="D77" s="337"/>
      <c r="E77" s="337"/>
      <c r="F77" s="337"/>
      <c r="G77" s="337"/>
      <c r="H77" s="337"/>
      <c r="I77" s="337"/>
      <c r="J77" s="337"/>
      <c r="K77" s="337"/>
      <c r="L77" s="337"/>
      <c r="M77" s="337"/>
      <c r="N77" s="337"/>
      <c r="O77" s="337"/>
      <c r="P77" s="337"/>
      <c r="Q77" s="337"/>
      <c r="R77" s="337"/>
      <c r="S77" s="337"/>
      <c r="T77" s="337"/>
      <c r="U77" s="337"/>
      <c r="V77" s="337"/>
      <c r="W77" s="289"/>
      <c r="X77" s="5"/>
    </row>
    <row r="78" spans="1:24" ht="15.75" x14ac:dyDescent="0.25">
      <c r="A78" s="285"/>
      <c r="B78" s="286" t="s">
        <v>21</v>
      </c>
      <c r="C78" s="337"/>
      <c r="D78" s="337"/>
      <c r="E78" s="337"/>
      <c r="F78" s="337"/>
      <c r="G78" s="337"/>
      <c r="H78" s="337"/>
      <c r="I78" s="337"/>
      <c r="J78" s="337"/>
      <c r="K78" s="337"/>
      <c r="L78" s="337"/>
      <c r="M78" s="337"/>
      <c r="N78" s="337"/>
      <c r="O78" s="337"/>
      <c r="P78" s="337"/>
      <c r="Q78" s="337"/>
      <c r="R78" s="337"/>
      <c r="S78" s="337"/>
      <c r="T78" s="337"/>
      <c r="U78" s="337"/>
      <c r="V78" s="337"/>
      <c r="W78" s="289"/>
      <c r="X78" s="5"/>
    </row>
    <row r="79" spans="1:24" ht="15.75" x14ac:dyDescent="0.25">
      <c r="A79" s="285"/>
      <c r="B79" s="286"/>
      <c r="C79" s="337"/>
      <c r="D79" s="337"/>
      <c r="E79" s="337"/>
      <c r="F79" s="337"/>
      <c r="G79" s="337"/>
      <c r="H79" s="337"/>
      <c r="I79" s="337"/>
      <c r="J79" s="337"/>
      <c r="K79" s="337"/>
      <c r="L79" s="337"/>
      <c r="M79" s="337"/>
      <c r="N79" s="337"/>
      <c r="O79" s="337"/>
      <c r="P79" s="337"/>
      <c r="Q79" s="337"/>
      <c r="R79" s="337"/>
      <c r="S79" s="337"/>
      <c r="T79" s="337"/>
      <c r="U79" s="337"/>
      <c r="V79" s="337"/>
      <c r="W79" s="289"/>
      <c r="X79" s="5"/>
    </row>
    <row r="80" spans="1:24" ht="15.75" x14ac:dyDescent="0.25">
      <c r="A80" s="285"/>
      <c r="B80" s="286" t="s">
        <v>23</v>
      </c>
      <c r="C80" s="337"/>
      <c r="D80" s="337"/>
      <c r="E80" s="337"/>
      <c r="F80" s="337"/>
      <c r="G80" s="337"/>
      <c r="H80" s="337"/>
      <c r="I80" s="337"/>
      <c r="J80" s="337"/>
      <c r="K80" s="337"/>
      <c r="L80" s="337">
        <v>0</v>
      </c>
      <c r="M80" s="337"/>
      <c r="N80" s="337">
        <v>0</v>
      </c>
      <c r="O80" s="337"/>
      <c r="P80" s="337"/>
      <c r="Q80" s="337"/>
      <c r="R80" s="337"/>
      <c r="S80" s="337"/>
      <c r="T80" s="337"/>
      <c r="U80" s="337"/>
      <c r="V80" s="338">
        <v>0</v>
      </c>
      <c r="W80" s="289"/>
      <c r="X80" s="5"/>
    </row>
    <row r="81" spans="1:24" ht="15.75" x14ac:dyDescent="0.25">
      <c r="A81" s="285"/>
      <c r="B81" s="286" t="s">
        <v>117</v>
      </c>
      <c r="C81" s="337"/>
      <c r="D81" s="337"/>
      <c r="E81" s="337"/>
      <c r="F81" s="337"/>
      <c r="G81" s="337"/>
      <c r="H81" s="337"/>
      <c r="I81" s="337"/>
      <c r="J81" s="337"/>
      <c r="K81" s="337"/>
      <c r="L81" s="337">
        <v>188687</v>
      </c>
      <c r="M81" s="337"/>
      <c r="N81" s="337">
        <v>0</v>
      </c>
      <c r="O81" s="337"/>
      <c r="P81" s="337">
        <v>0</v>
      </c>
      <c r="Q81" s="337"/>
      <c r="R81" s="337"/>
      <c r="S81" s="337"/>
      <c r="T81" s="337"/>
      <c r="U81" s="337"/>
      <c r="V81" s="337">
        <f>SUM(N81:R81)</f>
        <v>0</v>
      </c>
      <c r="W81" s="289"/>
      <c r="X81" s="5"/>
    </row>
    <row r="82" spans="1:24" ht="15.75" x14ac:dyDescent="0.25">
      <c r="A82" s="285"/>
      <c r="B82" s="286"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89"/>
      <c r="X82" s="5"/>
    </row>
    <row r="83" spans="1:24" ht="15.75" x14ac:dyDescent="0.25">
      <c r="A83" s="285"/>
      <c r="B83" s="286" t="s">
        <v>25</v>
      </c>
      <c r="C83" s="337"/>
      <c r="D83" s="337"/>
      <c r="E83" s="337"/>
      <c r="F83" s="337"/>
      <c r="G83" s="337"/>
      <c r="H83" s="337"/>
      <c r="I83" s="337"/>
      <c r="J83" s="337"/>
      <c r="K83" s="337"/>
      <c r="L83" s="337">
        <v>0</v>
      </c>
      <c r="M83" s="337"/>
      <c r="N83" s="337">
        <v>0</v>
      </c>
      <c r="O83" s="337"/>
      <c r="P83" s="337"/>
      <c r="Q83" s="337"/>
      <c r="R83" s="337"/>
      <c r="S83" s="337"/>
      <c r="T83" s="337"/>
      <c r="U83" s="337"/>
      <c r="V83" s="337">
        <v>0</v>
      </c>
      <c r="W83" s="289"/>
      <c r="X83" s="5"/>
    </row>
    <row r="84" spans="1:24" ht="15.75" x14ac:dyDescent="0.25">
      <c r="A84" s="285"/>
      <c r="B84" s="286" t="s">
        <v>26</v>
      </c>
      <c r="C84" s="337"/>
      <c r="D84" s="337"/>
      <c r="E84" s="337"/>
      <c r="F84" s="337"/>
      <c r="G84" s="337"/>
      <c r="H84" s="337"/>
      <c r="I84" s="337"/>
      <c r="J84" s="337"/>
      <c r="K84" s="337"/>
      <c r="L84" s="337">
        <f>SUM(L71:L83)</f>
        <v>1001133</v>
      </c>
      <c r="M84" s="337"/>
      <c r="N84" s="337">
        <f>SUM(N71:N83)</f>
        <v>671860</v>
      </c>
      <c r="O84" s="337"/>
      <c r="P84" s="337"/>
      <c r="Q84" s="337"/>
      <c r="R84" s="337"/>
      <c r="S84" s="337"/>
      <c r="T84" s="337"/>
      <c r="U84" s="337"/>
      <c r="V84" s="337">
        <f>SUM(V71:V83)</f>
        <v>658726</v>
      </c>
      <c r="W84" s="289"/>
      <c r="X84" s="5"/>
    </row>
    <row r="85" spans="1:24" ht="15.75" x14ac:dyDescent="0.25">
      <c r="A85" s="181"/>
      <c r="B85" s="212"/>
      <c r="C85" s="335"/>
      <c r="D85" s="335"/>
      <c r="E85" s="335"/>
      <c r="F85" s="335"/>
      <c r="G85" s="335"/>
      <c r="H85" s="335"/>
      <c r="I85" s="335"/>
      <c r="J85" s="335"/>
      <c r="K85" s="335"/>
      <c r="L85" s="335"/>
      <c r="M85" s="335"/>
      <c r="N85" s="335"/>
      <c r="O85" s="335"/>
      <c r="P85" s="335"/>
      <c r="Q85" s="335"/>
      <c r="R85" s="335"/>
      <c r="S85" s="335"/>
      <c r="T85" s="335"/>
      <c r="U85" s="335"/>
      <c r="V85" s="336"/>
      <c r="W85" s="212"/>
      <c r="X85" s="5"/>
    </row>
    <row r="86" spans="1:24" ht="15.75" x14ac:dyDescent="0.25">
      <c r="A86" s="181"/>
      <c r="B86" s="183"/>
      <c r="C86" s="183"/>
      <c r="D86" s="183"/>
      <c r="E86" s="183"/>
      <c r="F86" s="183"/>
      <c r="G86" s="183"/>
      <c r="H86" s="183"/>
      <c r="I86" s="183"/>
      <c r="J86" s="183"/>
      <c r="K86" s="183"/>
      <c r="L86" s="183"/>
      <c r="M86" s="183"/>
      <c r="N86" s="183"/>
      <c r="O86" s="183"/>
      <c r="P86" s="183"/>
      <c r="Q86" s="183"/>
      <c r="R86" s="183"/>
      <c r="S86" s="183"/>
      <c r="T86" s="183"/>
      <c r="U86" s="183"/>
      <c r="V86" s="183"/>
      <c r="W86" s="183"/>
      <c r="X86" s="5"/>
    </row>
    <row r="87" spans="1:24" ht="15.75" x14ac:dyDescent="0.25">
      <c r="A87" s="224"/>
      <c r="B87" s="399" t="s">
        <v>27</v>
      </c>
      <c r="C87" s="399"/>
      <c r="D87" s="399"/>
      <c r="E87" s="399"/>
      <c r="F87" s="399"/>
      <c r="G87" s="399"/>
      <c r="H87" s="400"/>
      <c r="I87" s="400"/>
      <c r="J87" s="400"/>
      <c r="K87" s="400"/>
      <c r="L87" s="401" t="s">
        <v>95</v>
      </c>
      <c r="M87" s="400"/>
      <c r="N87" s="402">
        <f>+T202</f>
        <v>42886</v>
      </c>
      <c r="O87" s="400"/>
      <c r="P87" s="400"/>
      <c r="Q87" s="400"/>
      <c r="R87" s="400"/>
      <c r="S87" s="400"/>
      <c r="T87" s="400" t="s">
        <v>107</v>
      </c>
      <c r="U87" s="400"/>
      <c r="V87" s="400" t="s">
        <v>113</v>
      </c>
      <c r="W87" s="225"/>
      <c r="X87" s="5"/>
    </row>
    <row r="88" spans="1:24" ht="15.75" x14ac:dyDescent="0.25">
      <c r="A88" s="248"/>
      <c r="B88" s="250" t="s">
        <v>28</v>
      </c>
      <c r="C88" s="194"/>
      <c r="D88" s="194"/>
      <c r="E88" s="194"/>
      <c r="F88" s="194"/>
      <c r="G88" s="194"/>
      <c r="H88" s="194"/>
      <c r="I88" s="194"/>
      <c r="J88" s="194"/>
      <c r="K88" s="194"/>
      <c r="L88" s="194"/>
      <c r="M88" s="194"/>
      <c r="N88" s="194"/>
      <c r="O88" s="194"/>
      <c r="P88" s="194"/>
      <c r="Q88" s="194"/>
      <c r="R88" s="194"/>
      <c r="S88" s="194"/>
      <c r="T88" s="249">
        <v>0</v>
      </c>
      <c r="U88" s="250"/>
      <c r="V88" s="253">
        <v>0</v>
      </c>
      <c r="W88" s="194"/>
      <c r="X88" s="5"/>
    </row>
    <row r="89" spans="1:24" ht="15.75" x14ac:dyDescent="0.25">
      <c r="A89" s="295"/>
      <c r="B89" s="286" t="s">
        <v>29</v>
      </c>
      <c r="C89" s="314"/>
      <c r="D89" s="314"/>
      <c r="E89" s="314"/>
      <c r="F89" s="314"/>
      <c r="G89" s="314"/>
      <c r="H89" s="339"/>
      <c r="I89" s="339"/>
      <c r="J89" s="339"/>
      <c r="K89" s="340"/>
      <c r="L89" s="339"/>
      <c r="M89" s="314"/>
      <c r="N89" s="341"/>
      <c r="O89" s="314"/>
      <c r="P89" s="314"/>
      <c r="Q89" s="314"/>
      <c r="R89" s="314"/>
      <c r="S89" s="314"/>
      <c r="T89" s="337">
        <f>13209-143</f>
        <v>13066</v>
      </c>
      <c r="U89" s="286"/>
      <c r="V89" s="338"/>
      <c r="W89" s="318"/>
      <c r="X89" s="5"/>
    </row>
    <row r="90" spans="1:24" ht="15.75" x14ac:dyDescent="0.25">
      <c r="A90" s="295"/>
      <c r="B90" s="286" t="s">
        <v>215</v>
      </c>
      <c r="C90" s="314"/>
      <c r="D90" s="314"/>
      <c r="E90" s="314"/>
      <c r="F90" s="314"/>
      <c r="G90" s="314"/>
      <c r="H90" s="339"/>
      <c r="I90" s="339"/>
      <c r="J90" s="339"/>
      <c r="K90" s="340"/>
      <c r="L90" s="339"/>
      <c r="M90" s="314"/>
      <c r="N90" s="341"/>
      <c r="O90" s="314"/>
      <c r="P90" s="314"/>
      <c r="Q90" s="314"/>
      <c r="R90" s="314"/>
      <c r="S90" s="314"/>
      <c r="T90" s="337"/>
      <c r="U90" s="286"/>
      <c r="V90" s="338">
        <f>2726+2749-565-1035</f>
        <v>3875</v>
      </c>
      <c r="W90" s="318"/>
      <c r="X90" s="5"/>
    </row>
    <row r="91" spans="1:24" ht="15.75" x14ac:dyDescent="0.25">
      <c r="A91" s="295"/>
      <c r="B91" s="286" t="s">
        <v>210</v>
      </c>
      <c r="C91" s="314"/>
      <c r="D91" s="314"/>
      <c r="E91" s="314"/>
      <c r="F91" s="314"/>
      <c r="G91" s="314"/>
      <c r="H91" s="339"/>
      <c r="I91" s="339"/>
      <c r="J91" s="339"/>
      <c r="K91" s="340"/>
      <c r="L91" s="339"/>
      <c r="M91" s="314"/>
      <c r="N91" s="341"/>
      <c r="O91" s="314"/>
      <c r="P91" s="314"/>
      <c r="Q91" s="314"/>
      <c r="R91" s="314"/>
      <c r="S91" s="314"/>
      <c r="T91" s="337"/>
      <c r="U91" s="286"/>
      <c r="V91" s="338">
        <f>53+65</f>
        <v>118</v>
      </c>
      <c r="W91" s="318"/>
      <c r="X91" s="5"/>
    </row>
    <row r="92" spans="1:24" ht="15.75" x14ac:dyDescent="0.25">
      <c r="A92" s="295"/>
      <c r="B92" s="286" t="s">
        <v>211</v>
      </c>
      <c r="C92" s="314"/>
      <c r="D92" s="314"/>
      <c r="E92" s="314"/>
      <c r="F92" s="314"/>
      <c r="G92" s="314"/>
      <c r="H92" s="339"/>
      <c r="I92" s="339"/>
      <c r="J92" s="339"/>
      <c r="K92" s="340"/>
      <c r="L92" s="339"/>
      <c r="M92" s="314"/>
      <c r="N92" s="341"/>
      <c r="O92" s="314"/>
      <c r="P92" s="314"/>
      <c r="Q92" s="314"/>
      <c r="R92" s="314"/>
      <c r="S92" s="314"/>
      <c r="T92" s="337"/>
      <c r="U92" s="286"/>
      <c r="V92" s="338">
        <v>19</v>
      </c>
      <c r="W92" s="318"/>
      <c r="X92" s="5"/>
    </row>
    <row r="93" spans="1:24" ht="15.75" x14ac:dyDescent="0.25">
      <c r="A93" s="295"/>
      <c r="B93" s="286" t="s">
        <v>233</v>
      </c>
      <c r="C93" s="314"/>
      <c r="D93" s="314"/>
      <c r="E93" s="314"/>
      <c r="F93" s="314"/>
      <c r="G93" s="314"/>
      <c r="H93" s="339"/>
      <c r="I93" s="339"/>
      <c r="J93" s="339"/>
      <c r="K93" s="340"/>
      <c r="L93" s="339"/>
      <c r="M93" s="314"/>
      <c r="N93" s="341"/>
      <c r="O93" s="314"/>
      <c r="P93" s="314"/>
      <c r="Q93" s="314"/>
      <c r="R93" s="314"/>
      <c r="S93" s="314"/>
      <c r="T93" s="337"/>
      <c r="U93" s="286"/>
      <c r="V93" s="338">
        <v>0</v>
      </c>
      <c r="W93" s="318"/>
      <c r="X93" s="5"/>
    </row>
    <row r="94" spans="1:24" ht="15.75" x14ac:dyDescent="0.25">
      <c r="A94" s="295"/>
      <c r="B94" s="286" t="s">
        <v>235</v>
      </c>
      <c r="C94" s="314"/>
      <c r="D94" s="314"/>
      <c r="E94" s="314"/>
      <c r="F94" s="314"/>
      <c r="G94" s="314"/>
      <c r="H94" s="339"/>
      <c r="I94" s="339"/>
      <c r="J94" s="339"/>
      <c r="K94" s="340"/>
      <c r="L94" s="339"/>
      <c r="M94" s="314"/>
      <c r="N94" s="341"/>
      <c r="O94" s="314"/>
      <c r="P94" s="314"/>
      <c r="Q94" s="314"/>
      <c r="R94" s="314"/>
      <c r="S94" s="314"/>
      <c r="T94" s="337"/>
      <c r="U94" s="286"/>
      <c r="V94" s="338">
        <v>0</v>
      </c>
      <c r="W94" s="318"/>
      <c r="X94" s="5"/>
    </row>
    <row r="95" spans="1:24" ht="15.75" x14ac:dyDescent="0.25">
      <c r="A95" s="295"/>
      <c r="B95" s="286" t="s">
        <v>135</v>
      </c>
      <c r="C95" s="314"/>
      <c r="D95" s="314"/>
      <c r="E95" s="314"/>
      <c r="F95" s="314"/>
      <c r="G95" s="314"/>
      <c r="H95" s="314"/>
      <c r="I95" s="314"/>
      <c r="J95" s="314"/>
      <c r="K95" s="314"/>
      <c r="L95" s="314"/>
      <c r="M95" s="314"/>
      <c r="N95" s="314"/>
      <c r="O95" s="314"/>
      <c r="P95" s="314"/>
      <c r="Q95" s="314"/>
      <c r="R95" s="314"/>
      <c r="S95" s="314"/>
      <c r="T95" s="337"/>
      <c r="U95" s="286"/>
      <c r="V95" s="338">
        <v>0</v>
      </c>
      <c r="W95" s="318"/>
      <c r="X95" s="5"/>
    </row>
    <row r="96" spans="1:24" ht="15.75" x14ac:dyDescent="0.25">
      <c r="A96" s="295"/>
      <c r="B96" s="286" t="s">
        <v>272</v>
      </c>
      <c r="C96" s="314"/>
      <c r="D96" s="314"/>
      <c r="E96" s="314"/>
      <c r="F96" s="314"/>
      <c r="G96" s="314"/>
      <c r="H96" s="314"/>
      <c r="I96" s="314"/>
      <c r="J96" s="314"/>
      <c r="K96" s="314"/>
      <c r="L96" s="314"/>
      <c r="M96" s="314"/>
      <c r="N96" s="314"/>
      <c r="O96" s="314"/>
      <c r="P96" s="314"/>
      <c r="Q96" s="314"/>
      <c r="R96" s="314"/>
      <c r="S96" s="314"/>
      <c r="T96" s="337"/>
      <c r="U96" s="286"/>
      <c r="V96" s="338">
        <v>0</v>
      </c>
      <c r="W96" s="318"/>
      <c r="X96" s="5"/>
    </row>
    <row r="97" spans="1:25" ht="15.75" x14ac:dyDescent="0.25">
      <c r="A97" s="295"/>
      <c r="B97" s="286" t="s">
        <v>30</v>
      </c>
      <c r="C97" s="314"/>
      <c r="D97" s="314"/>
      <c r="E97" s="314"/>
      <c r="F97" s="314"/>
      <c r="G97" s="314"/>
      <c r="H97" s="314"/>
      <c r="I97" s="314"/>
      <c r="J97" s="314"/>
      <c r="K97" s="314"/>
      <c r="L97" s="314"/>
      <c r="M97" s="314"/>
      <c r="N97" s="314"/>
      <c r="O97" s="314"/>
      <c r="P97" s="314"/>
      <c r="Q97" s="314"/>
      <c r="R97" s="314"/>
      <c r="S97" s="314"/>
      <c r="T97" s="337">
        <f>SUM(T88:T96)</f>
        <v>13066</v>
      </c>
      <c r="U97" s="286"/>
      <c r="V97" s="337">
        <f>SUM(V88:V96)</f>
        <v>4012</v>
      </c>
      <c r="W97" s="318"/>
      <c r="X97" s="5"/>
    </row>
    <row r="98" spans="1:25" ht="15.75" x14ac:dyDescent="0.25">
      <c r="A98" s="295"/>
      <c r="B98" s="286" t="s">
        <v>161</v>
      </c>
      <c r="C98" s="314"/>
      <c r="D98" s="314"/>
      <c r="E98" s="314"/>
      <c r="F98" s="314"/>
      <c r="G98" s="314"/>
      <c r="H98" s="314"/>
      <c r="I98" s="314"/>
      <c r="J98" s="314"/>
      <c r="K98" s="314"/>
      <c r="L98" s="314"/>
      <c r="M98" s="314"/>
      <c r="N98" s="314"/>
      <c r="O98" s="314"/>
      <c r="P98" s="314"/>
      <c r="Q98" s="314"/>
      <c r="R98" s="314"/>
      <c r="S98" s="314"/>
      <c r="T98" s="337">
        <f>-V98</f>
        <v>0</v>
      </c>
      <c r="U98" s="286"/>
      <c r="V98" s="337">
        <v>0</v>
      </c>
      <c r="W98" s="318"/>
      <c r="X98" s="5"/>
    </row>
    <row r="99" spans="1:25" ht="15.75" x14ac:dyDescent="0.25">
      <c r="A99" s="295"/>
      <c r="B99" s="286" t="s">
        <v>31</v>
      </c>
      <c r="C99" s="314"/>
      <c r="D99" s="314"/>
      <c r="E99" s="314"/>
      <c r="F99" s="314"/>
      <c r="G99" s="314"/>
      <c r="H99" s="314"/>
      <c r="I99" s="314"/>
      <c r="J99" s="314"/>
      <c r="K99" s="314"/>
      <c r="L99" s="314"/>
      <c r="M99" s="314"/>
      <c r="N99" s="314"/>
      <c r="O99" s="314"/>
      <c r="P99" s="314"/>
      <c r="Q99" s="314"/>
      <c r="R99" s="314"/>
      <c r="S99" s="314"/>
      <c r="T99" s="337">
        <f>-V99</f>
        <v>0</v>
      </c>
      <c r="U99" s="286"/>
      <c r="V99" s="338">
        <v>0</v>
      </c>
      <c r="W99" s="318"/>
      <c r="X99" s="5"/>
    </row>
    <row r="100" spans="1:25" ht="15.75" x14ac:dyDescent="0.25">
      <c r="A100" s="295"/>
      <c r="B100" s="286" t="s">
        <v>274</v>
      </c>
      <c r="C100" s="314"/>
      <c r="D100" s="314"/>
      <c r="E100" s="314"/>
      <c r="F100" s="314"/>
      <c r="G100" s="314"/>
      <c r="H100" s="314"/>
      <c r="I100" s="314"/>
      <c r="J100" s="314"/>
      <c r="K100" s="314"/>
      <c r="L100" s="314"/>
      <c r="M100" s="314"/>
      <c r="N100" s="314"/>
      <c r="O100" s="314"/>
      <c r="P100" s="314"/>
      <c r="Q100" s="314"/>
      <c r="R100" s="314"/>
      <c r="S100" s="314"/>
      <c r="T100" s="337"/>
      <c r="U100" s="286"/>
      <c r="V100" s="338">
        <v>-208</v>
      </c>
      <c r="W100" s="318"/>
      <c r="X100" s="5"/>
    </row>
    <row r="101" spans="1:25" ht="15.75" x14ac:dyDescent="0.25">
      <c r="A101" s="295"/>
      <c r="B101" s="286" t="s">
        <v>32</v>
      </c>
      <c r="C101" s="314"/>
      <c r="D101" s="314"/>
      <c r="E101" s="314"/>
      <c r="F101" s="314"/>
      <c r="G101" s="314"/>
      <c r="H101" s="314"/>
      <c r="I101" s="314"/>
      <c r="J101" s="314"/>
      <c r="K101" s="314"/>
      <c r="L101" s="314"/>
      <c r="M101" s="314"/>
      <c r="N101" s="314"/>
      <c r="O101" s="314"/>
      <c r="P101" s="314"/>
      <c r="Q101" s="314"/>
      <c r="R101" s="314"/>
      <c r="S101" s="314"/>
      <c r="T101" s="337">
        <f>T97+T99+T98</f>
        <v>13066</v>
      </c>
      <c r="U101" s="286"/>
      <c r="V101" s="337">
        <f>V97+V99+V98+V100</f>
        <v>3804</v>
      </c>
      <c r="W101" s="318"/>
      <c r="X101" s="5"/>
    </row>
    <row r="102" spans="1:25" ht="15.75" x14ac:dyDescent="0.25">
      <c r="A102" s="285"/>
      <c r="B102" s="342" t="s">
        <v>33</v>
      </c>
      <c r="C102" s="314"/>
      <c r="D102" s="314"/>
      <c r="E102" s="314"/>
      <c r="F102" s="314"/>
      <c r="G102" s="314"/>
      <c r="H102" s="314"/>
      <c r="I102" s="314"/>
      <c r="J102" s="314"/>
      <c r="K102" s="314"/>
      <c r="L102" s="314"/>
      <c r="M102" s="314"/>
      <c r="N102" s="314"/>
      <c r="O102" s="314"/>
      <c r="P102" s="314"/>
      <c r="Q102" s="314"/>
      <c r="R102" s="314"/>
      <c r="S102" s="314"/>
      <c r="T102" s="337"/>
      <c r="U102" s="286"/>
      <c r="V102" s="338"/>
      <c r="W102" s="318"/>
      <c r="X102" s="5"/>
    </row>
    <row r="103" spans="1:25" ht="15.75" x14ac:dyDescent="0.25">
      <c r="A103" s="295">
        <v>1</v>
      </c>
      <c r="B103" s="286" t="s">
        <v>34</v>
      </c>
      <c r="C103" s="286"/>
      <c r="D103" s="286"/>
      <c r="E103" s="314"/>
      <c r="F103" s="314"/>
      <c r="G103" s="314"/>
      <c r="H103" s="314"/>
      <c r="I103" s="314"/>
      <c r="J103" s="314"/>
      <c r="K103" s="314"/>
      <c r="L103" s="314"/>
      <c r="M103" s="314"/>
      <c r="N103" s="314"/>
      <c r="O103" s="314"/>
      <c r="P103" s="314"/>
      <c r="Q103" s="314"/>
      <c r="R103" s="314"/>
      <c r="S103" s="314"/>
      <c r="T103" s="286"/>
      <c r="U103" s="286"/>
      <c r="V103" s="338">
        <v>0</v>
      </c>
      <c r="W103" s="318"/>
      <c r="X103" s="5"/>
    </row>
    <row r="104" spans="1:25" ht="15.75" x14ac:dyDescent="0.25">
      <c r="A104" s="295">
        <f>+A103+1</f>
        <v>2</v>
      </c>
      <c r="B104" s="286" t="s">
        <v>314</v>
      </c>
      <c r="C104" s="286"/>
      <c r="D104" s="286"/>
      <c r="E104" s="314"/>
      <c r="F104" s="314"/>
      <c r="G104" s="314"/>
      <c r="H104" s="314"/>
      <c r="I104" s="314"/>
      <c r="J104" s="314"/>
      <c r="K104" s="314"/>
      <c r="L104" s="314"/>
      <c r="M104" s="314"/>
      <c r="N104" s="314"/>
      <c r="O104" s="314"/>
      <c r="P104" s="314"/>
      <c r="Q104" s="314"/>
      <c r="R104" s="314"/>
      <c r="S104" s="314"/>
      <c r="T104" s="286"/>
      <c r="U104" s="286"/>
      <c r="V104" s="338">
        <v>-2</v>
      </c>
      <c r="W104" s="318"/>
      <c r="X104" s="5"/>
    </row>
    <row r="105" spans="1:25" ht="15.75" x14ac:dyDescent="0.25">
      <c r="A105" s="295">
        <f>+A104+1</f>
        <v>3</v>
      </c>
      <c r="B105" s="412" t="s">
        <v>316</v>
      </c>
      <c r="C105" s="286"/>
      <c r="D105" s="286"/>
      <c r="E105" s="314"/>
      <c r="F105" s="314"/>
      <c r="G105" s="314"/>
      <c r="H105" s="314"/>
      <c r="I105" s="314"/>
      <c r="J105" s="314"/>
      <c r="K105" s="314"/>
      <c r="L105" s="314"/>
      <c r="M105" s="314"/>
      <c r="N105" s="314"/>
      <c r="O105" s="314"/>
      <c r="P105" s="314"/>
      <c r="Q105" s="314"/>
      <c r="R105" s="314"/>
      <c r="S105" s="314"/>
      <c r="T105" s="286"/>
      <c r="U105" s="286"/>
      <c r="V105" s="338">
        <f>-258-103-8</f>
        <v>-369</v>
      </c>
      <c r="W105" s="318"/>
      <c r="X105" s="5"/>
    </row>
    <row r="106" spans="1:25" ht="15.75" x14ac:dyDescent="0.25">
      <c r="A106" s="295" t="s">
        <v>127</v>
      </c>
      <c r="B106" s="286" t="s">
        <v>116</v>
      </c>
      <c r="C106" s="286"/>
      <c r="D106" s="286"/>
      <c r="E106" s="314"/>
      <c r="F106" s="314"/>
      <c r="G106" s="314"/>
      <c r="H106" s="314"/>
      <c r="I106" s="314"/>
      <c r="J106" s="314"/>
      <c r="K106" s="314"/>
      <c r="L106" s="314"/>
      <c r="M106" s="314"/>
      <c r="N106" s="314"/>
      <c r="O106" s="314"/>
      <c r="P106" s="314"/>
      <c r="Q106" s="314"/>
      <c r="R106" s="314"/>
      <c r="S106" s="314"/>
      <c r="T106" s="286"/>
      <c r="U106" s="286"/>
      <c r="V106" s="338">
        <v>0</v>
      </c>
      <c r="W106" s="318"/>
      <c r="X106" s="5"/>
    </row>
    <row r="107" spans="1:25" ht="15.75" x14ac:dyDescent="0.25">
      <c r="A107" s="295" t="s">
        <v>128</v>
      </c>
      <c r="B107" s="286" t="s">
        <v>220</v>
      </c>
      <c r="C107" s="286"/>
      <c r="D107" s="286"/>
      <c r="E107" s="314"/>
      <c r="F107" s="314"/>
      <c r="G107" s="314"/>
      <c r="H107" s="314"/>
      <c r="I107" s="314"/>
      <c r="J107" s="314"/>
      <c r="K107" s="314"/>
      <c r="L107" s="314"/>
      <c r="M107" s="314"/>
      <c r="N107" s="314"/>
      <c r="O107" s="314"/>
      <c r="P107" s="314"/>
      <c r="Q107" s="314"/>
      <c r="R107" s="314"/>
      <c r="S107" s="314"/>
      <c r="T107" s="286"/>
      <c r="U107" s="286"/>
      <c r="V107" s="338">
        <f>-752+196</f>
        <v>-556</v>
      </c>
      <c r="W107" s="318"/>
      <c r="X107" s="5"/>
      <c r="Y107" s="109"/>
    </row>
    <row r="108" spans="1:25" ht="15.75" x14ac:dyDescent="0.25">
      <c r="A108" s="295" t="s">
        <v>150</v>
      </c>
      <c r="B108" s="286" t="s">
        <v>184</v>
      </c>
      <c r="C108" s="286"/>
      <c r="D108" s="286"/>
      <c r="E108" s="314"/>
      <c r="F108" s="314"/>
      <c r="G108" s="314"/>
      <c r="H108" s="314"/>
      <c r="I108" s="314"/>
      <c r="J108" s="314"/>
      <c r="K108" s="314"/>
      <c r="L108" s="314"/>
      <c r="M108" s="314"/>
      <c r="N108" s="314"/>
      <c r="O108" s="314"/>
      <c r="P108" s="314"/>
      <c r="Q108" s="314"/>
      <c r="R108" s="314"/>
      <c r="S108" s="314"/>
      <c r="T108" s="286"/>
      <c r="U108" s="286"/>
      <c r="V108" s="338">
        <v>-196</v>
      </c>
      <c r="W108" s="318"/>
      <c r="X108" s="5"/>
      <c r="Y108" s="109"/>
    </row>
    <row r="109" spans="1:25" ht="15.75" x14ac:dyDescent="0.25">
      <c r="A109" s="295" t="s">
        <v>205</v>
      </c>
      <c r="B109" s="286" t="s">
        <v>185</v>
      </c>
      <c r="C109" s="286"/>
      <c r="D109" s="286"/>
      <c r="E109" s="314"/>
      <c r="F109" s="314"/>
      <c r="G109" s="314"/>
      <c r="H109" s="314"/>
      <c r="I109" s="314"/>
      <c r="J109" s="314"/>
      <c r="K109" s="314"/>
      <c r="L109" s="314"/>
      <c r="M109" s="314"/>
      <c r="N109" s="314"/>
      <c r="O109" s="314"/>
      <c r="P109" s="314"/>
      <c r="Q109" s="314"/>
      <c r="R109" s="314"/>
      <c r="S109" s="314"/>
      <c r="T109" s="286"/>
      <c r="U109" s="286"/>
      <c r="V109" s="338">
        <v>-140</v>
      </c>
      <c r="W109" s="318"/>
      <c r="X109" s="5"/>
      <c r="Y109" s="109"/>
    </row>
    <row r="110" spans="1:25" ht="15.75" x14ac:dyDescent="0.25">
      <c r="A110" s="295" t="s">
        <v>206</v>
      </c>
      <c r="B110" s="286" t="s">
        <v>186</v>
      </c>
      <c r="C110" s="286"/>
      <c r="D110" s="286"/>
      <c r="E110" s="314"/>
      <c r="F110" s="314"/>
      <c r="G110" s="314"/>
      <c r="H110" s="314"/>
      <c r="I110" s="314"/>
      <c r="J110" s="314"/>
      <c r="K110" s="314"/>
      <c r="L110" s="314"/>
      <c r="M110" s="314"/>
      <c r="N110" s="314"/>
      <c r="O110" s="314"/>
      <c r="P110" s="314"/>
      <c r="Q110" s="314"/>
      <c r="R110" s="314"/>
      <c r="S110" s="314"/>
      <c r="T110" s="286"/>
      <c r="U110" s="286"/>
      <c r="V110" s="338">
        <v>-38</v>
      </c>
      <c r="W110" s="318"/>
      <c r="X110" s="5"/>
      <c r="Y110" s="109"/>
    </row>
    <row r="111" spans="1:25" ht="15.75" x14ac:dyDescent="0.25">
      <c r="A111" s="295">
        <v>6</v>
      </c>
      <c r="B111" s="286" t="s">
        <v>196</v>
      </c>
      <c r="C111" s="286"/>
      <c r="D111" s="286"/>
      <c r="E111" s="314"/>
      <c r="F111" s="314"/>
      <c r="G111" s="314"/>
      <c r="H111" s="314"/>
      <c r="I111" s="314"/>
      <c r="J111" s="314"/>
      <c r="K111" s="314"/>
      <c r="L111" s="314"/>
      <c r="M111" s="314"/>
      <c r="N111" s="314"/>
      <c r="O111" s="314"/>
      <c r="P111" s="314"/>
      <c r="Q111" s="314"/>
      <c r="R111" s="314"/>
      <c r="S111" s="314"/>
      <c r="T111" s="286"/>
      <c r="U111" s="286"/>
      <c r="V111" s="338">
        <v>-297</v>
      </c>
      <c r="W111" s="318"/>
      <c r="X111" s="5"/>
      <c r="Y111" s="109"/>
    </row>
    <row r="112" spans="1:25" ht="15.75" x14ac:dyDescent="0.25">
      <c r="A112" s="295">
        <v>7</v>
      </c>
      <c r="B112" s="412" t="s">
        <v>315</v>
      </c>
      <c r="C112" s="286"/>
      <c r="D112" s="286"/>
      <c r="E112" s="314"/>
      <c r="F112" s="314"/>
      <c r="G112" s="314"/>
      <c r="H112" s="314"/>
      <c r="I112" s="314"/>
      <c r="J112" s="314"/>
      <c r="K112" s="314"/>
      <c r="L112" s="314"/>
      <c r="M112" s="314"/>
      <c r="N112" s="314"/>
      <c r="O112" s="314"/>
      <c r="P112" s="314"/>
      <c r="Q112" s="314"/>
      <c r="R112" s="314"/>
      <c r="S112" s="314"/>
      <c r="T112" s="286"/>
      <c r="U112" s="286"/>
      <c r="V112" s="338">
        <v>0</v>
      </c>
      <c r="W112" s="318"/>
      <c r="X112" s="5"/>
      <c r="Y112" s="109"/>
    </row>
    <row r="113" spans="1:24" ht="15.75" x14ac:dyDescent="0.25">
      <c r="A113" s="295">
        <v>8</v>
      </c>
      <c r="B113" s="286" t="s">
        <v>35</v>
      </c>
      <c r="C113" s="286"/>
      <c r="D113" s="286"/>
      <c r="E113" s="314"/>
      <c r="F113" s="314"/>
      <c r="G113" s="314"/>
      <c r="H113" s="314"/>
      <c r="I113" s="314"/>
      <c r="J113" s="314"/>
      <c r="K113" s="314"/>
      <c r="L113" s="314"/>
      <c r="M113" s="314"/>
      <c r="N113" s="314"/>
      <c r="O113" s="314"/>
      <c r="P113" s="314"/>
      <c r="Q113" s="314"/>
      <c r="R113" s="314"/>
      <c r="S113" s="314"/>
      <c r="T113" s="286"/>
      <c r="U113" s="286"/>
      <c r="V113" s="338">
        <v>-24</v>
      </c>
      <c r="W113" s="318"/>
      <c r="X113" s="5"/>
    </row>
    <row r="114" spans="1:24" ht="15.75" x14ac:dyDescent="0.25">
      <c r="A114" s="295">
        <f t="shared" ref="A114:A119" si="0">+A113+1</f>
        <v>9</v>
      </c>
      <c r="B114" s="286" t="s">
        <v>45</v>
      </c>
      <c r="C114" s="286"/>
      <c r="D114" s="286"/>
      <c r="E114" s="314"/>
      <c r="F114" s="314"/>
      <c r="G114" s="314"/>
      <c r="H114" s="314"/>
      <c r="I114" s="314"/>
      <c r="J114" s="314"/>
      <c r="K114" s="314"/>
      <c r="L114" s="314"/>
      <c r="M114" s="314"/>
      <c r="N114" s="314"/>
      <c r="O114" s="314"/>
      <c r="P114" s="314"/>
      <c r="Q114" s="314"/>
      <c r="R114" s="314"/>
      <c r="S114" s="314"/>
      <c r="T114" s="337">
        <f>-V114</f>
        <v>143</v>
      </c>
      <c r="U114" s="286"/>
      <c r="V114" s="338">
        <v>-143</v>
      </c>
      <c r="W114" s="318"/>
      <c r="X114" s="5"/>
    </row>
    <row r="115" spans="1:24" ht="15.75" x14ac:dyDescent="0.25">
      <c r="A115" s="295">
        <f t="shared" si="0"/>
        <v>10</v>
      </c>
      <c r="B115" s="286" t="s">
        <v>125</v>
      </c>
      <c r="C115" s="286"/>
      <c r="D115" s="286"/>
      <c r="E115" s="314"/>
      <c r="F115" s="314"/>
      <c r="G115" s="314"/>
      <c r="H115" s="314"/>
      <c r="I115" s="314"/>
      <c r="J115" s="314"/>
      <c r="K115" s="314"/>
      <c r="L115" s="314"/>
      <c r="M115" s="314"/>
      <c r="N115" s="314"/>
      <c r="O115" s="314"/>
      <c r="P115" s="314"/>
      <c r="Q115" s="314"/>
      <c r="R115" s="314"/>
      <c r="S115" s="314"/>
      <c r="T115" s="286"/>
      <c r="U115" s="286"/>
      <c r="V115" s="338">
        <v>0</v>
      </c>
      <c r="W115" s="318"/>
      <c r="X115" s="5"/>
    </row>
    <row r="116" spans="1:24" ht="15.75" x14ac:dyDescent="0.25">
      <c r="A116" s="295">
        <f t="shared" si="0"/>
        <v>11</v>
      </c>
      <c r="B116" s="286" t="s">
        <v>225</v>
      </c>
      <c r="C116" s="286"/>
      <c r="D116" s="286"/>
      <c r="E116" s="314"/>
      <c r="F116" s="314"/>
      <c r="G116" s="314"/>
      <c r="H116" s="314"/>
      <c r="I116" s="314"/>
      <c r="J116" s="314"/>
      <c r="K116" s="314"/>
      <c r="L116" s="314"/>
      <c r="M116" s="314"/>
      <c r="N116" s="314"/>
      <c r="O116" s="314"/>
      <c r="P116" s="314"/>
      <c r="Q116" s="314"/>
      <c r="R116" s="314"/>
      <c r="S116" s="314"/>
      <c r="T116" s="286"/>
      <c r="U116" s="286"/>
      <c r="V116" s="338">
        <v>0</v>
      </c>
      <c r="W116" s="318"/>
      <c r="X116" s="5"/>
    </row>
    <row r="117" spans="1:24" ht="15.75" x14ac:dyDescent="0.25">
      <c r="A117" s="295">
        <f t="shared" si="0"/>
        <v>12</v>
      </c>
      <c r="B117" s="286" t="s">
        <v>36</v>
      </c>
      <c r="C117" s="286"/>
      <c r="D117" s="286"/>
      <c r="E117" s="314"/>
      <c r="F117" s="314"/>
      <c r="G117" s="314"/>
      <c r="H117" s="314"/>
      <c r="I117" s="314"/>
      <c r="J117" s="314"/>
      <c r="K117" s="314"/>
      <c r="L117" s="314"/>
      <c r="M117" s="314"/>
      <c r="N117" s="314"/>
      <c r="O117" s="314"/>
      <c r="P117" s="314"/>
      <c r="Q117" s="314"/>
      <c r="R117" s="314"/>
      <c r="S117" s="314"/>
      <c r="T117" s="286"/>
      <c r="U117" s="286"/>
      <c r="V117" s="338">
        <v>0</v>
      </c>
      <c r="W117" s="318"/>
      <c r="X117" s="5"/>
    </row>
    <row r="118" spans="1:24" ht="15.75" x14ac:dyDescent="0.25">
      <c r="A118" s="295">
        <f t="shared" si="0"/>
        <v>13</v>
      </c>
      <c r="B118" s="286" t="s">
        <v>149</v>
      </c>
      <c r="C118" s="286"/>
      <c r="D118" s="286"/>
      <c r="E118" s="314"/>
      <c r="F118" s="314"/>
      <c r="G118" s="314"/>
      <c r="H118" s="314"/>
      <c r="I118" s="314"/>
      <c r="J118" s="314"/>
      <c r="K118" s="314"/>
      <c r="L118" s="314"/>
      <c r="M118" s="314"/>
      <c r="N118" s="314"/>
      <c r="O118" s="314"/>
      <c r="P118" s="314"/>
      <c r="Q118" s="314"/>
      <c r="R118" s="314"/>
      <c r="S118" s="314"/>
      <c r="T118" s="286"/>
      <c r="U118" s="286"/>
      <c r="V118" s="338">
        <v>-257</v>
      </c>
      <c r="W118" s="318"/>
      <c r="X118" s="5"/>
    </row>
    <row r="119" spans="1:24" ht="15.75" x14ac:dyDescent="0.25">
      <c r="A119" s="295">
        <f t="shared" si="0"/>
        <v>14</v>
      </c>
      <c r="B119" s="286" t="s">
        <v>126</v>
      </c>
      <c r="C119" s="286"/>
      <c r="D119" s="286"/>
      <c r="E119" s="314"/>
      <c r="F119" s="314"/>
      <c r="G119" s="314"/>
      <c r="H119" s="314"/>
      <c r="I119" s="314"/>
      <c r="J119" s="314"/>
      <c r="K119" s="314"/>
      <c r="L119" s="314"/>
      <c r="M119" s="314"/>
      <c r="N119" s="314"/>
      <c r="O119" s="314"/>
      <c r="P119" s="314"/>
      <c r="Q119" s="314"/>
      <c r="R119" s="314"/>
      <c r="S119" s="314"/>
      <c r="T119" s="286"/>
      <c r="U119" s="286"/>
      <c r="V119" s="338">
        <f>-V101-SUM(V103:V118)</f>
        <v>-1782</v>
      </c>
      <c r="W119" s="318"/>
      <c r="X119" s="5"/>
    </row>
    <row r="120" spans="1:24" ht="15.75" x14ac:dyDescent="0.25">
      <c r="A120" s="285"/>
      <c r="B120" s="342" t="s">
        <v>37</v>
      </c>
      <c r="C120" s="314"/>
      <c r="D120" s="314"/>
      <c r="E120" s="314"/>
      <c r="F120" s="314"/>
      <c r="G120" s="314"/>
      <c r="H120" s="314"/>
      <c r="I120" s="314"/>
      <c r="J120" s="314"/>
      <c r="K120" s="314"/>
      <c r="L120" s="314"/>
      <c r="M120" s="314"/>
      <c r="N120" s="314"/>
      <c r="O120" s="314"/>
      <c r="P120" s="314"/>
      <c r="Q120" s="314"/>
      <c r="R120" s="314"/>
      <c r="S120" s="314"/>
      <c r="T120" s="286"/>
      <c r="U120" s="286"/>
      <c r="V120" s="343"/>
      <c r="W120" s="318"/>
      <c r="X120" s="5"/>
    </row>
    <row r="121" spans="1:24" ht="15.75" x14ac:dyDescent="0.25">
      <c r="A121" s="285"/>
      <c r="B121" s="286" t="s">
        <v>173</v>
      </c>
      <c r="C121" s="314"/>
      <c r="D121" s="314"/>
      <c r="E121" s="314"/>
      <c r="F121" s="314"/>
      <c r="G121" s="314"/>
      <c r="H121" s="314"/>
      <c r="I121" s="314"/>
      <c r="J121" s="314"/>
      <c r="K121" s="314"/>
      <c r="L121" s="314"/>
      <c r="M121" s="314"/>
      <c r="N121" s="314"/>
      <c r="O121" s="314"/>
      <c r="P121" s="314"/>
      <c r="Q121" s="314"/>
      <c r="R121" s="314"/>
      <c r="S121" s="314"/>
      <c r="T121" s="337">
        <f>-T186</f>
        <v>0</v>
      </c>
      <c r="U121" s="337"/>
      <c r="V121" s="338"/>
      <c r="W121" s="318"/>
      <c r="X121" s="5"/>
    </row>
    <row r="122" spans="1:24" ht="15.75" x14ac:dyDescent="0.25">
      <c r="A122" s="285"/>
      <c r="B122" s="286" t="s">
        <v>174</v>
      </c>
      <c r="C122" s="314"/>
      <c r="D122" s="314"/>
      <c r="E122" s="314"/>
      <c r="F122" s="314"/>
      <c r="G122" s="314"/>
      <c r="H122" s="314"/>
      <c r="I122" s="314"/>
      <c r="J122" s="314"/>
      <c r="K122" s="314"/>
      <c r="L122" s="314"/>
      <c r="M122" s="314"/>
      <c r="N122" s="314"/>
      <c r="O122" s="314"/>
      <c r="P122" s="314"/>
      <c r="Q122" s="314"/>
      <c r="R122" s="314"/>
      <c r="S122" s="314"/>
      <c r="T122" s="337">
        <v>0</v>
      </c>
      <c r="U122" s="337"/>
      <c r="V122" s="338"/>
      <c r="W122" s="318"/>
      <c r="X122" s="5"/>
    </row>
    <row r="123" spans="1:24" ht="15.75" x14ac:dyDescent="0.25">
      <c r="A123" s="285"/>
      <c r="B123" s="286" t="s">
        <v>38</v>
      </c>
      <c r="C123" s="314"/>
      <c r="D123" s="314"/>
      <c r="E123" s="314"/>
      <c r="F123" s="314"/>
      <c r="G123" s="314"/>
      <c r="H123" s="314"/>
      <c r="I123" s="314"/>
      <c r="J123" s="314"/>
      <c r="K123" s="314"/>
      <c r="L123" s="314"/>
      <c r="M123" s="314"/>
      <c r="N123" s="314"/>
      <c r="O123" s="314"/>
      <c r="P123" s="314"/>
      <c r="Q123" s="314"/>
      <c r="R123" s="314"/>
      <c r="S123" s="314"/>
      <c r="T123" s="337">
        <f>-S186</f>
        <v>-75</v>
      </c>
      <c r="U123" s="337"/>
      <c r="V123" s="338"/>
      <c r="W123" s="318"/>
      <c r="X123" s="5"/>
    </row>
    <row r="124" spans="1:24" ht="15.75" x14ac:dyDescent="0.25">
      <c r="A124" s="285"/>
      <c r="B124" s="286" t="s">
        <v>197</v>
      </c>
      <c r="C124" s="314"/>
      <c r="D124" s="314"/>
      <c r="E124" s="314"/>
      <c r="F124" s="314"/>
      <c r="G124" s="314"/>
      <c r="H124" s="314"/>
      <c r="I124" s="314"/>
      <c r="J124" s="314"/>
      <c r="K124" s="314"/>
      <c r="L124" s="314"/>
      <c r="M124" s="314"/>
      <c r="N124" s="314"/>
      <c r="O124" s="314"/>
      <c r="P124" s="314"/>
      <c r="Q124" s="314"/>
      <c r="R124" s="314"/>
      <c r="S124" s="314"/>
      <c r="T124" s="337">
        <v>-7607</v>
      </c>
      <c r="U124" s="337"/>
      <c r="V124" s="338"/>
      <c r="W124" s="318"/>
      <c r="X124" s="5"/>
    </row>
    <row r="125" spans="1:24" ht="15.75" x14ac:dyDescent="0.25">
      <c r="A125" s="285"/>
      <c r="B125" s="286" t="s">
        <v>195</v>
      </c>
      <c r="C125" s="314"/>
      <c r="D125" s="314"/>
      <c r="E125" s="314"/>
      <c r="F125" s="314"/>
      <c r="G125" s="314"/>
      <c r="H125" s="314"/>
      <c r="I125" s="314"/>
      <c r="J125" s="314"/>
      <c r="K125" s="314"/>
      <c r="L125" s="314"/>
      <c r="M125" s="314"/>
      <c r="N125" s="314"/>
      <c r="O125" s="314"/>
      <c r="P125" s="314"/>
      <c r="Q125" s="314"/>
      <c r="R125" s="314"/>
      <c r="S125" s="314"/>
      <c r="T125" s="337">
        <v>-3233</v>
      </c>
      <c r="U125" s="337"/>
      <c r="V125" s="338"/>
      <c r="W125" s="318"/>
      <c r="X125" s="5"/>
    </row>
    <row r="126" spans="1:24" ht="15.75" x14ac:dyDescent="0.25">
      <c r="A126" s="285"/>
      <c r="B126" s="286" t="s">
        <v>194</v>
      </c>
      <c r="C126" s="314"/>
      <c r="D126" s="314"/>
      <c r="E126" s="314"/>
      <c r="F126" s="314"/>
      <c r="G126" s="314"/>
      <c r="H126" s="314"/>
      <c r="I126" s="314"/>
      <c r="J126" s="314"/>
      <c r="K126" s="314"/>
      <c r="L126" s="314"/>
      <c r="M126" s="314"/>
      <c r="N126" s="314"/>
      <c r="O126" s="314"/>
      <c r="P126" s="314"/>
      <c r="Q126" s="314"/>
      <c r="R126" s="314"/>
      <c r="S126" s="314"/>
      <c r="T126" s="337">
        <v>-1153</v>
      </c>
      <c r="U126" s="337"/>
      <c r="V126" s="338"/>
      <c r="W126" s="318"/>
      <c r="X126" s="5"/>
    </row>
    <row r="127" spans="1:24" ht="15.75" x14ac:dyDescent="0.25">
      <c r="A127" s="285"/>
      <c r="B127" s="286" t="s">
        <v>222</v>
      </c>
      <c r="C127" s="314"/>
      <c r="D127" s="314"/>
      <c r="E127" s="314"/>
      <c r="F127" s="314"/>
      <c r="G127" s="314"/>
      <c r="H127" s="314"/>
      <c r="I127" s="314"/>
      <c r="J127" s="314"/>
      <c r="K127" s="314"/>
      <c r="L127" s="314"/>
      <c r="M127" s="314"/>
      <c r="N127" s="314"/>
      <c r="O127" s="314"/>
      <c r="P127" s="314"/>
      <c r="Q127" s="314"/>
      <c r="R127" s="314"/>
      <c r="S127" s="314"/>
      <c r="T127" s="337">
        <v>-1141</v>
      </c>
      <c r="U127" s="337"/>
      <c r="V127" s="338"/>
      <c r="W127" s="318"/>
      <c r="X127" s="5"/>
    </row>
    <row r="128" spans="1:24" ht="15.75" x14ac:dyDescent="0.25">
      <c r="A128" s="285"/>
      <c r="B128" s="286" t="s">
        <v>189</v>
      </c>
      <c r="C128" s="314"/>
      <c r="D128" s="314"/>
      <c r="E128" s="314"/>
      <c r="F128" s="314"/>
      <c r="G128" s="314"/>
      <c r="H128" s="314"/>
      <c r="I128" s="314"/>
      <c r="J128" s="314"/>
      <c r="K128" s="314"/>
      <c r="L128" s="314"/>
      <c r="M128" s="314"/>
      <c r="N128" s="314"/>
      <c r="O128" s="314"/>
      <c r="P128" s="314"/>
      <c r="Q128" s="314"/>
      <c r="R128" s="314"/>
      <c r="S128" s="314"/>
      <c r="T128" s="337">
        <v>0</v>
      </c>
      <c r="U128" s="337"/>
      <c r="V128" s="338"/>
      <c r="W128" s="318"/>
      <c r="X128" s="5"/>
    </row>
    <row r="129" spans="1:24" ht="15.75" x14ac:dyDescent="0.25">
      <c r="A129" s="285"/>
      <c r="B129" s="286" t="s">
        <v>188</v>
      </c>
      <c r="C129" s="314"/>
      <c r="D129" s="314"/>
      <c r="E129" s="314"/>
      <c r="F129" s="314"/>
      <c r="G129" s="314"/>
      <c r="H129" s="314"/>
      <c r="I129" s="314"/>
      <c r="J129" s="314"/>
      <c r="K129" s="314"/>
      <c r="L129" s="314"/>
      <c r="M129" s="314"/>
      <c r="N129" s="314"/>
      <c r="O129" s="314"/>
      <c r="P129" s="314"/>
      <c r="Q129" s="314"/>
      <c r="R129" s="314"/>
      <c r="S129" s="314"/>
      <c r="T129" s="337">
        <v>0</v>
      </c>
      <c r="U129" s="337"/>
      <c r="V129" s="338"/>
      <c r="W129" s="318"/>
      <c r="X129" s="5"/>
    </row>
    <row r="130" spans="1:24" ht="15.75" x14ac:dyDescent="0.25">
      <c r="A130" s="285"/>
      <c r="B130" s="286" t="s">
        <v>187</v>
      </c>
      <c r="C130" s="314"/>
      <c r="D130" s="314"/>
      <c r="E130" s="314"/>
      <c r="F130" s="314"/>
      <c r="G130" s="314"/>
      <c r="H130" s="314"/>
      <c r="I130" s="314"/>
      <c r="J130" s="314"/>
      <c r="K130" s="314"/>
      <c r="L130" s="314"/>
      <c r="M130" s="314"/>
      <c r="N130" s="314"/>
      <c r="O130" s="314"/>
      <c r="P130" s="314"/>
      <c r="Q130" s="314"/>
      <c r="R130" s="314"/>
      <c r="S130" s="314"/>
      <c r="T130" s="337">
        <v>0</v>
      </c>
      <c r="U130" s="337"/>
      <c r="V130" s="338"/>
      <c r="W130" s="318"/>
      <c r="X130" s="5"/>
    </row>
    <row r="131" spans="1:24" ht="15.75" x14ac:dyDescent="0.25">
      <c r="A131" s="285"/>
      <c r="B131" s="286" t="s">
        <v>39</v>
      </c>
      <c r="C131" s="314"/>
      <c r="D131" s="314"/>
      <c r="E131" s="314"/>
      <c r="F131" s="314"/>
      <c r="G131" s="314"/>
      <c r="H131" s="314"/>
      <c r="I131" s="314"/>
      <c r="J131" s="314"/>
      <c r="K131" s="314"/>
      <c r="L131" s="314"/>
      <c r="M131" s="314"/>
      <c r="N131" s="314"/>
      <c r="O131" s="314"/>
      <c r="P131" s="314"/>
      <c r="Q131" s="314"/>
      <c r="R131" s="314"/>
      <c r="S131" s="314"/>
      <c r="T131" s="337">
        <f>SUM(T121:T130)</f>
        <v>-13209</v>
      </c>
      <c r="U131" s="337"/>
      <c r="V131" s="337">
        <f>SUM(V102:V129)</f>
        <v>-3804</v>
      </c>
      <c r="W131" s="318"/>
      <c r="X131" s="5"/>
    </row>
    <row r="132" spans="1:24" ht="15.75" x14ac:dyDescent="0.25">
      <c r="A132" s="285"/>
      <c r="B132" s="286" t="s">
        <v>40</v>
      </c>
      <c r="C132" s="314"/>
      <c r="D132" s="314"/>
      <c r="E132" s="314"/>
      <c r="F132" s="314"/>
      <c r="G132" s="314"/>
      <c r="H132" s="314"/>
      <c r="I132" s="314"/>
      <c r="J132" s="314"/>
      <c r="K132" s="314"/>
      <c r="L132" s="314"/>
      <c r="M132" s="314"/>
      <c r="N132" s="314"/>
      <c r="O132" s="314"/>
      <c r="P132" s="314"/>
      <c r="Q132" s="314"/>
      <c r="R132" s="314"/>
      <c r="S132" s="314"/>
      <c r="T132" s="337">
        <f>T101+T131+T114</f>
        <v>0</v>
      </c>
      <c r="U132" s="337"/>
      <c r="V132" s="337">
        <f>V101+V131</f>
        <v>0</v>
      </c>
      <c r="W132" s="318"/>
      <c r="X132" s="5"/>
    </row>
    <row r="133" spans="1:24" ht="15.75" x14ac:dyDescent="0.25">
      <c r="A133" s="181"/>
      <c r="B133" s="212"/>
      <c r="C133" s="212"/>
      <c r="D133" s="212"/>
      <c r="E133" s="212"/>
      <c r="F133" s="212"/>
      <c r="G133" s="212"/>
      <c r="H133" s="212"/>
      <c r="I133" s="212"/>
      <c r="J133" s="212"/>
      <c r="K133" s="212"/>
      <c r="L133" s="212"/>
      <c r="M133" s="212"/>
      <c r="N133" s="212"/>
      <c r="O133" s="212"/>
      <c r="P133" s="212"/>
      <c r="Q133" s="212"/>
      <c r="R133" s="212"/>
      <c r="S133" s="212"/>
      <c r="T133" s="335"/>
      <c r="U133" s="335"/>
      <c r="V133" s="335"/>
      <c r="W133" s="212"/>
      <c r="X133" s="5"/>
    </row>
    <row r="134" spans="1:24" ht="15.75" x14ac:dyDescent="0.25">
      <c r="A134" s="181"/>
      <c r="B134" s="183"/>
      <c r="C134" s="183"/>
      <c r="D134" s="183"/>
      <c r="E134" s="183"/>
      <c r="F134" s="183"/>
      <c r="G134" s="183"/>
      <c r="H134" s="183"/>
      <c r="I134" s="183"/>
      <c r="J134" s="183"/>
      <c r="K134" s="183"/>
      <c r="L134" s="183"/>
      <c r="M134" s="183"/>
      <c r="N134" s="183"/>
      <c r="O134" s="183"/>
      <c r="P134" s="183"/>
      <c r="Q134" s="183"/>
      <c r="R134" s="183"/>
      <c r="S134" s="183"/>
      <c r="T134" s="183"/>
      <c r="U134" s="183"/>
      <c r="V134" s="202"/>
      <c r="W134" s="183"/>
      <c r="X134" s="5"/>
    </row>
    <row r="135" spans="1:24" ht="19.5" thickBot="1" x14ac:dyDescent="0.35">
      <c r="A135" s="197"/>
      <c r="B135" s="270" t="str">
        <f>B64</f>
        <v>PM15 INVESTOR REPORT QUARTER ENDING MAY 2017</v>
      </c>
      <c r="C135" s="198"/>
      <c r="D135" s="198"/>
      <c r="E135" s="198"/>
      <c r="F135" s="198"/>
      <c r="G135" s="198"/>
      <c r="H135" s="198"/>
      <c r="I135" s="198"/>
      <c r="J135" s="198"/>
      <c r="K135" s="198"/>
      <c r="L135" s="198"/>
      <c r="M135" s="198"/>
      <c r="N135" s="198"/>
      <c r="O135" s="198"/>
      <c r="P135" s="198"/>
      <c r="Q135" s="198"/>
      <c r="R135" s="198"/>
      <c r="S135" s="198"/>
      <c r="T135" s="198"/>
      <c r="U135" s="198"/>
      <c r="V135" s="209"/>
      <c r="W135" s="200"/>
      <c r="X135" s="5"/>
    </row>
    <row r="136" spans="1:24" ht="15.75" x14ac:dyDescent="0.25">
      <c r="A136" s="236"/>
      <c r="B136" s="403" t="s">
        <v>41</v>
      </c>
      <c r="C136" s="238"/>
      <c r="D136" s="238"/>
      <c r="E136" s="238"/>
      <c r="F136" s="238"/>
      <c r="G136" s="238"/>
      <c r="H136" s="238"/>
      <c r="I136" s="238"/>
      <c r="J136" s="238"/>
      <c r="K136" s="238"/>
      <c r="L136" s="238"/>
      <c r="M136" s="238"/>
      <c r="N136" s="238"/>
      <c r="O136" s="238"/>
      <c r="P136" s="238"/>
      <c r="Q136" s="238"/>
      <c r="R136" s="238"/>
      <c r="S136" s="238"/>
      <c r="T136" s="238"/>
      <c r="U136" s="238"/>
      <c r="V136" s="239"/>
      <c r="W136" s="238"/>
      <c r="X136" s="5"/>
    </row>
    <row r="137" spans="1:24" ht="15.75" x14ac:dyDescent="0.25">
      <c r="A137" s="181"/>
      <c r="B137" s="191"/>
      <c r="C137" s="183"/>
      <c r="D137" s="183"/>
      <c r="E137" s="183"/>
      <c r="F137" s="183"/>
      <c r="G137" s="183"/>
      <c r="H137" s="183"/>
      <c r="I137" s="183"/>
      <c r="J137" s="183"/>
      <c r="K137" s="183"/>
      <c r="L137" s="183"/>
      <c r="M137" s="183"/>
      <c r="N137" s="183"/>
      <c r="O137" s="183"/>
      <c r="P137" s="183"/>
      <c r="Q137" s="183"/>
      <c r="R137" s="183"/>
      <c r="S137" s="183"/>
      <c r="T137" s="183"/>
      <c r="U137" s="183"/>
      <c r="V137" s="202"/>
      <c r="W137" s="183"/>
      <c r="X137" s="5"/>
    </row>
    <row r="138" spans="1:24" ht="15.75" x14ac:dyDescent="0.25">
      <c r="A138" s="181"/>
      <c r="B138" s="210" t="s">
        <v>42</v>
      </c>
      <c r="C138" s="183"/>
      <c r="D138" s="183"/>
      <c r="E138" s="183"/>
      <c r="F138" s="183"/>
      <c r="G138" s="183"/>
      <c r="H138" s="183"/>
      <c r="I138" s="183"/>
      <c r="J138" s="183"/>
      <c r="K138" s="183"/>
      <c r="L138" s="183"/>
      <c r="M138" s="183"/>
      <c r="N138" s="183"/>
      <c r="O138" s="183"/>
      <c r="P138" s="183"/>
      <c r="Q138" s="183"/>
      <c r="R138" s="183"/>
      <c r="S138" s="183"/>
      <c r="T138" s="183"/>
      <c r="U138" s="183"/>
      <c r="V138" s="202"/>
      <c r="W138" s="183"/>
      <c r="X138" s="5"/>
    </row>
    <row r="139" spans="1:24" ht="15.75" x14ac:dyDescent="0.25">
      <c r="A139" s="285"/>
      <c r="B139" s="286" t="s">
        <v>43</v>
      </c>
      <c r="C139" s="286"/>
      <c r="D139" s="286"/>
      <c r="E139" s="286"/>
      <c r="F139" s="286"/>
      <c r="G139" s="286"/>
      <c r="H139" s="286"/>
      <c r="I139" s="286"/>
      <c r="J139" s="286"/>
      <c r="K139" s="286"/>
      <c r="L139" s="286"/>
      <c r="M139" s="286"/>
      <c r="N139" s="286"/>
      <c r="O139" s="286"/>
      <c r="P139" s="286"/>
      <c r="Q139" s="286"/>
      <c r="R139" s="286"/>
      <c r="S139" s="286"/>
      <c r="T139" s="286"/>
      <c r="U139" s="286"/>
      <c r="V139" s="338">
        <f>+V34*0.019</f>
        <v>19021.526999999998</v>
      </c>
      <c r="W139" s="289"/>
      <c r="X139" s="5"/>
    </row>
    <row r="140" spans="1:24" ht="15.75" x14ac:dyDescent="0.25">
      <c r="A140" s="285"/>
      <c r="B140" s="286" t="s">
        <v>44</v>
      </c>
      <c r="C140" s="286"/>
      <c r="D140" s="286"/>
      <c r="E140" s="286"/>
      <c r="F140" s="286"/>
      <c r="G140" s="286"/>
      <c r="H140" s="286"/>
      <c r="I140" s="286"/>
      <c r="J140" s="286"/>
      <c r="K140" s="286"/>
      <c r="L140" s="286"/>
      <c r="M140" s="286"/>
      <c r="N140" s="286"/>
      <c r="O140" s="286"/>
      <c r="P140" s="286"/>
      <c r="Q140" s="286"/>
      <c r="R140" s="286"/>
      <c r="S140" s="286"/>
      <c r="T140" s="286"/>
      <c r="U140" s="286"/>
      <c r="V140" s="338">
        <v>19022</v>
      </c>
      <c r="W140" s="289"/>
      <c r="X140" s="5"/>
    </row>
    <row r="141" spans="1:24" ht="15.75" x14ac:dyDescent="0.25">
      <c r="A141" s="285"/>
      <c r="B141" s="286" t="s">
        <v>136</v>
      </c>
      <c r="C141" s="286"/>
      <c r="D141" s="286"/>
      <c r="E141" s="286"/>
      <c r="F141" s="286"/>
      <c r="G141" s="286"/>
      <c r="H141" s="286"/>
      <c r="I141" s="286"/>
      <c r="J141" s="286"/>
      <c r="K141" s="286"/>
      <c r="L141" s="286"/>
      <c r="M141" s="286"/>
      <c r="N141" s="286"/>
      <c r="O141" s="286"/>
      <c r="P141" s="286"/>
      <c r="Q141" s="286"/>
      <c r="R141" s="286"/>
      <c r="S141" s="286"/>
      <c r="T141" s="286"/>
      <c r="U141" s="286"/>
      <c r="V141" s="338"/>
      <c r="W141" s="289"/>
      <c r="X141" s="5"/>
    </row>
    <row r="142" spans="1:24" ht="15.75" x14ac:dyDescent="0.25">
      <c r="A142" s="285"/>
      <c r="B142" s="286" t="s">
        <v>123</v>
      </c>
      <c r="C142" s="286"/>
      <c r="D142" s="286"/>
      <c r="E142" s="286"/>
      <c r="F142" s="286"/>
      <c r="G142" s="286"/>
      <c r="H142" s="286"/>
      <c r="I142" s="286"/>
      <c r="J142" s="286"/>
      <c r="K142" s="286"/>
      <c r="L142" s="286"/>
      <c r="M142" s="286"/>
      <c r="N142" s="286"/>
      <c r="O142" s="286"/>
      <c r="P142" s="286"/>
      <c r="Q142" s="286"/>
      <c r="R142" s="286"/>
      <c r="S142" s="286"/>
      <c r="T142" s="286"/>
      <c r="U142" s="286"/>
      <c r="V142" s="338">
        <v>0</v>
      </c>
      <c r="W142" s="289"/>
      <c r="X142" s="5"/>
    </row>
    <row r="143" spans="1:24" ht="15.75" x14ac:dyDescent="0.25">
      <c r="A143" s="285"/>
      <c r="B143" s="286" t="s">
        <v>124</v>
      </c>
      <c r="C143" s="286"/>
      <c r="D143" s="286"/>
      <c r="E143" s="286"/>
      <c r="F143" s="286"/>
      <c r="G143" s="286"/>
      <c r="H143" s="286"/>
      <c r="I143" s="286"/>
      <c r="J143" s="286"/>
      <c r="K143" s="286"/>
      <c r="L143" s="286"/>
      <c r="M143" s="286"/>
      <c r="N143" s="286"/>
      <c r="O143" s="286"/>
      <c r="P143" s="286"/>
      <c r="Q143" s="286"/>
      <c r="R143" s="286"/>
      <c r="S143" s="286"/>
      <c r="T143" s="286"/>
      <c r="U143" s="286"/>
      <c r="V143" s="338">
        <v>0</v>
      </c>
      <c r="W143" s="289"/>
      <c r="X143" s="5"/>
    </row>
    <row r="144" spans="1:24" ht="15.75" x14ac:dyDescent="0.25">
      <c r="A144" s="285"/>
      <c r="B144" s="286" t="s">
        <v>175</v>
      </c>
      <c r="C144" s="286"/>
      <c r="D144" s="286"/>
      <c r="E144" s="286"/>
      <c r="F144" s="286"/>
      <c r="G144" s="286"/>
      <c r="H144" s="286"/>
      <c r="I144" s="286"/>
      <c r="J144" s="286"/>
      <c r="K144" s="286"/>
      <c r="L144" s="286"/>
      <c r="M144" s="286"/>
      <c r="N144" s="286"/>
      <c r="O144" s="286"/>
      <c r="P144" s="286"/>
      <c r="Q144" s="286"/>
      <c r="R144" s="286"/>
      <c r="S144" s="286"/>
      <c r="T144" s="286"/>
      <c r="U144" s="286"/>
      <c r="V144" s="338">
        <v>0</v>
      </c>
      <c r="W144" s="289"/>
      <c r="X144" s="5"/>
    </row>
    <row r="145" spans="1:25" ht="15.75" x14ac:dyDescent="0.25">
      <c r="A145" s="285"/>
      <c r="B145" s="286" t="s">
        <v>45</v>
      </c>
      <c r="C145" s="286"/>
      <c r="D145" s="286"/>
      <c r="E145" s="286"/>
      <c r="F145" s="286"/>
      <c r="G145" s="286"/>
      <c r="H145" s="286"/>
      <c r="I145" s="286"/>
      <c r="J145" s="286"/>
      <c r="K145" s="286"/>
      <c r="L145" s="286"/>
      <c r="M145" s="286"/>
      <c r="N145" s="286"/>
      <c r="O145" s="286"/>
      <c r="P145" s="286"/>
      <c r="Q145" s="286"/>
      <c r="R145" s="286"/>
      <c r="S145" s="286"/>
      <c r="T145" s="286"/>
      <c r="U145" s="286"/>
      <c r="V145" s="338">
        <v>0</v>
      </c>
      <c r="W145" s="289"/>
      <c r="X145" s="5"/>
    </row>
    <row r="146" spans="1:25" ht="15.75" x14ac:dyDescent="0.25">
      <c r="A146" s="285"/>
      <c r="B146" s="286" t="s">
        <v>129</v>
      </c>
      <c r="C146" s="286"/>
      <c r="D146" s="286"/>
      <c r="E146" s="286"/>
      <c r="F146" s="286"/>
      <c r="G146" s="286"/>
      <c r="H146" s="286"/>
      <c r="I146" s="286"/>
      <c r="J146" s="286"/>
      <c r="K146" s="286"/>
      <c r="L146" s="286"/>
      <c r="M146" s="286"/>
      <c r="N146" s="286"/>
      <c r="O146" s="286"/>
      <c r="P146" s="286"/>
      <c r="Q146" s="286"/>
      <c r="R146" s="286"/>
      <c r="S146" s="286"/>
      <c r="T146" s="286"/>
      <c r="U146" s="286"/>
      <c r="V146" s="338">
        <v>0</v>
      </c>
      <c r="W146" s="289"/>
      <c r="X146" s="5"/>
    </row>
    <row r="147" spans="1:25" ht="15.75" x14ac:dyDescent="0.25">
      <c r="A147" s="285"/>
      <c r="B147" s="286" t="s">
        <v>241</v>
      </c>
      <c r="C147" s="286"/>
      <c r="D147" s="286"/>
      <c r="E147" s="286"/>
      <c r="F147" s="286"/>
      <c r="G147" s="286"/>
      <c r="H147" s="286"/>
      <c r="I147" s="286"/>
      <c r="J147" s="286"/>
      <c r="K147" s="286"/>
      <c r="L147" s="286"/>
      <c r="M147" s="286"/>
      <c r="N147" s="286"/>
      <c r="O147" s="286"/>
      <c r="P147" s="286"/>
      <c r="Q147" s="286"/>
      <c r="R147" s="286"/>
      <c r="S147" s="286"/>
      <c r="T147" s="286"/>
      <c r="U147" s="286"/>
      <c r="V147" s="338">
        <v>0</v>
      </c>
      <c r="W147" s="289"/>
      <c r="X147" s="5"/>
      <c r="Y147" s="109"/>
    </row>
    <row r="148" spans="1:25" ht="15.75" x14ac:dyDescent="0.25">
      <c r="A148" s="285"/>
      <c r="B148" s="286" t="s">
        <v>46</v>
      </c>
      <c r="C148" s="286"/>
      <c r="D148" s="286"/>
      <c r="E148" s="286"/>
      <c r="F148" s="286"/>
      <c r="G148" s="286"/>
      <c r="H148" s="286"/>
      <c r="I148" s="286"/>
      <c r="J148" s="286"/>
      <c r="K148" s="286"/>
      <c r="L148" s="286"/>
      <c r="M148" s="286"/>
      <c r="N148" s="286"/>
      <c r="O148" s="286"/>
      <c r="P148" s="286"/>
      <c r="Q148" s="286"/>
      <c r="R148" s="286"/>
      <c r="S148" s="286"/>
      <c r="T148" s="286"/>
      <c r="U148" s="286"/>
      <c r="V148" s="338">
        <f>SUM(V140:V147)</f>
        <v>19022</v>
      </c>
      <c r="W148" s="289"/>
      <c r="X148" s="5"/>
    </row>
    <row r="149" spans="1:25" ht="15.75" x14ac:dyDescent="0.25">
      <c r="A149" s="285"/>
      <c r="B149" s="314"/>
      <c r="C149" s="314"/>
      <c r="D149" s="314"/>
      <c r="E149" s="314"/>
      <c r="F149" s="314"/>
      <c r="G149" s="314"/>
      <c r="H149" s="314"/>
      <c r="I149" s="314"/>
      <c r="J149" s="314"/>
      <c r="K149" s="314"/>
      <c r="L149" s="314"/>
      <c r="M149" s="314"/>
      <c r="N149" s="314"/>
      <c r="O149" s="314"/>
      <c r="P149" s="314"/>
      <c r="Q149" s="314"/>
      <c r="R149" s="314"/>
      <c r="S149" s="314"/>
      <c r="T149" s="314"/>
      <c r="U149" s="314"/>
      <c r="V149" s="345"/>
      <c r="W149" s="318"/>
      <c r="X149" s="5"/>
    </row>
    <row r="150" spans="1:25" ht="15.75" x14ac:dyDescent="0.25">
      <c r="A150" s="285"/>
      <c r="B150" s="342" t="s">
        <v>269</v>
      </c>
      <c r="C150" s="314"/>
      <c r="D150" s="314"/>
      <c r="E150" s="314"/>
      <c r="F150" s="314"/>
      <c r="G150" s="314"/>
      <c r="H150" s="314"/>
      <c r="I150" s="314"/>
      <c r="J150" s="314"/>
      <c r="K150" s="314"/>
      <c r="L150" s="314"/>
      <c r="M150" s="314"/>
      <c r="N150" s="314"/>
      <c r="O150" s="314"/>
      <c r="P150" s="314"/>
      <c r="Q150" s="314"/>
      <c r="R150" s="314"/>
      <c r="S150" s="314"/>
      <c r="T150" s="314"/>
      <c r="U150" s="314"/>
      <c r="V150" s="345"/>
      <c r="W150" s="318"/>
      <c r="X150" s="5"/>
    </row>
    <row r="151" spans="1:25" ht="15.75" x14ac:dyDescent="0.25">
      <c r="A151" s="285"/>
      <c r="B151" s="286" t="s">
        <v>155</v>
      </c>
      <c r="C151" s="286"/>
      <c r="D151" s="286"/>
      <c r="E151" s="286"/>
      <c r="F151" s="286"/>
      <c r="G151" s="286"/>
      <c r="H151" s="286"/>
      <c r="I151" s="286"/>
      <c r="J151" s="286"/>
      <c r="K151" s="286"/>
      <c r="L151" s="286"/>
      <c r="M151" s="286"/>
      <c r="N151" s="286"/>
      <c r="O151" s="286"/>
      <c r="P151" s="286"/>
      <c r="Q151" s="286"/>
      <c r="R151" s="286"/>
      <c r="S151" s="286"/>
      <c r="T151" s="286"/>
      <c r="U151" s="286"/>
      <c r="V151" s="338">
        <v>0</v>
      </c>
      <c r="W151" s="289"/>
      <c r="X151" s="5"/>
    </row>
    <row r="152" spans="1:25" ht="15.75" x14ac:dyDescent="0.25">
      <c r="A152" s="285"/>
      <c r="B152" s="286" t="s">
        <v>172</v>
      </c>
      <c r="C152" s="286"/>
      <c r="D152" s="286"/>
      <c r="E152" s="286"/>
      <c r="F152" s="286"/>
      <c r="G152" s="286"/>
      <c r="H152" s="286"/>
      <c r="I152" s="286"/>
      <c r="J152" s="286"/>
      <c r="K152" s="286"/>
      <c r="L152" s="286"/>
      <c r="M152" s="286"/>
      <c r="N152" s="286"/>
      <c r="O152" s="286"/>
      <c r="P152" s="286"/>
      <c r="Q152" s="286"/>
      <c r="R152" s="286"/>
      <c r="S152" s="286"/>
      <c r="T152" s="286"/>
      <c r="U152" s="286"/>
      <c r="V152" s="338">
        <v>0</v>
      </c>
      <c r="W152" s="289"/>
      <c r="X152" s="5"/>
    </row>
    <row r="153" spans="1:25" ht="15.75" x14ac:dyDescent="0.25">
      <c r="A153" s="285"/>
      <c r="B153" s="286" t="s">
        <v>226</v>
      </c>
      <c r="C153" s="286"/>
      <c r="D153" s="286"/>
      <c r="E153" s="286"/>
      <c r="F153" s="286"/>
      <c r="G153" s="286"/>
      <c r="H153" s="286"/>
      <c r="I153" s="286"/>
      <c r="J153" s="286"/>
      <c r="K153" s="286"/>
      <c r="L153" s="286"/>
      <c r="M153" s="286"/>
      <c r="N153" s="286"/>
      <c r="O153" s="286"/>
      <c r="P153" s="286"/>
      <c r="Q153" s="286"/>
      <c r="R153" s="286"/>
      <c r="S153" s="286"/>
      <c r="T153" s="286"/>
      <c r="U153" s="286"/>
      <c r="V153" s="338">
        <v>0</v>
      </c>
      <c r="W153" s="289"/>
      <c r="X153" s="5"/>
    </row>
    <row r="154" spans="1:25" ht="15.75" x14ac:dyDescent="0.25">
      <c r="A154" s="285"/>
      <c r="B154" s="314"/>
      <c r="C154" s="314"/>
      <c r="D154" s="314"/>
      <c r="E154" s="314"/>
      <c r="F154" s="314"/>
      <c r="G154" s="314"/>
      <c r="H154" s="314"/>
      <c r="I154" s="314"/>
      <c r="J154" s="314"/>
      <c r="K154" s="314"/>
      <c r="L154" s="314"/>
      <c r="M154" s="314"/>
      <c r="N154" s="314"/>
      <c r="O154" s="314"/>
      <c r="P154" s="314"/>
      <c r="Q154" s="314"/>
      <c r="R154" s="314"/>
      <c r="S154" s="314"/>
      <c r="T154" s="314"/>
      <c r="U154" s="314"/>
      <c r="V154" s="345"/>
      <c r="W154" s="318"/>
      <c r="X154" s="5"/>
    </row>
    <row r="155" spans="1:25" ht="15.75" x14ac:dyDescent="0.25">
      <c r="A155" s="181"/>
      <c r="B155" s="212"/>
      <c r="C155" s="212"/>
      <c r="D155" s="212"/>
      <c r="E155" s="212"/>
      <c r="F155" s="212"/>
      <c r="G155" s="212"/>
      <c r="H155" s="212"/>
      <c r="I155" s="212"/>
      <c r="J155" s="212"/>
      <c r="K155" s="212"/>
      <c r="L155" s="212"/>
      <c r="M155" s="212"/>
      <c r="N155" s="212"/>
      <c r="O155" s="212"/>
      <c r="P155" s="212"/>
      <c r="Q155" s="212"/>
      <c r="R155" s="212"/>
      <c r="S155" s="212"/>
      <c r="T155" s="212"/>
      <c r="U155" s="212"/>
      <c r="V155" s="344"/>
      <c r="W155" s="212"/>
      <c r="X155" s="5"/>
    </row>
    <row r="156" spans="1:25" ht="15.75" x14ac:dyDescent="0.25">
      <c r="A156" s="181"/>
      <c r="B156" s="210" t="s">
        <v>24</v>
      </c>
      <c r="C156" s="183"/>
      <c r="D156" s="183"/>
      <c r="E156" s="183"/>
      <c r="F156" s="183"/>
      <c r="G156" s="183"/>
      <c r="H156" s="183"/>
      <c r="I156" s="183"/>
      <c r="J156" s="183"/>
      <c r="K156" s="183"/>
      <c r="L156" s="183"/>
      <c r="M156" s="183"/>
      <c r="N156" s="183"/>
      <c r="O156" s="183"/>
      <c r="P156" s="183"/>
      <c r="Q156" s="183"/>
      <c r="R156" s="183"/>
      <c r="S156" s="183"/>
      <c r="T156" s="183"/>
      <c r="U156" s="183"/>
      <c r="V156" s="202"/>
      <c r="W156" s="183"/>
      <c r="X156" s="5"/>
    </row>
    <row r="157" spans="1:25" ht="15.75" x14ac:dyDescent="0.25">
      <c r="A157" s="285"/>
      <c r="B157" s="286" t="s">
        <v>47</v>
      </c>
      <c r="C157" s="286"/>
      <c r="D157" s="286"/>
      <c r="E157" s="286"/>
      <c r="F157" s="286"/>
      <c r="G157" s="286"/>
      <c r="H157" s="286"/>
      <c r="I157" s="286"/>
      <c r="J157" s="286"/>
      <c r="K157" s="286"/>
      <c r="L157" s="286"/>
      <c r="M157" s="286"/>
      <c r="N157" s="286"/>
      <c r="O157" s="286"/>
      <c r="P157" s="286"/>
      <c r="Q157" s="286"/>
      <c r="R157" s="286"/>
      <c r="S157" s="286"/>
      <c r="T157" s="286"/>
      <c r="U157" s="286"/>
      <c r="V157" s="343" t="s">
        <v>118</v>
      </c>
      <c r="W157" s="318"/>
      <c r="X157" s="5"/>
    </row>
    <row r="158" spans="1:25" ht="15.75" x14ac:dyDescent="0.25">
      <c r="A158" s="285"/>
      <c r="B158" s="286" t="s">
        <v>48</v>
      </c>
      <c r="C158" s="288"/>
      <c r="D158" s="288"/>
      <c r="E158" s="288"/>
      <c r="F158" s="288"/>
      <c r="G158" s="288"/>
      <c r="H158" s="288"/>
      <c r="I158" s="288"/>
      <c r="J158" s="288"/>
      <c r="K158" s="288"/>
      <c r="L158" s="288"/>
      <c r="M158" s="288"/>
      <c r="N158" s="288"/>
      <c r="O158" s="288"/>
      <c r="P158" s="288"/>
      <c r="Q158" s="288"/>
      <c r="R158" s="288"/>
      <c r="S158" s="288"/>
      <c r="T158" s="288"/>
      <c r="U158" s="288"/>
      <c r="V158" s="343" t="s">
        <v>118</v>
      </c>
      <c r="W158" s="318"/>
      <c r="X158" s="5"/>
    </row>
    <row r="159" spans="1:25" ht="15.75" x14ac:dyDescent="0.25">
      <c r="A159" s="285"/>
      <c r="B159" s="286" t="s">
        <v>49</v>
      </c>
      <c r="C159" s="286"/>
      <c r="D159" s="286"/>
      <c r="E159" s="286"/>
      <c r="F159" s="286"/>
      <c r="G159" s="286"/>
      <c r="H159" s="286"/>
      <c r="I159" s="286"/>
      <c r="J159" s="286"/>
      <c r="K159" s="286"/>
      <c r="L159" s="286"/>
      <c r="M159" s="286"/>
      <c r="N159" s="286"/>
      <c r="O159" s="286"/>
      <c r="P159" s="286"/>
      <c r="Q159" s="286"/>
      <c r="R159" s="286"/>
      <c r="S159" s="286"/>
      <c r="T159" s="286"/>
      <c r="U159" s="286"/>
      <c r="V159" s="343" t="s">
        <v>118</v>
      </c>
      <c r="W159" s="318"/>
      <c r="X159" s="5"/>
    </row>
    <row r="160" spans="1:25" ht="15.75" x14ac:dyDescent="0.25">
      <c r="A160" s="285"/>
      <c r="B160" s="286" t="s">
        <v>50</v>
      </c>
      <c r="C160" s="286"/>
      <c r="D160" s="286"/>
      <c r="E160" s="286"/>
      <c r="F160" s="286"/>
      <c r="G160" s="286"/>
      <c r="H160" s="286"/>
      <c r="I160" s="286"/>
      <c r="J160" s="286"/>
      <c r="K160" s="286"/>
      <c r="L160" s="286"/>
      <c r="M160" s="286"/>
      <c r="N160" s="286"/>
      <c r="O160" s="286"/>
      <c r="P160" s="286"/>
      <c r="Q160" s="286"/>
      <c r="R160" s="286"/>
      <c r="S160" s="286"/>
      <c r="T160" s="286"/>
      <c r="U160" s="286"/>
      <c r="V160" s="343" t="s">
        <v>118</v>
      </c>
      <c r="W160" s="318"/>
      <c r="X160" s="5"/>
    </row>
    <row r="161" spans="1:256" ht="15.75" x14ac:dyDescent="0.25">
      <c r="A161" s="181"/>
      <c r="B161" s="212"/>
      <c r="C161" s="212"/>
      <c r="D161" s="212"/>
      <c r="E161" s="212"/>
      <c r="F161" s="212"/>
      <c r="G161" s="212"/>
      <c r="H161" s="212"/>
      <c r="I161" s="212"/>
      <c r="J161" s="212"/>
      <c r="K161" s="212"/>
      <c r="L161" s="212"/>
      <c r="M161" s="212"/>
      <c r="N161" s="212"/>
      <c r="O161" s="212"/>
      <c r="P161" s="212"/>
      <c r="Q161" s="212"/>
      <c r="R161" s="212"/>
      <c r="S161" s="212"/>
      <c r="T161" s="212"/>
      <c r="U161" s="212"/>
      <c r="V161" s="344"/>
      <c r="W161" s="212"/>
      <c r="X161" s="5"/>
    </row>
    <row r="162" spans="1:256" ht="15.75" x14ac:dyDescent="0.25">
      <c r="A162" s="181"/>
      <c r="B162" s="210" t="s">
        <v>51</v>
      </c>
      <c r="C162" s="183"/>
      <c r="D162" s="183"/>
      <c r="E162" s="183"/>
      <c r="F162" s="183"/>
      <c r="G162" s="183"/>
      <c r="H162" s="183"/>
      <c r="I162" s="183"/>
      <c r="J162" s="183"/>
      <c r="K162" s="183"/>
      <c r="L162" s="183"/>
      <c r="M162" s="183"/>
      <c r="N162" s="183"/>
      <c r="O162" s="183"/>
      <c r="P162" s="183"/>
      <c r="Q162" s="183"/>
      <c r="R162" s="183"/>
      <c r="S162" s="183"/>
      <c r="T162" s="183"/>
      <c r="U162" s="183"/>
      <c r="V162" s="211"/>
      <c r="W162" s="183"/>
      <c r="X162" s="5"/>
    </row>
    <row r="163" spans="1:256" ht="15.75" x14ac:dyDescent="0.25">
      <c r="A163" s="285"/>
      <c r="B163" s="286" t="s">
        <v>52</v>
      </c>
      <c r="C163" s="286"/>
      <c r="D163" s="286"/>
      <c r="E163" s="286"/>
      <c r="F163" s="286"/>
      <c r="G163" s="286"/>
      <c r="H163" s="286"/>
      <c r="I163" s="286"/>
      <c r="J163" s="286"/>
      <c r="K163" s="286"/>
      <c r="L163" s="286"/>
      <c r="M163" s="286"/>
      <c r="N163" s="286"/>
      <c r="O163" s="286"/>
      <c r="P163" s="286"/>
      <c r="Q163" s="286"/>
      <c r="R163" s="286"/>
      <c r="S163" s="286"/>
      <c r="T163" s="286"/>
      <c r="U163" s="286"/>
      <c r="V163" s="338">
        <v>0</v>
      </c>
      <c r="W163" s="289"/>
      <c r="X163" s="5"/>
    </row>
    <row r="164" spans="1:256" ht="15.75" x14ac:dyDescent="0.25">
      <c r="A164" s="285"/>
      <c r="B164" s="286" t="s">
        <v>53</v>
      </c>
      <c r="C164" s="286"/>
      <c r="D164" s="286"/>
      <c r="E164" s="286"/>
      <c r="F164" s="286"/>
      <c r="G164" s="286"/>
      <c r="H164" s="286"/>
      <c r="I164" s="286"/>
      <c r="J164" s="286"/>
      <c r="K164" s="286"/>
      <c r="L164" s="286"/>
      <c r="M164" s="286"/>
      <c r="N164" s="286"/>
      <c r="O164" s="286"/>
      <c r="P164" s="286"/>
      <c r="Q164" s="286"/>
      <c r="R164" s="286"/>
      <c r="S164" s="286"/>
      <c r="T164" s="286"/>
      <c r="U164" s="286"/>
      <c r="V164" s="338">
        <v>143</v>
      </c>
      <c r="W164" s="289"/>
      <c r="X164" s="5"/>
    </row>
    <row r="165" spans="1:256" ht="15.75" x14ac:dyDescent="0.25">
      <c r="A165" s="285"/>
      <c r="B165" s="286" t="s">
        <v>54</v>
      </c>
      <c r="C165" s="286"/>
      <c r="D165" s="286"/>
      <c r="E165" s="286"/>
      <c r="F165" s="286"/>
      <c r="G165" s="286"/>
      <c r="H165" s="286"/>
      <c r="I165" s="286"/>
      <c r="J165" s="286"/>
      <c r="K165" s="286"/>
      <c r="L165" s="286"/>
      <c r="M165" s="286"/>
      <c r="N165" s="286"/>
      <c r="O165" s="286"/>
      <c r="P165" s="286"/>
      <c r="Q165" s="286"/>
      <c r="R165" s="286"/>
      <c r="S165" s="286"/>
      <c r="T165" s="286"/>
      <c r="U165" s="286"/>
      <c r="V165" s="338">
        <f>V164+V163</f>
        <v>143</v>
      </c>
      <c r="W165" s="289"/>
      <c r="X165" s="5"/>
    </row>
    <row r="166" spans="1:256" ht="15.75" x14ac:dyDescent="0.25">
      <c r="A166" s="285"/>
      <c r="B166" s="286" t="s">
        <v>303</v>
      </c>
      <c r="C166" s="286"/>
      <c r="D166" s="286"/>
      <c r="E166" s="286"/>
      <c r="F166" s="286"/>
      <c r="G166" s="286"/>
      <c r="H166" s="286"/>
      <c r="I166" s="286"/>
      <c r="J166" s="286"/>
      <c r="K166" s="286"/>
      <c r="L166" s="286"/>
      <c r="M166" s="286"/>
      <c r="N166" s="286"/>
      <c r="O166" s="286"/>
      <c r="P166" s="286"/>
      <c r="Q166" s="286"/>
      <c r="R166" s="286"/>
      <c r="S166" s="286"/>
      <c r="T166" s="286"/>
      <c r="U166" s="286"/>
      <c r="V166" s="338">
        <f>V114</f>
        <v>-143</v>
      </c>
      <c r="W166" s="289"/>
      <c r="X166" s="5"/>
    </row>
    <row r="167" spans="1:256" ht="15.75" x14ac:dyDescent="0.25">
      <c r="A167" s="285"/>
      <c r="B167" s="286" t="s">
        <v>55</v>
      </c>
      <c r="C167" s="286"/>
      <c r="D167" s="286"/>
      <c r="E167" s="286"/>
      <c r="F167" s="286"/>
      <c r="G167" s="286"/>
      <c r="H167" s="286"/>
      <c r="I167" s="286"/>
      <c r="J167" s="286"/>
      <c r="K167" s="286"/>
      <c r="L167" s="286"/>
      <c r="M167" s="286"/>
      <c r="N167" s="286"/>
      <c r="O167" s="286"/>
      <c r="P167" s="286"/>
      <c r="Q167" s="286"/>
      <c r="R167" s="286"/>
      <c r="S167" s="286"/>
      <c r="T167" s="286"/>
      <c r="U167" s="286"/>
      <c r="V167" s="338">
        <f>V165+V166</f>
        <v>0</v>
      </c>
      <c r="W167" s="289"/>
      <c r="X167" s="5"/>
    </row>
    <row r="168" spans="1:256" ht="15.75" x14ac:dyDescent="0.25">
      <c r="A168" s="285"/>
      <c r="B168" s="286" t="s">
        <v>274</v>
      </c>
      <c r="C168" s="286"/>
      <c r="D168" s="286"/>
      <c r="E168" s="286"/>
      <c r="F168" s="286"/>
      <c r="G168" s="286"/>
      <c r="H168" s="286"/>
      <c r="I168" s="286"/>
      <c r="J168" s="286"/>
      <c r="K168" s="286"/>
      <c r="L168" s="286"/>
      <c r="M168" s="286"/>
      <c r="N168" s="286"/>
      <c r="O168" s="286"/>
      <c r="P168" s="286"/>
      <c r="Q168" s="286"/>
      <c r="R168" s="286"/>
      <c r="S168" s="286"/>
      <c r="T168" s="286"/>
      <c r="U168" s="286"/>
      <c r="V168" s="338">
        <f>-V100</f>
        <v>208</v>
      </c>
      <c r="W168" s="289"/>
      <c r="X168" s="5"/>
    </row>
    <row r="169" spans="1:256" ht="16.5" thickBot="1" x14ac:dyDescent="0.3">
      <c r="A169" s="181"/>
      <c r="B169" s="212"/>
      <c r="C169" s="212"/>
      <c r="D169" s="212"/>
      <c r="E169" s="212"/>
      <c r="F169" s="212"/>
      <c r="G169" s="212"/>
      <c r="H169" s="212"/>
      <c r="I169" s="212"/>
      <c r="J169" s="212"/>
      <c r="K169" s="212"/>
      <c r="L169" s="212"/>
      <c r="M169" s="212"/>
      <c r="N169" s="212"/>
      <c r="O169" s="212"/>
      <c r="P169" s="212"/>
      <c r="Q169" s="212"/>
      <c r="R169" s="212"/>
      <c r="S169" s="212"/>
      <c r="T169" s="212"/>
      <c r="U169" s="212"/>
      <c r="V169" s="344"/>
      <c r="W169" s="212"/>
      <c r="X169" s="5"/>
    </row>
    <row r="170" spans="1:256" ht="15.75" x14ac:dyDescent="0.25">
      <c r="A170" s="179"/>
      <c r="B170" s="180"/>
      <c r="C170" s="180"/>
      <c r="D170" s="180"/>
      <c r="E170" s="180"/>
      <c r="F170" s="180"/>
      <c r="G170" s="180"/>
      <c r="H170" s="180"/>
      <c r="I170" s="180"/>
      <c r="J170" s="180"/>
      <c r="K170" s="180"/>
      <c r="L170" s="180"/>
      <c r="M170" s="180"/>
      <c r="N170" s="180"/>
      <c r="O170" s="180"/>
      <c r="P170" s="180"/>
      <c r="Q170" s="180"/>
      <c r="R170" s="180"/>
      <c r="S170" s="180"/>
      <c r="T170" s="180"/>
      <c r="U170" s="180"/>
      <c r="V170" s="201"/>
      <c r="W170" s="180"/>
      <c r="X170" s="5"/>
    </row>
    <row r="171" spans="1:256" s="158" customFormat="1" ht="15.75" x14ac:dyDescent="0.25">
      <c r="A171" s="181"/>
      <c r="B171" s="210" t="s">
        <v>230</v>
      </c>
      <c r="C171" s="212"/>
      <c r="D171" s="212"/>
      <c r="E171" s="212"/>
      <c r="F171" s="212"/>
      <c r="G171" s="212"/>
      <c r="H171" s="212"/>
      <c r="I171" s="212"/>
      <c r="J171" s="212"/>
      <c r="K171" s="212"/>
      <c r="L171" s="212"/>
      <c r="M171" s="212"/>
      <c r="N171" s="212"/>
      <c r="O171" s="212"/>
      <c r="P171" s="212"/>
      <c r="Q171" s="212"/>
      <c r="R171" s="212"/>
      <c r="S171" s="212"/>
      <c r="T171" s="212"/>
      <c r="U171" s="212"/>
      <c r="V171" s="213"/>
      <c r="W171" s="212"/>
      <c r="X171" s="5"/>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s="160" customFormat="1" ht="15.75" x14ac:dyDescent="0.25">
      <c r="A172" s="285"/>
      <c r="B172" s="286" t="s">
        <v>231</v>
      </c>
      <c r="C172" s="286"/>
      <c r="D172" s="286"/>
      <c r="E172" s="286"/>
      <c r="F172" s="286"/>
      <c r="G172" s="286"/>
      <c r="H172" s="286"/>
      <c r="I172" s="286"/>
      <c r="J172" s="286"/>
      <c r="K172" s="286"/>
      <c r="L172" s="286"/>
      <c r="M172" s="286"/>
      <c r="N172" s="286"/>
      <c r="O172" s="286"/>
      <c r="P172" s="286"/>
      <c r="Q172" s="286"/>
      <c r="R172" s="286"/>
      <c r="S172" s="286"/>
      <c r="T172" s="286"/>
      <c r="U172" s="286"/>
      <c r="V172" s="338">
        <f>+'Aug 08'!V173</f>
        <v>0</v>
      </c>
      <c r="W172" s="289"/>
      <c r="X172" s="5"/>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s="160" customFormat="1" ht="15.75" x14ac:dyDescent="0.25">
      <c r="A173" s="285"/>
      <c r="B173" s="286" t="s">
        <v>234</v>
      </c>
      <c r="C173" s="286"/>
      <c r="D173" s="286"/>
      <c r="E173" s="286"/>
      <c r="F173" s="286"/>
      <c r="G173" s="286"/>
      <c r="H173" s="286"/>
      <c r="I173" s="286"/>
      <c r="J173" s="286"/>
      <c r="K173" s="286"/>
      <c r="L173" s="286"/>
      <c r="M173" s="286"/>
      <c r="N173" s="286"/>
      <c r="O173" s="286"/>
      <c r="P173" s="286"/>
      <c r="Q173" s="286"/>
      <c r="R173" s="286"/>
      <c r="S173" s="286"/>
      <c r="T173" s="286"/>
      <c r="U173" s="286"/>
      <c r="V173" s="338">
        <f>+V94</f>
        <v>0</v>
      </c>
      <c r="W173" s="289"/>
      <c r="X173" s="5"/>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s="160" customFormat="1" ht="15.75" x14ac:dyDescent="0.25">
      <c r="A174" s="285"/>
      <c r="B174" s="286" t="s">
        <v>232</v>
      </c>
      <c r="C174" s="286"/>
      <c r="D174" s="286"/>
      <c r="E174" s="286"/>
      <c r="F174" s="286"/>
      <c r="G174" s="286"/>
      <c r="H174" s="286"/>
      <c r="I174" s="286"/>
      <c r="J174" s="286"/>
      <c r="K174" s="286"/>
      <c r="L174" s="286"/>
      <c r="M174" s="286"/>
      <c r="N174" s="286"/>
      <c r="O174" s="286"/>
      <c r="P174" s="286"/>
      <c r="Q174" s="286"/>
      <c r="R174" s="286"/>
      <c r="S174" s="286"/>
      <c r="T174" s="286"/>
      <c r="U174" s="286"/>
      <c r="V174" s="338">
        <f>+V172-V173</f>
        <v>0</v>
      </c>
      <c r="W174" s="289"/>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6.5" thickBot="1" x14ac:dyDescent="0.3">
      <c r="A175" s="197"/>
      <c r="B175" s="212"/>
      <c r="C175" s="212"/>
      <c r="D175" s="212"/>
      <c r="E175" s="212"/>
      <c r="F175" s="212"/>
      <c r="G175" s="212"/>
      <c r="H175" s="212"/>
      <c r="I175" s="212"/>
      <c r="J175" s="212"/>
      <c r="K175" s="212"/>
      <c r="L175" s="212"/>
      <c r="M175" s="212"/>
      <c r="N175" s="212"/>
      <c r="O175" s="212"/>
      <c r="P175" s="212"/>
      <c r="Q175" s="212"/>
      <c r="R175" s="212"/>
      <c r="S175" s="212"/>
      <c r="T175" s="212"/>
      <c r="U175" s="212"/>
      <c r="V175" s="344"/>
      <c r="W175" s="212"/>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4" customFormat="1" ht="15.75" x14ac:dyDescent="0.25">
      <c r="A176" s="179"/>
      <c r="B176" s="180"/>
      <c r="C176" s="180"/>
      <c r="D176" s="180"/>
      <c r="E176" s="180"/>
      <c r="F176" s="180"/>
      <c r="G176" s="180"/>
      <c r="H176" s="180"/>
      <c r="I176" s="180"/>
      <c r="J176" s="180"/>
      <c r="K176" s="180"/>
      <c r="L176" s="180"/>
      <c r="M176" s="180"/>
      <c r="N176" s="180"/>
      <c r="O176" s="180"/>
      <c r="P176" s="180"/>
      <c r="Q176" s="180"/>
      <c r="R176" s="180"/>
      <c r="S176" s="180"/>
      <c r="T176" s="180"/>
      <c r="U176" s="180"/>
      <c r="V176" s="201"/>
      <c r="W176" s="180"/>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4" ht="15.75" x14ac:dyDescent="0.25">
      <c r="A177" s="181"/>
      <c r="B177" s="210" t="s">
        <v>56</v>
      </c>
      <c r="C177" s="183"/>
      <c r="D177" s="183"/>
      <c r="E177" s="183"/>
      <c r="F177" s="183"/>
      <c r="G177" s="183"/>
      <c r="H177" s="183"/>
      <c r="I177" s="183"/>
      <c r="J177" s="183"/>
      <c r="K177" s="183"/>
      <c r="L177" s="183"/>
      <c r="M177" s="183"/>
      <c r="N177" s="183"/>
      <c r="O177" s="183"/>
      <c r="P177" s="183"/>
      <c r="Q177" s="183"/>
      <c r="R177" s="183"/>
      <c r="S177" s="183"/>
      <c r="T177" s="183"/>
      <c r="U177" s="183"/>
      <c r="V177" s="202"/>
      <c r="W177" s="183"/>
      <c r="X177" s="5"/>
    </row>
    <row r="178" spans="1:24" ht="15.75" x14ac:dyDescent="0.25">
      <c r="A178" s="181"/>
      <c r="B178" s="191"/>
      <c r="C178" s="183"/>
      <c r="D178" s="183"/>
      <c r="E178" s="183"/>
      <c r="F178" s="183"/>
      <c r="G178" s="183"/>
      <c r="H178" s="183"/>
      <c r="I178" s="183"/>
      <c r="J178" s="183"/>
      <c r="K178" s="183"/>
      <c r="L178" s="183"/>
      <c r="M178" s="183"/>
      <c r="N178" s="183"/>
      <c r="O178" s="183"/>
      <c r="P178" s="183"/>
      <c r="Q178" s="183"/>
      <c r="R178" s="183"/>
      <c r="S178" s="183"/>
      <c r="T178" s="183"/>
      <c r="U178" s="183"/>
      <c r="V178" s="202"/>
      <c r="W178" s="183"/>
      <c r="X178" s="5"/>
    </row>
    <row r="179" spans="1:24" ht="15.75" x14ac:dyDescent="0.25">
      <c r="A179" s="285"/>
      <c r="B179" s="286" t="s">
        <v>57</v>
      </c>
      <c r="C179" s="286"/>
      <c r="D179" s="286"/>
      <c r="E179" s="286"/>
      <c r="F179" s="286"/>
      <c r="G179" s="286"/>
      <c r="H179" s="286"/>
      <c r="I179" s="286"/>
      <c r="J179" s="286"/>
      <c r="K179" s="286"/>
      <c r="L179" s="286"/>
      <c r="M179" s="286"/>
      <c r="N179" s="286"/>
      <c r="O179" s="286"/>
      <c r="P179" s="286"/>
      <c r="Q179" s="286"/>
      <c r="R179" s="286"/>
      <c r="S179" s="286"/>
      <c r="T179" s="286"/>
      <c r="U179" s="286"/>
      <c r="V179" s="338">
        <f>V71</f>
        <v>658726</v>
      </c>
      <c r="W179" s="289"/>
      <c r="X179" s="5"/>
    </row>
    <row r="180" spans="1:24" ht="15.75" x14ac:dyDescent="0.25">
      <c r="A180" s="285"/>
      <c r="B180" s="286" t="s">
        <v>58</v>
      </c>
      <c r="C180" s="286"/>
      <c r="D180" s="286"/>
      <c r="E180" s="286"/>
      <c r="F180" s="286"/>
      <c r="G180" s="286"/>
      <c r="H180" s="286"/>
      <c r="I180" s="286"/>
      <c r="J180" s="286"/>
      <c r="K180" s="286"/>
      <c r="L180" s="286"/>
      <c r="M180" s="286"/>
      <c r="N180" s="286"/>
      <c r="O180" s="286"/>
      <c r="P180" s="286"/>
      <c r="Q180" s="286"/>
      <c r="R180" s="286"/>
      <c r="S180" s="286"/>
      <c r="T180" s="286"/>
      <c r="U180" s="286"/>
      <c r="V180" s="338">
        <f>V84</f>
        <v>658726</v>
      </c>
      <c r="W180" s="289"/>
      <c r="X180" s="5"/>
    </row>
    <row r="181" spans="1:24" ht="16.5" thickBot="1" x14ac:dyDescent="0.3">
      <c r="A181" s="181"/>
      <c r="B181" s="212"/>
      <c r="C181" s="212"/>
      <c r="D181" s="212"/>
      <c r="E181" s="212"/>
      <c r="F181" s="212"/>
      <c r="G181" s="212"/>
      <c r="H181" s="212"/>
      <c r="I181" s="212"/>
      <c r="J181" s="212"/>
      <c r="K181" s="212"/>
      <c r="L181" s="212"/>
      <c r="M181" s="212"/>
      <c r="N181" s="212"/>
      <c r="O181" s="212"/>
      <c r="P181" s="212"/>
      <c r="Q181" s="212"/>
      <c r="R181" s="212"/>
      <c r="S181" s="212"/>
      <c r="T181" s="212"/>
      <c r="U181" s="212"/>
      <c r="V181" s="344"/>
      <c r="W181" s="212"/>
      <c r="X181" s="5"/>
    </row>
    <row r="182" spans="1:24" ht="15.75" x14ac:dyDescent="0.25">
      <c r="A182" s="179"/>
      <c r="B182" s="180"/>
      <c r="C182" s="180"/>
      <c r="D182" s="180"/>
      <c r="E182" s="180"/>
      <c r="F182" s="180"/>
      <c r="G182" s="180"/>
      <c r="H182" s="180"/>
      <c r="I182" s="180"/>
      <c r="J182" s="180"/>
      <c r="K182" s="180"/>
      <c r="L182" s="180"/>
      <c r="M182" s="180"/>
      <c r="N182" s="180"/>
      <c r="O182" s="180"/>
      <c r="P182" s="180"/>
      <c r="Q182" s="180"/>
      <c r="R182" s="180"/>
      <c r="S182" s="180"/>
      <c r="T182" s="180"/>
      <c r="U182" s="180"/>
      <c r="V182" s="201"/>
      <c r="W182" s="180"/>
      <c r="X182" s="5"/>
    </row>
    <row r="183" spans="1:24" ht="15.75" x14ac:dyDescent="0.25">
      <c r="A183" s="181"/>
      <c r="B183" s="210" t="s">
        <v>59</v>
      </c>
      <c r="C183" s="206"/>
      <c r="D183" s="206"/>
      <c r="E183" s="206"/>
      <c r="F183" s="206"/>
      <c r="G183" s="206"/>
      <c r="H183" s="214"/>
      <c r="I183" s="214"/>
      <c r="J183" s="214"/>
      <c r="K183" s="214"/>
      <c r="L183" s="214"/>
      <c r="M183" s="214"/>
      <c r="N183" s="214"/>
      <c r="O183" s="214"/>
      <c r="P183" s="214"/>
      <c r="Q183" s="214"/>
      <c r="R183" s="214"/>
      <c r="S183" s="214" t="s">
        <v>101</v>
      </c>
      <c r="T183" s="214" t="s">
        <v>176</v>
      </c>
      <c r="U183" s="185"/>
      <c r="V183" s="215" t="s">
        <v>114</v>
      </c>
      <c r="W183" s="216"/>
      <c r="X183" s="5"/>
    </row>
    <row r="184" spans="1:24" ht="15.75" x14ac:dyDescent="0.25">
      <c r="A184" s="285"/>
      <c r="B184" s="286" t="s">
        <v>60</v>
      </c>
      <c r="C184" s="286"/>
      <c r="D184" s="286"/>
      <c r="E184" s="286"/>
      <c r="F184" s="286"/>
      <c r="G184" s="286"/>
      <c r="H184" s="286"/>
      <c r="I184" s="286"/>
      <c r="J184" s="286"/>
      <c r="K184" s="286"/>
      <c r="L184" s="286"/>
      <c r="M184" s="286"/>
      <c r="N184" s="286"/>
      <c r="O184" s="286"/>
      <c r="P184" s="286"/>
      <c r="Q184" s="286"/>
      <c r="R184" s="286"/>
      <c r="S184" s="338">
        <f>+V34*0.16</f>
        <v>160181.28</v>
      </c>
      <c r="T184" s="325"/>
      <c r="U184" s="286"/>
      <c r="V184" s="338"/>
      <c r="W184" s="289"/>
      <c r="X184" s="5"/>
    </row>
    <row r="185" spans="1:24" ht="15.75" x14ac:dyDescent="0.25">
      <c r="A185" s="285"/>
      <c r="B185" s="286" t="s">
        <v>61</v>
      </c>
      <c r="C185" s="286"/>
      <c r="D185" s="286"/>
      <c r="E185" s="286"/>
      <c r="F185" s="286"/>
      <c r="G185" s="286"/>
      <c r="H185" s="286"/>
      <c r="I185" s="286"/>
      <c r="J185" s="286"/>
      <c r="K185" s="286"/>
      <c r="L185" s="286"/>
      <c r="M185" s="286"/>
      <c r="N185" s="286"/>
      <c r="O185" s="286"/>
      <c r="P185" s="286"/>
      <c r="Q185" s="286"/>
      <c r="R185" s="286"/>
      <c r="S185" s="338">
        <f>+'Feb 17'!S187</f>
        <v>13181</v>
      </c>
      <c r="T185" s="338">
        <f>+'Feb 17'!T187</f>
        <v>6095</v>
      </c>
      <c r="U185" s="286"/>
      <c r="V185" s="338">
        <f>S185+T185</f>
        <v>19276</v>
      </c>
      <c r="W185" s="289"/>
      <c r="X185" s="5"/>
    </row>
    <row r="186" spans="1:24" ht="15.75" x14ac:dyDescent="0.25">
      <c r="A186" s="285"/>
      <c r="B186" s="286" t="s">
        <v>62</v>
      </c>
      <c r="C186" s="286"/>
      <c r="D186" s="286"/>
      <c r="E186" s="286"/>
      <c r="F186" s="286"/>
      <c r="G186" s="286"/>
      <c r="H186" s="286"/>
      <c r="I186" s="286"/>
      <c r="J186" s="286"/>
      <c r="K186" s="286"/>
      <c r="L186" s="286"/>
      <c r="M186" s="286"/>
      <c r="N186" s="286"/>
      <c r="O186" s="286"/>
      <c r="P186" s="286"/>
      <c r="Q186" s="286"/>
      <c r="R186" s="286"/>
      <c r="S186" s="337">
        <v>75</v>
      </c>
      <c r="T186" s="337">
        <v>0</v>
      </c>
      <c r="U186" s="286"/>
      <c r="V186" s="338">
        <f>S186+T186</f>
        <v>75</v>
      </c>
      <c r="W186" s="289"/>
      <c r="X186" s="5"/>
    </row>
    <row r="187" spans="1:24" ht="15.75" x14ac:dyDescent="0.25">
      <c r="A187" s="285"/>
      <c r="B187" s="286" t="s">
        <v>63</v>
      </c>
      <c r="C187" s="286"/>
      <c r="D187" s="286"/>
      <c r="E187" s="286"/>
      <c r="F187" s="286"/>
      <c r="G187" s="286"/>
      <c r="H187" s="286"/>
      <c r="I187" s="286"/>
      <c r="J187" s="286"/>
      <c r="K187" s="286"/>
      <c r="L187" s="286"/>
      <c r="M187" s="286"/>
      <c r="N187" s="286"/>
      <c r="O187" s="286"/>
      <c r="P187" s="286"/>
      <c r="Q187" s="286"/>
      <c r="R187" s="286"/>
      <c r="S187" s="338">
        <f>S185+S186</f>
        <v>13256</v>
      </c>
      <c r="T187" s="338">
        <f>T186+T185</f>
        <v>6095</v>
      </c>
      <c r="U187" s="286"/>
      <c r="V187" s="338">
        <f>S187+T187</f>
        <v>19351</v>
      </c>
      <c r="W187" s="289"/>
      <c r="X187" s="5"/>
    </row>
    <row r="188" spans="1:24" ht="15.75" x14ac:dyDescent="0.25">
      <c r="A188" s="285"/>
      <c r="B188" s="286" t="s">
        <v>64</v>
      </c>
      <c r="C188" s="286"/>
      <c r="D188" s="286"/>
      <c r="E188" s="286"/>
      <c r="F188" s="286"/>
      <c r="G188" s="286"/>
      <c r="H188" s="286"/>
      <c r="I188" s="286"/>
      <c r="J188" s="286"/>
      <c r="K188" s="286"/>
      <c r="L188" s="286"/>
      <c r="M188" s="286"/>
      <c r="N188" s="286"/>
      <c r="O188" s="286"/>
      <c r="P188" s="286"/>
      <c r="Q188" s="286"/>
      <c r="R188" s="286"/>
      <c r="S188" s="338">
        <f>S184-S187-T187</f>
        <v>140830.28</v>
      </c>
      <c r="T188" s="325"/>
      <c r="U188" s="286"/>
      <c r="V188" s="338"/>
      <c r="W188" s="289"/>
      <c r="X188" s="5"/>
    </row>
    <row r="189" spans="1:24" ht="16.5" thickBot="1" x14ac:dyDescent="0.3">
      <c r="A189" s="181"/>
      <c r="B189" s="212"/>
      <c r="C189" s="212"/>
      <c r="D189" s="212"/>
      <c r="E189" s="212"/>
      <c r="F189" s="212"/>
      <c r="G189" s="212"/>
      <c r="H189" s="212"/>
      <c r="I189" s="212"/>
      <c r="J189" s="212"/>
      <c r="K189" s="212"/>
      <c r="L189" s="212"/>
      <c r="M189" s="212"/>
      <c r="N189" s="212"/>
      <c r="O189" s="212"/>
      <c r="P189" s="212"/>
      <c r="Q189" s="212"/>
      <c r="R189" s="212"/>
      <c r="S189" s="212"/>
      <c r="T189" s="212"/>
      <c r="U189" s="212"/>
      <c r="V189" s="344"/>
      <c r="W189" s="212"/>
      <c r="X189" s="5"/>
    </row>
    <row r="190" spans="1:24" ht="15.75" x14ac:dyDescent="0.25">
      <c r="A190" s="179"/>
      <c r="B190" s="180"/>
      <c r="C190" s="180"/>
      <c r="D190" s="180"/>
      <c r="E190" s="180"/>
      <c r="F190" s="180"/>
      <c r="G190" s="180"/>
      <c r="H190" s="180"/>
      <c r="I190" s="180"/>
      <c r="J190" s="180"/>
      <c r="K190" s="180"/>
      <c r="L190" s="180"/>
      <c r="M190" s="180"/>
      <c r="N190" s="180"/>
      <c r="O190" s="180"/>
      <c r="P190" s="180"/>
      <c r="Q190" s="180"/>
      <c r="R190" s="180"/>
      <c r="S190" s="180"/>
      <c r="T190" s="180"/>
      <c r="U190" s="180"/>
      <c r="V190" s="201"/>
      <c r="W190" s="180"/>
      <c r="X190" s="5"/>
    </row>
    <row r="191" spans="1:24" ht="15.75" x14ac:dyDescent="0.25">
      <c r="A191" s="181"/>
      <c r="B191" s="210" t="s">
        <v>65</v>
      </c>
      <c r="C191" s="183"/>
      <c r="D191" s="183"/>
      <c r="E191" s="183"/>
      <c r="F191" s="183"/>
      <c r="G191" s="183"/>
      <c r="H191" s="183"/>
      <c r="I191" s="183"/>
      <c r="J191" s="183"/>
      <c r="K191" s="183"/>
      <c r="L191" s="183"/>
      <c r="M191" s="183"/>
      <c r="N191" s="183"/>
      <c r="O191" s="183"/>
      <c r="P191" s="183"/>
      <c r="Q191" s="183"/>
      <c r="R191" s="183"/>
      <c r="S191" s="183"/>
      <c r="T191" s="183"/>
      <c r="U191" s="183"/>
      <c r="V191" s="217"/>
      <c r="W191" s="183"/>
      <c r="X191" s="5"/>
    </row>
    <row r="192" spans="1:24" ht="15.75" x14ac:dyDescent="0.25">
      <c r="A192" s="285"/>
      <c r="B192" s="286" t="s">
        <v>66</v>
      </c>
      <c r="C192" s="286"/>
      <c r="D192" s="286"/>
      <c r="E192" s="286"/>
      <c r="F192" s="286"/>
      <c r="G192" s="286"/>
      <c r="H192" s="286"/>
      <c r="I192" s="286"/>
      <c r="J192" s="286"/>
      <c r="K192" s="286"/>
      <c r="L192" s="286"/>
      <c r="M192" s="286"/>
      <c r="N192" s="286"/>
      <c r="O192" s="286"/>
      <c r="P192" s="286"/>
      <c r="Q192" s="286"/>
      <c r="R192" s="286"/>
      <c r="S192" s="286"/>
      <c r="T192" s="286"/>
      <c r="U192" s="286"/>
      <c r="V192" s="343">
        <f>(V101+V103+V104+V105+V106)/-(V107+V108)</f>
        <v>4.5651595744680851</v>
      </c>
      <c r="W192" s="289" t="s">
        <v>115</v>
      </c>
      <c r="X192" s="5"/>
    </row>
    <row r="193" spans="1:24" ht="15.75" x14ac:dyDescent="0.25">
      <c r="A193" s="285"/>
      <c r="B193" s="286" t="s">
        <v>67</v>
      </c>
      <c r="C193" s="286"/>
      <c r="D193" s="286"/>
      <c r="E193" s="286"/>
      <c r="F193" s="286"/>
      <c r="G193" s="286"/>
      <c r="H193" s="286"/>
      <c r="I193" s="286"/>
      <c r="J193" s="286"/>
      <c r="K193" s="286"/>
      <c r="L193" s="286"/>
      <c r="M193" s="286"/>
      <c r="N193" s="286"/>
      <c r="O193" s="286"/>
      <c r="P193" s="286"/>
      <c r="Q193" s="286"/>
      <c r="R193" s="286"/>
      <c r="S193" s="286"/>
      <c r="T193" s="286"/>
      <c r="U193" s="286"/>
      <c r="V193" s="347">
        <v>2.13</v>
      </c>
      <c r="W193" s="289" t="s">
        <v>115</v>
      </c>
      <c r="X193" s="5"/>
    </row>
    <row r="194" spans="1:24" ht="15.75" x14ac:dyDescent="0.25">
      <c r="A194" s="285"/>
      <c r="B194" s="286" t="s">
        <v>68</v>
      </c>
      <c r="C194" s="286"/>
      <c r="D194" s="286"/>
      <c r="E194" s="286"/>
      <c r="F194" s="286"/>
      <c r="G194" s="286"/>
      <c r="H194" s="286"/>
      <c r="I194" s="286"/>
      <c r="J194" s="286"/>
      <c r="K194" s="286"/>
      <c r="L194" s="286"/>
      <c r="M194" s="286"/>
      <c r="N194" s="286"/>
      <c r="O194" s="286"/>
      <c r="P194" s="286"/>
      <c r="Q194" s="286"/>
      <c r="R194" s="286"/>
      <c r="S194" s="286"/>
      <c r="T194" s="286"/>
      <c r="U194" s="286"/>
      <c r="V194" s="343">
        <f>(V101+V103+V104+V105+V106+V107+V108)/-(V109+V110)</f>
        <v>15.061797752808989</v>
      </c>
      <c r="W194" s="289" t="s">
        <v>115</v>
      </c>
      <c r="X194" s="5"/>
    </row>
    <row r="195" spans="1:24" ht="15.75" x14ac:dyDescent="0.25">
      <c r="A195" s="285"/>
      <c r="B195" s="286" t="s">
        <v>69</v>
      </c>
      <c r="C195" s="286"/>
      <c r="D195" s="286"/>
      <c r="E195" s="286"/>
      <c r="F195" s="286"/>
      <c r="G195" s="286"/>
      <c r="H195" s="286"/>
      <c r="I195" s="286"/>
      <c r="J195" s="286"/>
      <c r="K195" s="286"/>
      <c r="L195" s="286"/>
      <c r="M195" s="286"/>
      <c r="N195" s="286"/>
      <c r="O195" s="286"/>
      <c r="P195" s="286"/>
      <c r="Q195" s="286"/>
      <c r="R195" s="286"/>
      <c r="S195" s="286"/>
      <c r="T195" s="286"/>
      <c r="U195" s="286"/>
      <c r="V195" s="347">
        <v>9.7200000000000006</v>
      </c>
      <c r="W195" s="289" t="s">
        <v>115</v>
      </c>
      <c r="X195" s="5"/>
    </row>
    <row r="196" spans="1:24" ht="15.75" x14ac:dyDescent="0.25">
      <c r="A196" s="285"/>
      <c r="B196" s="286" t="s">
        <v>198</v>
      </c>
      <c r="C196" s="286"/>
      <c r="D196" s="286"/>
      <c r="E196" s="286"/>
      <c r="F196" s="286"/>
      <c r="G196" s="286"/>
      <c r="H196" s="286"/>
      <c r="I196" s="286"/>
      <c r="J196" s="286"/>
      <c r="K196" s="286"/>
      <c r="L196" s="286"/>
      <c r="M196" s="286"/>
      <c r="N196" s="286"/>
      <c r="O196" s="286"/>
      <c r="P196" s="286"/>
      <c r="Q196" s="286"/>
      <c r="R196" s="286"/>
      <c r="S196" s="286"/>
      <c r="T196" s="286"/>
      <c r="U196" s="286"/>
      <c r="V196" s="343">
        <f>(V101+V103+V104+V105+V106+V107+V108+V109+V110)/-(V111)</f>
        <v>8.4276094276094273</v>
      </c>
      <c r="W196" s="289" t="s">
        <v>115</v>
      </c>
      <c r="X196" s="5"/>
    </row>
    <row r="197" spans="1:24" ht="15.75" x14ac:dyDescent="0.25">
      <c r="A197" s="285"/>
      <c r="B197" s="286" t="s">
        <v>199</v>
      </c>
      <c r="C197" s="286"/>
      <c r="D197" s="286"/>
      <c r="E197" s="286"/>
      <c r="F197" s="286"/>
      <c r="G197" s="286"/>
      <c r="H197" s="286"/>
      <c r="I197" s="286"/>
      <c r="J197" s="286"/>
      <c r="K197" s="286"/>
      <c r="L197" s="286"/>
      <c r="M197" s="286"/>
      <c r="N197" s="286"/>
      <c r="O197" s="286"/>
      <c r="P197" s="286"/>
      <c r="Q197" s="286"/>
      <c r="R197" s="286"/>
      <c r="S197" s="286"/>
      <c r="T197" s="286"/>
      <c r="U197" s="286"/>
      <c r="V197" s="347">
        <v>7.02</v>
      </c>
      <c r="W197" s="289" t="s">
        <v>115</v>
      </c>
      <c r="X197" s="5"/>
    </row>
    <row r="198" spans="1:24" ht="15.75" x14ac:dyDescent="0.25">
      <c r="A198" s="285"/>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9"/>
      <c r="X198" s="5"/>
    </row>
    <row r="199" spans="1:24" ht="15.75" x14ac:dyDescent="0.25">
      <c r="A199" s="181"/>
      <c r="B199" s="346"/>
      <c r="C199" s="346"/>
      <c r="D199" s="346"/>
      <c r="E199" s="346"/>
      <c r="F199" s="346"/>
      <c r="G199" s="346"/>
      <c r="H199" s="346"/>
      <c r="I199" s="346"/>
      <c r="J199" s="346"/>
      <c r="K199" s="346"/>
      <c r="L199" s="346"/>
      <c r="M199" s="346"/>
      <c r="N199" s="346"/>
      <c r="O199" s="346"/>
      <c r="P199" s="346"/>
      <c r="Q199" s="346"/>
      <c r="R199" s="346"/>
      <c r="S199" s="346"/>
      <c r="T199" s="346"/>
      <c r="U199" s="346"/>
      <c r="V199" s="346"/>
      <c r="W199" s="346"/>
      <c r="X199" s="5"/>
    </row>
    <row r="200" spans="1:24" ht="15.75" x14ac:dyDescent="0.25">
      <c r="A200" s="181"/>
      <c r="B200" s="255"/>
      <c r="C200" s="255"/>
      <c r="D200" s="255"/>
      <c r="E200" s="255"/>
      <c r="F200" s="255"/>
      <c r="G200" s="255"/>
      <c r="H200" s="255"/>
      <c r="I200" s="255"/>
      <c r="J200" s="255"/>
      <c r="K200" s="255"/>
      <c r="L200" s="255"/>
      <c r="M200" s="255"/>
      <c r="N200" s="255"/>
      <c r="O200" s="255"/>
      <c r="P200" s="255"/>
      <c r="Q200" s="255"/>
      <c r="R200" s="255"/>
      <c r="S200" s="255"/>
      <c r="T200" s="255"/>
      <c r="U200" s="255"/>
      <c r="V200" s="255"/>
      <c r="W200" s="255"/>
      <c r="X200" s="5"/>
    </row>
    <row r="201" spans="1:24" ht="19.5" thickBot="1" x14ac:dyDescent="0.35">
      <c r="A201" s="197"/>
      <c r="B201" s="270" t="str">
        <f>B135</f>
        <v>PM15 INVESTOR REPORT QUARTER ENDING MAY 2017</v>
      </c>
      <c r="C201" s="271"/>
      <c r="D201" s="271"/>
      <c r="E201" s="271"/>
      <c r="F201" s="271"/>
      <c r="G201" s="271"/>
      <c r="H201" s="271"/>
      <c r="I201" s="271"/>
      <c r="J201" s="271"/>
      <c r="K201" s="271"/>
      <c r="L201" s="271"/>
      <c r="M201" s="271"/>
      <c r="N201" s="271"/>
      <c r="O201" s="271"/>
      <c r="P201" s="271"/>
      <c r="Q201" s="271"/>
      <c r="R201" s="271"/>
      <c r="S201" s="271"/>
      <c r="T201" s="271"/>
      <c r="U201" s="271"/>
      <c r="V201" s="271"/>
      <c r="W201" s="272"/>
      <c r="X201" s="5"/>
    </row>
    <row r="202" spans="1:24" ht="15.75" x14ac:dyDescent="0.25">
      <c r="A202" s="236"/>
      <c r="B202" s="403" t="s">
        <v>70</v>
      </c>
      <c r="C202" s="404"/>
      <c r="D202" s="404"/>
      <c r="E202" s="404"/>
      <c r="F202" s="404"/>
      <c r="G202" s="405"/>
      <c r="H202" s="405"/>
      <c r="I202" s="405"/>
      <c r="J202" s="405"/>
      <c r="K202" s="405"/>
      <c r="L202" s="405"/>
      <c r="M202" s="405"/>
      <c r="N202" s="405"/>
      <c r="O202" s="405"/>
      <c r="P202" s="405"/>
      <c r="Q202" s="405"/>
      <c r="R202" s="405"/>
      <c r="S202" s="405"/>
      <c r="T202" s="405">
        <v>42886</v>
      </c>
      <c r="U202" s="238"/>
      <c r="V202" s="238"/>
      <c r="W202" s="238"/>
      <c r="X202" s="5"/>
    </row>
    <row r="203" spans="1:24" ht="15.75" x14ac:dyDescent="0.25">
      <c r="A203" s="218"/>
      <c r="B203" s="219"/>
      <c r="C203" s="220"/>
      <c r="D203" s="220"/>
      <c r="E203" s="220"/>
      <c r="F203" s="220"/>
      <c r="G203" s="221"/>
      <c r="H203" s="221"/>
      <c r="I203" s="221"/>
      <c r="J203" s="221"/>
      <c r="K203" s="221"/>
      <c r="L203" s="221"/>
      <c r="M203" s="221"/>
      <c r="N203" s="221"/>
      <c r="O203" s="221"/>
      <c r="P203" s="221"/>
      <c r="Q203" s="221"/>
      <c r="R203" s="221"/>
      <c r="S203" s="221"/>
      <c r="T203" s="221"/>
      <c r="U203" s="183"/>
      <c r="V203" s="183"/>
      <c r="W203" s="183"/>
      <c r="X203" s="5"/>
    </row>
    <row r="204" spans="1:24" ht="15.75" x14ac:dyDescent="0.25">
      <c r="A204" s="350"/>
      <c r="B204" s="286" t="s">
        <v>71</v>
      </c>
      <c r="C204" s="406"/>
      <c r="D204" s="406"/>
      <c r="E204" s="406"/>
      <c r="F204" s="406"/>
      <c r="G204" s="397"/>
      <c r="H204" s="397"/>
      <c r="I204" s="397"/>
      <c r="J204" s="397"/>
      <c r="K204" s="397"/>
      <c r="L204" s="397"/>
      <c r="M204" s="397"/>
      <c r="N204" s="397"/>
      <c r="O204" s="397"/>
      <c r="P204" s="397"/>
      <c r="Q204" s="397"/>
      <c r="R204" s="397"/>
      <c r="S204" s="397"/>
      <c r="T204" s="321">
        <v>5.3830000000000003E-2</v>
      </c>
      <c r="U204" s="286"/>
      <c r="V204" s="286"/>
      <c r="W204" s="289"/>
      <c r="X204" s="5"/>
    </row>
    <row r="205" spans="1:24" ht="15.75" x14ac:dyDescent="0.25">
      <c r="A205" s="350"/>
      <c r="B205" s="286" t="s">
        <v>151</v>
      </c>
      <c r="C205" s="406"/>
      <c r="D205" s="406"/>
      <c r="E205" s="406"/>
      <c r="F205" s="406"/>
      <c r="G205" s="397"/>
      <c r="H205" s="397"/>
      <c r="I205" s="397"/>
      <c r="J205" s="397"/>
      <c r="K205" s="397"/>
      <c r="L205" s="397"/>
      <c r="M205" s="397"/>
      <c r="N205" s="397"/>
      <c r="O205" s="397"/>
      <c r="P205" s="397"/>
      <c r="Q205" s="397"/>
      <c r="R205" s="397"/>
      <c r="S205" s="397"/>
      <c r="T205" s="321">
        <v>6.25E-2</v>
      </c>
      <c r="U205" s="286"/>
      <c r="V205" s="286"/>
      <c r="W205" s="289"/>
      <c r="X205" s="5"/>
    </row>
    <row r="206" spans="1:24" ht="15.75" x14ac:dyDescent="0.25">
      <c r="A206" s="350"/>
      <c r="B206" s="286" t="s">
        <v>72</v>
      </c>
      <c r="C206" s="406"/>
      <c r="D206" s="406"/>
      <c r="E206" s="406"/>
      <c r="F206" s="406"/>
      <c r="G206" s="397"/>
      <c r="H206" s="397"/>
      <c r="I206" s="397"/>
      <c r="J206" s="397"/>
      <c r="K206" s="397"/>
      <c r="L206" s="397"/>
      <c r="M206" s="397"/>
      <c r="N206" s="397"/>
      <c r="O206" s="397"/>
      <c r="P206" s="397"/>
      <c r="Q206" s="397"/>
      <c r="R206" s="397"/>
      <c r="S206" s="397"/>
      <c r="T206" s="321">
        <f>T204-T205</f>
        <v>-8.6699999999999972E-3</v>
      </c>
      <c r="U206" s="286"/>
      <c r="V206" s="286"/>
      <c r="W206" s="289"/>
      <c r="X206" s="5"/>
    </row>
    <row r="207" spans="1:24" ht="15.75" x14ac:dyDescent="0.25">
      <c r="A207" s="350"/>
      <c r="B207" s="286" t="s">
        <v>73</v>
      </c>
      <c r="C207" s="406"/>
      <c r="D207" s="406"/>
      <c r="E207" s="406"/>
      <c r="F207" s="406"/>
      <c r="G207" s="397"/>
      <c r="H207" s="397"/>
      <c r="I207" s="397"/>
      <c r="J207" s="397"/>
      <c r="K207" s="397"/>
      <c r="L207" s="397"/>
      <c r="M207" s="397"/>
      <c r="N207" s="397"/>
      <c r="O207" s="397"/>
      <c r="P207" s="397"/>
      <c r="Q207" s="397"/>
      <c r="R207" s="397"/>
      <c r="S207" s="397"/>
      <c r="T207" s="321">
        <v>2.3040000000000001E-2</v>
      </c>
      <c r="U207" s="286"/>
      <c r="V207" s="286"/>
      <c r="W207" s="289"/>
      <c r="X207" s="5"/>
    </row>
    <row r="208" spans="1:24" ht="15.75" x14ac:dyDescent="0.25">
      <c r="A208" s="350"/>
      <c r="B208" s="286" t="s">
        <v>218</v>
      </c>
      <c r="C208" s="406"/>
      <c r="D208" s="406"/>
      <c r="E208" s="406"/>
      <c r="F208" s="406"/>
      <c r="G208" s="397"/>
      <c r="H208" s="397"/>
      <c r="I208" s="397"/>
      <c r="J208" s="397"/>
      <c r="K208" s="397"/>
      <c r="L208" s="397"/>
      <c r="M208" s="397"/>
      <c r="N208" s="397"/>
      <c r="O208" s="397"/>
      <c r="P208" s="397"/>
      <c r="Q208" s="397"/>
      <c r="R208" s="397"/>
      <c r="S208" s="397"/>
      <c r="T208" s="321">
        <f>V43</f>
        <v>7.2484249606282643E-3</v>
      </c>
      <c r="U208" s="286"/>
      <c r="V208" s="286"/>
      <c r="W208" s="289"/>
      <c r="X208" s="5"/>
    </row>
    <row r="209" spans="1:24" ht="15.75" x14ac:dyDescent="0.25">
      <c r="A209" s="350"/>
      <c r="B209" s="286" t="s">
        <v>74</v>
      </c>
      <c r="C209" s="406"/>
      <c r="D209" s="406"/>
      <c r="E209" s="406"/>
      <c r="F209" s="406"/>
      <c r="G209" s="397"/>
      <c r="H209" s="397"/>
      <c r="I209" s="397"/>
      <c r="J209" s="397"/>
      <c r="K209" s="397"/>
      <c r="L209" s="397"/>
      <c r="M209" s="397"/>
      <c r="N209" s="397"/>
      <c r="O209" s="397"/>
      <c r="P209" s="397"/>
      <c r="Q209" s="397"/>
      <c r="R209" s="397"/>
      <c r="S209" s="397"/>
      <c r="T209" s="321">
        <f>T207-T208</f>
        <v>1.5791575039371737E-2</v>
      </c>
      <c r="U209" s="286"/>
      <c r="V209" s="286"/>
      <c r="W209" s="289"/>
      <c r="X209" s="5"/>
    </row>
    <row r="210" spans="1:24" ht="15.75" x14ac:dyDescent="0.25">
      <c r="A210" s="350"/>
      <c r="B210" s="286" t="s">
        <v>227</v>
      </c>
      <c r="C210" s="406"/>
      <c r="D210" s="406"/>
      <c r="E210" s="406"/>
      <c r="F210" s="406"/>
      <c r="G210" s="397"/>
      <c r="H210" s="397"/>
      <c r="I210" s="397"/>
      <c r="J210" s="397"/>
      <c r="K210" s="397"/>
      <c r="L210" s="397"/>
      <c r="M210" s="397"/>
      <c r="N210" s="397"/>
      <c r="O210" s="397"/>
      <c r="P210" s="397"/>
      <c r="Q210" s="397"/>
      <c r="R210" s="397"/>
      <c r="S210" s="397"/>
      <c r="T210" s="321">
        <f>V101/N71</f>
        <v>5.6618938469323969E-3</v>
      </c>
      <c r="U210" s="286"/>
      <c r="V210" s="286"/>
      <c r="W210" s="289"/>
      <c r="X210" s="5"/>
    </row>
    <row r="211" spans="1:24" ht="15.75" x14ac:dyDescent="0.25">
      <c r="A211" s="350"/>
      <c r="B211" s="286" t="s">
        <v>207</v>
      </c>
      <c r="C211" s="406"/>
      <c r="D211" s="406"/>
      <c r="E211" s="406"/>
      <c r="F211" s="406"/>
      <c r="G211" s="397"/>
      <c r="H211" s="397"/>
      <c r="I211" s="397"/>
      <c r="J211" s="397"/>
      <c r="K211" s="397"/>
      <c r="L211" s="397"/>
      <c r="M211" s="397"/>
      <c r="N211" s="397"/>
      <c r="O211" s="397"/>
      <c r="P211" s="397"/>
      <c r="Q211" s="397"/>
      <c r="R211" s="397"/>
      <c r="S211" s="397"/>
      <c r="T211" s="352">
        <v>51105</v>
      </c>
      <c r="U211" s="286"/>
      <c r="V211" s="286"/>
      <c r="W211" s="289"/>
      <c r="X211" s="5"/>
    </row>
    <row r="212" spans="1:24" ht="15.75" x14ac:dyDescent="0.25">
      <c r="A212" s="350"/>
      <c r="B212" s="286" t="s">
        <v>208</v>
      </c>
      <c r="C212" s="406"/>
      <c r="D212" s="406"/>
      <c r="E212" s="406"/>
      <c r="F212" s="406"/>
      <c r="G212" s="397"/>
      <c r="H212" s="397"/>
      <c r="I212" s="397"/>
      <c r="J212" s="397"/>
      <c r="K212" s="397"/>
      <c r="L212" s="397"/>
      <c r="M212" s="397"/>
      <c r="N212" s="397"/>
      <c r="O212" s="397"/>
      <c r="P212" s="397"/>
      <c r="Q212" s="397"/>
      <c r="R212" s="397"/>
      <c r="S212" s="397"/>
      <c r="T212" s="352">
        <v>51105</v>
      </c>
      <c r="U212" s="286"/>
      <c r="V212" s="286"/>
      <c r="W212" s="289"/>
      <c r="X212" s="5"/>
    </row>
    <row r="213" spans="1:24" ht="15.75" x14ac:dyDescent="0.25">
      <c r="A213" s="350"/>
      <c r="B213" s="286" t="s">
        <v>209</v>
      </c>
      <c r="C213" s="406"/>
      <c r="D213" s="406"/>
      <c r="E213" s="406"/>
      <c r="F213" s="406"/>
      <c r="G213" s="397"/>
      <c r="H213" s="397"/>
      <c r="I213" s="397"/>
      <c r="J213" s="397"/>
      <c r="K213" s="397"/>
      <c r="L213" s="397"/>
      <c r="M213" s="397"/>
      <c r="N213" s="397"/>
      <c r="O213" s="397"/>
      <c r="P213" s="397"/>
      <c r="Q213" s="397"/>
      <c r="R213" s="397"/>
      <c r="S213" s="397"/>
      <c r="T213" s="352">
        <v>51105</v>
      </c>
      <c r="U213" s="286"/>
      <c r="V213" s="286"/>
      <c r="W213" s="289"/>
      <c r="X213" s="5"/>
    </row>
    <row r="214" spans="1:24" ht="15.75" x14ac:dyDescent="0.25">
      <c r="A214" s="350"/>
      <c r="B214" s="286" t="s">
        <v>75</v>
      </c>
      <c r="C214" s="406"/>
      <c r="D214" s="406"/>
      <c r="E214" s="406"/>
      <c r="F214" s="406"/>
      <c r="G214" s="397"/>
      <c r="H214" s="397"/>
      <c r="I214" s="397"/>
      <c r="J214" s="397"/>
      <c r="K214" s="397"/>
      <c r="L214" s="397"/>
      <c r="M214" s="397"/>
      <c r="N214" s="397"/>
      <c r="O214" s="397"/>
      <c r="P214" s="397"/>
      <c r="Q214" s="397"/>
      <c r="R214" s="397"/>
      <c r="S214" s="397"/>
      <c r="T214" s="327">
        <v>21.06</v>
      </c>
      <c r="U214" s="286" t="s">
        <v>110</v>
      </c>
      <c r="V214" s="286"/>
      <c r="W214" s="289"/>
      <c r="X214" s="5"/>
    </row>
    <row r="215" spans="1:24" ht="15.75" x14ac:dyDescent="0.25">
      <c r="A215" s="350"/>
      <c r="B215" s="286" t="s">
        <v>76</v>
      </c>
      <c r="C215" s="406"/>
      <c r="D215" s="406"/>
      <c r="E215" s="406"/>
      <c r="F215" s="406"/>
      <c r="G215" s="397"/>
      <c r="H215" s="397"/>
      <c r="I215" s="397"/>
      <c r="J215" s="397"/>
      <c r="K215" s="397"/>
      <c r="L215" s="397"/>
      <c r="M215" s="397"/>
      <c r="N215" s="397"/>
      <c r="O215" s="397"/>
      <c r="P215" s="397"/>
      <c r="Q215" s="397"/>
      <c r="R215" s="397"/>
      <c r="S215" s="397"/>
      <c r="T215" s="327">
        <v>11.88</v>
      </c>
      <c r="U215" s="286" t="s">
        <v>110</v>
      </c>
      <c r="V215" s="286"/>
      <c r="W215" s="289"/>
      <c r="X215" s="5"/>
    </row>
    <row r="216" spans="1:24" ht="15.75" x14ac:dyDescent="0.25">
      <c r="A216" s="350"/>
      <c r="B216" s="286" t="s">
        <v>77</v>
      </c>
      <c r="C216" s="406"/>
      <c r="D216" s="406"/>
      <c r="E216" s="406"/>
      <c r="F216" s="406"/>
      <c r="G216" s="397"/>
      <c r="H216" s="397"/>
      <c r="I216" s="397"/>
      <c r="J216" s="397"/>
      <c r="K216" s="397"/>
      <c r="L216" s="397"/>
      <c r="M216" s="397"/>
      <c r="N216" s="397"/>
      <c r="O216" s="397"/>
      <c r="P216" s="397"/>
      <c r="Q216" s="397"/>
      <c r="R216" s="397"/>
      <c r="S216" s="397"/>
      <c r="T216" s="321">
        <f>+P68/N68</f>
        <v>1.9660345905396958E-2</v>
      </c>
      <c r="U216" s="286"/>
      <c r="V216" s="286"/>
      <c r="W216" s="289"/>
      <c r="X216" s="5"/>
    </row>
    <row r="217" spans="1:24" ht="15.75" x14ac:dyDescent="0.25">
      <c r="A217" s="350"/>
      <c r="B217" s="286" t="s">
        <v>78</v>
      </c>
      <c r="C217" s="406"/>
      <c r="D217" s="406"/>
      <c r="E217" s="406"/>
      <c r="F217" s="406"/>
      <c r="G217" s="397"/>
      <c r="H217" s="397"/>
      <c r="I217" s="397"/>
      <c r="J217" s="397"/>
      <c r="K217" s="397"/>
      <c r="L217" s="397"/>
      <c r="M217" s="397"/>
      <c r="N217" s="397"/>
      <c r="O217" s="397"/>
      <c r="P217" s="397"/>
      <c r="Q217" s="397"/>
      <c r="R217" s="397"/>
      <c r="S217" s="397"/>
      <c r="T217" s="321">
        <v>4.3099999999999999E-2</v>
      </c>
      <c r="U217" s="286"/>
      <c r="V217" s="286"/>
      <c r="W217" s="289"/>
      <c r="X217" s="5"/>
    </row>
    <row r="218" spans="1:24" ht="15.75" x14ac:dyDescent="0.25">
      <c r="A218" s="218"/>
      <c r="B218" s="348"/>
      <c r="C218" s="348"/>
      <c r="D218" s="348"/>
      <c r="E218" s="348"/>
      <c r="F218" s="348"/>
      <c r="G218" s="212"/>
      <c r="H218" s="212"/>
      <c r="I218" s="212"/>
      <c r="J218" s="212"/>
      <c r="K218" s="212"/>
      <c r="L218" s="212"/>
      <c r="M218" s="212"/>
      <c r="N218" s="212"/>
      <c r="O218" s="212"/>
      <c r="P218" s="212"/>
      <c r="Q218" s="212"/>
      <c r="R218" s="212"/>
      <c r="S218" s="212"/>
      <c r="T218" s="344"/>
      <c r="U218" s="212"/>
      <c r="V218" s="349"/>
      <c r="W218" s="212"/>
      <c r="X218" s="5"/>
    </row>
    <row r="219" spans="1:24" ht="15.75" x14ac:dyDescent="0.25">
      <c r="A219" s="242"/>
      <c r="B219" s="399" t="s">
        <v>79</v>
      </c>
      <c r="C219" s="400"/>
      <c r="D219" s="400"/>
      <c r="E219" s="400"/>
      <c r="F219" s="407"/>
      <c r="G219" s="400"/>
      <c r="H219" s="400"/>
      <c r="I219" s="400"/>
      <c r="J219" s="400"/>
      <c r="K219" s="400"/>
      <c r="L219" s="400"/>
      <c r="M219" s="400"/>
      <c r="N219" s="400"/>
      <c r="O219" s="400"/>
      <c r="P219" s="400"/>
      <c r="Q219" s="400"/>
      <c r="R219" s="400"/>
      <c r="S219" s="400" t="s">
        <v>102</v>
      </c>
      <c r="T219" s="407" t="s">
        <v>108</v>
      </c>
      <c r="U219" s="225"/>
      <c r="V219" s="225"/>
      <c r="W219" s="225"/>
      <c r="X219" s="5"/>
    </row>
    <row r="220" spans="1:24" ht="15.75" x14ac:dyDescent="0.25">
      <c r="A220" s="222"/>
      <c r="B220" s="250" t="s">
        <v>80</v>
      </c>
      <c r="C220" s="249"/>
      <c r="D220" s="249"/>
      <c r="E220" s="249"/>
      <c r="F220" s="250"/>
      <c r="G220" s="250"/>
      <c r="H220" s="268"/>
      <c r="I220" s="268"/>
      <c r="J220" s="268"/>
      <c r="K220" s="268"/>
      <c r="L220" s="268"/>
      <c r="M220" s="268"/>
      <c r="N220" s="268"/>
      <c r="O220" s="268"/>
      <c r="P220" s="268"/>
      <c r="Q220" s="268"/>
      <c r="R220" s="268"/>
      <c r="S220" s="268">
        <v>1</v>
      </c>
      <c r="T220" s="269">
        <v>153</v>
      </c>
      <c r="U220" s="250"/>
      <c r="V220" s="266"/>
      <c r="W220" s="223"/>
      <c r="X220" s="5"/>
    </row>
    <row r="221" spans="1:24" ht="15.75" x14ac:dyDescent="0.25">
      <c r="A221" s="358"/>
      <c r="B221" s="286" t="s">
        <v>145</v>
      </c>
      <c r="C221" s="337"/>
      <c r="D221" s="337"/>
      <c r="E221" s="337"/>
      <c r="F221" s="286"/>
      <c r="G221" s="286"/>
      <c r="H221" s="296"/>
      <c r="I221" s="296"/>
      <c r="J221" s="296"/>
      <c r="K221" s="296"/>
      <c r="L221" s="296"/>
      <c r="M221" s="296"/>
      <c r="N221" s="296"/>
      <c r="O221" s="296"/>
      <c r="P221" s="296"/>
      <c r="Q221" s="296"/>
      <c r="R221" s="296"/>
      <c r="S221" s="359">
        <f>+R273</f>
        <v>74</v>
      </c>
      <c r="T221" s="360">
        <f>+T273</f>
        <v>10020</v>
      </c>
      <c r="U221" s="286"/>
      <c r="V221" s="361"/>
      <c r="W221" s="362"/>
      <c r="X221" s="5"/>
    </row>
    <row r="222" spans="1:24" ht="15.75" x14ac:dyDescent="0.25">
      <c r="A222" s="358"/>
      <c r="B222" s="286" t="s">
        <v>81</v>
      </c>
      <c r="C222" s="337"/>
      <c r="D222" s="337"/>
      <c r="E222" s="337"/>
      <c r="F222" s="286"/>
      <c r="G222" s="286"/>
      <c r="H222" s="296"/>
      <c r="I222" s="296"/>
      <c r="J222" s="296"/>
      <c r="K222" s="296"/>
      <c r="L222" s="296"/>
      <c r="M222" s="296"/>
      <c r="N222" s="296"/>
      <c r="O222" s="296"/>
      <c r="P222" s="296"/>
      <c r="Q222" s="296"/>
      <c r="R222" s="296"/>
      <c r="S222" s="359">
        <f>+R285</f>
        <v>0</v>
      </c>
      <c r="T222" s="360">
        <f>+T285</f>
        <v>0</v>
      </c>
      <c r="U222" s="286"/>
      <c r="V222" s="361"/>
      <c r="W222" s="362"/>
      <c r="X222" s="5"/>
    </row>
    <row r="223" spans="1:24" ht="15.75" x14ac:dyDescent="0.25">
      <c r="A223" s="358"/>
      <c r="B223" s="313" t="s">
        <v>82</v>
      </c>
      <c r="C223" s="363"/>
      <c r="D223" s="363"/>
      <c r="E223" s="363"/>
      <c r="F223" s="314"/>
      <c r="G223" s="314"/>
      <c r="H223" s="314"/>
      <c r="I223" s="314"/>
      <c r="J223" s="314"/>
      <c r="K223" s="314"/>
      <c r="L223" s="314"/>
      <c r="M223" s="314"/>
      <c r="N223" s="314"/>
      <c r="O223" s="314"/>
      <c r="P223" s="314"/>
      <c r="Q223" s="314"/>
      <c r="R223" s="314"/>
      <c r="S223" s="286"/>
      <c r="T223" s="360">
        <v>0</v>
      </c>
      <c r="U223" s="314"/>
      <c r="V223" s="364"/>
      <c r="W223" s="362"/>
      <c r="X223" s="5"/>
    </row>
    <row r="224" spans="1:24" ht="15.75" x14ac:dyDescent="0.25">
      <c r="A224" s="358"/>
      <c r="B224" s="313" t="s">
        <v>228</v>
      </c>
      <c r="C224" s="363"/>
      <c r="D224" s="363"/>
      <c r="E224" s="363"/>
      <c r="F224" s="314"/>
      <c r="G224" s="314"/>
      <c r="H224" s="314"/>
      <c r="I224" s="314"/>
      <c r="J224" s="314"/>
      <c r="K224" s="314"/>
      <c r="L224" s="314"/>
      <c r="M224" s="314"/>
      <c r="N224" s="314"/>
      <c r="O224" s="314"/>
      <c r="P224" s="314"/>
      <c r="Q224" s="314"/>
      <c r="R224" s="314"/>
      <c r="S224" s="286"/>
      <c r="T224" s="360">
        <f>+N81</f>
        <v>0</v>
      </c>
      <c r="U224" s="314"/>
      <c r="V224" s="364"/>
      <c r="W224" s="362"/>
      <c r="X224" s="5"/>
    </row>
    <row r="225" spans="1:24" ht="15.75" x14ac:dyDescent="0.25">
      <c r="A225" s="365"/>
      <c r="B225" s="313" t="s">
        <v>83</v>
      </c>
      <c r="C225" s="366"/>
      <c r="D225" s="366"/>
      <c r="E225" s="366"/>
      <c r="F225" s="366"/>
      <c r="G225" s="314"/>
      <c r="H225" s="314"/>
      <c r="I225" s="314"/>
      <c r="J225" s="314"/>
      <c r="K225" s="314"/>
      <c r="L225" s="314"/>
      <c r="M225" s="314"/>
      <c r="N225" s="314"/>
      <c r="O225" s="314"/>
      <c r="P225" s="314"/>
      <c r="Q225" s="314"/>
      <c r="R225" s="314"/>
      <c r="S225" s="286"/>
      <c r="T225" s="360"/>
      <c r="U225" s="314"/>
      <c r="V225" s="364"/>
      <c r="W225" s="367"/>
      <c r="X225" s="5"/>
    </row>
    <row r="226" spans="1:24" ht="15.75" x14ac:dyDescent="0.25">
      <c r="A226" s="365"/>
      <c r="B226" s="286" t="s">
        <v>84</v>
      </c>
      <c r="C226" s="366"/>
      <c r="D226" s="366"/>
      <c r="E226" s="366"/>
      <c r="F226" s="366"/>
      <c r="G226" s="314"/>
      <c r="H226" s="314"/>
      <c r="I226" s="314"/>
      <c r="J226" s="314"/>
      <c r="K226" s="314"/>
      <c r="L226" s="314"/>
      <c r="M226" s="314"/>
      <c r="N226" s="314"/>
      <c r="O226" s="314"/>
      <c r="P226" s="314"/>
      <c r="Q226" s="314"/>
      <c r="R226" s="314"/>
      <c r="S226" s="296"/>
      <c r="T226" s="360">
        <f>V164</f>
        <v>143</v>
      </c>
      <c r="U226" s="314"/>
      <c r="V226" s="364"/>
      <c r="W226" s="367"/>
      <c r="X226" s="5"/>
    </row>
    <row r="227" spans="1:24" ht="15.75" x14ac:dyDescent="0.25">
      <c r="A227" s="358"/>
      <c r="B227" s="286" t="s">
        <v>85</v>
      </c>
      <c r="C227" s="363"/>
      <c r="D227" s="363"/>
      <c r="E227" s="363"/>
      <c r="F227" s="363"/>
      <c r="G227" s="314"/>
      <c r="H227" s="314"/>
      <c r="I227" s="314"/>
      <c r="J227" s="314"/>
      <c r="K227" s="314"/>
      <c r="L227" s="314"/>
      <c r="M227" s="314"/>
      <c r="N227" s="314"/>
      <c r="O227" s="314"/>
      <c r="P227" s="314"/>
      <c r="Q227" s="314"/>
      <c r="R227" s="314"/>
      <c r="S227" s="296"/>
      <c r="T227" s="360">
        <f>'Feb 17'!T227+T226</f>
        <v>8189</v>
      </c>
      <c r="U227" s="314"/>
      <c r="V227" s="364"/>
      <c r="W227" s="367"/>
      <c r="X227" s="5"/>
    </row>
    <row r="228" spans="1:24" ht="15.75" x14ac:dyDescent="0.25">
      <c r="A228" s="365"/>
      <c r="B228" s="313" t="s">
        <v>285</v>
      </c>
      <c r="C228" s="366"/>
      <c r="D228" s="366"/>
      <c r="E228" s="366"/>
      <c r="F228" s="366"/>
      <c r="G228" s="314"/>
      <c r="H228" s="314"/>
      <c r="I228" s="314"/>
      <c r="J228" s="314"/>
      <c r="K228" s="314"/>
      <c r="L228" s="314"/>
      <c r="M228" s="314"/>
      <c r="N228" s="314"/>
      <c r="O228" s="314"/>
      <c r="P228" s="314"/>
      <c r="Q228" s="314"/>
      <c r="R228" s="314"/>
      <c r="S228" s="296"/>
      <c r="T228" s="360"/>
      <c r="U228" s="314"/>
      <c r="V228" s="364"/>
      <c r="W228" s="367"/>
      <c r="X228" s="5"/>
    </row>
    <row r="229" spans="1:24" ht="15.75" x14ac:dyDescent="0.25">
      <c r="A229" s="365"/>
      <c r="B229" s="286" t="s">
        <v>282</v>
      </c>
      <c r="C229" s="366"/>
      <c r="D229" s="366"/>
      <c r="E229" s="366"/>
      <c r="F229" s="366"/>
      <c r="G229" s="314"/>
      <c r="H229" s="314"/>
      <c r="I229" s="314"/>
      <c r="J229" s="314"/>
      <c r="K229" s="314"/>
      <c r="L229" s="314"/>
      <c r="M229" s="314"/>
      <c r="N229" s="314"/>
      <c r="O229" s="314"/>
      <c r="P229" s="314"/>
      <c r="Q229" s="314"/>
      <c r="R229" s="314"/>
      <c r="S229" s="296">
        <v>0</v>
      </c>
      <c r="T229" s="360">
        <v>0</v>
      </c>
      <c r="U229" s="314"/>
      <c r="V229" s="364"/>
      <c r="W229" s="367"/>
      <c r="X229" s="5"/>
    </row>
    <row r="230" spans="1:24" ht="15.75" x14ac:dyDescent="0.25">
      <c r="A230" s="358"/>
      <c r="B230" s="286" t="s">
        <v>86</v>
      </c>
      <c r="C230" s="368"/>
      <c r="D230" s="368"/>
      <c r="E230" s="368"/>
      <c r="F230" s="369"/>
      <c r="G230" s="314"/>
      <c r="H230" s="314"/>
      <c r="I230" s="314"/>
      <c r="J230" s="314"/>
      <c r="K230" s="314"/>
      <c r="L230" s="314"/>
      <c r="M230" s="314"/>
      <c r="N230" s="314"/>
      <c r="O230" s="314"/>
      <c r="P230" s="314"/>
      <c r="Q230" s="314"/>
      <c r="R230" s="314"/>
      <c r="S230" s="286"/>
      <c r="T230" s="370">
        <v>0</v>
      </c>
      <c r="U230" s="314"/>
      <c r="V230" s="364"/>
      <c r="W230" s="367"/>
      <c r="X230" s="5"/>
    </row>
    <row r="231" spans="1:24" ht="15.75" x14ac:dyDescent="0.25">
      <c r="A231" s="358"/>
      <c r="B231" s="286" t="s">
        <v>87</v>
      </c>
      <c r="C231" s="368"/>
      <c r="D231" s="368"/>
      <c r="E231" s="368"/>
      <c r="F231" s="369"/>
      <c r="G231" s="314"/>
      <c r="H231" s="314"/>
      <c r="I231" s="314"/>
      <c r="J231" s="314"/>
      <c r="K231" s="314"/>
      <c r="L231" s="314"/>
      <c r="M231" s="314"/>
      <c r="N231" s="314"/>
      <c r="O231" s="314"/>
      <c r="P231" s="314"/>
      <c r="Q231" s="314"/>
      <c r="R231" s="314"/>
      <c r="S231" s="286"/>
      <c r="T231" s="370">
        <v>0</v>
      </c>
      <c r="U231" s="314"/>
      <c r="V231" s="364"/>
      <c r="W231" s="367"/>
      <c r="X231" s="5"/>
    </row>
    <row r="232" spans="1:24" ht="15.75" x14ac:dyDescent="0.25">
      <c r="A232" s="358"/>
      <c r="B232" s="313" t="s">
        <v>216</v>
      </c>
      <c r="C232" s="368"/>
      <c r="D232" s="368"/>
      <c r="E232" s="368"/>
      <c r="F232" s="369"/>
      <c r="G232" s="314"/>
      <c r="H232" s="314"/>
      <c r="I232" s="314"/>
      <c r="J232" s="314"/>
      <c r="K232" s="314"/>
      <c r="L232" s="314"/>
      <c r="M232" s="314"/>
      <c r="N232" s="314"/>
      <c r="O232" s="314"/>
      <c r="P232" s="314"/>
      <c r="Q232" s="314"/>
      <c r="R232" s="314"/>
      <c r="S232" s="286"/>
      <c r="T232" s="371"/>
      <c r="U232" s="314"/>
      <c r="V232" s="364"/>
      <c r="W232" s="367"/>
      <c r="X232" s="5"/>
    </row>
    <row r="233" spans="1:24" ht="15.75" x14ac:dyDescent="0.25">
      <c r="A233" s="358"/>
      <c r="B233" s="286" t="s">
        <v>282</v>
      </c>
      <c r="C233" s="368"/>
      <c r="D233" s="368"/>
      <c r="E233" s="368"/>
      <c r="F233" s="369"/>
      <c r="G233" s="314"/>
      <c r="H233" s="314"/>
      <c r="I233" s="314"/>
      <c r="J233" s="314"/>
      <c r="K233" s="314"/>
      <c r="L233" s="314"/>
      <c r="M233" s="314"/>
      <c r="N233" s="314"/>
      <c r="O233" s="314"/>
      <c r="P233" s="314"/>
      <c r="Q233" s="314"/>
      <c r="R233" s="314"/>
      <c r="S233" s="296">
        <v>5</v>
      </c>
      <c r="T233" s="360">
        <v>555</v>
      </c>
      <c r="U233" s="314"/>
      <c r="V233" s="364"/>
      <c r="W233" s="367"/>
      <c r="X233" s="5"/>
    </row>
    <row r="234" spans="1:24" ht="15.75" x14ac:dyDescent="0.25">
      <c r="A234" s="358"/>
      <c r="B234" s="286" t="s">
        <v>217</v>
      </c>
      <c r="C234" s="368"/>
      <c r="D234" s="368"/>
      <c r="E234" s="368"/>
      <c r="F234" s="369"/>
      <c r="G234" s="314"/>
      <c r="H234" s="314"/>
      <c r="I234" s="314"/>
      <c r="J234" s="314"/>
      <c r="K234" s="314"/>
      <c r="L234" s="314"/>
      <c r="M234" s="314"/>
      <c r="N234" s="314"/>
      <c r="O234" s="314"/>
      <c r="P234" s="314"/>
      <c r="Q234" s="314"/>
      <c r="R234" s="314"/>
      <c r="S234" s="286"/>
      <c r="T234" s="370">
        <v>5.43</v>
      </c>
      <c r="U234" s="314"/>
      <c r="V234" s="364"/>
      <c r="W234" s="367"/>
      <c r="X234" s="5"/>
    </row>
    <row r="235" spans="1:24" ht="15.75" x14ac:dyDescent="0.25">
      <c r="A235" s="358"/>
      <c r="B235" s="366"/>
      <c r="C235" s="368"/>
      <c r="D235" s="368"/>
      <c r="E235" s="368"/>
      <c r="F235" s="369"/>
      <c r="G235" s="314"/>
      <c r="H235" s="314"/>
      <c r="I235" s="314"/>
      <c r="J235" s="314"/>
      <c r="K235" s="314"/>
      <c r="L235" s="314"/>
      <c r="M235" s="314"/>
      <c r="N235" s="314"/>
      <c r="O235" s="314"/>
      <c r="P235" s="314"/>
      <c r="Q235" s="314"/>
      <c r="R235" s="314"/>
      <c r="S235" s="286"/>
      <c r="T235" s="371"/>
      <c r="U235" s="314"/>
      <c r="V235" s="364"/>
      <c r="W235" s="367"/>
      <c r="X235" s="5"/>
    </row>
    <row r="236" spans="1:24" ht="15.75" x14ac:dyDescent="0.25">
      <c r="A236" s="358"/>
      <c r="B236" s="366"/>
      <c r="C236" s="368"/>
      <c r="D236" s="368"/>
      <c r="E236" s="368"/>
      <c r="F236" s="369"/>
      <c r="G236" s="314"/>
      <c r="H236" s="314"/>
      <c r="I236" s="314"/>
      <c r="J236" s="314"/>
      <c r="K236" s="314"/>
      <c r="L236" s="314"/>
      <c r="M236" s="314"/>
      <c r="N236" s="314"/>
      <c r="O236" s="314"/>
      <c r="P236" s="314"/>
      <c r="Q236" s="314"/>
      <c r="R236" s="314"/>
      <c r="S236" s="314"/>
      <c r="T236" s="372"/>
      <c r="U236" s="314"/>
      <c r="V236" s="364"/>
      <c r="W236" s="367"/>
      <c r="X236" s="5"/>
    </row>
    <row r="237" spans="1:24" ht="18.75" x14ac:dyDescent="0.3">
      <c r="A237" s="358"/>
      <c r="B237" s="373" t="s">
        <v>168</v>
      </c>
      <c r="C237" s="368"/>
      <c r="D237" s="368"/>
      <c r="E237" s="368"/>
      <c r="F237" s="369"/>
      <c r="G237" s="314"/>
      <c r="H237" s="314"/>
      <c r="I237" s="314"/>
      <c r="J237" s="314"/>
      <c r="K237" s="314"/>
      <c r="L237" s="314"/>
      <c r="M237" s="314"/>
      <c r="N237" s="314"/>
      <c r="O237" s="314"/>
      <c r="P237" s="374" t="s">
        <v>167</v>
      </c>
      <c r="Q237" s="314"/>
      <c r="R237" s="314"/>
      <c r="S237" s="314"/>
      <c r="T237" s="372"/>
      <c r="U237" s="314"/>
      <c r="V237" s="364"/>
      <c r="W237" s="367"/>
      <c r="X237" s="5"/>
    </row>
    <row r="238" spans="1:24" ht="15.75" x14ac:dyDescent="0.25">
      <c r="A238" s="353"/>
      <c r="B238" s="348"/>
      <c r="C238" s="354"/>
      <c r="D238" s="354"/>
      <c r="E238" s="354"/>
      <c r="F238" s="355"/>
      <c r="G238" s="212"/>
      <c r="H238" s="212"/>
      <c r="I238" s="212"/>
      <c r="J238" s="212"/>
      <c r="K238" s="212"/>
      <c r="L238" s="212"/>
      <c r="M238" s="212"/>
      <c r="N238" s="212"/>
      <c r="O238" s="212"/>
      <c r="P238" s="212"/>
      <c r="Q238" s="212"/>
      <c r="R238" s="212"/>
      <c r="S238" s="212"/>
      <c r="T238" s="356"/>
      <c r="U238" s="212"/>
      <c r="V238" s="349"/>
      <c r="W238" s="357"/>
      <c r="X238" s="5"/>
    </row>
    <row r="239" spans="1:24" ht="15.75" x14ac:dyDescent="0.25">
      <c r="A239" s="224"/>
      <c r="B239" s="399" t="s">
        <v>297</v>
      </c>
      <c r="C239" s="400"/>
      <c r="D239" s="400"/>
      <c r="E239" s="400"/>
      <c r="F239" s="407"/>
      <c r="G239" s="400"/>
      <c r="H239" s="400"/>
      <c r="I239" s="400"/>
      <c r="J239" s="400"/>
      <c r="K239" s="400"/>
      <c r="L239" s="400"/>
      <c r="M239" s="400"/>
      <c r="N239" s="400"/>
      <c r="O239" s="400"/>
      <c r="P239" s="400"/>
      <c r="Q239" s="400"/>
      <c r="R239" s="407" t="s">
        <v>102</v>
      </c>
      <c r="S239" s="400" t="s">
        <v>103</v>
      </c>
      <c r="T239" s="407" t="s">
        <v>109</v>
      </c>
      <c r="U239" s="400" t="s">
        <v>103</v>
      </c>
      <c r="V239" s="225"/>
      <c r="W239" s="399"/>
      <c r="X239" s="5"/>
    </row>
    <row r="240" spans="1:24" ht="15.75" x14ac:dyDescent="0.25">
      <c r="A240" s="193"/>
      <c r="B240" s="249" t="s">
        <v>88</v>
      </c>
      <c r="C240" s="265"/>
      <c r="D240" s="265"/>
      <c r="E240" s="265"/>
      <c r="F240" s="250"/>
      <c r="G240" s="265"/>
      <c r="H240" s="265"/>
      <c r="I240" s="265"/>
      <c r="J240" s="265"/>
      <c r="K240" s="265"/>
      <c r="L240" s="265"/>
      <c r="M240" s="265"/>
      <c r="N240" s="265"/>
      <c r="O240" s="265"/>
      <c r="P240" s="265"/>
      <c r="Q240" s="265"/>
      <c r="R240" s="249">
        <f t="shared" ref="R240:R247" si="1">+R252+R264+R276</f>
        <v>4746</v>
      </c>
      <c r="S240" s="252">
        <f t="shared" ref="S240:S247" si="2">R240/$R$249</f>
        <v>0.99226426928705835</v>
      </c>
      <c r="T240" s="253">
        <f t="shared" ref="T240:T247" si="3">+T252+T264+T276</f>
        <v>654974</v>
      </c>
      <c r="U240" s="252">
        <f t="shared" ref="U240:U247" si="4">T240/$T$249</f>
        <v>0.99430415681178519</v>
      </c>
      <c r="V240" s="266"/>
      <c r="W240" s="408"/>
      <c r="X240" s="5"/>
    </row>
    <row r="241" spans="1:25" ht="15.75" x14ac:dyDescent="0.25">
      <c r="A241" s="285"/>
      <c r="B241" s="337" t="s">
        <v>89</v>
      </c>
      <c r="C241" s="378"/>
      <c r="D241" s="378"/>
      <c r="E241" s="378"/>
      <c r="F241" s="286"/>
      <c r="G241" s="379"/>
      <c r="H241" s="378"/>
      <c r="I241" s="378"/>
      <c r="J241" s="378"/>
      <c r="K241" s="378"/>
      <c r="L241" s="378"/>
      <c r="M241" s="378"/>
      <c r="N241" s="378"/>
      <c r="O241" s="378"/>
      <c r="P241" s="378"/>
      <c r="Q241" s="378"/>
      <c r="R241" s="337">
        <f t="shared" si="1"/>
        <v>25</v>
      </c>
      <c r="S241" s="379">
        <f t="shared" si="2"/>
        <v>5.2268450763119385E-3</v>
      </c>
      <c r="T241" s="338">
        <f t="shared" si="3"/>
        <v>2490</v>
      </c>
      <c r="U241" s="379">
        <f t="shared" si="4"/>
        <v>3.7800238642470467E-3</v>
      </c>
      <c r="V241" s="361"/>
      <c r="W241" s="409"/>
      <c r="X241" s="5"/>
      <c r="Y241" s="109"/>
    </row>
    <row r="242" spans="1:25" ht="15.75" x14ac:dyDescent="0.25">
      <c r="A242" s="285"/>
      <c r="B242" s="337" t="s">
        <v>90</v>
      </c>
      <c r="C242" s="378"/>
      <c r="D242" s="378"/>
      <c r="E242" s="378"/>
      <c r="F242" s="286"/>
      <c r="G242" s="379"/>
      <c r="H242" s="378"/>
      <c r="I242" s="378"/>
      <c r="J242" s="378"/>
      <c r="K242" s="378"/>
      <c r="L242" s="378"/>
      <c r="M242" s="378"/>
      <c r="N242" s="378"/>
      <c r="O242" s="378"/>
      <c r="P242" s="378"/>
      <c r="Q242" s="378"/>
      <c r="R242" s="337">
        <f t="shared" si="1"/>
        <v>9</v>
      </c>
      <c r="S242" s="379">
        <f t="shared" si="2"/>
        <v>1.8816642274722976E-3</v>
      </c>
      <c r="T242" s="338">
        <f t="shared" si="3"/>
        <v>827</v>
      </c>
      <c r="U242" s="379">
        <f t="shared" si="4"/>
        <v>1.2554537091294408E-3</v>
      </c>
      <c r="V242" s="361"/>
      <c r="W242" s="409"/>
      <c r="X242" s="5"/>
    </row>
    <row r="243" spans="1:25" ht="15.75" x14ac:dyDescent="0.25">
      <c r="A243" s="285"/>
      <c r="B243" s="337" t="s">
        <v>156</v>
      </c>
      <c r="C243" s="378"/>
      <c r="D243" s="378"/>
      <c r="E243" s="378"/>
      <c r="F243" s="286"/>
      <c r="G243" s="379"/>
      <c r="H243" s="378"/>
      <c r="I243" s="378"/>
      <c r="J243" s="378"/>
      <c r="K243" s="378"/>
      <c r="L243" s="378"/>
      <c r="M243" s="378"/>
      <c r="N243" s="378"/>
      <c r="O243" s="378"/>
      <c r="P243" s="378"/>
      <c r="Q243" s="378"/>
      <c r="R243" s="337">
        <f t="shared" si="1"/>
        <v>0</v>
      </c>
      <c r="S243" s="379">
        <f t="shared" si="2"/>
        <v>0</v>
      </c>
      <c r="T243" s="338">
        <f t="shared" si="3"/>
        <v>0</v>
      </c>
      <c r="U243" s="379">
        <f t="shared" si="4"/>
        <v>0</v>
      </c>
      <c r="V243" s="361"/>
      <c r="W243" s="409"/>
      <c r="X243" s="5"/>
      <c r="Y243" s="109"/>
    </row>
    <row r="244" spans="1:25" ht="15.75" x14ac:dyDescent="0.25">
      <c r="A244" s="285"/>
      <c r="B244" s="337" t="s">
        <v>157</v>
      </c>
      <c r="C244" s="378"/>
      <c r="D244" s="378"/>
      <c r="E244" s="378"/>
      <c r="F244" s="286"/>
      <c r="G244" s="379"/>
      <c r="H244" s="378"/>
      <c r="I244" s="378"/>
      <c r="J244" s="378"/>
      <c r="K244" s="378"/>
      <c r="L244" s="378"/>
      <c r="M244" s="378"/>
      <c r="N244" s="378"/>
      <c r="O244" s="378"/>
      <c r="P244" s="378"/>
      <c r="Q244" s="378"/>
      <c r="R244" s="337">
        <f t="shared" si="1"/>
        <v>0</v>
      </c>
      <c r="S244" s="379">
        <f t="shared" si="2"/>
        <v>0</v>
      </c>
      <c r="T244" s="338">
        <f t="shared" si="3"/>
        <v>0</v>
      </c>
      <c r="U244" s="379">
        <f t="shared" si="4"/>
        <v>0</v>
      </c>
      <c r="V244" s="361"/>
      <c r="W244" s="409"/>
      <c r="X244" s="5"/>
    </row>
    <row r="245" spans="1:25" ht="15.75" x14ac:dyDescent="0.25">
      <c r="A245" s="285"/>
      <c r="B245" s="337" t="s">
        <v>158</v>
      </c>
      <c r="C245" s="378"/>
      <c r="D245" s="378"/>
      <c r="E245" s="378"/>
      <c r="F245" s="286"/>
      <c r="G245" s="379"/>
      <c r="H245" s="378"/>
      <c r="I245" s="378"/>
      <c r="J245" s="378"/>
      <c r="K245" s="378"/>
      <c r="L245" s="378"/>
      <c r="M245" s="378"/>
      <c r="N245" s="378"/>
      <c r="O245" s="378"/>
      <c r="P245" s="378"/>
      <c r="Q245" s="378"/>
      <c r="R245" s="337">
        <f t="shared" si="1"/>
        <v>0</v>
      </c>
      <c r="S245" s="379">
        <f t="shared" si="2"/>
        <v>0</v>
      </c>
      <c r="T245" s="338">
        <f t="shared" si="3"/>
        <v>0</v>
      </c>
      <c r="U245" s="379">
        <f t="shared" si="4"/>
        <v>0</v>
      </c>
      <c r="V245" s="361"/>
      <c r="W245" s="409"/>
      <c r="X245" s="5"/>
      <c r="Y245" s="109"/>
    </row>
    <row r="246" spans="1:25" ht="15.75" x14ac:dyDescent="0.25">
      <c r="A246" s="285"/>
      <c r="B246" s="337" t="s">
        <v>159</v>
      </c>
      <c r="C246" s="378"/>
      <c r="D246" s="378"/>
      <c r="E246" s="378"/>
      <c r="F246" s="286"/>
      <c r="G246" s="379"/>
      <c r="H246" s="378"/>
      <c r="I246" s="378"/>
      <c r="J246" s="378"/>
      <c r="K246" s="378"/>
      <c r="L246" s="378"/>
      <c r="M246" s="378"/>
      <c r="N246" s="378"/>
      <c r="O246" s="378"/>
      <c r="P246" s="378"/>
      <c r="Q246" s="378"/>
      <c r="R246" s="337">
        <f t="shared" si="1"/>
        <v>2</v>
      </c>
      <c r="S246" s="379">
        <f t="shared" si="2"/>
        <v>4.1814760610495502E-4</v>
      </c>
      <c r="T246" s="338">
        <f t="shared" si="3"/>
        <v>261</v>
      </c>
      <c r="U246" s="379">
        <f t="shared" si="4"/>
        <v>3.9621936890300369E-4</v>
      </c>
      <c r="V246" s="361"/>
      <c r="W246" s="409"/>
      <c r="X246" s="5"/>
    </row>
    <row r="247" spans="1:25" ht="15.75" x14ac:dyDescent="0.25">
      <c r="A247" s="285"/>
      <c r="B247" s="337" t="s">
        <v>160</v>
      </c>
      <c r="C247" s="378"/>
      <c r="D247" s="378"/>
      <c r="E247" s="378"/>
      <c r="F247" s="286"/>
      <c r="G247" s="379"/>
      <c r="H247" s="378"/>
      <c r="I247" s="378"/>
      <c r="J247" s="378"/>
      <c r="K247" s="378"/>
      <c r="L247" s="378"/>
      <c r="M247" s="378"/>
      <c r="N247" s="378"/>
      <c r="O247" s="378"/>
      <c r="P247" s="378"/>
      <c r="Q247" s="378"/>
      <c r="R247" s="386">
        <f t="shared" si="1"/>
        <v>1</v>
      </c>
      <c r="S247" s="379">
        <f t="shared" si="2"/>
        <v>2.0907380305247751E-4</v>
      </c>
      <c r="T247" s="383">
        <f t="shared" si="3"/>
        <v>174</v>
      </c>
      <c r="U247" s="387">
        <f t="shared" si="4"/>
        <v>2.6414624593533578E-4</v>
      </c>
      <c r="V247" s="361"/>
      <c r="W247" s="409"/>
      <c r="X247" s="5"/>
      <c r="Y247" s="109"/>
    </row>
    <row r="248" spans="1:25" ht="15.75" x14ac:dyDescent="0.25">
      <c r="A248" s="285"/>
      <c r="B248" s="337"/>
      <c r="C248" s="378"/>
      <c r="D248" s="378"/>
      <c r="E248" s="378"/>
      <c r="F248" s="286"/>
      <c r="G248" s="379"/>
      <c r="H248" s="378"/>
      <c r="I248" s="378"/>
      <c r="J248" s="378"/>
      <c r="K248" s="378"/>
      <c r="L248" s="378"/>
      <c r="M248" s="378"/>
      <c r="N248" s="378"/>
      <c r="O248" s="378"/>
      <c r="P248" s="378"/>
      <c r="Q248" s="378"/>
      <c r="R248" s="337"/>
      <c r="S248" s="379"/>
      <c r="T248" s="338"/>
      <c r="U248" s="379"/>
      <c r="V248" s="361"/>
      <c r="W248" s="409"/>
      <c r="X248" s="5"/>
    </row>
    <row r="249" spans="1:25" ht="15.75" x14ac:dyDescent="0.25">
      <c r="A249" s="285"/>
      <c r="B249" s="286"/>
      <c r="C249" s="286"/>
      <c r="D249" s="286"/>
      <c r="E249" s="286"/>
      <c r="F249" s="286"/>
      <c r="G249" s="286"/>
      <c r="H249" s="381"/>
      <c r="I249" s="381"/>
      <c r="J249" s="381"/>
      <c r="K249" s="381"/>
      <c r="L249" s="381"/>
      <c r="M249" s="381"/>
      <c r="N249" s="381"/>
      <c r="O249" s="381"/>
      <c r="P249" s="381"/>
      <c r="Q249" s="381"/>
      <c r="R249" s="337">
        <f>SUM(R240:R248)</f>
        <v>4783</v>
      </c>
      <c r="S249" s="379">
        <f>SUM(S240:S248)</f>
        <v>1</v>
      </c>
      <c r="T249" s="338">
        <f>SUM(T240:T248)</f>
        <v>658726</v>
      </c>
      <c r="U249" s="379">
        <f>SUM(U240:U248)</f>
        <v>1</v>
      </c>
      <c r="V249" s="286"/>
      <c r="W249" s="289"/>
      <c r="X249" s="5"/>
    </row>
    <row r="250" spans="1:25" ht="15.75" x14ac:dyDescent="0.25">
      <c r="A250" s="181"/>
      <c r="B250" s="212"/>
      <c r="C250" s="212"/>
      <c r="D250" s="212"/>
      <c r="E250" s="212"/>
      <c r="F250" s="212"/>
      <c r="G250" s="212"/>
      <c r="H250" s="375"/>
      <c r="I250" s="375"/>
      <c r="J250" s="375"/>
      <c r="K250" s="375"/>
      <c r="L250" s="375"/>
      <c r="M250" s="375"/>
      <c r="N250" s="375"/>
      <c r="O250" s="375"/>
      <c r="P250" s="375"/>
      <c r="Q250" s="375"/>
      <c r="R250" s="335"/>
      <c r="S250" s="376"/>
      <c r="T250" s="377"/>
      <c r="U250" s="376"/>
      <c r="V250" s="212"/>
      <c r="W250" s="212"/>
      <c r="X250" s="5"/>
    </row>
    <row r="251" spans="1:25" ht="15.75" x14ac:dyDescent="0.25">
      <c r="A251" s="224"/>
      <c r="B251" s="399" t="s">
        <v>162</v>
      </c>
      <c r="C251" s="400"/>
      <c r="D251" s="400"/>
      <c r="E251" s="400"/>
      <c r="F251" s="407"/>
      <c r="G251" s="400"/>
      <c r="H251" s="400"/>
      <c r="I251" s="400"/>
      <c r="J251" s="400"/>
      <c r="K251" s="400"/>
      <c r="L251" s="400"/>
      <c r="M251" s="400"/>
      <c r="N251" s="400"/>
      <c r="O251" s="400"/>
      <c r="P251" s="400"/>
      <c r="Q251" s="400"/>
      <c r="R251" s="407" t="s">
        <v>102</v>
      </c>
      <c r="S251" s="400" t="s">
        <v>103</v>
      </c>
      <c r="T251" s="407" t="s">
        <v>109</v>
      </c>
      <c r="U251" s="400" t="s">
        <v>103</v>
      </c>
      <c r="V251" s="225"/>
      <c r="W251" s="399"/>
      <c r="X251" s="5"/>
    </row>
    <row r="252" spans="1:25" ht="15.75" x14ac:dyDescent="0.25">
      <c r="A252" s="193"/>
      <c r="B252" s="249" t="s">
        <v>88</v>
      </c>
      <c r="C252" s="265"/>
      <c r="D252" s="265"/>
      <c r="E252" s="265"/>
      <c r="F252" s="250"/>
      <c r="G252" s="265"/>
      <c r="H252" s="265"/>
      <c r="I252" s="265"/>
      <c r="J252" s="265"/>
      <c r="K252" s="265"/>
      <c r="L252" s="265"/>
      <c r="M252" s="265"/>
      <c r="N252" s="265"/>
      <c r="O252" s="265"/>
      <c r="P252" s="265"/>
      <c r="Q252" s="265"/>
      <c r="R252" s="249">
        <v>4682</v>
      </c>
      <c r="S252" s="252">
        <f t="shared" ref="S252:S259" si="5">R252/$R$261</f>
        <v>0.99426629857719262</v>
      </c>
      <c r="T252" s="253">
        <v>646136</v>
      </c>
      <c r="U252" s="252">
        <f t="shared" ref="U252:U259" si="6">T252/$T$261</f>
        <v>0.99603826694989717</v>
      </c>
      <c r="V252" s="266"/>
      <c r="W252" s="408"/>
      <c r="X252" s="5"/>
    </row>
    <row r="253" spans="1:25" ht="15.75" x14ac:dyDescent="0.25">
      <c r="A253" s="285"/>
      <c r="B253" s="337" t="s">
        <v>89</v>
      </c>
      <c r="C253" s="378"/>
      <c r="D253" s="378"/>
      <c r="E253" s="378"/>
      <c r="F253" s="286"/>
      <c r="G253" s="379"/>
      <c r="H253" s="378"/>
      <c r="I253" s="378"/>
      <c r="J253" s="378"/>
      <c r="K253" s="378"/>
      <c r="L253" s="378"/>
      <c r="M253" s="378"/>
      <c r="N253" s="378"/>
      <c r="O253" s="378"/>
      <c r="P253" s="378"/>
      <c r="Q253" s="378"/>
      <c r="R253" s="337">
        <v>23</v>
      </c>
      <c r="S253" s="379">
        <f t="shared" si="5"/>
        <v>4.8842641749840734E-3</v>
      </c>
      <c r="T253" s="338">
        <v>2235</v>
      </c>
      <c r="U253" s="379">
        <f t="shared" si="6"/>
        <v>3.4453203762567328E-3</v>
      </c>
      <c r="V253" s="361"/>
      <c r="W253" s="409"/>
      <c r="X253" s="5"/>
      <c r="Y253" s="109"/>
    </row>
    <row r="254" spans="1:25" ht="15.75" x14ac:dyDescent="0.25">
      <c r="A254" s="285"/>
      <c r="B254" s="337" t="s">
        <v>90</v>
      </c>
      <c r="C254" s="378"/>
      <c r="D254" s="378"/>
      <c r="E254" s="378"/>
      <c r="F254" s="286"/>
      <c r="G254" s="379"/>
      <c r="H254" s="378"/>
      <c r="I254" s="378"/>
      <c r="J254" s="378"/>
      <c r="K254" s="378"/>
      <c r="L254" s="378"/>
      <c r="M254" s="378"/>
      <c r="N254" s="378"/>
      <c r="O254" s="378"/>
      <c r="P254" s="378"/>
      <c r="Q254" s="378"/>
      <c r="R254" s="337">
        <v>4</v>
      </c>
      <c r="S254" s="379">
        <f t="shared" si="5"/>
        <v>8.4943724782331708E-4</v>
      </c>
      <c r="T254" s="338">
        <v>335</v>
      </c>
      <c r="U254" s="379">
        <f t="shared" si="6"/>
        <v>5.1641267384608749E-4</v>
      </c>
      <c r="V254" s="361"/>
      <c r="W254" s="409"/>
      <c r="X254" s="5"/>
    </row>
    <row r="255" spans="1:25" ht="15.75" x14ac:dyDescent="0.25">
      <c r="A255" s="285"/>
      <c r="B255" s="337" t="s">
        <v>156</v>
      </c>
      <c r="C255" s="378"/>
      <c r="D255" s="378"/>
      <c r="E255" s="378"/>
      <c r="F255" s="286"/>
      <c r="G255" s="379"/>
      <c r="H255" s="378"/>
      <c r="I255" s="378"/>
      <c r="J255" s="378"/>
      <c r="K255" s="378"/>
      <c r="L255" s="378"/>
      <c r="M255" s="378"/>
      <c r="N255" s="378"/>
      <c r="O255" s="378"/>
      <c r="P255" s="378"/>
      <c r="Q255" s="378"/>
      <c r="R255" s="337">
        <v>0</v>
      </c>
      <c r="S255" s="379">
        <f t="shared" si="5"/>
        <v>0</v>
      </c>
      <c r="T255" s="338">
        <v>0</v>
      </c>
      <c r="U255" s="379">
        <f t="shared" si="6"/>
        <v>0</v>
      </c>
      <c r="V255" s="361"/>
      <c r="W255" s="409"/>
      <c r="X255" s="5"/>
      <c r="Y255" s="109"/>
    </row>
    <row r="256" spans="1:25" ht="15.75" x14ac:dyDescent="0.25">
      <c r="A256" s="285"/>
      <c r="B256" s="337" t="s">
        <v>157</v>
      </c>
      <c r="C256" s="378"/>
      <c r="D256" s="378"/>
      <c r="E256" s="378"/>
      <c r="F256" s="286"/>
      <c r="G256" s="379"/>
      <c r="H256" s="378"/>
      <c r="I256" s="378"/>
      <c r="J256" s="378"/>
      <c r="K256" s="378"/>
      <c r="L256" s="378"/>
      <c r="M256" s="378"/>
      <c r="N256" s="378"/>
      <c r="O256" s="378"/>
      <c r="P256" s="378"/>
      <c r="Q256" s="378"/>
      <c r="R256" s="337">
        <v>0</v>
      </c>
      <c r="S256" s="379">
        <f t="shared" si="5"/>
        <v>0</v>
      </c>
      <c r="T256" s="338">
        <v>0</v>
      </c>
      <c r="U256" s="379">
        <f t="shared" si="6"/>
        <v>0</v>
      </c>
      <c r="V256" s="361"/>
      <c r="W256" s="409"/>
      <c r="X256" s="5"/>
    </row>
    <row r="257" spans="1:25" ht="15.75" x14ac:dyDescent="0.25">
      <c r="A257" s="285"/>
      <c r="B257" s="337" t="s">
        <v>158</v>
      </c>
      <c r="C257" s="378"/>
      <c r="D257" s="378"/>
      <c r="E257" s="378"/>
      <c r="F257" s="286"/>
      <c r="G257" s="379"/>
      <c r="H257" s="378"/>
      <c r="I257" s="378"/>
      <c r="J257" s="378"/>
      <c r="K257" s="378"/>
      <c r="L257" s="378"/>
      <c r="M257" s="378"/>
      <c r="N257" s="378"/>
      <c r="O257" s="378"/>
      <c r="P257" s="378"/>
      <c r="Q257" s="378"/>
      <c r="R257" s="337">
        <v>0</v>
      </c>
      <c r="S257" s="379">
        <f t="shared" si="5"/>
        <v>0</v>
      </c>
      <c r="T257" s="338">
        <v>0</v>
      </c>
      <c r="U257" s="379">
        <f t="shared" si="6"/>
        <v>0</v>
      </c>
      <c r="V257" s="361"/>
      <c r="W257" s="409"/>
      <c r="X257" s="5"/>
      <c r="Y257" s="109"/>
    </row>
    <row r="258" spans="1:25" ht="15.75" x14ac:dyDescent="0.25">
      <c r="A258" s="285"/>
      <c r="B258" s="337" t="s">
        <v>159</v>
      </c>
      <c r="C258" s="378"/>
      <c r="D258" s="378"/>
      <c r="E258" s="378"/>
      <c r="F258" s="286"/>
      <c r="G258" s="379"/>
      <c r="H258" s="378"/>
      <c r="I258" s="378"/>
      <c r="J258" s="378"/>
      <c r="K258" s="378"/>
      <c r="L258" s="378"/>
      <c r="M258" s="378"/>
      <c r="N258" s="378"/>
      <c r="O258" s="378"/>
      <c r="P258" s="378"/>
      <c r="Q258" s="378"/>
      <c r="R258" s="337">
        <v>0</v>
      </c>
      <c r="S258" s="379">
        <f t="shared" si="5"/>
        <v>0</v>
      </c>
      <c r="T258" s="338">
        <v>0</v>
      </c>
      <c r="U258" s="379">
        <f t="shared" si="6"/>
        <v>0</v>
      </c>
      <c r="V258" s="361"/>
      <c r="W258" s="409"/>
      <c r="X258" s="5"/>
    </row>
    <row r="259" spans="1:25" ht="15.75" x14ac:dyDescent="0.25">
      <c r="A259" s="285"/>
      <c r="B259" s="337" t="s">
        <v>160</v>
      </c>
      <c r="C259" s="378"/>
      <c r="D259" s="378"/>
      <c r="E259" s="378"/>
      <c r="F259" s="286"/>
      <c r="G259" s="379"/>
      <c r="H259" s="378"/>
      <c r="I259" s="378"/>
      <c r="J259" s="378"/>
      <c r="K259" s="378"/>
      <c r="L259" s="378"/>
      <c r="M259" s="378"/>
      <c r="N259" s="378"/>
      <c r="O259" s="378"/>
      <c r="P259" s="378"/>
      <c r="Q259" s="378"/>
      <c r="R259" s="337">
        <v>0</v>
      </c>
      <c r="S259" s="379">
        <f t="shared" si="5"/>
        <v>0</v>
      </c>
      <c r="T259" s="338">
        <v>0</v>
      </c>
      <c r="U259" s="379">
        <f t="shared" si="6"/>
        <v>0</v>
      </c>
      <c r="V259" s="361"/>
      <c r="W259" s="409"/>
      <c r="X259" s="5"/>
      <c r="Y259" s="109"/>
    </row>
    <row r="260" spans="1:25" ht="15.75" x14ac:dyDescent="0.25">
      <c r="A260" s="285"/>
      <c r="B260" s="337"/>
      <c r="C260" s="378"/>
      <c r="D260" s="378"/>
      <c r="E260" s="378"/>
      <c r="F260" s="286"/>
      <c r="G260" s="379"/>
      <c r="H260" s="378"/>
      <c r="I260" s="378"/>
      <c r="J260" s="378"/>
      <c r="K260" s="378"/>
      <c r="L260" s="378"/>
      <c r="M260" s="378"/>
      <c r="N260" s="378"/>
      <c r="O260" s="378"/>
      <c r="P260" s="378"/>
      <c r="Q260" s="378"/>
      <c r="R260" s="337"/>
      <c r="S260" s="379"/>
      <c r="T260" s="338"/>
      <c r="U260" s="379"/>
      <c r="V260" s="361"/>
      <c r="W260" s="409"/>
      <c r="X260" s="5"/>
    </row>
    <row r="261" spans="1:25" ht="15.75" x14ac:dyDescent="0.25">
      <c r="A261" s="285"/>
      <c r="B261" s="286"/>
      <c r="C261" s="286"/>
      <c r="D261" s="286"/>
      <c r="E261" s="286"/>
      <c r="F261" s="286"/>
      <c r="G261" s="286"/>
      <c r="H261" s="381"/>
      <c r="I261" s="381"/>
      <c r="J261" s="381"/>
      <c r="K261" s="381"/>
      <c r="L261" s="381"/>
      <c r="M261" s="381"/>
      <c r="N261" s="381"/>
      <c r="O261" s="381"/>
      <c r="P261" s="381"/>
      <c r="Q261" s="381"/>
      <c r="R261" s="337">
        <f>SUM(R252:R260)</f>
        <v>4709</v>
      </c>
      <c r="S261" s="379">
        <f>SUM(S252:S260)</f>
        <v>1</v>
      </c>
      <c r="T261" s="338">
        <f>SUM(T252:T260)</f>
        <v>648706</v>
      </c>
      <c r="U261" s="379">
        <f>SUM(U252:U260)</f>
        <v>1</v>
      </c>
      <c r="V261" s="286"/>
      <c r="W261" s="289"/>
      <c r="X261" s="5"/>
    </row>
    <row r="262" spans="1:25" ht="15.75" x14ac:dyDescent="0.25">
      <c r="A262" s="181"/>
      <c r="B262" s="212"/>
      <c r="C262" s="212"/>
      <c r="D262" s="212"/>
      <c r="E262" s="212"/>
      <c r="F262" s="212"/>
      <c r="G262" s="212"/>
      <c r="H262" s="375"/>
      <c r="I262" s="375"/>
      <c r="J262" s="375"/>
      <c r="K262" s="375"/>
      <c r="L262" s="375"/>
      <c r="M262" s="375"/>
      <c r="N262" s="375"/>
      <c r="O262" s="375"/>
      <c r="P262" s="375"/>
      <c r="Q262" s="375"/>
      <c r="R262" s="335"/>
      <c r="S262" s="376"/>
      <c r="T262" s="377"/>
      <c r="U262" s="376"/>
      <c r="V262" s="212"/>
      <c r="W262" s="212"/>
      <c r="X262" s="5"/>
    </row>
    <row r="263" spans="1:25" ht="15.75" x14ac:dyDescent="0.25">
      <c r="A263" s="244"/>
      <c r="B263" s="399" t="s">
        <v>236</v>
      </c>
      <c r="C263" s="400"/>
      <c r="D263" s="400"/>
      <c r="E263" s="400"/>
      <c r="F263" s="407"/>
      <c r="G263" s="400"/>
      <c r="H263" s="400"/>
      <c r="I263" s="400"/>
      <c r="J263" s="400"/>
      <c r="K263" s="400"/>
      <c r="L263" s="400"/>
      <c r="M263" s="400"/>
      <c r="N263" s="400"/>
      <c r="O263" s="400"/>
      <c r="P263" s="400"/>
      <c r="Q263" s="400"/>
      <c r="R263" s="407" t="s">
        <v>102</v>
      </c>
      <c r="S263" s="400" t="s">
        <v>103</v>
      </c>
      <c r="T263" s="407" t="s">
        <v>109</v>
      </c>
      <c r="U263" s="400" t="s">
        <v>103</v>
      </c>
      <c r="V263" s="245"/>
      <c r="W263" s="246"/>
      <c r="X263" s="5"/>
    </row>
    <row r="264" spans="1:25" ht="15.75" x14ac:dyDescent="0.25">
      <c r="A264" s="193"/>
      <c r="B264" s="249" t="s">
        <v>88</v>
      </c>
      <c r="C264" s="265"/>
      <c r="D264" s="265"/>
      <c r="E264" s="265"/>
      <c r="F264" s="250"/>
      <c r="G264" s="265"/>
      <c r="H264" s="265"/>
      <c r="I264" s="265"/>
      <c r="J264" s="265"/>
      <c r="K264" s="265"/>
      <c r="L264" s="265"/>
      <c r="M264" s="265"/>
      <c r="N264" s="265"/>
      <c r="O264" s="265"/>
      <c r="P264" s="265"/>
      <c r="Q264" s="265"/>
      <c r="R264" s="249">
        <v>64</v>
      </c>
      <c r="S264" s="252">
        <f t="shared" ref="S264:S270" si="7">R264/$R$273</f>
        <v>0.86486486486486491</v>
      </c>
      <c r="T264" s="253">
        <v>8838</v>
      </c>
      <c r="U264" s="252">
        <f t="shared" ref="U264:U271" si="8">T264/$T$273</f>
        <v>0.88203592814371257</v>
      </c>
      <c r="V264" s="250"/>
      <c r="W264" s="250"/>
      <c r="X264" s="5"/>
    </row>
    <row r="265" spans="1:25" ht="15.75" x14ac:dyDescent="0.25">
      <c r="A265" s="285"/>
      <c r="B265" s="337" t="s">
        <v>89</v>
      </c>
      <c r="C265" s="378"/>
      <c r="D265" s="378"/>
      <c r="E265" s="378"/>
      <c r="F265" s="286"/>
      <c r="G265" s="379"/>
      <c r="H265" s="378"/>
      <c r="I265" s="378"/>
      <c r="J265" s="378"/>
      <c r="K265" s="378"/>
      <c r="L265" s="378"/>
      <c r="M265" s="378"/>
      <c r="N265" s="378"/>
      <c r="O265" s="378"/>
      <c r="P265" s="378"/>
      <c r="Q265" s="378"/>
      <c r="R265" s="337">
        <v>2</v>
      </c>
      <c r="S265" s="379">
        <f t="shared" si="7"/>
        <v>2.7027027027027029E-2</v>
      </c>
      <c r="T265" s="338">
        <v>255</v>
      </c>
      <c r="U265" s="379">
        <f t="shared" si="8"/>
        <v>2.5449101796407185E-2</v>
      </c>
      <c r="V265" s="286"/>
      <c r="W265" s="289"/>
      <c r="X265" s="5"/>
    </row>
    <row r="266" spans="1:25" ht="15.75" x14ac:dyDescent="0.25">
      <c r="A266" s="285"/>
      <c r="B266" s="337" t="s">
        <v>90</v>
      </c>
      <c r="C266" s="378"/>
      <c r="D266" s="378"/>
      <c r="E266" s="378"/>
      <c r="F266" s="286"/>
      <c r="G266" s="379"/>
      <c r="H266" s="378"/>
      <c r="I266" s="378"/>
      <c r="J266" s="378"/>
      <c r="K266" s="378"/>
      <c r="L266" s="378"/>
      <c r="M266" s="378"/>
      <c r="N266" s="378"/>
      <c r="O266" s="378"/>
      <c r="P266" s="378"/>
      <c r="Q266" s="378"/>
      <c r="R266" s="337">
        <v>5</v>
      </c>
      <c r="S266" s="379">
        <f t="shared" si="7"/>
        <v>6.7567567567567571E-2</v>
      </c>
      <c r="T266" s="338">
        <v>492</v>
      </c>
      <c r="U266" s="379">
        <f t="shared" si="8"/>
        <v>4.9101796407185629E-2</v>
      </c>
      <c r="V266" s="286"/>
      <c r="W266" s="289"/>
      <c r="X266" s="5"/>
    </row>
    <row r="267" spans="1:25" ht="15.75" x14ac:dyDescent="0.25">
      <c r="A267" s="285"/>
      <c r="B267" s="337" t="s">
        <v>156</v>
      </c>
      <c r="C267" s="378"/>
      <c r="D267" s="378"/>
      <c r="E267" s="378"/>
      <c r="F267" s="286"/>
      <c r="G267" s="379"/>
      <c r="H267" s="378"/>
      <c r="I267" s="378"/>
      <c r="J267" s="378"/>
      <c r="K267" s="378"/>
      <c r="L267" s="378"/>
      <c r="M267" s="378"/>
      <c r="N267" s="378"/>
      <c r="O267" s="378"/>
      <c r="P267" s="378"/>
      <c r="Q267" s="378"/>
      <c r="R267" s="337">
        <v>0</v>
      </c>
      <c r="S267" s="379">
        <f t="shared" si="7"/>
        <v>0</v>
      </c>
      <c r="T267" s="338">
        <v>0</v>
      </c>
      <c r="U267" s="379">
        <f t="shared" si="8"/>
        <v>0</v>
      </c>
      <c r="V267" s="286"/>
      <c r="W267" s="289"/>
      <c r="X267" s="5"/>
    </row>
    <row r="268" spans="1:25" ht="15.75" x14ac:dyDescent="0.25">
      <c r="A268" s="285"/>
      <c r="B268" s="337" t="s">
        <v>157</v>
      </c>
      <c r="C268" s="378"/>
      <c r="D268" s="378"/>
      <c r="E268" s="378"/>
      <c r="F268" s="286"/>
      <c r="G268" s="379"/>
      <c r="H268" s="378"/>
      <c r="I268" s="378"/>
      <c r="J268" s="378"/>
      <c r="K268" s="378"/>
      <c r="L268" s="378"/>
      <c r="M268" s="378"/>
      <c r="N268" s="378"/>
      <c r="O268" s="378"/>
      <c r="P268" s="378"/>
      <c r="Q268" s="378"/>
      <c r="R268" s="337">
        <v>0</v>
      </c>
      <c r="S268" s="379">
        <f t="shared" si="7"/>
        <v>0</v>
      </c>
      <c r="T268" s="338">
        <v>0</v>
      </c>
      <c r="U268" s="379">
        <f t="shared" si="8"/>
        <v>0</v>
      </c>
      <c r="V268" s="286"/>
      <c r="W268" s="289"/>
      <c r="X268" s="5"/>
    </row>
    <row r="269" spans="1:25" ht="15.75" x14ac:dyDescent="0.25">
      <c r="A269" s="285"/>
      <c r="B269" s="337" t="s">
        <v>158</v>
      </c>
      <c r="C269" s="378"/>
      <c r="D269" s="378"/>
      <c r="E269" s="378"/>
      <c r="F269" s="286"/>
      <c r="G269" s="379"/>
      <c r="H269" s="378"/>
      <c r="I269" s="378"/>
      <c r="J269" s="378"/>
      <c r="K269" s="378"/>
      <c r="L269" s="378"/>
      <c r="M269" s="378"/>
      <c r="N269" s="378"/>
      <c r="O269" s="378"/>
      <c r="P269" s="378"/>
      <c r="Q269" s="378"/>
      <c r="R269" s="337">
        <v>0</v>
      </c>
      <c r="S269" s="379">
        <f t="shared" si="7"/>
        <v>0</v>
      </c>
      <c r="T269" s="338">
        <v>0</v>
      </c>
      <c r="U269" s="379">
        <f t="shared" si="8"/>
        <v>0</v>
      </c>
      <c r="V269" s="286"/>
      <c r="W269" s="289"/>
      <c r="X269" s="5"/>
    </row>
    <row r="270" spans="1:25" ht="15.75" x14ac:dyDescent="0.25">
      <c r="A270" s="285"/>
      <c r="B270" s="337" t="s">
        <v>159</v>
      </c>
      <c r="C270" s="378"/>
      <c r="D270" s="378"/>
      <c r="E270" s="378"/>
      <c r="F270" s="286"/>
      <c r="G270" s="379"/>
      <c r="H270" s="378"/>
      <c r="I270" s="378"/>
      <c r="J270" s="378"/>
      <c r="K270" s="378"/>
      <c r="L270" s="378"/>
      <c r="M270" s="378"/>
      <c r="N270" s="378"/>
      <c r="O270" s="378"/>
      <c r="P270" s="378"/>
      <c r="Q270" s="378"/>
      <c r="R270" s="337">
        <v>2</v>
      </c>
      <c r="S270" s="379">
        <f t="shared" si="7"/>
        <v>2.7027027027027029E-2</v>
      </c>
      <c r="T270" s="338">
        <v>261</v>
      </c>
      <c r="U270" s="379">
        <f t="shared" si="8"/>
        <v>2.6047904191616768E-2</v>
      </c>
      <c r="V270" s="286"/>
      <c r="W270" s="289"/>
      <c r="X270" s="5"/>
    </row>
    <row r="271" spans="1:25" ht="15.75" x14ac:dyDescent="0.25">
      <c r="A271" s="285"/>
      <c r="B271" s="337" t="s">
        <v>160</v>
      </c>
      <c r="C271" s="378"/>
      <c r="D271" s="378"/>
      <c r="E271" s="378"/>
      <c r="F271" s="286"/>
      <c r="G271" s="379"/>
      <c r="H271" s="378"/>
      <c r="I271" s="378"/>
      <c r="J271" s="378"/>
      <c r="K271" s="378"/>
      <c r="L271" s="378"/>
      <c r="M271" s="378"/>
      <c r="N271" s="378"/>
      <c r="O271" s="378"/>
      <c r="P271" s="378"/>
      <c r="Q271" s="378"/>
      <c r="R271" s="337">
        <v>1</v>
      </c>
      <c r="S271" s="379">
        <f>R271/$R$273</f>
        <v>1.3513513513513514E-2</v>
      </c>
      <c r="T271" s="338">
        <v>174</v>
      </c>
      <c r="U271" s="379">
        <f t="shared" si="8"/>
        <v>1.7365269461077845E-2</v>
      </c>
      <c r="V271" s="286"/>
      <c r="W271" s="289"/>
      <c r="X271" s="5"/>
    </row>
    <row r="272" spans="1:25" ht="15.75" x14ac:dyDescent="0.25">
      <c r="A272" s="285"/>
      <c r="B272" s="337"/>
      <c r="C272" s="378"/>
      <c r="D272" s="378"/>
      <c r="E272" s="378"/>
      <c r="F272" s="286"/>
      <c r="G272" s="379"/>
      <c r="H272" s="378"/>
      <c r="I272" s="378"/>
      <c r="J272" s="378"/>
      <c r="K272" s="378"/>
      <c r="L272" s="378"/>
      <c r="M272" s="378"/>
      <c r="N272" s="378"/>
      <c r="O272" s="378"/>
      <c r="P272" s="378"/>
      <c r="Q272" s="378"/>
      <c r="R272" s="337"/>
      <c r="S272" s="379"/>
      <c r="T272" s="338"/>
      <c r="U272" s="379"/>
      <c r="V272" s="286"/>
      <c r="W272" s="289"/>
      <c r="X272" s="5"/>
    </row>
    <row r="273" spans="1:24" ht="15.75" x14ac:dyDescent="0.25">
      <c r="A273" s="285"/>
      <c r="B273" s="286"/>
      <c r="C273" s="286"/>
      <c r="D273" s="286"/>
      <c r="E273" s="286"/>
      <c r="F273" s="286"/>
      <c r="G273" s="286"/>
      <c r="H273" s="381"/>
      <c r="I273" s="381"/>
      <c r="J273" s="381"/>
      <c r="K273" s="381"/>
      <c r="L273" s="381"/>
      <c r="M273" s="381"/>
      <c r="N273" s="381"/>
      <c r="O273" s="381"/>
      <c r="P273" s="381"/>
      <c r="Q273" s="381"/>
      <c r="R273" s="337">
        <f>SUM(R264:R272)</f>
        <v>74</v>
      </c>
      <c r="S273" s="379">
        <f>SUM(S264:S272)</f>
        <v>0.99999999999999989</v>
      </c>
      <c r="T273" s="338">
        <f>SUM(T264:T272)</f>
        <v>10020</v>
      </c>
      <c r="U273" s="379">
        <f>SUM(U264:U272)</f>
        <v>0.99999999999999989</v>
      </c>
      <c r="V273" s="286"/>
      <c r="W273" s="289"/>
      <c r="X273" s="5"/>
    </row>
    <row r="274" spans="1:24" ht="15.75" x14ac:dyDescent="0.25">
      <c r="A274" s="181"/>
      <c r="B274" s="212"/>
      <c r="C274" s="212"/>
      <c r="D274" s="212"/>
      <c r="E274" s="212"/>
      <c r="F274" s="212"/>
      <c r="G274" s="212"/>
      <c r="H274" s="375"/>
      <c r="I274" s="375"/>
      <c r="J274" s="375"/>
      <c r="K274" s="375"/>
      <c r="L274" s="375"/>
      <c r="M274" s="375"/>
      <c r="N274" s="375"/>
      <c r="O274" s="375"/>
      <c r="P274" s="375"/>
      <c r="Q274" s="375"/>
      <c r="R274" s="335"/>
      <c r="S274" s="376"/>
      <c r="T274" s="377"/>
      <c r="U274" s="376"/>
      <c r="V274" s="212"/>
      <c r="W274" s="212"/>
      <c r="X274" s="5"/>
    </row>
    <row r="275" spans="1:24" ht="15.75" x14ac:dyDescent="0.25">
      <c r="A275" s="244"/>
      <c r="B275" s="399" t="s">
        <v>163</v>
      </c>
      <c r="C275" s="245"/>
      <c r="D275" s="245"/>
      <c r="E275" s="245"/>
      <c r="F275" s="245"/>
      <c r="G275" s="245"/>
      <c r="H275" s="247"/>
      <c r="I275" s="247"/>
      <c r="J275" s="247"/>
      <c r="K275" s="247"/>
      <c r="L275" s="247"/>
      <c r="M275" s="247"/>
      <c r="N275" s="247"/>
      <c r="O275" s="247"/>
      <c r="P275" s="247"/>
      <c r="Q275" s="247"/>
      <c r="R275" s="407" t="s">
        <v>102</v>
      </c>
      <c r="S275" s="400" t="s">
        <v>103</v>
      </c>
      <c r="T275" s="407" t="s">
        <v>109</v>
      </c>
      <c r="U275" s="400" t="s">
        <v>103</v>
      </c>
      <c r="V275" s="245"/>
      <c r="W275" s="246"/>
      <c r="X275" s="5"/>
    </row>
    <row r="276" spans="1:24" ht="15.75" x14ac:dyDescent="0.25">
      <c r="A276" s="248"/>
      <c r="B276" s="249" t="s">
        <v>88</v>
      </c>
      <c r="C276" s="250"/>
      <c r="D276" s="250"/>
      <c r="E276" s="250"/>
      <c r="F276" s="250"/>
      <c r="G276" s="250"/>
      <c r="H276" s="251"/>
      <c r="I276" s="251"/>
      <c r="J276" s="251"/>
      <c r="K276" s="251"/>
      <c r="L276" s="251"/>
      <c r="M276" s="251"/>
      <c r="N276" s="251"/>
      <c r="O276" s="251"/>
      <c r="P276" s="251"/>
      <c r="Q276" s="251"/>
      <c r="R276" s="249">
        <v>0</v>
      </c>
      <c r="S276" s="252">
        <v>0</v>
      </c>
      <c r="T276" s="253">
        <v>0</v>
      </c>
      <c r="U276" s="252">
        <v>0</v>
      </c>
      <c r="V276" s="250"/>
      <c r="W276" s="250"/>
      <c r="X276" s="5"/>
    </row>
    <row r="277" spans="1:24" ht="15.75" x14ac:dyDescent="0.25">
      <c r="A277" s="295"/>
      <c r="B277" s="337" t="s">
        <v>89</v>
      </c>
      <c r="C277" s="286"/>
      <c r="D277" s="286"/>
      <c r="E277" s="286"/>
      <c r="F277" s="286"/>
      <c r="G277" s="286"/>
      <c r="H277" s="381"/>
      <c r="I277" s="381"/>
      <c r="J277" s="381"/>
      <c r="K277" s="381"/>
      <c r="L277" s="381"/>
      <c r="M277" s="381"/>
      <c r="N277" s="381"/>
      <c r="O277" s="381"/>
      <c r="P277" s="381"/>
      <c r="Q277" s="381"/>
      <c r="R277" s="337">
        <v>0</v>
      </c>
      <c r="S277" s="379">
        <v>0</v>
      </c>
      <c r="T277" s="338">
        <v>0</v>
      </c>
      <c r="U277" s="379">
        <v>0</v>
      </c>
      <c r="V277" s="286"/>
      <c r="W277" s="289"/>
      <c r="X277" s="5"/>
    </row>
    <row r="278" spans="1:24" ht="15.75" x14ac:dyDescent="0.25">
      <c r="A278" s="295"/>
      <c r="B278" s="337" t="s">
        <v>90</v>
      </c>
      <c r="C278" s="286"/>
      <c r="D278" s="286"/>
      <c r="E278" s="286"/>
      <c r="F278" s="286"/>
      <c r="G278" s="286"/>
      <c r="H278" s="381"/>
      <c r="I278" s="381"/>
      <c r="J278" s="381"/>
      <c r="K278" s="381"/>
      <c r="L278" s="381"/>
      <c r="M278" s="381"/>
      <c r="N278" s="381"/>
      <c r="O278" s="381"/>
      <c r="P278" s="381"/>
      <c r="Q278" s="381"/>
      <c r="R278" s="337">
        <v>0</v>
      </c>
      <c r="S278" s="379">
        <v>0</v>
      </c>
      <c r="T278" s="338">
        <v>0</v>
      </c>
      <c r="U278" s="379">
        <v>0</v>
      </c>
      <c r="V278" s="286"/>
      <c r="W278" s="289"/>
      <c r="X278" s="5"/>
    </row>
    <row r="279" spans="1:24" ht="15.75" x14ac:dyDescent="0.25">
      <c r="A279" s="295"/>
      <c r="B279" s="337" t="s">
        <v>156</v>
      </c>
      <c r="C279" s="286"/>
      <c r="D279" s="286"/>
      <c r="E279" s="286"/>
      <c r="F279" s="286"/>
      <c r="G279" s="286"/>
      <c r="H279" s="381"/>
      <c r="I279" s="381"/>
      <c r="J279" s="381"/>
      <c r="K279" s="381"/>
      <c r="L279" s="381"/>
      <c r="M279" s="381"/>
      <c r="N279" s="381"/>
      <c r="O279" s="381"/>
      <c r="P279" s="381"/>
      <c r="Q279" s="381"/>
      <c r="R279" s="337">
        <v>0</v>
      </c>
      <c r="S279" s="379">
        <v>0</v>
      </c>
      <c r="T279" s="338">
        <v>0</v>
      </c>
      <c r="U279" s="379">
        <v>0</v>
      </c>
      <c r="V279" s="286"/>
      <c r="W279" s="289"/>
      <c r="X279" s="5"/>
    </row>
    <row r="280" spans="1:24" ht="15.75" x14ac:dyDescent="0.25">
      <c r="A280" s="295"/>
      <c r="B280" s="337" t="s">
        <v>157</v>
      </c>
      <c r="C280" s="286"/>
      <c r="D280" s="286"/>
      <c r="E280" s="286"/>
      <c r="F280" s="286"/>
      <c r="G280" s="286"/>
      <c r="H280" s="381"/>
      <c r="I280" s="381"/>
      <c r="J280" s="381"/>
      <c r="K280" s="381"/>
      <c r="L280" s="381"/>
      <c r="M280" s="381"/>
      <c r="N280" s="381"/>
      <c r="O280" s="381"/>
      <c r="P280" s="381"/>
      <c r="Q280" s="381"/>
      <c r="R280" s="337">
        <v>0</v>
      </c>
      <c r="S280" s="379">
        <v>0</v>
      </c>
      <c r="T280" s="338">
        <v>0</v>
      </c>
      <c r="U280" s="379">
        <v>0</v>
      </c>
      <c r="V280" s="286"/>
      <c r="W280" s="289"/>
      <c r="X280" s="5"/>
    </row>
    <row r="281" spans="1:24" ht="15.75" x14ac:dyDescent="0.25">
      <c r="A281" s="295"/>
      <c r="B281" s="337" t="s">
        <v>158</v>
      </c>
      <c r="C281" s="286"/>
      <c r="D281" s="286"/>
      <c r="E281" s="286"/>
      <c r="F281" s="286"/>
      <c r="G281" s="286"/>
      <c r="H281" s="381"/>
      <c r="I281" s="381"/>
      <c r="J281" s="381"/>
      <c r="K281" s="381"/>
      <c r="L281" s="381"/>
      <c r="M281" s="381"/>
      <c r="N281" s="381"/>
      <c r="O281" s="381"/>
      <c r="P281" s="381"/>
      <c r="Q281" s="381"/>
      <c r="R281" s="337">
        <v>0</v>
      </c>
      <c r="S281" s="379">
        <v>0</v>
      </c>
      <c r="T281" s="338">
        <v>0</v>
      </c>
      <c r="U281" s="379">
        <v>0</v>
      </c>
      <c r="V281" s="286"/>
      <c r="W281" s="289"/>
      <c r="X281" s="5"/>
    </row>
    <row r="282" spans="1:24" ht="15.75" x14ac:dyDescent="0.25">
      <c r="A282" s="295"/>
      <c r="B282" s="337" t="s">
        <v>159</v>
      </c>
      <c r="C282" s="286"/>
      <c r="D282" s="286"/>
      <c r="E282" s="286"/>
      <c r="F282" s="286"/>
      <c r="G282" s="286"/>
      <c r="H282" s="381"/>
      <c r="I282" s="381"/>
      <c r="J282" s="381"/>
      <c r="K282" s="381"/>
      <c r="L282" s="381"/>
      <c r="M282" s="381"/>
      <c r="N282" s="381"/>
      <c r="O282" s="381"/>
      <c r="P282" s="381"/>
      <c r="Q282" s="381"/>
      <c r="R282" s="337">
        <v>0</v>
      </c>
      <c r="S282" s="379">
        <v>0</v>
      </c>
      <c r="T282" s="338">
        <v>0</v>
      </c>
      <c r="U282" s="379">
        <v>0</v>
      </c>
      <c r="V282" s="286"/>
      <c r="W282" s="289"/>
      <c r="X282" s="5"/>
    </row>
    <row r="283" spans="1:24" ht="15.75" x14ac:dyDescent="0.25">
      <c r="A283" s="295"/>
      <c r="B283" s="337" t="s">
        <v>160</v>
      </c>
      <c r="C283" s="286"/>
      <c r="D283" s="286"/>
      <c r="E283" s="286"/>
      <c r="F283" s="286"/>
      <c r="G283" s="286"/>
      <c r="H283" s="381"/>
      <c r="I283" s="381"/>
      <c r="J283" s="381"/>
      <c r="K283" s="381"/>
      <c r="L283" s="381"/>
      <c r="M283" s="381"/>
      <c r="N283" s="381"/>
      <c r="O283" s="381"/>
      <c r="P283" s="381"/>
      <c r="Q283" s="381"/>
      <c r="R283" s="337">
        <v>0</v>
      </c>
      <c r="S283" s="379">
        <v>0</v>
      </c>
      <c r="T283" s="338">
        <v>0</v>
      </c>
      <c r="U283" s="379">
        <v>0</v>
      </c>
      <c r="V283" s="286"/>
      <c r="W283" s="289"/>
      <c r="X283" s="5"/>
    </row>
    <row r="284" spans="1:24" ht="15.75" x14ac:dyDescent="0.25">
      <c r="A284" s="295"/>
      <c r="B284" s="337"/>
      <c r="C284" s="286"/>
      <c r="D284" s="286"/>
      <c r="E284" s="286"/>
      <c r="F284" s="286"/>
      <c r="G284" s="286"/>
      <c r="H284" s="381"/>
      <c r="I284" s="381"/>
      <c r="J284" s="381"/>
      <c r="K284" s="381"/>
      <c r="L284" s="381"/>
      <c r="M284" s="381"/>
      <c r="N284" s="381"/>
      <c r="O284" s="381"/>
      <c r="P284" s="381"/>
      <c r="Q284" s="381"/>
      <c r="R284" s="337"/>
      <c r="S284" s="379"/>
      <c r="T284" s="338"/>
      <c r="U284" s="379"/>
      <c r="V284" s="286"/>
      <c r="W284" s="289"/>
      <c r="X284" s="5"/>
    </row>
    <row r="285" spans="1:24" ht="15.75" x14ac:dyDescent="0.25">
      <c r="A285" s="295"/>
      <c r="B285" s="286" t="s">
        <v>114</v>
      </c>
      <c r="C285" s="286"/>
      <c r="D285" s="286"/>
      <c r="E285" s="286"/>
      <c r="F285" s="286"/>
      <c r="G285" s="286"/>
      <c r="H285" s="381"/>
      <c r="I285" s="381"/>
      <c r="J285" s="381"/>
      <c r="K285" s="381"/>
      <c r="L285" s="381"/>
      <c r="M285" s="381"/>
      <c r="N285" s="381"/>
      <c r="O285" s="381"/>
      <c r="P285" s="381"/>
      <c r="Q285" s="381"/>
      <c r="R285" s="337">
        <f>SUM(R276:R283)</f>
        <v>0</v>
      </c>
      <c r="S285" s="379">
        <f>SUM(S276:S283)</f>
        <v>0</v>
      </c>
      <c r="T285" s="338">
        <f>SUM(T276:T283)</f>
        <v>0</v>
      </c>
      <c r="U285" s="379">
        <f>SUM(U276:U283)</f>
        <v>0</v>
      </c>
      <c r="V285" s="286"/>
      <c r="W285" s="289"/>
      <c r="X285" s="5"/>
    </row>
    <row r="286" spans="1:24" ht="15.75" x14ac:dyDescent="0.25">
      <c r="A286" s="295"/>
      <c r="B286" s="286"/>
      <c r="C286" s="286"/>
      <c r="D286" s="286"/>
      <c r="E286" s="286"/>
      <c r="F286" s="286"/>
      <c r="G286" s="286"/>
      <c r="H286" s="381"/>
      <c r="I286" s="381"/>
      <c r="J286" s="381"/>
      <c r="K286" s="381"/>
      <c r="L286" s="381"/>
      <c r="M286" s="381"/>
      <c r="N286" s="381"/>
      <c r="O286" s="381"/>
      <c r="P286" s="381"/>
      <c r="Q286" s="381"/>
      <c r="R286" s="337"/>
      <c r="S286" s="379"/>
      <c r="T286" s="338"/>
      <c r="U286" s="379"/>
      <c r="V286" s="286"/>
      <c r="W286" s="289"/>
      <c r="X286" s="5"/>
    </row>
    <row r="287" spans="1:24" ht="15.75" x14ac:dyDescent="0.25">
      <c r="A287" s="295"/>
      <c r="B287" s="297" t="s">
        <v>164</v>
      </c>
      <c r="C287" s="286"/>
      <c r="D287" s="286"/>
      <c r="E287" s="286"/>
      <c r="F287" s="286"/>
      <c r="G287" s="286"/>
      <c r="H287" s="381"/>
      <c r="I287" s="381"/>
      <c r="J287" s="381"/>
      <c r="K287" s="381"/>
      <c r="L287" s="381"/>
      <c r="M287" s="381"/>
      <c r="N287" s="381"/>
      <c r="O287" s="381"/>
      <c r="P287" s="381"/>
      <c r="Q287" s="381"/>
      <c r="R287" s="384">
        <f>R285+R273+R261</f>
        <v>4783</v>
      </c>
      <c r="S287" s="379"/>
      <c r="T287" s="410">
        <f>+T285+T273+T261</f>
        <v>658726</v>
      </c>
      <c r="U287" s="379"/>
      <c r="V287" s="286"/>
      <c r="W287" s="289"/>
      <c r="X287" s="5"/>
    </row>
    <row r="288" spans="1:24" ht="15.75" x14ac:dyDescent="0.25">
      <c r="A288" s="254"/>
      <c r="B288" s="346"/>
      <c r="C288" s="346"/>
      <c r="D288" s="346"/>
      <c r="E288" s="346"/>
      <c r="F288" s="346"/>
      <c r="G288" s="346"/>
      <c r="H288" s="382"/>
      <c r="I288" s="382"/>
      <c r="J288" s="382"/>
      <c r="K288" s="382"/>
      <c r="L288" s="382"/>
      <c r="M288" s="382"/>
      <c r="N288" s="382"/>
      <c r="O288" s="382"/>
      <c r="P288" s="382"/>
      <c r="Q288" s="382"/>
      <c r="R288" s="382"/>
      <c r="S288" s="382"/>
      <c r="T288" s="383"/>
      <c r="U288" s="382"/>
      <c r="V288" s="346"/>
      <c r="W288" s="346"/>
      <c r="X288" s="5"/>
    </row>
    <row r="289" spans="1:24" ht="15.75" x14ac:dyDescent="0.25">
      <c r="A289" s="254"/>
      <c r="B289" s="255"/>
      <c r="C289" s="255"/>
      <c r="D289" s="255"/>
      <c r="E289" s="255"/>
      <c r="F289" s="255"/>
      <c r="G289" s="255"/>
      <c r="H289" s="256"/>
      <c r="I289" s="256"/>
      <c r="J289" s="256"/>
      <c r="K289" s="256"/>
      <c r="L289" s="256"/>
      <c r="M289" s="256"/>
      <c r="N289" s="256"/>
      <c r="O289" s="256"/>
      <c r="P289" s="256"/>
      <c r="Q289" s="256"/>
      <c r="R289" s="256"/>
      <c r="S289" s="256"/>
      <c r="T289" s="257"/>
      <c r="U289" s="256"/>
      <c r="V289" s="255"/>
      <c r="W289" s="255"/>
      <c r="X289" s="5"/>
    </row>
    <row r="290" spans="1:24" ht="15.75" x14ac:dyDescent="0.25">
      <c r="A290" s="258"/>
      <c r="B290" s="388" t="s">
        <v>91</v>
      </c>
      <c r="C290" s="255"/>
      <c r="D290" s="255"/>
      <c r="E290" s="255"/>
      <c r="F290" s="391" t="s">
        <v>97</v>
      </c>
      <c r="G290" s="255"/>
      <c r="H290" s="388" t="s">
        <v>99</v>
      </c>
      <c r="I290" s="388"/>
      <c r="J290" s="388"/>
      <c r="K290" s="261"/>
      <c r="L290" s="261"/>
      <c r="M290" s="261"/>
      <c r="N290" s="261"/>
      <c r="O290" s="261"/>
      <c r="P290" s="261"/>
      <c r="Q290" s="261"/>
      <c r="R290" s="261"/>
      <c r="S290" s="261"/>
      <c r="T290" s="261"/>
      <c r="U290" s="261"/>
      <c r="V290" s="261"/>
      <c r="W290" s="261"/>
      <c r="X290" s="5"/>
    </row>
    <row r="291" spans="1:24" ht="15.75" x14ac:dyDescent="0.25">
      <c r="A291" s="258"/>
      <c r="B291" s="261"/>
      <c r="C291" s="255"/>
      <c r="D291" s="255"/>
      <c r="E291" s="255"/>
      <c r="F291" s="255"/>
      <c r="G291" s="255"/>
      <c r="H291" s="255"/>
      <c r="I291" s="255"/>
      <c r="J291" s="255"/>
      <c r="K291" s="261"/>
      <c r="L291" s="261"/>
      <c r="M291" s="261"/>
      <c r="N291" s="261"/>
      <c r="O291" s="261"/>
      <c r="P291" s="261"/>
      <c r="Q291" s="261"/>
      <c r="R291" s="261"/>
      <c r="S291" s="261"/>
      <c r="T291" s="261"/>
      <c r="U291" s="261"/>
      <c r="V291" s="261"/>
      <c r="W291" s="261"/>
      <c r="X291" s="5"/>
    </row>
    <row r="292" spans="1:24" ht="15.75" x14ac:dyDescent="0.25">
      <c r="A292" s="258"/>
      <c r="B292" s="388" t="s">
        <v>319</v>
      </c>
      <c r="C292" s="388"/>
      <c r="D292" s="388"/>
      <c r="E292" s="388"/>
      <c r="F292" s="411" t="s">
        <v>266</v>
      </c>
      <c r="G292" s="388"/>
      <c r="H292" s="388" t="s">
        <v>267</v>
      </c>
      <c r="I292" s="388"/>
      <c r="J292" s="388"/>
      <c r="K292" s="261"/>
      <c r="L292" s="261"/>
      <c r="M292" s="261"/>
      <c r="N292" s="261"/>
      <c r="O292" s="261"/>
      <c r="P292" s="261"/>
      <c r="Q292" s="261"/>
      <c r="R292" s="261"/>
      <c r="S292" s="261"/>
      <c r="T292" s="261"/>
      <c r="U292" s="261"/>
      <c r="V292" s="261"/>
      <c r="W292" s="261"/>
      <c r="X292" s="5"/>
    </row>
    <row r="293" spans="1:24" ht="15.75" x14ac:dyDescent="0.25">
      <c r="A293" s="258"/>
      <c r="B293" s="388" t="s">
        <v>320</v>
      </c>
      <c r="C293" s="388"/>
      <c r="D293" s="388"/>
      <c r="E293" s="388"/>
      <c r="F293" s="411" t="s">
        <v>147</v>
      </c>
      <c r="G293" s="388"/>
      <c r="H293" s="388" t="s">
        <v>153</v>
      </c>
      <c r="I293" s="388"/>
      <c r="J293" s="388"/>
      <c r="K293" s="261"/>
      <c r="L293" s="261"/>
      <c r="M293" s="261"/>
      <c r="N293" s="261"/>
      <c r="O293" s="261"/>
      <c r="P293" s="261"/>
      <c r="Q293" s="261"/>
      <c r="R293" s="261"/>
      <c r="S293" s="261"/>
      <c r="T293" s="261"/>
      <c r="U293" s="261"/>
      <c r="V293" s="261"/>
      <c r="W293" s="261"/>
      <c r="X293" s="5"/>
    </row>
    <row r="294" spans="1:24" ht="15.75" x14ac:dyDescent="0.25">
      <c r="A294" s="258"/>
      <c r="B294" s="388"/>
      <c r="C294" s="388"/>
      <c r="D294" s="388"/>
      <c r="E294" s="388"/>
      <c r="F294" s="388"/>
      <c r="G294" s="263"/>
      <c r="H294" s="261"/>
      <c r="I294" s="261"/>
      <c r="J294" s="261"/>
      <c r="K294" s="261"/>
      <c r="L294" s="261"/>
      <c r="M294" s="261"/>
      <c r="N294" s="261"/>
      <c r="O294" s="261"/>
      <c r="P294" s="261"/>
      <c r="Q294" s="261"/>
      <c r="R294" s="261"/>
      <c r="S294" s="261"/>
      <c r="T294" s="261"/>
      <c r="U294" s="261"/>
      <c r="V294" s="261"/>
      <c r="W294" s="261"/>
      <c r="X294" s="5"/>
    </row>
    <row r="295" spans="1:24" ht="15.75" x14ac:dyDescent="0.25">
      <c r="A295" s="258"/>
      <c r="B295" s="388"/>
      <c r="C295" s="388"/>
      <c r="D295" s="388"/>
      <c r="E295" s="388"/>
      <c r="F295" s="388"/>
      <c r="G295" s="263"/>
      <c r="H295" s="261"/>
      <c r="I295" s="261"/>
      <c r="J295" s="261"/>
      <c r="K295" s="261"/>
      <c r="L295" s="261"/>
      <c r="M295" s="261"/>
      <c r="N295" s="261"/>
      <c r="O295" s="261"/>
      <c r="P295" s="261"/>
      <c r="Q295" s="261"/>
      <c r="R295" s="261"/>
      <c r="S295" s="261"/>
      <c r="T295" s="261"/>
      <c r="U295" s="261"/>
      <c r="V295" s="261"/>
      <c r="W295" s="261"/>
      <c r="X295" s="5"/>
    </row>
    <row r="296" spans="1:24" ht="19.5" thickBot="1" x14ac:dyDescent="0.35">
      <c r="A296" s="258"/>
      <c r="B296" s="264" t="str">
        <f>B201</f>
        <v>PM15 INVESTOR REPORT QUARTER ENDING MAY 2017</v>
      </c>
      <c r="C296" s="388"/>
      <c r="D296" s="388"/>
      <c r="E296" s="388"/>
      <c r="F296" s="388"/>
      <c r="G296" s="263"/>
      <c r="H296" s="261"/>
      <c r="I296" s="261"/>
      <c r="J296" s="261"/>
      <c r="K296" s="261"/>
      <c r="L296" s="261"/>
      <c r="M296" s="261"/>
      <c r="N296" s="261"/>
      <c r="O296" s="261"/>
      <c r="P296" s="261"/>
      <c r="Q296" s="261"/>
      <c r="R296" s="261"/>
      <c r="S296" s="261"/>
      <c r="T296" s="261"/>
      <c r="U296" s="261"/>
      <c r="V296" s="261"/>
      <c r="W296" s="261"/>
      <c r="X296" s="5"/>
    </row>
    <row r="297" spans="1:24" x14ac:dyDescent="0.2">
      <c r="A297" s="100"/>
      <c r="B297" s="100"/>
      <c r="C297" s="100"/>
      <c r="D297" s="100"/>
      <c r="E297" s="100"/>
      <c r="F297" s="100"/>
      <c r="G297" s="100"/>
      <c r="H297" s="100"/>
      <c r="I297" s="100"/>
      <c r="J297" s="100"/>
      <c r="K297" s="100"/>
      <c r="L297" s="100"/>
      <c r="M297" s="100"/>
      <c r="N297" s="100"/>
      <c r="O297" s="100"/>
      <c r="P297" s="100"/>
      <c r="Q297" s="100"/>
      <c r="R297" s="100"/>
      <c r="S297" s="100"/>
      <c r="T297" s="100"/>
      <c r="U297" s="100"/>
      <c r="V297" s="100"/>
      <c r="W297" s="100"/>
    </row>
  </sheetData>
  <hyperlinks>
    <hyperlink ref="P237" r:id="rId1" xr:uid="{00000000-0004-0000-2600-000000000000}"/>
    <hyperlink ref="I9" r:id="rId2" xr:uid="{00000000-0004-0000-26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5" max="14" man="1"/>
    <brk id="201" max="14" man="1"/>
  </row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sheetPr>
  <dimension ref="A1:IV285"/>
  <sheetViews>
    <sheetView showGridLines="0" showOutlineSymbols="0" zoomScale="70" zoomScaleNormal="70" workbookViewId="0"/>
  </sheetViews>
  <sheetFormatPr defaultColWidth="9.6640625" defaultRowHeight="15" x14ac:dyDescent="0.2"/>
  <cols>
    <col min="1" max="1" width="4" style="1" customWidth="1"/>
    <col min="2" max="2" width="71.21875" style="1" customWidth="1"/>
    <col min="3" max="3" width="2.21875" style="1" customWidth="1"/>
    <col min="4" max="4" width="19.33203125" style="1" customWidth="1"/>
    <col min="5" max="5" width="2.21875" style="1" customWidth="1"/>
    <col min="6" max="6" width="25.109375" style="1" customWidth="1"/>
    <col min="7" max="7" width="2.21875" style="1" customWidth="1"/>
    <col min="8" max="8" width="16.21875" style="1" customWidth="1"/>
    <col min="9" max="9" width="2.88671875" style="1" customWidth="1"/>
    <col min="10" max="10" width="16.21875" style="1" customWidth="1"/>
    <col min="11" max="11" width="2.21875" style="1" customWidth="1"/>
    <col min="12" max="12" width="17.88671875" style="1" customWidth="1"/>
    <col min="13" max="13" width="2.33203125" style="1" customWidth="1"/>
    <col min="14" max="14" width="14.88671875" style="1" customWidth="1"/>
    <col min="15" max="15" width="2.33203125" style="1" customWidth="1"/>
    <col min="16" max="16" width="15.5546875" style="1" customWidth="1"/>
    <col min="17" max="17" width="2.21875" style="1" customWidth="1"/>
    <col min="18" max="18" width="15.5546875" style="1" customWidth="1"/>
    <col min="19" max="20" width="12.6640625" style="1" customWidth="1"/>
    <col min="21" max="21" width="7.77734375" style="1" customWidth="1"/>
    <col min="22" max="22" width="14.6640625" style="1" customWidth="1"/>
    <col min="23" max="23" width="11.77734375" style="1" customWidth="1"/>
    <col min="24" max="16384" width="9.6640625" style="1"/>
  </cols>
  <sheetData>
    <row r="1" spans="1:24" ht="20.25" x14ac:dyDescent="0.3">
      <c r="A1" s="2"/>
      <c r="B1" s="3" t="s">
        <v>237</v>
      </c>
      <c r="C1" s="4"/>
      <c r="D1" s="4"/>
      <c r="E1" s="4"/>
      <c r="F1" s="4"/>
      <c r="G1" s="4"/>
      <c r="H1" s="4"/>
      <c r="I1" s="4"/>
      <c r="J1" s="4"/>
      <c r="K1" s="4"/>
      <c r="L1" s="4"/>
      <c r="M1" s="4"/>
      <c r="N1" s="4"/>
      <c r="O1" s="4"/>
      <c r="P1" s="4"/>
      <c r="Q1" s="4"/>
      <c r="R1" s="4"/>
      <c r="S1" s="4"/>
      <c r="T1" s="4"/>
      <c r="U1" s="4"/>
      <c r="V1" s="4"/>
      <c r="W1" s="4"/>
      <c r="X1" s="5"/>
    </row>
    <row r="2" spans="1:24" ht="15.75" x14ac:dyDescent="0.25">
      <c r="A2" s="6"/>
      <c r="B2" s="7"/>
      <c r="C2" s="8"/>
      <c r="D2" s="8"/>
      <c r="E2" s="8"/>
      <c r="F2" s="8"/>
      <c r="G2" s="8"/>
      <c r="H2" s="8"/>
      <c r="I2" s="8"/>
      <c r="J2" s="8"/>
      <c r="K2" s="8"/>
      <c r="L2" s="8"/>
      <c r="M2" s="8"/>
      <c r="N2" s="8"/>
      <c r="O2" s="8"/>
      <c r="P2" s="8"/>
      <c r="Q2" s="8"/>
      <c r="R2" s="8"/>
      <c r="S2" s="8"/>
      <c r="T2" s="8"/>
      <c r="U2" s="8"/>
      <c r="V2" s="8"/>
      <c r="W2" s="8"/>
      <c r="X2" s="5"/>
    </row>
    <row r="3" spans="1:24" ht="15.75" x14ac:dyDescent="0.25">
      <c r="A3" s="9"/>
      <c r="B3" s="111" t="s">
        <v>238</v>
      </c>
      <c r="C3" s="8"/>
      <c r="D3" s="8"/>
      <c r="E3" s="8"/>
      <c r="F3" s="8"/>
      <c r="G3" s="8"/>
      <c r="H3" s="8"/>
      <c r="I3" s="8"/>
      <c r="J3" s="8"/>
      <c r="K3" s="8"/>
      <c r="L3" s="8"/>
      <c r="M3" s="8"/>
      <c r="N3" s="8"/>
      <c r="O3" s="8"/>
      <c r="P3" s="8"/>
      <c r="Q3" s="8"/>
      <c r="R3" s="8"/>
      <c r="S3" s="8"/>
      <c r="T3" s="8"/>
      <c r="U3" s="8"/>
      <c r="V3" s="8"/>
      <c r="W3" s="8"/>
      <c r="X3" s="5"/>
    </row>
    <row r="4" spans="1:24" ht="15.75" x14ac:dyDescent="0.25">
      <c r="A4" s="6"/>
      <c r="B4" s="7"/>
      <c r="C4" s="8"/>
      <c r="D4" s="8"/>
      <c r="E4" s="8"/>
      <c r="F4" s="8"/>
      <c r="G4" s="8"/>
      <c r="H4" s="8"/>
      <c r="I4" s="8"/>
      <c r="J4" s="8"/>
      <c r="K4" s="8"/>
      <c r="L4" s="8"/>
      <c r="M4" s="8"/>
      <c r="N4" s="8"/>
      <c r="O4" s="8"/>
      <c r="P4" s="8"/>
      <c r="Q4" s="8"/>
      <c r="R4" s="8"/>
      <c r="S4" s="8"/>
      <c r="T4" s="8"/>
      <c r="U4" s="8"/>
      <c r="V4" s="8"/>
      <c r="W4" s="8"/>
      <c r="X4" s="5"/>
    </row>
    <row r="5" spans="1:24" ht="15.75" x14ac:dyDescent="0.25">
      <c r="A5" s="6"/>
      <c r="B5" s="11" t="s">
        <v>137</v>
      </c>
      <c r="C5" s="8"/>
      <c r="D5" s="8"/>
      <c r="E5" s="8"/>
      <c r="F5" s="8"/>
      <c r="G5" s="8"/>
      <c r="H5" s="8"/>
      <c r="I5" s="8"/>
      <c r="J5" s="8"/>
      <c r="K5" s="8"/>
      <c r="L5" s="8"/>
      <c r="M5" s="8"/>
      <c r="N5" s="8"/>
      <c r="O5" s="8"/>
      <c r="P5" s="8"/>
      <c r="Q5" s="8"/>
      <c r="R5" s="8"/>
      <c r="S5" s="8"/>
      <c r="T5" s="8"/>
      <c r="U5" s="8"/>
      <c r="V5" s="8"/>
      <c r="W5" s="8"/>
      <c r="X5" s="5"/>
    </row>
    <row r="6" spans="1:24" ht="15.75" x14ac:dyDescent="0.25">
      <c r="A6" s="6"/>
      <c r="B6" s="11" t="s">
        <v>139</v>
      </c>
      <c r="C6" s="8"/>
      <c r="D6" s="8"/>
      <c r="E6" s="8"/>
      <c r="F6" s="8"/>
      <c r="G6" s="8"/>
      <c r="H6" s="8"/>
      <c r="I6" s="8"/>
      <c r="J6" s="8"/>
      <c r="K6" s="8"/>
      <c r="L6" s="8"/>
      <c r="M6" s="8"/>
      <c r="N6" s="8"/>
      <c r="O6" s="8"/>
      <c r="P6" s="8"/>
      <c r="Q6" s="8"/>
      <c r="R6" s="8"/>
      <c r="S6" s="8"/>
      <c r="T6" s="8"/>
      <c r="U6" s="8"/>
      <c r="V6" s="8"/>
      <c r="W6" s="8"/>
      <c r="X6" s="5"/>
    </row>
    <row r="7" spans="1:24" ht="15.75" x14ac:dyDescent="0.25">
      <c r="A7" s="6"/>
      <c r="B7" s="11" t="s">
        <v>138</v>
      </c>
      <c r="C7" s="8"/>
      <c r="D7" s="8"/>
      <c r="E7" s="8"/>
      <c r="F7" s="8"/>
      <c r="G7" s="8"/>
      <c r="H7" s="8"/>
      <c r="I7" s="8"/>
      <c r="J7" s="8"/>
      <c r="K7" s="8"/>
      <c r="L7" s="8"/>
      <c r="M7" s="8"/>
      <c r="N7" s="8"/>
      <c r="O7" s="8"/>
      <c r="P7" s="8"/>
      <c r="Q7" s="8"/>
      <c r="R7" s="8"/>
      <c r="S7" s="8"/>
      <c r="T7" s="8"/>
      <c r="U7" s="8"/>
      <c r="V7" s="8"/>
      <c r="W7" s="8"/>
      <c r="X7" s="5"/>
    </row>
    <row r="8" spans="1:24" ht="15.75" x14ac:dyDescent="0.25">
      <c r="A8" s="6"/>
      <c r="B8" s="11"/>
      <c r="C8" s="8"/>
      <c r="D8" s="8"/>
      <c r="E8" s="8"/>
      <c r="F8" s="8"/>
      <c r="G8" s="8"/>
      <c r="H8" s="8"/>
      <c r="I8" s="8"/>
      <c r="J8" s="8"/>
      <c r="K8" s="8"/>
      <c r="L8" s="8"/>
      <c r="M8" s="8"/>
      <c r="N8" s="8"/>
      <c r="O8" s="8"/>
      <c r="P8" s="8"/>
      <c r="Q8" s="8"/>
      <c r="R8" s="8"/>
      <c r="S8" s="8"/>
      <c r="T8" s="8"/>
      <c r="U8" s="8"/>
      <c r="V8" s="8"/>
      <c r="W8" s="8"/>
      <c r="X8" s="5"/>
    </row>
    <row r="9" spans="1:24" ht="18.75" x14ac:dyDescent="0.3">
      <c r="A9" s="6"/>
      <c r="B9" s="144" t="s">
        <v>166</v>
      </c>
      <c r="C9" s="8"/>
      <c r="D9" s="8"/>
      <c r="E9" s="8"/>
      <c r="F9" s="8"/>
      <c r="G9" s="8"/>
      <c r="H9" s="8"/>
      <c r="I9" s="145" t="s">
        <v>167</v>
      </c>
      <c r="J9" s="8"/>
      <c r="K9" s="8"/>
      <c r="L9" s="145"/>
      <c r="M9" s="8"/>
      <c r="N9" s="145"/>
      <c r="O9" s="8"/>
      <c r="P9" s="8"/>
      <c r="Q9" s="8"/>
      <c r="R9" s="8"/>
      <c r="S9" s="8"/>
      <c r="T9" s="8"/>
      <c r="U9" s="8"/>
      <c r="V9" s="8"/>
      <c r="W9" s="8"/>
      <c r="X9" s="5"/>
    </row>
    <row r="10" spans="1:24" ht="15.75" x14ac:dyDescent="0.25">
      <c r="A10" s="6"/>
      <c r="B10" s="11"/>
      <c r="C10" s="13"/>
      <c r="D10" s="13"/>
      <c r="E10" s="13"/>
      <c r="F10" s="8"/>
      <c r="G10" s="8"/>
      <c r="H10" s="8"/>
      <c r="I10" s="8"/>
      <c r="J10" s="8"/>
      <c r="K10" s="8"/>
      <c r="L10" s="8"/>
      <c r="M10" s="8"/>
      <c r="N10" s="8"/>
      <c r="O10" s="8"/>
      <c r="P10" s="8"/>
      <c r="Q10" s="8"/>
      <c r="R10" s="8"/>
      <c r="S10" s="8"/>
      <c r="T10" s="8"/>
      <c r="U10" s="8"/>
      <c r="V10" s="8"/>
      <c r="W10" s="8"/>
      <c r="X10" s="5"/>
    </row>
    <row r="11" spans="1:24" ht="15.75" x14ac:dyDescent="0.25">
      <c r="A11" s="6"/>
      <c r="B11" s="14" t="s">
        <v>0</v>
      </c>
      <c r="C11" s="8"/>
      <c r="D11" s="8"/>
      <c r="E11" s="8"/>
      <c r="F11" s="8"/>
      <c r="G11" s="8"/>
      <c r="H11" s="8"/>
      <c r="I11" s="8"/>
      <c r="J11" s="8"/>
      <c r="K11" s="8"/>
      <c r="L11" s="8"/>
      <c r="M11" s="8"/>
      <c r="N11" s="8"/>
      <c r="O11" s="8"/>
      <c r="P11" s="8"/>
      <c r="Q11" s="8"/>
      <c r="R11" s="8"/>
      <c r="S11" s="8"/>
      <c r="T11" s="8"/>
      <c r="U11" s="8"/>
      <c r="V11" s="8"/>
      <c r="W11" s="8"/>
      <c r="X11" s="5"/>
    </row>
    <row r="12" spans="1:24" ht="16.5" thickBot="1" x14ac:dyDescent="0.3">
      <c r="A12" s="6"/>
      <c r="B12" s="13"/>
      <c r="C12" s="8"/>
      <c r="D12" s="8"/>
      <c r="E12" s="8"/>
      <c r="F12" s="8"/>
      <c r="G12" s="8"/>
      <c r="H12" s="8"/>
      <c r="I12" s="8"/>
      <c r="J12" s="8"/>
      <c r="K12" s="8"/>
      <c r="L12" s="8"/>
      <c r="M12" s="8"/>
      <c r="N12" s="8"/>
      <c r="O12" s="8"/>
      <c r="P12" s="8"/>
      <c r="Q12" s="8"/>
      <c r="R12" s="8"/>
      <c r="S12" s="8"/>
      <c r="T12" s="8"/>
      <c r="U12" s="8"/>
      <c r="V12" s="8"/>
      <c r="W12" s="8"/>
      <c r="X12" s="5"/>
    </row>
    <row r="13" spans="1:24" ht="15.75" x14ac:dyDescent="0.25">
      <c r="A13" s="2"/>
      <c r="B13" s="4"/>
      <c r="C13" s="4"/>
      <c r="D13" s="4"/>
      <c r="E13" s="4"/>
      <c r="F13" s="4"/>
      <c r="G13" s="4"/>
      <c r="H13" s="4"/>
      <c r="I13" s="4"/>
      <c r="J13" s="4"/>
      <c r="K13" s="4"/>
      <c r="L13" s="4"/>
      <c r="M13" s="4"/>
      <c r="N13" s="4"/>
      <c r="O13" s="4"/>
      <c r="P13" s="4"/>
      <c r="Q13" s="4"/>
      <c r="R13" s="4"/>
      <c r="S13" s="4"/>
      <c r="T13" s="4"/>
      <c r="U13" s="4"/>
      <c r="V13" s="4"/>
      <c r="W13" s="4"/>
      <c r="X13" s="5"/>
    </row>
    <row r="14" spans="1:24" ht="15.75" x14ac:dyDescent="0.25">
      <c r="A14" s="6"/>
      <c r="B14" s="14" t="s">
        <v>1</v>
      </c>
      <c r="C14" s="15"/>
      <c r="D14" s="15"/>
      <c r="E14" s="15"/>
      <c r="F14" s="15"/>
      <c r="G14" s="15"/>
      <c r="H14" s="15"/>
      <c r="I14" s="15"/>
      <c r="J14" s="15"/>
      <c r="K14" s="15"/>
      <c r="L14" s="15"/>
      <c r="M14" s="15"/>
      <c r="N14" s="15"/>
      <c r="O14" s="15"/>
      <c r="P14" s="15"/>
      <c r="Q14" s="15"/>
      <c r="R14" s="15"/>
      <c r="S14" s="15"/>
      <c r="T14" s="15"/>
      <c r="U14" s="15"/>
      <c r="V14" s="16" t="s">
        <v>239</v>
      </c>
      <c r="W14" s="15"/>
      <c r="X14" s="5"/>
    </row>
    <row r="15" spans="1:24" ht="15.75" x14ac:dyDescent="0.25">
      <c r="A15" s="6"/>
      <c r="B15" s="14" t="s">
        <v>2</v>
      </c>
      <c r="C15" s="15"/>
      <c r="D15" s="15"/>
      <c r="E15" s="15"/>
      <c r="F15" s="15"/>
      <c r="G15" s="15"/>
      <c r="H15" s="18"/>
      <c r="I15" s="18"/>
      <c r="J15" s="18"/>
      <c r="K15" s="18"/>
      <c r="L15" s="18"/>
      <c r="M15" s="18"/>
      <c r="N15" s="18"/>
      <c r="O15" s="18"/>
      <c r="P15" s="18"/>
      <c r="Q15" s="18"/>
      <c r="R15" s="18" t="s">
        <v>104</v>
      </c>
      <c r="S15" s="134">
        <v>0.47189999999999999</v>
      </c>
      <c r="T15" s="17" t="s">
        <v>140</v>
      </c>
      <c r="U15" s="134">
        <v>0.52810000000000001</v>
      </c>
      <c r="V15" s="16"/>
      <c r="W15" s="15"/>
      <c r="X15" s="5"/>
    </row>
    <row r="16" spans="1:24" ht="15.75" x14ac:dyDescent="0.25">
      <c r="A16" s="6"/>
      <c r="B16" s="14" t="s">
        <v>3</v>
      </c>
      <c r="C16" s="15"/>
      <c r="D16" s="15"/>
      <c r="E16" s="15"/>
      <c r="F16" s="15"/>
      <c r="G16" s="15"/>
      <c r="H16" s="18"/>
      <c r="I16" s="18"/>
      <c r="J16" s="18"/>
      <c r="K16" s="18"/>
      <c r="L16" s="18"/>
      <c r="M16" s="18"/>
      <c r="N16" s="18"/>
      <c r="O16" s="18"/>
      <c r="P16" s="18"/>
      <c r="Q16" s="18"/>
      <c r="R16" s="18" t="s">
        <v>104</v>
      </c>
      <c r="S16" s="134">
        <v>0.50790000000000002</v>
      </c>
      <c r="T16" s="17" t="s">
        <v>140</v>
      </c>
      <c r="U16" s="134">
        <v>0.49209999999999998</v>
      </c>
      <c r="V16" s="16"/>
      <c r="W16" s="15"/>
      <c r="X16" s="5"/>
    </row>
    <row r="17" spans="1:24" ht="15.75" x14ac:dyDescent="0.25">
      <c r="A17" s="6"/>
      <c r="B17" s="14" t="s">
        <v>4</v>
      </c>
      <c r="C17" s="15"/>
      <c r="D17" s="15"/>
      <c r="E17" s="15"/>
      <c r="F17" s="15"/>
      <c r="G17" s="15"/>
      <c r="H17" s="15"/>
      <c r="I17" s="15"/>
      <c r="J17" s="15"/>
      <c r="K17" s="15"/>
      <c r="L17" s="15"/>
      <c r="M17" s="15"/>
      <c r="N17" s="15"/>
      <c r="O17" s="15"/>
      <c r="P17" s="15"/>
      <c r="Q17" s="15"/>
      <c r="R17" s="15"/>
      <c r="S17" s="15"/>
      <c r="T17" s="15"/>
      <c r="U17" s="15"/>
      <c r="V17" s="19">
        <v>39282</v>
      </c>
      <c r="W17" s="15"/>
      <c r="X17" s="5"/>
    </row>
    <row r="18" spans="1:24" ht="15.75" x14ac:dyDescent="0.25">
      <c r="A18" s="6"/>
      <c r="B18" s="14" t="s">
        <v>5</v>
      </c>
      <c r="C18" s="15"/>
      <c r="D18" s="15"/>
      <c r="E18" s="15"/>
      <c r="F18" s="15"/>
      <c r="G18" s="15"/>
      <c r="H18" s="15"/>
      <c r="I18" s="15"/>
      <c r="J18" s="15"/>
      <c r="K18" s="15"/>
      <c r="L18" s="15"/>
      <c r="M18" s="15"/>
      <c r="N18" s="15"/>
      <c r="O18" s="15"/>
      <c r="P18" s="15"/>
      <c r="Q18" s="15"/>
      <c r="R18" s="15"/>
      <c r="S18" s="15"/>
      <c r="T18" s="15"/>
      <c r="U18" s="15"/>
      <c r="V18" s="19">
        <v>39714</v>
      </c>
      <c r="W18" s="15"/>
      <c r="X18" s="5"/>
    </row>
    <row r="19" spans="1:24" ht="15.75" x14ac:dyDescent="0.25">
      <c r="A19" s="6"/>
      <c r="B19" s="8"/>
      <c r="C19" s="8"/>
      <c r="D19" s="8"/>
      <c r="E19" s="8"/>
      <c r="F19" s="8"/>
      <c r="G19" s="8"/>
      <c r="H19" s="8"/>
      <c r="I19" s="8"/>
      <c r="J19" s="8"/>
      <c r="K19" s="8"/>
      <c r="L19" s="8"/>
      <c r="M19" s="8"/>
      <c r="N19" s="8"/>
      <c r="O19" s="8"/>
      <c r="P19" s="8"/>
      <c r="Q19" s="8"/>
      <c r="R19" s="8"/>
      <c r="S19" s="8"/>
      <c r="T19" s="8"/>
      <c r="U19" s="8"/>
      <c r="V19" s="20"/>
      <c r="W19" s="8"/>
      <c r="X19" s="5"/>
    </row>
    <row r="20" spans="1:24" ht="15.75" x14ac:dyDescent="0.25">
      <c r="A20" s="6"/>
      <c r="B20" s="21" t="s">
        <v>6</v>
      </c>
      <c r="C20" s="8"/>
      <c r="D20" s="8"/>
      <c r="E20" s="8"/>
      <c r="F20" s="8"/>
      <c r="G20" s="8"/>
      <c r="H20" s="8"/>
      <c r="I20" s="8"/>
      <c r="J20" s="8"/>
      <c r="K20" s="8"/>
      <c r="L20" s="8"/>
      <c r="M20" s="8"/>
      <c r="N20" s="8"/>
      <c r="O20" s="8"/>
      <c r="P20" s="8"/>
      <c r="Q20" s="8"/>
      <c r="R20" s="8"/>
      <c r="S20" s="8"/>
      <c r="T20" s="20" t="s">
        <v>105</v>
      </c>
      <c r="U20" s="8"/>
      <c r="V20" s="173"/>
      <c r="W20" s="8"/>
      <c r="X20" s="5"/>
    </row>
    <row r="21" spans="1:24" ht="15.75" x14ac:dyDescent="0.25">
      <c r="A21" s="6"/>
      <c r="B21" s="8"/>
      <c r="C21" s="8"/>
      <c r="D21" s="8"/>
      <c r="E21" s="8"/>
      <c r="F21" s="8"/>
      <c r="G21" s="8"/>
      <c r="H21" s="8"/>
      <c r="I21" s="8"/>
      <c r="J21" s="8"/>
      <c r="K21" s="8"/>
      <c r="L21" s="8"/>
      <c r="M21" s="8"/>
      <c r="N21" s="8"/>
      <c r="O21" s="8"/>
      <c r="P21" s="8"/>
      <c r="Q21" s="8"/>
      <c r="R21" s="8"/>
      <c r="S21" s="8"/>
      <c r="T21" s="8"/>
      <c r="U21" s="8"/>
      <c r="V21" s="22"/>
      <c r="W21" s="8"/>
      <c r="X21" s="5"/>
    </row>
    <row r="22" spans="1:24" ht="15.75" x14ac:dyDescent="0.25">
      <c r="A22" s="6"/>
      <c r="B22" s="8"/>
      <c r="C22" s="112"/>
      <c r="D22" s="112" t="s">
        <v>177</v>
      </c>
      <c r="E22" s="112"/>
      <c r="F22" s="112" t="s">
        <v>178</v>
      </c>
      <c r="G22" s="112"/>
      <c r="H22" s="112" t="s">
        <v>179</v>
      </c>
      <c r="I22" s="112"/>
      <c r="J22" s="112" t="s">
        <v>219</v>
      </c>
      <c r="K22" s="112"/>
      <c r="L22" s="112" t="s">
        <v>180</v>
      </c>
      <c r="M22" s="112"/>
      <c r="N22" s="112" t="s">
        <v>181</v>
      </c>
      <c r="O22" s="112"/>
      <c r="P22" s="112" t="s">
        <v>182</v>
      </c>
      <c r="Q22" s="112"/>
      <c r="R22" s="112"/>
      <c r="S22" s="113"/>
      <c r="T22" s="23"/>
      <c r="U22" s="173"/>
      <c r="V22" s="173"/>
      <c r="W22" s="8"/>
      <c r="X22" s="5"/>
    </row>
    <row r="23" spans="1:24" ht="15.75" x14ac:dyDescent="0.25">
      <c r="A23" s="24"/>
      <c r="B23" s="25" t="s">
        <v>7</v>
      </c>
      <c r="C23" s="26"/>
      <c r="D23" s="26" t="s">
        <v>212</v>
      </c>
      <c r="E23" s="26"/>
      <c r="F23" s="26" t="s">
        <v>141</v>
      </c>
      <c r="G23" s="26"/>
      <c r="H23" s="26" t="s">
        <v>141</v>
      </c>
      <c r="I23" s="26"/>
      <c r="J23" s="26" t="s">
        <v>141</v>
      </c>
      <c r="K23" s="26"/>
      <c r="L23" s="26" t="s">
        <v>183</v>
      </c>
      <c r="M23" s="26"/>
      <c r="N23" s="26" t="s">
        <v>183</v>
      </c>
      <c r="O23" s="26"/>
      <c r="P23" s="26" t="s">
        <v>142</v>
      </c>
      <c r="Q23" s="26"/>
      <c r="R23" s="26"/>
      <c r="S23" s="26"/>
      <c r="T23" s="26"/>
      <c r="U23" s="174"/>
      <c r="V23" s="174"/>
      <c r="W23" s="25"/>
      <c r="X23" s="5"/>
    </row>
    <row r="24" spans="1:24" ht="15.75" x14ac:dyDescent="0.25">
      <c r="A24" s="24"/>
      <c r="B24" s="25" t="s">
        <v>8</v>
      </c>
      <c r="C24" s="26"/>
      <c r="D24" s="26" t="s">
        <v>213</v>
      </c>
      <c r="E24" s="26"/>
      <c r="F24" s="26" t="s">
        <v>143</v>
      </c>
      <c r="G24" s="26"/>
      <c r="H24" s="26" t="s">
        <v>143</v>
      </c>
      <c r="I24" s="26"/>
      <c r="J24" s="26" t="s">
        <v>143</v>
      </c>
      <c r="K24" s="26"/>
      <c r="L24" s="26" t="s">
        <v>165</v>
      </c>
      <c r="M24" s="26"/>
      <c r="N24" s="26" t="s">
        <v>165</v>
      </c>
      <c r="O24" s="26"/>
      <c r="P24" s="26" t="s">
        <v>144</v>
      </c>
      <c r="Q24" s="26"/>
      <c r="R24" s="26"/>
      <c r="S24" s="26"/>
      <c r="T24" s="26"/>
      <c r="U24" s="174"/>
      <c r="V24" s="174"/>
      <c r="W24" s="25"/>
      <c r="X24" s="5"/>
    </row>
    <row r="25" spans="1:24" ht="15.75" x14ac:dyDescent="0.25">
      <c r="A25" s="28"/>
      <c r="B25" s="130" t="s">
        <v>190</v>
      </c>
      <c r="C25" s="123"/>
      <c r="D25" s="26" t="s">
        <v>214</v>
      </c>
      <c r="E25" s="26"/>
      <c r="F25" s="26" t="s">
        <v>143</v>
      </c>
      <c r="G25" s="26"/>
      <c r="H25" s="26" t="s">
        <v>143</v>
      </c>
      <c r="I25" s="26"/>
      <c r="J25" s="26" t="s">
        <v>143</v>
      </c>
      <c r="K25" s="26"/>
      <c r="L25" s="26" t="s">
        <v>165</v>
      </c>
      <c r="M25" s="26"/>
      <c r="N25" s="26" t="s">
        <v>165</v>
      </c>
      <c r="O25" s="26"/>
      <c r="P25" s="26" t="s">
        <v>144</v>
      </c>
      <c r="Q25" s="26"/>
      <c r="R25" s="26"/>
      <c r="S25" s="123"/>
      <c r="T25" s="26"/>
      <c r="U25" s="174"/>
      <c r="V25" s="174"/>
      <c r="W25" s="25"/>
      <c r="X25" s="5"/>
    </row>
    <row r="26" spans="1:24" ht="15.75" x14ac:dyDescent="0.25">
      <c r="A26" s="28"/>
      <c r="B26" s="29" t="s">
        <v>9</v>
      </c>
      <c r="C26" s="123"/>
      <c r="D26" s="123" t="s">
        <v>212</v>
      </c>
      <c r="E26" s="123"/>
      <c r="F26" s="123" t="s">
        <v>141</v>
      </c>
      <c r="G26" s="123"/>
      <c r="H26" s="123" t="s">
        <v>141</v>
      </c>
      <c r="I26" s="123"/>
      <c r="J26" s="123" t="s">
        <v>141</v>
      </c>
      <c r="K26" s="123"/>
      <c r="L26" s="123" t="s">
        <v>183</v>
      </c>
      <c r="M26" s="123"/>
      <c r="N26" s="123" t="s">
        <v>183</v>
      </c>
      <c r="O26" s="123"/>
      <c r="P26" s="123" t="s">
        <v>142</v>
      </c>
      <c r="Q26" s="123"/>
      <c r="R26" s="123"/>
      <c r="S26" s="123"/>
      <c r="T26" s="26"/>
      <c r="U26" s="174"/>
      <c r="V26" s="174"/>
      <c r="W26" s="25"/>
      <c r="X26" s="5"/>
    </row>
    <row r="27" spans="1:24" ht="15.75" x14ac:dyDescent="0.25">
      <c r="A27" s="24"/>
      <c r="B27" s="29" t="s">
        <v>191</v>
      </c>
      <c r="C27" s="26"/>
      <c r="D27" s="123" t="s">
        <v>213</v>
      </c>
      <c r="E27" s="123"/>
      <c r="F27" s="123" t="s">
        <v>143</v>
      </c>
      <c r="G27" s="123"/>
      <c r="H27" s="123" t="s">
        <v>143</v>
      </c>
      <c r="I27" s="123"/>
      <c r="J27" s="123" t="s">
        <v>143</v>
      </c>
      <c r="K27" s="123"/>
      <c r="L27" s="123" t="s">
        <v>165</v>
      </c>
      <c r="M27" s="123"/>
      <c r="N27" s="123" t="s">
        <v>165</v>
      </c>
      <c r="O27" s="123"/>
      <c r="P27" s="123" t="s">
        <v>144</v>
      </c>
      <c r="Q27" s="123"/>
      <c r="R27" s="123"/>
      <c r="S27" s="26"/>
      <c r="T27" s="30"/>
      <c r="U27" s="174"/>
      <c r="V27" s="174"/>
      <c r="W27" s="25"/>
      <c r="X27" s="5"/>
    </row>
    <row r="28" spans="1:24" ht="15.75" x14ac:dyDescent="0.25">
      <c r="A28" s="24"/>
      <c r="B28" s="149" t="s">
        <v>192</v>
      </c>
      <c r="C28" s="26"/>
      <c r="D28" s="123" t="s">
        <v>214</v>
      </c>
      <c r="E28" s="123"/>
      <c r="F28" s="123" t="s">
        <v>143</v>
      </c>
      <c r="G28" s="123"/>
      <c r="H28" s="123" t="s">
        <v>143</v>
      </c>
      <c r="I28" s="123"/>
      <c r="J28" s="123" t="s">
        <v>143</v>
      </c>
      <c r="K28" s="123"/>
      <c r="L28" s="123" t="s">
        <v>165</v>
      </c>
      <c r="M28" s="123"/>
      <c r="N28" s="123" t="s">
        <v>165</v>
      </c>
      <c r="O28" s="123"/>
      <c r="P28" s="123" t="s">
        <v>144</v>
      </c>
      <c r="Q28" s="123"/>
      <c r="R28" s="123"/>
      <c r="S28" s="26"/>
      <c r="T28" s="30"/>
      <c r="U28" s="174"/>
      <c r="V28" s="174"/>
      <c r="W28" s="25"/>
      <c r="X28" s="5"/>
    </row>
    <row r="29" spans="1:24" ht="15.75" x14ac:dyDescent="0.25">
      <c r="A29" s="24"/>
      <c r="B29" s="25" t="s">
        <v>10</v>
      </c>
      <c r="C29" s="32"/>
      <c r="D29" s="26" t="s">
        <v>242</v>
      </c>
      <c r="E29" s="26"/>
      <c r="F29" s="30" t="s">
        <v>244</v>
      </c>
      <c r="G29" s="26"/>
      <c r="H29" s="26" t="s">
        <v>245</v>
      </c>
      <c r="I29" s="26"/>
      <c r="J29" s="26" t="s">
        <v>247</v>
      </c>
      <c r="K29" s="26"/>
      <c r="L29" s="26" t="s">
        <v>248</v>
      </c>
      <c r="M29" s="26"/>
      <c r="N29" s="26" t="s">
        <v>249</v>
      </c>
      <c r="O29" s="26"/>
      <c r="P29" s="26" t="s">
        <v>250</v>
      </c>
      <c r="Q29" s="26"/>
      <c r="R29" s="26"/>
      <c r="S29" s="31"/>
      <c r="T29" s="31"/>
      <c r="U29" s="175"/>
      <c r="V29" s="31"/>
      <c r="W29" s="34"/>
      <c r="X29" s="5"/>
    </row>
    <row r="30" spans="1:24" ht="15.75" x14ac:dyDescent="0.25">
      <c r="A30" s="24"/>
      <c r="B30" s="25" t="s">
        <v>10</v>
      </c>
      <c r="C30" s="32"/>
      <c r="D30" s="26" t="s">
        <v>243</v>
      </c>
      <c r="E30" s="26"/>
      <c r="F30" s="30" t="s">
        <v>118</v>
      </c>
      <c r="G30" s="26"/>
      <c r="H30" s="26" t="s">
        <v>118</v>
      </c>
      <c r="I30" s="26"/>
      <c r="J30" s="26" t="s">
        <v>246</v>
      </c>
      <c r="K30" s="26"/>
      <c r="L30" s="26" t="s">
        <v>118</v>
      </c>
      <c r="M30" s="26"/>
      <c r="N30" s="26" t="s">
        <v>118</v>
      </c>
      <c r="O30" s="26"/>
      <c r="P30" s="26" t="s">
        <v>118</v>
      </c>
      <c r="Q30" s="26"/>
      <c r="R30" s="26"/>
      <c r="S30" s="31"/>
      <c r="T30" s="31"/>
      <c r="U30" s="175"/>
      <c r="V30" s="31"/>
      <c r="W30" s="34"/>
      <c r="X30" s="5"/>
    </row>
    <row r="31" spans="1:24" ht="15.75" x14ac:dyDescent="0.25">
      <c r="A31" s="28"/>
      <c r="B31" s="25" t="s">
        <v>133</v>
      </c>
      <c r="C31" s="36"/>
      <c r="D31" s="143">
        <v>1000000</v>
      </c>
      <c r="E31" s="32"/>
      <c r="F31" s="31">
        <v>209500</v>
      </c>
      <c r="G31" s="31"/>
      <c r="H31" s="124">
        <v>110000</v>
      </c>
      <c r="I31" s="124"/>
      <c r="J31" s="143">
        <v>150000</v>
      </c>
      <c r="K31" s="31"/>
      <c r="L31" s="31">
        <v>17000</v>
      </c>
      <c r="M31" s="31"/>
      <c r="N31" s="124">
        <v>85500</v>
      </c>
      <c r="O31" s="31"/>
      <c r="P31" s="124">
        <v>110500</v>
      </c>
      <c r="Q31" s="31"/>
      <c r="R31" s="124"/>
      <c r="S31" s="35"/>
      <c r="T31" s="35"/>
      <c r="U31" s="37"/>
      <c r="V31" s="35"/>
      <c r="W31" s="34"/>
      <c r="X31" s="5"/>
    </row>
    <row r="32" spans="1:24" ht="15.75" x14ac:dyDescent="0.25">
      <c r="A32" s="24"/>
      <c r="B32" s="25" t="s">
        <v>132</v>
      </c>
      <c r="C32" s="32"/>
      <c r="D32" s="143">
        <f>D31*D38</f>
        <v>971859.4</v>
      </c>
      <c r="E32" s="32"/>
      <c r="F32" s="31">
        <f>F31*F38</f>
        <v>203604.54430000001</v>
      </c>
      <c r="G32" s="31"/>
      <c r="H32" s="124">
        <f>H31*H38</f>
        <v>106904.62199999999</v>
      </c>
      <c r="I32" s="124"/>
      <c r="J32" s="143">
        <f>J31*J38</f>
        <v>145778.91</v>
      </c>
      <c r="K32" s="31"/>
      <c r="L32" s="31">
        <f>L31*L38</f>
        <v>17000</v>
      </c>
      <c r="M32" s="31"/>
      <c r="N32" s="124">
        <f>N31*N38</f>
        <v>85500</v>
      </c>
      <c r="O32" s="31"/>
      <c r="P32" s="124">
        <f>P31*P38</f>
        <v>110500</v>
      </c>
      <c r="Q32" s="31"/>
      <c r="R32" s="124"/>
      <c r="S32" s="31"/>
      <c r="T32" s="31"/>
      <c r="U32" s="175"/>
      <c r="V32" s="31"/>
      <c r="W32" s="34"/>
      <c r="X32" s="5"/>
    </row>
    <row r="33" spans="1:27" ht="15.75" x14ac:dyDescent="0.25">
      <c r="A33" s="24"/>
      <c r="B33" s="29" t="s">
        <v>134</v>
      </c>
      <c r="C33" s="32"/>
      <c r="D33" s="170">
        <f>D37*D31</f>
        <v>915276.6</v>
      </c>
      <c r="E33" s="36"/>
      <c r="F33" s="35">
        <f>F37*F31</f>
        <v>191750.44769999999</v>
      </c>
      <c r="G33" s="35"/>
      <c r="H33" s="125">
        <f>H31*H37</f>
        <v>100680.64600000001</v>
      </c>
      <c r="I33" s="125"/>
      <c r="J33" s="170">
        <f>J37*J31</f>
        <v>137291.49</v>
      </c>
      <c r="K33" s="35"/>
      <c r="L33" s="35">
        <f>L31*L37</f>
        <v>17000</v>
      </c>
      <c r="M33" s="35"/>
      <c r="N33" s="125">
        <f>N31*N37</f>
        <v>85500</v>
      </c>
      <c r="O33" s="35"/>
      <c r="P33" s="125">
        <f>P31*P37</f>
        <v>110500</v>
      </c>
      <c r="Q33" s="35"/>
      <c r="R33" s="125"/>
      <c r="S33" s="31"/>
      <c r="T33" s="31"/>
      <c r="U33" s="175"/>
      <c r="V33" s="31"/>
      <c r="W33" s="34"/>
      <c r="X33" s="5"/>
    </row>
    <row r="34" spans="1:27" ht="15.75" x14ac:dyDescent="0.25">
      <c r="A34" s="28"/>
      <c r="B34" s="25" t="s">
        <v>286</v>
      </c>
      <c r="C34" s="36"/>
      <c r="D34" s="31">
        <v>492951</v>
      </c>
      <c r="E34" s="32"/>
      <c r="F34" s="31">
        <v>209500</v>
      </c>
      <c r="G34" s="31"/>
      <c r="H34" s="31">
        <v>74677</v>
      </c>
      <c r="I34" s="31"/>
      <c r="J34" s="31">
        <v>73943</v>
      </c>
      <c r="K34" s="31"/>
      <c r="L34" s="31">
        <v>17000</v>
      </c>
      <c r="M34" s="31"/>
      <c r="N34" s="31">
        <v>58045</v>
      </c>
      <c r="O34" s="31"/>
      <c r="P34" s="31">
        <v>75017</v>
      </c>
      <c r="Q34" s="31"/>
      <c r="R34" s="31"/>
      <c r="S34" s="35"/>
      <c r="T34" s="35"/>
      <c r="U34" s="37"/>
      <c r="V34" s="150">
        <f>SUM(C34:R34)</f>
        <v>1001133</v>
      </c>
      <c r="W34" s="34"/>
      <c r="X34" s="5"/>
    </row>
    <row r="35" spans="1:27" ht="15.75" x14ac:dyDescent="0.25">
      <c r="A35" s="28"/>
      <c r="B35" s="25" t="s">
        <v>287</v>
      </c>
      <c r="C35" s="126"/>
      <c r="D35" s="31">
        <f>D34*D38</f>
        <v>479079.06308940001</v>
      </c>
      <c r="E35" s="32"/>
      <c r="F35" s="31">
        <f>F34*F38</f>
        <v>203604.54430000001</v>
      </c>
      <c r="G35" s="31"/>
      <c r="H35" s="31">
        <f>H34*H38</f>
        <v>72575.604155399997</v>
      </c>
      <c r="I35" s="31"/>
      <c r="J35" s="31">
        <f>J34*J38</f>
        <v>71862.199614199999</v>
      </c>
      <c r="K35" s="31"/>
      <c r="L35" s="31">
        <f>L34*L38</f>
        <v>17000</v>
      </c>
      <c r="M35" s="31"/>
      <c r="N35" s="31">
        <f>N34*N38</f>
        <v>58045</v>
      </c>
      <c r="O35" s="31"/>
      <c r="P35" s="31">
        <f>P34*P38</f>
        <v>75017</v>
      </c>
      <c r="Q35" s="31"/>
      <c r="R35" s="31"/>
      <c r="S35" s="31"/>
      <c r="T35" s="31"/>
      <c r="U35" s="175"/>
      <c r="V35" s="150">
        <f>SUM(C35:R35)</f>
        <v>977183.41115900001</v>
      </c>
      <c r="W35" s="34"/>
      <c r="X35" s="5"/>
    </row>
    <row r="36" spans="1:27" ht="15.75" x14ac:dyDescent="0.25">
      <c r="A36" s="28"/>
      <c r="B36" s="29" t="s">
        <v>288</v>
      </c>
      <c r="C36" s="126"/>
      <c r="D36" s="35">
        <f>D34*D37</f>
        <v>451186.51524659997</v>
      </c>
      <c r="E36" s="36"/>
      <c r="F36" s="35">
        <f>F34*F37</f>
        <v>191750.44769999999</v>
      </c>
      <c r="G36" s="35"/>
      <c r="H36" s="35">
        <f>H34*H37</f>
        <v>68350.2600122</v>
      </c>
      <c r="I36" s="35"/>
      <c r="J36" s="35">
        <f>J34*J37</f>
        <v>67678.297633800001</v>
      </c>
      <c r="K36" s="35"/>
      <c r="L36" s="35">
        <f>L34*L37</f>
        <v>17000</v>
      </c>
      <c r="M36" s="35"/>
      <c r="N36" s="35">
        <f>N34*N37</f>
        <v>58045</v>
      </c>
      <c r="O36" s="35"/>
      <c r="P36" s="35">
        <f>P34*P37</f>
        <v>75017</v>
      </c>
      <c r="Q36" s="35"/>
      <c r="R36" s="35"/>
      <c r="S36" s="128"/>
      <c r="T36" s="128"/>
      <c r="U36" s="175"/>
      <c r="V36" s="151">
        <f>SUM(C36:R36)-1</f>
        <v>929026.52059259987</v>
      </c>
      <c r="W36" s="34"/>
      <c r="X36" s="5"/>
    </row>
    <row r="37" spans="1:27" ht="15.75" x14ac:dyDescent="0.25">
      <c r="A37" s="24"/>
      <c r="B37" s="122" t="s">
        <v>130</v>
      </c>
      <c r="C37" s="25"/>
      <c r="D37" s="168">
        <v>0.9152766</v>
      </c>
      <c r="E37" s="168"/>
      <c r="F37" s="168">
        <v>0.9152766</v>
      </c>
      <c r="G37" s="168"/>
      <c r="H37" s="168">
        <v>0.91527860000000005</v>
      </c>
      <c r="I37" s="168"/>
      <c r="J37" s="168">
        <v>0.9152766</v>
      </c>
      <c r="K37" s="168"/>
      <c r="L37" s="168">
        <v>1</v>
      </c>
      <c r="M37" s="168"/>
      <c r="N37" s="168">
        <v>1</v>
      </c>
      <c r="O37" s="168"/>
      <c r="P37" s="168">
        <v>1</v>
      </c>
      <c r="Q37" s="168"/>
      <c r="R37" s="168"/>
      <c r="S37" s="30"/>
      <c r="T37" s="30"/>
      <c r="U37" s="174"/>
      <c r="V37" s="174"/>
      <c r="W37" s="25"/>
      <c r="X37" s="5"/>
    </row>
    <row r="38" spans="1:27" ht="15.75" x14ac:dyDescent="0.25">
      <c r="A38" s="24"/>
      <c r="B38" s="122" t="s">
        <v>131</v>
      </c>
      <c r="C38" s="25"/>
      <c r="D38" s="168">
        <v>0.97185940000000004</v>
      </c>
      <c r="E38" s="168"/>
      <c r="F38" s="168">
        <v>0.97185940000000004</v>
      </c>
      <c r="G38" s="168"/>
      <c r="H38" s="168">
        <v>0.97186019999999995</v>
      </c>
      <c r="I38" s="168"/>
      <c r="J38" s="168">
        <v>0.97185940000000004</v>
      </c>
      <c r="K38" s="168"/>
      <c r="L38" s="168">
        <v>1</v>
      </c>
      <c r="M38" s="168"/>
      <c r="N38" s="168">
        <v>1</v>
      </c>
      <c r="O38" s="168"/>
      <c r="P38" s="168">
        <v>1</v>
      </c>
      <c r="Q38" s="168"/>
      <c r="R38" s="168"/>
      <c r="S38" s="39"/>
      <c r="T38" s="38"/>
      <c r="U38" s="174"/>
      <c r="V38" s="39"/>
      <c r="W38" s="25"/>
      <c r="X38" s="5"/>
    </row>
    <row r="39" spans="1:27" ht="15.75" x14ac:dyDescent="0.25">
      <c r="A39" s="24"/>
      <c r="B39" s="25" t="s">
        <v>11</v>
      </c>
      <c r="C39" s="25"/>
      <c r="D39" s="30" t="s">
        <v>278</v>
      </c>
      <c r="E39" s="25"/>
      <c r="F39" s="30" t="s">
        <v>251</v>
      </c>
      <c r="G39" s="30"/>
      <c r="H39" s="30" t="s">
        <v>252</v>
      </c>
      <c r="I39" s="30"/>
      <c r="J39" s="30" t="s">
        <v>253</v>
      </c>
      <c r="K39" s="30"/>
      <c r="L39" s="30" t="s">
        <v>254</v>
      </c>
      <c r="M39" s="30"/>
      <c r="N39" s="30" t="s">
        <v>254</v>
      </c>
      <c r="O39" s="30"/>
      <c r="P39" s="30" t="s">
        <v>255</v>
      </c>
      <c r="Q39" s="30"/>
      <c r="R39" s="30"/>
      <c r="S39" s="39"/>
      <c r="T39" s="38"/>
      <c r="U39" s="174"/>
      <c r="V39" s="174"/>
      <c r="W39" s="25"/>
      <c r="X39" s="5"/>
    </row>
    <row r="40" spans="1:27" ht="15.75" x14ac:dyDescent="0.25">
      <c r="A40" s="24"/>
      <c r="B40" s="25" t="s">
        <v>12</v>
      </c>
      <c r="C40" s="25"/>
      <c r="D40" s="38">
        <v>2.5568799999999999E-2</v>
      </c>
      <c r="E40" s="25"/>
      <c r="F40" s="38">
        <v>6.0850000000000001E-2</v>
      </c>
      <c r="G40" s="39"/>
      <c r="H40" s="38">
        <v>5.0779999999999999E-2</v>
      </c>
      <c r="I40" s="38"/>
      <c r="J40" s="38">
        <v>2.8862499999999999E-2</v>
      </c>
      <c r="K40" s="39"/>
      <c r="L40" s="38">
        <v>6.225E-2</v>
      </c>
      <c r="M40" s="39"/>
      <c r="N40" s="38">
        <v>5.228E-2</v>
      </c>
      <c r="O40" s="39"/>
      <c r="P40" s="38">
        <v>5.5079999999999997E-2</v>
      </c>
      <c r="Q40" s="39"/>
      <c r="R40" s="38"/>
      <c r="S40" s="39"/>
      <c r="T40" s="38"/>
      <c r="U40" s="174"/>
      <c r="V40" s="30"/>
      <c r="W40" s="25"/>
      <c r="X40" s="5"/>
      <c r="AA40" s="1" t="s">
        <v>193</v>
      </c>
    </row>
    <row r="41" spans="1:27" ht="15.75" x14ac:dyDescent="0.25">
      <c r="A41" s="24"/>
      <c r="B41" s="25" t="s">
        <v>13</v>
      </c>
      <c r="C41" s="25"/>
      <c r="D41" s="38">
        <v>2.5143800000000001E-2</v>
      </c>
      <c r="E41" s="25"/>
      <c r="F41" s="38">
        <v>6.0887499999999997E-2</v>
      </c>
      <c r="G41" s="39"/>
      <c r="H41" s="38">
        <v>4.7260000000000003E-2</v>
      </c>
      <c r="I41" s="38"/>
      <c r="J41" s="38">
        <v>2.9100000000000001E-2</v>
      </c>
      <c r="K41" s="39"/>
      <c r="L41" s="38">
        <v>6.2287500000000003E-2</v>
      </c>
      <c r="M41" s="39"/>
      <c r="N41" s="38">
        <v>4.8759999999999998E-2</v>
      </c>
      <c r="O41" s="39"/>
      <c r="P41" s="38">
        <v>5.1560000000000002E-2</v>
      </c>
      <c r="Q41" s="39"/>
      <c r="R41" s="38"/>
      <c r="S41" s="39"/>
      <c r="T41" s="38"/>
      <c r="U41" s="174"/>
      <c r="V41" s="39" t="s">
        <v>193</v>
      </c>
      <c r="W41" s="25"/>
      <c r="X41" s="5"/>
    </row>
    <row r="42" spans="1:27" ht="15.75" x14ac:dyDescent="0.25">
      <c r="A42" s="24"/>
      <c r="B42" s="25" t="s">
        <v>289</v>
      </c>
      <c r="C42" s="25"/>
      <c r="D42" s="30" t="s">
        <v>279</v>
      </c>
      <c r="E42" s="25"/>
      <c r="F42" s="30" t="s">
        <v>251</v>
      </c>
      <c r="G42" s="30"/>
      <c r="H42" s="30" t="s">
        <v>229</v>
      </c>
      <c r="I42" s="30"/>
      <c r="J42" s="30" t="s">
        <v>229</v>
      </c>
      <c r="K42" s="30"/>
      <c r="L42" s="30" t="s">
        <v>254</v>
      </c>
      <c r="M42" s="30"/>
      <c r="N42" s="30" t="s">
        <v>262</v>
      </c>
      <c r="O42" s="30"/>
      <c r="P42" s="30" t="s">
        <v>263</v>
      </c>
      <c r="Q42" s="30"/>
      <c r="R42" s="30"/>
      <c r="S42" s="39"/>
      <c r="T42" s="38"/>
      <c r="U42" s="174"/>
      <c r="V42" s="174"/>
      <c r="W42" s="25"/>
      <c r="X42" s="5"/>
    </row>
    <row r="43" spans="1:27" ht="15.75" x14ac:dyDescent="0.25">
      <c r="A43" s="24"/>
      <c r="B43" s="25" t="s">
        <v>290</v>
      </c>
      <c r="C43" s="110"/>
      <c r="D43" s="38">
        <v>6.064195E-2</v>
      </c>
      <c r="E43" s="38"/>
      <c r="F43" s="38">
        <f>+F40</f>
        <v>6.0850000000000001E-2</v>
      </c>
      <c r="G43" s="38"/>
      <c r="H43" s="38">
        <v>6.0925E-2</v>
      </c>
      <c r="I43" s="38"/>
      <c r="J43" s="38">
        <v>6.0940000000000001E-2</v>
      </c>
      <c r="K43" s="38"/>
      <c r="L43" s="38">
        <f>+L40</f>
        <v>6.225E-2</v>
      </c>
      <c r="M43" s="38"/>
      <c r="N43" s="38">
        <v>6.2617000000000006E-2</v>
      </c>
      <c r="O43" s="38"/>
      <c r="P43" s="38">
        <v>6.5697000000000005E-2</v>
      </c>
      <c r="Q43" s="39"/>
      <c r="R43" s="38"/>
      <c r="S43" s="30"/>
      <c r="T43" s="30"/>
      <c r="U43" s="174"/>
      <c r="V43" s="39">
        <f>SUMPRODUCT(D43:R43,D35:R35)/V35</f>
        <v>6.1261602651670209E-2</v>
      </c>
      <c r="W43" s="25"/>
      <c r="X43" s="5"/>
    </row>
    <row r="44" spans="1:27" ht="15.75" x14ac:dyDescent="0.25">
      <c r="A44" s="24"/>
      <c r="B44" s="25" t="s">
        <v>291</v>
      </c>
      <c r="C44" s="110"/>
      <c r="D44" s="38">
        <v>5.9774500000000001E-2</v>
      </c>
      <c r="E44" s="38"/>
      <c r="F44" s="38">
        <f>+F41</f>
        <v>6.0887499999999997E-2</v>
      </c>
      <c r="G44" s="38"/>
      <c r="H44" s="38">
        <v>6.0962500000000003E-2</v>
      </c>
      <c r="I44" s="38"/>
      <c r="J44" s="38">
        <v>6.0977499999999997E-2</v>
      </c>
      <c r="K44" s="38"/>
      <c r="L44" s="38">
        <f>+L41</f>
        <v>6.2287500000000003E-2</v>
      </c>
      <c r="M44" s="38"/>
      <c r="N44" s="38">
        <v>6.2654500000000002E-2</v>
      </c>
      <c r="O44" s="38"/>
      <c r="P44" s="38">
        <v>6.5734500000000001E-2</v>
      </c>
      <c r="Q44" s="39"/>
      <c r="R44" s="38"/>
      <c r="S44" s="30"/>
      <c r="T44" s="30"/>
      <c r="U44" s="174"/>
      <c r="V44" s="174"/>
      <c r="W44" s="25"/>
      <c r="X44" s="5"/>
    </row>
    <row r="45" spans="1:27" ht="15.75" x14ac:dyDescent="0.25">
      <c r="A45" s="24"/>
      <c r="B45" s="25" t="s">
        <v>14</v>
      </c>
      <c r="C45" s="25"/>
      <c r="D45" s="110">
        <v>40709</v>
      </c>
      <c r="E45" s="110"/>
      <c r="F45" s="110">
        <v>40709</v>
      </c>
      <c r="G45" s="110"/>
      <c r="H45" s="110">
        <v>40709</v>
      </c>
      <c r="I45" s="110"/>
      <c r="J45" s="110">
        <v>40709</v>
      </c>
      <c r="K45" s="110"/>
      <c r="L45" s="110">
        <v>40709</v>
      </c>
      <c r="M45" s="110"/>
      <c r="N45" s="110">
        <v>40709</v>
      </c>
      <c r="O45" s="110"/>
      <c r="P45" s="110">
        <v>40709</v>
      </c>
      <c r="Q45" s="110"/>
      <c r="R45" s="110"/>
      <c r="S45" s="30"/>
      <c r="T45" s="30"/>
      <c r="U45" s="174"/>
      <c r="V45" s="174"/>
      <c r="W45" s="25"/>
      <c r="X45" s="5"/>
    </row>
    <row r="46" spans="1:27" ht="15.75" x14ac:dyDescent="0.25">
      <c r="A46" s="24"/>
      <c r="B46" s="25" t="s">
        <v>15</v>
      </c>
      <c r="C46" s="25"/>
      <c r="D46" s="110" t="s">
        <v>118</v>
      </c>
      <c r="E46" s="110"/>
      <c r="F46" s="110">
        <v>41075</v>
      </c>
      <c r="G46" s="110"/>
      <c r="H46" s="110">
        <v>41075</v>
      </c>
      <c r="I46" s="110"/>
      <c r="J46" s="110">
        <v>41075</v>
      </c>
      <c r="K46" s="30"/>
      <c r="L46" s="110">
        <v>41075</v>
      </c>
      <c r="M46" s="30"/>
      <c r="N46" s="110">
        <v>41075</v>
      </c>
      <c r="O46" s="30"/>
      <c r="P46" s="110">
        <v>41075</v>
      </c>
      <c r="Q46" s="30"/>
      <c r="R46" s="110"/>
      <c r="S46" s="30"/>
      <c r="T46" s="30"/>
      <c r="U46" s="174"/>
      <c r="V46" s="174"/>
      <c r="W46" s="25"/>
      <c r="X46" s="5"/>
    </row>
    <row r="47" spans="1:27" ht="15.75" x14ac:dyDescent="0.25">
      <c r="A47" s="24"/>
      <c r="B47" s="25" t="s">
        <v>119</v>
      </c>
      <c r="C47" s="25"/>
      <c r="D47" s="171" t="s">
        <v>118</v>
      </c>
      <c r="E47" s="25"/>
      <c r="F47" s="30" t="s">
        <v>256</v>
      </c>
      <c r="G47" s="30"/>
      <c r="H47" s="30" t="s">
        <v>257</v>
      </c>
      <c r="I47" s="30"/>
      <c r="J47" s="30" t="s">
        <v>258</v>
      </c>
      <c r="K47" s="30"/>
      <c r="L47" s="30" t="s">
        <v>259</v>
      </c>
      <c r="M47" s="30"/>
      <c r="N47" s="30" t="s">
        <v>259</v>
      </c>
      <c r="O47" s="30"/>
      <c r="P47" s="30" t="s">
        <v>260</v>
      </c>
      <c r="Q47" s="30"/>
      <c r="R47" s="30"/>
      <c r="S47" s="40"/>
      <c r="T47" s="40"/>
      <c r="U47" s="40"/>
      <c r="V47" s="40"/>
      <c r="W47" s="25"/>
      <c r="X47" s="5"/>
    </row>
    <row r="48" spans="1:27" ht="15.75" x14ac:dyDescent="0.25">
      <c r="A48" s="24"/>
      <c r="B48" s="25" t="s">
        <v>292</v>
      </c>
      <c r="C48" s="25"/>
      <c r="D48" s="30" t="s">
        <v>200</v>
      </c>
      <c r="E48" s="25"/>
      <c r="F48" s="30" t="s">
        <v>256</v>
      </c>
      <c r="G48" s="30"/>
      <c r="H48" s="30" t="s">
        <v>261</v>
      </c>
      <c r="I48" s="30"/>
      <c r="J48" s="30" t="s">
        <v>261</v>
      </c>
      <c r="K48" s="30"/>
      <c r="L48" s="30" t="s">
        <v>259</v>
      </c>
      <c r="M48" s="30"/>
      <c r="N48" s="30" t="s">
        <v>263</v>
      </c>
      <c r="O48" s="30"/>
      <c r="P48" s="30" t="s">
        <v>264</v>
      </c>
      <c r="Q48" s="30"/>
      <c r="R48" s="30"/>
      <c r="S48" s="25"/>
      <c r="T48" s="25"/>
      <c r="U48" s="25"/>
      <c r="V48" s="39"/>
      <c r="W48" s="25"/>
      <c r="X48" s="5"/>
    </row>
    <row r="49" spans="1:25" ht="15.75" x14ac:dyDescent="0.25">
      <c r="A49" s="24"/>
      <c r="B49" s="25"/>
      <c r="C49" s="25"/>
      <c r="D49" s="30"/>
      <c r="E49" s="25"/>
      <c r="F49" s="30"/>
      <c r="G49" s="30"/>
      <c r="H49" s="30"/>
      <c r="I49" s="30"/>
      <c r="J49" s="30"/>
      <c r="K49" s="30"/>
      <c r="L49" s="30"/>
      <c r="M49" s="30"/>
      <c r="N49" s="30"/>
      <c r="O49" s="30"/>
      <c r="P49" s="30"/>
      <c r="Q49" s="30"/>
      <c r="R49" s="30"/>
      <c r="S49" s="25"/>
      <c r="T49" s="25"/>
      <c r="U49" s="25"/>
      <c r="V49" s="39" t="s">
        <v>193</v>
      </c>
      <c r="W49" s="25"/>
      <c r="X49" s="5"/>
    </row>
    <row r="50" spans="1:25" ht="15.75" x14ac:dyDescent="0.25">
      <c r="A50" s="24"/>
      <c r="B50" s="25" t="s">
        <v>169</v>
      </c>
      <c r="C50" s="25"/>
      <c r="D50" s="30"/>
      <c r="E50" s="25"/>
      <c r="F50" s="30"/>
      <c r="G50" s="30"/>
      <c r="H50" s="30"/>
      <c r="I50" s="30"/>
      <c r="J50" s="30"/>
      <c r="K50" s="30"/>
      <c r="L50" s="30"/>
      <c r="M50" s="30"/>
      <c r="N50" s="30"/>
      <c r="O50" s="30"/>
      <c r="P50" s="30"/>
      <c r="Q50" s="30"/>
      <c r="R50" s="30"/>
      <c r="S50" s="25"/>
      <c r="T50" s="25"/>
      <c r="U50" s="25"/>
      <c r="V50" s="39">
        <f>SUM(L34:R34)/SUM(D34:J34)</f>
        <v>0.17632136449250416</v>
      </c>
      <c r="W50" s="25"/>
      <c r="X50" s="5"/>
    </row>
    <row r="51" spans="1:25" ht="15.75" x14ac:dyDescent="0.25">
      <c r="A51" s="24"/>
      <c r="B51" s="25" t="s">
        <v>170</v>
      </c>
      <c r="C51" s="25"/>
      <c r="D51" s="25"/>
      <c r="E51" s="25"/>
      <c r="F51" s="41"/>
      <c r="G51" s="25"/>
      <c r="H51" s="25"/>
      <c r="I51" s="25"/>
      <c r="J51" s="25"/>
      <c r="K51" s="25"/>
      <c r="L51" s="25"/>
      <c r="M51" s="25"/>
      <c r="N51" s="25"/>
      <c r="O51" s="25"/>
      <c r="P51" s="25"/>
      <c r="Q51" s="25"/>
      <c r="R51" s="25"/>
      <c r="S51" s="25"/>
      <c r="T51" s="25"/>
      <c r="U51" s="25"/>
      <c r="V51" s="39">
        <f>SUM(L36:R36)/SUM(D36:J36)</f>
        <v>0.19264267292067044</v>
      </c>
      <c r="W51" s="25"/>
      <c r="X51" s="5"/>
    </row>
    <row r="52" spans="1:25" ht="15.75" x14ac:dyDescent="0.25">
      <c r="A52" s="24"/>
      <c r="B52" s="25" t="s">
        <v>171</v>
      </c>
      <c r="C52" s="25"/>
      <c r="D52" s="25"/>
      <c r="E52" s="25"/>
      <c r="F52" s="25"/>
      <c r="G52" s="25"/>
      <c r="H52" s="25"/>
      <c r="I52" s="25"/>
      <c r="J52" s="25"/>
      <c r="K52" s="25"/>
      <c r="L52" s="25"/>
      <c r="M52" s="25"/>
      <c r="N52" s="25"/>
      <c r="O52" s="25"/>
      <c r="P52" s="25"/>
      <c r="Q52" s="25"/>
      <c r="R52" s="25"/>
      <c r="S52" s="25"/>
      <c r="T52" s="30"/>
      <c r="U52" s="30"/>
      <c r="V52" s="31" t="s">
        <v>268</v>
      </c>
      <c r="W52" s="25"/>
      <c r="X52" s="5"/>
    </row>
    <row r="53" spans="1:25" ht="15.75" x14ac:dyDescent="0.25">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75" x14ac:dyDescent="0.25">
      <c r="A54" s="24"/>
      <c r="B54" s="25" t="s">
        <v>202</v>
      </c>
      <c r="C54" s="25"/>
      <c r="D54" s="25"/>
      <c r="E54" s="25"/>
      <c r="F54" s="25"/>
      <c r="G54" s="25"/>
      <c r="H54" s="25"/>
      <c r="I54" s="25"/>
      <c r="J54" s="25"/>
      <c r="K54" s="25"/>
      <c r="L54" s="25"/>
      <c r="M54" s="25"/>
      <c r="N54" s="25"/>
      <c r="O54" s="25"/>
      <c r="P54" s="25"/>
      <c r="Q54" s="25"/>
      <c r="R54" s="25"/>
      <c r="S54" s="25"/>
      <c r="T54" s="25"/>
      <c r="U54" s="25"/>
      <c r="V54" s="152" t="s">
        <v>203</v>
      </c>
      <c r="W54" s="25"/>
      <c r="X54" s="5"/>
    </row>
    <row r="55" spans="1:25" ht="15.75" x14ac:dyDescent="0.25">
      <c r="A55" s="24"/>
      <c r="B55" s="25" t="s">
        <v>270</v>
      </c>
      <c r="C55" s="25"/>
      <c r="D55" s="25"/>
      <c r="E55" s="25"/>
      <c r="F55" s="25"/>
      <c r="G55" s="25"/>
      <c r="H55" s="25"/>
      <c r="I55" s="25"/>
      <c r="J55" s="25"/>
      <c r="K55" s="25"/>
      <c r="L55" s="25"/>
      <c r="M55" s="25"/>
      <c r="N55" s="25"/>
      <c r="O55" s="25"/>
      <c r="P55" s="25"/>
      <c r="Q55" s="25"/>
      <c r="R55" s="25"/>
      <c r="S55" s="25"/>
      <c r="T55" s="30"/>
      <c r="U55" s="30"/>
      <c r="V55" s="153" t="s">
        <v>111</v>
      </c>
      <c r="W55" s="25"/>
      <c r="X55" s="5"/>
    </row>
    <row r="56" spans="1:25" ht="15.75" x14ac:dyDescent="0.25">
      <c r="A56" s="24"/>
      <c r="B56" s="29" t="s">
        <v>201</v>
      </c>
      <c r="C56" s="29"/>
      <c r="D56" s="29"/>
      <c r="E56" s="29"/>
      <c r="F56" s="29"/>
      <c r="G56" s="29"/>
      <c r="H56" s="29"/>
      <c r="I56" s="29"/>
      <c r="J56" s="29"/>
      <c r="K56" s="29"/>
      <c r="L56" s="29"/>
      <c r="M56" s="29"/>
      <c r="N56" s="29"/>
      <c r="O56" s="29"/>
      <c r="P56" s="29"/>
      <c r="Q56" s="29"/>
      <c r="R56" s="29"/>
      <c r="S56" s="29"/>
      <c r="T56" s="43"/>
      <c r="U56" s="43"/>
      <c r="V56" s="44">
        <v>39706</v>
      </c>
      <c r="W56" s="25"/>
      <c r="X56" s="5"/>
    </row>
    <row r="57" spans="1:25" ht="15.75" x14ac:dyDescent="0.25">
      <c r="A57" s="24"/>
      <c r="B57" s="25" t="s">
        <v>121</v>
      </c>
      <c r="C57" s="25"/>
      <c r="D57" s="25"/>
      <c r="E57" s="25"/>
      <c r="F57" s="25"/>
      <c r="G57" s="25"/>
      <c r="H57" s="58"/>
      <c r="I57" s="58"/>
      <c r="J57" s="58"/>
      <c r="K57" s="58"/>
      <c r="L57" s="58"/>
      <c r="M57" s="58"/>
      <c r="N57" s="58"/>
      <c r="O57" s="58"/>
      <c r="P57" s="58"/>
      <c r="Q57" s="58"/>
      <c r="R57" s="25">
        <f>+V57-T57+1</f>
        <v>91</v>
      </c>
      <c r="S57" s="58"/>
      <c r="T57" s="45">
        <v>39524</v>
      </c>
      <c r="U57" s="46"/>
      <c r="V57" s="45">
        <v>39614</v>
      </c>
      <c r="W57" s="25"/>
      <c r="X57" s="5"/>
    </row>
    <row r="58" spans="1:25" ht="15.75" x14ac:dyDescent="0.25">
      <c r="A58" s="24"/>
      <c r="B58" s="25" t="s">
        <v>122</v>
      </c>
      <c r="C58" s="25"/>
      <c r="D58" s="25"/>
      <c r="E58" s="25"/>
      <c r="F58" s="25"/>
      <c r="G58" s="25"/>
      <c r="H58" s="25"/>
      <c r="I58" s="25"/>
      <c r="J58" s="25"/>
      <c r="K58" s="25"/>
      <c r="L58" s="25"/>
      <c r="M58" s="25"/>
      <c r="N58" s="25"/>
      <c r="O58" s="25"/>
      <c r="P58" s="25"/>
      <c r="Q58" s="25"/>
      <c r="R58" s="25">
        <f>+V58-T58+1</f>
        <v>91</v>
      </c>
      <c r="S58" s="25"/>
      <c r="T58" s="45">
        <v>39615</v>
      </c>
      <c r="U58" s="46"/>
      <c r="V58" s="45">
        <v>39705</v>
      </c>
      <c r="W58" s="25"/>
      <c r="X58" s="5"/>
    </row>
    <row r="59" spans="1:25" ht="15.75" x14ac:dyDescent="0.25">
      <c r="A59" s="24"/>
      <c r="B59" s="25" t="s">
        <v>223</v>
      </c>
      <c r="C59" s="25"/>
      <c r="D59" s="25"/>
      <c r="E59" s="25"/>
      <c r="F59" s="25"/>
      <c r="G59" s="25"/>
      <c r="H59" s="25"/>
      <c r="I59" s="25"/>
      <c r="J59" s="25"/>
      <c r="K59" s="25"/>
      <c r="L59" s="25"/>
      <c r="M59" s="25"/>
      <c r="N59" s="25"/>
      <c r="O59" s="25"/>
      <c r="P59" s="25"/>
      <c r="Q59" s="25"/>
      <c r="R59" s="25"/>
      <c r="S59" s="25"/>
      <c r="T59" s="45"/>
      <c r="U59" s="46"/>
      <c r="V59" s="45" t="s">
        <v>120</v>
      </c>
      <c r="W59" s="25"/>
      <c r="X59" s="5"/>
    </row>
    <row r="60" spans="1:25" ht="15.75" x14ac:dyDescent="0.25">
      <c r="A60" s="24"/>
      <c r="B60" s="25" t="s">
        <v>271</v>
      </c>
      <c r="C60" s="25"/>
      <c r="D60" s="25"/>
      <c r="E60" s="25"/>
      <c r="F60" s="25"/>
      <c r="G60" s="25"/>
      <c r="H60" s="25"/>
      <c r="I60" s="25"/>
      <c r="J60" s="25"/>
      <c r="K60" s="25"/>
      <c r="L60" s="25"/>
      <c r="M60" s="25"/>
      <c r="N60" s="25"/>
      <c r="O60" s="25"/>
      <c r="P60" s="25"/>
      <c r="Q60" s="25"/>
      <c r="R60" s="25"/>
      <c r="S60" s="25"/>
      <c r="T60" s="45"/>
      <c r="U60" s="46"/>
      <c r="V60" s="45" t="s">
        <v>154</v>
      </c>
      <c r="W60" s="25"/>
      <c r="X60" s="5"/>
      <c r="Y60" s="133"/>
    </row>
    <row r="61" spans="1:25" ht="15.75" x14ac:dyDescent="0.25">
      <c r="A61" s="24"/>
      <c r="B61" s="25" t="s">
        <v>16</v>
      </c>
      <c r="C61" s="25"/>
      <c r="D61" s="25"/>
      <c r="E61" s="25"/>
      <c r="F61" s="25"/>
      <c r="G61" s="25"/>
      <c r="H61" s="25"/>
      <c r="I61" s="25"/>
      <c r="J61" s="25"/>
      <c r="K61" s="25"/>
      <c r="L61" s="25"/>
      <c r="M61" s="25"/>
      <c r="N61" s="25"/>
      <c r="O61" s="25"/>
      <c r="P61" s="25"/>
      <c r="Q61" s="25"/>
      <c r="R61" s="25"/>
      <c r="S61" s="25"/>
      <c r="T61" s="45"/>
      <c r="U61" s="46"/>
      <c r="V61" s="45">
        <v>39692</v>
      </c>
      <c r="W61" s="25"/>
      <c r="X61" s="5"/>
    </row>
    <row r="62" spans="1:25" ht="15.75" x14ac:dyDescent="0.25">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75" x14ac:dyDescent="0.25">
      <c r="A63" s="6"/>
      <c r="B63" s="8"/>
      <c r="C63" s="8"/>
      <c r="D63" s="8"/>
      <c r="E63" s="8"/>
      <c r="F63" s="8"/>
      <c r="G63" s="8"/>
      <c r="H63" s="8"/>
      <c r="I63" s="8"/>
      <c r="J63" s="8"/>
      <c r="K63" s="8"/>
      <c r="L63" s="8"/>
      <c r="M63" s="8"/>
      <c r="N63" s="8"/>
      <c r="O63" s="8"/>
      <c r="P63" s="8"/>
      <c r="Q63" s="8"/>
      <c r="R63" s="8"/>
      <c r="S63" s="8"/>
      <c r="T63" s="47"/>
      <c r="U63" s="48"/>
      <c r="V63" s="47"/>
      <c r="W63" s="8"/>
      <c r="X63" s="5"/>
    </row>
    <row r="64" spans="1:25" ht="19.5" thickBot="1" x14ac:dyDescent="0.35">
      <c r="A64" s="101"/>
      <c r="B64" s="102" t="s">
        <v>277</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75" x14ac:dyDescent="0.25">
      <c r="A65" s="2"/>
      <c r="B65" s="4"/>
      <c r="C65" s="4"/>
      <c r="D65" s="4"/>
      <c r="E65" s="4"/>
      <c r="F65" s="4"/>
      <c r="G65" s="4"/>
      <c r="H65" s="4"/>
      <c r="I65" s="4"/>
      <c r="J65" s="4"/>
      <c r="K65" s="4"/>
      <c r="L65" s="4"/>
      <c r="M65" s="4"/>
      <c r="N65" s="4"/>
      <c r="O65" s="4"/>
      <c r="P65" s="4"/>
      <c r="Q65" s="4"/>
      <c r="R65" s="4"/>
      <c r="S65" s="4"/>
      <c r="T65" s="4"/>
      <c r="U65" s="4"/>
      <c r="V65" s="50"/>
      <c r="W65" s="4"/>
      <c r="X65" s="5"/>
    </row>
    <row r="66" spans="1:24" ht="15.75" x14ac:dyDescent="0.25">
      <c r="A66" s="6"/>
      <c r="B66" s="51" t="s">
        <v>17</v>
      </c>
      <c r="C66" s="8"/>
      <c r="D66" s="8"/>
      <c r="E66" s="8"/>
      <c r="F66" s="8"/>
      <c r="G66" s="8"/>
      <c r="H66" s="8"/>
      <c r="I66" s="8"/>
      <c r="J66" s="8"/>
      <c r="K66" s="8"/>
      <c r="L66" s="8"/>
      <c r="M66" s="8"/>
      <c r="N66" s="8"/>
      <c r="O66" s="8"/>
      <c r="P66" s="8"/>
      <c r="Q66" s="8"/>
      <c r="R66" s="8"/>
      <c r="S66" s="8"/>
      <c r="T66" s="8"/>
      <c r="U66" s="8"/>
      <c r="V66" s="52"/>
      <c r="W66" s="8"/>
      <c r="X66" s="5"/>
    </row>
    <row r="67" spans="1:24" ht="15.75" x14ac:dyDescent="0.25">
      <c r="A67" s="6"/>
      <c r="B67" s="13"/>
      <c r="C67" s="8"/>
      <c r="D67" s="8"/>
      <c r="E67" s="8"/>
      <c r="F67" s="8"/>
      <c r="G67" s="8"/>
      <c r="H67" s="8"/>
      <c r="I67" s="8"/>
      <c r="J67" s="8"/>
      <c r="K67" s="8"/>
      <c r="L67" s="8"/>
      <c r="M67" s="8"/>
      <c r="N67" s="8"/>
      <c r="O67" s="8"/>
      <c r="P67" s="8"/>
      <c r="Q67" s="8"/>
      <c r="R67" s="8"/>
      <c r="S67" s="8"/>
      <c r="T67" s="8"/>
      <c r="U67" s="8"/>
      <c r="V67" s="52"/>
      <c r="W67" s="8"/>
      <c r="X67" s="5"/>
    </row>
    <row r="68" spans="1:24" ht="47.25" x14ac:dyDescent="0.25">
      <c r="A68" s="6"/>
      <c r="B68" s="114" t="s">
        <v>18</v>
      </c>
      <c r="C68" s="115"/>
      <c r="D68" s="115"/>
      <c r="E68" s="115"/>
      <c r="F68" s="115"/>
      <c r="G68" s="115"/>
      <c r="H68" s="115"/>
      <c r="I68" s="115"/>
      <c r="J68" s="115"/>
      <c r="K68" s="115"/>
      <c r="L68" s="115" t="s">
        <v>94</v>
      </c>
      <c r="M68" s="115"/>
      <c r="N68" s="115" t="s">
        <v>96</v>
      </c>
      <c r="O68" s="115"/>
      <c r="P68" s="115" t="s">
        <v>98</v>
      </c>
      <c r="Q68" s="115"/>
      <c r="R68" s="115" t="s">
        <v>100</v>
      </c>
      <c r="S68" s="115"/>
      <c r="T68" s="115" t="s">
        <v>106</v>
      </c>
      <c r="U68" s="115"/>
      <c r="V68" s="116" t="s">
        <v>112</v>
      </c>
      <c r="W68" s="117"/>
      <c r="X68" s="5"/>
    </row>
    <row r="69" spans="1:24" ht="15.75" x14ac:dyDescent="0.25">
      <c r="A69" s="24"/>
      <c r="B69" s="25" t="s">
        <v>19</v>
      </c>
      <c r="C69" s="34"/>
      <c r="D69" s="34"/>
      <c r="E69" s="34"/>
      <c r="F69" s="34"/>
      <c r="G69" s="34"/>
      <c r="H69" s="34"/>
      <c r="I69" s="34"/>
      <c r="J69" s="34"/>
      <c r="K69" s="34"/>
      <c r="L69" s="34">
        <v>812446</v>
      </c>
      <c r="M69" s="34"/>
      <c r="N69" s="53">
        <v>977183</v>
      </c>
      <c r="O69" s="34"/>
      <c r="P69" s="34">
        <f>48156+1179+369</f>
        <v>49704</v>
      </c>
      <c r="Q69" s="34"/>
      <c r="R69" s="34">
        <f>1179+369</f>
        <v>1548</v>
      </c>
      <c r="S69" s="34"/>
      <c r="T69" s="34">
        <v>0</v>
      </c>
      <c r="U69" s="34"/>
      <c r="V69" s="53">
        <f>+N69-P69+R69-T69</f>
        <v>929027</v>
      </c>
      <c r="W69" s="25"/>
      <c r="X69" s="5"/>
    </row>
    <row r="70" spans="1:24" ht="15.75" x14ac:dyDescent="0.25">
      <c r="A70" s="24"/>
      <c r="B70" s="25" t="s">
        <v>20</v>
      </c>
      <c r="C70" s="34"/>
      <c r="D70" s="34"/>
      <c r="E70" s="34"/>
      <c r="F70" s="34"/>
      <c r="G70" s="34"/>
      <c r="H70" s="34"/>
      <c r="I70" s="34"/>
      <c r="J70" s="34"/>
      <c r="K70" s="34"/>
      <c r="L70" s="34">
        <v>0</v>
      </c>
      <c r="M70" s="34"/>
      <c r="N70" s="53">
        <v>0</v>
      </c>
      <c r="O70" s="34"/>
      <c r="P70" s="34">
        <v>0</v>
      </c>
      <c r="Q70" s="34"/>
      <c r="R70" s="34">
        <v>0</v>
      </c>
      <c r="S70" s="34"/>
      <c r="T70" s="34">
        <v>0</v>
      </c>
      <c r="U70" s="34"/>
      <c r="V70" s="53">
        <f>+L70-P70</f>
        <v>0</v>
      </c>
      <c r="W70" s="25"/>
      <c r="X70" s="5"/>
    </row>
    <row r="71" spans="1:24" ht="15.75" x14ac:dyDescent="0.25">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75" x14ac:dyDescent="0.25">
      <c r="A72" s="24"/>
      <c r="B72" s="25" t="s">
        <v>21</v>
      </c>
      <c r="C72" s="34"/>
      <c r="D72" s="34"/>
      <c r="E72" s="34"/>
      <c r="F72" s="34"/>
      <c r="G72" s="34"/>
      <c r="H72" s="34"/>
      <c r="I72" s="34"/>
      <c r="J72" s="34"/>
      <c r="K72" s="34"/>
      <c r="L72" s="34">
        <f>SUM(L69:L71)</f>
        <v>812446</v>
      </c>
      <c r="M72" s="34"/>
      <c r="N72" s="54">
        <f>N69+N70</f>
        <v>977183</v>
      </c>
      <c r="O72" s="34"/>
      <c r="P72" s="34">
        <f>SUM(P69:P71)</f>
        <v>49704</v>
      </c>
      <c r="Q72" s="34"/>
      <c r="R72" s="34">
        <f>SUM(R69:R71)</f>
        <v>1548</v>
      </c>
      <c r="S72" s="34"/>
      <c r="T72" s="34">
        <f>SUM(T69:T71)</f>
        <v>0</v>
      </c>
      <c r="U72" s="34"/>
      <c r="V72" s="54">
        <f>SUM(V69:V71)</f>
        <v>929027</v>
      </c>
      <c r="W72" s="25"/>
      <c r="X72" s="5"/>
    </row>
    <row r="73" spans="1:24" ht="15.75" x14ac:dyDescent="0.25">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75" x14ac:dyDescent="0.25">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75" x14ac:dyDescent="0.25">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75" x14ac:dyDescent="0.25">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75" x14ac:dyDescent="0.25">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75" x14ac:dyDescent="0.25">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75" x14ac:dyDescent="0.25">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75" x14ac:dyDescent="0.25">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75" x14ac:dyDescent="0.25">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75" x14ac:dyDescent="0.25">
      <c r="A82" s="24"/>
      <c r="B82" s="25" t="s">
        <v>117</v>
      </c>
      <c r="C82" s="34"/>
      <c r="D82" s="34"/>
      <c r="E82" s="34"/>
      <c r="F82" s="34"/>
      <c r="G82" s="34"/>
      <c r="H82" s="34"/>
      <c r="I82" s="34"/>
      <c r="J82" s="34"/>
      <c r="K82" s="34"/>
      <c r="L82" s="34">
        <v>188687</v>
      </c>
      <c r="M82" s="34"/>
      <c r="N82" s="34">
        <v>0</v>
      </c>
      <c r="O82" s="34"/>
      <c r="P82" s="34">
        <v>0</v>
      </c>
      <c r="Q82" s="34"/>
      <c r="R82" s="34"/>
      <c r="S82" s="34"/>
      <c r="T82" s="34"/>
      <c r="U82" s="34"/>
      <c r="V82" s="54">
        <f>SUM(N82:R82)</f>
        <v>0</v>
      </c>
      <c r="W82" s="25"/>
      <c r="X82" s="5"/>
    </row>
    <row r="83" spans="1:24" ht="15.75" x14ac:dyDescent="0.25">
      <c r="A83" s="24"/>
      <c r="B83" s="25" t="s">
        <v>146</v>
      </c>
      <c r="C83" s="34"/>
      <c r="D83" s="34"/>
      <c r="E83" s="34"/>
      <c r="F83" s="34"/>
      <c r="G83" s="34"/>
      <c r="H83" s="34"/>
      <c r="I83" s="34"/>
      <c r="J83" s="34"/>
      <c r="K83" s="34"/>
      <c r="L83" s="34">
        <v>0</v>
      </c>
      <c r="M83" s="34"/>
      <c r="N83" s="34">
        <v>0</v>
      </c>
      <c r="O83" s="34"/>
      <c r="P83" s="34">
        <v>0</v>
      </c>
      <c r="Q83" s="34"/>
      <c r="R83" s="34"/>
      <c r="S83" s="34"/>
      <c r="T83" s="34"/>
      <c r="U83" s="34"/>
      <c r="V83" s="54">
        <f>+N83+P83</f>
        <v>0</v>
      </c>
      <c r="W83" s="25"/>
      <c r="X83" s="5"/>
    </row>
    <row r="84" spans="1:24" ht="15.75" x14ac:dyDescent="0.25">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75" x14ac:dyDescent="0.25">
      <c r="A85" s="24"/>
      <c r="B85" s="25" t="s">
        <v>26</v>
      </c>
      <c r="C85" s="34"/>
      <c r="D85" s="34"/>
      <c r="E85" s="34"/>
      <c r="F85" s="54"/>
      <c r="G85" s="34"/>
      <c r="H85" s="54"/>
      <c r="I85" s="54"/>
      <c r="J85" s="54"/>
      <c r="K85" s="54"/>
      <c r="L85" s="54">
        <f>SUM(L72:L84)</f>
        <v>1001133</v>
      </c>
      <c r="M85" s="34"/>
      <c r="N85" s="54">
        <f>SUM(N72:N84)</f>
        <v>977183</v>
      </c>
      <c r="O85" s="34"/>
      <c r="P85" s="34"/>
      <c r="Q85" s="34"/>
      <c r="R85" s="34"/>
      <c r="S85" s="34"/>
      <c r="T85" s="54"/>
      <c r="U85" s="34"/>
      <c r="V85" s="54">
        <f>SUM(V72:V84)</f>
        <v>929027</v>
      </c>
      <c r="W85" s="25"/>
      <c r="X85" s="5"/>
    </row>
    <row r="86" spans="1:24" ht="15.75" x14ac:dyDescent="0.25">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75" x14ac:dyDescent="0.25">
      <c r="A87" s="6"/>
      <c r="B87" s="8"/>
      <c r="C87" s="8"/>
      <c r="D87" s="8"/>
      <c r="E87" s="8"/>
      <c r="F87" s="8"/>
      <c r="G87" s="8"/>
      <c r="H87" s="8"/>
      <c r="I87" s="8"/>
      <c r="J87" s="8"/>
      <c r="K87" s="8"/>
      <c r="L87" s="8"/>
      <c r="M87" s="8"/>
      <c r="N87" s="8"/>
      <c r="O87" s="8"/>
      <c r="P87" s="8"/>
      <c r="Q87" s="8"/>
      <c r="R87" s="8"/>
      <c r="S87" s="8"/>
      <c r="T87" s="8"/>
      <c r="U87" s="8"/>
      <c r="V87" s="8"/>
      <c r="W87" s="8"/>
      <c r="X87" s="5"/>
    </row>
    <row r="88" spans="1:24" ht="15.75" x14ac:dyDescent="0.25">
      <c r="A88" s="6"/>
      <c r="B88" s="51" t="s">
        <v>27</v>
      </c>
      <c r="C88" s="14"/>
      <c r="D88" s="14"/>
      <c r="E88" s="14"/>
      <c r="F88" s="14"/>
      <c r="G88" s="14"/>
      <c r="H88" s="17"/>
      <c r="I88" s="17"/>
      <c r="J88" s="17"/>
      <c r="K88" s="17"/>
      <c r="L88" s="155" t="s">
        <v>95</v>
      </c>
      <c r="M88" s="17"/>
      <c r="N88" s="154">
        <f>+T201</f>
        <v>39691</v>
      </c>
      <c r="O88" s="17"/>
      <c r="P88" s="17"/>
      <c r="Q88" s="17"/>
      <c r="R88" s="17"/>
      <c r="S88" s="17"/>
      <c r="T88" s="17" t="s">
        <v>107</v>
      </c>
      <c r="U88" s="17"/>
      <c r="V88" s="17" t="s">
        <v>113</v>
      </c>
      <c r="W88" s="8"/>
      <c r="X88" s="5"/>
    </row>
    <row r="89" spans="1:24" ht="15.75" x14ac:dyDescent="0.25">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75" x14ac:dyDescent="0.25">
      <c r="A90" s="24"/>
      <c r="B90" s="25" t="s">
        <v>29</v>
      </c>
      <c r="C90" s="25"/>
      <c r="D90" s="25"/>
      <c r="E90" s="25"/>
      <c r="F90" s="25"/>
      <c r="G90" s="25"/>
      <c r="H90" s="40"/>
      <c r="I90" s="40"/>
      <c r="J90" s="40"/>
      <c r="K90" s="57"/>
      <c r="L90" s="40"/>
      <c r="M90" s="25"/>
      <c r="N90" s="127"/>
      <c r="O90" s="25"/>
      <c r="P90" s="25"/>
      <c r="Q90" s="25"/>
      <c r="R90" s="25"/>
      <c r="S90" s="25"/>
      <c r="T90" s="34">
        <f>49704-111</f>
        <v>49593</v>
      </c>
      <c r="U90" s="25"/>
      <c r="V90" s="53"/>
      <c r="W90" s="25"/>
      <c r="X90" s="5"/>
    </row>
    <row r="91" spans="1:24" ht="15.75" x14ac:dyDescent="0.25">
      <c r="A91" s="24"/>
      <c r="B91" s="25" t="s">
        <v>215</v>
      </c>
      <c r="C91" s="25"/>
      <c r="D91" s="25"/>
      <c r="E91" s="25"/>
      <c r="F91" s="25"/>
      <c r="G91" s="25"/>
      <c r="H91" s="40"/>
      <c r="I91" s="40"/>
      <c r="J91" s="40"/>
      <c r="K91" s="57"/>
      <c r="L91" s="40"/>
      <c r="M91" s="25"/>
      <c r="N91" s="127"/>
      <c r="O91" s="25"/>
      <c r="P91" s="25"/>
      <c r="Q91" s="25"/>
      <c r="R91" s="25"/>
      <c r="S91" s="25"/>
      <c r="T91" s="34"/>
      <c r="U91" s="25"/>
      <c r="V91" s="53">
        <f>6547+8168-247-1275+78</f>
        <v>13271</v>
      </c>
      <c r="W91" s="25"/>
      <c r="X91" s="5"/>
    </row>
    <row r="92" spans="1:24" ht="15.75" x14ac:dyDescent="0.25">
      <c r="A92" s="24"/>
      <c r="B92" s="25" t="s">
        <v>210</v>
      </c>
      <c r="C92" s="25"/>
      <c r="D92" s="25"/>
      <c r="E92" s="25"/>
      <c r="F92" s="25"/>
      <c r="G92" s="25"/>
      <c r="H92" s="40"/>
      <c r="I92" s="40"/>
      <c r="J92" s="40"/>
      <c r="K92" s="57"/>
      <c r="L92" s="40"/>
      <c r="M92" s="25"/>
      <c r="N92" s="127"/>
      <c r="O92" s="25"/>
      <c r="P92" s="25"/>
      <c r="Q92" s="25"/>
      <c r="R92" s="25"/>
      <c r="S92" s="25"/>
      <c r="T92" s="34"/>
      <c r="U92" s="25"/>
      <c r="V92" s="53">
        <f>107+181</f>
        <v>288</v>
      </c>
      <c r="W92" s="25"/>
      <c r="X92" s="5"/>
    </row>
    <row r="93" spans="1:24" ht="15.75" x14ac:dyDescent="0.25">
      <c r="A93" s="24"/>
      <c r="B93" s="25" t="s">
        <v>211</v>
      </c>
      <c r="C93" s="25"/>
      <c r="D93" s="25"/>
      <c r="E93" s="25"/>
      <c r="F93" s="25"/>
      <c r="G93" s="25"/>
      <c r="H93" s="40"/>
      <c r="I93" s="40"/>
      <c r="J93" s="40"/>
      <c r="K93" s="57"/>
      <c r="L93" s="40"/>
      <c r="M93" s="25"/>
      <c r="N93" s="127"/>
      <c r="O93" s="25"/>
      <c r="P93" s="25"/>
      <c r="Q93" s="25"/>
      <c r="R93" s="25"/>
      <c r="S93" s="25"/>
      <c r="T93" s="34"/>
      <c r="U93" s="25"/>
      <c r="V93" s="53">
        <v>566</v>
      </c>
      <c r="W93" s="25"/>
      <c r="X93" s="5"/>
    </row>
    <row r="94" spans="1:24" ht="15.75" x14ac:dyDescent="0.25">
      <c r="A94" s="24"/>
      <c r="B94" s="25" t="s">
        <v>233</v>
      </c>
      <c r="C94" s="25"/>
      <c r="D94" s="25"/>
      <c r="E94" s="25"/>
      <c r="F94" s="25"/>
      <c r="G94" s="25"/>
      <c r="H94" s="40"/>
      <c r="I94" s="40"/>
      <c r="J94" s="40"/>
      <c r="K94" s="57"/>
      <c r="L94" s="40"/>
      <c r="M94" s="25"/>
      <c r="N94" s="127"/>
      <c r="O94" s="25"/>
      <c r="P94" s="25"/>
      <c r="Q94" s="25"/>
      <c r="R94" s="25"/>
      <c r="S94" s="25"/>
      <c r="T94" s="34"/>
      <c r="U94" s="25"/>
      <c r="V94" s="53">
        <v>94</v>
      </c>
      <c r="W94" s="25"/>
      <c r="X94" s="5"/>
    </row>
    <row r="95" spans="1:24" ht="15.75" x14ac:dyDescent="0.25">
      <c r="A95" s="24"/>
      <c r="B95" s="25" t="s">
        <v>235</v>
      </c>
      <c r="C95" s="25"/>
      <c r="D95" s="25"/>
      <c r="E95" s="25"/>
      <c r="F95" s="25"/>
      <c r="G95" s="25"/>
      <c r="H95" s="40"/>
      <c r="I95" s="40"/>
      <c r="J95" s="40"/>
      <c r="K95" s="57"/>
      <c r="L95" s="40"/>
      <c r="M95" s="25"/>
      <c r="N95" s="127"/>
      <c r="O95" s="25"/>
      <c r="P95" s="25"/>
      <c r="Q95" s="25"/>
      <c r="R95" s="25"/>
      <c r="S95" s="25"/>
      <c r="T95" s="34"/>
      <c r="U95" s="25"/>
      <c r="V95" s="53">
        <v>656</v>
      </c>
      <c r="W95" s="25"/>
      <c r="X95" s="5"/>
    </row>
    <row r="96" spans="1:24" ht="15.75" x14ac:dyDescent="0.25">
      <c r="A96" s="24"/>
      <c r="B96" s="25" t="s">
        <v>135</v>
      </c>
      <c r="C96" s="25"/>
      <c r="D96" s="25"/>
      <c r="E96" s="25"/>
      <c r="F96" s="25"/>
      <c r="G96" s="25"/>
      <c r="H96" s="25"/>
      <c r="I96" s="25"/>
      <c r="J96" s="25"/>
      <c r="K96" s="25"/>
      <c r="L96" s="25"/>
      <c r="M96" s="25"/>
      <c r="N96" s="25"/>
      <c r="O96" s="25"/>
      <c r="P96" s="25"/>
      <c r="Q96" s="25"/>
      <c r="R96" s="25"/>
      <c r="S96" s="25"/>
      <c r="T96" s="34"/>
      <c r="U96" s="25"/>
      <c r="V96" s="53">
        <v>0</v>
      </c>
      <c r="W96" s="25"/>
      <c r="X96" s="5"/>
    </row>
    <row r="97" spans="1:25" ht="15.75" x14ac:dyDescent="0.25">
      <c r="A97" s="24"/>
      <c r="B97" s="25" t="s">
        <v>272</v>
      </c>
      <c r="C97" s="25"/>
      <c r="D97" s="25"/>
      <c r="E97" s="25"/>
      <c r="F97" s="25"/>
      <c r="G97" s="25"/>
      <c r="H97" s="25"/>
      <c r="I97" s="25"/>
      <c r="J97" s="25"/>
      <c r="K97" s="25"/>
      <c r="L97" s="25"/>
      <c r="M97" s="25"/>
      <c r="N97" s="25"/>
      <c r="O97" s="25"/>
      <c r="P97" s="25"/>
      <c r="Q97" s="25"/>
      <c r="R97" s="25"/>
      <c r="S97" s="25"/>
      <c r="T97" s="34"/>
      <c r="U97" s="25"/>
      <c r="V97" s="53">
        <v>4081</v>
      </c>
      <c r="W97" s="25"/>
      <c r="X97" s="5"/>
    </row>
    <row r="98" spans="1:25" ht="15.75" x14ac:dyDescent="0.25">
      <c r="A98" s="24"/>
      <c r="B98" s="25" t="s">
        <v>30</v>
      </c>
      <c r="C98" s="25"/>
      <c r="D98" s="25"/>
      <c r="E98" s="25"/>
      <c r="F98" s="25"/>
      <c r="G98" s="25"/>
      <c r="H98" s="25"/>
      <c r="I98" s="25"/>
      <c r="J98" s="25"/>
      <c r="K98" s="25"/>
      <c r="L98" s="25"/>
      <c r="M98" s="25"/>
      <c r="N98" s="25"/>
      <c r="O98" s="25"/>
      <c r="P98" s="25"/>
      <c r="Q98" s="25"/>
      <c r="R98" s="25"/>
      <c r="S98" s="25"/>
      <c r="T98" s="34">
        <f>SUM(T89:T97)</f>
        <v>49593</v>
      </c>
      <c r="U98" s="25"/>
      <c r="V98" s="54">
        <f>SUM(V89:V97)</f>
        <v>18956</v>
      </c>
      <c r="W98" s="25"/>
      <c r="X98" s="5"/>
    </row>
    <row r="99" spans="1:25" ht="15.75" x14ac:dyDescent="0.25">
      <c r="A99" s="24"/>
      <c r="B99" s="25" t="s">
        <v>161</v>
      </c>
      <c r="C99" s="25"/>
      <c r="D99" s="25"/>
      <c r="E99" s="25"/>
      <c r="F99" s="25"/>
      <c r="G99" s="25"/>
      <c r="H99" s="25"/>
      <c r="I99" s="25"/>
      <c r="J99" s="25"/>
      <c r="K99" s="25"/>
      <c r="L99" s="25"/>
      <c r="M99" s="25"/>
      <c r="N99" s="25"/>
      <c r="O99" s="25"/>
      <c r="P99" s="25"/>
      <c r="Q99" s="25"/>
      <c r="R99" s="25"/>
      <c r="S99" s="25"/>
      <c r="T99" s="34">
        <f>-V99</f>
        <v>-79</v>
      </c>
      <c r="U99" s="25"/>
      <c r="V99" s="54">
        <v>79</v>
      </c>
      <c r="W99" s="25"/>
      <c r="X99" s="5"/>
    </row>
    <row r="100" spans="1:25" ht="15.75" x14ac:dyDescent="0.25">
      <c r="A100" s="24"/>
      <c r="B100" s="25" t="s">
        <v>31</v>
      </c>
      <c r="C100" s="25"/>
      <c r="D100" s="25"/>
      <c r="E100" s="25"/>
      <c r="F100" s="25"/>
      <c r="G100" s="25"/>
      <c r="H100" s="25"/>
      <c r="I100" s="25"/>
      <c r="J100" s="25"/>
      <c r="K100" s="25"/>
      <c r="L100" s="25"/>
      <c r="M100" s="25"/>
      <c r="N100" s="25"/>
      <c r="O100" s="25"/>
      <c r="P100" s="25"/>
      <c r="Q100" s="25"/>
      <c r="R100" s="25"/>
      <c r="S100" s="25"/>
      <c r="T100" s="34">
        <f>-V100</f>
        <v>0</v>
      </c>
      <c r="U100" s="25"/>
      <c r="V100" s="53">
        <v>0</v>
      </c>
      <c r="W100" s="25"/>
      <c r="X100" s="5"/>
    </row>
    <row r="101" spans="1:25" ht="15.75" x14ac:dyDescent="0.25">
      <c r="A101" s="24"/>
      <c r="B101" s="25" t="s">
        <v>274</v>
      </c>
      <c r="C101" s="25"/>
      <c r="D101" s="25"/>
      <c r="E101" s="25"/>
      <c r="F101" s="25"/>
      <c r="G101" s="25"/>
      <c r="H101" s="25"/>
      <c r="I101" s="25"/>
      <c r="J101" s="25"/>
      <c r="K101" s="25"/>
      <c r="L101" s="25"/>
      <c r="M101" s="25"/>
      <c r="N101" s="25"/>
      <c r="O101" s="25"/>
      <c r="P101" s="25"/>
      <c r="Q101" s="25"/>
      <c r="R101" s="25"/>
      <c r="S101" s="25"/>
      <c r="T101" s="34"/>
      <c r="U101" s="25"/>
      <c r="V101" s="53">
        <v>0</v>
      </c>
      <c r="W101" s="25"/>
      <c r="X101" s="5"/>
    </row>
    <row r="102" spans="1:25" ht="15.75" x14ac:dyDescent="0.25">
      <c r="A102" s="24"/>
      <c r="B102" s="25" t="s">
        <v>32</v>
      </c>
      <c r="C102" s="25"/>
      <c r="D102" s="25"/>
      <c r="E102" s="25"/>
      <c r="F102" s="25"/>
      <c r="G102" s="25"/>
      <c r="H102" s="25"/>
      <c r="I102" s="25"/>
      <c r="J102" s="25"/>
      <c r="K102" s="25"/>
      <c r="L102" s="25"/>
      <c r="M102" s="25"/>
      <c r="N102" s="25"/>
      <c r="O102" s="25"/>
      <c r="P102" s="25"/>
      <c r="Q102" s="25"/>
      <c r="R102" s="25"/>
      <c r="S102" s="25"/>
      <c r="T102" s="34">
        <f>T98+T100+T99</f>
        <v>49514</v>
      </c>
      <c r="U102" s="25"/>
      <c r="V102" s="54">
        <f>V98+V100+V99+V101</f>
        <v>19035</v>
      </c>
      <c r="W102" s="25"/>
      <c r="X102" s="5"/>
    </row>
    <row r="103" spans="1:25" ht="15.75" x14ac:dyDescent="0.25">
      <c r="A103" s="24"/>
      <c r="B103" s="118" t="s">
        <v>33</v>
      </c>
      <c r="C103" s="25"/>
      <c r="D103" s="25"/>
      <c r="E103" s="25"/>
      <c r="F103" s="25"/>
      <c r="G103" s="25"/>
      <c r="H103" s="25"/>
      <c r="I103" s="25"/>
      <c r="J103" s="25"/>
      <c r="K103" s="25"/>
      <c r="L103" s="25"/>
      <c r="M103" s="25"/>
      <c r="N103" s="25"/>
      <c r="O103" s="25"/>
      <c r="P103" s="25"/>
      <c r="Q103" s="25"/>
      <c r="R103" s="25"/>
      <c r="S103" s="25"/>
      <c r="T103" s="34"/>
      <c r="U103" s="25"/>
      <c r="V103" s="53"/>
      <c r="W103" s="25"/>
      <c r="X103" s="5"/>
    </row>
    <row r="104" spans="1:25" ht="15.75" x14ac:dyDescent="0.25">
      <c r="A104" s="24">
        <v>1</v>
      </c>
      <c r="B104" s="25" t="s">
        <v>34</v>
      </c>
      <c r="C104" s="25"/>
      <c r="D104" s="25"/>
      <c r="E104" s="25"/>
      <c r="F104" s="25"/>
      <c r="G104" s="25"/>
      <c r="H104" s="25"/>
      <c r="I104" s="25"/>
      <c r="J104" s="25"/>
      <c r="K104" s="25"/>
      <c r="L104" s="25"/>
      <c r="M104" s="25"/>
      <c r="N104" s="25"/>
      <c r="O104" s="25"/>
      <c r="P104" s="25"/>
      <c r="Q104" s="25"/>
      <c r="R104" s="25"/>
      <c r="S104" s="25"/>
      <c r="T104" s="25"/>
      <c r="U104" s="25"/>
      <c r="V104" s="53">
        <v>0</v>
      </c>
      <c r="W104" s="25"/>
      <c r="X104" s="5"/>
    </row>
    <row r="105" spans="1:25" ht="15.75" x14ac:dyDescent="0.25">
      <c r="A105" s="24">
        <f>+A104+1</f>
        <v>2</v>
      </c>
      <c r="B105" s="25" t="s">
        <v>221</v>
      </c>
      <c r="C105" s="25"/>
      <c r="D105" s="25"/>
      <c r="E105" s="25"/>
      <c r="F105" s="25"/>
      <c r="G105" s="25"/>
      <c r="H105" s="25"/>
      <c r="I105" s="25"/>
      <c r="J105" s="25"/>
      <c r="K105" s="25"/>
      <c r="L105" s="25"/>
      <c r="M105" s="25"/>
      <c r="N105" s="25"/>
      <c r="O105" s="25"/>
      <c r="P105" s="25"/>
      <c r="Q105" s="25"/>
      <c r="R105" s="25"/>
      <c r="S105" s="25"/>
      <c r="T105" s="25"/>
      <c r="U105" s="25"/>
      <c r="V105" s="53">
        <v>-2</v>
      </c>
      <c r="W105" s="25"/>
      <c r="X105" s="5"/>
    </row>
    <row r="106" spans="1:25" ht="15.75" x14ac:dyDescent="0.25">
      <c r="A106" s="24">
        <f>+A105+1</f>
        <v>3</v>
      </c>
      <c r="B106" s="25" t="s">
        <v>204</v>
      </c>
      <c r="C106" s="25"/>
      <c r="D106" s="25"/>
      <c r="E106" s="25"/>
      <c r="F106" s="25"/>
      <c r="G106" s="25"/>
      <c r="H106" s="25"/>
      <c r="I106" s="25"/>
      <c r="J106" s="25"/>
      <c r="K106" s="25"/>
      <c r="L106" s="25"/>
      <c r="M106" s="25"/>
      <c r="N106" s="25"/>
      <c r="O106" s="25"/>
      <c r="P106" s="25"/>
      <c r="Q106" s="25"/>
      <c r="R106" s="25"/>
      <c r="S106" s="25"/>
      <c r="T106" s="25"/>
      <c r="U106" s="25"/>
      <c r="V106" s="53">
        <f>-370-68-12</f>
        <v>-450</v>
      </c>
      <c r="W106" s="25"/>
      <c r="X106" s="5"/>
    </row>
    <row r="107" spans="1:25" ht="15.75" x14ac:dyDescent="0.25">
      <c r="A107" s="24" t="s">
        <v>127</v>
      </c>
      <c r="B107" s="25" t="s">
        <v>116</v>
      </c>
      <c r="C107" s="25"/>
      <c r="D107" s="25"/>
      <c r="E107" s="25"/>
      <c r="F107" s="25"/>
      <c r="G107" s="25"/>
      <c r="H107" s="25"/>
      <c r="I107" s="25"/>
      <c r="J107" s="25"/>
      <c r="K107" s="25"/>
      <c r="L107" s="25"/>
      <c r="M107" s="25"/>
      <c r="N107" s="25"/>
      <c r="O107" s="25"/>
      <c r="P107" s="25"/>
      <c r="Q107" s="25"/>
      <c r="R107" s="25"/>
      <c r="S107" s="25"/>
      <c r="T107" s="25"/>
      <c r="U107" s="25"/>
      <c r="V107" s="53">
        <v>0</v>
      </c>
      <c r="W107" s="25"/>
      <c r="X107" s="5"/>
    </row>
    <row r="108" spans="1:25" ht="15.75" x14ac:dyDescent="0.25">
      <c r="A108" s="24" t="s">
        <v>128</v>
      </c>
      <c r="B108" s="25" t="s">
        <v>220</v>
      </c>
      <c r="C108" s="25"/>
      <c r="D108" s="25"/>
      <c r="E108" s="25"/>
      <c r="F108" s="25"/>
      <c r="G108" s="25"/>
      <c r="H108" s="25"/>
      <c r="I108" s="25"/>
      <c r="J108" s="25"/>
      <c r="K108" s="25"/>
      <c r="L108" s="25"/>
      <c r="M108" s="25"/>
      <c r="N108" s="25"/>
      <c r="O108" s="25"/>
      <c r="P108" s="25"/>
      <c r="Q108" s="25"/>
      <c r="R108" s="25"/>
      <c r="S108" s="25"/>
      <c r="T108" s="25"/>
      <c r="U108" s="25"/>
      <c r="V108" s="53">
        <f>-12526+3089</f>
        <v>-9437</v>
      </c>
      <c r="W108" s="25"/>
      <c r="X108" s="5"/>
      <c r="Y108" s="109"/>
    </row>
    <row r="109" spans="1:25" ht="15.75" x14ac:dyDescent="0.25">
      <c r="A109" s="24" t="s">
        <v>150</v>
      </c>
      <c r="B109" s="25" t="s">
        <v>184</v>
      </c>
      <c r="C109" s="25"/>
      <c r="D109" s="25"/>
      <c r="E109" s="25"/>
      <c r="F109" s="25"/>
      <c r="G109" s="25"/>
      <c r="H109" s="25"/>
      <c r="I109" s="25"/>
      <c r="J109" s="25"/>
      <c r="K109" s="25"/>
      <c r="L109" s="25"/>
      <c r="M109" s="25"/>
      <c r="N109" s="25"/>
      <c r="O109" s="25"/>
      <c r="P109" s="25"/>
      <c r="Q109" s="25"/>
      <c r="R109" s="25"/>
      <c r="S109" s="25"/>
      <c r="T109" s="25"/>
      <c r="U109" s="25"/>
      <c r="V109" s="53">
        <f>-3089</f>
        <v>-3089</v>
      </c>
      <c r="W109" s="25"/>
      <c r="X109" s="5"/>
      <c r="Y109" s="109"/>
    </row>
    <row r="110" spans="1:25" ht="15.75" x14ac:dyDescent="0.25">
      <c r="A110" s="24" t="s">
        <v>205</v>
      </c>
      <c r="B110" s="25" t="s">
        <v>185</v>
      </c>
      <c r="C110" s="25"/>
      <c r="D110" s="25"/>
      <c r="E110" s="25"/>
      <c r="F110" s="25"/>
      <c r="G110" s="25"/>
      <c r="H110" s="25"/>
      <c r="I110" s="25"/>
      <c r="J110" s="25"/>
      <c r="K110" s="25"/>
      <c r="L110" s="25"/>
      <c r="M110" s="25"/>
      <c r="N110" s="25"/>
      <c r="O110" s="25"/>
      <c r="P110" s="25"/>
      <c r="Q110" s="25"/>
      <c r="R110" s="25"/>
      <c r="S110" s="25"/>
      <c r="T110" s="25"/>
      <c r="U110" s="25"/>
      <c r="V110" s="53">
        <v>-906</v>
      </c>
      <c r="W110" s="25"/>
      <c r="X110" s="5"/>
      <c r="Y110" s="109"/>
    </row>
    <row r="111" spans="1:25" ht="15.75" x14ac:dyDescent="0.25">
      <c r="A111" s="24" t="s">
        <v>206</v>
      </c>
      <c r="B111" s="25" t="s">
        <v>186</v>
      </c>
      <c r="C111" s="25"/>
      <c r="D111" s="25"/>
      <c r="E111" s="25"/>
      <c r="F111" s="25"/>
      <c r="G111" s="25"/>
      <c r="H111" s="25"/>
      <c r="I111" s="25"/>
      <c r="J111" s="25"/>
      <c r="K111" s="25"/>
      <c r="L111" s="25"/>
      <c r="M111" s="25"/>
      <c r="N111" s="25"/>
      <c r="O111" s="25"/>
      <c r="P111" s="25"/>
      <c r="Q111" s="25"/>
      <c r="R111" s="25"/>
      <c r="S111" s="25"/>
      <c r="T111" s="25"/>
      <c r="U111" s="25"/>
      <c r="V111" s="53">
        <f>-1170+906</f>
        <v>-264</v>
      </c>
      <c r="W111" s="25"/>
      <c r="X111" s="5"/>
      <c r="Y111" s="109"/>
    </row>
    <row r="112" spans="1:25" ht="15.75" x14ac:dyDescent="0.25">
      <c r="A112" s="24">
        <v>6</v>
      </c>
      <c r="B112" s="25" t="s">
        <v>196</v>
      </c>
      <c r="C112" s="25"/>
      <c r="D112" s="25"/>
      <c r="E112" s="25"/>
      <c r="F112" s="25"/>
      <c r="G112" s="25"/>
      <c r="H112" s="25"/>
      <c r="I112" s="25"/>
      <c r="J112" s="25"/>
      <c r="K112" s="25"/>
      <c r="L112" s="25"/>
      <c r="M112" s="25"/>
      <c r="N112" s="25"/>
      <c r="O112" s="25"/>
      <c r="P112" s="25"/>
      <c r="Q112" s="25"/>
      <c r="R112" s="25"/>
      <c r="S112" s="25"/>
      <c r="T112" s="25"/>
      <c r="U112" s="25"/>
      <c r="V112" s="53">
        <v>-1229</v>
      </c>
      <c r="W112" s="25"/>
      <c r="X112" s="5"/>
      <c r="Y112" s="109"/>
    </row>
    <row r="113" spans="1:24" ht="15.75" x14ac:dyDescent="0.25">
      <c r="A113" s="24">
        <v>7</v>
      </c>
      <c r="B113" s="25" t="s">
        <v>35</v>
      </c>
      <c r="C113" s="25"/>
      <c r="D113" s="25"/>
      <c r="E113" s="25"/>
      <c r="F113" s="25"/>
      <c r="G113" s="25"/>
      <c r="H113" s="25"/>
      <c r="I113" s="25"/>
      <c r="J113" s="25"/>
      <c r="K113" s="25"/>
      <c r="L113" s="25"/>
      <c r="M113" s="25"/>
      <c r="N113" s="25"/>
      <c r="O113" s="25"/>
      <c r="P113" s="25"/>
      <c r="Q113" s="25"/>
      <c r="R113" s="25"/>
      <c r="S113" s="25"/>
      <c r="T113" s="25"/>
      <c r="U113" s="25"/>
      <c r="V113" s="53">
        <v>-9</v>
      </c>
      <c r="W113" s="25"/>
      <c r="X113" s="5"/>
    </row>
    <row r="114" spans="1:24" ht="15.75" x14ac:dyDescent="0.25">
      <c r="A114" s="24">
        <f t="shared" ref="A114:A119" si="0">+A113+1</f>
        <v>8</v>
      </c>
      <c r="B114" s="25" t="s">
        <v>45</v>
      </c>
      <c r="C114" s="25"/>
      <c r="D114" s="25"/>
      <c r="E114" s="25"/>
      <c r="F114" s="25"/>
      <c r="G114" s="25"/>
      <c r="H114" s="25"/>
      <c r="I114" s="25"/>
      <c r="J114" s="25"/>
      <c r="K114" s="25"/>
      <c r="L114" s="25"/>
      <c r="M114" s="25"/>
      <c r="N114" s="25"/>
      <c r="O114" s="25"/>
      <c r="P114" s="25"/>
      <c r="Q114" s="25"/>
      <c r="R114" s="25"/>
      <c r="S114" s="25"/>
      <c r="T114" s="34">
        <f>-V114</f>
        <v>111</v>
      </c>
      <c r="U114" s="25"/>
      <c r="V114" s="53">
        <v>-111</v>
      </c>
      <c r="W114" s="25"/>
      <c r="X114" s="5"/>
    </row>
    <row r="115" spans="1:24" ht="15.75" x14ac:dyDescent="0.25">
      <c r="A115" s="24">
        <f t="shared" si="0"/>
        <v>9</v>
      </c>
      <c r="B115" s="25" t="s">
        <v>125</v>
      </c>
      <c r="C115" s="25"/>
      <c r="D115" s="25"/>
      <c r="E115" s="25"/>
      <c r="F115" s="25"/>
      <c r="G115" s="25"/>
      <c r="H115" s="25"/>
      <c r="I115" s="25"/>
      <c r="J115" s="25"/>
      <c r="K115" s="25"/>
      <c r="L115" s="25"/>
      <c r="M115" s="25"/>
      <c r="N115" s="25"/>
      <c r="O115" s="25"/>
      <c r="P115" s="25"/>
      <c r="Q115" s="25"/>
      <c r="R115" s="25"/>
      <c r="S115" s="25"/>
      <c r="T115" s="25"/>
      <c r="U115" s="25"/>
      <c r="V115" s="53">
        <v>0</v>
      </c>
      <c r="W115" s="25"/>
      <c r="X115" s="5"/>
    </row>
    <row r="116" spans="1:24" ht="15.75" x14ac:dyDescent="0.25">
      <c r="A116" s="24">
        <f t="shared" si="0"/>
        <v>10</v>
      </c>
      <c r="B116" s="25" t="s">
        <v>225</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4" ht="15.75" x14ac:dyDescent="0.25">
      <c r="A117" s="24">
        <f t="shared" si="0"/>
        <v>11</v>
      </c>
      <c r="B117" s="25" t="s">
        <v>36</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4" ht="15.75" x14ac:dyDescent="0.25">
      <c r="A118" s="24">
        <f t="shared" si="0"/>
        <v>12</v>
      </c>
      <c r="B118" s="25" t="s">
        <v>149</v>
      </c>
      <c r="C118" s="25"/>
      <c r="D118" s="25"/>
      <c r="E118" s="25"/>
      <c r="F118" s="25"/>
      <c r="G118" s="25"/>
      <c r="H118" s="25"/>
      <c r="I118" s="25"/>
      <c r="J118" s="25"/>
      <c r="K118" s="25"/>
      <c r="L118" s="25"/>
      <c r="M118" s="25"/>
      <c r="N118" s="25"/>
      <c r="O118" s="25"/>
      <c r="P118" s="25"/>
      <c r="Q118" s="25"/>
      <c r="R118" s="25"/>
      <c r="S118" s="25"/>
      <c r="T118" s="25"/>
      <c r="U118" s="25"/>
      <c r="V118" s="53">
        <v>-369</v>
      </c>
      <c r="W118" s="25"/>
      <c r="X118" s="5"/>
    </row>
    <row r="119" spans="1:24" ht="15.75" x14ac:dyDescent="0.25">
      <c r="A119" s="24">
        <f t="shared" si="0"/>
        <v>13</v>
      </c>
      <c r="B119" s="25" t="s">
        <v>126</v>
      </c>
      <c r="C119" s="25"/>
      <c r="D119" s="25"/>
      <c r="E119" s="25"/>
      <c r="F119" s="25"/>
      <c r="G119" s="25"/>
      <c r="H119" s="25"/>
      <c r="I119" s="25"/>
      <c r="J119" s="25"/>
      <c r="K119" s="25"/>
      <c r="L119" s="25"/>
      <c r="M119" s="25"/>
      <c r="N119" s="25"/>
      <c r="O119" s="25"/>
      <c r="P119" s="25"/>
      <c r="Q119" s="25"/>
      <c r="R119" s="25"/>
      <c r="S119" s="25"/>
      <c r="T119" s="25"/>
      <c r="U119" s="25"/>
      <c r="V119" s="53">
        <f>-V102-SUM(V104:V118)</f>
        <v>-3169</v>
      </c>
      <c r="W119" s="25"/>
      <c r="X119" s="5"/>
    </row>
    <row r="120" spans="1:24" ht="15.75" x14ac:dyDescent="0.25">
      <c r="A120" s="24"/>
      <c r="B120" s="118" t="s">
        <v>37</v>
      </c>
      <c r="C120" s="25"/>
      <c r="D120" s="25"/>
      <c r="E120" s="25"/>
      <c r="F120" s="25"/>
      <c r="G120" s="25"/>
      <c r="H120" s="25"/>
      <c r="I120" s="25"/>
      <c r="J120" s="25"/>
      <c r="K120" s="25"/>
      <c r="L120" s="25"/>
      <c r="M120" s="25"/>
      <c r="N120" s="25"/>
      <c r="O120" s="25"/>
      <c r="P120" s="25"/>
      <c r="Q120" s="25"/>
      <c r="R120" s="25"/>
      <c r="S120" s="25"/>
      <c r="T120" s="25"/>
      <c r="U120" s="25"/>
      <c r="V120" s="59"/>
      <c r="W120" s="25"/>
      <c r="X120" s="5"/>
    </row>
    <row r="121" spans="1:24" ht="15.75" x14ac:dyDescent="0.25">
      <c r="A121" s="24"/>
      <c r="B121" s="25" t="s">
        <v>173</v>
      </c>
      <c r="C121" s="25"/>
      <c r="D121" s="25"/>
      <c r="E121" s="25"/>
      <c r="F121" s="25"/>
      <c r="G121" s="25"/>
      <c r="H121" s="25"/>
      <c r="I121" s="25"/>
      <c r="J121" s="25"/>
      <c r="K121" s="25"/>
      <c r="L121" s="25"/>
      <c r="M121" s="25"/>
      <c r="N121" s="25"/>
      <c r="O121" s="25"/>
      <c r="P121" s="25"/>
      <c r="Q121" s="25"/>
      <c r="R121" s="25"/>
      <c r="S121" s="25"/>
      <c r="T121" s="34">
        <f>-T185</f>
        <v>-286</v>
      </c>
      <c r="U121" s="34"/>
      <c r="V121" s="53"/>
      <c r="W121" s="25"/>
      <c r="X121" s="5"/>
    </row>
    <row r="122" spans="1:24" ht="15.75" x14ac:dyDescent="0.25">
      <c r="A122" s="24"/>
      <c r="B122" s="25" t="s">
        <v>174</v>
      </c>
      <c r="C122" s="25"/>
      <c r="D122" s="25"/>
      <c r="E122" s="25"/>
      <c r="F122" s="25"/>
      <c r="G122" s="25"/>
      <c r="H122" s="25"/>
      <c r="I122" s="25"/>
      <c r="J122" s="25"/>
      <c r="K122" s="25"/>
      <c r="L122" s="25"/>
      <c r="M122" s="25"/>
      <c r="N122" s="25"/>
      <c r="O122" s="25"/>
      <c r="P122" s="25"/>
      <c r="Q122" s="25"/>
      <c r="R122" s="25"/>
      <c r="S122" s="25"/>
      <c r="T122" s="34">
        <v>-46</v>
      </c>
      <c r="U122" s="34"/>
      <c r="V122" s="53"/>
      <c r="W122" s="25"/>
      <c r="X122" s="5"/>
    </row>
    <row r="123" spans="1:24" ht="15.75" x14ac:dyDescent="0.25">
      <c r="A123" s="24"/>
      <c r="B123" s="25" t="s">
        <v>38</v>
      </c>
      <c r="C123" s="25"/>
      <c r="D123" s="25"/>
      <c r="E123" s="25"/>
      <c r="F123" s="25"/>
      <c r="G123" s="25"/>
      <c r="H123" s="25"/>
      <c r="I123" s="25"/>
      <c r="J123" s="25"/>
      <c r="K123" s="25"/>
      <c r="L123" s="25"/>
      <c r="M123" s="25"/>
      <c r="N123" s="25"/>
      <c r="O123" s="25"/>
      <c r="P123" s="25"/>
      <c r="Q123" s="25"/>
      <c r="R123" s="25"/>
      <c r="S123" s="25"/>
      <c r="T123" s="34">
        <f>-S185</f>
        <v>-1137</v>
      </c>
      <c r="U123" s="34"/>
      <c r="V123" s="53"/>
      <c r="W123" s="25"/>
      <c r="X123" s="5"/>
    </row>
    <row r="124" spans="1:24" ht="15.75" x14ac:dyDescent="0.25">
      <c r="A124" s="24"/>
      <c r="B124" s="25" t="s">
        <v>197</v>
      </c>
      <c r="C124" s="25"/>
      <c r="D124" s="25"/>
      <c r="E124" s="25"/>
      <c r="F124" s="25"/>
      <c r="G124" s="25"/>
      <c r="H124" s="25"/>
      <c r="I124" s="25"/>
      <c r="J124" s="25"/>
      <c r="K124" s="25"/>
      <c r="L124" s="25"/>
      <c r="M124" s="25"/>
      <c r="N124" s="25"/>
      <c r="O124" s="25"/>
      <c r="P124" s="25"/>
      <c r="Q124" s="25"/>
      <c r="R124" s="25"/>
      <c r="S124" s="25"/>
      <c r="T124" s="34">
        <v>-27893</v>
      </c>
      <c r="U124" s="34"/>
      <c r="V124" s="53"/>
      <c r="W124" s="25"/>
      <c r="X124" s="5"/>
    </row>
    <row r="125" spans="1:24" ht="15.75" x14ac:dyDescent="0.25">
      <c r="A125" s="24"/>
      <c r="B125" s="25" t="s">
        <v>195</v>
      </c>
      <c r="C125" s="25"/>
      <c r="D125" s="25"/>
      <c r="E125" s="25"/>
      <c r="F125" s="25"/>
      <c r="G125" s="25"/>
      <c r="H125" s="25"/>
      <c r="I125" s="25"/>
      <c r="J125" s="25"/>
      <c r="K125" s="25"/>
      <c r="L125" s="25"/>
      <c r="M125" s="25"/>
      <c r="N125" s="25"/>
      <c r="O125" s="25"/>
      <c r="P125" s="25"/>
      <c r="Q125" s="25"/>
      <c r="R125" s="25"/>
      <c r="S125" s="25"/>
      <c r="T125" s="34">
        <v>-11854</v>
      </c>
      <c r="U125" s="34"/>
      <c r="V125" s="53"/>
      <c r="W125" s="25"/>
      <c r="X125" s="5"/>
    </row>
    <row r="126" spans="1:24" ht="15.75" x14ac:dyDescent="0.25">
      <c r="A126" s="24"/>
      <c r="B126" s="25" t="s">
        <v>194</v>
      </c>
      <c r="C126" s="25"/>
      <c r="D126" s="25"/>
      <c r="E126" s="25"/>
      <c r="F126" s="25"/>
      <c r="G126" s="25"/>
      <c r="H126" s="25"/>
      <c r="I126" s="25"/>
      <c r="J126" s="25"/>
      <c r="K126" s="25"/>
      <c r="L126" s="25"/>
      <c r="M126" s="25"/>
      <c r="N126" s="25"/>
      <c r="O126" s="25"/>
      <c r="P126" s="25"/>
      <c r="Q126" s="25"/>
      <c r="R126" s="25"/>
      <c r="S126" s="25"/>
      <c r="T126" s="34">
        <v>-4225</v>
      </c>
      <c r="U126" s="34"/>
      <c r="V126" s="53"/>
      <c r="W126" s="25"/>
      <c r="X126" s="5"/>
    </row>
    <row r="127" spans="1:24" ht="15.75" x14ac:dyDescent="0.25">
      <c r="A127" s="24"/>
      <c r="B127" s="25" t="s">
        <v>222</v>
      </c>
      <c r="C127" s="25"/>
      <c r="D127" s="25"/>
      <c r="E127" s="25"/>
      <c r="F127" s="25"/>
      <c r="G127" s="25"/>
      <c r="H127" s="25"/>
      <c r="I127" s="25"/>
      <c r="J127" s="25"/>
      <c r="K127" s="25"/>
      <c r="L127" s="25"/>
      <c r="M127" s="25"/>
      <c r="N127" s="25"/>
      <c r="O127" s="25"/>
      <c r="P127" s="25"/>
      <c r="Q127" s="25"/>
      <c r="R127" s="25"/>
      <c r="S127" s="25"/>
      <c r="T127" s="34">
        <v>-4184</v>
      </c>
      <c r="U127" s="34"/>
      <c r="V127" s="53"/>
      <c r="W127" s="25"/>
      <c r="X127" s="5"/>
    </row>
    <row r="128" spans="1:24" ht="15.75" x14ac:dyDescent="0.25">
      <c r="A128" s="24"/>
      <c r="B128" s="25" t="s">
        <v>189</v>
      </c>
      <c r="C128" s="25"/>
      <c r="D128" s="25"/>
      <c r="E128" s="25"/>
      <c r="F128" s="25"/>
      <c r="G128" s="25"/>
      <c r="H128" s="25"/>
      <c r="I128" s="25"/>
      <c r="J128" s="25"/>
      <c r="K128" s="25"/>
      <c r="L128" s="25"/>
      <c r="M128" s="25"/>
      <c r="N128" s="25"/>
      <c r="O128" s="25"/>
      <c r="P128" s="25"/>
      <c r="Q128" s="25"/>
      <c r="R128" s="25"/>
      <c r="S128" s="25"/>
      <c r="T128" s="34">
        <v>0</v>
      </c>
      <c r="U128" s="34"/>
      <c r="V128" s="53"/>
      <c r="W128" s="25"/>
      <c r="X128" s="5"/>
    </row>
    <row r="129" spans="1:24" ht="15.75" x14ac:dyDescent="0.25">
      <c r="A129" s="24"/>
      <c r="B129" s="25" t="s">
        <v>188</v>
      </c>
      <c r="C129" s="25"/>
      <c r="D129" s="25"/>
      <c r="E129" s="25"/>
      <c r="F129" s="25"/>
      <c r="G129" s="25"/>
      <c r="H129" s="25"/>
      <c r="I129" s="25"/>
      <c r="J129" s="25"/>
      <c r="K129" s="25"/>
      <c r="L129" s="25"/>
      <c r="M129" s="25"/>
      <c r="N129" s="25"/>
      <c r="O129" s="25"/>
      <c r="P129" s="25"/>
      <c r="Q129" s="25"/>
      <c r="R129" s="25"/>
      <c r="S129" s="25"/>
      <c r="T129" s="34">
        <v>0</v>
      </c>
      <c r="U129" s="34"/>
      <c r="V129" s="53"/>
      <c r="W129" s="25"/>
      <c r="X129" s="5"/>
    </row>
    <row r="130" spans="1:24" ht="15.75" x14ac:dyDescent="0.25">
      <c r="A130" s="24"/>
      <c r="B130" s="25" t="s">
        <v>187</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75" x14ac:dyDescent="0.25">
      <c r="A131" s="24"/>
      <c r="B131" s="25" t="s">
        <v>39</v>
      </c>
      <c r="C131" s="25"/>
      <c r="D131" s="25"/>
      <c r="E131" s="25"/>
      <c r="F131" s="25"/>
      <c r="G131" s="25"/>
      <c r="H131" s="25"/>
      <c r="I131" s="25"/>
      <c r="J131" s="25"/>
      <c r="K131" s="25"/>
      <c r="L131" s="25"/>
      <c r="M131" s="25"/>
      <c r="N131" s="25"/>
      <c r="O131" s="25"/>
      <c r="P131" s="25"/>
      <c r="Q131" s="25"/>
      <c r="R131" s="25"/>
      <c r="S131" s="25"/>
      <c r="T131" s="34">
        <f>SUM(T121:T130)</f>
        <v>-49625</v>
      </c>
      <c r="U131" s="34"/>
      <c r="V131" s="34">
        <f>SUM(V103:V129)</f>
        <v>-19035</v>
      </c>
      <c r="W131" s="25"/>
      <c r="X131" s="5"/>
    </row>
    <row r="132" spans="1:24" ht="15.75" x14ac:dyDescent="0.25">
      <c r="A132" s="24"/>
      <c r="B132" s="25" t="s">
        <v>40</v>
      </c>
      <c r="C132" s="25"/>
      <c r="D132" s="25"/>
      <c r="E132" s="25"/>
      <c r="F132" s="25"/>
      <c r="G132" s="25"/>
      <c r="H132" s="25"/>
      <c r="I132" s="25"/>
      <c r="J132" s="25"/>
      <c r="K132" s="25"/>
      <c r="L132" s="25"/>
      <c r="M132" s="25"/>
      <c r="N132" s="25"/>
      <c r="O132" s="25"/>
      <c r="P132" s="25"/>
      <c r="Q132" s="25"/>
      <c r="R132" s="25"/>
      <c r="S132" s="25"/>
      <c r="T132" s="34">
        <f>T102+T131+T114</f>
        <v>0</v>
      </c>
      <c r="U132" s="34"/>
      <c r="V132" s="34">
        <f>V102+V131</f>
        <v>0</v>
      </c>
      <c r="W132" s="25"/>
      <c r="X132" s="5"/>
    </row>
    <row r="133" spans="1:24" ht="15.75" x14ac:dyDescent="0.25">
      <c r="A133" s="24"/>
      <c r="B133" s="25"/>
      <c r="C133" s="25"/>
      <c r="D133" s="25"/>
      <c r="E133" s="25"/>
      <c r="F133" s="25"/>
      <c r="G133" s="25"/>
      <c r="H133" s="25"/>
      <c r="I133" s="25"/>
      <c r="J133" s="25"/>
      <c r="K133" s="25"/>
      <c r="L133" s="25"/>
      <c r="M133" s="25"/>
      <c r="N133" s="25"/>
      <c r="O133" s="25"/>
      <c r="P133" s="25"/>
      <c r="Q133" s="25"/>
      <c r="R133" s="25"/>
      <c r="S133" s="25"/>
      <c r="T133" s="34"/>
      <c r="U133" s="34"/>
      <c r="V133" s="34"/>
      <c r="W133" s="25"/>
      <c r="X133" s="5"/>
    </row>
    <row r="134" spans="1:24" ht="15.75" x14ac:dyDescent="0.25">
      <c r="A134" s="6"/>
      <c r="B134" s="8"/>
      <c r="C134" s="8"/>
      <c r="D134" s="8"/>
      <c r="E134" s="8"/>
      <c r="F134" s="8"/>
      <c r="G134" s="8"/>
      <c r="H134" s="8"/>
      <c r="I134" s="8"/>
      <c r="J134" s="8"/>
      <c r="K134" s="8"/>
      <c r="L134" s="8"/>
      <c r="M134" s="8"/>
      <c r="N134" s="8"/>
      <c r="O134" s="8"/>
      <c r="P134" s="8"/>
      <c r="Q134" s="8"/>
      <c r="R134" s="8"/>
      <c r="S134" s="8"/>
      <c r="T134" s="8"/>
      <c r="U134" s="8"/>
      <c r="V134" s="52"/>
      <c r="W134" s="8"/>
      <c r="X134" s="5"/>
    </row>
    <row r="135" spans="1:24" ht="19.5" thickBot="1" x14ac:dyDescent="0.35">
      <c r="A135" s="101"/>
      <c r="B135" s="102" t="str">
        <f>B64</f>
        <v>PM15 INVESTOR REPORT QUARTER ENDING AUG 2008</v>
      </c>
      <c r="C135" s="103"/>
      <c r="D135" s="103"/>
      <c r="E135" s="103"/>
      <c r="F135" s="103"/>
      <c r="G135" s="103"/>
      <c r="H135" s="103"/>
      <c r="I135" s="103"/>
      <c r="J135" s="103"/>
      <c r="K135" s="103"/>
      <c r="L135" s="103"/>
      <c r="M135" s="103"/>
      <c r="N135" s="103"/>
      <c r="O135" s="103"/>
      <c r="P135" s="103"/>
      <c r="Q135" s="103"/>
      <c r="R135" s="103"/>
      <c r="S135" s="103"/>
      <c r="T135" s="103"/>
      <c r="U135" s="103"/>
      <c r="V135" s="106"/>
      <c r="W135" s="105"/>
      <c r="X135" s="5"/>
    </row>
    <row r="136" spans="1:24" ht="15.75" x14ac:dyDescent="0.25">
      <c r="A136" s="2"/>
      <c r="B136" s="60" t="s">
        <v>41</v>
      </c>
      <c r="C136" s="4"/>
      <c r="D136" s="4"/>
      <c r="E136" s="4"/>
      <c r="F136" s="4"/>
      <c r="G136" s="4"/>
      <c r="H136" s="4"/>
      <c r="I136" s="4"/>
      <c r="J136" s="4"/>
      <c r="K136" s="4"/>
      <c r="L136" s="4"/>
      <c r="M136" s="4"/>
      <c r="N136" s="4"/>
      <c r="O136" s="4"/>
      <c r="P136" s="4"/>
      <c r="Q136" s="4"/>
      <c r="R136" s="4"/>
      <c r="S136" s="4"/>
      <c r="T136" s="4"/>
      <c r="U136" s="4"/>
      <c r="V136" s="50"/>
      <c r="W136" s="4"/>
      <c r="X136" s="5"/>
    </row>
    <row r="137" spans="1:24" ht="15.75" x14ac:dyDescent="0.25">
      <c r="A137" s="6"/>
      <c r="B137" s="21"/>
      <c r="C137" s="8"/>
      <c r="D137" s="8"/>
      <c r="E137" s="8"/>
      <c r="F137" s="8"/>
      <c r="G137" s="8"/>
      <c r="H137" s="8"/>
      <c r="I137" s="8"/>
      <c r="J137" s="8"/>
      <c r="K137" s="8"/>
      <c r="L137" s="8"/>
      <c r="M137" s="8"/>
      <c r="N137" s="8"/>
      <c r="O137" s="8"/>
      <c r="P137" s="8"/>
      <c r="Q137" s="8"/>
      <c r="R137" s="8"/>
      <c r="S137" s="8"/>
      <c r="T137" s="8"/>
      <c r="U137" s="8"/>
      <c r="V137" s="52"/>
      <c r="W137" s="8"/>
      <c r="X137" s="5"/>
    </row>
    <row r="138" spans="1:24" ht="15.75" x14ac:dyDescent="0.25">
      <c r="A138" s="6"/>
      <c r="B138" s="119" t="s">
        <v>42</v>
      </c>
      <c r="C138" s="8"/>
      <c r="D138" s="8"/>
      <c r="E138" s="8"/>
      <c r="F138" s="8"/>
      <c r="G138" s="8"/>
      <c r="H138" s="8"/>
      <c r="I138" s="8"/>
      <c r="J138" s="8"/>
      <c r="K138" s="8"/>
      <c r="L138" s="8"/>
      <c r="M138" s="8"/>
      <c r="N138" s="8"/>
      <c r="O138" s="8"/>
      <c r="P138" s="8"/>
      <c r="Q138" s="8"/>
      <c r="R138" s="8"/>
      <c r="S138" s="8"/>
      <c r="T138" s="8"/>
      <c r="U138" s="8"/>
      <c r="V138" s="52"/>
      <c r="W138" s="8"/>
      <c r="X138" s="5"/>
    </row>
    <row r="139" spans="1:24" ht="15.75" x14ac:dyDescent="0.25">
      <c r="A139" s="24"/>
      <c r="B139" s="25" t="s">
        <v>43</v>
      </c>
      <c r="C139" s="25"/>
      <c r="D139" s="25"/>
      <c r="E139" s="25"/>
      <c r="F139" s="25"/>
      <c r="G139" s="25"/>
      <c r="H139" s="25"/>
      <c r="I139" s="25"/>
      <c r="J139" s="25"/>
      <c r="K139" s="25"/>
      <c r="L139" s="25"/>
      <c r="M139" s="25"/>
      <c r="N139" s="25"/>
      <c r="O139" s="25"/>
      <c r="P139" s="25"/>
      <c r="Q139" s="25"/>
      <c r="R139" s="25"/>
      <c r="S139" s="25"/>
      <c r="T139" s="25"/>
      <c r="U139" s="25"/>
      <c r="V139" s="53">
        <f>+V34*0.019</f>
        <v>19021.526999999998</v>
      </c>
      <c r="W139" s="25"/>
      <c r="X139" s="5"/>
    </row>
    <row r="140" spans="1:24" ht="15.75" x14ac:dyDescent="0.25">
      <c r="A140" s="24"/>
      <c r="B140" s="25" t="s">
        <v>44</v>
      </c>
      <c r="C140" s="25"/>
      <c r="D140" s="25"/>
      <c r="E140" s="25"/>
      <c r="F140" s="25"/>
      <c r="G140" s="25"/>
      <c r="H140" s="25"/>
      <c r="I140" s="25"/>
      <c r="J140" s="25"/>
      <c r="K140" s="25"/>
      <c r="L140" s="25"/>
      <c r="M140" s="25"/>
      <c r="N140" s="25"/>
      <c r="O140" s="25"/>
      <c r="P140" s="25"/>
      <c r="Q140" s="25"/>
      <c r="R140" s="25"/>
      <c r="S140" s="25"/>
      <c r="T140" s="25"/>
      <c r="U140" s="25"/>
      <c r="V140" s="53">
        <v>19022</v>
      </c>
      <c r="W140" s="25"/>
      <c r="X140" s="5"/>
    </row>
    <row r="141" spans="1:24" ht="15.75" x14ac:dyDescent="0.25">
      <c r="A141" s="24"/>
      <c r="B141" s="25" t="s">
        <v>136</v>
      </c>
      <c r="C141" s="25"/>
      <c r="D141" s="25"/>
      <c r="E141" s="25"/>
      <c r="F141" s="25"/>
      <c r="G141" s="25"/>
      <c r="H141" s="25"/>
      <c r="I141" s="25"/>
      <c r="J141" s="25"/>
      <c r="K141" s="25"/>
      <c r="L141" s="25"/>
      <c r="M141" s="25"/>
      <c r="N141" s="25"/>
      <c r="O141" s="25"/>
      <c r="P141" s="25"/>
      <c r="Q141" s="25"/>
      <c r="R141" s="25"/>
      <c r="S141" s="25"/>
      <c r="T141" s="25"/>
      <c r="U141" s="25"/>
      <c r="V141" s="53"/>
      <c r="W141" s="25"/>
      <c r="X141" s="5"/>
    </row>
    <row r="142" spans="1:24" ht="15.75" x14ac:dyDescent="0.25">
      <c r="A142" s="24"/>
      <c r="B142" s="25" t="s">
        <v>123</v>
      </c>
      <c r="C142" s="25"/>
      <c r="D142" s="25"/>
      <c r="E142" s="25"/>
      <c r="F142" s="25"/>
      <c r="G142" s="25"/>
      <c r="H142" s="25"/>
      <c r="I142" s="25"/>
      <c r="J142" s="25"/>
      <c r="K142" s="25"/>
      <c r="L142" s="25"/>
      <c r="M142" s="25"/>
      <c r="N142" s="25"/>
      <c r="O142" s="25"/>
      <c r="P142" s="25"/>
      <c r="Q142" s="25"/>
      <c r="R142" s="25"/>
      <c r="S142" s="25"/>
      <c r="T142" s="25"/>
      <c r="U142" s="25"/>
      <c r="V142" s="53">
        <v>0</v>
      </c>
      <c r="W142" s="25"/>
      <c r="X142" s="5"/>
    </row>
    <row r="143" spans="1:24" ht="15.75" x14ac:dyDescent="0.25">
      <c r="A143" s="24"/>
      <c r="B143" s="25" t="s">
        <v>124</v>
      </c>
      <c r="C143" s="25"/>
      <c r="D143" s="25"/>
      <c r="E143" s="25"/>
      <c r="F143" s="25"/>
      <c r="G143" s="25"/>
      <c r="H143" s="25"/>
      <c r="I143" s="25"/>
      <c r="J143" s="25"/>
      <c r="K143" s="25"/>
      <c r="L143" s="25"/>
      <c r="M143" s="25"/>
      <c r="N143" s="25"/>
      <c r="O143" s="25"/>
      <c r="P143" s="25"/>
      <c r="Q143" s="25"/>
      <c r="R143" s="25"/>
      <c r="S143" s="25"/>
      <c r="T143" s="25"/>
      <c r="U143" s="25"/>
      <c r="V143" s="53">
        <v>0</v>
      </c>
      <c r="W143" s="25"/>
      <c r="X143" s="5"/>
    </row>
    <row r="144" spans="1:24" ht="15.75" x14ac:dyDescent="0.25">
      <c r="A144" s="24"/>
      <c r="B144" s="25" t="s">
        <v>175</v>
      </c>
      <c r="C144" s="25"/>
      <c r="D144" s="25"/>
      <c r="E144" s="25"/>
      <c r="F144" s="25"/>
      <c r="G144" s="25"/>
      <c r="H144" s="25"/>
      <c r="I144" s="25"/>
      <c r="J144" s="25"/>
      <c r="K144" s="25"/>
      <c r="L144" s="25"/>
      <c r="M144" s="25"/>
      <c r="N144" s="25"/>
      <c r="O144" s="25"/>
      <c r="P144" s="25"/>
      <c r="Q144" s="25"/>
      <c r="R144" s="25"/>
      <c r="S144" s="25"/>
      <c r="T144" s="25"/>
      <c r="U144" s="25"/>
      <c r="V144" s="53">
        <v>0</v>
      </c>
      <c r="W144" s="25"/>
      <c r="X144" s="5"/>
    </row>
    <row r="145" spans="1:25" ht="15.75" x14ac:dyDescent="0.25">
      <c r="A145" s="24"/>
      <c r="B145" s="25" t="s">
        <v>45</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75" x14ac:dyDescent="0.25">
      <c r="A146" s="24"/>
      <c r="B146" s="25" t="s">
        <v>129</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75" x14ac:dyDescent="0.25">
      <c r="A147" s="24"/>
      <c r="B147" s="25" t="s">
        <v>241</v>
      </c>
      <c r="C147" s="25"/>
      <c r="D147" s="25"/>
      <c r="E147" s="25"/>
      <c r="F147" s="25"/>
      <c r="G147" s="25"/>
      <c r="H147" s="25"/>
      <c r="I147" s="25"/>
      <c r="J147" s="25"/>
      <c r="K147" s="25"/>
      <c r="L147" s="25"/>
      <c r="M147" s="25"/>
      <c r="N147" s="25"/>
      <c r="O147" s="25"/>
      <c r="P147" s="25"/>
      <c r="Q147" s="25"/>
      <c r="R147" s="25"/>
      <c r="S147" s="25"/>
      <c r="T147" s="25"/>
      <c r="U147" s="25"/>
      <c r="V147" s="53">
        <v>0</v>
      </c>
      <c r="W147" s="25"/>
      <c r="X147" s="5"/>
      <c r="Y147" s="109"/>
    </row>
    <row r="148" spans="1:25" ht="15.75" x14ac:dyDescent="0.25">
      <c r="A148" s="24"/>
      <c r="B148" s="25" t="s">
        <v>46</v>
      </c>
      <c r="C148" s="25"/>
      <c r="D148" s="25"/>
      <c r="E148" s="25"/>
      <c r="F148" s="25"/>
      <c r="G148" s="25"/>
      <c r="H148" s="25"/>
      <c r="I148" s="25"/>
      <c r="J148" s="25"/>
      <c r="K148" s="25"/>
      <c r="L148" s="25"/>
      <c r="M148" s="25"/>
      <c r="N148" s="25"/>
      <c r="O148" s="25"/>
      <c r="P148" s="25"/>
      <c r="Q148" s="25"/>
      <c r="R148" s="25"/>
      <c r="S148" s="25"/>
      <c r="T148" s="25"/>
      <c r="U148" s="25"/>
      <c r="V148" s="53">
        <f>SUM(V140:V147)</f>
        <v>19022</v>
      </c>
      <c r="W148" s="25"/>
      <c r="X148" s="5"/>
    </row>
    <row r="149" spans="1:25" ht="15.75" x14ac:dyDescent="0.25">
      <c r="A149" s="24"/>
      <c r="B149" s="25"/>
      <c r="C149" s="25"/>
      <c r="D149" s="25"/>
      <c r="E149" s="25"/>
      <c r="F149" s="25"/>
      <c r="G149" s="25"/>
      <c r="H149" s="25"/>
      <c r="I149" s="25"/>
      <c r="J149" s="25"/>
      <c r="K149" s="25"/>
      <c r="L149" s="25"/>
      <c r="M149" s="25"/>
      <c r="N149" s="25"/>
      <c r="O149" s="25"/>
      <c r="P149" s="25"/>
      <c r="Q149" s="25"/>
      <c r="R149" s="25"/>
      <c r="S149" s="25"/>
      <c r="T149" s="25"/>
      <c r="U149" s="25"/>
      <c r="V149" s="53"/>
      <c r="W149" s="25"/>
      <c r="X149" s="5"/>
    </row>
    <row r="150" spans="1:25" ht="15.75" x14ac:dyDescent="0.25">
      <c r="A150" s="24"/>
      <c r="B150" s="135" t="s">
        <v>269</v>
      </c>
      <c r="C150" s="25"/>
      <c r="D150" s="25"/>
      <c r="E150" s="25"/>
      <c r="F150" s="25"/>
      <c r="G150" s="25"/>
      <c r="H150" s="25"/>
      <c r="I150" s="25"/>
      <c r="J150" s="25"/>
      <c r="K150" s="25"/>
      <c r="L150" s="25"/>
      <c r="M150" s="25"/>
      <c r="N150" s="25"/>
      <c r="O150" s="25"/>
      <c r="P150" s="25"/>
      <c r="Q150" s="25"/>
      <c r="R150" s="25"/>
      <c r="S150" s="25"/>
      <c r="T150" s="25"/>
      <c r="U150" s="25"/>
      <c r="V150" s="53"/>
      <c r="W150" s="25"/>
      <c r="X150" s="5"/>
    </row>
    <row r="151" spans="1:25" ht="15.75" x14ac:dyDescent="0.25">
      <c r="A151" s="24"/>
      <c r="B151" s="25" t="s">
        <v>155</v>
      </c>
      <c r="C151" s="25"/>
      <c r="D151" s="25"/>
      <c r="E151" s="25"/>
      <c r="F151" s="25"/>
      <c r="G151" s="25"/>
      <c r="H151" s="25"/>
      <c r="I151" s="25"/>
      <c r="J151" s="25"/>
      <c r="K151" s="25"/>
      <c r="L151" s="25"/>
      <c r="M151" s="25"/>
      <c r="N151" s="25"/>
      <c r="O151" s="25"/>
      <c r="P151" s="25"/>
      <c r="Q151" s="25"/>
      <c r="R151" s="25"/>
      <c r="S151" s="25"/>
      <c r="T151" s="25"/>
      <c r="U151" s="25"/>
      <c r="V151" s="53">
        <v>0</v>
      </c>
      <c r="W151" s="25"/>
      <c r="X151" s="5"/>
    </row>
    <row r="152" spans="1:25" ht="15.75" x14ac:dyDescent="0.25">
      <c r="A152" s="24"/>
      <c r="B152" s="25" t="s">
        <v>172</v>
      </c>
      <c r="C152" s="25"/>
      <c r="D152" s="25"/>
      <c r="E152" s="25"/>
      <c r="F152" s="25"/>
      <c r="G152" s="25"/>
      <c r="H152" s="25"/>
      <c r="I152" s="25"/>
      <c r="J152" s="25"/>
      <c r="K152" s="25"/>
      <c r="L152" s="25"/>
      <c r="M152" s="25"/>
      <c r="N152" s="25"/>
      <c r="O152" s="25"/>
      <c r="P152" s="25"/>
      <c r="Q152" s="25"/>
      <c r="R152" s="25"/>
      <c r="S152" s="25"/>
      <c r="T152" s="25"/>
      <c r="U152" s="25"/>
      <c r="V152" s="53">
        <v>0</v>
      </c>
      <c r="W152" s="25"/>
      <c r="X152" s="5"/>
    </row>
    <row r="153" spans="1:25" ht="15.75" x14ac:dyDescent="0.25">
      <c r="A153" s="24"/>
      <c r="B153" s="25" t="s">
        <v>226</v>
      </c>
      <c r="C153" s="25"/>
      <c r="D153" s="25"/>
      <c r="E153" s="25"/>
      <c r="F153" s="25"/>
      <c r="G153" s="25"/>
      <c r="H153" s="25"/>
      <c r="I153" s="25"/>
      <c r="J153" s="25"/>
      <c r="K153" s="25"/>
      <c r="L153" s="25"/>
      <c r="M153" s="25"/>
      <c r="N153" s="25"/>
      <c r="O153" s="25"/>
      <c r="P153" s="25"/>
      <c r="Q153" s="25"/>
      <c r="R153" s="25"/>
      <c r="S153" s="25"/>
      <c r="T153" s="25"/>
      <c r="U153" s="25"/>
      <c r="V153" s="53">
        <v>0</v>
      </c>
      <c r="W153" s="25"/>
      <c r="X153" s="5"/>
    </row>
    <row r="154" spans="1:25" ht="15.75" x14ac:dyDescent="0.25">
      <c r="A154" s="24"/>
      <c r="B154" s="25"/>
      <c r="C154" s="25"/>
      <c r="D154" s="25"/>
      <c r="E154" s="25"/>
      <c r="F154" s="25"/>
      <c r="G154" s="25"/>
      <c r="H154" s="25"/>
      <c r="I154" s="25"/>
      <c r="J154" s="25"/>
      <c r="K154" s="25"/>
      <c r="L154" s="25"/>
      <c r="M154" s="25"/>
      <c r="N154" s="25"/>
      <c r="O154" s="25"/>
      <c r="P154" s="25"/>
      <c r="Q154" s="25"/>
      <c r="R154" s="25"/>
      <c r="S154" s="25"/>
      <c r="T154" s="25"/>
      <c r="U154" s="25"/>
      <c r="V154" s="53"/>
      <c r="W154" s="25"/>
      <c r="X154" s="5"/>
    </row>
    <row r="155" spans="1:25" ht="15.75" x14ac:dyDescent="0.25">
      <c r="A155" s="24"/>
      <c r="B155" s="25"/>
      <c r="C155" s="25"/>
      <c r="D155" s="25"/>
      <c r="E155" s="25"/>
      <c r="F155" s="25"/>
      <c r="G155" s="25"/>
      <c r="H155" s="25"/>
      <c r="I155" s="25"/>
      <c r="J155" s="25"/>
      <c r="K155" s="25"/>
      <c r="L155" s="25"/>
      <c r="M155" s="25"/>
      <c r="N155" s="25"/>
      <c r="O155" s="25"/>
      <c r="P155" s="25"/>
      <c r="Q155" s="25"/>
      <c r="R155" s="25"/>
      <c r="S155" s="25"/>
      <c r="T155" s="25"/>
      <c r="U155" s="25"/>
      <c r="V155" s="61"/>
      <c r="W155" s="25"/>
      <c r="X155" s="5"/>
    </row>
    <row r="156" spans="1:25" ht="15.75" x14ac:dyDescent="0.25">
      <c r="A156" s="6"/>
      <c r="B156" s="119" t="s">
        <v>24</v>
      </c>
      <c r="C156" s="8"/>
      <c r="D156" s="8"/>
      <c r="E156" s="8"/>
      <c r="F156" s="8"/>
      <c r="G156" s="8"/>
      <c r="H156" s="8"/>
      <c r="I156" s="8"/>
      <c r="J156" s="8"/>
      <c r="K156" s="8"/>
      <c r="L156" s="8"/>
      <c r="M156" s="8"/>
      <c r="N156" s="8"/>
      <c r="O156" s="8"/>
      <c r="P156" s="8"/>
      <c r="Q156" s="8"/>
      <c r="R156" s="8"/>
      <c r="S156" s="8"/>
      <c r="T156" s="8"/>
      <c r="U156" s="8"/>
      <c r="V156" s="52"/>
      <c r="W156" s="8"/>
      <c r="X156" s="5"/>
    </row>
    <row r="157" spans="1:25" ht="15.75" x14ac:dyDescent="0.25">
      <c r="A157" s="24"/>
      <c r="B157" s="25" t="s">
        <v>47</v>
      </c>
      <c r="C157" s="25"/>
      <c r="D157" s="25"/>
      <c r="E157" s="25"/>
      <c r="F157" s="25"/>
      <c r="G157" s="25"/>
      <c r="H157" s="25"/>
      <c r="I157" s="25"/>
      <c r="J157" s="25"/>
      <c r="K157" s="25"/>
      <c r="L157" s="25"/>
      <c r="M157" s="25"/>
      <c r="N157" s="25"/>
      <c r="O157" s="25"/>
      <c r="P157" s="25"/>
      <c r="Q157" s="25"/>
      <c r="R157" s="25"/>
      <c r="S157" s="25"/>
      <c r="T157" s="25"/>
      <c r="U157" s="25"/>
      <c r="V157" s="59" t="s">
        <v>118</v>
      </c>
      <c r="W157" s="25"/>
      <c r="X157" s="5"/>
    </row>
    <row r="158" spans="1:25" ht="15.75" x14ac:dyDescent="0.25">
      <c r="A158" s="24"/>
      <c r="B158" s="25" t="s">
        <v>48</v>
      </c>
      <c r="C158" s="174"/>
      <c r="D158" s="174"/>
      <c r="E158" s="174"/>
      <c r="F158" s="174"/>
      <c r="G158" s="174"/>
      <c r="H158" s="174"/>
      <c r="I158" s="174"/>
      <c r="J158" s="174"/>
      <c r="K158" s="174"/>
      <c r="L158" s="174"/>
      <c r="M158" s="174"/>
      <c r="N158" s="174"/>
      <c r="O158" s="174"/>
      <c r="P158" s="174"/>
      <c r="Q158" s="174"/>
      <c r="R158" s="174"/>
      <c r="S158" s="174"/>
      <c r="T158" s="174"/>
      <c r="U158" s="174"/>
      <c r="V158" s="59" t="s">
        <v>118</v>
      </c>
      <c r="W158" s="25"/>
      <c r="X158" s="5"/>
    </row>
    <row r="159" spans="1:25" ht="15.75" x14ac:dyDescent="0.25">
      <c r="A159" s="24"/>
      <c r="B159" s="25" t="s">
        <v>49</v>
      </c>
      <c r="C159" s="25"/>
      <c r="D159" s="25"/>
      <c r="E159" s="25"/>
      <c r="F159" s="25"/>
      <c r="G159" s="25"/>
      <c r="H159" s="25"/>
      <c r="I159" s="25"/>
      <c r="J159" s="25"/>
      <c r="K159" s="25"/>
      <c r="L159" s="25"/>
      <c r="M159" s="25"/>
      <c r="N159" s="25"/>
      <c r="O159" s="25"/>
      <c r="P159" s="25"/>
      <c r="Q159" s="25"/>
      <c r="R159" s="25"/>
      <c r="S159" s="25"/>
      <c r="T159" s="25"/>
      <c r="U159" s="25"/>
      <c r="V159" s="59" t="s">
        <v>118</v>
      </c>
      <c r="W159" s="25"/>
      <c r="X159" s="5"/>
    </row>
    <row r="160" spans="1:25" ht="15.75" x14ac:dyDescent="0.25">
      <c r="A160" s="24"/>
      <c r="B160" s="25" t="s">
        <v>50</v>
      </c>
      <c r="C160" s="25"/>
      <c r="D160" s="25"/>
      <c r="E160" s="25"/>
      <c r="F160" s="25"/>
      <c r="G160" s="25"/>
      <c r="H160" s="25"/>
      <c r="I160" s="25"/>
      <c r="J160" s="25"/>
      <c r="K160" s="25"/>
      <c r="L160" s="25"/>
      <c r="M160" s="25"/>
      <c r="N160" s="25"/>
      <c r="O160" s="25"/>
      <c r="P160" s="25"/>
      <c r="Q160" s="25"/>
      <c r="R160" s="25"/>
      <c r="S160" s="25"/>
      <c r="T160" s="25"/>
      <c r="U160" s="25"/>
      <c r="V160" s="59" t="s">
        <v>118</v>
      </c>
      <c r="W160" s="25"/>
      <c r="X160" s="5"/>
    </row>
    <row r="161" spans="1:256" ht="15.75" x14ac:dyDescent="0.25">
      <c r="A161" s="24"/>
      <c r="B161" s="25"/>
      <c r="C161" s="25"/>
      <c r="D161" s="25"/>
      <c r="E161" s="25"/>
      <c r="F161" s="25"/>
      <c r="G161" s="25"/>
      <c r="H161" s="25"/>
      <c r="I161" s="25"/>
      <c r="J161" s="25"/>
      <c r="K161" s="25"/>
      <c r="L161" s="25"/>
      <c r="M161" s="25"/>
      <c r="N161" s="25"/>
      <c r="O161" s="25"/>
      <c r="P161" s="25"/>
      <c r="Q161" s="25"/>
      <c r="R161" s="25"/>
      <c r="S161" s="25"/>
      <c r="T161" s="25"/>
      <c r="U161" s="25"/>
      <c r="V161" s="61"/>
      <c r="W161" s="25"/>
      <c r="X161" s="5"/>
    </row>
    <row r="162" spans="1:256" ht="15.75" x14ac:dyDescent="0.25">
      <c r="A162" s="6"/>
      <c r="B162" s="119" t="s">
        <v>51</v>
      </c>
      <c r="C162" s="8"/>
      <c r="D162" s="8"/>
      <c r="E162" s="8"/>
      <c r="F162" s="8"/>
      <c r="G162" s="8"/>
      <c r="H162" s="8"/>
      <c r="I162" s="8"/>
      <c r="J162" s="8"/>
      <c r="K162" s="8"/>
      <c r="L162" s="8"/>
      <c r="M162" s="8"/>
      <c r="N162" s="8"/>
      <c r="O162" s="8"/>
      <c r="P162" s="8"/>
      <c r="Q162" s="8"/>
      <c r="R162" s="8"/>
      <c r="S162" s="8"/>
      <c r="T162" s="8"/>
      <c r="U162" s="8"/>
      <c r="V162" s="63"/>
      <c r="W162" s="8"/>
      <c r="X162" s="5"/>
    </row>
    <row r="163" spans="1:256" ht="15.75" x14ac:dyDescent="0.25">
      <c r="A163" s="24"/>
      <c r="B163" s="25" t="s">
        <v>52</v>
      </c>
      <c r="C163" s="25"/>
      <c r="D163" s="25"/>
      <c r="E163" s="25"/>
      <c r="F163" s="25"/>
      <c r="G163" s="25"/>
      <c r="H163" s="25"/>
      <c r="I163" s="25"/>
      <c r="J163" s="25"/>
      <c r="K163" s="25"/>
      <c r="L163" s="25"/>
      <c r="M163" s="25"/>
      <c r="N163" s="25"/>
      <c r="O163" s="25"/>
      <c r="P163" s="25"/>
      <c r="Q163" s="25"/>
      <c r="R163" s="25"/>
      <c r="S163" s="25"/>
      <c r="T163" s="25"/>
      <c r="U163" s="25"/>
      <c r="V163" s="53">
        <v>0</v>
      </c>
      <c r="W163" s="25"/>
      <c r="X163" s="5"/>
    </row>
    <row r="164" spans="1:256" ht="15.75" x14ac:dyDescent="0.25">
      <c r="A164" s="24"/>
      <c r="B164" s="25" t="s">
        <v>53</v>
      </c>
      <c r="C164" s="25"/>
      <c r="D164" s="25"/>
      <c r="E164" s="25"/>
      <c r="F164" s="25"/>
      <c r="G164" s="25"/>
      <c r="H164" s="25"/>
      <c r="I164" s="25"/>
      <c r="J164" s="25"/>
      <c r="K164" s="25"/>
      <c r="L164" s="25"/>
      <c r="M164" s="25"/>
      <c r="N164" s="25"/>
      <c r="O164" s="25"/>
      <c r="P164" s="25"/>
      <c r="Q164" s="25"/>
      <c r="R164" s="25"/>
      <c r="S164" s="25"/>
      <c r="T164" s="25"/>
      <c r="U164" s="25"/>
      <c r="V164" s="53">
        <v>111</v>
      </c>
      <c r="W164" s="25"/>
      <c r="X164" s="5"/>
    </row>
    <row r="165" spans="1:256" ht="15.75" x14ac:dyDescent="0.25">
      <c r="A165" s="24"/>
      <c r="B165" s="25" t="s">
        <v>54</v>
      </c>
      <c r="C165" s="25"/>
      <c r="D165" s="25"/>
      <c r="E165" s="25"/>
      <c r="F165" s="25"/>
      <c r="G165" s="25"/>
      <c r="H165" s="25"/>
      <c r="I165" s="25"/>
      <c r="J165" s="25"/>
      <c r="K165" s="25"/>
      <c r="L165" s="25"/>
      <c r="M165" s="25"/>
      <c r="N165" s="25"/>
      <c r="O165" s="25"/>
      <c r="P165" s="25"/>
      <c r="Q165" s="25"/>
      <c r="R165" s="25"/>
      <c r="S165" s="25"/>
      <c r="T165" s="25"/>
      <c r="U165" s="25"/>
      <c r="V165" s="53">
        <f>V164+V163</f>
        <v>111</v>
      </c>
      <c r="W165" s="25"/>
      <c r="X165" s="5"/>
    </row>
    <row r="166" spans="1:256" ht="15.75" x14ac:dyDescent="0.25">
      <c r="A166" s="24"/>
      <c r="B166" s="25" t="s">
        <v>303</v>
      </c>
      <c r="C166" s="25"/>
      <c r="D166" s="25"/>
      <c r="E166" s="25"/>
      <c r="F166" s="25"/>
      <c r="G166" s="25"/>
      <c r="H166" s="25"/>
      <c r="I166" s="25"/>
      <c r="J166" s="25"/>
      <c r="K166" s="25"/>
      <c r="L166" s="25"/>
      <c r="M166" s="25"/>
      <c r="N166" s="25"/>
      <c r="O166" s="25"/>
      <c r="P166" s="25"/>
      <c r="Q166" s="25"/>
      <c r="R166" s="25"/>
      <c r="S166" s="25"/>
      <c r="T166" s="25"/>
      <c r="U166" s="25"/>
      <c r="V166" s="53">
        <f>V114</f>
        <v>-111</v>
      </c>
      <c r="W166" s="25"/>
      <c r="X166" s="5"/>
    </row>
    <row r="167" spans="1:256" ht="15.75" x14ac:dyDescent="0.25">
      <c r="A167" s="24"/>
      <c r="B167" s="25" t="s">
        <v>55</v>
      </c>
      <c r="C167" s="25"/>
      <c r="D167" s="25"/>
      <c r="E167" s="25"/>
      <c r="F167" s="25"/>
      <c r="G167" s="25"/>
      <c r="H167" s="25"/>
      <c r="I167" s="25"/>
      <c r="J167" s="25"/>
      <c r="K167" s="25"/>
      <c r="L167" s="25"/>
      <c r="M167" s="25"/>
      <c r="N167" s="25"/>
      <c r="O167" s="25"/>
      <c r="P167" s="25"/>
      <c r="Q167" s="25"/>
      <c r="R167" s="25"/>
      <c r="S167" s="25"/>
      <c r="T167" s="25"/>
      <c r="U167" s="25"/>
      <c r="V167" s="53">
        <f>V165+V166</f>
        <v>0</v>
      </c>
      <c r="W167" s="25"/>
      <c r="X167" s="5"/>
    </row>
    <row r="168" spans="1:256" ht="16.5" thickBot="1" x14ac:dyDescent="0.3">
      <c r="A168" s="24"/>
      <c r="B168" s="25"/>
      <c r="C168" s="25"/>
      <c r="D168" s="25"/>
      <c r="E168" s="25"/>
      <c r="F168" s="25"/>
      <c r="G168" s="25"/>
      <c r="H168" s="25"/>
      <c r="I168" s="25"/>
      <c r="J168" s="25"/>
      <c r="K168" s="25"/>
      <c r="L168" s="25"/>
      <c r="M168" s="25"/>
      <c r="N168" s="25"/>
      <c r="O168" s="25"/>
      <c r="P168" s="25"/>
      <c r="Q168" s="25"/>
      <c r="R168" s="25"/>
      <c r="S168" s="25"/>
      <c r="T168" s="25"/>
      <c r="U168" s="25"/>
      <c r="V168" s="61"/>
      <c r="W168" s="25"/>
      <c r="X168" s="5"/>
    </row>
    <row r="169" spans="1:256" ht="15.75" x14ac:dyDescent="0.25">
      <c r="A169" s="2"/>
      <c r="B169" s="4"/>
      <c r="C169" s="4"/>
      <c r="D169" s="4"/>
      <c r="E169" s="4"/>
      <c r="F169" s="4"/>
      <c r="G169" s="4"/>
      <c r="H169" s="4"/>
      <c r="I169" s="4"/>
      <c r="J169" s="4"/>
      <c r="K169" s="4"/>
      <c r="L169" s="4"/>
      <c r="M169" s="4"/>
      <c r="N169" s="4"/>
      <c r="O169" s="4"/>
      <c r="P169" s="4"/>
      <c r="Q169" s="4"/>
      <c r="R169" s="4"/>
      <c r="S169" s="4"/>
      <c r="T169" s="4"/>
      <c r="U169" s="4"/>
      <c r="V169" s="50"/>
      <c r="W169" s="4"/>
      <c r="X169" s="5"/>
    </row>
    <row r="170" spans="1:256" s="158" customFormat="1" ht="15.75" x14ac:dyDescent="0.25">
      <c r="A170" s="6"/>
      <c r="B170" s="119" t="s">
        <v>230</v>
      </c>
      <c r="C170" s="157"/>
      <c r="D170" s="157"/>
      <c r="E170" s="157"/>
      <c r="F170" s="157"/>
      <c r="G170" s="157"/>
      <c r="H170" s="157"/>
      <c r="I170" s="157"/>
      <c r="J170" s="157"/>
      <c r="K170" s="157"/>
      <c r="L170" s="157"/>
      <c r="M170" s="157"/>
      <c r="N170" s="157"/>
      <c r="O170" s="157"/>
      <c r="P170" s="157"/>
      <c r="Q170" s="157"/>
      <c r="R170" s="157"/>
      <c r="S170" s="157"/>
      <c r="T170" s="157"/>
      <c r="U170" s="157"/>
      <c r="V170" s="165"/>
      <c r="W170" s="157"/>
      <c r="X170" s="5"/>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s="160" customFormat="1" ht="15.75" x14ac:dyDescent="0.25">
      <c r="A171" s="24"/>
      <c r="B171" s="159" t="s">
        <v>231</v>
      </c>
      <c r="C171" s="159"/>
      <c r="D171" s="159"/>
      <c r="E171" s="159"/>
      <c r="F171" s="159"/>
      <c r="G171" s="159"/>
      <c r="H171" s="159"/>
      <c r="I171" s="159"/>
      <c r="J171" s="159"/>
      <c r="K171" s="159"/>
      <c r="L171" s="159"/>
      <c r="M171" s="159"/>
      <c r="N171" s="159"/>
      <c r="O171" s="159"/>
      <c r="P171" s="159"/>
      <c r="Q171" s="159"/>
      <c r="R171" s="159"/>
      <c r="S171" s="159"/>
      <c r="T171" s="159"/>
      <c r="U171" s="159"/>
      <c r="V171" s="166">
        <f>+'May 08'!V173</f>
        <v>656</v>
      </c>
      <c r="W171" s="159"/>
      <c r="X171" s="5"/>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s="160" customFormat="1" ht="15.75" x14ac:dyDescent="0.25">
      <c r="A172" s="24"/>
      <c r="B172" s="159" t="s">
        <v>234</v>
      </c>
      <c r="C172" s="159"/>
      <c r="D172" s="159"/>
      <c r="E172" s="159"/>
      <c r="F172" s="159"/>
      <c r="G172" s="159"/>
      <c r="H172" s="159"/>
      <c r="I172" s="159"/>
      <c r="J172" s="159"/>
      <c r="K172" s="159"/>
      <c r="L172" s="159"/>
      <c r="M172" s="159"/>
      <c r="N172" s="159"/>
      <c r="O172" s="159"/>
      <c r="P172" s="159"/>
      <c r="Q172" s="159"/>
      <c r="R172" s="159"/>
      <c r="S172" s="159"/>
      <c r="T172" s="159"/>
      <c r="U172" s="159"/>
      <c r="V172" s="166">
        <f>+V95</f>
        <v>656</v>
      </c>
      <c r="W172" s="159"/>
      <c r="X172" s="5"/>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s="160" customFormat="1" ht="15.75" x14ac:dyDescent="0.25">
      <c r="A173" s="24"/>
      <c r="B173" s="159" t="s">
        <v>232</v>
      </c>
      <c r="C173" s="159"/>
      <c r="D173" s="159"/>
      <c r="E173" s="159"/>
      <c r="F173" s="159"/>
      <c r="G173" s="159"/>
      <c r="H173" s="159"/>
      <c r="I173" s="159"/>
      <c r="J173" s="159"/>
      <c r="K173" s="159"/>
      <c r="L173" s="159"/>
      <c r="M173" s="159"/>
      <c r="N173" s="159"/>
      <c r="O173" s="159"/>
      <c r="P173" s="159"/>
      <c r="Q173" s="159"/>
      <c r="R173" s="159"/>
      <c r="S173" s="159"/>
      <c r="T173" s="159"/>
      <c r="U173" s="159"/>
      <c r="V173" s="166">
        <f>+V171-V172</f>
        <v>0</v>
      </c>
      <c r="W173" s="159"/>
      <c r="X173" s="5"/>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s="163" customFormat="1" ht="16.5" thickBot="1" x14ac:dyDescent="0.3">
      <c r="A174" s="167"/>
      <c r="B174" s="161"/>
      <c r="C174" s="161"/>
      <c r="D174" s="161"/>
      <c r="E174" s="161"/>
      <c r="F174" s="161"/>
      <c r="G174" s="161"/>
      <c r="H174" s="161"/>
      <c r="I174" s="161"/>
      <c r="J174" s="161"/>
      <c r="K174" s="161"/>
      <c r="L174" s="161"/>
      <c r="M174" s="161"/>
      <c r="N174" s="161"/>
      <c r="O174" s="161"/>
      <c r="P174" s="161"/>
      <c r="Q174" s="161"/>
      <c r="R174" s="161"/>
      <c r="S174" s="161"/>
      <c r="T174" s="161"/>
      <c r="U174" s="161"/>
      <c r="V174" s="162"/>
      <c r="W174" s="161"/>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4" customFormat="1" ht="15.75" x14ac:dyDescent="0.25">
      <c r="A175" s="2"/>
      <c r="B175" s="4"/>
      <c r="C175" s="4"/>
      <c r="D175" s="4"/>
      <c r="E175" s="4"/>
      <c r="F175" s="4"/>
      <c r="G175" s="4"/>
      <c r="H175" s="4"/>
      <c r="I175" s="4"/>
      <c r="J175" s="4"/>
      <c r="K175" s="4"/>
      <c r="L175" s="4"/>
      <c r="M175" s="4"/>
      <c r="N175" s="4"/>
      <c r="O175" s="4"/>
      <c r="P175" s="4"/>
      <c r="Q175" s="4"/>
      <c r="R175" s="4"/>
      <c r="S175" s="4"/>
      <c r="T175" s="4"/>
      <c r="U175" s="4"/>
      <c r="V175" s="50"/>
      <c r="W175" s="4"/>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ht="15.75" x14ac:dyDescent="0.25">
      <c r="A176" s="6"/>
      <c r="B176" s="119" t="s">
        <v>56</v>
      </c>
      <c r="C176" s="8"/>
      <c r="D176" s="8"/>
      <c r="E176" s="8"/>
      <c r="F176" s="8"/>
      <c r="G176" s="8"/>
      <c r="H176" s="8"/>
      <c r="I176" s="8"/>
      <c r="J176" s="8"/>
      <c r="K176" s="8"/>
      <c r="L176" s="8"/>
      <c r="M176" s="8"/>
      <c r="N176" s="8"/>
      <c r="O176" s="8"/>
      <c r="P176" s="8"/>
      <c r="Q176" s="8"/>
      <c r="R176" s="8"/>
      <c r="S176" s="8"/>
      <c r="T176" s="8"/>
      <c r="U176" s="8"/>
      <c r="V176" s="52"/>
      <c r="W176" s="8"/>
      <c r="X176" s="5"/>
    </row>
    <row r="177" spans="1:24" ht="15.75" x14ac:dyDescent="0.25">
      <c r="A177" s="6"/>
      <c r="B177" s="21"/>
      <c r="C177" s="8"/>
      <c r="D177" s="8"/>
      <c r="E177" s="8"/>
      <c r="F177" s="8"/>
      <c r="G177" s="8"/>
      <c r="H177" s="8"/>
      <c r="I177" s="8"/>
      <c r="J177" s="8"/>
      <c r="K177" s="8"/>
      <c r="L177" s="8"/>
      <c r="M177" s="8"/>
      <c r="N177" s="8"/>
      <c r="O177" s="8"/>
      <c r="P177" s="8"/>
      <c r="Q177" s="8"/>
      <c r="R177" s="8"/>
      <c r="S177" s="8"/>
      <c r="T177" s="8"/>
      <c r="U177" s="8"/>
      <c r="V177" s="52"/>
      <c r="W177" s="8"/>
      <c r="X177" s="5"/>
    </row>
    <row r="178" spans="1:24" ht="15.75" x14ac:dyDescent="0.25">
      <c r="A178" s="24"/>
      <c r="B178" s="25" t="s">
        <v>57</v>
      </c>
      <c r="C178" s="25"/>
      <c r="D178" s="25"/>
      <c r="E178" s="25"/>
      <c r="F178" s="25"/>
      <c r="G178" s="25"/>
      <c r="H178" s="25"/>
      <c r="I178" s="25"/>
      <c r="J178" s="25"/>
      <c r="K178" s="25"/>
      <c r="L178" s="25"/>
      <c r="M178" s="25"/>
      <c r="N178" s="25"/>
      <c r="O178" s="25"/>
      <c r="P178" s="25"/>
      <c r="Q178" s="25"/>
      <c r="R178" s="25"/>
      <c r="S178" s="25"/>
      <c r="T178" s="25"/>
      <c r="U178" s="25"/>
      <c r="V178" s="53">
        <f>V72</f>
        <v>929027</v>
      </c>
      <c r="W178" s="25"/>
      <c r="X178" s="5"/>
    </row>
    <row r="179" spans="1:24" ht="15.75" x14ac:dyDescent="0.25">
      <c r="A179" s="24"/>
      <c r="B179" s="25" t="s">
        <v>58</v>
      </c>
      <c r="C179" s="25"/>
      <c r="D179" s="25"/>
      <c r="E179" s="25"/>
      <c r="F179" s="25"/>
      <c r="G179" s="25"/>
      <c r="H179" s="25"/>
      <c r="I179" s="25"/>
      <c r="J179" s="25"/>
      <c r="K179" s="25"/>
      <c r="L179" s="25"/>
      <c r="M179" s="25"/>
      <c r="N179" s="25"/>
      <c r="O179" s="25"/>
      <c r="P179" s="25"/>
      <c r="Q179" s="25"/>
      <c r="R179" s="25"/>
      <c r="S179" s="25"/>
      <c r="T179" s="25"/>
      <c r="U179" s="25"/>
      <c r="V179" s="53">
        <f>V85</f>
        <v>929027</v>
      </c>
      <c r="W179" s="25"/>
      <c r="X179" s="5"/>
    </row>
    <row r="180" spans="1:24" ht="16.5" thickBot="1" x14ac:dyDescent="0.3">
      <c r="A180" s="24"/>
      <c r="B180" s="25"/>
      <c r="C180" s="25"/>
      <c r="D180" s="25"/>
      <c r="E180" s="25"/>
      <c r="F180" s="25"/>
      <c r="G180" s="25"/>
      <c r="H180" s="25"/>
      <c r="I180" s="25"/>
      <c r="J180" s="25"/>
      <c r="K180" s="25"/>
      <c r="L180" s="25"/>
      <c r="M180" s="25"/>
      <c r="N180" s="25"/>
      <c r="O180" s="25"/>
      <c r="P180" s="25"/>
      <c r="Q180" s="25"/>
      <c r="R180" s="25"/>
      <c r="S180" s="25"/>
      <c r="T180" s="25"/>
      <c r="U180" s="25"/>
      <c r="V180" s="61"/>
      <c r="W180" s="25"/>
      <c r="X180" s="5"/>
    </row>
    <row r="181" spans="1:24" ht="15.75" x14ac:dyDescent="0.25">
      <c r="A181" s="2"/>
      <c r="B181" s="4"/>
      <c r="C181" s="4"/>
      <c r="D181" s="4"/>
      <c r="E181" s="4"/>
      <c r="F181" s="4"/>
      <c r="G181" s="4"/>
      <c r="H181" s="4"/>
      <c r="I181" s="4"/>
      <c r="J181" s="4"/>
      <c r="K181" s="4"/>
      <c r="L181" s="4"/>
      <c r="M181" s="4"/>
      <c r="N181" s="4"/>
      <c r="O181" s="4"/>
      <c r="P181" s="4"/>
      <c r="Q181" s="4"/>
      <c r="R181" s="4"/>
      <c r="S181" s="4"/>
      <c r="T181" s="4"/>
      <c r="U181" s="4"/>
      <c r="V181" s="50"/>
      <c r="W181" s="4"/>
      <c r="X181" s="5"/>
    </row>
    <row r="182" spans="1:24" ht="15.75" x14ac:dyDescent="0.25">
      <c r="A182" s="6"/>
      <c r="B182" s="119" t="s">
        <v>59</v>
      </c>
      <c r="C182" s="117"/>
      <c r="D182" s="117"/>
      <c r="E182" s="117"/>
      <c r="F182" s="117"/>
      <c r="G182" s="117"/>
      <c r="H182" s="120"/>
      <c r="I182" s="120"/>
      <c r="J182" s="120"/>
      <c r="K182" s="120"/>
      <c r="L182" s="120"/>
      <c r="M182" s="120"/>
      <c r="N182" s="120"/>
      <c r="O182" s="120"/>
      <c r="P182" s="120"/>
      <c r="Q182" s="120"/>
      <c r="R182" s="120"/>
      <c r="S182" s="120" t="s">
        <v>101</v>
      </c>
      <c r="T182" s="120" t="s">
        <v>176</v>
      </c>
      <c r="U182" s="111"/>
      <c r="V182" s="121" t="s">
        <v>114</v>
      </c>
      <c r="W182" s="10"/>
      <c r="X182" s="5"/>
    </row>
    <row r="183" spans="1:24" ht="15.75" x14ac:dyDescent="0.25">
      <c r="A183" s="24"/>
      <c r="B183" s="25" t="s">
        <v>60</v>
      </c>
      <c r="C183" s="25"/>
      <c r="D183" s="25"/>
      <c r="E183" s="25"/>
      <c r="F183" s="25"/>
      <c r="G183" s="25"/>
      <c r="H183" s="25"/>
      <c r="I183" s="25"/>
      <c r="J183" s="25"/>
      <c r="K183" s="25"/>
      <c r="L183" s="25"/>
      <c r="M183" s="25"/>
      <c r="N183" s="25"/>
      <c r="O183" s="25"/>
      <c r="P183" s="25"/>
      <c r="Q183" s="25"/>
      <c r="R183" s="25"/>
      <c r="S183" s="53">
        <f>+V34*0.16</f>
        <v>160181.28</v>
      </c>
      <c r="T183" s="40"/>
      <c r="U183" s="25"/>
      <c r="V183" s="53"/>
      <c r="W183" s="25"/>
      <c r="X183" s="5"/>
    </row>
    <row r="184" spans="1:24" ht="15.75" x14ac:dyDescent="0.25">
      <c r="A184" s="24"/>
      <c r="B184" s="25" t="s">
        <v>61</v>
      </c>
      <c r="C184" s="25"/>
      <c r="D184" s="25"/>
      <c r="E184" s="25"/>
      <c r="F184" s="25"/>
      <c r="G184" s="25"/>
      <c r="H184" s="25"/>
      <c r="I184" s="25"/>
      <c r="J184" s="25"/>
      <c r="K184" s="25"/>
      <c r="L184" s="25"/>
      <c r="M184" s="25"/>
      <c r="N184" s="25"/>
      <c r="O184" s="25"/>
      <c r="P184" s="25"/>
      <c r="Q184" s="25"/>
      <c r="R184" s="25"/>
      <c r="S184" s="53">
        <f>+'May 08'!S186</f>
        <v>6620</v>
      </c>
      <c r="T184" s="53">
        <f>+'May 08'!T186</f>
        <v>5387</v>
      </c>
      <c r="U184" s="25"/>
      <c r="V184" s="53">
        <f>S184+T184</f>
        <v>12007</v>
      </c>
      <c r="W184" s="25"/>
      <c r="X184" s="5"/>
    </row>
    <row r="185" spans="1:24" ht="15.75" x14ac:dyDescent="0.25">
      <c r="A185" s="24"/>
      <c r="B185" s="25" t="s">
        <v>62</v>
      </c>
      <c r="C185" s="25"/>
      <c r="D185" s="25"/>
      <c r="E185" s="25"/>
      <c r="F185" s="25"/>
      <c r="G185" s="25"/>
      <c r="H185" s="25"/>
      <c r="I185" s="25"/>
      <c r="J185" s="25"/>
      <c r="K185" s="25"/>
      <c r="L185" s="25"/>
      <c r="M185" s="25"/>
      <c r="N185" s="25"/>
      <c r="O185" s="25"/>
      <c r="P185" s="25"/>
      <c r="Q185" s="25"/>
      <c r="R185" s="25"/>
      <c r="S185" s="34">
        <f>893+323-79</f>
        <v>1137</v>
      </c>
      <c r="T185" s="34">
        <v>286</v>
      </c>
      <c r="U185" s="25"/>
      <c r="V185" s="53">
        <f>S185+T185</f>
        <v>1423</v>
      </c>
      <c r="W185" s="25"/>
      <c r="X185" s="5"/>
    </row>
    <row r="186" spans="1:24" ht="15.75" x14ac:dyDescent="0.25">
      <c r="A186" s="24"/>
      <c r="B186" s="25" t="s">
        <v>63</v>
      </c>
      <c r="C186" s="25"/>
      <c r="D186" s="25"/>
      <c r="E186" s="25"/>
      <c r="F186" s="25"/>
      <c r="G186" s="25"/>
      <c r="H186" s="25"/>
      <c r="I186" s="25"/>
      <c r="J186" s="25"/>
      <c r="K186" s="25"/>
      <c r="L186" s="25"/>
      <c r="M186" s="25"/>
      <c r="N186" s="25"/>
      <c r="O186" s="25"/>
      <c r="P186" s="25"/>
      <c r="Q186" s="25"/>
      <c r="R186" s="25"/>
      <c r="S186" s="53">
        <f>S184+S185</f>
        <v>7757</v>
      </c>
      <c r="T186" s="53">
        <f>T185+T184</f>
        <v>5673</v>
      </c>
      <c r="U186" s="25"/>
      <c r="V186" s="53">
        <f>S186+T186</f>
        <v>13430</v>
      </c>
      <c r="W186" s="25"/>
      <c r="X186" s="5"/>
    </row>
    <row r="187" spans="1:24" ht="15.75" x14ac:dyDescent="0.25">
      <c r="A187" s="24"/>
      <c r="B187" s="25" t="s">
        <v>64</v>
      </c>
      <c r="C187" s="25"/>
      <c r="D187" s="25"/>
      <c r="E187" s="25"/>
      <c r="F187" s="25"/>
      <c r="G187" s="25"/>
      <c r="H187" s="25"/>
      <c r="I187" s="25"/>
      <c r="J187" s="25"/>
      <c r="K187" s="25"/>
      <c r="L187" s="25"/>
      <c r="M187" s="25"/>
      <c r="N187" s="25"/>
      <c r="O187" s="25"/>
      <c r="P187" s="25"/>
      <c r="Q187" s="25"/>
      <c r="R187" s="25"/>
      <c r="S187" s="53">
        <f>S183-S186-T186</f>
        <v>146751.28</v>
      </c>
      <c r="T187" s="40"/>
      <c r="U187" s="25"/>
      <c r="V187" s="53"/>
      <c r="W187" s="25"/>
      <c r="X187" s="5"/>
    </row>
    <row r="188" spans="1:24" ht="16.5" thickBot="1" x14ac:dyDescent="0.3">
      <c r="A188" s="24"/>
      <c r="B188" s="25"/>
      <c r="C188" s="25"/>
      <c r="D188" s="25"/>
      <c r="E188" s="25"/>
      <c r="F188" s="25"/>
      <c r="G188" s="25"/>
      <c r="H188" s="25"/>
      <c r="I188" s="25"/>
      <c r="J188" s="25"/>
      <c r="K188" s="25"/>
      <c r="L188" s="25"/>
      <c r="M188" s="25"/>
      <c r="N188" s="25"/>
      <c r="O188" s="25"/>
      <c r="P188" s="25"/>
      <c r="Q188" s="25"/>
      <c r="R188" s="25"/>
      <c r="S188" s="25"/>
      <c r="T188" s="25"/>
      <c r="U188" s="25"/>
      <c r="V188" s="61"/>
      <c r="W188" s="25"/>
      <c r="X188" s="5"/>
    </row>
    <row r="189" spans="1:24" ht="15.75" x14ac:dyDescent="0.25">
      <c r="A189" s="2"/>
      <c r="B189" s="4"/>
      <c r="C189" s="4"/>
      <c r="D189" s="4"/>
      <c r="E189" s="4"/>
      <c r="F189" s="4"/>
      <c r="G189" s="4"/>
      <c r="H189" s="4"/>
      <c r="I189" s="4"/>
      <c r="J189" s="4"/>
      <c r="K189" s="4"/>
      <c r="L189" s="4"/>
      <c r="M189" s="4"/>
      <c r="N189" s="4"/>
      <c r="O189" s="4"/>
      <c r="P189" s="4"/>
      <c r="Q189" s="4"/>
      <c r="R189" s="4"/>
      <c r="S189" s="4"/>
      <c r="T189" s="4"/>
      <c r="U189" s="4"/>
      <c r="V189" s="50"/>
      <c r="W189" s="4"/>
      <c r="X189" s="5"/>
    </row>
    <row r="190" spans="1:24" ht="15.75" x14ac:dyDescent="0.25">
      <c r="A190" s="6"/>
      <c r="B190" s="119" t="s">
        <v>65</v>
      </c>
      <c r="C190" s="8"/>
      <c r="D190" s="8"/>
      <c r="E190" s="8"/>
      <c r="F190" s="8"/>
      <c r="G190" s="8"/>
      <c r="H190" s="8"/>
      <c r="I190" s="8"/>
      <c r="J190" s="8"/>
      <c r="K190" s="8"/>
      <c r="L190" s="8"/>
      <c r="M190" s="8"/>
      <c r="N190" s="8"/>
      <c r="O190" s="8"/>
      <c r="P190" s="8"/>
      <c r="Q190" s="8"/>
      <c r="R190" s="8"/>
      <c r="S190" s="8"/>
      <c r="T190" s="8"/>
      <c r="U190" s="8"/>
      <c r="V190" s="65"/>
      <c r="W190" s="8"/>
      <c r="X190" s="5"/>
    </row>
    <row r="191" spans="1:24" ht="15.75" x14ac:dyDescent="0.25">
      <c r="A191" s="24"/>
      <c r="B191" s="25" t="s">
        <v>66</v>
      </c>
      <c r="C191" s="25"/>
      <c r="D191" s="25"/>
      <c r="E191" s="25"/>
      <c r="F191" s="25"/>
      <c r="G191" s="25"/>
      <c r="H191" s="25"/>
      <c r="I191" s="25"/>
      <c r="J191" s="25"/>
      <c r="K191" s="25"/>
      <c r="L191" s="25"/>
      <c r="M191" s="25"/>
      <c r="N191" s="25"/>
      <c r="O191" s="25"/>
      <c r="P191" s="25"/>
      <c r="Q191" s="25"/>
      <c r="R191" s="25"/>
      <c r="S191" s="25"/>
      <c r="T191" s="25"/>
      <c r="U191" s="25"/>
      <c r="V191" s="59">
        <f>(V102+V104+V105+V106+V107)/-(V108+V109)</f>
        <v>1.4835542072489223</v>
      </c>
      <c r="W191" s="25" t="s">
        <v>115</v>
      </c>
      <c r="X191" s="5"/>
    </row>
    <row r="192" spans="1:24" ht="15.75" x14ac:dyDescent="0.25">
      <c r="A192" s="24"/>
      <c r="B192" s="25" t="s">
        <v>67</v>
      </c>
      <c r="C192" s="25"/>
      <c r="D192" s="25"/>
      <c r="E192" s="25"/>
      <c r="F192" s="25"/>
      <c r="G192" s="25"/>
      <c r="H192" s="25"/>
      <c r="I192" s="25"/>
      <c r="J192" s="25"/>
      <c r="K192" s="25"/>
      <c r="L192" s="25"/>
      <c r="M192" s="25"/>
      <c r="N192" s="25"/>
      <c r="O192" s="25"/>
      <c r="P192" s="25"/>
      <c r="Q192" s="25"/>
      <c r="R192" s="25"/>
      <c r="S192" s="25"/>
      <c r="T192" s="25"/>
      <c r="U192" s="25"/>
      <c r="V192" s="66">
        <v>1.35</v>
      </c>
      <c r="W192" s="25" t="s">
        <v>115</v>
      </c>
      <c r="X192" s="5"/>
    </row>
    <row r="193" spans="1:24" ht="15.75" x14ac:dyDescent="0.25">
      <c r="A193" s="24"/>
      <c r="B193" s="25" t="s">
        <v>68</v>
      </c>
      <c r="C193" s="25"/>
      <c r="D193" s="25"/>
      <c r="E193" s="25"/>
      <c r="F193" s="25"/>
      <c r="G193" s="25"/>
      <c r="H193" s="25"/>
      <c r="I193" s="25"/>
      <c r="J193" s="25"/>
      <c r="K193" s="25"/>
      <c r="L193" s="25"/>
      <c r="M193" s="25"/>
      <c r="N193" s="25"/>
      <c r="O193" s="25"/>
      <c r="P193" s="25"/>
      <c r="Q193" s="25"/>
      <c r="R193" s="25"/>
      <c r="S193" s="25"/>
      <c r="T193" s="25"/>
      <c r="U193" s="25"/>
      <c r="V193" s="59">
        <f>(V102+V104+V105+V106+V107+V108+V109)/-(V110+V111)</f>
        <v>5.1769230769230772</v>
      </c>
      <c r="W193" s="25" t="s">
        <v>115</v>
      </c>
      <c r="X193" s="5"/>
    </row>
    <row r="194" spans="1:24" ht="15.75" x14ac:dyDescent="0.25">
      <c r="A194" s="24"/>
      <c r="B194" s="25" t="s">
        <v>69</v>
      </c>
      <c r="C194" s="25"/>
      <c r="D194" s="25"/>
      <c r="E194" s="25"/>
      <c r="F194" s="25"/>
      <c r="G194" s="25"/>
      <c r="H194" s="25"/>
      <c r="I194" s="25"/>
      <c r="J194" s="25"/>
      <c r="K194" s="25"/>
      <c r="L194" s="25"/>
      <c r="M194" s="25"/>
      <c r="N194" s="25"/>
      <c r="O194" s="25"/>
      <c r="P194" s="25"/>
      <c r="Q194" s="25"/>
      <c r="R194" s="25"/>
      <c r="S194" s="25"/>
      <c r="T194" s="25"/>
      <c r="U194" s="25"/>
      <c r="V194" s="66">
        <v>3.8</v>
      </c>
      <c r="W194" s="25" t="s">
        <v>115</v>
      </c>
      <c r="X194" s="5"/>
    </row>
    <row r="195" spans="1:24" ht="15.75" x14ac:dyDescent="0.25">
      <c r="A195" s="24"/>
      <c r="B195" s="25" t="s">
        <v>198</v>
      </c>
      <c r="C195" s="25"/>
      <c r="D195" s="25"/>
      <c r="E195" s="25"/>
      <c r="F195" s="25"/>
      <c r="G195" s="25"/>
      <c r="H195" s="25"/>
      <c r="I195" s="25"/>
      <c r="J195" s="25"/>
      <c r="K195" s="25"/>
      <c r="L195" s="25"/>
      <c r="M195" s="25"/>
      <c r="N195" s="25"/>
      <c r="O195" s="25"/>
      <c r="P195" s="25"/>
      <c r="Q195" s="25"/>
      <c r="R195" s="25"/>
      <c r="S195" s="25"/>
      <c r="T195" s="25"/>
      <c r="U195" s="25"/>
      <c r="V195" s="59">
        <f>(V102+V104+V105+V106+V107+V108+V109+V110+V111)/-(V112)</f>
        <v>3.9764035801464606</v>
      </c>
      <c r="W195" s="25" t="s">
        <v>115</v>
      </c>
      <c r="X195" s="5"/>
    </row>
    <row r="196" spans="1:24" ht="15.75" x14ac:dyDescent="0.25">
      <c r="A196" s="24"/>
      <c r="B196" s="25" t="s">
        <v>199</v>
      </c>
      <c r="C196" s="25"/>
      <c r="D196" s="25"/>
      <c r="E196" s="25"/>
      <c r="F196" s="25"/>
      <c r="G196" s="25"/>
      <c r="H196" s="25"/>
      <c r="I196" s="25"/>
      <c r="J196" s="25"/>
      <c r="K196" s="25"/>
      <c r="L196" s="25"/>
      <c r="M196" s="25"/>
      <c r="N196" s="25"/>
      <c r="O196" s="25"/>
      <c r="P196" s="25"/>
      <c r="Q196" s="25"/>
      <c r="R196" s="25"/>
      <c r="S196" s="25"/>
      <c r="T196" s="25"/>
      <c r="U196" s="25"/>
      <c r="V196" s="66">
        <v>2.67</v>
      </c>
      <c r="W196" s="25" t="s">
        <v>115</v>
      </c>
      <c r="X196" s="5"/>
    </row>
    <row r="197" spans="1:24" ht="15.75" x14ac:dyDescent="0.25">
      <c r="A197" s="24"/>
      <c r="B197" s="25"/>
      <c r="C197" s="25"/>
      <c r="D197" s="25"/>
      <c r="E197" s="25"/>
      <c r="F197" s="25"/>
      <c r="G197" s="25"/>
      <c r="H197" s="25"/>
      <c r="I197" s="25"/>
      <c r="J197" s="25"/>
      <c r="K197" s="25"/>
      <c r="L197" s="25"/>
      <c r="M197" s="25"/>
      <c r="N197" s="25"/>
      <c r="O197" s="25"/>
      <c r="P197" s="25"/>
      <c r="Q197" s="25"/>
      <c r="R197" s="25"/>
      <c r="S197" s="25"/>
      <c r="T197" s="25"/>
      <c r="U197" s="25"/>
      <c r="V197" s="25"/>
      <c r="W197" s="25"/>
      <c r="X197" s="5"/>
    </row>
    <row r="198" spans="1:24" ht="15.75" x14ac:dyDescent="0.25">
      <c r="A198" s="24"/>
      <c r="B198" s="25"/>
      <c r="C198" s="25"/>
      <c r="D198" s="25"/>
      <c r="E198" s="25"/>
      <c r="F198" s="25"/>
      <c r="G198" s="25"/>
      <c r="H198" s="25"/>
      <c r="I198" s="25"/>
      <c r="J198" s="25"/>
      <c r="K198" s="25"/>
      <c r="L198" s="25"/>
      <c r="M198" s="25"/>
      <c r="N198" s="25"/>
      <c r="O198" s="25"/>
      <c r="P198" s="25"/>
      <c r="Q198" s="25"/>
      <c r="R198" s="25"/>
      <c r="S198" s="25"/>
      <c r="T198" s="25"/>
      <c r="U198" s="25"/>
      <c r="V198" s="25"/>
      <c r="W198" s="25"/>
      <c r="X198" s="5"/>
    </row>
    <row r="199" spans="1:24" ht="15.75" x14ac:dyDescent="0.25">
      <c r="A199" s="6"/>
      <c r="B199" s="8"/>
      <c r="C199" s="8"/>
      <c r="D199" s="8"/>
      <c r="E199" s="8"/>
      <c r="F199" s="8"/>
      <c r="G199" s="8"/>
      <c r="H199" s="8"/>
      <c r="I199" s="8"/>
      <c r="J199" s="8"/>
      <c r="K199" s="8"/>
      <c r="L199" s="8"/>
      <c r="M199" s="8"/>
      <c r="N199" s="8"/>
      <c r="O199" s="8"/>
      <c r="P199" s="8"/>
      <c r="Q199" s="8"/>
      <c r="R199" s="8"/>
      <c r="S199" s="8"/>
      <c r="T199" s="8"/>
      <c r="U199" s="8"/>
      <c r="V199" s="8"/>
      <c r="W199" s="8"/>
      <c r="X199" s="5"/>
    </row>
    <row r="200" spans="1:24" ht="19.5" thickBot="1" x14ac:dyDescent="0.35">
      <c r="A200" s="101"/>
      <c r="B200" s="102" t="str">
        <f>B135</f>
        <v>PM15 INVESTOR REPORT QUARTER ENDING AUG 2008</v>
      </c>
      <c r="C200" s="176"/>
      <c r="D200" s="176"/>
      <c r="E200" s="176"/>
      <c r="F200" s="176"/>
      <c r="G200" s="176"/>
      <c r="H200" s="176"/>
      <c r="I200" s="176"/>
      <c r="J200" s="176"/>
      <c r="K200" s="176"/>
      <c r="L200" s="176"/>
      <c r="M200" s="176"/>
      <c r="N200" s="176"/>
      <c r="O200" s="176"/>
      <c r="P200" s="176"/>
      <c r="Q200" s="176"/>
      <c r="R200" s="176"/>
      <c r="S200" s="176"/>
      <c r="T200" s="176"/>
      <c r="U200" s="176"/>
      <c r="V200" s="176"/>
      <c r="W200" s="177"/>
      <c r="X200" s="5"/>
    </row>
    <row r="201" spans="1:24" ht="15.75" x14ac:dyDescent="0.25">
      <c r="A201" s="67"/>
      <c r="B201" s="60" t="s">
        <v>70</v>
      </c>
      <c r="C201" s="68"/>
      <c r="D201" s="68"/>
      <c r="E201" s="68"/>
      <c r="F201" s="68"/>
      <c r="G201" s="69"/>
      <c r="H201" s="69"/>
      <c r="I201" s="69"/>
      <c r="J201" s="69"/>
      <c r="K201" s="69"/>
      <c r="L201" s="69"/>
      <c r="M201" s="69"/>
      <c r="N201" s="69"/>
      <c r="O201" s="69"/>
      <c r="P201" s="69"/>
      <c r="Q201" s="69"/>
      <c r="R201" s="69"/>
      <c r="S201" s="69"/>
      <c r="T201" s="70">
        <v>39691</v>
      </c>
      <c r="U201" s="4"/>
      <c r="V201" s="4"/>
      <c r="W201" s="4"/>
      <c r="X201" s="5"/>
    </row>
    <row r="202" spans="1:24" ht="15.75" x14ac:dyDescent="0.25">
      <c r="A202" s="71"/>
      <c r="B202" s="72"/>
      <c r="C202" s="73"/>
      <c r="D202" s="73"/>
      <c r="E202" s="73"/>
      <c r="F202" s="73"/>
      <c r="G202" s="74"/>
      <c r="H202" s="74"/>
      <c r="I202" s="74"/>
      <c r="J202" s="74"/>
      <c r="K202" s="74"/>
      <c r="L202" s="74"/>
      <c r="M202" s="74"/>
      <c r="N202" s="74"/>
      <c r="O202" s="74"/>
      <c r="P202" s="74"/>
      <c r="Q202" s="74"/>
      <c r="R202" s="74"/>
      <c r="S202" s="74"/>
      <c r="T202" s="74"/>
      <c r="U202" s="8"/>
      <c r="V202" s="8"/>
      <c r="W202" s="8"/>
      <c r="X202" s="5"/>
    </row>
    <row r="203" spans="1:24" ht="15.75" x14ac:dyDescent="0.25">
      <c r="A203" s="75"/>
      <c r="B203" s="76" t="s">
        <v>71</v>
      </c>
      <c r="C203" s="77"/>
      <c r="D203" s="77"/>
      <c r="E203" s="77"/>
      <c r="F203" s="77"/>
      <c r="G203" s="64"/>
      <c r="H203" s="64"/>
      <c r="I203" s="64"/>
      <c r="J203" s="64"/>
      <c r="K203" s="64"/>
      <c r="L203" s="64"/>
      <c r="M203" s="64"/>
      <c r="N203" s="64"/>
      <c r="O203" s="64"/>
      <c r="P203" s="64"/>
      <c r="Q203" s="64"/>
      <c r="R203" s="64"/>
      <c r="S203" s="64"/>
      <c r="T203" s="78">
        <v>5.3830000000000003E-2</v>
      </c>
      <c r="U203" s="25"/>
      <c r="V203" s="25"/>
      <c r="W203" s="25"/>
      <c r="X203" s="5"/>
    </row>
    <row r="204" spans="1:24" ht="15.75" x14ac:dyDescent="0.25">
      <c r="A204" s="75"/>
      <c r="B204" s="76" t="s">
        <v>151</v>
      </c>
      <c r="C204" s="77"/>
      <c r="D204" s="77"/>
      <c r="E204" s="77"/>
      <c r="F204" s="77"/>
      <c r="G204" s="64"/>
      <c r="H204" s="64"/>
      <c r="I204" s="64"/>
      <c r="J204" s="64"/>
      <c r="K204" s="64"/>
      <c r="L204" s="64"/>
      <c r="M204" s="64"/>
      <c r="N204" s="64"/>
      <c r="O204" s="64"/>
      <c r="P204" s="64"/>
      <c r="Q204" s="64"/>
      <c r="R204" s="64"/>
      <c r="S204" s="64"/>
      <c r="T204" s="39">
        <v>6.25E-2</v>
      </c>
      <c r="U204" s="25"/>
      <c r="V204" s="25"/>
      <c r="W204" s="25"/>
      <c r="X204" s="5"/>
    </row>
    <row r="205" spans="1:24" ht="15.75" x14ac:dyDescent="0.25">
      <c r="A205" s="75"/>
      <c r="B205" s="76" t="s">
        <v>72</v>
      </c>
      <c r="C205" s="77"/>
      <c r="D205" s="77"/>
      <c r="E205" s="77"/>
      <c r="F205" s="77"/>
      <c r="G205" s="64"/>
      <c r="H205" s="64"/>
      <c r="I205" s="64"/>
      <c r="J205" s="64"/>
      <c r="K205" s="64"/>
      <c r="L205" s="64"/>
      <c r="M205" s="64"/>
      <c r="N205" s="64"/>
      <c r="O205" s="64"/>
      <c r="P205" s="64"/>
      <c r="Q205" s="64"/>
      <c r="R205" s="64"/>
      <c r="S205" s="64"/>
      <c r="T205" s="78">
        <f>T203-T204</f>
        <v>-8.6699999999999972E-3</v>
      </c>
      <c r="U205" s="25"/>
      <c r="V205" s="25"/>
      <c r="W205" s="25"/>
      <c r="X205" s="5"/>
    </row>
    <row r="206" spans="1:24" ht="15.75" x14ac:dyDescent="0.25">
      <c r="A206" s="75"/>
      <c r="B206" s="76" t="s">
        <v>73</v>
      </c>
      <c r="C206" s="77"/>
      <c r="D206" s="77"/>
      <c r="E206" s="77"/>
      <c r="F206" s="77"/>
      <c r="G206" s="64"/>
      <c r="H206" s="64"/>
      <c r="I206" s="64"/>
      <c r="J206" s="64"/>
      <c r="K206" s="64"/>
      <c r="L206" s="64"/>
      <c r="M206" s="64"/>
      <c r="N206" s="64"/>
      <c r="O206" s="64"/>
      <c r="P206" s="64"/>
      <c r="Q206" s="64"/>
      <c r="R206" s="64"/>
      <c r="S206" s="64"/>
      <c r="T206" s="78">
        <v>5.7759999999999999E-2</v>
      </c>
      <c r="U206" s="25"/>
      <c r="V206" s="25"/>
      <c r="W206" s="25"/>
      <c r="X206" s="5"/>
    </row>
    <row r="207" spans="1:24" ht="15.75" x14ac:dyDescent="0.25">
      <c r="A207" s="75"/>
      <c r="B207" s="76" t="s">
        <v>218</v>
      </c>
      <c r="C207" s="77"/>
      <c r="D207" s="77"/>
      <c r="E207" s="77"/>
      <c r="F207" s="77"/>
      <c r="G207" s="64"/>
      <c r="H207" s="64"/>
      <c r="I207" s="64"/>
      <c r="J207" s="64"/>
      <c r="K207" s="64"/>
      <c r="L207" s="64"/>
      <c r="M207" s="64"/>
      <c r="N207" s="64"/>
      <c r="O207" s="64"/>
      <c r="P207" s="64"/>
      <c r="Q207" s="64"/>
      <c r="R207" s="64"/>
      <c r="S207" s="64"/>
      <c r="T207" s="78">
        <f>V43</f>
        <v>6.1261602651670209E-2</v>
      </c>
      <c r="U207" s="25"/>
      <c r="V207" s="25"/>
      <c r="W207" s="25"/>
      <c r="X207" s="5"/>
    </row>
    <row r="208" spans="1:24" ht="15.75" x14ac:dyDescent="0.25">
      <c r="A208" s="75"/>
      <c r="B208" s="76" t="s">
        <v>74</v>
      </c>
      <c r="C208" s="77"/>
      <c r="D208" s="77"/>
      <c r="E208" s="77"/>
      <c r="F208" s="77"/>
      <c r="G208" s="64"/>
      <c r="H208" s="64"/>
      <c r="I208" s="64"/>
      <c r="J208" s="64"/>
      <c r="K208" s="64"/>
      <c r="L208" s="64"/>
      <c r="M208" s="64"/>
      <c r="N208" s="64"/>
      <c r="O208" s="64"/>
      <c r="P208" s="64"/>
      <c r="Q208" s="64"/>
      <c r="R208" s="64"/>
      <c r="S208" s="64"/>
      <c r="T208" s="78">
        <f>T206-T207</f>
        <v>-3.5016026516702103E-3</v>
      </c>
      <c r="U208" s="25"/>
      <c r="V208" s="25"/>
      <c r="W208" s="25"/>
      <c r="X208" s="5"/>
    </row>
    <row r="209" spans="1:24" ht="15.75" x14ac:dyDescent="0.25">
      <c r="A209" s="75"/>
      <c r="B209" s="76" t="s">
        <v>227</v>
      </c>
      <c r="C209" s="77"/>
      <c r="D209" s="77"/>
      <c r="E209" s="77"/>
      <c r="F209" s="77"/>
      <c r="G209" s="64"/>
      <c r="H209" s="64"/>
      <c r="I209" s="64"/>
      <c r="J209" s="64"/>
      <c r="K209" s="64"/>
      <c r="L209" s="64"/>
      <c r="M209" s="64"/>
      <c r="N209" s="64"/>
      <c r="O209" s="64"/>
      <c r="P209" s="64"/>
      <c r="Q209" s="64"/>
      <c r="R209" s="64"/>
      <c r="S209" s="64"/>
      <c r="T209" s="78">
        <f>V102/N72</f>
        <v>1.9479462905105799E-2</v>
      </c>
      <c r="U209" s="25"/>
      <c r="V209" s="25"/>
      <c r="W209" s="25"/>
      <c r="X209" s="5"/>
    </row>
    <row r="210" spans="1:24" ht="15.75" x14ac:dyDescent="0.25">
      <c r="A210" s="75"/>
      <c r="B210" s="76" t="s">
        <v>207</v>
      </c>
      <c r="C210" s="77"/>
      <c r="D210" s="77"/>
      <c r="E210" s="77"/>
      <c r="F210" s="77"/>
      <c r="G210" s="64"/>
      <c r="H210" s="64"/>
      <c r="I210" s="64"/>
      <c r="J210" s="64"/>
      <c r="K210" s="64"/>
      <c r="L210" s="64"/>
      <c r="M210" s="64"/>
      <c r="N210" s="64"/>
      <c r="O210" s="64"/>
      <c r="P210" s="64"/>
      <c r="Q210" s="64"/>
      <c r="R210" s="64"/>
      <c r="S210" s="64"/>
      <c r="T210" s="172">
        <v>51105</v>
      </c>
      <c r="U210" s="25"/>
      <c r="V210" s="25"/>
      <c r="W210" s="25"/>
      <c r="X210" s="5"/>
    </row>
    <row r="211" spans="1:24" ht="15.75" x14ac:dyDescent="0.25">
      <c r="A211" s="75"/>
      <c r="B211" s="76" t="s">
        <v>208</v>
      </c>
      <c r="C211" s="77"/>
      <c r="D211" s="77"/>
      <c r="E211" s="77"/>
      <c r="F211" s="77"/>
      <c r="G211" s="64"/>
      <c r="H211" s="64"/>
      <c r="I211" s="64"/>
      <c r="J211" s="64"/>
      <c r="K211" s="64"/>
      <c r="L211" s="64"/>
      <c r="M211" s="64"/>
      <c r="N211" s="64"/>
      <c r="O211" s="64"/>
      <c r="P211" s="64"/>
      <c r="Q211" s="64"/>
      <c r="R211" s="64"/>
      <c r="S211" s="64"/>
      <c r="T211" s="172">
        <v>51105</v>
      </c>
      <c r="U211" s="25"/>
      <c r="V211" s="25"/>
      <c r="W211" s="25"/>
      <c r="X211" s="5"/>
    </row>
    <row r="212" spans="1:24" ht="15.75" x14ac:dyDescent="0.25">
      <c r="A212" s="75"/>
      <c r="B212" s="76" t="s">
        <v>209</v>
      </c>
      <c r="C212" s="77"/>
      <c r="D212" s="77"/>
      <c r="E212" s="77"/>
      <c r="F212" s="77"/>
      <c r="G212" s="64"/>
      <c r="H212" s="64"/>
      <c r="I212" s="64"/>
      <c r="J212" s="64"/>
      <c r="K212" s="64"/>
      <c r="L212" s="64"/>
      <c r="M212" s="64"/>
      <c r="N212" s="64"/>
      <c r="O212" s="64"/>
      <c r="P212" s="64"/>
      <c r="Q212" s="64"/>
      <c r="R212" s="64"/>
      <c r="S212" s="64"/>
      <c r="T212" s="172">
        <v>51105</v>
      </c>
      <c r="U212" s="25"/>
      <c r="V212" s="25"/>
      <c r="W212" s="25"/>
      <c r="X212" s="5"/>
    </row>
    <row r="213" spans="1:24" ht="15.75" x14ac:dyDescent="0.25">
      <c r="A213" s="75"/>
      <c r="B213" s="76" t="s">
        <v>75</v>
      </c>
      <c r="C213" s="77"/>
      <c r="D213" s="77"/>
      <c r="E213" s="77"/>
      <c r="F213" s="77"/>
      <c r="G213" s="64"/>
      <c r="H213" s="64"/>
      <c r="I213" s="64"/>
      <c r="J213" s="64"/>
      <c r="K213" s="64"/>
      <c r="L213" s="64"/>
      <c r="M213" s="64"/>
      <c r="N213" s="64"/>
      <c r="O213" s="64"/>
      <c r="P213" s="64"/>
      <c r="Q213" s="64"/>
      <c r="R213" s="64"/>
      <c r="S213" s="64"/>
      <c r="T213" s="132">
        <v>21.06</v>
      </c>
      <c r="U213" s="25" t="s">
        <v>110</v>
      </c>
      <c r="V213" s="25"/>
      <c r="W213" s="25"/>
      <c r="X213" s="5"/>
    </row>
    <row r="214" spans="1:24" ht="15.75" x14ac:dyDescent="0.25">
      <c r="A214" s="75"/>
      <c r="B214" s="76" t="s">
        <v>76</v>
      </c>
      <c r="C214" s="77"/>
      <c r="D214" s="77"/>
      <c r="E214" s="77"/>
      <c r="F214" s="77"/>
      <c r="G214" s="64"/>
      <c r="H214" s="64"/>
      <c r="I214" s="64"/>
      <c r="J214" s="64"/>
      <c r="K214" s="64"/>
      <c r="L214" s="64"/>
      <c r="M214" s="64"/>
      <c r="N214" s="64"/>
      <c r="O214" s="64"/>
      <c r="P214" s="64"/>
      <c r="Q214" s="64"/>
      <c r="R214" s="64"/>
      <c r="S214" s="64"/>
      <c r="T214" s="132">
        <v>20</v>
      </c>
      <c r="U214" s="25" t="s">
        <v>110</v>
      </c>
      <c r="V214" s="25"/>
      <c r="W214" s="25"/>
      <c r="X214" s="5"/>
    </row>
    <row r="215" spans="1:24" ht="15.75" x14ac:dyDescent="0.25">
      <c r="A215" s="75"/>
      <c r="B215" s="76" t="s">
        <v>77</v>
      </c>
      <c r="C215" s="77"/>
      <c r="D215" s="77"/>
      <c r="E215" s="77"/>
      <c r="F215" s="77"/>
      <c r="G215" s="64"/>
      <c r="H215" s="64"/>
      <c r="I215" s="64"/>
      <c r="J215" s="64"/>
      <c r="K215" s="64"/>
      <c r="L215" s="64"/>
      <c r="M215" s="64"/>
      <c r="N215" s="64"/>
      <c r="O215" s="64"/>
      <c r="P215" s="64"/>
      <c r="Q215" s="64"/>
      <c r="R215" s="64"/>
      <c r="S215" s="64"/>
      <c r="T215" s="78">
        <f>+P69/N69</f>
        <v>5.0864577054656086E-2</v>
      </c>
      <c r="U215" s="25"/>
      <c r="V215" s="25"/>
      <c r="W215" s="25"/>
      <c r="X215" s="5"/>
    </row>
    <row r="216" spans="1:24" ht="15.75" x14ac:dyDescent="0.25">
      <c r="A216" s="75"/>
      <c r="B216" s="76" t="s">
        <v>78</v>
      </c>
      <c r="C216" s="77"/>
      <c r="D216" s="77"/>
      <c r="E216" s="77"/>
      <c r="F216" s="77"/>
      <c r="G216" s="64"/>
      <c r="H216" s="64"/>
      <c r="I216" s="64"/>
      <c r="J216" s="64"/>
      <c r="K216" s="64"/>
      <c r="L216" s="64"/>
      <c r="M216" s="64"/>
      <c r="N216" s="64"/>
      <c r="O216" s="64"/>
      <c r="P216" s="64"/>
      <c r="Q216" s="64"/>
      <c r="R216" s="64"/>
      <c r="S216" s="64"/>
      <c r="T216" s="78">
        <v>7.1499999999999994E-2</v>
      </c>
      <c r="U216" s="25"/>
      <c r="V216" s="25"/>
      <c r="W216" s="25"/>
      <c r="X216" s="5"/>
    </row>
    <row r="217" spans="1:24" ht="15.75" x14ac:dyDescent="0.25">
      <c r="A217" s="75"/>
      <c r="B217" s="76"/>
      <c r="C217" s="76"/>
      <c r="D217" s="76"/>
      <c r="E217" s="76"/>
      <c r="F217" s="76"/>
      <c r="G217" s="25"/>
      <c r="H217" s="25"/>
      <c r="I217" s="25"/>
      <c r="J217" s="25"/>
      <c r="K217" s="25"/>
      <c r="L217" s="25"/>
      <c r="M217" s="25"/>
      <c r="N217" s="25"/>
      <c r="O217" s="25"/>
      <c r="P217" s="25"/>
      <c r="Q217" s="25"/>
      <c r="R217" s="25"/>
      <c r="S217" s="25"/>
      <c r="T217" s="61"/>
      <c r="U217" s="25"/>
      <c r="V217" s="79"/>
      <c r="W217" s="25"/>
      <c r="X217" s="5"/>
    </row>
    <row r="218" spans="1:24" ht="15.75" x14ac:dyDescent="0.25">
      <c r="A218" s="80"/>
      <c r="B218" s="14" t="s">
        <v>79</v>
      </c>
      <c r="C218" s="81"/>
      <c r="D218" s="81"/>
      <c r="E218" s="81"/>
      <c r="F218" s="82"/>
      <c r="G218" s="81"/>
      <c r="H218" s="17"/>
      <c r="I218" s="17"/>
      <c r="J218" s="17"/>
      <c r="K218" s="17"/>
      <c r="L218" s="17"/>
      <c r="M218" s="17"/>
      <c r="N218" s="17"/>
      <c r="O218" s="17"/>
      <c r="P218" s="17"/>
      <c r="Q218" s="17"/>
      <c r="R218" s="17"/>
      <c r="S218" s="17" t="s">
        <v>102</v>
      </c>
      <c r="T218" s="83" t="s">
        <v>108</v>
      </c>
      <c r="U218" s="8"/>
      <c r="V218" s="8"/>
      <c r="W218" s="8"/>
      <c r="X218" s="5"/>
    </row>
    <row r="219" spans="1:24" ht="15.75" x14ac:dyDescent="0.25">
      <c r="A219" s="84"/>
      <c r="B219" s="76" t="s">
        <v>80</v>
      </c>
      <c r="C219" s="54"/>
      <c r="D219" s="54"/>
      <c r="E219" s="54"/>
      <c r="F219" s="25"/>
      <c r="G219" s="25"/>
      <c r="H219" s="30"/>
      <c r="I219" s="30"/>
      <c r="J219" s="30"/>
      <c r="K219" s="30"/>
      <c r="L219" s="30"/>
      <c r="M219" s="30"/>
      <c r="N219" s="30"/>
      <c r="O219" s="30"/>
      <c r="P219" s="30"/>
      <c r="Q219" s="30"/>
      <c r="R219" s="30"/>
      <c r="S219" s="30">
        <v>0</v>
      </c>
      <c r="T219" s="85">
        <v>0</v>
      </c>
      <c r="U219" s="25"/>
      <c r="V219" s="79"/>
      <c r="W219" s="86"/>
      <c r="X219" s="5"/>
    </row>
    <row r="220" spans="1:24" ht="15.75" x14ac:dyDescent="0.25">
      <c r="A220" s="84"/>
      <c r="B220" s="76" t="s">
        <v>145</v>
      </c>
      <c r="C220" s="54"/>
      <c r="D220" s="54"/>
      <c r="E220" s="54"/>
      <c r="F220" s="25"/>
      <c r="G220" s="25"/>
      <c r="H220" s="30"/>
      <c r="I220" s="30"/>
      <c r="J220" s="30"/>
      <c r="K220" s="30"/>
      <c r="L220" s="30"/>
      <c r="M220" s="30"/>
      <c r="N220" s="30"/>
      <c r="O220" s="30"/>
      <c r="P220" s="30"/>
      <c r="Q220" s="30"/>
      <c r="R220" s="30"/>
      <c r="S220" s="148">
        <f>+R260</f>
        <v>47</v>
      </c>
      <c r="T220" s="85">
        <f>+T260</f>
        <v>7513</v>
      </c>
      <c r="U220" s="25"/>
      <c r="V220" s="79"/>
      <c r="W220" s="86"/>
      <c r="X220" s="5"/>
    </row>
    <row r="221" spans="1:24" ht="15.75" x14ac:dyDescent="0.25">
      <c r="A221" s="84"/>
      <c r="B221" s="76" t="s">
        <v>81</v>
      </c>
      <c r="C221" s="54"/>
      <c r="D221" s="54"/>
      <c r="E221" s="54"/>
      <c r="F221" s="25"/>
      <c r="G221" s="25"/>
      <c r="H221" s="30"/>
      <c r="I221" s="30"/>
      <c r="J221" s="30"/>
      <c r="K221" s="30"/>
      <c r="L221" s="30"/>
      <c r="M221" s="30"/>
      <c r="N221" s="30"/>
      <c r="O221" s="30"/>
      <c r="P221" s="30"/>
      <c r="Q221" s="30"/>
      <c r="R221" s="30"/>
      <c r="S221" s="30">
        <v>0</v>
      </c>
      <c r="T221" s="85">
        <v>0</v>
      </c>
      <c r="U221" s="25"/>
      <c r="V221" s="79"/>
      <c r="W221" s="86"/>
      <c r="X221" s="5"/>
    </row>
    <row r="222" spans="1:24" ht="15.75" x14ac:dyDescent="0.25">
      <c r="A222" s="84"/>
      <c r="B222" s="122" t="s">
        <v>82</v>
      </c>
      <c r="C222" s="54"/>
      <c r="D222" s="54"/>
      <c r="E222" s="54"/>
      <c r="F222" s="25"/>
      <c r="G222" s="25"/>
      <c r="H222" s="25"/>
      <c r="I222" s="25"/>
      <c r="J222" s="25"/>
      <c r="K222" s="25"/>
      <c r="L222" s="25"/>
      <c r="M222" s="25"/>
      <c r="N222" s="25"/>
      <c r="O222" s="25"/>
      <c r="P222" s="25"/>
      <c r="Q222" s="25"/>
      <c r="R222" s="25"/>
      <c r="S222" s="25"/>
      <c r="T222" s="85">
        <v>0</v>
      </c>
      <c r="U222" s="25"/>
      <c r="V222" s="79"/>
      <c r="W222" s="86"/>
      <c r="X222" s="5"/>
    </row>
    <row r="223" spans="1:24" ht="15.75" x14ac:dyDescent="0.25">
      <c r="A223" s="84"/>
      <c r="B223" s="122" t="s">
        <v>228</v>
      </c>
      <c r="C223" s="54"/>
      <c r="D223" s="54"/>
      <c r="E223" s="54"/>
      <c r="F223" s="25"/>
      <c r="G223" s="25"/>
      <c r="H223" s="25"/>
      <c r="I223" s="25"/>
      <c r="J223" s="25"/>
      <c r="K223" s="25"/>
      <c r="L223" s="25"/>
      <c r="M223" s="25"/>
      <c r="N223" s="25"/>
      <c r="O223" s="25"/>
      <c r="P223" s="25"/>
      <c r="Q223" s="25"/>
      <c r="R223" s="25"/>
      <c r="S223" s="25"/>
      <c r="T223" s="85">
        <f>+N82</f>
        <v>0</v>
      </c>
      <c r="U223" s="25"/>
      <c r="V223" s="79"/>
      <c r="W223" s="86"/>
      <c r="X223" s="5"/>
    </row>
    <row r="224" spans="1:24" ht="15.75" x14ac:dyDescent="0.25">
      <c r="A224" s="87"/>
      <c r="B224" s="122" t="s">
        <v>83</v>
      </c>
      <c r="C224" s="76"/>
      <c r="D224" s="76"/>
      <c r="E224" s="76"/>
      <c r="F224" s="76"/>
      <c r="G224" s="25"/>
      <c r="H224" s="25"/>
      <c r="I224" s="25"/>
      <c r="J224" s="25"/>
      <c r="K224" s="25"/>
      <c r="L224" s="25"/>
      <c r="M224" s="25"/>
      <c r="N224" s="25"/>
      <c r="O224" s="25"/>
      <c r="P224" s="25"/>
      <c r="Q224" s="25"/>
      <c r="R224" s="25"/>
      <c r="S224" s="25"/>
      <c r="T224" s="85"/>
      <c r="U224" s="25"/>
      <c r="V224" s="79"/>
      <c r="W224" s="88"/>
      <c r="X224" s="5"/>
    </row>
    <row r="225" spans="1:25" ht="15.75" x14ac:dyDescent="0.25">
      <c r="A225" s="87"/>
      <c r="B225" s="130" t="s">
        <v>84</v>
      </c>
      <c r="C225" s="76"/>
      <c r="D225" s="76"/>
      <c r="E225" s="76"/>
      <c r="F225" s="76"/>
      <c r="G225" s="25"/>
      <c r="H225" s="25"/>
      <c r="I225" s="25"/>
      <c r="J225" s="25"/>
      <c r="K225" s="25"/>
      <c r="L225" s="25"/>
      <c r="M225" s="25"/>
      <c r="N225" s="25"/>
      <c r="O225" s="25"/>
      <c r="P225" s="25"/>
      <c r="Q225" s="25"/>
      <c r="R225" s="25"/>
      <c r="S225" s="30"/>
      <c r="T225" s="85">
        <f>V164</f>
        <v>111</v>
      </c>
      <c r="U225" s="25"/>
      <c r="V225" s="79"/>
      <c r="W225" s="88"/>
      <c r="X225" s="5"/>
    </row>
    <row r="226" spans="1:25" ht="15.75" x14ac:dyDescent="0.25">
      <c r="A226" s="84"/>
      <c r="B226" s="76" t="s">
        <v>85</v>
      </c>
      <c r="C226" s="54"/>
      <c r="D226" s="54"/>
      <c r="E226" s="54"/>
      <c r="F226" s="54"/>
      <c r="G226" s="25"/>
      <c r="H226" s="25"/>
      <c r="I226" s="25"/>
      <c r="J226" s="25"/>
      <c r="K226" s="25"/>
      <c r="L226" s="25"/>
      <c r="M226" s="25"/>
      <c r="N226" s="25"/>
      <c r="O226" s="25"/>
      <c r="P226" s="25"/>
      <c r="Q226" s="25"/>
      <c r="R226" s="25"/>
      <c r="S226" s="30"/>
      <c r="T226" s="85">
        <f>+'May 08'!T226+T225</f>
        <v>111</v>
      </c>
      <c r="U226" s="25"/>
      <c r="V226" s="79"/>
      <c r="W226" s="88"/>
      <c r="X226" s="5"/>
    </row>
    <row r="227" spans="1:25" ht="15.75" x14ac:dyDescent="0.25">
      <c r="A227" s="87"/>
      <c r="B227" s="122" t="s">
        <v>285</v>
      </c>
      <c r="C227" s="76"/>
      <c r="D227" s="76"/>
      <c r="E227" s="76"/>
      <c r="F227" s="76"/>
      <c r="G227" s="25"/>
      <c r="H227" s="25"/>
      <c r="I227" s="25"/>
      <c r="J227" s="25"/>
      <c r="K227" s="25"/>
      <c r="L227" s="25"/>
      <c r="M227" s="25"/>
      <c r="N227" s="25"/>
      <c r="O227" s="25"/>
      <c r="P227" s="25"/>
      <c r="Q227" s="25"/>
      <c r="R227" s="25"/>
      <c r="S227" s="30"/>
      <c r="T227" s="85"/>
      <c r="U227" s="25"/>
      <c r="V227" s="79"/>
      <c r="W227" s="88"/>
      <c r="X227" s="5"/>
    </row>
    <row r="228" spans="1:25" ht="15.75" x14ac:dyDescent="0.25">
      <c r="A228" s="87"/>
      <c r="B228" s="76" t="s">
        <v>282</v>
      </c>
      <c r="C228" s="76"/>
      <c r="D228" s="76"/>
      <c r="E228" s="76"/>
      <c r="F228" s="76"/>
      <c r="G228" s="25"/>
      <c r="H228" s="25"/>
      <c r="I228" s="25"/>
      <c r="J228" s="25"/>
      <c r="K228" s="25"/>
      <c r="L228" s="25"/>
      <c r="M228" s="25"/>
      <c r="N228" s="25"/>
      <c r="O228" s="25"/>
      <c r="P228" s="25"/>
      <c r="Q228" s="25"/>
      <c r="R228" s="25"/>
      <c r="S228" s="30">
        <v>0</v>
      </c>
      <c r="T228" s="85">
        <v>0</v>
      </c>
      <c r="U228" s="25"/>
      <c r="V228" s="79"/>
      <c r="W228" s="88"/>
      <c r="X228" s="5"/>
    </row>
    <row r="229" spans="1:25" ht="15.75" x14ac:dyDescent="0.25">
      <c r="A229" s="84"/>
      <c r="B229" s="76" t="s">
        <v>86</v>
      </c>
      <c r="C229" s="89"/>
      <c r="D229" s="89"/>
      <c r="E229" s="89"/>
      <c r="F229" s="90"/>
      <c r="G229" s="25"/>
      <c r="H229" s="25"/>
      <c r="I229" s="25"/>
      <c r="J229" s="25"/>
      <c r="K229" s="25"/>
      <c r="L229" s="25"/>
      <c r="M229" s="25"/>
      <c r="N229" s="25"/>
      <c r="O229" s="25"/>
      <c r="P229" s="25"/>
      <c r="Q229" s="25"/>
      <c r="R229" s="25"/>
      <c r="S229" s="25"/>
      <c r="T229" s="62">
        <v>0</v>
      </c>
      <c r="U229" s="25"/>
      <c r="V229" s="79"/>
      <c r="W229" s="88"/>
      <c r="X229" s="5"/>
    </row>
    <row r="230" spans="1:25" ht="15.75" x14ac:dyDescent="0.25">
      <c r="A230" s="84"/>
      <c r="B230" s="76" t="s">
        <v>87</v>
      </c>
      <c r="C230" s="89"/>
      <c r="D230" s="89"/>
      <c r="E230" s="89"/>
      <c r="F230" s="90"/>
      <c r="G230" s="25"/>
      <c r="H230" s="25"/>
      <c r="I230" s="25"/>
      <c r="J230" s="25"/>
      <c r="K230" s="25"/>
      <c r="L230" s="25"/>
      <c r="M230" s="25"/>
      <c r="N230" s="25"/>
      <c r="O230" s="25"/>
      <c r="P230" s="25"/>
      <c r="Q230" s="25"/>
      <c r="R230" s="25"/>
      <c r="S230" s="25"/>
      <c r="T230" s="62">
        <v>0</v>
      </c>
      <c r="U230" s="25"/>
      <c r="V230" s="79"/>
      <c r="W230" s="88"/>
      <c r="X230" s="5"/>
    </row>
    <row r="231" spans="1:25" ht="15.75" x14ac:dyDescent="0.25">
      <c r="A231" s="84"/>
      <c r="B231" s="122" t="s">
        <v>216</v>
      </c>
      <c r="C231" s="89"/>
      <c r="D231" s="89"/>
      <c r="E231" s="89"/>
      <c r="F231" s="90"/>
      <c r="G231" s="25"/>
      <c r="H231" s="25"/>
      <c r="I231" s="25"/>
      <c r="J231" s="25"/>
      <c r="K231" s="25"/>
      <c r="L231" s="25"/>
      <c r="M231" s="25"/>
      <c r="N231" s="25"/>
      <c r="O231" s="25"/>
      <c r="P231" s="25"/>
      <c r="Q231" s="25"/>
      <c r="R231" s="25"/>
      <c r="S231" s="25"/>
      <c r="T231" s="91"/>
      <c r="U231" s="25"/>
      <c r="V231" s="79"/>
      <c r="W231" s="88"/>
      <c r="X231" s="5"/>
    </row>
    <row r="232" spans="1:25" ht="15.75" x14ac:dyDescent="0.25">
      <c r="A232" s="84"/>
      <c r="B232" s="76" t="s">
        <v>282</v>
      </c>
      <c r="C232" s="89"/>
      <c r="D232" s="89"/>
      <c r="E232" s="89"/>
      <c r="F232" s="90"/>
      <c r="G232" s="25"/>
      <c r="H232" s="25"/>
      <c r="I232" s="25"/>
      <c r="J232" s="25"/>
      <c r="K232" s="25"/>
      <c r="L232" s="25"/>
      <c r="M232" s="25"/>
      <c r="N232" s="25"/>
      <c r="O232" s="25"/>
      <c r="P232" s="25"/>
      <c r="Q232" s="25"/>
      <c r="R232" s="25"/>
      <c r="S232" s="30">
        <v>3</v>
      </c>
      <c r="T232" s="85">
        <v>571</v>
      </c>
      <c r="U232" s="25"/>
      <c r="V232" s="79"/>
      <c r="W232" s="88"/>
      <c r="X232" s="5"/>
    </row>
    <row r="233" spans="1:25" ht="15.75" x14ac:dyDescent="0.25">
      <c r="A233" s="84"/>
      <c r="B233" s="76" t="s">
        <v>217</v>
      </c>
      <c r="C233" s="89"/>
      <c r="D233" s="89"/>
      <c r="E233" s="89"/>
      <c r="F233" s="90"/>
      <c r="G233" s="25"/>
      <c r="H233" s="25"/>
      <c r="I233" s="25"/>
      <c r="J233" s="25"/>
      <c r="K233" s="25"/>
      <c r="L233" s="25"/>
      <c r="M233" s="25"/>
      <c r="N233" s="25"/>
      <c r="O233" s="25"/>
      <c r="P233" s="25"/>
      <c r="Q233" s="25"/>
      <c r="R233" s="25"/>
      <c r="S233" s="25"/>
      <c r="T233" s="62">
        <v>1.67</v>
      </c>
      <c r="U233" s="25"/>
      <c r="V233" s="79"/>
      <c r="W233" s="88"/>
      <c r="X233" s="5"/>
    </row>
    <row r="234" spans="1:25" ht="15.75" x14ac:dyDescent="0.25">
      <c r="A234" s="84"/>
      <c r="B234" s="76"/>
      <c r="C234" s="89"/>
      <c r="D234" s="89"/>
      <c r="E234" s="89"/>
      <c r="F234" s="90"/>
      <c r="G234" s="25"/>
      <c r="H234" s="25"/>
      <c r="I234" s="25"/>
      <c r="J234" s="25"/>
      <c r="K234" s="25"/>
      <c r="L234" s="25"/>
      <c r="M234" s="25"/>
      <c r="N234" s="25"/>
      <c r="O234" s="25"/>
      <c r="P234" s="25"/>
      <c r="Q234" s="25"/>
      <c r="R234" s="25"/>
      <c r="S234" s="25"/>
      <c r="T234" s="91"/>
      <c r="U234" s="25"/>
      <c r="V234" s="79"/>
      <c r="W234" s="88"/>
      <c r="X234" s="5"/>
    </row>
    <row r="235" spans="1:25" ht="15.75" x14ac:dyDescent="0.25">
      <c r="A235" s="84"/>
      <c r="B235" s="76"/>
      <c r="C235" s="89"/>
      <c r="D235" s="89"/>
      <c r="E235" s="89"/>
      <c r="F235" s="90"/>
      <c r="G235" s="25"/>
      <c r="H235" s="25"/>
      <c r="I235" s="25"/>
      <c r="J235" s="25"/>
      <c r="K235" s="25"/>
      <c r="L235" s="25"/>
      <c r="M235" s="25"/>
      <c r="N235" s="25"/>
      <c r="O235" s="25"/>
      <c r="P235" s="25"/>
      <c r="Q235" s="25"/>
      <c r="R235" s="25"/>
      <c r="S235" s="25"/>
      <c r="T235" s="91"/>
      <c r="U235" s="25"/>
      <c r="V235" s="79"/>
      <c r="W235" s="88"/>
      <c r="X235" s="5"/>
    </row>
    <row r="236" spans="1:25" ht="18.75" x14ac:dyDescent="0.3">
      <c r="A236" s="84"/>
      <c r="B236" s="146" t="s">
        <v>168</v>
      </c>
      <c r="C236" s="89"/>
      <c r="D236" s="89"/>
      <c r="E236" s="89"/>
      <c r="F236" s="90"/>
      <c r="G236" s="25"/>
      <c r="H236" s="25"/>
      <c r="I236" s="25"/>
      <c r="J236" s="25"/>
      <c r="K236" s="25"/>
      <c r="L236" s="25"/>
      <c r="M236" s="25"/>
      <c r="N236" s="25"/>
      <c r="O236" s="25"/>
      <c r="P236" s="147" t="s">
        <v>167</v>
      </c>
      <c r="Q236" s="25"/>
      <c r="R236" s="25"/>
      <c r="S236" s="25"/>
      <c r="T236" s="91"/>
      <c r="U236" s="25"/>
      <c r="V236" s="79"/>
      <c r="W236" s="88"/>
      <c r="X236" s="5"/>
    </row>
    <row r="237" spans="1:25" ht="15.75" x14ac:dyDescent="0.25">
      <c r="A237" s="84"/>
      <c r="B237" s="76"/>
      <c r="C237" s="89"/>
      <c r="D237" s="89"/>
      <c r="E237" s="89"/>
      <c r="F237" s="90"/>
      <c r="G237" s="25"/>
      <c r="H237" s="25"/>
      <c r="I237" s="25"/>
      <c r="J237" s="25"/>
      <c r="K237" s="25"/>
      <c r="L237" s="25"/>
      <c r="M237" s="25"/>
      <c r="N237" s="25"/>
      <c r="O237" s="25"/>
      <c r="P237" s="25"/>
      <c r="Q237" s="25"/>
      <c r="R237" s="25"/>
      <c r="S237" s="25"/>
      <c r="T237" s="91"/>
      <c r="U237" s="25"/>
      <c r="V237" s="79"/>
      <c r="W237" s="88"/>
      <c r="X237" s="5"/>
    </row>
    <row r="238" spans="1:25" ht="15.75" x14ac:dyDescent="0.25">
      <c r="A238" s="6"/>
      <c r="B238" s="14" t="s">
        <v>162</v>
      </c>
      <c r="C238" s="81"/>
      <c r="D238" s="81"/>
      <c r="E238" s="81"/>
      <c r="F238" s="82"/>
      <c r="G238" s="81"/>
      <c r="H238" s="17"/>
      <c r="I238" s="17"/>
      <c r="J238" s="17"/>
      <c r="K238" s="17"/>
      <c r="L238" s="17"/>
      <c r="M238" s="17"/>
      <c r="N238" s="17"/>
      <c r="O238" s="17"/>
      <c r="P238" s="17"/>
      <c r="Q238" s="17"/>
      <c r="R238" s="83" t="s">
        <v>102</v>
      </c>
      <c r="S238" s="17" t="s">
        <v>103</v>
      </c>
      <c r="T238" s="83" t="s">
        <v>109</v>
      </c>
      <c r="U238" s="17" t="s">
        <v>103</v>
      </c>
      <c r="V238" s="8"/>
      <c r="W238" s="92"/>
      <c r="X238" s="5"/>
    </row>
    <row r="239" spans="1:25" ht="15.75" x14ac:dyDescent="0.25">
      <c r="A239" s="24"/>
      <c r="B239" s="54" t="s">
        <v>88</v>
      </c>
      <c r="C239" s="93"/>
      <c r="D239" s="93"/>
      <c r="E239" s="93"/>
      <c r="F239" s="25"/>
      <c r="G239" s="93"/>
      <c r="H239" s="93"/>
      <c r="I239" s="93"/>
      <c r="J239" s="93"/>
      <c r="K239" s="93"/>
      <c r="L239" s="93"/>
      <c r="M239" s="93"/>
      <c r="N239" s="93"/>
      <c r="O239" s="93"/>
      <c r="P239" s="93"/>
      <c r="Q239" s="93"/>
      <c r="R239" s="54">
        <v>6249</v>
      </c>
      <c r="S239" s="94">
        <f t="shared" ref="S239:S246" si="1">R239/$R$248</f>
        <v>0.99017588337822848</v>
      </c>
      <c r="T239" s="53">
        <v>911250</v>
      </c>
      <c r="U239" s="131">
        <f t="shared" ref="U239:U246" si="2">T239/$T$248</f>
        <v>0.98886180785099309</v>
      </c>
      <c r="V239" s="79"/>
      <c r="W239" s="88"/>
      <c r="X239" s="5"/>
    </row>
    <row r="240" spans="1:25" ht="15.75" x14ac:dyDescent="0.25">
      <c r="A240" s="24"/>
      <c r="B240" s="54" t="s">
        <v>89</v>
      </c>
      <c r="C240" s="93"/>
      <c r="D240" s="93"/>
      <c r="E240" s="93"/>
      <c r="F240" s="25"/>
      <c r="G240" s="94"/>
      <c r="H240" s="93"/>
      <c r="I240" s="93"/>
      <c r="J240" s="93"/>
      <c r="K240" s="93"/>
      <c r="L240" s="93"/>
      <c r="M240" s="93"/>
      <c r="N240" s="93"/>
      <c r="O240" s="93"/>
      <c r="P240" s="93"/>
      <c r="Q240" s="93"/>
      <c r="R240" s="54">
        <v>33</v>
      </c>
      <c r="S240" s="94">
        <f t="shared" si="1"/>
        <v>5.2289652986848359E-3</v>
      </c>
      <c r="T240" s="53">
        <v>5972</v>
      </c>
      <c r="U240" s="131">
        <f t="shared" si="2"/>
        <v>6.4806394693949308E-3</v>
      </c>
      <c r="V240" s="79"/>
      <c r="W240" s="88"/>
      <c r="X240" s="5"/>
      <c r="Y240" s="109"/>
    </row>
    <row r="241" spans="1:25" ht="15.75" x14ac:dyDescent="0.25">
      <c r="A241" s="24"/>
      <c r="B241" s="54" t="s">
        <v>90</v>
      </c>
      <c r="C241" s="93"/>
      <c r="D241" s="93"/>
      <c r="E241" s="93"/>
      <c r="F241" s="25"/>
      <c r="G241" s="94"/>
      <c r="H241" s="93"/>
      <c r="I241" s="93"/>
      <c r="J241" s="93"/>
      <c r="K241" s="93"/>
      <c r="L241" s="93"/>
      <c r="M241" s="93"/>
      <c r="N241" s="93"/>
      <c r="O241" s="93"/>
      <c r="P241" s="93"/>
      <c r="Q241" s="93"/>
      <c r="R241" s="54">
        <v>24</v>
      </c>
      <c r="S241" s="94">
        <f t="shared" si="1"/>
        <v>3.8028838535889716E-3</v>
      </c>
      <c r="T241" s="53">
        <v>3734</v>
      </c>
      <c r="U241" s="131">
        <f t="shared" si="2"/>
        <v>4.0520274244341377E-3</v>
      </c>
      <c r="V241" s="79"/>
      <c r="W241" s="88"/>
      <c r="X241" s="5"/>
    </row>
    <row r="242" spans="1:25" ht="15.75" x14ac:dyDescent="0.25">
      <c r="A242" s="24"/>
      <c r="B242" s="54" t="s">
        <v>156</v>
      </c>
      <c r="C242" s="93"/>
      <c r="D242" s="93"/>
      <c r="E242" s="93"/>
      <c r="F242" s="25"/>
      <c r="G242" s="94"/>
      <c r="H242" s="93"/>
      <c r="I242" s="93"/>
      <c r="J242" s="93"/>
      <c r="K242" s="93"/>
      <c r="L242" s="93"/>
      <c r="M242" s="93"/>
      <c r="N242" s="93"/>
      <c r="O242" s="93"/>
      <c r="P242" s="93"/>
      <c r="Q242" s="93"/>
      <c r="R242" s="54">
        <v>5</v>
      </c>
      <c r="S242" s="94">
        <f t="shared" si="1"/>
        <v>7.9226746949770247E-4</v>
      </c>
      <c r="T242" s="53">
        <v>558</v>
      </c>
      <c r="U242" s="131">
        <f t="shared" si="2"/>
        <v>6.0552525517789204E-4</v>
      </c>
      <c r="V242" s="79"/>
      <c r="W242" s="88"/>
      <c r="X242" s="5"/>
      <c r="Y242" s="109"/>
    </row>
    <row r="243" spans="1:25" ht="15.75" x14ac:dyDescent="0.25">
      <c r="A243" s="24"/>
      <c r="B243" s="54" t="s">
        <v>157</v>
      </c>
      <c r="C243" s="93"/>
      <c r="D243" s="93"/>
      <c r="E243" s="93"/>
      <c r="F243" s="25"/>
      <c r="G243" s="94"/>
      <c r="H243" s="93"/>
      <c r="I243" s="93"/>
      <c r="J243" s="93"/>
      <c r="K243" s="93"/>
      <c r="L243" s="93"/>
      <c r="M243" s="93"/>
      <c r="N243" s="93"/>
      <c r="O243" s="93"/>
      <c r="P243" s="93"/>
      <c r="Q243" s="93"/>
      <c r="R243" s="54">
        <v>0</v>
      </c>
      <c r="S243" s="94">
        <f t="shared" si="1"/>
        <v>0</v>
      </c>
      <c r="T243" s="53">
        <v>0</v>
      </c>
      <c r="U243" s="131">
        <f t="shared" si="2"/>
        <v>0</v>
      </c>
      <c r="V243" s="79"/>
      <c r="W243" s="88"/>
      <c r="X243" s="5"/>
    </row>
    <row r="244" spans="1:25" ht="15.75" x14ac:dyDescent="0.25">
      <c r="A244" s="24"/>
      <c r="B244" s="54" t="s">
        <v>158</v>
      </c>
      <c r="C244" s="93"/>
      <c r="D244" s="93"/>
      <c r="E244" s="93"/>
      <c r="F244" s="25"/>
      <c r="G244" s="94"/>
      <c r="H244" s="93"/>
      <c r="I244" s="93"/>
      <c r="J244" s="93"/>
      <c r="K244" s="93"/>
      <c r="L244" s="93"/>
      <c r="M244" s="93"/>
      <c r="N244" s="93"/>
      <c r="O244" s="93"/>
      <c r="P244" s="93"/>
      <c r="Q244" s="93"/>
      <c r="R244" s="54">
        <v>0</v>
      </c>
      <c r="S244" s="94">
        <f t="shared" si="1"/>
        <v>0</v>
      </c>
      <c r="T244" s="53">
        <v>0</v>
      </c>
      <c r="U244" s="131">
        <f t="shared" si="2"/>
        <v>0</v>
      </c>
      <c r="V244" s="79"/>
      <c r="W244" s="88"/>
      <c r="X244" s="5"/>
      <c r="Y244" s="109"/>
    </row>
    <row r="245" spans="1:25" ht="15.75" x14ac:dyDescent="0.25">
      <c r="A245" s="24"/>
      <c r="B245" s="54" t="s">
        <v>159</v>
      </c>
      <c r="C245" s="93"/>
      <c r="D245" s="93"/>
      <c r="E245" s="93"/>
      <c r="F245" s="25"/>
      <c r="G245" s="94"/>
      <c r="H245" s="93"/>
      <c r="I245" s="93"/>
      <c r="J245" s="93"/>
      <c r="K245" s="93"/>
      <c r="L245" s="93"/>
      <c r="M245" s="93"/>
      <c r="N245" s="93"/>
      <c r="O245" s="93"/>
      <c r="P245" s="93"/>
      <c r="Q245" s="93"/>
      <c r="R245" s="54">
        <v>0</v>
      </c>
      <c r="S245" s="94">
        <f t="shared" si="1"/>
        <v>0</v>
      </c>
      <c r="T245" s="53">
        <v>0</v>
      </c>
      <c r="U245" s="131">
        <f t="shared" si="2"/>
        <v>0</v>
      </c>
      <c r="V245" s="79"/>
      <c r="W245" s="88"/>
      <c r="X245" s="5"/>
    </row>
    <row r="246" spans="1:25" ht="15.75" x14ac:dyDescent="0.25">
      <c r="A246" s="24"/>
      <c r="B246" s="54" t="s">
        <v>160</v>
      </c>
      <c r="C246" s="93"/>
      <c r="D246" s="93"/>
      <c r="E246" s="93"/>
      <c r="F246" s="25"/>
      <c r="G246" s="94"/>
      <c r="H246" s="93"/>
      <c r="I246" s="93"/>
      <c r="J246" s="93"/>
      <c r="K246" s="93"/>
      <c r="L246" s="93"/>
      <c r="M246" s="93"/>
      <c r="N246" s="93"/>
      <c r="O246" s="93"/>
      <c r="P246" s="93"/>
      <c r="Q246" s="93"/>
      <c r="R246" s="54">
        <v>0</v>
      </c>
      <c r="S246" s="94">
        <f t="shared" si="1"/>
        <v>0</v>
      </c>
      <c r="T246" s="53">
        <v>0</v>
      </c>
      <c r="U246" s="131">
        <f t="shared" si="2"/>
        <v>0</v>
      </c>
      <c r="V246" s="79"/>
      <c r="W246" s="88"/>
      <c r="X246" s="5"/>
      <c r="Y246" s="109"/>
    </row>
    <row r="247" spans="1:25" ht="15.75" x14ac:dyDescent="0.25">
      <c r="A247" s="24"/>
      <c r="B247" s="54"/>
      <c r="C247" s="93"/>
      <c r="D247" s="93"/>
      <c r="E247" s="93"/>
      <c r="F247" s="25"/>
      <c r="G247" s="94"/>
      <c r="H247" s="93"/>
      <c r="I247" s="93"/>
      <c r="J247" s="93"/>
      <c r="K247" s="93"/>
      <c r="L247" s="93"/>
      <c r="M247" s="93"/>
      <c r="N247" s="93"/>
      <c r="O247" s="93"/>
      <c r="P247" s="93"/>
      <c r="Q247" s="93"/>
      <c r="R247" s="54"/>
      <c r="S247" s="94"/>
      <c r="T247" s="53"/>
      <c r="U247" s="131"/>
      <c r="V247" s="79"/>
      <c r="W247" s="88"/>
      <c r="X247" s="5"/>
    </row>
    <row r="248" spans="1:25" ht="15.75" x14ac:dyDescent="0.25">
      <c r="A248" s="24"/>
      <c r="B248" s="25"/>
      <c r="C248" s="25"/>
      <c r="D248" s="25"/>
      <c r="E248" s="25"/>
      <c r="F248" s="25"/>
      <c r="G248" s="25"/>
      <c r="H248" s="95"/>
      <c r="I248" s="95"/>
      <c r="J248" s="95"/>
      <c r="K248" s="95"/>
      <c r="L248" s="95"/>
      <c r="M248" s="95"/>
      <c r="N248" s="95"/>
      <c r="O248" s="95"/>
      <c r="P248" s="95"/>
      <c r="Q248" s="95"/>
      <c r="R248" s="34">
        <f>SUM(R239:R247)</f>
        <v>6311</v>
      </c>
      <c r="S248" s="131">
        <f>SUM(S239:S247)</f>
        <v>1</v>
      </c>
      <c r="T248" s="53">
        <f>SUM(T239:T247)</f>
        <v>921514</v>
      </c>
      <c r="U248" s="131">
        <f>SUM(U239:U247)</f>
        <v>1</v>
      </c>
      <c r="V248" s="25"/>
      <c r="W248" s="25"/>
      <c r="X248" s="5"/>
    </row>
    <row r="249" spans="1:25" ht="15.75" x14ac:dyDescent="0.25">
      <c r="A249" s="24"/>
      <c r="B249" s="25"/>
      <c r="C249" s="25"/>
      <c r="D249" s="25"/>
      <c r="E249" s="25"/>
      <c r="F249" s="25"/>
      <c r="G249" s="25"/>
      <c r="H249" s="95"/>
      <c r="I249" s="95"/>
      <c r="J249" s="95"/>
      <c r="K249" s="95"/>
      <c r="L249" s="95"/>
      <c r="M249" s="95"/>
      <c r="N249" s="95"/>
      <c r="O249" s="95"/>
      <c r="P249" s="95"/>
      <c r="Q249" s="95"/>
      <c r="R249" s="34"/>
      <c r="S249" s="131"/>
      <c r="T249" s="53"/>
      <c r="U249" s="131"/>
      <c r="V249" s="25"/>
      <c r="W249" s="25"/>
      <c r="X249" s="5"/>
    </row>
    <row r="250" spans="1:25" ht="15.75" x14ac:dyDescent="0.25">
      <c r="A250" s="138"/>
      <c r="B250" s="14" t="s">
        <v>236</v>
      </c>
      <c r="C250" s="81"/>
      <c r="D250" s="81"/>
      <c r="E250" s="81"/>
      <c r="F250" s="82"/>
      <c r="G250" s="81"/>
      <c r="H250" s="17"/>
      <c r="I250" s="17"/>
      <c r="J250" s="17"/>
      <c r="K250" s="17"/>
      <c r="L250" s="17"/>
      <c r="M250" s="17"/>
      <c r="N250" s="17"/>
      <c r="O250" s="17"/>
      <c r="P250" s="17"/>
      <c r="Q250" s="17"/>
      <c r="R250" s="83" t="s">
        <v>102</v>
      </c>
      <c r="S250" s="17" t="s">
        <v>103</v>
      </c>
      <c r="T250" s="83" t="s">
        <v>109</v>
      </c>
      <c r="U250" s="17" t="s">
        <v>103</v>
      </c>
      <c r="V250" s="136"/>
      <c r="W250" s="137"/>
      <c r="X250" s="5"/>
    </row>
    <row r="251" spans="1:25" ht="15.75" x14ac:dyDescent="0.25">
      <c r="A251" s="24"/>
      <c r="B251" s="54" t="s">
        <v>88</v>
      </c>
      <c r="C251" s="93"/>
      <c r="D251" s="93"/>
      <c r="E251" s="93"/>
      <c r="F251" s="25"/>
      <c r="G251" s="93"/>
      <c r="H251" s="93"/>
      <c r="I251" s="93"/>
      <c r="J251" s="93"/>
      <c r="K251" s="93"/>
      <c r="L251" s="93"/>
      <c r="M251" s="93"/>
      <c r="N251" s="93"/>
      <c r="O251" s="93"/>
      <c r="P251" s="93"/>
      <c r="Q251" s="93"/>
      <c r="R251" s="54">
        <v>14</v>
      </c>
      <c r="S251" s="94">
        <f t="shared" ref="S251:S258" si="3">R251/$R$260</f>
        <v>0.2978723404255319</v>
      </c>
      <c r="T251" s="53">
        <v>2870</v>
      </c>
      <c r="U251" s="131">
        <f t="shared" ref="U251:U258" si="4">T251/$T$260</f>
        <v>0.38200452548915215</v>
      </c>
      <c r="V251" s="25"/>
      <c r="W251" s="25"/>
      <c r="X251" s="5"/>
    </row>
    <row r="252" spans="1:25" ht="15.75" x14ac:dyDescent="0.25">
      <c r="A252" s="24"/>
      <c r="B252" s="54" t="s">
        <v>89</v>
      </c>
      <c r="C252" s="93"/>
      <c r="D252" s="93"/>
      <c r="E252" s="93"/>
      <c r="F252" s="25"/>
      <c r="G252" s="94"/>
      <c r="H252" s="93"/>
      <c r="I252" s="93"/>
      <c r="J252" s="93"/>
      <c r="K252" s="93"/>
      <c r="L252" s="93"/>
      <c r="M252" s="93"/>
      <c r="N252" s="93"/>
      <c r="O252" s="93"/>
      <c r="P252" s="93"/>
      <c r="Q252" s="93"/>
      <c r="R252" s="54">
        <v>2</v>
      </c>
      <c r="S252" s="94">
        <f t="shared" si="3"/>
        <v>4.2553191489361701E-2</v>
      </c>
      <c r="T252" s="53">
        <v>375</v>
      </c>
      <c r="U252" s="131">
        <f t="shared" si="4"/>
        <v>4.9913483295620925E-2</v>
      </c>
      <c r="V252" s="25"/>
      <c r="W252" s="25"/>
      <c r="X252" s="5"/>
    </row>
    <row r="253" spans="1:25" ht="15.75" x14ac:dyDescent="0.25">
      <c r="A253" s="24"/>
      <c r="B253" s="54" t="s">
        <v>90</v>
      </c>
      <c r="C253" s="93"/>
      <c r="D253" s="93"/>
      <c r="E253" s="93"/>
      <c r="F253" s="25"/>
      <c r="G253" s="94"/>
      <c r="H253" s="93"/>
      <c r="I253" s="93"/>
      <c r="J253" s="93"/>
      <c r="K253" s="93"/>
      <c r="L253" s="93"/>
      <c r="M253" s="93"/>
      <c r="N253" s="93"/>
      <c r="O253" s="93"/>
      <c r="P253" s="93"/>
      <c r="Q253" s="93"/>
      <c r="R253" s="54">
        <v>10</v>
      </c>
      <c r="S253" s="94">
        <f t="shared" si="3"/>
        <v>0.21276595744680851</v>
      </c>
      <c r="T253" s="53">
        <v>1644</v>
      </c>
      <c r="U253" s="131">
        <f t="shared" si="4"/>
        <v>0.21882071076800214</v>
      </c>
      <c r="V253" s="25"/>
      <c r="W253" s="25"/>
      <c r="X253" s="5"/>
    </row>
    <row r="254" spans="1:25" ht="15.75" x14ac:dyDescent="0.25">
      <c r="A254" s="24"/>
      <c r="B254" s="54" t="s">
        <v>156</v>
      </c>
      <c r="C254" s="93"/>
      <c r="D254" s="93"/>
      <c r="E254" s="93"/>
      <c r="F254" s="25"/>
      <c r="G254" s="94"/>
      <c r="H254" s="93"/>
      <c r="I254" s="93"/>
      <c r="J254" s="93"/>
      <c r="K254" s="93"/>
      <c r="L254" s="93"/>
      <c r="M254" s="93"/>
      <c r="N254" s="93"/>
      <c r="O254" s="93"/>
      <c r="P254" s="93"/>
      <c r="Q254" s="93"/>
      <c r="R254" s="54">
        <v>6</v>
      </c>
      <c r="S254" s="94">
        <f t="shared" si="3"/>
        <v>0.1276595744680851</v>
      </c>
      <c r="T254" s="53">
        <v>576</v>
      </c>
      <c r="U254" s="131">
        <f t="shared" si="4"/>
        <v>7.6667110342073741E-2</v>
      </c>
      <c r="V254" s="25"/>
      <c r="W254" s="25"/>
      <c r="X254" s="5"/>
    </row>
    <row r="255" spans="1:25" ht="15.75" x14ac:dyDescent="0.25">
      <c r="A255" s="24"/>
      <c r="B255" s="54" t="s">
        <v>157</v>
      </c>
      <c r="C255" s="93"/>
      <c r="D255" s="93"/>
      <c r="E255" s="93"/>
      <c r="F255" s="25"/>
      <c r="G255" s="94"/>
      <c r="H255" s="93"/>
      <c r="I255" s="93"/>
      <c r="J255" s="93"/>
      <c r="K255" s="93"/>
      <c r="L255" s="93"/>
      <c r="M255" s="93"/>
      <c r="N255" s="93"/>
      <c r="O255" s="93"/>
      <c r="P255" s="93"/>
      <c r="Q255" s="93"/>
      <c r="R255" s="54">
        <v>3</v>
      </c>
      <c r="S255" s="94">
        <f t="shared" si="3"/>
        <v>6.3829787234042548E-2</v>
      </c>
      <c r="T255" s="53">
        <v>476</v>
      </c>
      <c r="U255" s="131">
        <f t="shared" si="4"/>
        <v>6.3356848129908161E-2</v>
      </c>
      <c r="V255" s="25"/>
      <c r="W255" s="25"/>
      <c r="X255" s="5"/>
    </row>
    <row r="256" spans="1:25" ht="15.75" x14ac:dyDescent="0.25">
      <c r="A256" s="24"/>
      <c r="B256" s="54" t="s">
        <v>158</v>
      </c>
      <c r="C256" s="93"/>
      <c r="D256" s="93"/>
      <c r="E256" s="93"/>
      <c r="F256" s="25"/>
      <c r="G256" s="94"/>
      <c r="H256" s="93"/>
      <c r="I256" s="93"/>
      <c r="J256" s="93"/>
      <c r="K256" s="93"/>
      <c r="L256" s="93"/>
      <c r="M256" s="93"/>
      <c r="N256" s="93"/>
      <c r="O256" s="93"/>
      <c r="P256" s="93"/>
      <c r="Q256" s="93"/>
      <c r="R256" s="54">
        <v>4</v>
      </c>
      <c r="S256" s="94">
        <f t="shared" si="3"/>
        <v>8.5106382978723402E-2</v>
      </c>
      <c r="T256" s="53">
        <v>558</v>
      </c>
      <c r="U256" s="131">
        <f t="shared" si="4"/>
        <v>7.4271263143883937E-2</v>
      </c>
      <c r="V256" s="25"/>
      <c r="W256" s="25"/>
      <c r="X256" s="5"/>
    </row>
    <row r="257" spans="1:24" ht="15.75" x14ac:dyDescent="0.25">
      <c r="A257" s="24"/>
      <c r="B257" s="54" t="s">
        <v>159</v>
      </c>
      <c r="C257" s="93"/>
      <c r="D257" s="93"/>
      <c r="E257" s="93"/>
      <c r="F257" s="25"/>
      <c r="G257" s="94"/>
      <c r="H257" s="93"/>
      <c r="I257" s="93"/>
      <c r="J257" s="93"/>
      <c r="K257" s="93"/>
      <c r="L257" s="93"/>
      <c r="M257" s="93"/>
      <c r="N257" s="93"/>
      <c r="O257" s="93"/>
      <c r="P257" s="93"/>
      <c r="Q257" s="93"/>
      <c r="R257" s="54">
        <v>6</v>
      </c>
      <c r="S257" s="94">
        <f t="shared" si="3"/>
        <v>0.1276595744680851</v>
      </c>
      <c r="T257" s="53">
        <v>619</v>
      </c>
      <c r="U257" s="131">
        <f t="shared" si="4"/>
        <v>8.239052309330494E-2</v>
      </c>
      <c r="V257" s="25"/>
      <c r="W257" s="25"/>
      <c r="X257" s="5"/>
    </row>
    <row r="258" spans="1:24" ht="15.75" x14ac:dyDescent="0.25">
      <c r="A258" s="24"/>
      <c r="B258" s="54" t="s">
        <v>160</v>
      </c>
      <c r="C258" s="93"/>
      <c r="D258" s="93"/>
      <c r="E258" s="93"/>
      <c r="F258" s="25"/>
      <c r="G258" s="94"/>
      <c r="H258" s="93"/>
      <c r="I258" s="93"/>
      <c r="J258" s="93"/>
      <c r="K258" s="93"/>
      <c r="L258" s="93"/>
      <c r="M258" s="93"/>
      <c r="N258" s="93"/>
      <c r="O258" s="93"/>
      <c r="P258" s="93"/>
      <c r="Q258" s="93"/>
      <c r="R258" s="54">
        <v>2</v>
      </c>
      <c r="S258" s="94">
        <f t="shared" si="3"/>
        <v>4.2553191489361701E-2</v>
      </c>
      <c r="T258" s="53">
        <v>395</v>
      </c>
      <c r="U258" s="131">
        <f t="shared" si="4"/>
        <v>5.2575535738054041E-2</v>
      </c>
      <c r="V258" s="25"/>
      <c r="W258" s="25"/>
      <c r="X258" s="5"/>
    </row>
    <row r="259" spans="1:24" ht="15.75" x14ac:dyDescent="0.25">
      <c r="A259" s="24"/>
      <c r="B259" s="54"/>
      <c r="C259" s="93"/>
      <c r="D259" s="93"/>
      <c r="E259" s="93"/>
      <c r="F259" s="25"/>
      <c r="G259" s="94"/>
      <c r="H259" s="93"/>
      <c r="I259" s="93"/>
      <c r="J259" s="93"/>
      <c r="K259" s="93"/>
      <c r="L259" s="93"/>
      <c r="M259" s="93"/>
      <c r="N259" s="93"/>
      <c r="O259" s="93"/>
      <c r="P259" s="93"/>
      <c r="Q259" s="93"/>
      <c r="R259" s="54"/>
      <c r="S259" s="94"/>
      <c r="T259" s="53"/>
      <c r="U259" s="131"/>
      <c r="V259" s="25"/>
      <c r="W259" s="25"/>
      <c r="X259" s="5"/>
    </row>
    <row r="260" spans="1:24" ht="15.75" x14ac:dyDescent="0.25">
      <c r="A260" s="24"/>
      <c r="B260" s="25"/>
      <c r="C260" s="25"/>
      <c r="D260" s="25"/>
      <c r="E260" s="25"/>
      <c r="F260" s="25"/>
      <c r="G260" s="25"/>
      <c r="H260" s="95"/>
      <c r="I260" s="95"/>
      <c r="J260" s="95"/>
      <c r="K260" s="95"/>
      <c r="L260" s="95"/>
      <c r="M260" s="95"/>
      <c r="N260" s="95"/>
      <c r="O260" s="95"/>
      <c r="P260" s="95"/>
      <c r="Q260" s="95"/>
      <c r="R260" s="34">
        <f>SUM(R251:R259)</f>
        <v>47</v>
      </c>
      <c r="S260" s="131">
        <f>SUM(S251:S259)</f>
        <v>0.99999999999999989</v>
      </c>
      <c r="T260" s="53">
        <f>SUM(T251:T259)</f>
        <v>7513</v>
      </c>
      <c r="U260" s="131">
        <f>SUM(U251:U259)</f>
        <v>1</v>
      </c>
      <c r="V260" s="25"/>
      <c r="W260" s="25"/>
      <c r="X260" s="5"/>
    </row>
    <row r="261" spans="1:24" ht="15.75" x14ac:dyDescent="0.25">
      <c r="A261" s="24"/>
      <c r="B261" s="25"/>
      <c r="C261" s="25"/>
      <c r="D261" s="25"/>
      <c r="E261" s="25"/>
      <c r="F261" s="25"/>
      <c r="G261" s="25"/>
      <c r="H261" s="95"/>
      <c r="I261" s="95"/>
      <c r="J261" s="95"/>
      <c r="K261" s="95"/>
      <c r="L261" s="95"/>
      <c r="M261" s="95"/>
      <c r="N261" s="95"/>
      <c r="O261" s="95"/>
      <c r="P261" s="95"/>
      <c r="Q261" s="95"/>
      <c r="R261" s="34"/>
      <c r="S261" s="131"/>
      <c r="T261" s="53"/>
      <c r="U261" s="131"/>
      <c r="V261" s="25"/>
      <c r="W261" s="25"/>
      <c r="X261" s="5"/>
    </row>
    <row r="262" spans="1:24" ht="15.75" x14ac:dyDescent="0.25">
      <c r="A262" s="138"/>
      <c r="B262" s="14" t="s">
        <v>163</v>
      </c>
      <c r="C262" s="136"/>
      <c r="D262" s="136"/>
      <c r="E262" s="136"/>
      <c r="F262" s="136"/>
      <c r="G262" s="136"/>
      <c r="H262" s="142"/>
      <c r="I262" s="142"/>
      <c r="J262" s="142"/>
      <c r="K262" s="142"/>
      <c r="L262" s="142"/>
      <c r="M262" s="142"/>
      <c r="N262" s="142"/>
      <c r="O262" s="142"/>
      <c r="P262" s="142"/>
      <c r="Q262" s="142"/>
      <c r="R262" s="83" t="s">
        <v>102</v>
      </c>
      <c r="S262" s="17" t="s">
        <v>103</v>
      </c>
      <c r="T262" s="83" t="s">
        <v>109</v>
      </c>
      <c r="U262" s="17" t="s">
        <v>103</v>
      </c>
      <c r="V262" s="136"/>
      <c r="W262" s="137"/>
      <c r="X262" s="5"/>
    </row>
    <row r="263" spans="1:24" ht="15.75" x14ac:dyDescent="0.25">
      <c r="A263" s="24"/>
      <c r="B263" s="54" t="s">
        <v>88</v>
      </c>
      <c r="C263" s="25"/>
      <c r="D263" s="25"/>
      <c r="E263" s="25"/>
      <c r="F263" s="25"/>
      <c r="G263" s="25"/>
      <c r="H263" s="95"/>
      <c r="I263" s="95"/>
      <c r="J263" s="95"/>
      <c r="K263" s="95"/>
      <c r="L263" s="95"/>
      <c r="M263" s="95"/>
      <c r="N263" s="95"/>
      <c r="O263" s="95"/>
      <c r="P263" s="95"/>
      <c r="Q263" s="95"/>
      <c r="R263" s="54">
        <v>0</v>
      </c>
      <c r="S263" s="94">
        <v>0</v>
      </c>
      <c r="T263" s="53">
        <v>0</v>
      </c>
      <c r="U263" s="131">
        <v>0</v>
      </c>
      <c r="V263" s="25"/>
      <c r="W263" s="25"/>
      <c r="X263" s="5"/>
    </row>
    <row r="264" spans="1:24" ht="15.75" x14ac:dyDescent="0.25">
      <c r="A264" s="24"/>
      <c r="B264" s="54" t="s">
        <v>89</v>
      </c>
      <c r="C264" s="25"/>
      <c r="D264" s="25"/>
      <c r="E264" s="25"/>
      <c r="F264" s="25"/>
      <c r="G264" s="25"/>
      <c r="H264" s="95"/>
      <c r="I264" s="95"/>
      <c r="J264" s="95"/>
      <c r="K264" s="95"/>
      <c r="L264" s="95"/>
      <c r="M264" s="95"/>
      <c r="N264" s="95"/>
      <c r="O264" s="95"/>
      <c r="P264" s="95"/>
      <c r="Q264" s="95"/>
      <c r="R264" s="54">
        <v>0</v>
      </c>
      <c r="S264" s="94">
        <v>0</v>
      </c>
      <c r="T264" s="53">
        <v>0</v>
      </c>
      <c r="U264" s="131">
        <v>0</v>
      </c>
      <c r="V264" s="25"/>
      <c r="W264" s="25"/>
      <c r="X264" s="5"/>
    </row>
    <row r="265" spans="1:24" ht="15.75" x14ac:dyDescent="0.25">
      <c r="A265" s="24"/>
      <c r="B265" s="54" t="s">
        <v>90</v>
      </c>
      <c r="C265" s="25"/>
      <c r="D265" s="25"/>
      <c r="E265" s="25"/>
      <c r="F265" s="25"/>
      <c r="G265" s="25"/>
      <c r="H265" s="95"/>
      <c r="I265" s="95"/>
      <c r="J265" s="95"/>
      <c r="K265" s="95"/>
      <c r="L265" s="95"/>
      <c r="M265" s="95"/>
      <c r="N265" s="95"/>
      <c r="O265" s="95"/>
      <c r="P265" s="95"/>
      <c r="Q265" s="95"/>
      <c r="R265" s="54">
        <v>0</v>
      </c>
      <c r="S265" s="94">
        <v>0</v>
      </c>
      <c r="T265" s="53">
        <v>0</v>
      </c>
      <c r="U265" s="131">
        <v>0</v>
      </c>
      <c r="V265" s="25"/>
      <c r="W265" s="25"/>
      <c r="X265" s="5"/>
    </row>
    <row r="266" spans="1:24" ht="15.75" x14ac:dyDescent="0.25">
      <c r="A266" s="24"/>
      <c r="B266" s="54" t="s">
        <v>156</v>
      </c>
      <c r="C266" s="25"/>
      <c r="D266" s="25"/>
      <c r="E266" s="25"/>
      <c r="F266" s="25"/>
      <c r="G266" s="25"/>
      <c r="H266" s="95"/>
      <c r="I266" s="95"/>
      <c r="J266" s="95"/>
      <c r="K266" s="95"/>
      <c r="L266" s="95"/>
      <c r="M266" s="95"/>
      <c r="N266" s="95"/>
      <c r="O266" s="95"/>
      <c r="P266" s="95"/>
      <c r="Q266" s="95"/>
      <c r="R266" s="54">
        <v>0</v>
      </c>
      <c r="S266" s="94">
        <v>0</v>
      </c>
      <c r="T266" s="53">
        <v>0</v>
      </c>
      <c r="U266" s="131">
        <v>0</v>
      </c>
      <c r="V266" s="25"/>
      <c r="W266" s="25"/>
      <c r="X266" s="5"/>
    </row>
    <row r="267" spans="1:24" ht="15.75" x14ac:dyDescent="0.25">
      <c r="A267" s="24"/>
      <c r="B267" s="54" t="s">
        <v>157</v>
      </c>
      <c r="C267" s="25"/>
      <c r="D267" s="25"/>
      <c r="E267" s="25"/>
      <c r="F267" s="25"/>
      <c r="G267" s="25"/>
      <c r="H267" s="95"/>
      <c r="I267" s="95"/>
      <c r="J267" s="95"/>
      <c r="K267" s="95"/>
      <c r="L267" s="95"/>
      <c r="M267" s="95"/>
      <c r="N267" s="95"/>
      <c r="O267" s="95"/>
      <c r="P267" s="95"/>
      <c r="Q267" s="95"/>
      <c r="R267" s="54">
        <v>0</v>
      </c>
      <c r="S267" s="94">
        <v>0</v>
      </c>
      <c r="T267" s="53">
        <v>0</v>
      </c>
      <c r="U267" s="131">
        <v>0</v>
      </c>
      <c r="V267" s="25"/>
      <c r="W267" s="25"/>
      <c r="X267" s="5"/>
    </row>
    <row r="268" spans="1:24" ht="15.75" x14ac:dyDescent="0.25">
      <c r="A268" s="24"/>
      <c r="B268" s="54" t="s">
        <v>158</v>
      </c>
      <c r="C268" s="25"/>
      <c r="D268" s="25"/>
      <c r="E268" s="25"/>
      <c r="F268" s="25"/>
      <c r="G268" s="25"/>
      <c r="H268" s="95"/>
      <c r="I268" s="95"/>
      <c r="J268" s="95"/>
      <c r="K268" s="95"/>
      <c r="L268" s="95"/>
      <c r="M268" s="95"/>
      <c r="N268" s="95"/>
      <c r="O268" s="95"/>
      <c r="P268" s="95"/>
      <c r="Q268" s="95"/>
      <c r="R268" s="54">
        <v>0</v>
      </c>
      <c r="S268" s="94">
        <v>0</v>
      </c>
      <c r="T268" s="53">
        <v>0</v>
      </c>
      <c r="U268" s="131">
        <v>0</v>
      </c>
      <c r="V268" s="25"/>
      <c r="W268" s="25"/>
      <c r="X268" s="5"/>
    </row>
    <row r="269" spans="1:24" ht="15.75" x14ac:dyDescent="0.25">
      <c r="A269" s="24"/>
      <c r="B269" s="54" t="s">
        <v>159</v>
      </c>
      <c r="C269" s="25"/>
      <c r="D269" s="25"/>
      <c r="E269" s="25"/>
      <c r="F269" s="25"/>
      <c r="G269" s="25"/>
      <c r="H269" s="95"/>
      <c r="I269" s="95"/>
      <c r="J269" s="95"/>
      <c r="K269" s="95"/>
      <c r="L269" s="95"/>
      <c r="M269" s="95"/>
      <c r="N269" s="95"/>
      <c r="O269" s="95"/>
      <c r="P269" s="95"/>
      <c r="Q269" s="95"/>
      <c r="R269" s="54">
        <v>0</v>
      </c>
      <c r="S269" s="94">
        <v>0</v>
      </c>
      <c r="T269" s="53">
        <v>0</v>
      </c>
      <c r="U269" s="131">
        <v>0</v>
      </c>
      <c r="V269" s="25"/>
      <c r="W269" s="25"/>
      <c r="X269" s="5"/>
    </row>
    <row r="270" spans="1:24" ht="15.75" x14ac:dyDescent="0.25">
      <c r="A270" s="24"/>
      <c r="B270" s="54" t="s">
        <v>160</v>
      </c>
      <c r="C270" s="25"/>
      <c r="D270" s="25"/>
      <c r="E270" s="25"/>
      <c r="F270" s="25"/>
      <c r="G270" s="25"/>
      <c r="H270" s="95"/>
      <c r="I270" s="95"/>
      <c r="J270" s="95"/>
      <c r="K270" s="95"/>
      <c r="L270" s="95"/>
      <c r="M270" s="95"/>
      <c r="N270" s="95"/>
      <c r="O270" s="95"/>
      <c r="P270" s="95"/>
      <c r="Q270" s="95"/>
      <c r="R270" s="54">
        <v>0</v>
      </c>
      <c r="S270" s="94">
        <v>0</v>
      </c>
      <c r="T270" s="53">
        <v>0</v>
      </c>
      <c r="U270" s="131">
        <v>0</v>
      </c>
      <c r="V270" s="25"/>
      <c r="W270" s="25"/>
      <c r="X270" s="5"/>
    </row>
    <row r="271" spans="1:24" ht="15.75" x14ac:dyDescent="0.25">
      <c r="A271" s="24"/>
      <c r="B271" s="54"/>
      <c r="C271" s="25"/>
      <c r="D271" s="25"/>
      <c r="E271" s="25"/>
      <c r="F271" s="25"/>
      <c r="G271" s="25"/>
      <c r="H271" s="95"/>
      <c r="I271" s="95"/>
      <c r="J271" s="95"/>
      <c r="K271" s="95"/>
      <c r="L271" s="95"/>
      <c r="M271" s="95"/>
      <c r="N271" s="95"/>
      <c r="O271" s="95"/>
      <c r="P271" s="95"/>
      <c r="Q271" s="95"/>
      <c r="R271" s="54"/>
      <c r="S271" s="94"/>
      <c r="T271" s="53"/>
      <c r="U271" s="131"/>
      <c r="V271" s="25"/>
      <c r="W271" s="25"/>
      <c r="X271" s="5"/>
    </row>
    <row r="272" spans="1:24" ht="15.75" x14ac:dyDescent="0.25">
      <c r="A272" s="24"/>
      <c r="B272" s="25" t="s">
        <v>114</v>
      </c>
      <c r="C272" s="25"/>
      <c r="D272" s="25"/>
      <c r="E272" s="25"/>
      <c r="F272" s="25"/>
      <c r="G272" s="25"/>
      <c r="H272" s="95"/>
      <c r="I272" s="95"/>
      <c r="J272" s="95"/>
      <c r="K272" s="95"/>
      <c r="L272" s="95"/>
      <c r="M272" s="95"/>
      <c r="N272" s="95"/>
      <c r="O272" s="95"/>
      <c r="P272" s="95"/>
      <c r="Q272" s="95"/>
      <c r="R272" s="34">
        <f>SUM(R263:R270)</f>
        <v>0</v>
      </c>
      <c r="S272" s="94">
        <f>SUM(S263:S270)</f>
        <v>0</v>
      </c>
      <c r="T272" s="53">
        <f>SUM(T263:T270)</f>
        <v>0</v>
      </c>
      <c r="U272" s="131">
        <f>SUM(U263:U270)</f>
        <v>0</v>
      </c>
      <c r="V272" s="25"/>
      <c r="W272" s="25"/>
      <c r="X272" s="5"/>
    </row>
    <row r="273" spans="1:24" ht="15.75" x14ac:dyDescent="0.25">
      <c r="A273" s="24"/>
      <c r="B273" s="25"/>
      <c r="C273" s="25"/>
      <c r="D273" s="25"/>
      <c r="E273" s="25"/>
      <c r="F273" s="25"/>
      <c r="G273" s="25"/>
      <c r="H273" s="95"/>
      <c r="I273" s="95"/>
      <c r="J273" s="95"/>
      <c r="K273" s="95"/>
      <c r="L273" s="95"/>
      <c r="M273" s="95"/>
      <c r="N273" s="95"/>
      <c r="O273" s="95"/>
      <c r="P273" s="95"/>
      <c r="Q273" s="95"/>
      <c r="R273" s="34"/>
      <c r="S273" s="131"/>
      <c r="T273" s="53"/>
      <c r="U273" s="131"/>
      <c r="V273" s="25"/>
      <c r="W273" s="25"/>
      <c r="X273" s="5"/>
    </row>
    <row r="274" spans="1:24" ht="15.75" x14ac:dyDescent="0.25">
      <c r="A274" s="24"/>
      <c r="B274" s="139" t="s">
        <v>164</v>
      </c>
      <c r="C274" s="25"/>
      <c r="D274" s="25"/>
      <c r="E274" s="25"/>
      <c r="F274" s="25"/>
      <c r="G274" s="25"/>
      <c r="H274" s="95"/>
      <c r="I274" s="95"/>
      <c r="J274" s="95"/>
      <c r="K274" s="95"/>
      <c r="L274" s="95"/>
      <c r="M274" s="95"/>
      <c r="N274" s="95"/>
      <c r="O274" s="95"/>
      <c r="P274" s="95"/>
      <c r="Q274" s="95"/>
      <c r="R274" s="156">
        <f>R272+R260+R248</f>
        <v>6358</v>
      </c>
      <c r="S274" s="140"/>
      <c r="T274" s="141">
        <f>+T272+T260+T248</f>
        <v>929027</v>
      </c>
      <c r="U274" s="140"/>
      <c r="V274" s="25"/>
      <c r="W274" s="25"/>
      <c r="X274" s="5"/>
    </row>
    <row r="275" spans="1:24" ht="15.75" x14ac:dyDescent="0.25">
      <c r="A275" s="24"/>
      <c r="B275" s="25"/>
      <c r="C275" s="25"/>
      <c r="D275" s="25"/>
      <c r="E275" s="25"/>
      <c r="F275" s="25"/>
      <c r="G275" s="25"/>
      <c r="H275" s="95"/>
      <c r="I275" s="95"/>
      <c r="J275" s="95"/>
      <c r="K275" s="95"/>
      <c r="L275" s="95"/>
      <c r="M275" s="95"/>
      <c r="N275" s="95"/>
      <c r="O275" s="95"/>
      <c r="P275" s="95"/>
      <c r="Q275" s="95"/>
      <c r="R275" s="95"/>
      <c r="S275" s="95"/>
      <c r="T275" s="53"/>
      <c r="U275" s="95"/>
      <c r="V275" s="25"/>
      <c r="W275" s="25"/>
      <c r="X275" s="5"/>
    </row>
    <row r="276" spans="1:24" ht="15.75" x14ac:dyDescent="0.25">
      <c r="A276" s="6"/>
      <c r="B276" s="8"/>
      <c r="C276" s="8"/>
      <c r="D276" s="8"/>
      <c r="E276" s="8"/>
      <c r="F276" s="8"/>
      <c r="G276" s="8"/>
      <c r="H276" s="96"/>
      <c r="I276" s="96"/>
      <c r="J276" s="96"/>
      <c r="K276" s="96"/>
      <c r="L276" s="96"/>
      <c r="M276" s="96"/>
      <c r="N276" s="96"/>
      <c r="O276" s="96"/>
      <c r="P276" s="96"/>
      <c r="Q276" s="96"/>
      <c r="R276" s="96"/>
      <c r="S276" s="96"/>
      <c r="T276" s="97"/>
      <c r="U276" s="96"/>
      <c r="V276" s="8"/>
      <c r="W276" s="8"/>
      <c r="X276" s="5"/>
    </row>
    <row r="277" spans="1:24" ht="15.75" x14ac:dyDescent="0.25">
      <c r="A277" s="178"/>
      <c r="B277" s="14" t="s">
        <v>91</v>
      </c>
      <c r="C277" s="15"/>
      <c r="D277" s="15"/>
      <c r="E277" s="15"/>
      <c r="F277" s="17" t="s">
        <v>97</v>
      </c>
      <c r="G277" s="15"/>
      <c r="H277" s="14" t="s">
        <v>99</v>
      </c>
      <c r="I277" s="14"/>
      <c r="J277" s="14"/>
      <c r="K277" s="173"/>
      <c r="L277" s="173"/>
      <c r="M277" s="173"/>
      <c r="N277" s="173"/>
      <c r="O277" s="173"/>
      <c r="P277" s="173"/>
      <c r="Q277" s="173"/>
      <c r="R277" s="173"/>
      <c r="S277" s="173"/>
      <c r="T277" s="173"/>
      <c r="U277" s="173"/>
      <c r="V277" s="173"/>
      <c r="W277" s="173"/>
      <c r="X277" s="5"/>
    </row>
    <row r="278" spans="1:24" ht="15.75" x14ac:dyDescent="0.25">
      <c r="A278" s="178"/>
      <c r="B278" s="173"/>
      <c r="C278" s="8"/>
      <c r="D278" s="8"/>
      <c r="E278" s="8"/>
      <c r="F278" s="8"/>
      <c r="G278" s="8"/>
      <c r="H278" s="8"/>
      <c r="I278" s="8"/>
      <c r="J278" s="8"/>
      <c r="K278" s="173"/>
      <c r="L278" s="173"/>
      <c r="M278" s="173"/>
      <c r="N278" s="173"/>
      <c r="O278" s="173"/>
      <c r="P278" s="173"/>
      <c r="Q278" s="173"/>
      <c r="R278" s="173"/>
      <c r="S278" s="173"/>
      <c r="T278" s="173"/>
      <c r="U278" s="173"/>
      <c r="V278" s="173"/>
      <c r="W278" s="173"/>
      <c r="X278" s="5"/>
    </row>
    <row r="279" spans="1:24" ht="15.75" x14ac:dyDescent="0.25">
      <c r="A279" s="178"/>
      <c r="B279" s="13" t="s">
        <v>92</v>
      </c>
      <c r="C279" s="13"/>
      <c r="D279" s="13"/>
      <c r="E279" s="13"/>
      <c r="F279" s="129" t="s">
        <v>148</v>
      </c>
      <c r="G279" s="13"/>
      <c r="H279" s="13" t="s">
        <v>152</v>
      </c>
      <c r="I279" s="13"/>
      <c r="J279" s="13"/>
      <c r="K279" s="173"/>
      <c r="L279" s="173"/>
      <c r="M279" s="173"/>
      <c r="N279" s="173"/>
      <c r="O279" s="173"/>
      <c r="P279" s="173"/>
      <c r="Q279" s="173"/>
      <c r="R279" s="173"/>
      <c r="S279" s="173"/>
      <c r="T279" s="173"/>
      <c r="U279" s="173"/>
      <c r="V279" s="173"/>
      <c r="W279" s="173"/>
      <c r="X279" s="5"/>
    </row>
    <row r="280" spans="1:24" ht="15.75" x14ac:dyDescent="0.25">
      <c r="A280" s="178"/>
      <c r="B280" s="13" t="s">
        <v>265</v>
      </c>
      <c r="C280" s="13"/>
      <c r="D280" s="13"/>
      <c r="E280" s="13"/>
      <c r="F280" s="129" t="s">
        <v>266</v>
      </c>
      <c r="G280" s="13"/>
      <c r="H280" s="13" t="s">
        <v>267</v>
      </c>
      <c r="I280" s="13"/>
      <c r="J280" s="13"/>
      <c r="K280" s="173"/>
      <c r="L280" s="173"/>
      <c r="M280" s="173"/>
      <c r="N280" s="173"/>
      <c r="O280" s="173"/>
      <c r="P280" s="173"/>
      <c r="Q280" s="173"/>
      <c r="R280" s="173"/>
      <c r="S280" s="173"/>
      <c r="T280" s="173"/>
      <c r="U280" s="173"/>
      <c r="V280" s="173"/>
      <c r="W280" s="173"/>
      <c r="X280" s="5"/>
    </row>
    <row r="281" spans="1:24" ht="15.75" x14ac:dyDescent="0.25">
      <c r="A281" s="178"/>
      <c r="B281" s="13" t="s">
        <v>93</v>
      </c>
      <c r="C281" s="13"/>
      <c r="D281" s="13"/>
      <c r="E281" s="13"/>
      <c r="F281" s="129" t="s">
        <v>147</v>
      </c>
      <c r="G281" s="13"/>
      <c r="H281" s="13" t="s">
        <v>153</v>
      </c>
      <c r="I281" s="13"/>
      <c r="J281" s="13"/>
      <c r="K281" s="173"/>
      <c r="L281" s="173"/>
      <c r="M281" s="173"/>
      <c r="N281" s="173"/>
      <c r="O281" s="173"/>
      <c r="P281" s="173"/>
      <c r="Q281" s="173"/>
      <c r="R281" s="173"/>
      <c r="S281" s="173"/>
      <c r="T281" s="173"/>
      <c r="U281" s="173"/>
      <c r="V281" s="173"/>
      <c r="W281" s="173"/>
      <c r="X281" s="5"/>
    </row>
    <row r="282" spans="1:24" ht="15.75" x14ac:dyDescent="0.25">
      <c r="A282" s="178"/>
      <c r="B282" s="13"/>
      <c r="C282" s="13"/>
      <c r="D282" s="13"/>
      <c r="E282" s="13"/>
      <c r="F282" s="13"/>
      <c r="G282" s="99"/>
      <c r="H282" s="173"/>
      <c r="I282" s="173"/>
      <c r="J282" s="173"/>
      <c r="K282" s="173"/>
      <c r="L282" s="173"/>
      <c r="M282" s="173"/>
      <c r="N282" s="173"/>
      <c r="O282" s="173"/>
      <c r="P282" s="173"/>
      <c r="Q282" s="173"/>
      <c r="R282" s="173"/>
      <c r="S282" s="173"/>
      <c r="T282" s="173"/>
      <c r="U282" s="173"/>
      <c r="V282" s="173"/>
      <c r="W282" s="173"/>
      <c r="X282" s="5"/>
    </row>
    <row r="283" spans="1:24" ht="15.75" x14ac:dyDescent="0.25">
      <c r="A283" s="178"/>
      <c r="B283" s="13"/>
      <c r="C283" s="13"/>
      <c r="D283" s="13"/>
      <c r="E283" s="13"/>
      <c r="F283" s="13"/>
      <c r="G283" s="99"/>
      <c r="H283" s="173"/>
      <c r="I283" s="173"/>
      <c r="J283" s="173"/>
      <c r="K283" s="173"/>
      <c r="L283" s="173"/>
      <c r="M283" s="173"/>
      <c r="N283" s="173"/>
      <c r="O283" s="173"/>
      <c r="P283" s="173"/>
      <c r="Q283" s="173"/>
      <c r="R283" s="173"/>
      <c r="S283" s="173"/>
      <c r="T283" s="173"/>
      <c r="U283" s="173"/>
      <c r="V283" s="173"/>
      <c r="W283" s="173"/>
      <c r="X283" s="5"/>
    </row>
    <row r="284" spans="1:24" ht="19.5" thickBot="1" x14ac:dyDescent="0.35">
      <c r="A284" s="178"/>
      <c r="B284" s="49" t="str">
        <f>B200</f>
        <v>PM15 INVESTOR REPORT QUARTER ENDING AUG 2008</v>
      </c>
      <c r="C284" s="13"/>
      <c r="D284" s="13"/>
      <c r="E284" s="13"/>
      <c r="F284" s="13"/>
      <c r="G284" s="99"/>
      <c r="H284" s="173"/>
      <c r="I284" s="173"/>
      <c r="J284" s="173"/>
      <c r="K284" s="173"/>
      <c r="L284" s="173"/>
      <c r="M284" s="173"/>
      <c r="N284" s="173"/>
      <c r="O284" s="173"/>
      <c r="P284" s="173"/>
      <c r="Q284" s="173"/>
      <c r="R284" s="173"/>
      <c r="S284" s="173"/>
      <c r="T284" s="173"/>
      <c r="U284" s="173"/>
      <c r="V284" s="173"/>
      <c r="W284" s="173"/>
      <c r="X284" s="5"/>
    </row>
    <row r="285" spans="1:24" x14ac:dyDescent="0.2">
      <c r="A285" s="100"/>
      <c r="B285" s="100"/>
      <c r="C285" s="100"/>
      <c r="D285" s="100"/>
      <c r="E285" s="100"/>
      <c r="F285" s="100"/>
      <c r="G285" s="100"/>
      <c r="H285" s="100"/>
      <c r="I285" s="100"/>
      <c r="J285" s="100"/>
      <c r="K285" s="100"/>
      <c r="L285" s="100"/>
      <c r="M285" s="100"/>
      <c r="N285" s="100"/>
      <c r="O285" s="100"/>
      <c r="P285" s="100"/>
      <c r="Q285" s="100"/>
      <c r="R285" s="100"/>
      <c r="S285" s="100"/>
      <c r="T285" s="100"/>
      <c r="U285" s="100"/>
      <c r="V285" s="100"/>
      <c r="W285" s="100"/>
    </row>
  </sheetData>
  <phoneticPr fontId="0" type="noConversion"/>
  <hyperlinks>
    <hyperlink ref="P236" r:id="rId1" xr:uid="{00000000-0004-0000-0300-000000000000}"/>
    <hyperlink ref="I9" r:id="rId2" xr:uid="{00000000-0004-0000-03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5" max="14" man="1"/>
    <brk id="200" max="14" man="1"/>
  </rowBreaks>
  <drawing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6"/>
  </sheetPr>
  <dimension ref="A1:IV297"/>
  <sheetViews>
    <sheetView showGridLines="0" showOutlineSymbols="0" zoomScale="70" zoomScaleNormal="70" workbookViewId="0"/>
  </sheetViews>
  <sheetFormatPr defaultColWidth="9.6640625" defaultRowHeight="15" x14ac:dyDescent="0.2"/>
  <cols>
    <col min="1" max="1" width="4" style="1" customWidth="1"/>
    <col min="2" max="2" width="71.21875" style="1" customWidth="1"/>
    <col min="3" max="3" width="2.21875" style="1" customWidth="1"/>
    <col min="4" max="4" width="19.33203125" style="1" customWidth="1"/>
    <col min="5" max="5" width="2.21875" style="1" customWidth="1"/>
    <col min="6" max="6" width="25.109375" style="1" customWidth="1"/>
    <col min="7" max="7" width="2.21875" style="1" customWidth="1"/>
    <col min="8" max="8" width="16.21875" style="1" customWidth="1"/>
    <col min="9" max="9" width="2.88671875" style="1" customWidth="1"/>
    <col min="10" max="10" width="16.21875" style="1" customWidth="1"/>
    <col min="11" max="11" width="2.21875" style="1" customWidth="1"/>
    <col min="12" max="12" width="17.88671875" style="1" customWidth="1"/>
    <col min="13" max="13" width="2.33203125" style="1" customWidth="1"/>
    <col min="14" max="14" width="14.88671875" style="1" customWidth="1"/>
    <col min="15" max="15" width="2.33203125" style="1" customWidth="1"/>
    <col min="16" max="16" width="15.5546875" style="1" customWidth="1"/>
    <col min="17" max="17" width="2.21875" style="1" customWidth="1"/>
    <col min="18" max="18" width="15.5546875" style="1" customWidth="1"/>
    <col min="19" max="20" width="12.6640625" style="1" customWidth="1"/>
    <col min="21" max="21" width="7.77734375" style="1" customWidth="1"/>
    <col min="22" max="22" width="14.6640625" style="1" customWidth="1"/>
    <col min="23" max="23" width="11.77734375" style="1" customWidth="1"/>
    <col min="24" max="16384" width="9.6640625" style="1"/>
  </cols>
  <sheetData>
    <row r="1" spans="1:24" ht="20.25" x14ac:dyDescent="0.3">
      <c r="A1" s="179"/>
      <c r="B1" s="274" t="s">
        <v>237</v>
      </c>
      <c r="C1" s="180"/>
      <c r="D1" s="180"/>
      <c r="E1" s="180"/>
      <c r="F1" s="180"/>
      <c r="G1" s="180"/>
      <c r="H1" s="180"/>
      <c r="I1" s="180"/>
      <c r="J1" s="180"/>
      <c r="K1" s="180"/>
      <c r="L1" s="180"/>
      <c r="M1" s="180"/>
      <c r="N1" s="180"/>
      <c r="O1" s="180"/>
      <c r="P1" s="180"/>
      <c r="Q1" s="180"/>
      <c r="R1" s="180"/>
      <c r="S1" s="180"/>
      <c r="T1" s="180"/>
      <c r="U1" s="180"/>
      <c r="V1" s="180"/>
      <c r="W1" s="180"/>
      <c r="X1" s="5"/>
    </row>
    <row r="2" spans="1:24" ht="15.75" x14ac:dyDescent="0.25">
      <c r="A2" s="181"/>
      <c r="B2" s="182"/>
      <c r="C2" s="183"/>
      <c r="D2" s="183"/>
      <c r="E2" s="183"/>
      <c r="F2" s="183"/>
      <c r="G2" s="183"/>
      <c r="H2" s="183"/>
      <c r="I2" s="183"/>
      <c r="J2" s="183"/>
      <c r="K2" s="183"/>
      <c r="L2" s="183"/>
      <c r="M2" s="183"/>
      <c r="N2" s="183"/>
      <c r="O2" s="183"/>
      <c r="P2" s="183"/>
      <c r="Q2" s="183"/>
      <c r="R2" s="183"/>
      <c r="S2" s="183"/>
      <c r="T2" s="183"/>
      <c r="U2" s="183"/>
      <c r="V2" s="183"/>
      <c r="W2" s="183"/>
      <c r="X2" s="5"/>
    </row>
    <row r="3" spans="1:24" ht="15.75" x14ac:dyDescent="0.25">
      <c r="A3" s="184"/>
      <c r="B3" s="185" t="s">
        <v>238</v>
      </c>
      <c r="C3" s="183"/>
      <c r="D3" s="183"/>
      <c r="E3" s="183"/>
      <c r="F3" s="183"/>
      <c r="G3" s="183"/>
      <c r="H3" s="183"/>
      <c r="I3" s="183"/>
      <c r="J3" s="183"/>
      <c r="K3" s="183"/>
      <c r="L3" s="183"/>
      <c r="M3" s="183"/>
      <c r="N3" s="183"/>
      <c r="O3" s="183"/>
      <c r="P3" s="183"/>
      <c r="Q3" s="183"/>
      <c r="R3" s="183"/>
      <c r="S3" s="183"/>
      <c r="T3" s="183"/>
      <c r="U3" s="183"/>
      <c r="V3" s="183"/>
      <c r="W3" s="183"/>
      <c r="X3" s="5"/>
    </row>
    <row r="4" spans="1:24" ht="15.75" x14ac:dyDescent="0.25">
      <c r="A4" s="181"/>
      <c r="B4" s="182"/>
      <c r="C4" s="183"/>
      <c r="D4" s="183"/>
      <c r="E4" s="183"/>
      <c r="F4" s="183"/>
      <c r="G4" s="183"/>
      <c r="H4" s="183"/>
      <c r="I4" s="183"/>
      <c r="J4" s="183"/>
      <c r="K4" s="183"/>
      <c r="L4" s="183"/>
      <c r="M4" s="183"/>
      <c r="N4" s="183"/>
      <c r="O4" s="183"/>
      <c r="P4" s="183"/>
      <c r="Q4" s="183"/>
      <c r="R4" s="183"/>
      <c r="S4" s="183"/>
      <c r="T4" s="183"/>
      <c r="U4" s="183"/>
      <c r="V4" s="183"/>
      <c r="W4" s="183"/>
      <c r="X4" s="5"/>
    </row>
    <row r="5" spans="1:24" ht="15.75" x14ac:dyDescent="0.25">
      <c r="A5" s="181"/>
      <c r="B5" s="275" t="s">
        <v>137</v>
      </c>
      <c r="C5" s="183"/>
      <c r="D5" s="183"/>
      <c r="E5" s="183"/>
      <c r="F5" s="183"/>
      <c r="G5" s="183"/>
      <c r="H5" s="183"/>
      <c r="I5" s="183"/>
      <c r="J5" s="183"/>
      <c r="K5" s="183"/>
      <c r="L5" s="183"/>
      <c r="M5" s="183"/>
      <c r="N5" s="183"/>
      <c r="O5" s="183"/>
      <c r="P5" s="183"/>
      <c r="Q5" s="183"/>
      <c r="R5" s="183"/>
      <c r="S5" s="183"/>
      <c r="T5" s="183"/>
      <c r="U5" s="183"/>
      <c r="V5" s="183"/>
      <c r="W5" s="183"/>
      <c r="X5" s="5"/>
    </row>
    <row r="6" spans="1:24" ht="15.75" x14ac:dyDescent="0.25">
      <c r="A6" s="181"/>
      <c r="B6" s="275" t="s">
        <v>139</v>
      </c>
      <c r="C6" s="183"/>
      <c r="D6" s="183"/>
      <c r="E6" s="183"/>
      <c r="F6" s="183"/>
      <c r="G6" s="183"/>
      <c r="H6" s="183"/>
      <c r="I6" s="183"/>
      <c r="J6" s="183"/>
      <c r="K6" s="183"/>
      <c r="L6" s="183"/>
      <c r="M6" s="183"/>
      <c r="N6" s="183"/>
      <c r="O6" s="183"/>
      <c r="P6" s="183"/>
      <c r="Q6" s="183"/>
      <c r="R6" s="183"/>
      <c r="S6" s="183"/>
      <c r="T6" s="183"/>
      <c r="U6" s="183"/>
      <c r="V6" s="183"/>
      <c r="W6" s="183"/>
      <c r="X6" s="5"/>
    </row>
    <row r="7" spans="1:24" ht="15.75" x14ac:dyDescent="0.25">
      <c r="A7" s="181"/>
      <c r="B7" s="275" t="s">
        <v>138</v>
      </c>
      <c r="C7" s="183"/>
      <c r="D7" s="183"/>
      <c r="E7" s="183"/>
      <c r="F7" s="183"/>
      <c r="G7" s="183"/>
      <c r="H7" s="183"/>
      <c r="I7" s="183"/>
      <c r="J7" s="183"/>
      <c r="K7" s="183"/>
      <c r="L7" s="183"/>
      <c r="M7" s="183"/>
      <c r="N7" s="183"/>
      <c r="O7" s="183"/>
      <c r="P7" s="183"/>
      <c r="Q7" s="183"/>
      <c r="R7" s="183"/>
      <c r="S7" s="183"/>
      <c r="T7" s="183"/>
      <c r="U7" s="183"/>
      <c r="V7" s="183"/>
      <c r="W7" s="183"/>
      <c r="X7" s="5"/>
    </row>
    <row r="8" spans="1:24" ht="15.75" x14ac:dyDescent="0.25">
      <c r="A8" s="181"/>
      <c r="B8" s="186"/>
      <c r="C8" s="183"/>
      <c r="D8" s="183"/>
      <c r="E8" s="183"/>
      <c r="F8" s="183"/>
      <c r="G8" s="183"/>
      <c r="H8" s="183"/>
      <c r="I8" s="183"/>
      <c r="J8" s="183"/>
      <c r="K8" s="183"/>
      <c r="L8" s="183"/>
      <c r="M8" s="183"/>
      <c r="N8" s="183"/>
      <c r="O8" s="183"/>
      <c r="P8" s="183"/>
      <c r="Q8" s="183"/>
      <c r="R8" s="183"/>
      <c r="S8" s="183"/>
      <c r="T8" s="183"/>
      <c r="U8" s="183"/>
      <c r="V8" s="183"/>
      <c r="W8" s="183"/>
      <c r="X8" s="5"/>
    </row>
    <row r="9" spans="1:24" ht="18.75" x14ac:dyDescent="0.3">
      <c r="A9" s="181"/>
      <c r="B9" s="187" t="s">
        <v>166</v>
      </c>
      <c r="C9" s="183"/>
      <c r="D9" s="183"/>
      <c r="E9" s="183"/>
      <c r="F9" s="183"/>
      <c r="G9" s="183"/>
      <c r="H9" s="183"/>
      <c r="I9" s="188" t="s">
        <v>167</v>
      </c>
      <c r="J9" s="183"/>
      <c r="K9" s="183"/>
      <c r="L9" s="188"/>
      <c r="M9" s="183"/>
      <c r="N9" s="188"/>
      <c r="O9" s="183"/>
      <c r="P9" s="183"/>
      <c r="Q9" s="183"/>
      <c r="R9" s="183"/>
      <c r="S9" s="183"/>
      <c r="T9" s="183"/>
      <c r="U9" s="183"/>
      <c r="V9" s="183"/>
      <c r="W9" s="183"/>
      <c r="X9" s="5"/>
    </row>
    <row r="10" spans="1:24" ht="15.75" x14ac:dyDescent="0.25">
      <c r="A10" s="181"/>
      <c r="B10" s="186"/>
      <c r="C10" s="189"/>
      <c r="D10" s="189"/>
      <c r="E10" s="189"/>
      <c r="F10" s="183"/>
      <c r="G10" s="183"/>
      <c r="H10" s="183"/>
      <c r="I10" s="183"/>
      <c r="J10" s="183"/>
      <c r="K10" s="183"/>
      <c r="L10" s="183"/>
      <c r="M10" s="183"/>
      <c r="N10" s="183"/>
      <c r="O10" s="183"/>
      <c r="P10" s="183"/>
      <c r="Q10" s="183"/>
      <c r="R10" s="183"/>
      <c r="S10" s="183"/>
      <c r="T10" s="183"/>
      <c r="U10" s="183"/>
      <c r="V10" s="183"/>
      <c r="W10" s="183"/>
      <c r="X10" s="5"/>
    </row>
    <row r="11" spans="1:24" ht="15.75" x14ac:dyDescent="0.25">
      <c r="A11" s="181"/>
      <c r="B11" s="388" t="s">
        <v>0</v>
      </c>
      <c r="C11" s="183"/>
      <c r="D11" s="183"/>
      <c r="E11" s="183"/>
      <c r="F11" s="183"/>
      <c r="G11" s="183"/>
      <c r="H11" s="183"/>
      <c r="I11" s="183"/>
      <c r="J11" s="183"/>
      <c r="K11" s="183"/>
      <c r="L11" s="183"/>
      <c r="M11" s="183"/>
      <c r="N11" s="183"/>
      <c r="O11" s="183"/>
      <c r="P11" s="183"/>
      <c r="Q11" s="183"/>
      <c r="R11" s="183"/>
      <c r="S11" s="183"/>
      <c r="T11" s="183"/>
      <c r="U11" s="183"/>
      <c r="V11" s="183"/>
      <c r="W11" s="183"/>
      <c r="X11" s="5"/>
    </row>
    <row r="12" spans="1:24" ht="16.5" thickBot="1" x14ac:dyDescent="0.3">
      <c r="A12" s="181"/>
      <c r="B12" s="189"/>
      <c r="C12" s="183"/>
      <c r="D12" s="183"/>
      <c r="E12" s="183"/>
      <c r="F12" s="183"/>
      <c r="G12" s="183"/>
      <c r="H12" s="183"/>
      <c r="I12" s="183"/>
      <c r="J12" s="183"/>
      <c r="K12" s="183"/>
      <c r="L12" s="183"/>
      <c r="M12" s="183"/>
      <c r="N12" s="183"/>
      <c r="O12" s="183"/>
      <c r="P12" s="183"/>
      <c r="Q12" s="183"/>
      <c r="R12" s="183"/>
      <c r="S12" s="183"/>
      <c r="T12" s="183"/>
      <c r="U12" s="183"/>
      <c r="V12" s="183"/>
      <c r="W12" s="183"/>
      <c r="X12" s="5"/>
    </row>
    <row r="13" spans="1:24" ht="15.75" x14ac:dyDescent="0.25">
      <c r="A13" s="179"/>
      <c r="B13" s="180"/>
      <c r="C13" s="180"/>
      <c r="D13" s="180"/>
      <c r="E13" s="180"/>
      <c r="F13" s="180"/>
      <c r="G13" s="180"/>
      <c r="H13" s="180"/>
      <c r="I13" s="180"/>
      <c r="J13" s="180"/>
      <c r="K13" s="180"/>
      <c r="L13" s="180"/>
      <c r="M13" s="180"/>
      <c r="N13" s="180"/>
      <c r="O13" s="180"/>
      <c r="P13" s="180"/>
      <c r="Q13" s="180"/>
      <c r="R13" s="180"/>
      <c r="S13" s="180"/>
      <c r="T13" s="180"/>
      <c r="U13" s="180"/>
      <c r="V13" s="180"/>
      <c r="W13" s="180"/>
      <c r="X13" s="5"/>
    </row>
    <row r="14" spans="1:24" ht="15.75" x14ac:dyDescent="0.25">
      <c r="A14" s="181"/>
      <c r="B14" s="388" t="s">
        <v>1</v>
      </c>
      <c r="C14" s="255"/>
      <c r="D14" s="255"/>
      <c r="E14" s="255"/>
      <c r="F14" s="255"/>
      <c r="G14" s="255"/>
      <c r="H14" s="255"/>
      <c r="I14" s="255"/>
      <c r="J14" s="255"/>
      <c r="K14" s="255"/>
      <c r="L14" s="255"/>
      <c r="M14" s="255"/>
      <c r="N14" s="255"/>
      <c r="O14" s="255"/>
      <c r="P14" s="255"/>
      <c r="Q14" s="255"/>
      <c r="R14" s="255"/>
      <c r="S14" s="255"/>
      <c r="T14" s="255"/>
      <c r="U14" s="255"/>
      <c r="V14" s="276" t="s">
        <v>239</v>
      </c>
      <c r="W14" s="255"/>
      <c r="X14" s="5"/>
    </row>
    <row r="15" spans="1:24" ht="15.75" x14ac:dyDescent="0.25">
      <c r="A15" s="181"/>
      <c r="B15" s="388" t="s">
        <v>2</v>
      </c>
      <c r="C15" s="255"/>
      <c r="D15" s="255"/>
      <c r="E15" s="255"/>
      <c r="F15" s="255"/>
      <c r="G15" s="255"/>
      <c r="H15" s="389"/>
      <c r="I15" s="389"/>
      <c r="J15" s="389"/>
      <c r="K15" s="389"/>
      <c r="L15" s="389"/>
      <c r="M15" s="389"/>
      <c r="N15" s="389"/>
      <c r="O15" s="389"/>
      <c r="P15" s="389"/>
      <c r="Q15" s="389"/>
      <c r="R15" s="389" t="s">
        <v>104</v>
      </c>
      <c r="S15" s="390">
        <v>0.47189999999999999</v>
      </c>
      <c r="T15" s="391" t="s">
        <v>140</v>
      </c>
      <c r="U15" s="390">
        <v>0.52810000000000001</v>
      </c>
      <c r="V15" s="276"/>
      <c r="W15" s="255"/>
      <c r="X15" s="5"/>
    </row>
    <row r="16" spans="1:24" ht="15.75" x14ac:dyDescent="0.25">
      <c r="A16" s="181"/>
      <c r="B16" s="388" t="s">
        <v>3</v>
      </c>
      <c r="C16" s="255"/>
      <c r="D16" s="255"/>
      <c r="E16" s="255"/>
      <c r="F16" s="255"/>
      <c r="G16" s="255"/>
      <c r="H16" s="389"/>
      <c r="I16" s="389"/>
      <c r="J16" s="389"/>
      <c r="K16" s="389"/>
      <c r="L16" s="389"/>
      <c r="M16" s="389"/>
      <c r="N16" s="389"/>
      <c r="O16" s="389"/>
      <c r="P16" s="389"/>
      <c r="Q16" s="389"/>
      <c r="R16" s="389" t="s">
        <v>104</v>
      </c>
      <c r="S16" s="390">
        <v>0.56510000000000005</v>
      </c>
      <c r="T16" s="391" t="s">
        <v>140</v>
      </c>
      <c r="U16" s="390">
        <v>0.43490000000000001</v>
      </c>
      <c r="V16" s="276"/>
      <c r="W16" s="255"/>
      <c r="X16" s="5"/>
    </row>
    <row r="17" spans="1:24" ht="15.75" x14ac:dyDescent="0.25">
      <c r="A17" s="181"/>
      <c r="B17" s="388" t="s">
        <v>4</v>
      </c>
      <c r="C17" s="255"/>
      <c r="D17" s="255"/>
      <c r="E17" s="255"/>
      <c r="F17" s="255"/>
      <c r="G17" s="255"/>
      <c r="H17" s="255"/>
      <c r="I17" s="255"/>
      <c r="J17" s="255"/>
      <c r="K17" s="255"/>
      <c r="L17" s="255"/>
      <c r="M17" s="255"/>
      <c r="N17" s="255"/>
      <c r="O17" s="255"/>
      <c r="P17" s="255"/>
      <c r="Q17" s="255"/>
      <c r="R17" s="255"/>
      <c r="S17" s="255"/>
      <c r="T17" s="255"/>
      <c r="U17" s="255"/>
      <c r="V17" s="392">
        <v>39282</v>
      </c>
      <c r="W17" s="255"/>
      <c r="X17" s="5"/>
    </row>
    <row r="18" spans="1:24" ht="15.75" x14ac:dyDescent="0.25">
      <c r="A18" s="181"/>
      <c r="B18" s="388" t="s">
        <v>5</v>
      </c>
      <c r="C18" s="255"/>
      <c r="D18" s="255"/>
      <c r="E18" s="255"/>
      <c r="F18" s="255"/>
      <c r="G18" s="255"/>
      <c r="H18" s="255"/>
      <c r="I18" s="255"/>
      <c r="J18" s="255"/>
      <c r="K18" s="255"/>
      <c r="L18" s="255"/>
      <c r="M18" s="255"/>
      <c r="N18" s="255"/>
      <c r="O18" s="255"/>
      <c r="P18" s="255"/>
      <c r="Q18" s="255"/>
      <c r="R18" s="255"/>
      <c r="S18" s="255"/>
      <c r="T18" s="255"/>
      <c r="U18" s="255"/>
      <c r="V18" s="392">
        <v>42996</v>
      </c>
      <c r="W18" s="255"/>
      <c r="X18" s="5"/>
    </row>
    <row r="19" spans="1:24" ht="15.75" x14ac:dyDescent="0.25">
      <c r="A19" s="181"/>
      <c r="B19" s="183"/>
      <c r="C19" s="183"/>
      <c r="D19" s="183"/>
      <c r="E19" s="183"/>
      <c r="F19" s="183"/>
      <c r="G19" s="183"/>
      <c r="H19" s="183"/>
      <c r="I19" s="183"/>
      <c r="J19" s="183"/>
      <c r="K19" s="183"/>
      <c r="L19" s="183"/>
      <c r="M19" s="183"/>
      <c r="N19" s="183"/>
      <c r="O19" s="183"/>
      <c r="P19" s="183"/>
      <c r="Q19" s="183"/>
      <c r="R19" s="183"/>
      <c r="S19" s="183"/>
      <c r="T19" s="183"/>
      <c r="U19" s="183"/>
      <c r="V19" s="190"/>
      <c r="W19" s="183"/>
      <c r="X19" s="5"/>
    </row>
    <row r="20" spans="1:24" ht="15.75" x14ac:dyDescent="0.25">
      <c r="A20" s="181"/>
      <c r="B20" s="280" t="s">
        <v>6</v>
      </c>
      <c r="C20" s="255"/>
      <c r="D20" s="255"/>
      <c r="E20" s="255"/>
      <c r="F20" s="255"/>
      <c r="G20" s="255"/>
      <c r="H20" s="255"/>
      <c r="I20" s="255"/>
      <c r="J20" s="255"/>
      <c r="K20" s="255"/>
      <c r="L20" s="255"/>
      <c r="M20" s="255"/>
      <c r="N20" s="255"/>
      <c r="O20" s="255"/>
      <c r="P20" s="255"/>
      <c r="Q20" s="255"/>
      <c r="R20" s="255"/>
      <c r="S20" s="255"/>
      <c r="T20" s="281" t="s">
        <v>105</v>
      </c>
      <c r="U20" s="255"/>
      <c r="V20" s="261"/>
      <c r="W20" s="183"/>
      <c r="X20" s="5"/>
    </row>
    <row r="21" spans="1:24" ht="15.75" x14ac:dyDescent="0.25">
      <c r="A21" s="181"/>
      <c r="B21" s="183"/>
      <c r="C21" s="183"/>
      <c r="D21" s="183"/>
      <c r="E21" s="183"/>
      <c r="F21" s="183"/>
      <c r="G21" s="183"/>
      <c r="H21" s="183"/>
      <c r="I21" s="183"/>
      <c r="J21" s="183"/>
      <c r="K21" s="183"/>
      <c r="L21" s="183"/>
      <c r="M21" s="183"/>
      <c r="N21" s="183"/>
      <c r="O21" s="183"/>
      <c r="P21" s="183"/>
      <c r="Q21" s="183"/>
      <c r="R21" s="183"/>
      <c r="S21" s="183"/>
      <c r="T21" s="183"/>
      <c r="U21" s="183"/>
      <c r="V21" s="192"/>
      <c r="W21" s="183"/>
      <c r="X21" s="5"/>
    </row>
    <row r="22" spans="1:24" ht="15.75" x14ac:dyDescent="0.25">
      <c r="A22" s="224"/>
      <c r="B22" s="225"/>
      <c r="C22" s="226"/>
      <c r="D22" s="226" t="s">
        <v>177</v>
      </c>
      <c r="E22" s="226"/>
      <c r="F22" s="226" t="s">
        <v>178</v>
      </c>
      <c r="G22" s="226"/>
      <c r="H22" s="226" t="s">
        <v>179</v>
      </c>
      <c r="I22" s="226"/>
      <c r="J22" s="226" t="s">
        <v>219</v>
      </c>
      <c r="K22" s="226"/>
      <c r="L22" s="226" t="s">
        <v>180</v>
      </c>
      <c r="M22" s="226"/>
      <c r="N22" s="226" t="s">
        <v>181</v>
      </c>
      <c r="O22" s="226"/>
      <c r="P22" s="226" t="s">
        <v>182</v>
      </c>
      <c r="Q22" s="226"/>
      <c r="R22" s="226"/>
      <c r="S22" s="228"/>
      <c r="T22" s="228"/>
      <c r="U22" s="229"/>
      <c r="V22" s="229"/>
      <c r="W22" s="225"/>
      <c r="X22" s="5"/>
    </row>
    <row r="23" spans="1:24" ht="15.75" x14ac:dyDescent="0.25">
      <c r="A23" s="193"/>
      <c r="B23" s="250" t="s">
        <v>7</v>
      </c>
      <c r="C23" s="282"/>
      <c r="D23" s="282" t="s">
        <v>212</v>
      </c>
      <c r="E23" s="282"/>
      <c r="F23" s="282" t="s">
        <v>141</v>
      </c>
      <c r="G23" s="282"/>
      <c r="H23" s="282" t="s">
        <v>141</v>
      </c>
      <c r="I23" s="282"/>
      <c r="J23" s="282" t="s">
        <v>141</v>
      </c>
      <c r="K23" s="282"/>
      <c r="L23" s="282" t="s">
        <v>183</v>
      </c>
      <c r="M23" s="282"/>
      <c r="N23" s="282" t="s">
        <v>183</v>
      </c>
      <c r="O23" s="282"/>
      <c r="P23" s="282" t="s">
        <v>142</v>
      </c>
      <c r="Q23" s="282"/>
      <c r="R23" s="282"/>
      <c r="S23" s="282"/>
      <c r="T23" s="282"/>
      <c r="U23" s="273"/>
      <c r="V23" s="273"/>
      <c r="W23" s="250"/>
      <c r="X23" s="5"/>
    </row>
    <row r="24" spans="1:24" ht="15.75" x14ac:dyDescent="0.25">
      <c r="A24" s="285"/>
      <c r="B24" s="286" t="s">
        <v>8</v>
      </c>
      <c r="C24" s="287"/>
      <c r="D24" s="287" t="s">
        <v>213</v>
      </c>
      <c r="E24" s="287"/>
      <c r="F24" s="287" t="s">
        <v>143</v>
      </c>
      <c r="G24" s="287"/>
      <c r="H24" s="287" t="s">
        <v>143</v>
      </c>
      <c r="I24" s="287"/>
      <c r="J24" s="287" t="s">
        <v>143</v>
      </c>
      <c r="K24" s="287"/>
      <c r="L24" s="287" t="s">
        <v>165</v>
      </c>
      <c r="M24" s="287"/>
      <c r="N24" s="287" t="s">
        <v>165</v>
      </c>
      <c r="O24" s="287"/>
      <c r="P24" s="287" t="s">
        <v>144</v>
      </c>
      <c r="Q24" s="287"/>
      <c r="R24" s="287"/>
      <c r="S24" s="287"/>
      <c r="T24" s="287"/>
      <c r="U24" s="288"/>
      <c r="V24" s="288"/>
      <c r="W24" s="289"/>
      <c r="X24" s="5"/>
    </row>
    <row r="25" spans="1:24" ht="15.75" x14ac:dyDescent="0.25">
      <c r="A25" s="290"/>
      <c r="B25" s="286" t="s">
        <v>190</v>
      </c>
      <c r="C25" s="292"/>
      <c r="D25" s="287" t="s">
        <v>214</v>
      </c>
      <c r="E25" s="287"/>
      <c r="F25" s="287" t="s">
        <v>143</v>
      </c>
      <c r="G25" s="287"/>
      <c r="H25" s="287" t="s">
        <v>143</v>
      </c>
      <c r="I25" s="287"/>
      <c r="J25" s="287" t="s">
        <v>143</v>
      </c>
      <c r="K25" s="287"/>
      <c r="L25" s="287" t="s">
        <v>165</v>
      </c>
      <c r="M25" s="287"/>
      <c r="N25" s="287" t="s">
        <v>165</v>
      </c>
      <c r="O25" s="287"/>
      <c r="P25" s="287" t="s">
        <v>144</v>
      </c>
      <c r="Q25" s="287"/>
      <c r="R25" s="287"/>
      <c r="S25" s="292"/>
      <c r="T25" s="287"/>
      <c r="U25" s="288"/>
      <c r="V25" s="288"/>
      <c r="W25" s="289"/>
      <c r="X25" s="5"/>
    </row>
    <row r="26" spans="1:24" ht="15.75" x14ac:dyDescent="0.25">
      <c r="A26" s="393"/>
      <c r="B26" s="297" t="s">
        <v>9</v>
      </c>
      <c r="C26" s="292"/>
      <c r="D26" s="292" t="s">
        <v>141</v>
      </c>
      <c r="E26" s="292"/>
      <c r="F26" s="292" t="s">
        <v>141</v>
      </c>
      <c r="G26" s="292"/>
      <c r="H26" s="292" t="s">
        <v>141</v>
      </c>
      <c r="I26" s="292"/>
      <c r="J26" s="292" t="s">
        <v>141</v>
      </c>
      <c r="K26" s="292"/>
      <c r="L26" s="292" t="s">
        <v>183</v>
      </c>
      <c r="M26" s="292"/>
      <c r="N26" s="292" t="s">
        <v>183</v>
      </c>
      <c r="O26" s="292"/>
      <c r="P26" s="292" t="s">
        <v>142</v>
      </c>
      <c r="Q26" s="292"/>
      <c r="R26" s="292"/>
      <c r="S26" s="292"/>
      <c r="T26" s="287"/>
      <c r="U26" s="288"/>
      <c r="V26" s="288"/>
      <c r="W26" s="289"/>
      <c r="X26" s="5"/>
    </row>
    <row r="27" spans="1:24" ht="15.75" x14ac:dyDescent="0.25">
      <c r="A27" s="295"/>
      <c r="B27" s="297" t="s">
        <v>191</v>
      </c>
      <c r="C27" s="287"/>
      <c r="D27" s="292" t="s">
        <v>143</v>
      </c>
      <c r="E27" s="292"/>
      <c r="F27" s="292" t="s">
        <v>143</v>
      </c>
      <c r="G27" s="292"/>
      <c r="H27" s="292" t="s">
        <v>143</v>
      </c>
      <c r="I27" s="292"/>
      <c r="J27" s="292" t="s">
        <v>143</v>
      </c>
      <c r="K27" s="292"/>
      <c r="L27" s="292" t="s">
        <v>165</v>
      </c>
      <c r="M27" s="292"/>
      <c r="N27" s="292" t="s">
        <v>165</v>
      </c>
      <c r="O27" s="292"/>
      <c r="P27" s="292" t="s">
        <v>330</v>
      </c>
      <c r="Q27" s="292"/>
      <c r="R27" s="292"/>
      <c r="S27" s="287"/>
      <c r="T27" s="296"/>
      <c r="U27" s="288"/>
      <c r="V27" s="288"/>
      <c r="W27" s="289"/>
      <c r="X27" s="5"/>
    </row>
    <row r="28" spans="1:24" ht="15.75" x14ac:dyDescent="0.25">
      <c r="A28" s="295"/>
      <c r="B28" s="297" t="s">
        <v>192</v>
      </c>
      <c r="C28" s="287"/>
      <c r="D28" s="292" t="s">
        <v>143</v>
      </c>
      <c r="E28" s="292"/>
      <c r="F28" s="292" t="s">
        <v>143</v>
      </c>
      <c r="G28" s="292"/>
      <c r="H28" s="292" t="s">
        <v>143</v>
      </c>
      <c r="I28" s="292"/>
      <c r="J28" s="292" t="s">
        <v>143</v>
      </c>
      <c r="K28" s="292"/>
      <c r="L28" s="292" t="s">
        <v>143</v>
      </c>
      <c r="M28" s="292"/>
      <c r="N28" s="292" t="s">
        <v>143</v>
      </c>
      <c r="O28" s="292"/>
      <c r="P28" s="292" t="s">
        <v>330</v>
      </c>
      <c r="Q28" s="292"/>
      <c r="R28" s="292"/>
      <c r="S28" s="287"/>
      <c r="T28" s="296"/>
      <c r="U28" s="288"/>
      <c r="V28" s="288"/>
      <c r="W28" s="289"/>
      <c r="X28" s="5"/>
    </row>
    <row r="29" spans="1:24" ht="15.75" x14ac:dyDescent="0.25">
      <c r="A29" s="295"/>
      <c r="B29" s="286" t="s">
        <v>10</v>
      </c>
      <c r="C29" s="298"/>
      <c r="D29" s="287" t="s">
        <v>242</v>
      </c>
      <c r="E29" s="287"/>
      <c r="F29" s="296" t="s">
        <v>244</v>
      </c>
      <c r="G29" s="287"/>
      <c r="H29" s="287" t="s">
        <v>245</v>
      </c>
      <c r="I29" s="287"/>
      <c r="J29" s="287" t="s">
        <v>247</v>
      </c>
      <c r="K29" s="287"/>
      <c r="L29" s="287" t="s">
        <v>248</v>
      </c>
      <c r="M29" s="287"/>
      <c r="N29" s="287" t="s">
        <v>249</v>
      </c>
      <c r="O29" s="287"/>
      <c r="P29" s="287" t="s">
        <v>250</v>
      </c>
      <c r="Q29" s="287"/>
      <c r="R29" s="287"/>
      <c r="S29" s="299"/>
      <c r="T29" s="299"/>
      <c r="U29" s="300"/>
      <c r="V29" s="299"/>
      <c r="W29" s="301"/>
      <c r="X29" s="5"/>
    </row>
    <row r="30" spans="1:24" ht="15.75" x14ac:dyDescent="0.25">
      <c r="A30" s="295"/>
      <c r="B30" s="286" t="s">
        <v>10</v>
      </c>
      <c r="C30" s="298"/>
      <c r="D30" s="287" t="s">
        <v>243</v>
      </c>
      <c r="E30" s="287"/>
      <c r="F30" s="296" t="s">
        <v>118</v>
      </c>
      <c r="G30" s="287"/>
      <c r="H30" s="287" t="s">
        <v>118</v>
      </c>
      <c r="I30" s="287"/>
      <c r="J30" s="287" t="s">
        <v>246</v>
      </c>
      <c r="K30" s="287"/>
      <c r="L30" s="287" t="s">
        <v>118</v>
      </c>
      <c r="M30" s="287"/>
      <c r="N30" s="287" t="s">
        <v>118</v>
      </c>
      <c r="O30" s="287"/>
      <c r="P30" s="287" t="s">
        <v>118</v>
      </c>
      <c r="Q30" s="287"/>
      <c r="R30" s="287"/>
      <c r="S30" s="299"/>
      <c r="T30" s="299"/>
      <c r="U30" s="300"/>
      <c r="V30" s="299"/>
      <c r="W30" s="301"/>
      <c r="X30" s="5"/>
    </row>
    <row r="31" spans="1:24" ht="15.75" x14ac:dyDescent="0.25">
      <c r="A31" s="393"/>
      <c r="B31" s="286" t="s">
        <v>133</v>
      </c>
      <c r="C31" s="310"/>
      <c r="D31" s="303">
        <v>1000000</v>
      </c>
      <c r="E31" s="298"/>
      <c r="F31" s="299">
        <v>209500</v>
      </c>
      <c r="G31" s="299"/>
      <c r="H31" s="304">
        <v>110000</v>
      </c>
      <c r="I31" s="304"/>
      <c r="J31" s="303">
        <v>150000</v>
      </c>
      <c r="K31" s="299"/>
      <c r="L31" s="299">
        <v>17000</v>
      </c>
      <c r="M31" s="299"/>
      <c r="N31" s="304">
        <v>85500</v>
      </c>
      <c r="O31" s="299"/>
      <c r="P31" s="304">
        <v>110500</v>
      </c>
      <c r="Q31" s="299"/>
      <c r="R31" s="304"/>
      <c r="S31" s="312"/>
      <c r="T31" s="312"/>
      <c r="U31" s="306"/>
      <c r="V31" s="312"/>
      <c r="W31" s="301"/>
      <c r="X31" s="5"/>
    </row>
    <row r="32" spans="1:24" ht="15.75" x14ac:dyDescent="0.25">
      <c r="A32" s="295"/>
      <c r="B32" s="286" t="s">
        <v>132</v>
      </c>
      <c r="C32" s="298"/>
      <c r="D32" s="303">
        <f>D31*D38</f>
        <v>597674.30000000005</v>
      </c>
      <c r="E32" s="298"/>
      <c r="F32" s="299">
        <f>F31*F38</f>
        <v>125213.1639</v>
      </c>
      <c r="G32" s="299"/>
      <c r="H32" s="304">
        <f>H31*H38</f>
        <v>65745.262000000002</v>
      </c>
      <c r="I32" s="304"/>
      <c r="J32" s="303">
        <f>J31*J38</f>
        <v>89651.145000000004</v>
      </c>
      <c r="K32" s="299"/>
      <c r="L32" s="299">
        <f>L31*L38</f>
        <v>17000</v>
      </c>
      <c r="M32" s="299"/>
      <c r="N32" s="304">
        <f>N31*N38</f>
        <v>85500</v>
      </c>
      <c r="O32" s="299"/>
      <c r="P32" s="304">
        <f>P31*P38</f>
        <v>110500</v>
      </c>
      <c r="Q32" s="299"/>
      <c r="R32" s="304"/>
      <c r="S32" s="299"/>
      <c r="T32" s="299"/>
      <c r="U32" s="300"/>
      <c r="V32" s="299"/>
      <c r="W32" s="301"/>
      <c r="X32" s="5"/>
    </row>
    <row r="33" spans="1:27" ht="15.75" x14ac:dyDescent="0.25">
      <c r="A33" s="295"/>
      <c r="B33" s="297" t="s">
        <v>134</v>
      </c>
      <c r="C33" s="298"/>
      <c r="D33" s="394">
        <f>D37*D31</f>
        <v>581694.5</v>
      </c>
      <c r="E33" s="310"/>
      <c r="F33" s="312">
        <f>F37*F31</f>
        <v>121865.3958</v>
      </c>
      <c r="G33" s="312"/>
      <c r="H33" s="395">
        <f>H31*H37</f>
        <v>63987.528000000006</v>
      </c>
      <c r="I33" s="395"/>
      <c r="J33" s="394">
        <f>J37*J31</f>
        <v>87254.175000000003</v>
      </c>
      <c r="K33" s="312"/>
      <c r="L33" s="312">
        <f>L31*L37</f>
        <v>17000</v>
      </c>
      <c r="M33" s="312"/>
      <c r="N33" s="395">
        <f>N31*N37</f>
        <v>85500</v>
      </c>
      <c r="O33" s="312"/>
      <c r="P33" s="395">
        <f>P31*P37</f>
        <v>110500</v>
      </c>
      <c r="Q33" s="312"/>
      <c r="R33" s="395"/>
      <c r="S33" s="299"/>
      <c r="T33" s="299"/>
      <c r="U33" s="300"/>
      <c r="V33" s="299"/>
      <c r="W33" s="301"/>
      <c r="X33" s="5"/>
    </row>
    <row r="34" spans="1:27" ht="15.75" x14ac:dyDescent="0.25">
      <c r="A34" s="393"/>
      <c r="B34" s="286" t="s">
        <v>286</v>
      </c>
      <c r="C34" s="310"/>
      <c r="D34" s="299">
        <v>492951</v>
      </c>
      <c r="E34" s="298"/>
      <c r="F34" s="299">
        <v>209500</v>
      </c>
      <c r="G34" s="299"/>
      <c r="H34" s="299">
        <v>74677</v>
      </c>
      <c r="I34" s="299"/>
      <c r="J34" s="299">
        <v>73943</v>
      </c>
      <c r="K34" s="299"/>
      <c r="L34" s="299">
        <v>17000</v>
      </c>
      <c r="M34" s="299"/>
      <c r="N34" s="299">
        <v>58045</v>
      </c>
      <c r="O34" s="299"/>
      <c r="P34" s="299">
        <v>75017</v>
      </c>
      <c r="Q34" s="299"/>
      <c r="R34" s="299"/>
      <c r="S34" s="312"/>
      <c r="T34" s="312"/>
      <c r="U34" s="306"/>
      <c r="V34" s="299">
        <f>SUM(C34:R34)</f>
        <v>1001133</v>
      </c>
      <c r="W34" s="301"/>
      <c r="X34" s="5"/>
    </row>
    <row r="35" spans="1:27" ht="15.75" x14ac:dyDescent="0.25">
      <c r="A35" s="393"/>
      <c r="B35" s="286" t="s">
        <v>287</v>
      </c>
      <c r="C35" s="310"/>
      <c r="D35" s="299">
        <f>D34*D38</f>
        <v>294624.14385930001</v>
      </c>
      <c r="E35" s="298"/>
      <c r="F35" s="299">
        <f>F34*F38</f>
        <v>125213.1639</v>
      </c>
      <c r="G35" s="299"/>
      <c r="H35" s="299">
        <f>H34*H38</f>
        <v>44633.263003400003</v>
      </c>
      <c r="I35" s="299"/>
      <c r="J35" s="299">
        <f>J34*J38</f>
        <v>44193.830764899998</v>
      </c>
      <c r="K35" s="299"/>
      <c r="L35" s="299">
        <f>L34*L38</f>
        <v>17000</v>
      </c>
      <c r="M35" s="299"/>
      <c r="N35" s="299">
        <f>N34*N38</f>
        <v>58045</v>
      </c>
      <c r="O35" s="299"/>
      <c r="P35" s="299">
        <f>P34*P38</f>
        <v>75017</v>
      </c>
      <c r="Q35" s="299"/>
      <c r="R35" s="299"/>
      <c r="S35" s="299"/>
      <c r="T35" s="299"/>
      <c r="U35" s="300"/>
      <c r="V35" s="299">
        <f>SUM(C35:R35)</f>
        <v>658726.40152760001</v>
      </c>
      <c r="W35" s="301"/>
      <c r="X35" s="5"/>
    </row>
    <row r="36" spans="1:27" ht="15.75" x14ac:dyDescent="0.25">
      <c r="A36" s="393"/>
      <c r="B36" s="297" t="s">
        <v>288</v>
      </c>
      <c r="C36" s="310"/>
      <c r="D36" s="312">
        <f>D34*D37</f>
        <v>286746.88546949998</v>
      </c>
      <c r="E36" s="310"/>
      <c r="F36" s="312">
        <f>F34*F37</f>
        <v>121865.3958</v>
      </c>
      <c r="G36" s="312"/>
      <c r="H36" s="312">
        <f>H34*H37</f>
        <v>43439.969349600004</v>
      </c>
      <c r="I36" s="312"/>
      <c r="J36" s="312">
        <f>J34*J37</f>
        <v>43012.236413500003</v>
      </c>
      <c r="K36" s="312"/>
      <c r="L36" s="312">
        <f>L34*L37</f>
        <v>17000</v>
      </c>
      <c r="M36" s="312"/>
      <c r="N36" s="312">
        <f>N34*N37</f>
        <v>58045</v>
      </c>
      <c r="O36" s="312"/>
      <c r="P36" s="312">
        <f>P34*P37</f>
        <v>75017</v>
      </c>
      <c r="Q36" s="312"/>
      <c r="R36" s="312"/>
      <c r="S36" s="311"/>
      <c r="T36" s="311"/>
      <c r="U36" s="300"/>
      <c r="V36" s="312">
        <f>SUM(C36:R36)</f>
        <v>645126.48703259998</v>
      </c>
      <c r="W36" s="301"/>
      <c r="X36" s="5"/>
    </row>
    <row r="37" spans="1:27" ht="15.75" x14ac:dyDescent="0.25">
      <c r="A37" s="285"/>
      <c r="B37" s="313" t="s">
        <v>130</v>
      </c>
      <c r="C37" s="314"/>
      <c r="D37" s="315">
        <v>0.5816945</v>
      </c>
      <c r="E37" s="315"/>
      <c r="F37" s="315">
        <v>0.5816964</v>
      </c>
      <c r="G37" s="315"/>
      <c r="H37" s="315">
        <v>0.58170480000000002</v>
      </c>
      <c r="I37" s="315"/>
      <c r="J37" s="315">
        <v>0.5816945</v>
      </c>
      <c r="K37" s="315"/>
      <c r="L37" s="315">
        <v>1</v>
      </c>
      <c r="M37" s="315"/>
      <c r="N37" s="315">
        <v>1</v>
      </c>
      <c r="O37" s="315"/>
      <c r="P37" s="315">
        <v>1</v>
      </c>
      <c r="Q37" s="315"/>
      <c r="R37" s="315"/>
      <c r="S37" s="316"/>
      <c r="T37" s="316"/>
      <c r="U37" s="317"/>
      <c r="V37" s="317"/>
      <c r="W37" s="318"/>
      <c r="X37" s="5"/>
    </row>
    <row r="38" spans="1:27" ht="15.75" x14ac:dyDescent="0.25">
      <c r="A38" s="285"/>
      <c r="B38" s="313" t="s">
        <v>131</v>
      </c>
      <c r="C38" s="314"/>
      <c r="D38" s="315">
        <v>0.59767429999999999</v>
      </c>
      <c r="E38" s="315"/>
      <c r="F38" s="315">
        <v>0.59767619999999999</v>
      </c>
      <c r="G38" s="315"/>
      <c r="H38" s="315">
        <v>0.5976842</v>
      </c>
      <c r="I38" s="315"/>
      <c r="J38" s="315">
        <v>0.59767429999999999</v>
      </c>
      <c r="K38" s="315"/>
      <c r="L38" s="315">
        <v>1</v>
      </c>
      <c r="M38" s="315"/>
      <c r="N38" s="315">
        <v>1</v>
      </c>
      <c r="O38" s="315"/>
      <c r="P38" s="315">
        <v>1</v>
      </c>
      <c r="Q38" s="315"/>
      <c r="R38" s="315"/>
      <c r="S38" s="319"/>
      <c r="T38" s="320"/>
      <c r="U38" s="317"/>
      <c r="V38" s="319"/>
      <c r="W38" s="318"/>
      <c r="X38" s="5"/>
    </row>
    <row r="39" spans="1:27" ht="15.75" x14ac:dyDescent="0.25">
      <c r="A39" s="285"/>
      <c r="B39" s="286" t="s">
        <v>11</v>
      </c>
      <c r="C39" s="286"/>
      <c r="D39" s="296" t="s">
        <v>304</v>
      </c>
      <c r="E39" s="286"/>
      <c r="F39" s="296" t="s">
        <v>256</v>
      </c>
      <c r="G39" s="296"/>
      <c r="H39" s="296" t="s">
        <v>257</v>
      </c>
      <c r="I39" s="296"/>
      <c r="J39" s="296" t="s">
        <v>258</v>
      </c>
      <c r="K39" s="296"/>
      <c r="L39" s="296" t="s">
        <v>259</v>
      </c>
      <c r="M39" s="296"/>
      <c r="N39" s="296" t="s">
        <v>259</v>
      </c>
      <c r="O39" s="296"/>
      <c r="P39" s="296" t="s">
        <v>260</v>
      </c>
      <c r="Q39" s="296"/>
      <c r="R39" s="296"/>
      <c r="S39" s="321"/>
      <c r="T39" s="322"/>
      <c r="U39" s="288"/>
      <c r="V39" s="288"/>
      <c r="W39" s="289"/>
      <c r="X39" s="5"/>
    </row>
    <row r="40" spans="1:27" ht="15.75" x14ac:dyDescent="0.25">
      <c r="A40" s="285"/>
      <c r="B40" s="286" t="s">
        <v>12</v>
      </c>
      <c r="C40" s="286"/>
      <c r="D40" s="322">
        <v>1.40667E-2</v>
      </c>
      <c r="E40" s="286"/>
      <c r="F40" s="322">
        <v>5.4869000000000003E-3</v>
      </c>
      <c r="G40" s="321"/>
      <c r="H40" s="322">
        <v>0</v>
      </c>
      <c r="I40" s="322"/>
      <c r="J40" s="322">
        <v>1.46556E-2</v>
      </c>
      <c r="K40" s="321"/>
      <c r="L40" s="322">
        <v>8.2868999999999998E-3</v>
      </c>
      <c r="M40" s="321"/>
      <c r="N40" s="322">
        <v>2.0899999999999998E-3</v>
      </c>
      <c r="O40" s="321"/>
      <c r="P40" s="322">
        <v>7.6899999999999998E-3</v>
      </c>
      <c r="Q40" s="321"/>
      <c r="R40" s="322"/>
      <c r="S40" s="321"/>
      <c r="T40" s="322"/>
      <c r="U40" s="288"/>
      <c r="V40" s="296"/>
      <c r="W40" s="289"/>
      <c r="X40" s="5"/>
      <c r="AA40" s="1" t="s">
        <v>193</v>
      </c>
    </row>
    <row r="41" spans="1:27" ht="15.75" x14ac:dyDescent="0.25">
      <c r="A41" s="285"/>
      <c r="B41" s="286" t="s">
        <v>13</v>
      </c>
      <c r="C41" s="286"/>
      <c r="D41" s="322">
        <v>1.1691099999999999E-2</v>
      </c>
      <c r="E41" s="286"/>
      <c r="F41" s="322">
        <v>6.0388000000000004E-3</v>
      </c>
      <c r="G41" s="321"/>
      <c r="H41" s="322">
        <v>0</v>
      </c>
      <c r="I41" s="322"/>
      <c r="J41" s="322">
        <v>1.35122E-2</v>
      </c>
      <c r="K41" s="321"/>
      <c r="L41" s="322">
        <v>8.8388000000000008E-3</v>
      </c>
      <c r="M41" s="321"/>
      <c r="N41" s="322">
        <v>2.0999999999999999E-3</v>
      </c>
      <c r="O41" s="321"/>
      <c r="P41" s="322">
        <v>7.7000000000000002E-3</v>
      </c>
      <c r="Q41" s="321"/>
      <c r="R41" s="322"/>
      <c r="S41" s="321"/>
      <c r="T41" s="322"/>
      <c r="U41" s="288"/>
      <c r="V41" s="321" t="s">
        <v>193</v>
      </c>
      <c r="W41" s="289"/>
      <c r="X41" s="5"/>
    </row>
    <row r="42" spans="1:27" ht="15.75" x14ac:dyDescent="0.25">
      <c r="A42" s="285"/>
      <c r="B42" s="286" t="s">
        <v>289</v>
      </c>
      <c r="C42" s="286"/>
      <c r="D42" s="296" t="s">
        <v>311</v>
      </c>
      <c r="E42" s="286"/>
      <c r="F42" s="296" t="s">
        <v>256</v>
      </c>
      <c r="G42" s="296"/>
      <c r="H42" s="296" t="s">
        <v>261</v>
      </c>
      <c r="I42" s="296"/>
      <c r="J42" s="296" t="s">
        <v>261</v>
      </c>
      <c r="K42" s="296"/>
      <c r="L42" s="296" t="s">
        <v>259</v>
      </c>
      <c r="M42" s="296"/>
      <c r="N42" s="296" t="s">
        <v>263</v>
      </c>
      <c r="O42" s="296"/>
      <c r="P42" s="296" t="s">
        <v>264</v>
      </c>
      <c r="Q42" s="296"/>
      <c r="R42" s="296"/>
      <c r="S42" s="321"/>
      <c r="T42" s="322"/>
      <c r="U42" s="288"/>
      <c r="V42" s="288"/>
      <c r="W42" s="289"/>
      <c r="X42" s="5"/>
    </row>
    <row r="43" spans="1:27" ht="15.75" x14ac:dyDescent="0.25">
      <c r="A43" s="285"/>
      <c r="B43" s="286" t="s">
        <v>290</v>
      </c>
      <c r="C43" s="323"/>
      <c r="D43" s="322">
        <v>4.8837999999999998E-3</v>
      </c>
      <c r="E43" s="322"/>
      <c r="F43" s="322">
        <f>+F40</f>
        <v>5.4869000000000003E-3</v>
      </c>
      <c r="G43" s="322"/>
      <c r="H43" s="322">
        <v>5.6369000000000002E-3</v>
      </c>
      <c r="I43" s="322"/>
      <c r="J43" s="322">
        <v>5.6668999999999999E-3</v>
      </c>
      <c r="K43" s="322"/>
      <c r="L43" s="322">
        <f>+L40</f>
        <v>8.2868999999999998E-3</v>
      </c>
      <c r="M43" s="322"/>
      <c r="N43" s="322">
        <v>9.0209000000000001E-3</v>
      </c>
      <c r="O43" s="322"/>
      <c r="P43" s="322">
        <v>1.5180900000000001E-2</v>
      </c>
      <c r="Q43" s="321"/>
      <c r="R43" s="322"/>
      <c r="S43" s="296"/>
      <c r="T43" s="296"/>
      <c r="U43" s="288"/>
      <c r="V43" s="321">
        <f>SUMPRODUCT(D43:R43,D35:R35)/V35</f>
        <v>6.7270322976158573E-3</v>
      </c>
      <c r="W43" s="289"/>
      <c r="X43" s="5"/>
    </row>
    <row r="44" spans="1:27" ht="15.75" x14ac:dyDescent="0.25">
      <c r="A44" s="285"/>
      <c r="B44" s="286" t="s">
        <v>291</v>
      </c>
      <c r="C44" s="323"/>
      <c r="D44" s="322">
        <v>5.4356999999999999E-3</v>
      </c>
      <c r="E44" s="322"/>
      <c r="F44" s="322">
        <f>+F41</f>
        <v>6.0388000000000004E-3</v>
      </c>
      <c r="G44" s="322"/>
      <c r="H44" s="322">
        <v>6.1888000000000004E-3</v>
      </c>
      <c r="I44" s="322"/>
      <c r="J44" s="322">
        <v>6.2188E-3</v>
      </c>
      <c r="K44" s="322"/>
      <c r="L44" s="322">
        <f>+L41</f>
        <v>8.8388000000000008E-3</v>
      </c>
      <c r="M44" s="322"/>
      <c r="N44" s="322">
        <v>9.5727999999999994E-3</v>
      </c>
      <c r="O44" s="322"/>
      <c r="P44" s="322">
        <v>1.5732800000000002E-2</v>
      </c>
      <c r="Q44" s="321"/>
      <c r="R44" s="322"/>
      <c r="S44" s="296"/>
      <c r="T44" s="296"/>
      <c r="U44" s="288"/>
      <c r="V44" s="288"/>
      <c r="W44" s="289"/>
      <c r="X44" s="5"/>
    </row>
    <row r="45" spans="1:27" ht="15.75" x14ac:dyDescent="0.25">
      <c r="A45" s="285"/>
      <c r="B45" s="286" t="s">
        <v>14</v>
      </c>
      <c r="C45" s="286"/>
      <c r="D45" s="323">
        <v>40709</v>
      </c>
      <c r="E45" s="323"/>
      <c r="F45" s="323">
        <v>40709</v>
      </c>
      <c r="G45" s="323"/>
      <c r="H45" s="323">
        <v>40709</v>
      </c>
      <c r="I45" s="323"/>
      <c r="J45" s="323">
        <v>40709</v>
      </c>
      <c r="K45" s="323"/>
      <c r="L45" s="323">
        <v>40709</v>
      </c>
      <c r="M45" s="323"/>
      <c r="N45" s="323">
        <v>40709</v>
      </c>
      <c r="O45" s="323"/>
      <c r="P45" s="323">
        <v>40709</v>
      </c>
      <c r="Q45" s="323"/>
      <c r="R45" s="323"/>
      <c r="S45" s="296"/>
      <c r="T45" s="296"/>
      <c r="U45" s="288"/>
      <c r="V45" s="288"/>
      <c r="W45" s="289"/>
      <c r="X45" s="5"/>
    </row>
    <row r="46" spans="1:27" ht="15.75" x14ac:dyDescent="0.25">
      <c r="A46" s="285"/>
      <c r="B46" s="286" t="s">
        <v>15</v>
      </c>
      <c r="C46" s="286"/>
      <c r="D46" s="323">
        <v>41075</v>
      </c>
      <c r="E46" s="323"/>
      <c r="F46" s="323">
        <v>41075</v>
      </c>
      <c r="G46" s="323"/>
      <c r="H46" s="323">
        <v>41075</v>
      </c>
      <c r="I46" s="323"/>
      <c r="J46" s="323">
        <v>41075</v>
      </c>
      <c r="K46" s="296"/>
      <c r="L46" s="323">
        <v>41075</v>
      </c>
      <c r="M46" s="296"/>
      <c r="N46" s="323">
        <v>41075</v>
      </c>
      <c r="O46" s="296"/>
      <c r="P46" s="323">
        <v>41075</v>
      </c>
      <c r="Q46" s="296"/>
      <c r="R46" s="323"/>
      <c r="S46" s="296"/>
      <c r="T46" s="296"/>
      <c r="U46" s="288"/>
      <c r="V46" s="288"/>
      <c r="W46" s="289"/>
      <c r="X46" s="5"/>
    </row>
    <row r="47" spans="1:27" ht="15.75" x14ac:dyDescent="0.25">
      <c r="A47" s="285"/>
      <c r="B47" s="286" t="s">
        <v>119</v>
      </c>
      <c r="C47" s="286"/>
      <c r="D47" s="296" t="s">
        <v>304</v>
      </c>
      <c r="E47" s="286"/>
      <c r="F47" s="296" t="s">
        <v>256</v>
      </c>
      <c r="G47" s="296"/>
      <c r="H47" s="296" t="s">
        <v>257</v>
      </c>
      <c r="I47" s="296"/>
      <c r="J47" s="296" t="s">
        <v>258</v>
      </c>
      <c r="K47" s="296"/>
      <c r="L47" s="296" t="s">
        <v>259</v>
      </c>
      <c r="M47" s="296"/>
      <c r="N47" s="296" t="s">
        <v>259</v>
      </c>
      <c r="O47" s="296"/>
      <c r="P47" s="296" t="s">
        <v>260</v>
      </c>
      <c r="Q47" s="296"/>
      <c r="R47" s="296"/>
      <c r="S47" s="325"/>
      <c r="T47" s="325"/>
      <c r="U47" s="325"/>
      <c r="V47" s="325"/>
      <c r="W47" s="289"/>
      <c r="X47" s="5"/>
    </row>
    <row r="48" spans="1:27" ht="15.75" x14ac:dyDescent="0.25">
      <c r="A48" s="285"/>
      <c r="B48" s="286" t="s">
        <v>292</v>
      </c>
      <c r="C48" s="286"/>
      <c r="D48" s="296" t="s">
        <v>311</v>
      </c>
      <c r="E48" s="286"/>
      <c r="F48" s="296" t="s">
        <v>256</v>
      </c>
      <c r="G48" s="296"/>
      <c r="H48" s="296" t="s">
        <v>261</v>
      </c>
      <c r="I48" s="296"/>
      <c r="J48" s="296" t="s">
        <v>261</v>
      </c>
      <c r="K48" s="296"/>
      <c r="L48" s="296" t="s">
        <v>259</v>
      </c>
      <c r="M48" s="296"/>
      <c r="N48" s="296" t="s">
        <v>263</v>
      </c>
      <c r="O48" s="296"/>
      <c r="P48" s="296" t="s">
        <v>264</v>
      </c>
      <c r="Q48" s="296"/>
      <c r="R48" s="296"/>
      <c r="S48" s="286"/>
      <c r="T48" s="286"/>
      <c r="U48" s="286"/>
      <c r="V48" s="321"/>
      <c r="W48" s="289"/>
      <c r="X48" s="5"/>
    </row>
    <row r="49" spans="1:25" ht="15.75" x14ac:dyDescent="0.25">
      <c r="A49" s="285"/>
      <c r="B49" s="286"/>
      <c r="C49" s="286"/>
      <c r="D49" s="296"/>
      <c r="E49" s="286"/>
      <c r="F49" s="296"/>
      <c r="G49" s="296"/>
      <c r="H49" s="296"/>
      <c r="I49" s="296"/>
      <c r="J49" s="296"/>
      <c r="K49" s="296"/>
      <c r="L49" s="296"/>
      <c r="M49" s="296"/>
      <c r="N49" s="296"/>
      <c r="O49" s="296"/>
      <c r="P49" s="296"/>
      <c r="Q49" s="296"/>
      <c r="R49" s="296"/>
      <c r="S49" s="286"/>
      <c r="T49" s="286"/>
      <c r="U49" s="286"/>
      <c r="V49" s="321" t="s">
        <v>193</v>
      </c>
      <c r="W49" s="289"/>
      <c r="X49" s="5"/>
    </row>
    <row r="50" spans="1:25" ht="15.75" x14ac:dyDescent="0.25">
      <c r="A50" s="285"/>
      <c r="B50" s="286" t="s">
        <v>169</v>
      </c>
      <c r="C50" s="286"/>
      <c r="D50" s="296"/>
      <c r="E50" s="286"/>
      <c r="F50" s="296"/>
      <c r="G50" s="296"/>
      <c r="H50" s="296"/>
      <c r="I50" s="296"/>
      <c r="J50" s="296"/>
      <c r="K50" s="296"/>
      <c r="L50" s="296"/>
      <c r="M50" s="296"/>
      <c r="N50" s="296"/>
      <c r="O50" s="296"/>
      <c r="P50" s="296"/>
      <c r="Q50" s="296"/>
      <c r="R50" s="296"/>
      <c r="S50" s="286"/>
      <c r="T50" s="286"/>
      <c r="U50" s="286"/>
      <c r="V50" s="321">
        <f>SUM(L34:R34)/SUM(D34:J34)</f>
        <v>0.17632136449250416</v>
      </c>
      <c r="W50" s="289"/>
      <c r="X50" s="5"/>
    </row>
    <row r="51" spans="1:25" ht="15.75" x14ac:dyDescent="0.25">
      <c r="A51" s="285"/>
      <c r="B51" s="286" t="s">
        <v>170</v>
      </c>
      <c r="C51" s="286"/>
      <c r="D51" s="286"/>
      <c r="E51" s="286"/>
      <c r="F51" s="326"/>
      <c r="G51" s="286"/>
      <c r="H51" s="286"/>
      <c r="I51" s="286"/>
      <c r="J51" s="286"/>
      <c r="K51" s="286"/>
      <c r="L51" s="286"/>
      <c r="M51" s="286"/>
      <c r="N51" s="286"/>
      <c r="O51" s="286"/>
      <c r="P51" s="286"/>
      <c r="Q51" s="286"/>
      <c r="R51" s="286"/>
      <c r="S51" s="286"/>
      <c r="T51" s="286"/>
      <c r="U51" s="286"/>
      <c r="V51" s="321">
        <f>SUM(L36:R36)/SUM(D36:J36)</f>
        <v>0.30311606655421119</v>
      </c>
      <c r="W51" s="289"/>
      <c r="X51" s="5"/>
    </row>
    <row r="52" spans="1:25" ht="15.75" x14ac:dyDescent="0.25">
      <c r="A52" s="285"/>
      <c r="B52" s="286" t="s">
        <v>171</v>
      </c>
      <c r="C52" s="286"/>
      <c r="D52" s="286"/>
      <c r="E52" s="286"/>
      <c r="F52" s="286"/>
      <c r="G52" s="286"/>
      <c r="H52" s="286"/>
      <c r="I52" s="286"/>
      <c r="J52" s="286"/>
      <c r="K52" s="286"/>
      <c r="L52" s="286"/>
      <c r="M52" s="286"/>
      <c r="N52" s="286"/>
      <c r="O52" s="286"/>
      <c r="P52" s="286"/>
      <c r="Q52" s="286"/>
      <c r="R52" s="286"/>
      <c r="S52" s="286"/>
      <c r="T52" s="296"/>
      <c r="U52" s="296"/>
      <c r="V52" s="299" t="s">
        <v>268</v>
      </c>
      <c r="W52" s="289"/>
      <c r="X52" s="5"/>
    </row>
    <row r="53" spans="1:25" ht="15.75" x14ac:dyDescent="0.25">
      <c r="A53" s="285"/>
      <c r="B53" s="286"/>
      <c r="C53" s="286"/>
      <c r="D53" s="286"/>
      <c r="E53" s="286"/>
      <c r="F53" s="286"/>
      <c r="G53" s="286"/>
      <c r="H53" s="286"/>
      <c r="I53" s="286"/>
      <c r="J53" s="286"/>
      <c r="K53" s="286"/>
      <c r="L53" s="286"/>
      <c r="M53" s="286"/>
      <c r="N53" s="286"/>
      <c r="O53" s="286"/>
      <c r="P53" s="286"/>
      <c r="Q53" s="286"/>
      <c r="R53" s="286"/>
      <c r="S53" s="286"/>
      <c r="T53" s="286"/>
      <c r="U53" s="286"/>
      <c r="V53" s="327"/>
      <c r="W53" s="289"/>
      <c r="X53" s="5"/>
    </row>
    <row r="54" spans="1:25" ht="15.75" x14ac:dyDescent="0.25">
      <c r="A54" s="285"/>
      <c r="B54" s="286" t="s">
        <v>202</v>
      </c>
      <c r="C54" s="286"/>
      <c r="D54" s="286"/>
      <c r="E54" s="286"/>
      <c r="F54" s="286"/>
      <c r="G54" s="286"/>
      <c r="H54" s="286"/>
      <c r="I54" s="286"/>
      <c r="J54" s="286"/>
      <c r="K54" s="286"/>
      <c r="L54" s="286"/>
      <c r="M54" s="286"/>
      <c r="N54" s="286"/>
      <c r="O54" s="286"/>
      <c r="P54" s="286"/>
      <c r="Q54" s="286"/>
      <c r="R54" s="286"/>
      <c r="S54" s="286"/>
      <c r="T54" s="286"/>
      <c r="U54" s="286"/>
      <c r="V54" s="311" t="s">
        <v>203</v>
      </c>
      <c r="W54" s="289"/>
      <c r="X54" s="5"/>
    </row>
    <row r="55" spans="1:25" ht="15.75" x14ac:dyDescent="0.25">
      <c r="A55" s="285"/>
      <c r="B55" s="286" t="s">
        <v>270</v>
      </c>
      <c r="C55" s="286"/>
      <c r="D55" s="286"/>
      <c r="E55" s="286"/>
      <c r="F55" s="286"/>
      <c r="G55" s="286"/>
      <c r="H55" s="286"/>
      <c r="I55" s="286"/>
      <c r="J55" s="286"/>
      <c r="K55" s="286"/>
      <c r="L55" s="286"/>
      <c r="M55" s="286"/>
      <c r="N55" s="286"/>
      <c r="O55" s="286"/>
      <c r="P55" s="286"/>
      <c r="Q55" s="286"/>
      <c r="R55" s="286"/>
      <c r="S55" s="286"/>
      <c r="T55" s="296"/>
      <c r="U55" s="296"/>
      <c r="V55" s="396" t="s">
        <v>111</v>
      </c>
      <c r="W55" s="289"/>
      <c r="X55" s="5"/>
    </row>
    <row r="56" spans="1:25" ht="15.75" x14ac:dyDescent="0.25">
      <c r="A56" s="285"/>
      <c r="B56" s="297" t="s">
        <v>201</v>
      </c>
      <c r="C56" s="297"/>
      <c r="D56" s="297"/>
      <c r="E56" s="297"/>
      <c r="F56" s="297"/>
      <c r="G56" s="297"/>
      <c r="H56" s="297"/>
      <c r="I56" s="297"/>
      <c r="J56" s="297"/>
      <c r="K56" s="297"/>
      <c r="L56" s="297"/>
      <c r="M56" s="297"/>
      <c r="N56" s="297"/>
      <c r="O56" s="297"/>
      <c r="P56" s="297"/>
      <c r="Q56" s="297"/>
      <c r="R56" s="297"/>
      <c r="S56" s="297"/>
      <c r="T56" s="397"/>
      <c r="U56" s="397"/>
      <c r="V56" s="398">
        <v>42993</v>
      </c>
      <c r="W56" s="289"/>
      <c r="X56" s="5"/>
    </row>
    <row r="57" spans="1:25" ht="15.75" x14ac:dyDescent="0.25">
      <c r="A57" s="285"/>
      <c r="B57" s="286" t="s">
        <v>121</v>
      </c>
      <c r="C57" s="286"/>
      <c r="D57" s="286"/>
      <c r="E57" s="286"/>
      <c r="F57" s="286"/>
      <c r="G57" s="286"/>
      <c r="H57" s="332"/>
      <c r="I57" s="332"/>
      <c r="J57" s="332"/>
      <c r="K57" s="332"/>
      <c r="L57" s="332"/>
      <c r="M57" s="332"/>
      <c r="N57" s="332"/>
      <c r="O57" s="332"/>
      <c r="P57" s="332"/>
      <c r="Q57" s="332"/>
      <c r="R57" s="286">
        <f>+V57-T57+1</f>
        <v>92</v>
      </c>
      <c r="S57" s="332"/>
      <c r="T57" s="333">
        <v>42809</v>
      </c>
      <c r="U57" s="334"/>
      <c r="V57" s="333">
        <v>42900</v>
      </c>
      <c r="W57" s="289"/>
      <c r="X57" s="5"/>
    </row>
    <row r="58" spans="1:25" ht="15.75" x14ac:dyDescent="0.25">
      <c r="A58" s="285"/>
      <c r="B58" s="286" t="s">
        <v>122</v>
      </c>
      <c r="C58" s="286"/>
      <c r="D58" s="286"/>
      <c r="E58" s="286"/>
      <c r="F58" s="286"/>
      <c r="G58" s="286"/>
      <c r="H58" s="286"/>
      <c r="I58" s="286"/>
      <c r="J58" s="286"/>
      <c r="K58" s="286"/>
      <c r="L58" s="286"/>
      <c r="M58" s="286"/>
      <c r="N58" s="286"/>
      <c r="O58" s="286"/>
      <c r="P58" s="286"/>
      <c r="Q58" s="286"/>
      <c r="R58" s="286">
        <f>+V58-T58+1</f>
        <v>92</v>
      </c>
      <c r="S58" s="286"/>
      <c r="T58" s="333">
        <v>42901</v>
      </c>
      <c r="U58" s="334"/>
      <c r="V58" s="333">
        <v>42992</v>
      </c>
      <c r="W58" s="289"/>
      <c r="X58" s="5"/>
    </row>
    <row r="59" spans="1:25" ht="15.75" x14ac:dyDescent="0.25">
      <c r="A59" s="285"/>
      <c r="B59" s="286" t="s">
        <v>223</v>
      </c>
      <c r="C59" s="286"/>
      <c r="D59" s="286"/>
      <c r="E59" s="286"/>
      <c r="F59" s="286"/>
      <c r="G59" s="286"/>
      <c r="H59" s="286"/>
      <c r="I59" s="286"/>
      <c r="J59" s="286"/>
      <c r="K59" s="286"/>
      <c r="L59" s="286"/>
      <c r="M59" s="286"/>
      <c r="N59" s="286"/>
      <c r="O59" s="286"/>
      <c r="P59" s="286"/>
      <c r="Q59" s="286"/>
      <c r="R59" s="286"/>
      <c r="S59" s="286"/>
      <c r="T59" s="333"/>
      <c r="U59" s="334"/>
      <c r="V59" s="333" t="s">
        <v>120</v>
      </c>
      <c r="W59" s="289"/>
      <c r="X59" s="5"/>
    </row>
    <row r="60" spans="1:25" ht="15.75" x14ac:dyDescent="0.25">
      <c r="A60" s="285"/>
      <c r="B60" s="286" t="s">
        <v>271</v>
      </c>
      <c r="C60" s="286"/>
      <c r="D60" s="286"/>
      <c r="E60" s="286"/>
      <c r="F60" s="286"/>
      <c r="G60" s="286"/>
      <c r="H60" s="286"/>
      <c r="I60" s="286"/>
      <c r="J60" s="286"/>
      <c r="K60" s="286"/>
      <c r="L60" s="286"/>
      <c r="M60" s="286"/>
      <c r="N60" s="286"/>
      <c r="O60" s="286"/>
      <c r="P60" s="286"/>
      <c r="Q60" s="286"/>
      <c r="R60" s="286"/>
      <c r="S60" s="286"/>
      <c r="T60" s="333"/>
      <c r="U60" s="334"/>
      <c r="V60" s="333" t="s">
        <v>154</v>
      </c>
      <c r="W60" s="289"/>
      <c r="X60" s="5"/>
      <c r="Y60" s="133"/>
    </row>
    <row r="61" spans="1:25" ht="15.75" x14ac:dyDescent="0.25">
      <c r="A61" s="285"/>
      <c r="B61" s="286" t="s">
        <v>16</v>
      </c>
      <c r="C61" s="286"/>
      <c r="D61" s="286"/>
      <c r="E61" s="286"/>
      <c r="F61" s="286"/>
      <c r="G61" s="286"/>
      <c r="H61" s="286"/>
      <c r="I61" s="286"/>
      <c r="J61" s="286"/>
      <c r="K61" s="286"/>
      <c r="L61" s="286"/>
      <c r="M61" s="286"/>
      <c r="N61" s="286"/>
      <c r="O61" s="286"/>
      <c r="P61" s="286"/>
      <c r="Q61" s="286"/>
      <c r="R61" s="286"/>
      <c r="S61" s="286"/>
      <c r="T61" s="333"/>
      <c r="U61" s="334"/>
      <c r="V61" s="333">
        <v>42979</v>
      </c>
      <c r="W61" s="289"/>
      <c r="X61" s="5"/>
    </row>
    <row r="62" spans="1:25" ht="15.75" x14ac:dyDescent="0.25">
      <c r="A62" s="181"/>
      <c r="B62" s="212"/>
      <c r="C62" s="212"/>
      <c r="D62" s="212"/>
      <c r="E62" s="212"/>
      <c r="F62" s="212"/>
      <c r="G62" s="212"/>
      <c r="H62" s="212"/>
      <c r="I62" s="212"/>
      <c r="J62" s="212"/>
      <c r="K62" s="212"/>
      <c r="L62" s="212"/>
      <c r="M62" s="212"/>
      <c r="N62" s="212"/>
      <c r="O62" s="212"/>
      <c r="P62" s="212"/>
      <c r="Q62" s="212"/>
      <c r="R62" s="212"/>
      <c r="S62" s="212"/>
      <c r="T62" s="283"/>
      <c r="U62" s="284"/>
      <c r="V62" s="283"/>
      <c r="W62" s="212"/>
      <c r="X62" s="5"/>
    </row>
    <row r="63" spans="1:25" ht="15.75" x14ac:dyDescent="0.25">
      <c r="A63" s="181"/>
      <c r="B63" s="183"/>
      <c r="C63" s="183"/>
      <c r="D63" s="183"/>
      <c r="E63" s="183"/>
      <c r="F63" s="183"/>
      <c r="G63" s="183"/>
      <c r="H63" s="183"/>
      <c r="I63" s="183"/>
      <c r="J63" s="183"/>
      <c r="K63" s="183"/>
      <c r="L63" s="183"/>
      <c r="M63" s="183"/>
      <c r="N63" s="183"/>
      <c r="O63" s="183"/>
      <c r="P63" s="183"/>
      <c r="Q63" s="183"/>
      <c r="R63" s="183"/>
      <c r="S63" s="183"/>
      <c r="T63" s="195"/>
      <c r="U63" s="196"/>
      <c r="V63" s="195"/>
      <c r="W63" s="183"/>
      <c r="X63" s="5"/>
    </row>
    <row r="64" spans="1:25" ht="19.5" thickBot="1" x14ac:dyDescent="0.35">
      <c r="A64" s="197"/>
      <c r="B64" s="270" t="s">
        <v>340</v>
      </c>
      <c r="C64" s="198"/>
      <c r="D64" s="198"/>
      <c r="E64" s="198"/>
      <c r="F64" s="198"/>
      <c r="G64" s="198"/>
      <c r="H64" s="198"/>
      <c r="I64" s="198"/>
      <c r="J64" s="198"/>
      <c r="K64" s="198"/>
      <c r="L64" s="198"/>
      <c r="M64" s="198"/>
      <c r="N64" s="198"/>
      <c r="O64" s="198"/>
      <c r="P64" s="198"/>
      <c r="Q64" s="198"/>
      <c r="R64" s="198"/>
      <c r="S64" s="198"/>
      <c r="T64" s="198"/>
      <c r="U64" s="198"/>
      <c r="V64" s="199"/>
      <c r="W64" s="200"/>
      <c r="X64" s="5"/>
    </row>
    <row r="65" spans="1:24" ht="15.75" x14ac:dyDescent="0.25">
      <c r="A65" s="224"/>
      <c r="B65" s="230" t="s">
        <v>17</v>
      </c>
      <c r="C65" s="225"/>
      <c r="D65" s="225"/>
      <c r="E65" s="225"/>
      <c r="F65" s="225"/>
      <c r="G65" s="225"/>
      <c r="H65" s="225"/>
      <c r="I65" s="225"/>
      <c r="J65" s="225"/>
      <c r="K65" s="225"/>
      <c r="L65" s="225"/>
      <c r="M65" s="225"/>
      <c r="N65" s="225"/>
      <c r="O65" s="225"/>
      <c r="P65" s="225"/>
      <c r="Q65" s="225"/>
      <c r="R65" s="225"/>
      <c r="S65" s="225"/>
      <c r="T65" s="225"/>
      <c r="U65" s="225"/>
      <c r="V65" s="231"/>
      <c r="W65" s="225"/>
      <c r="X65" s="5"/>
    </row>
    <row r="66" spans="1:24" ht="15.75" x14ac:dyDescent="0.25">
      <c r="A66" s="181"/>
      <c r="B66" s="189"/>
      <c r="C66" s="183"/>
      <c r="D66" s="183"/>
      <c r="E66" s="183"/>
      <c r="F66" s="183"/>
      <c r="G66" s="183"/>
      <c r="H66" s="183"/>
      <c r="I66" s="183"/>
      <c r="J66" s="183"/>
      <c r="K66" s="183"/>
      <c r="L66" s="183"/>
      <c r="M66" s="183"/>
      <c r="N66" s="183"/>
      <c r="O66" s="183"/>
      <c r="P66" s="183"/>
      <c r="Q66" s="183"/>
      <c r="R66" s="183"/>
      <c r="S66" s="183"/>
      <c r="T66" s="183"/>
      <c r="U66" s="183"/>
      <c r="V66" s="202"/>
      <c r="W66" s="183"/>
      <c r="X66" s="5"/>
    </row>
    <row r="67" spans="1:24" ht="47.25" x14ac:dyDescent="0.25">
      <c r="A67" s="181"/>
      <c r="B67" s="203" t="s">
        <v>18</v>
      </c>
      <c r="C67" s="204"/>
      <c r="D67" s="204"/>
      <c r="E67" s="204"/>
      <c r="F67" s="204"/>
      <c r="G67" s="204"/>
      <c r="H67" s="204"/>
      <c r="I67" s="204"/>
      <c r="J67" s="204"/>
      <c r="K67" s="204"/>
      <c r="L67" s="204" t="s">
        <v>94</v>
      </c>
      <c r="M67" s="204"/>
      <c r="N67" s="204" t="s">
        <v>96</v>
      </c>
      <c r="O67" s="204"/>
      <c r="P67" s="204" t="s">
        <v>98</v>
      </c>
      <c r="Q67" s="204"/>
      <c r="R67" s="204" t="s">
        <v>100</v>
      </c>
      <c r="S67" s="204"/>
      <c r="T67" s="204" t="s">
        <v>106</v>
      </c>
      <c r="U67" s="204"/>
      <c r="V67" s="205" t="s">
        <v>112</v>
      </c>
      <c r="W67" s="206"/>
      <c r="X67" s="5"/>
    </row>
    <row r="68" spans="1:24" ht="15.75" x14ac:dyDescent="0.25">
      <c r="A68" s="285"/>
      <c r="B68" s="286" t="s">
        <v>19</v>
      </c>
      <c r="C68" s="337"/>
      <c r="D68" s="337"/>
      <c r="E68" s="337"/>
      <c r="F68" s="337"/>
      <c r="G68" s="337"/>
      <c r="H68" s="337"/>
      <c r="I68" s="337"/>
      <c r="J68" s="337"/>
      <c r="K68" s="337"/>
      <c r="L68" s="337">
        <v>812446</v>
      </c>
      <c r="M68" s="337"/>
      <c r="N68" s="338">
        <v>658726</v>
      </c>
      <c r="O68" s="337"/>
      <c r="P68" s="337">
        <f>13600+56</f>
        <v>13656</v>
      </c>
      <c r="Q68" s="337"/>
      <c r="R68" s="337">
        <v>56</v>
      </c>
      <c r="S68" s="337"/>
      <c r="T68" s="337">
        <v>0</v>
      </c>
      <c r="U68" s="337"/>
      <c r="V68" s="338">
        <f>+N68-P68+R68-T68</f>
        <v>645126</v>
      </c>
      <c r="W68" s="289"/>
      <c r="X68" s="5"/>
    </row>
    <row r="69" spans="1:24" ht="15.75" x14ac:dyDescent="0.25">
      <c r="A69" s="285"/>
      <c r="B69" s="286" t="s">
        <v>20</v>
      </c>
      <c r="C69" s="337"/>
      <c r="D69" s="337"/>
      <c r="E69" s="337"/>
      <c r="F69" s="337"/>
      <c r="G69" s="337"/>
      <c r="H69" s="337"/>
      <c r="I69" s="337"/>
      <c r="J69" s="337"/>
      <c r="K69" s="337"/>
      <c r="L69" s="337">
        <v>0</v>
      </c>
      <c r="M69" s="337"/>
      <c r="N69" s="338">
        <v>0</v>
      </c>
      <c r="O69" s="337"/>
      <c r="P69" s="337">
        <v>0</v>
      </c>
      <c r="Q69" s="337"/>
      <c r="R69" s="337">
        <v>0</v>
      </c>
      <c r="S69" s="337"/>
      <c r="T69" s="337">
        <v>0</v>
      </c>
      <c r="U69" s="337"/>
      <c r="V69" s="338">
        <f>+L69-P69</f>
        <v>0</v>
      </c>
      <c r="W69" s="289"/>
      <c r="X69" s="5"/>
    </row>
    <row r="70" spans="1:24" ht="15.75" x14ac:dyDescent="0.25">
      <c r="A70" s="285"/>
      <c r="B70" s="286"/>
      <c r="C70" s="337"/>
      <c r="D70" s="337"/>
      <c r="E70" s="337"/>
      <c r="F70" s="337"/>
      <c r="G70" s="337"/>
      <c r="H70" s="337"/>
      <c r="I70" s="337"/>
      <c r="J70" s="337"/>
      <c r="K70" s="337"/>
      <c r="L70" s="337"/>
      <c r="M70" s="337"/>
      <c r="N70" s="338"/>
      <c r="O70" s="337"/>
      <c r="P70" s="337"/>
      <c r="Q70" s="337"/>
      <c r="R70" s="337"/>
      <c r="S70" s="337"/>
      <c r="T70" s="337"/>
      <c r="U70" s="337"/>
      <c r="V70" s="338"/>
      <c r="W70" s="289"/>
      <c r="X70" s="5"/>
    </row>
    <row r="71" spans="1:24" ht="15.75" x14ac:dyDescent="0.25">
      <c r="A71" s="285"/>
      <c r="B71" s="286" t="s">
        <v>21</v>
      </c>
      <c r="C71" s="337"/>
      <c r="D71" s="337"/>
      <c r="E71" s="337"/>
      <c r="F71" s="337"/>
      <c r="G71" s="337"/>
      <c r="H71" s="337"/>
      <c r="I71" s="337"/>
      <c r="J71" s="337"/>
      <c r="K71" s="337"/>
      <c r="L71" s="337">
        <f>SUM(L68:L70)</f>
        <v>812446</v>
      </c>
      <c r="M71" s="337"/>
      <c r="N71" s="337">
        <f>N68+N69</f>
        <v>658726</v>
      </c>
      <c r="O71" s="337"/>
      <c r="P71" s="337">
        <f>SUM(P68:P70)</f>
        <v>13656</v>
      </c>
      <c r="Q71" s="337"/>
      <c r="R71" s="337">
        <f>SUM(R68:R70)</f>
        <v>56</v>
      </c>
      <c r="S71" s="337"/>
      <c r="T71" s="337">
        <f>SUM(T68:T70)</f>
        <v>0</v>
      </c>
      <c r="U71" s="337"/>
      <c r="V71" s="337">
        <f>SUM(V68:V70)</f>
        <v>645126</v>
      </c>
      <c r="W71" s="289"/>
      <c r="X71" s="5"/>
    </row>
    <row r="72" spans="1:24" ht="15.75" x14ac:dyDescent="0.25">
      <c r="A72" s="181"/>
      <c r="B72" s="212"/>
      <c r="C72" s="335"/>
      <c r="D72" s="335"/>
      <c r="E72" s="335"/>
      <c r="F72" s="335"/>
      <c r="G72" s="335"/>
      <c r="H72" s="335"/>
      <c r="I72" s="335"/>
      <c r="J72" s="335"/>
      <c r="K72" s="335"/>
      <c r="L72" s="335"/>
      <c r="M72" s="335"/>
      <c r="N72" s="335"/>
      <c r="O72" s="335"/>
      <c r="P72" s="335"/>
      <c r="Q72" s="335"/>
      <c r="R72" s="335"/>
      <c r="S72" s="335"/>
      <c r="T72" s="335"/>
      <c r="U72" s="335"/>
      <c r="V72" s="336"/>
      <c r="W72" s="212"/>
      <c r="X72" s="5"/>
    </row>
    <row r="73" spans="1:24" ht="15.75" x14ac:dyDescent="0.25">
      <c r="A73" s="181"/>
      <c r="B73" s="185" t="s">
        <v>22</v>
      </c>
      <c r="C73" s="207"/>
      <c r="D73" s="207"/>
      <c r="E73" s="207"/>
      <c r="F73" s="207"/>
      <c r="G73" s="207"/>
      <c r="H73" s="207"/>
      <c r="I73" s="207"/>
      <c r="J73" s="207"/>
      <c r="K73" s="207"/>
      <c r="L73" s="207"/>
      <c r="M73" s="207"/>
      <c r="N73" s="207"/>
      <c r="O73" s="207"/>
      <c r="P73" s="207"/>
      <c r="Q73" s="207"/>
      <c r="R73" s="207"/>
      <c r="S73" s="207"/>
      <c r="T73" s="207"/>
      <c r="U73" s="207"/>
      <c r="V73" s="208"/>
      <c r="W73" s="183"/>
      <c r="X73" s="5"/>
    </row>
    <row r="74" spans="1:24" ht="15.75" x14ac:dyDescent="0.25">
      <c r="A74" s="181"/>
      <c r="B74" s="183"/>
      <c r="C74" s="207"/>
      <c r="D74" s="207"/>
      <c r="E74" s="207"/>
      <c r="F74" s="207"/>
      <c r="G74" s="207"/>
      <c r="H74" s="207"/>
      <c r="I74" s="207"/>
      <c r="J74" s="207"/>
      <c r="K74" s="207"/>
      <c r="L74" s="207"/>
      <c r="M74" s="207"/>
      <c r="N74" s="207"/>
      <c r="O74" s="207"/>
      <c r="P74" s="207"/>
      <c r="Q74" s="207"/>
      <c r="R74" s="207"/>
      <c r="S74" s="207"/>
      <c r="T74" s="207"/>
      <c r="U74" s="207"/>
      <c r="V74" s="208"/>
      <c r="W74" s="183"/>
      <c r="X74" s="5"/>
    </row>
    <row r="75" spans="1:24" ht="15.75" x14ac:dyDescent="0.25">
      <c r="A75" s="285"/>
      <c r="B75" s="286" t="s">
        <v>19</v>
      </c>
      <c r="C75" s="337"/>
      <c r="D75" s="337"/>
      <c r="E75" s="337"/>
      <c r="F75" s="337"/>
      <c r="G75" s="337"/>
      <c r="H75" s="337"/>
      <c r="I75" s="337"/>
      <c r="J75" s="337"/>
      <c r="K75" s="337"/>
      <c r="L75" s="337"/>
      <c r="M75" s="337"/>
      <c r="N75" s="337"/>
      <c r="O75" s="337"/>
      <c r="P75" s="337"/>
      <c r="Q75" s="337"/>
      <c r="R75" s="337"/>
      <c r="S75" s="337"/>
      <c r="T75" s="337"/>
      <c r="U75" s="337"/>
      <c r="V75" s="337"/>
      <c r="W75" s="289"/>
      <c r="X75" s="5"/>
    </row>
    <row r="76" spans="1:24" ht="15.75" x14ac:dyDescent="0.25">
      <c r="A76" s="285"/>
      <c r="B76" s="286" t="s">
        <v>20</v>
      </c>
      <c r="C76" s="337"/>
      <c r="D76" s="337"/>
      <c r="E76" s="337"/>
      <c r="F76" s="337"/>
      <c r="G76" s="337"/>
      <c r="H76" s="337"/>
      <c r="I76" s="337"/>
      <c r="J76" s="337"/>
      <c r="K76" s="337"/>
      <c r="L76" s="337"/>
      <c r="M76" s="337"/>
      <c r="N76" s="337"/>
      <c r="O76" s="337"/>
      <c r="P76" s="337"/>
      <c r="Q76" s="337"/>
      <c r="R76" s="337"/>
      <c r="S76" s="337"/>
      <c r="T76" s="337"/>
      <c r="U76" s="337"/>
      <c r="V76" s="337"/>
      <c r="W76" s="289"/>
      <c r="X76" s="5"/>
    </row>
    <row r="77" spans="1:24" ht="15.75" x14ac:dyDescent="0.25">
      <c r="A77" s="285"/>
      <c r="B77" s="286"/>
      <c r="C77" s="337"/>
      <c r="D77" s="337"/>
      <c r="E77" s="337"/>
      <c r="F77" s="337"/>
      <c r="G77" s="337"/>
      <c r="H77" s="337"/>
      <c r="I77" s="337"/>
      <c r="J77" s="337"/>
      <c r="K77" s="337"/>
      <c r="L77" s="337"/>
      <c r="M77" s="337"/>
      <c r="N77" s="337"/>
      <c r="O77" s="337"/>
      <c r="P77" s="337"/>
      <c r="Q77" s="337"/>
      <c r="R77" s="337"/>
      <c r="S77" s="337"/>
      <c r="T77" s="337"/>
      <c r="U77" s="337"/>
      <c r="V77" s="337"/>
      <c r="W77" s="289"/>
      <c r="X77" s="5"/>
    </row>
    <row r="78" spans="1:24" ht="15.75" x14ac:dyDescent="0.25">
      <c r="A78" s="285"/>
      <c r="B78" s="286" t="s">
        <v>21</v>
      </c>
      <c r="C78" s="337"/>
      <c r="D78" s="337"/>
      <c r="E78" s="337"/>
      <c r="F78" s="337"/>
      <c r="G78" s="337"/>
      <c r="H78" s="337"/>
      <c r="I78" s="337"/>
      <c r="J78" s="337"/>
      <c r="K78" s="337"/>
      <c r="L78" s="337"/>
      <c r="M78" s="337"/>
      <c r="N78" s="337"/>
      <c r="O78" s="337"/>
      <c r="P78" s="337"/>
      <c r="Q78" s="337"/>
      <c r="R78" s="337"/>
      <c r="S78" s="337"/>
      <c r="T78" s="337"/>
      <c r="U78" s="337"/>
      <c r="V78" s="337"/>
      <c r="W78" s="289"/>
      <c r="X78" s="5"/>
    </row>
    <row r="79" spans="1:24" ht="15.75" x14ac:dyDescent="0.25">
      <c r="A79" s="285"/>
      <c r="B79" s="286"/>
      <c r="C79" s="337"/>
      <c r="D79" s="337"/>
      <c r="E79" s="337"/>
      <c r="F79" s="337"/>
      <c r="G79" s="337"/>
      <c r="H79" s="337"/>
      <c r="I79" s="337"/>
      <c r="J79" s="337"/>
      <c r="K79" s="337"/>
      <c r="L79" s="337"/>
      <c r="M79" s="337"/>
      <c r="N79" s="337"/>
      <c r="O79" s="337"/>
      <c r="P79" s="337"/>
      <c r="Q79" s="337"/>
      <c r="R79" s="337"/>
      <c r="S79" s="337"/>
      <c r="T79" s="337"/>
      <c r="U79" s="337"/>
      <c r="V79" s="337"/>
      <c r="W79" s="289"/>
      <c r="X79" s="5"/>
    </row>
    <row r="80" spans="1:24" ht="15.75" x14ac:dyDescent="0.25">
      <c r="A80" s="285"/>
      <c r="B80" s="286" t="s">
        <v>23</v>
      </c>
      <c r="C80" s="337"/>
      <c r="D80" s="337"/>
      <c r="E80" s="337"/>
      <c r="F80" s="337"/>
      <c r="G80" s="337"/>
      <c r="H80" s="337"/>
      <c r="I80" s="337"/>
      <c r="J80" s="337"/>
      <c r="K80" s="337"/>
      <c r="L80" s="337">
        <v>0</v>
      </c>
      <c r="M80" s="337"/>
      <c r="N80" s="337">
        <v>0</v>
      </c>
      <c r="O80" s="337"/>
      <c r="P80" s="337"/>
      <c r="Q80" s="337"/>
      <c r="R80" s="337"/>
      <c r="S80" s="337"/>
      <c r="T80" s="337"/>
      <c r="U80" s="337"/>
      <c r="V80" s="338">
        <v>0</v>
      </c>
      <c r="W80" s="289"/>
      <c r="X80" s="5"/>
    </row>
    <row r="81" spans="1:24" ht="15.75" x14ac:dyDescent="0.25">
      <c r="A81" s="285"/>
      <c r="B81" s="286" t="s">
        <v>117</v>
      </c>
      <c r="C81" s="337"/>
      <c r="D81" s="337"/>
      <c r="E81" s="337"/>
      <c r="F81" s="337"/>
      <c r="G81" s="337"/>
      <c r="H81" s="337"/>
      <c r="I81" s="337"/>
      <c r="J81" s="337"/>
      <c r="K81" s="337"/>
      <c r="L81" s="337">
        <v>188687</v>
      </c>
      <c r="M81" s="337"/>
      <c r="N81" s="337">
        <v>0</v>
      </c>
      <c r="O81" s="337"/>
      <c r="P81" s="337">
        <v>0</v>
      </c>
      <c r="Q81" s="337"/>
      <c r="R81" s="337"/>
      <c r="S81" s="337"/>
      <c r="T81" s="337"/>
      <c r="U81" s="337"/>
      <c r="V81" s="337">
        <f>SUM(N81:R81)</f>
        <v>0</v>
      </c>
      <c r="W81" s="289"/>
      <c r="X81" s="5"/>
    </row>
    <row r="82" spans="1:24" ht="15.75" x14ac:dyDescent="0.25">
      <c r="A82" s="285"/>
      <c r="B82" s="286"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89"/>
      <c r="X82" s="5"/>
    </row>
    <row r="83" spans="1:24" ht="15.75" x14ac:dyDescent="0.25">
      <c r="A83" s="285"/>
      <c r="B83" s="286" t="s">
        <v>25</v>
      </c>
      <c r="C83" s="337"/>
      <c r="D83" s="337"/>
      <c r="E83" s="337"/>
      <c r="F83" s="337"/>
      <c r="G83" s="337"/>
      <c r="H83" s="337"/>
      <c r="I83" s="337"/>
      <c r="J83" s="337"/>
      <c r="K83" s="337"/>
      <c r="L83" s="337">
        <v>0</v>
      </c>
      <c r="M83" s="337"/>
      <c r="N83" s="337">
        <v>0</v>
      </c>
      <c r="O83" s="337"/>
      <c r="P83" s="337"/>
      <c r="Q83" s="337"/>
      <c r="R83" s="337"/>
      <c r="S83" s="337"/>
      <c r="T83" s="337"/>
      <c r="U83" s="337"/>
      <c r="V83" s="337">
        <v>0</v>
      </c>
      <c r="W83" s="289"/>
      <c r="X83" s="5"/>
    </row>
    <row r="84" spans="1:24" ht="15.75" x14ac:dyDescent="0.25">
      <c r="A84" s="285"/>
      <c r="B84" s="286" t="s">
        <v>26</v>
      </c>
      <c r="C84" s="337"/>
      <c r="D84" s="337"/>
      <c r="E84" s="337"/>
      <c r="F84" s="337"/>
      <c r="G84" s="337"/>
      <c r="H84" s="337"/>
      <c r="I84" s="337"/>
      <c r="J84" s="337"/>
      <c r="K84" s="337"/>
      <c r="L84" s="337">
        <f>SUM(L71:L83)</f>
        <v>1001133</v>
      </c>
      <c r="M84" s="337"/>
      <c r="N84" s="337">
        <f>SUM(N71:N83)</f>
        <v>658726</v>
      </c>
      <c r="O84" s="337"/>
      <c r="P84" s="337"/>
      <c r="Q84" s="337"/>
      <c r="R84" s="337"/>
      <c r="S84" s="337"/>
      <c r="T84" s="337"/>
      <c r="U84" s="337"/>
      <c r="V84" s="337">
        <f>SUM(V71:V83)</f>
        <v>645126</v>
      </c>
      <c r="W84" s="289"/>
      <c r="X84" s="5"/>
    </row>
    <row r="85" spans="1:24" ht="15.75" x14ac:dyDescent="0.25">
      <c r="A85" s="181"/>
      <c r="B85" s="212"/>
      <c r="C85" s="335"/>
      <c r="D85" s="335"/>
      <c r="E85" s="335"/>
      <c r="F85" s="335"/>
      <c r="G85" s="335"/>
      <c r="H85" s="335"/>
      <c r="I85" s="335"/>
      <c r="J85" s="335"/>
      <c r="K85" s="335"/>
      <c r="L85" s="335"/>
      <c r="M85" s="335"/>
      <c r="N85" s="335"/>
      <c r="O85" s="335"/>
      <c r="P85" s="335"/>
      <c r="Q85" s="335"/>
      <c r="R85" s="335"/>
      <c r="S85" s="335"/>
      <c r="T85" s="335"/>
      <c r="U85" s="335"/>
      <c r="V85" s="336"/>
      <c r="W85" s="212"/>
      <c r="X85" s="5"/>
    </row>
    <row r="86" spans="1:24" ht="15.75" x14ac:dyDescent="0.25">
      <c r="A86" s="181"/>
      <c r="B86" s="183"/>
      <c r="C86" s="183"/>
      <c r="D86" s="183"/>
      <c r="E86" s="183"/>
      <c r="F86" s="183"/>
      <c r="G86" s="183"/>
      <c r="H86" s="183"/>
      <c r="I86" s="183"/>
      <c r="J86" s="183"/>
      <c r="K86" s="183"/>
      <c r="L86" s="183"/>
      <c r="M86" s="183"/>
      <c r="N86" s="183"/>
      <c r="O86" s="183"/>
      <c r="P86" s="183"/>
      <c r="Q86" s="183"/>
      <c r="R86" s="183"/>
      <c r="S86" s="183"/>
      <c r="T86" s="183"/>
      <c r="U86" s="183"/>
      <c r="V86" s="183"/>
      <c r="W86" s="183"/>
      <c r="X86" s="5"/>
    </row>
    <row r="87" spans="1:24" ht="15.75" x14ac:dyDescent="0.25">
      <c r="A87" s="224"/>
      <c r="B87" s="399" t="s">
        <v>27</v>
      </c>
      <c r="C87" s="399"/>
      <c r="D87" s="399"/>
      <c r="E87" s="399"/>
      <c r="F87" s="399"/>
      <c r="G87" s="399"/>
      <c r="H87" s="400"/>
      <c r="I87" s="400"/>
      <c r="J87" s="400"/>
      <c r="K87" s="400"/>
      <c r="L87" s="401" t="s">
        <v>95</v>
      </c>
      <c r="M87" s="400"/>
      <c r="N87" s="402">
        <f>+T202</f>
        <v>42978</v>
      </c>
      <c r="O87" s="400"/>
      <c r="P87" s="400"/>
      <c r="Q87" s="400"/>
      <c r="R87" s="400"/>
      <c r="S87" s="400"/>
      <c r="T87" s="400" t="s">
        <v>107</v>
      </c>
      <c r="U87" s="400"/>
      <c r="V87" s="400" t="s">
        <v>113</v>
      </c>
      <c r="W87" s="225"/>
      <c r="X87" s="5"/>
    </row>
    <row r="88" spans="1:24" ht="15.75" x14ac:dyDescent="0.25">
      <c r="A88" s="248"/>
      <c r="B88" s="250" t="s">
        <v>28</v>
      </c>
      <c r="C88" s="194"/>
      <c r="D88" s="194"/>
      <c r="E88" s="194"/>
      <c r="F88" s="194"/>
      <c r="G88" s="194"/>
      <c r="H88" s="194"/>
      <c r="I88" s="194"/>
      <c r="J88" s="194"/>
      <c r="K88" s="194"/>
      <c r="L88" s="194"/>
      <c r="M88" s="194"/>
      <c r="N88" s="194"/>
      <c r="O88" s="194"/>
      <c r="P88" s="194"/>
      <c r="Q88" s="194"/>
      <c r="R88" s="194"/>
      <c r="S88" s="194"/>
      <c r="T88" s="249">
        <v>0</v>
      </c>
      <c r="U88" s="250"/>
      <c r="V88" s="253">
        <v>0</v>
      </c>
      <c r="W88" s="194"/>
      <c r="X88" s="5"/>
    </row>
    <row r="89" spans="1:24" ht="15.75" x14ac:dyDescent="0.25">
      <c r="A89" s="295"/>
      <c r="B89" s="286" t="s">
        <v>29</v>
      </c>
      <c r="C89" s="314"/>
      <c r="D89" s="314"/>
      <c r="E89" s="314"/>
      <c r="F89" s="314"/>
      <c r="G89" s="314"/>
      <c r="H89" s="339"/>
      <c r="I89" s="339"/>
      <c r="J89" s="339"/>
      <c r="K89" s="340"/>
      <c r="L89" s="339"/>
      <c r="M89" s="314"/>
      <c r="N89" s="341"/>
      <c r="O89" s="314"/>
      <c r="P89" s="314"/>
      <c r="Q89" s="314"/>
      <c r="R89" s="314"/>
      <c r="S89" s="314"/>
      <c r="T89" s="337">
        <f>13656-270</f>
        <v>13386</v>
      </c>
      <c r="U89" s="286"/>
      <c r="V89" s="338"/>
      <c r="W89" s="318"/>
      <c r="X89" s="5"/>
    </row>
    <row r="90" spans="1:24" ht="15.75" x14ac:dyDescent="0.25">
      <c r="A90" s="295"/>
      <c r="B90" s="286" t="s">
        <v>215</v>
      </c>
      <c r="C90" s="314"/>
      <c r="D90" s="314"/>
      <c r="E90" s="314"/>
      <c r="F90" s="314"/>
      <c r="G90" s="314"/>
      <c r="H90" s="339"/>
      <c r="I90" s="339"/>
      <c r="J90" s="339"/>
      <c r="K90" s="340"/>
      <c r="L90" s="339"/>
      <c r="M90" s="314"/>
      <c r="N90" s="341"/>
      <c r="O90" s="314"/>
      <c r="P90" s="314"/>
      <c r="Q90" s="314"/>
      <c r="R90" s="314"/>
      <c r="S90" s="314"/>
      <c r="T90" s="337"/>
      <c r="U90" s="286"/>
      <c r="V90" s="338">
        <f>2657+2599-548-926</f>
        <v>3782</v>
      </c>
      <c r="W90" s="318"/>
      <c r="X90" s="5"/>
    </row>
    <row r="91" spans="1:24" ht="15.75" x14ac:dyDescent="0.25">
      <c r="A91" s="295"/>
      <c r="B91" s="286" t="s">
        <v>210</v>
      </c>
      <c r="C91" s="314"/>
      <c r="D91" s="314"/>
      <c r="E91" s="314"/>
      <c r="F91" s="314"/>
      <c r="G91" s="314"/>
      <c r="H91" s="339"/>
      <c r="I91" s="339"/>
      <c r="J91" s="339"/>
      <c r="K91" s="340"/>
      <c r="L91" s="339"/>
      <c r="M91" s="314"/>
      <c r="N91" s="341"/>
      <c r="O91" s="314"/>
      <c r="P91" s="314"/>
      <c r="Q91" s="314"/>
      <c r="R91" s="314"/>
      <c r="S91" s="314"/>
      <c r="T91" s="337"/>
      <c r="U91" s="286"/>
      <c r="V91" s="338">
        <f>95+23</f>
        <v>118</v>
      </c>
      <c r="W91" s="318"/>
      <c r="X91" s="5"/>
    </row>
    <row r="92" spans="1:24" ht="15.75" x14ac:dyDescent="0.25">
      <c r="A92" s="295"/>
      <c r="B92" s="286" t="s">
        <v>211</v>
      </c>
      <c r="C92" s="314"/>
      <c r="D92" s="314"/>
      <c r="E92" s="314"/>
      <c r="F92" s="314"/>
      <c r="G92" s="314"/>
      <c r="H92" s="339"/>
      <c r="I92" s="339"/>
      <c r="J92" s="339"/>
      <c r="K92" s="340"/>
      <c r="L92" s="339"/>
      <c r="M92" s="314"/>
      <c r="N92" s="341"/>
      <c r="O92" s="314"/>
      <c r="P92" s="314"/>
      <c r="Q92" s="314"/>
      <c r="R92" s="314"/>
      <c r="S92" s="314"/>
      <c r="T92" s="337"/>
      <c r="U92" s="286"/>
      <c r="V92" s="338">
        <v>19</v>
      </c>
      <c r="W92" s="318"/>
      <c r="X92" s="5"/>
    </row>
    <row r="93" spans="1:24" ht="15.75" x14ac:dyDescent="0.25">
      <c r="A93" s="295"/>
      <c r="B93" s="286" t="s">
        <v>233</v>
      </c>
      <c r="C93" s="314"/>
      <c r="D93" s="314"/>
      <c r="E93" s="314"/>
      <c r="F93" s="314"/>
      <c r="G93" s="314"/>
      <c r="H93" s="339"/>
      <c r="I93" s="339"/>
      <c r="J93" s="339"/>
      <c r="K93" s="340"/>
      <c r="L93" s="339"/>
      <c r="M93" s="314"/>
      <c r="N93" s="341"/>
      <c r="O93" s="314"/>
      <c r="P93" s="314"/>
      <c r="Q93" s="314"/>
      <c r="R93" s="314"/>
      <c r="S93" s="314"/>
      <c r="T93" s="337"/>
      <c r="U93" s="286"/>
      <c r="V93" s="338">
        <v>0</v>
      </c>
      <c r="W93" s="318"/>
      <c r="X93" s="5"/>
    </row>
    <row r="94" spans="1:24" ht="15.75" x14ac:dyDescent="0.25">
      <c r="A94" s="295"/>
      <c r="B94" s="286" t="s">
        <v>235</v>
      </c>
      <c r="C94" s="314"/>
      <c r="D94" s="314"/>
      <c r="E94" s="314"/>
      <c r="F94" s="314"/>
      <c r="G94" s="314"/>
      <c r="H94" s="339"/>
      <c r="I94" s="339"/>
      <c r="J94" s="339"/>
      <c r="K94" s="340"/>
      <c r="L94" s="339"/>
      <c r="M94" s="314"/>
      <c r="N94" s="341"/>
      <c r="O94" s="314"/>
      <c r="P94" s="314"/>
      <c r="Q94" s="314"/>
      <c r="R94" s="314"/>
      <c r="S94" s="314"/>
      <c r="T94" s="337"/>
      <c r="U94" s="286"/>
      <c r="V94" s="338">
        <v>0</v>
      </c>
      <c r="W94" s="318"/>
      <c r="X94" s="5"/>
    </row>
    <row r="95" spans="1:24" ht="15.75" x14ac:dyDescent="0.25">
      <c r="A95" s="295"/>
      <c r="B95" s="286" t="s">
        <v>135</v>
      </c>
      <c r="C95" s="314"/>
      <c r="D95" s="314"/>
      <c r="E95" s="314"/>
      <c r="F95" s="314"/>
      <c r="G95" s="314"/>
      <c r="H95" s="314"/>
      <c r="I95" s="314"/>
      <c r="J95" s="314"/>
      <c r="K95" s="314"/>
      <c r="L95" s="314"/>
      <c r="M95" s="314"/>
      <c r="N95" s="314"/>
      <c r="O95" s="314"/>
      <c r="P95" s="314"/>
      <c r="Q95" s="314"/>
      <c r="R95" s="314"/>
      <c r="S95" s="314"/>
      <c r="T95" s="337"/>
      <c r="U95" s="286"/>
      <c r="V95" s="338">
        <v>0</v>
      </c>
      <c r="W95" s="318"/>
      <c r="X95" s="5"/>
    </row>
    <row r="96" spans="1:24" ht="15.75" x14ac:dyDescent="0.25">
      <c r="A96" s="295"/>
      <c r="B96" s="286" t="s">
        <v>272</v>
      </c>
      <c r="C96" s="314"/>
      <c r="D96" s="314"/>
      <c r="E96" s="314"/>
      <c r="F96" s="314"/>
      <c r="G96" s="314"/>
      <c r="H96" s="314"/>
      <c r="I96" s="314"/>
      <c r="J96" s="314"/>
      <c r="K96" s="314"/>
      <c r="L96" s="314"/>
      <c r="M96" s="314"/>
      <c r="N96" s="314"/>
      <c r="O96" s="314"/>
      <c r="P96" s="314"/>
      <c r="Q96" s="314"/>
      <c r="R96" s="314"/>
      <c r="S96" s="314"/>
      <c r="T96" s="337"/>
      <c r="U96" s="286"/>
      <c r="V96" s="338">
        <v>0</v>
      </c>
      <c r="W96" s="318"/>
      <c r="X96" s="5"/>
    </row>
    <row r="97" spans="1:25" ht="15.75" x14ac:dyDescent="0.25">
      <c r="A97" s="295"/>
      <c r="B97" s="286" t="s">
        <v>30</v>
      </c>
      <c r="C97" s="314"/>
      <c r="D97" s="314"/>
      <c r="E97" s="314"/>
      <c r="F97" s="314"/>
      <c r="G97" s="314"/>
      <c r="H97" s="314"/>
      <c r="I97" s="314"/>
      <c r="J97" s="314"/>
      <c r="K97" s="314"/>
      <c r="L97" s="314"/>
      <c r="M97" s="314"/>
      <c r="N97" s="314"/>
      <c r="O97" s="314"/>
      <c r="P97" s="314"/>
      <c r="Q97" s="314"/>
      <c r="R97" s="314"/>
      <c r="S97" s="314"/>
      <c r="T97" s="337">
        <f>SUM(T88:T96)</f>
        <v>13386</v>
      </c>
      <c r="U97" s="286"/>
      <c r="V97" s="337">
        <f>SUM(V88:V96)</f>
        <v>3919</v>
      </c>
      <c r="W97" s="318"/>
      <c r="X97" s="5"/>
    </row>
    <row r="98" spans="1:25" ht="15.75" x14ac:dyDescent="0.25">
      <c r="A98" s="295"/>
      <c r="B98" s="286" t="s">
        <v>161</v>
      </c>
      <c r="C98" s="314"/>
      <c r="D98" s="314"/>
      <c r="E98" s="314"/>
      <c r="F98" s="314"/>
      <c r="G98" s="314"/>
      <c r="H98" s="314"/>
      <c r="I98" s="314"/>
      <c r="J98" s="314"/>
      <c r="K98" s="314"/>
      <c r="L98" s="314"/>
      <c r="M98" s="314"/>
      <c r="N98" s="314"/>
      <c r="O98" s="314"/>
      <c r="P98" s="314"/>
      <c r="Q98" s="314"/>
      <c r="R98" s="314"/>
      <c r="S98" s="314"/>
      <c r="T98" s="337">
        <f>-V98</f>
        <v>0</v>
      </c>
      <c r="U98" s="286"/>
      <c r="V98" s="337">
        <v>0</v>
      </c>
      <c r="W98" s="318"/>
      <c r="X98" s="5"/>
    </row>
    <row r="99" spans="1:25" ht="15.75" x14ac:dyDescent="0.25">
      <c r="A99" s="295"/>
      <c r="B99" s="286" t="s">
        <v>31</v>
      </c>
      <c r="C99" s="314"/>
      <c r="D99" s="314"/>
      <c r="E99" s="314"/>
      <c r="F99" s="314"/>
      <c r="G99" s="314"/>
      <c r="H99" s="314"/>
      <c r="I99" s="314"/>
      <c r="J99" s="314"/>
      <c r="K99" s="314"/>
      <c r="L99" s="314"/>
      <c r="M99" s="314"/>
      <c r="N99" s="314"/>
      <c r="O99" s="314"/>
      <c r="P99" s="314"/>
      <c r="Q99" s="314"/>
      <c r="R99" s="314"/>
      <c r="S99" s="314"/>
      <c r="T99" s="337">
        <f>-V99</f>
        <v>0</v>
      </c>
      <c r="U99" s="286"/>
      <c r="V99" s="338">
        <v>0</v>
      </c>
      <c r="W99" s="318"/>
      <c r="X99" s="5"/>
    </row>
    <row r="100" spans="1:25" ht="15.75" x14ac:dyDescent="0.25">
      <c r="A100" s="295"/>
      <c r="B100" s="286" t="s">
        <v>274</v>
      </c>
      <c r="C100" s="314"/>
      <c r="D100" s="314"/>
      <c r="E100" s="314"/>
      <c r="F100" s="314"/>
      <c r="G100" s="314"/>
      <c r="H100" s="314"/>
      <c r="I100" s="314"/>
      <c r="J100" s="314"/>
      <c r="K100" s="314"/>
      <c r="L100" s="314"/>
      <c r="M100" s="314"/>
      <c r="N100" s="314"/>
      <c r="O100" s="314"/>
      <c r="P100" s="314"/>
      <c r="Q100" s="314"/>
      <c r="R100" s="314"/>
      <c r="S100" s="314"/>
      <c r="T100" s="337"/>
      <c r="U100" s="286"/>
      <c r="V100" s="338">
        <v>-26</v>
      </c>
      <c r="W100" s="318"/>
      <c r="X100" s="5"/>
    </row>
    <row r="101" spans="1:25" ht="15.75" x14ac:dyDescent="0.25">
      <c r="A101" s="295"/>
      <c r="B101" s="286" t="s">
        <v>32</v>
      </c>
      <c r="C101" s="314"/>
      <c r="D101" s="314"/>
      <c r="E101" s="314"/>
      <c r="F101" s="314"/>
      <c r="G101" s="314"/>
      <c r="H101" s="314"/>
      <c r="I101" s="314"/>
      <c r="J101" s="314"/>
      <c r="K101" s="314"/>
      <c r="L101" s="314"/>
      <c r="M101" s="314"/>
      <c r="N101" s="314"/>
      <c r="O101" s="314"/>
      <c r="P101" s="314"/>
      <c r="Q101" s="314"/>
      <c r="R101" s="314"/>
      <c r="S101" s="314"/>
      <c r="T101" s="337">
        <f>T97+T99+T98</f>
        <v>13386</v>
      </c>
      <c r="U101" s="286"/>
      <c r="V101" s="337">
        <f>V97+V99+V98+V100</f>
        <v>3893</v>
      </c>
      <c r="W101" s="318"/>
      <c r="X101" s="5"/>
    </row>
    <row r="102" spans="1:25" ht="15.75" x14ac:dyDescent="0.25">
      <c r="A102" s="285"/>
      <c r="B102" s="342" t="s">
        <v>33</v>
      </c>
      <c r="C102" s="314"/>
      <c r="D102" s="314"/>
      <c r="E102" s="314"/>
      <c r="F102" s="314"/>
      <c r="G102" s="314"/>
      <c r="H102" s="314"/>
      <c r="I102" s="314"/>
      <c r="J102" s="314"/>
      <c r="K102" s="314"/>
      <c r="L102" s="314"/>
      <c r="M102" s="314"/>
      <c r="N102" s="314"/>
      <c r="O102" s="314"/>
      <c r="P102" s="314"/>
      <c r="Q102" s="314"/>
      <c r="R102" s="314"/>
      <c r="S102" s="314"/>
      <c r="T102" s="337"/>
      <c r="U102" s="286"/>
      <c r="V102" s="338"/>
      <c r="W102" s="318"/>
      <c r="X102" s="5"/>
    </row>
    <row r="103" spans="1:25" ht="15.75" x14ac:dyDescent="0.25">
      <c r="A103" s="295">
        <v>1</v>
      </c>
      <c r="B103" s="286" t="s">
        <v>34</v>
      </c>
      <c r="C103" s="286"/>
      <c r="D103" s="286"/>
      <c r="E103" s="314"/>
      <c r="F103" s="314"/>
      <c r="G103" s="314"/>
      <c r="H103" s="314"/>
      <c r="I103" s="314"/>
      <c r="J103" s="314"/>
      <c r="K103" s="314"/>
      <c r="L103" s="314"/>
      <c r="M103" s="314"/>
      <c r="N103" s="314"/>
      <c r="O103" s="314"/>
      <c r="P103" s="314"/>
      <c r="Q103" s="314"/>
      <c r="R103" s="314"/>
      <c r="S103" s="314"/>
      <c r="T103" s="286"/>
      <c r="U103" s="286"/>
      <c r="V103" s="338">
        <v>0</v>
      </c>
      <c r="W103" s="318"/>
      <c r="X103" s="5"/>
    </row>
    <row r="104" spans="1:25" ht="15.75" x14ac:dyDescent="0.25">
      <c r="A104" s="295">
        <f>+A103+1</f>
        <v>2</v>
      </c>
      <c r="B104" s="286" t="s">
        <v>314</v>
      </c>
      <c r="C104" s="286"/>
      <c r="D104" s="286"/>
      <c r="E104" s="314"/>
      <c r="F104" s="314"/>
      <c r="G104" s="314"/>
      <c r="H104" s="314"/>
      <c r="I104" s="314"/>
      <c r="J104" s="314"/>
      <c r="K104" s="314"/>
      <c r="L104" s="314"/>
      <c r="M104" s="314"/>
      <c r="N104" s="314"/>
      <c r="O104" s="314"/>
      <c r="P104" s="314"/>
      <c r="Q104" s="314"/>
      <c r="R104" s="314"/>
      <c r="S104" s="314"/>
      <c r="T104" s="286"/>
      <c r="U104" s="286"/>
      <c r="V104" s="338">
        <v>-2</v>
      </c>
      <c r="W104" s="318"/>
      <c r="X104" s="5"/>
    </row>
    <row r="105" spans="1:25" ht="15.75" x14ac:dyDescent="0.25">
      <c r="A105" s="295">
        <f>+A104+1</f>
        <v>3</v>
      </c>
      <c r="B105" s="412" t="s">
        <v>316</v>
      </c>
      <c r="C105" s="286"/>
      <c r="D105" s="286"/>
      <c r="E105" s="314"/>
      <c r="F105" s="314"/>
      <c r="G105" s="314"/>
      <c r="H105" s="314"/>
      <c r="I105" s="314"/>
      <c r="J105" s="314"/>
      <c r="K105" s="314"/>
      <c r="L105" s="314"/>
      <c r="M105" s="314"/>
      <c r="N105" s="314"/>
      <c r="O105" s="314"/>
      <c r="P105" s="314"/>
      <c r="Q105" s="314"/>
      <c r="R105" s="314"/>
      <c r="S105" s="314"/>
      <c r="T105" s="286"/>
      <c r="U105" s="286"/>
      <c r="V105" s="338">
        <f>-253-126-8</f>
        <v>-387</v>
      </c>
      <c r="W105" s="318"/>
      <c r="X105" s="5"/>
    </row>
    <row r="106" spans="1:25" ht="15.75" x14ac:dyDescent="0.25">
      <c r="A106" s="295" t="s">
        <v>127</v>
      </c>
      <c r="B106" s="286" t="s">
        <v>116</v>
      </c>
      <c r="C106" s="286"/>
      <c r="D106" s="286"/>
      <c r="E106" s="314"/>
      <c r="F106" s="314"/>
      <c r="G106" s="314"/>
      <c r="H106" s="314"/>
      <c r="I106" s="314"/>
      <c r="J106" s="314"/>
      <c r="K106" s="314"/>
      <c r="L106" s="314"/>
      <c r="M106" s="314"/>
      <c r="N106" s="314"/>
      <c r="O106" s="314"/>
      <c r="P106" s="314"/>
      <c r="Q106" s="314"/>
      <c r="R106" s="314"/>
      <c r="S106" s="314"/>
      <c r="T106" s="286"/>
      <c r="U106" s="286"/>
      <c r="V106" s="338">
        <v>0</v>
      </c>
      <c r="W106" s="318"/>
      <c r="X106" s="5"/>
    </row>
    <row r="107" spans="1:25" ht="15.75" x14ac:dyDescent="0.25">
      <c r="A107" s="295" t="s">
        <v>128</v>
      </c>
      <c r="B107" s="286" t="s">
        <v>220</v>
      </c>
      <c r="C107" s="286"/>
      <c r="D107" s="286"/>
      <c r="E107" s="314"/>
      <c r="F107" s="314"/>
      <c r="G107" s="314"/>
      <c r="H107" s="314"/>
      <c r="I107" s="314"/>
      <c r="J107" s="314"/>
      <c r="K107" s="314"/>
      <c r="L107" s="314"/>
      <c r="M107" s="314"/>
      <c r="N107" s="314"/>
      <c r="O107" s="314"/>
      <c r="P107" s="314"/>
      <c r="Q107" s="314"/>
      <c r="R107" s="314"/>
      <c r="S107" s="314"/>
      <c r="T107" s="286"/>
      <c r="U107" s="286"/>
      <c r="V107" s="338">
        <f>-662+173</f>
        <v>-489</v>
      </c>
      <c r="W107" s="318"/>
      <c r="X107" s="5"/>
      <c r="Y107" s="109"/>
    </row>
    <row r="108" spans="1:25" ht="15.75" x14ac:dyDescent="0.25">
      <c r="A108" s="295" t="s">
        <v>150</v>
      </c>
      <c r="B108" s="286" t="s">
        <v>184</v>
      </c>
      <c r="C108" s="286"/>
      <c r="D108" s="286"/>
      <c r="E108" s="314"/>
      <c r="F108" s="314"/>
      <c r="G108" s="314"/>
      <c r="H108" s="314"/>
      <c r="I108" s="314"/>
      <c r="J108" s="314"/>
      <c r="K108" s="314"/>
      <c r="L108" s="314"/>
      <c r="M108" s="314"/>
      <c r="N108" s="314"/>
      <c r="O108" s="314"/>
      <c r="P108" s="314"/>
      <c r="Q108" s="314"/>
      <c r="R108" s="314"/>
      <c r="S108" s="314"/>
      <c r="T108" s="286"/>
      <c r="U108" s="286"/>
      <c r="V108" s="338">
        <v>-173</v>
      </c>
      <c r="W108" s="318"/>
      <c r="X108" s="5"/>
      <c r="Y108" s="109"/>
    </row>
    <row r="109" spans="1:25" ht="15.75" x14ac:dyDescent="0.25">
      <c r="A109" s="295" t="s">
        <v>205</v>
      </c>
      <c r="B109" s="286" t="s">
        <v>185</v>
      </c>
      <c r="C109" s="286"/>
      <c r="D109" s="286"/>
      <c r="E109" s="314"/>
      <c r="F109" s="314"/>
      <c r="G109" s="314"/>
      <c r="H109" s="314"/>
      <c r="I109" s="314"/>
      <c r="J109" s="314"/>
      <c r="K109" s="314"/>
      <c r="L109" s="314"/>
      <c r="M109" s="314"/>
      <c r="N109" s="314"/>
      <c r="O109" s="314"/>
      <c r="P109" s="314"/>
      <c r="Q109" s="314"/>
      <c r="R109" s="314"/>
      <c r="S109" s="314"/>
      <c r="T109" s="286"/>
      <c r="U109" s="286"/>
      <c r="V109" s="338">
        <v>-132</v>
      </c>
      <c r="W109" s="318"/>
      <c r="X109" s="5"/>
      <c r="Y109" s="109"/>
    </row>
    <row r="110" spans="1:25" ht="15.75" x14ac:dyDescent="0.25">
      <c r="A110" s="295" t="s">
        <v>206</v>
      </c>
      <c r="B110" s="286" t="s">
        <v>186</v>
      </c>
      <c r="C110" s="286"/>
      <c r="D110" s="286"/>
      <c r="E110" s="314"/>
      <c r="F110" s="314"/>
      <c r="G110" s="314"/>
      <c r="H110" s="314"/>
      <c r="I110" s="314"/>
      <c r="J110" s="314"/>
      <c r="K110" s="314"/>
      <c r="L110" s="314"/>
      <c r="M110" s="314"/>
      <c r="N110" s="314"/>
      <c r="O110" s="314"/>
      <c r="P110" s="314"/>
      <c r="Q110" s="314"/>
      <c r="R110" s="314"/>
      <c r="S110" s="314"/>
      <c r="T110" s="286"/>
      <c r="U110" s="286"/>
      <c r="V110" s="338">
        <v>-36</v>
      </c>
      <c r="W110" s="318"/>
      <c r="X110" s="5"/>
      <c r="Y110" s="109"/>
    </row>
    <row r="111" spans="1:25" ht="15.75" x14ac:dyDescent="0.25">
      <c r="A111" s="295">
        <v>6</v>
      </c>
      <c r="B111" s="286" t="s">
        <v>196</v>
      </c>
      <c r="C111" s="286"/>
      <c r="D111" s="286"/>
      <c r="E111" s="314"/>
      <c r="F111" s="314"/>
      <c r="G111" s="314"/>
      <c r="H111" s="314"/>
      <c r="I111" s="314"/>
      <c r="J111" s="314"/>
      <c r="K111" s="314"/>
      <c r="L111" s="314"/>
      <c r="M111" s="314"/>
      <c r="N111" s="314"/>
      <c r="O111" s="314"/>
      <c r="P111" s="314"/>
      <c r="Q111" s="314"/>
      <c r="R111" s="314"/>
      <c r="S111" s="314"/>
      <c r="T111" s="286"/>
      <c r="U111" s="286"/>
      <c r="V111" s="338">
        <v>-287</v>
      </c>
      <c r="W111" s="318"/>
      <c r="X111" s="5"/>
      <c r="Y111" s="109"/>
    </row>
    <row r="112" spans="1:25" ht="15.75" x14ac:dyDescent="0.25">
      <c r="A112" s="295">
        <v>7</v>
      </c>
      <c r="B112" s="412" t="s">
        <v>315</v>
      </c>
      <c r="C112" s="286"/>
      <c r="D112" s="286"/>
      <c r="E112" s="314"/>
      <c r="F112" s="314"/>
      <c r="G112" s="314"/>
      <c r="H112" s="314"/>
      <c r="I112" s="314"/>
      <c r="J112" s="314"/>
      <c r="K112" s="314"/>
      <c r="L112" s="314"/>
      <c r="M112" s="314"/>
      <c r="N112" s="314"/>
      <c r="O112" s="314"/>
      <c r="P112" s="314"/>
      <c r="Q112" s="314"/>
      <c r="R112" s="314"/>
      <c r="S112" s="314"/>
      <c r="T112" s="286"/>
      <c r="U112" s="286"/>
      <c r="V112" s="338">
        <v>0</v>
      </c>
      <c r="W112" s="318"/>
      <c r="X112" s="5"/>
      <c r="Y112" s="109"/>
    </row>
    <row r="113" spans="1:24" ht="15.75" x14ac:dyDescent="0.25">
      <c r="A113" s="295">
        <v>8</v>
      </c>
      <c r="B113" s="286" t="s">
        <v>35</v>
      </c>
      <c r="C113" s="286"/>
      <c r="D113" s="286"/>
      <c r="E113" s="314"/>
      <c r="F113" s="314"/>
      <c r="G113" s="314"/>
      <c r="H113" s="314"/>
      <c r="I113" s="314"/>
      <c r="J113" s="314"/>
      <c r="K113" s="314"/>
      <c r="L113" s="314"/>
      <c r="M113" s="314"/>
      <c r="N113" s="314"/>
      <c r="O113" s="314"/>
      <c r="P113" s="314"/>
      <c r="Q113" s="314"/>
      <c r="R113" s="314"/>
      <c r="S113" s="314"/>
      <c r="T113" s="286"/>
      <c r="U113" s="286"/>
      <c r="V113" s="338">
        <v>-24</v>
      </c>
      <c r="W113" s="318"/>
      <c r="X113" s="5"/>
    </row>
    <row r="114" spans="1:24" ht="15.75" x14ac:dyDescent="0.25">
      <c r="A114" s="295">
        <f t="shared" ref="A114:A119" si="0">+A113+1</f>
        <v>9</v>
      </c>
      <c r="B114" s="286" t="s">
        <v>45</v>
      </c>
      <c r="C114" s="286"/>
      <c r="D114" s="286"/>
      <c r="E114" s="314"/>
      <c r="F114" s="314"/>
      <c r="G114" s="314"/>
      <c r="H114" s="314"/>
      <c r="I114" s="314"/>
      <c r="J114" s="314"/>
      <c r="K114" s="314"/>
      <c r="L114" s="314"/>
      <c r="M114" s="314"/>
      <c r="N114" s="314"/>
      <c r="O114" s="314"/>
      <c r="P114" s="314"/>
      <c r="Q114" s="314"/>
      <c r="R114" s="314"/>
      <c r="S114" s="314"/>
      <c r="T114" s="337">
        <f>-V114</f>
        <v>270</v>
      </c>
      <c r="U114" s="286"/>
      <c r="V114" s="338">
        <v>-270</v>
      </c>
      <c r="W114" s="318"/>
      <c r="X114" s="5"/>
    </row>
    <row r="115" spans="1:24" ht="15.75" x14ac:dyDescent="0.25">
      <c r="A115" s="295">
        <f t="shared" si="0"/>
        <v>10</v>
      </c>
      <c r="B115" s="286" t="s">
        <v>125</v>
      </c>
      <c r="C115" s="286"/>
      <c r="D115" s="286"/>
      <c r="E115" s="314"/>
      <c r="F115" s="314"/>
      <c r="G115" s="314"/>
      <c r="H115" s="314"/>
      <c r="I115" s="314"/>
      <c r="J115" s="314"/>
      <c r="K115" s="314"/>
      <c r="L115" s="314"/>
      <c r="M115" s="314"/>
      <c r="N115" s="314"/>
      <c r="O115" s="314"/>
      <c r="P115" s="314"/>
      <c r="Q115" s="314"/>
      <c r="R115" s="314"/>
      <c r="S115" s="314"/>
      <c r="T115" s="286"/>
      <c r="U115" s="286"/>
      <c r="V115" s="338">
        <v>0</v>
      </c>
      <c r="W115" s="318"/>
      <c r="X115" s="5"/>
    </row>
    <row r="116" spans="1:24" ht="15.75" x14ac:dyDescent="0.25">
      <c r="A116" s="295">
        <f t="shared" si="0"/>
        <v>11</v>
      </c>
      <c r="B116" s="286" t="s">
        <v>225</v>
      </c>
      <c r="C116" s="286"/>
      <c r="D116" s="286"/>
      <c r="E116" s="314"/>
      <c r="F116" s="314"/>
      <c r="G116" s="314"/>
      <c r="H116" s="314"/>
      <c r="I116" s="314"/>
      <c r="J116" s="314"/>
      <c r="K116" s="314"/>
      <c r="L116" s="314"/>
      <c r="M116" s="314"/>
      <c r="N116" s="314"/>
      <c r="O116" s="314"/>
      <c r="P116" s="314"/>
      <c r="Q116" s="314"/>
      <c r="R116" s="314"/>
      <c r="S116" s="314"/>
      <c r="T116" s="286"/>
      <c r="U116" s="286"/>
      <c r="V116" s="338">
        <v>0</v>
      </c>
      <c r="W116" s="318"/>
      <c r="X116" s="5"/>
    </row>
    <row r="117" spans="1:24" ht="15.75" x14ac:dyDescent="0.25">
      <c r="A117" s="295">
        <f t="shared" si="0"/>
        <v>12</v>
      </c>
      <c r="B117" s="286" t="s">
        <v>36</v>
      </c>
      <c r="C117" s="286"/>
      <c r="D117" s="286"/>
      <c r="E117" s="314"/>
      <c r="F117" s="314"/>
      <c r="G117" s="314"/>
      <c r="H117" s="314"/>
      <c r="I117" s="314"/>
      <c r="J117" s="314"/>
      <c r="K117" s="314"/>
      <c r="L117" s="314"/>
      <c r="M117" s="314"/>
      <c r="N117" s="314"/>
      <c r="O117" s="314"/>
      <c r="P117" s="314"/>
      <c r="Q117" s="314"/>
      <c r="R117" s="314"/>
      <c r="S117" s="314"/>
      <c r="T117" s="286"/>
      <c r="U117" s="286"/>
      <c r="V117" s="338">
        <v>0</v>
      </c>
      <c r="W117" s="318"/>
      <c r="X117" s="5"/>
    </row>
    <row r="118" spans="1:24" ht="15.75" x14ac:dyDescent="0.25">
      <c r="A118" s="295">
        <f t="shared" si="0"/>
        <v>13</v>
      </c>
      <c r="B118" s="286" t="s">
        <v>149</v>
      </c>
      <c r="C118" s="286"/>
      <c r="D118" s="286"/>
      <c r="E118" s="314"/>
      <c r="F118" s="314"/>
      <c r="G118" s="314"/>
      <c r="H118" s="314"/>
      <c r="I118" s="314"/>
      <c r="J118" s="314"/>
      <c r="K118" s="314"/>
      <c r="L118" s="314"/>
      <c r="M118" s="314"/>
      <c r="N118" s="314"/>
      <c r="O118" s="314"/>
      <c r="P118" s="314"/>
      <c r="Q118" s="314"/>
      <c r="R118" s="314"/>
      <c r="S118" s="314"/>
      <c r="T118" s="286"/>
      <c r="U118" s="286"/>
      <c r="V118" s="338">
        <v>-252</v>
      </c>
      <c r="W118" s="318"/>
      <c r="X118" s="5"/>
    </row>
    <row r="119" spans="1:24" ht="15.75" x14ac:dyDescent="0.25">
      <c r="A119" s="295">
        <f t="shared" si="0"/>
        <v>14</v>
      </c>
      <c r="B119" s="286" t="s">
        <v>126</v>
      </c>
      <c r="C119" s="286"/>
      <c r="D119" s="286"/>
      <c r="E119" s="314"/>
      <c r="F119" s="314"/>
      <c r="G119" s="314"/>
      <c r="H119" s="314"/>
      <c r="I119" s="314"/>
      <c r="J119" s="314"/>
      <c r="K119" s="314"/>
      <c r="L119" s="314"/>
      <c r="M119" s="314"/>
      <c r="N119" s="314"/>
      <c r="O119" s="314"/>
      <c r="P119" s="314"/>
      <c r="Q119" s="314"/>
      <c r="R119" s="314"/>
      <c r="S119" s="314"/>
      <c r="T119" s="286"/>
      <c r="U119" s="286"/>
      <c r="V119" s="338">
        <f>-V101-SUM(V103:V118)</f>
        <v>-1841</v>
      </c>
      <c r="W119" s="318"/>
      <c r="X119" s="5"/>
    </row>
    <row r="120" spans="1:24" ht="15.75" x14ac:dyDescent="0.25">
      <c r="A120" s="285"/>
      <c r="B120" s="342" t="s">
        <v>37</v>
      </c>
      <c r="C120" s="314"/>
      <c r="D120" s="314"/>
      <c r="E120" s="314"/>
      <c r="F120" s="314"/>
      <c r="G120" s="314"/>
      <c r="H120" s="314"/>
      <c r="I120" s="314"/>
      <c r="J120" s="314"/>
      <c r="K120" s="314"/>
      <c r="L120" s="314"/>
      <c r="M120" s="314"/>
      <c r="N120" s="314"/>
      <c r="O120" s="314"/>
      <c r="P120" s="314"/>
      <c r="Q120" s="314"/>
      <c r="R120" s="314"/>
      <c r="S120" s="314"/>
      <c r="T120" s="286"/>
      <c r="U120" s="286"/>
      <c r="V120" s="343"/>
      <c r="W120" s="318"/>
      <c r="X120" s="5"/>
    </row>
    <row r="121" spans="1:24" ht="15.75" x14ac:dyDescent="0.25">
      <c r="A121" s="285"/>
      <c r="B121" s="286" t="s">
        <v>173</v>
      </c>
      <c r="C121" s="314"/>
      <c r="D121" s="314"/>
      <c r="E121" s="314"/>
      <c r="F121" s="314"/>
      <c r="G121" s="314"/>
      <c r="H121" s="314"/>
      <c r="I121" s="314"/>
      <c r="J121" s="314"/>
      <c r="K121" s="314"/>
      <c r="L121" s="314"/>
      <c r="M121" s="314"/>
      <c r="N121" s="314"/>
      <c r="O121" s="314"/>
      <c r="P121" s="314"/>
      <c r="Q121" s="314"/>
      <c r="R121" s="314"/>
      <c r="S121" s="314"/>
      <c r="T121" s="337">
        <f>-T186</f>
        <v>0</v>
      </c>
      <c r="U121" s="337"/>
      <c r="V121" s="338"/>
      <c r="W121" s="318"/>
      <c r="X121" s="5"/>
    </row>
    <row r="122" spans="1:24" ht="15.75" x14ac:dyDescent="0.25">
      <c r="A122" s="285"/>
      <c r="B122" s="286" t="s">
        <v>174</v>
      </c>
      <c r="C122" s="314"/>
      <c r="D122" s="314"/>
      <c r="E122" s="314"/>
      <c r="F122" s="314"/>
      <c r="G122" s="314"/>
      <c r="H122" s="314"/>
      <c r="I122" s="314"/>
      <c r="J122" s="314"/>
      <c r="K122" s="314"/>
      <c r="L122" s="314"/>
      <c r="M122" s="314"/>
      <c r="N122" s="314"/>
      <c r="O122" s="314"/>
      <c r="P122" s="314"/>
      <c r="Q122" s="314"/>
      <c r="R122" s="314"/>
      <c r="S122" s="314"/>
      <c r="T122" s="337">
        <v>0</v>
      </c>
      <c r="U122" s="337"/>
      <c r="V122" s="338"/>
      <c r="W122" s="318"/>
      <c r="X122" s="5"/>
    </row>
    <row r="123" spans="1:24" ht="15.75" x14ac:dyDescent="0.25">
      <c r="A123" s="285"/>
      <c r="B123" s="286" t="s">
        <v>38</v>
      </c>
      <c r="C123" s="314"/>
      <c r="D123" s="314"/>
      <c r="E123" s="314"/>
      <c r="F123" s="314"/>
      <c r="G123" s="314"/>
      <c r="H123" s="314"/>
      <c r="I123" s="314"/>
      <c r="J123" s="314"/>
      <c r="K123" s="314"/>
      <c r="L123" s="314"/>
      <c r="M123" s="314"/>
      <c r="N123" s="314"/>
      <c r="O123" s="314"/>
      <c r="P123" s="314"/>
      <c r="Q123" s="314"/>
      <c r="R123" s="314"/>
      <c r="S123" s="314"/>
      <c r="T123" s="337">
        <f>-S186</f>
        <v>-56</v>
      </c>
      <c r="U123" s="337"/>
      <c r="V123" s="338"/>
      <c r="W123" s="318"/>
      <c r="X123" s="5"/>
    </row>
    <row r="124" spans="1:24" ht="15.75" x14ac:dyDescent="0.25">
      <c r="A124" s="285"/>
      <c r="B124" s="286" t="s">
        <v>197</v>
      </c>
      <c r="C124" s="314"/>
      <c r="D124" s="314"/>
      <c r="E124" s="314"/>
      <c r="F124" s="314"/>
      <c r="G124" s="314"/>
      <c r="H124" s="314"/>
      <c r="I124" s="314"/>
      <c r="J124" s="314"/>
      <c r="K124" s="314"/>
      <c r="L124" s="314"/>
      <c r="M124" s="314"/>
      <c r="N124" s="314"/>
      <c r="O124" s="314"/>
      <c r="P124" s="314"/>
      <c r="Q124" s="314"/>
      <c r="R124" s="314"/>
      <c r="S124" s="314"/>
      <c r="T124" s="337">
        <v>-7877</v>
      </c>
      <c r="U124" s="337"/>
      <c r="V124" s="338"/>
      <c r="W124" s="318"/>
      <c r="X124" s="5"/>
    </row>
    <row r="125" spans="1:24" ht="15.75" x14ac:dyDescent="0.25">
      <c r="A125" s="285"/>
      <c r="B125" s="286" t="s">
        <v>195</v>
      </c>
      <c r="C125" s="314"/>
      <c r="D125" s="314"/>
      <c r="E125" s="314"/>
      <c r="F125" s="314"/>
      <c r="G125" s="314"/>
      <c r="H125" s="314"/>
      <c r="I125" s="314"/>
      <c r="J125" s="314"/>
      <c r="K125" s="314"/>
      <c r="L125" s="314"/>
      <c r="M125" s="314"/>
      <c r="N125" s="314"/>
      <c r="O125" s="314"/>
      <c r="P125" s="314"/>
      <c r="Q125" s="314"/>
      <c r="R125" s="314"/>
      <c r="S125" s="314"/>
      <c r="T125" s="337">
        <v>-3348</v>
      </c>
      <c r="U125" s="337"/>
      <c r="V125" s="338"/>
      <c r="W125" s="318"/>
      <c r="X125" s="5"/>
    </row>
    <row r="126" spans="1:24" ht="15.75" x14ac:dyDescent="0.25">
      <c r="A126" s="285"/>
      <c r="B126" s="286" t="s">
        <v>194</v>
      </c>
      <c r="C126" s="314"/>
      <c r="D126" s="314"/>
      <c r="E126" s="314"/>
      <c r="F126" s="314"/>
      <c r="G126" s="314"/>
      <c r="H126" s="314"/>
      <c r="I126" s="314"/>
      <c r="J126" s="314"/>
      <c r="K126" s="314"/>
      <c r="L126" s="314"/>
      <c r="M126" s="314"/>
      <c r="N126" s="314"/>
      <c r="O126" s="314"/>
      <c r="P126" s="314"/>
      <c r="Q126" s="314"/>
      <c r="R126" s="314"/>
      <c r="S126" s="314"/>
      <c r="T126" s="337">
        <v>-1193</v>
      </c>
      <c r="U126" s="337"/>
      <c r="V126" s="338"/>
      <c r="W126" s="318"/>
      <c r="X126" s="5"/>
    </row>
    <row r="127" spans="1:24" ht="15.75" x14ac:dyDescent="0.25">
      <c r="A127" s="285"/>
      <c r="B127" s="286" t="s">
        <v>222</v>
      </c>
      <c r="C127" s="314"/>
      <c r="D127" s="314"/>
      <c r="E127" s="314"/>
      <c r="F127" s="314"/>
      <c r="G127" s="314"/>
      <c r="H127" s="314"/>
      <c r="I127" s="314"/>
      <c r="J127" s="314"/>
      <c r="K127" s="314"/>
      <c r="L127" s="314"/>
      <c r="M127" s="314"/>
      <c r="N127" s="314"/>
      <c r="O127" s="314"/>
      <c r="P127" s="314"/>
      <c r="Q127" s="314"/>
      <c r="R127" s="314"/>
      <c r="S127" s="314"/>
      <c r="T127" s="337">
        <v>-1182</v>
      </c>
      <c r="U127" s="337"/>
      <c r="V127" s="338"/>
      <c r="W127" s="318"/>
      <c r="X127" s="5"/>
    </row>
    <row r="128" spans="1:24" ht="15.75" x14ac:dyDescent="0.25">
      <c r="A128" s="285"/>
      <c r="B128" s="286" t="s">
        <v>189</v>
      </c>
      <c r="C128" s="314"/>
      <c r="D128" s="314"/>
      <c r="E128" s="314"/>
      <c r="F128" s="314"/>
      <c r="G128" s="314"/>
      <c r="H128" s="314"/>
      <c r="I128" s="314"/>
      <c r="J128" s="314"/>
      <c r="K128" s="314"/>
      <c r="L128" s="314"/>
      <c r="M128" s="314"/>
      <c r="N128" s="314"/>
      <c r="O128" s="314"/>
      <c r="P128" s="314"/>
      <c r="Q128" s="314"/>
      <c r="R128" s="314"/>
      <c r="S128" s="314"/>
      <c r="T128" s="337">
        <v>0</v>
      </c>
      <c r="U128" s="337"/>
      <c r="V128" s="338"/>
      <c r="W128" s="318"/>
      <c r="X128" s="5"/>
    </row>
    <row r="129" spans="1:24" ht="15.75" x14ac:dyDescent="0.25">
      <c r="A129" s="285"/>
      <c r="B129" s="286" t="s">
        <v>188</v>
      </c>
      <c r="C129" s="314"/>
      <c r="D129" s="314"/>
      <c r="E129" s="314"/>
      <c r="F129" s="314"/>
      <c r="G129" s="314"/>
      <c r="H129" s="314"/>
      <c r="I129" s="314"/>
      <c r="J129" s="314"/>
      <c r="K129" s="314"/>
      <c r="L129" s="314"/>
      <c r="M129" s="314"/>
      <c r="N129" s="314"/>
      <c r="O129" s="314"/>
      <c r="P129" s="314"/>
      <c r="Q129" s="314"/>
      <c r="R129" s="314"/>
      <c r="S129" s="314"/>
      <c r="T129" s="337">
        <v>0</v>
      </c>
      <c r="U129" s="337"/>
      <c r="V129" s="338"/>
      <c r="W129" s="318"/>
      <c r="X129" s="5"/>
    </row>
    <row r="130" spans="1:24" ht="15.75" x14ac:dyDescent="0.25">
      <c r="A130" s="285"/>
      <c r="B130" s="286" t="s">
        <v>187</v>
      </c>
      <c r="C130" s="314"/>
      <c r="D130" s="314"/>
      <c r="E130" s="314"/>
      <c r="F130" s="314"/>
      <c r="G130" s="314"/>
      <c r="H130" s="314"/>
      <c r="I130" s="314"/>
      <c r="J130" s="314"/>
      <c r="K130" s="314"/>
      <c r="L130" s="314"/>
      <c r="M130" s="314"/>
      <c r="N130" s="314"/>
      <c r="O130" s="314"/>
      <c r="P130" s="314"/>
      <c r="Q130" s="314"/>
      <c r="R130" s="314"/>
      <c r="S130" s="314"/>
      <c r="T130" s="337">
        <v>0</v>
      </c>
      <c r="U130" s="337"/>
      <c r="V130" s="338"/>
      <c r="W130" s="318"/>
      <c r="X130" s="5"/>
    </row>
    <row r="131" spans="1:24" ht="15.75" x14ac:dyDescent="0.25">
      <c r="A131" s="285"/>
      <c r="B131" s="286" t="s">
        <v>39</v>
      </c>
      <c r="C131" s="314"/>
      <c r="D131" s="314"/>
      <c r="E131" s="314"/>
      <c r="F131" s="314"/>
      <c r="G131" s="314"/>
      <c r="H131" s="314"/>
      <c r="I131" s="314"/>
      <c r="J131" s="314"/>
      <c r="K131" s="314"/>
      <c r="L131" s="314"/>
      <c r="M131" s="314"/>
      <c r="N131" s="314"/>
      <c r="O131" s="314"/>
      <c r="P131" s="314"/>
      <c r="Q131" s="314"/>
      <c r="R131" s="314"/>
      <c r="S131" s="314"/>
      <c r="T131" s="337">
        <f>SUM(T121:T130)</f>
        <v>-13656</v>
      </c>
      <c r="U131" s="337"/>
      <c r="V131" s="337">
        <f>SUM(V102:V129)</f>
        <v>-3893</v>
      </c>
      <c r="W131" s="318"/>
      <c r="X131" s="5"/>
    </row>
    <row r="132" spans="1:24" ht="15.75" x14ac:dyDescent="0.25">
      <c r="A132" s="285"/>
      <c r="B132" s="286" t="s">
        <v>40</v>
      </c>
      <c r="C132" s="314"/>
      <c r="D132" s="314"/>
      <c r="E132" s="314"/>
      <c r="F132" s="314"/>
      <c r="G132" s="314"/>
      <c r="H132" s="314"/>
      <c r="I132" s="314"/>
      <c r="J132" s="314"/>
      <c r="K132" s="314"/>
      <c r="L132" s="314"/>
      <c r="M132" s="314"/>
      <c r="N132" s="314"/>
      <c r="O132" s="314"/>
      <c r="P132" s="314"/>
      <c r="Q132" s="314"/>
      <c r="R132" s="314"/>
      <c r="S132" s="314"/>
      <c r="T132" s="337">
        <f>T101+T131+T114</f>
        <v>0</v>
      </c>
      <c r="U132" s="337"/>
      <c r="V132" s="337">
        <f>V101+V131</f>
        <v>0</v>
      </c>
      <c r="W132" s="318"/>
      <c r="X132" s="5"/>
    </row>
    <row r="133" spans="1:24" ht="15.75" x14ac:dyDescent="0.25">
      <c r="A133" s="181"/>
      <c r="B133" s="212"/>
      <c r="C133" s="212"/>
      <c r="D133" s="212"/>
      <c r="E133" s="212"/>
      <c r="F133" s="212"/>
      <c r="G133" s="212"/>
      <c r="H133" s="212"/>
      <c r="I133" s="212"/>
      <c r="J133" s="212"/>
      <c r="K133" s="212"/>
      <c r="L133" s="212"/>
      <c r="M133" s="212"/>
      <c r="N133" s="212"/>
      <c r="O133" s="212"/>
      <c r="P133" s="212"/>
      <c r="Q133" s="212"/>
      <c r="R133" s="212"/>
      <c r="S133" s="212"/>
      <c r="T133" s="335"/>
      <c r="U133" s="335"/>
      <c r="V133" s="335"/>
      <c r="W133" s="212"/>
      <c r="X133" s="5"/>
    </row>
    <row r="134" spans="1:24" ht="15.75" x14ac:dyDescent="0.25">
      <c r="A134" s="181"/>
      <c r="B134" s="183"/>
      <c r="C134" s="183"/>
      <c r="D134" s="183"/>
      <c r="E134" s="183"/>
      <c r="F134" s="183"/>
      <c r="G134" s="183"/>
      <c r="H134" s="183"/>
      <c r="I134" s="183"/>
      <c r="J134" s="183"/>
      <c r="K134" s="183"/>
      <c r="L134" s="183"/>
      <c r="M134" s="183"/>
      <c r="N134" s="183"/>
      <c r="O134" s="183"/>
      <c r="P134" s="183"/>
      <c r="Q134" s="183"/>
      <c r="R134" s="183"/>
      <c r="S134" s="183"/>
      <c r="T134" s="183"/>
      <c r="U134" s="183"/>
      <c r="V134" s="202"/>
      <c r="W134" s="183"/>
      <c r="X134" s="5"/>
    </row>
    <row r="135" spans="1:24" ht="19.5" thickBot="1" x14ac:dyDescent="0.35">
      <c r="A135" s="197"/>
      <c r="B135" s="270" t="str">
        <f>B64</f>
        <v>PM15 INVESTOR REPORT QUARTER ENDING AUGUST 2017</v>
      </c>
      <c r="C135" s="198"/>
      <c r="D135" s="198"/>
      <c r="E135" s="198"/>
      <c r="F135" s="198"/>
      <c r="G135" s="198"/>
      <c r="H135" s="198"/>
      <c r="I135" s="198"/>
      <c r="J135" s="198"/>
      <c r="K135" s="198"/>
      <c r="L135" s="198"/>
      <c r="M135" s="198"/>
      <c r="N135" s="198"/>
      <c r="O135" s="198"/>
      <c r="P135" s="198"/>
      <c r="Q135" s="198"/>
      <c r="R135" s="198"/>
      <c r="S135" s="198"/>
      <c r="T135" s="198"/>
      <c r="U135" s="198"/>
      <c r="V135" s="209"/>
      <c r="W135" s="200"/>
      <c r="X135" s="5"/>
    </row>
    <row r="136" spans="1:24" ht="15.75" x14ac:dyDescent="0.25">
      <c r="A136" s="236"/>
      <c r="B136" s="403" t="s">
        <v>41</v>
      </c>
      <c r="C136" s="238"/>
      <c r="D136" s="238"/>
      <c r="E136" s="238"/>
      <c r="F136" s="238"/>
      <c r="G136" s="238"/>
      <c r="H136" s="238"/>
      <c r="I136" s="238"/>
      <c r="J136" s="238"/>
      <c r="K136" s="238"/>
      <c r="L136" s="238"/>
      <c r="M136" s="238"/>
      <c r="N136" s="238"/>
      <c r="O136" s="238"/>
      <c r="P136" s="238"/>
      <c r="Q136" s="238"/>
      <c r="R136" s="238"/>
      <c r="S136" s="238"/>
      <c r="T136" s="238"/>
      <c r="U136" s="238"/>
      <c r="V136" s="239"/>
      <c r="W136" s="238"/>
      <c r="X136" s="5"/>
    </row>
    <row r="137" spans="1:24" ht="15.75" x14ac:dyDescent="0.25">
      <c r="A137" s="181"/>
      <c r="B137" s="191"/>
      <c r="C137" s="183"/>
      <c r="D137" s="183"/>
      <c r="E137" s="183"/>
      <c r="F137" s="183"/>
      <c r="G137" s="183"/>
      <c r="H137" s="183"/>
      <c r="I137" s="183"/>
      <c r="J137" s="183"/>
      <c r="K137" s="183"/>
      <c r="L137" s="183"/>
      <c r="M137" s="183"/>
      <c r="N137" s="183"/>
      <c r="O137" s="183"/>
      <c r="P137" s="183"/>
      <c r="Q137" s="183"/>
      <c r="R137" s="183"/>
      <c r="S137" s="183"/>
      <c r="T137" s="183"/>
      <c r="U137" s="183"/>
      <c r="V137" s="202"/>
      <c r="W137" s="183"/>
      <c r="X137" s="5"/>
    </row>
    <row r="138" spans="1:24" ht="15.75" x14ac:dyDescent="0.25">
      <c r="A138" s="181"/>
      <c r="B138" s="210" t="s">
        <v>42</v>
      </c>
      <c r="C138" s="183"/>
      <c r="D138" s="183"/>
      <c r="E138" s="183"/>
      <c r="F138" s="183"/>
      <c r="G138" s="183"/>
      <c r="H138" s="183"/>
      <c r="I138" s="183"/>
      <c r="J138" s="183"/>
      <c r="K138" s="183"/>
      <c r="L138" s="183"/>
      <c r="M138" s="183"/>
      <c r="N138" s="183"/>
      <c r="O138" s="183"/>
      <c r="P138" s="183"/>
      <c r="Q138" s="183"/>
      <c r="R138" s="183"/>
      <c r="S138" s="183"/>
      <c r="T138" s="183"/>
      <c r="U138" s="183"/>
      <c r="V138" s="202"/>
      <c r="W138" s="183"/>
      <c r="X138" s="5"/>
    </row>
    <row r="139" spans="1:24" ht="15.75" x14ac:dyDescent="0.25">
      <c r="A139" s="285"/>
      <c r="B139" s="286" t="s">
        <v>43</v>
      </c>
      <c r="C139" s="286"/>
      <c r="D139" s="286"/>
      <c r="E139" s="286"/>
      <c r="F139" s="286"/>
      <c r="G139" s="286"/>
      <c r="H139" s="286"/>
      <c r="I139" s="286"/>
      <c r="J139" s="286"/>
      <c r="K139" s="286"/>
      <c r="L139" s="286"/>
      <c r="M139" s="286"/>
      <c r="N139" s="286"/>
      <c r="O139" s="286"/>
      <c r="P139" s="286"/>
      <c r="Q139" s="286"/>
      <c r="R139" s="286"/>
      <c r="S139" s="286"/>
      <c r="T139" s="286"/>
      <c r="U139" s="286"/>
      <c r="V139" s="338">
        <f>+V34*0.019</f>
        <v>19021.526999999998</v>
      </c>
      <c r="W139" s="289"/>
      <c r="X139" s="5"/>
    </row>
    <row r="140" spans="1:24" ht="15.75" x14ac:dyDescent="0.25">
      <c r="A140" s="285"/>
      <c r="B140" s="286" t="s">
        <v>44</v>
      </c>
      <c r="C140" s="286"/>
      <c r="D140" s="286"/>
      <c r="E140" s="286"/>
      <c r="F140" s="286"/>
      <c r="G140" s="286"/>
      <c r="H140" s="286"/>
      <c r="I140" s="286"/>
      <c r="J140" s="286"/>
      <c r="K140" s="286"/>
      <c r="L140" s="286"/>
      <c r="M140" s="286"/>
      <c r="N140" s="286"/>
      <c r="O140" s="286"/>
      <c r="P140" s="286"/>
      <c r="Q140" s="286"/>
      <c r="R140" s="286"/>
      <c r="S140" s="286"/>
      <c r="T140" s="286"/>
      <c r="U140" s="286"/>
      <c r="V140" s="338">
        <v>19022</v>
      </c>
      <c r="W140" s="289"/>
      <c r="X140" s="5"/>
    </row>
    <row r="141" spans="1:24" ht="15.75" x14ac:dyDescent="0.25">
      <c r="A141" s="285"/>
      <c r="B141" s="286" t="s">
        <v>136</v>
      </c>
      <c r="C141" s="286"/>
      <c r="D141" s="286"/>
      <c r="E141" s="286"/>
      <c r="F141" s="286"/>
      <c r="G141" s="286"/>
      <c r="H141" s="286"/>
      <c r="I141" s="286"/>
      <c r="J141" s="286"/>
      <c r="K141" s="286"/>
      <c r="L141" s="286"/>
      <c r="M141" s="286"/>
      <c r="N141" s="286"/>
      <c r="O141" s="286"/>
      <c r="P141" s="286"/>
      <c r="Q141" s="286"/>
      <c r="R141" s="286"/>
      <c r="S141" s="286"/>
      <c r="T141" s="286"/>
      <c r="U141" s="286"/>
      <c r="V141" s="338"/>
      <c r="W141" s="289"/>
      <c r="X141" s="5"/>
    </row>
    <row r="142" spans="1:24" ht="15.75" x14ac:dyDescent="0.25">
      <c r="A142" s="285"/>
      <c r="B142" s="286" t="s">
        <v>123</v>
      </c>
      <c r="C142" s="286"/>
      <c r="D142" s="286"/>
      <c r="E142" s="286"/>
      <c r="F142" s="286"/>
      <c r="G142" s="286"/>
      <c r="H142" s="286"/>
      <c r="I142" s="286"/>
      <c r="J142" s="286"/>
      <c r="K142" s="286"/>
      <c r="L142" s="286"/>
      <c r="M142" s="286"/>
      <c r="N142" s="286"/>
      <c r="O142" s="286"/>
      <c r="P142" s="286"/>
      <c r="Q142" s="286"/>
      <c r="R142" s="286"/>
      <c r="S142" s="286"/>
      <c r="T142" s="286"/>
      <c r="U142" s="286"/>
      <c r="V142" s="338">
        <v>0</v>
      </c>
      <c r="W142" s="289"/>
      <c r="X142" s="5"/>
    </row>
    <row r="143" spans="1:24" ht="15.75" x14ac:dyDescent="0.25">
      <c r="A143" s="285"/>
      <c r="B143" s="286" t="s">
        <v>124</v>
      </c>
      <c r="C143" s="286"/>
      <c r="D143" s="286"/>
      <c r="E143" s="286"/>
      <c r="F143" s="286"/>
      <c r="G143" s="286"/>
      <c r="H143" s="286"/>
      <c r="I143" s="286"/>
      <c r="J143" s="286"/>
      <c r="K143" s="286"/>
      <c r="L143" s="286"/>
      <c r="M143" s="286"/>
      <c r="N143" s="286"/>
      <c r="O143" s="286"/>
      <c r="P143" s="286"/>
      <c r="Q143" s="286"/>
      <c r="R143" s="286"/>
      <c r="S143" s="286"/>
      <c r="T143" s="286"/>
      <c r="U143" s="286"/>
      <c r="V143" s="338">
        <v>0</v>
      </c>
      <c r="W143" s="289"/>
      <c r="X143" s="5"/>
    </row>
    <row r="144" spans="1:24" ht="15.75" x14ac:dyDescent="0.25">
      <c r="A144" s="285"/>
      <c r="B144" s="286" t="s">
        <v>175</v>
      </c>
      <c r="C144" s="286"/>
      <c r="D144" s="286"/>
      <c r="E144" s="286"/>
      <c r="F144" s="286"/>
      <c r="G144" s="286"/>
      <c r="H144" s="286"/>
      <c r="I144" s="286"/>
      <c r="J144" s="286"/>
      <c r="K144" s="286"/>
      <c r="L144" s="286"/>
      <c r="M144" s="286"/>
      <c r="N144" s="286"/>
      <c r="O144" s="286"/>
      <c r="P144" s="286"/>
      <c r="Q144" s="286"/>
      <c r="R144" s="286"/>
      <c r="S144" s="286"/>
      <c r="T144" s="286"/>
      <c r="U144" s="286"/>
      <c r="V144" s="338">
        <v>0</v>
      </c>
      <c r="W144" s="289"/>
      <c r="X144" s="5"/>
    </row>
    <row r="145" spans="1:25" ht="15.75" x14ac:dyDescent="0.25">
      <c r="A145" s="285"/>
      <c r="B145" s="286" t="s">
        <v>45</v>
      </c>
      <c r="C145" s="286"/>
      <c r="D145" s="286"/>
      <c r="E145" s="286"/>
      <c r="F145" s="286"/>
      <c r="G145" s="286"/>
      <c r="H145" s="286"/>
      <c r="I145" s="286"/>
      <c r="J145" s="286"/>
      <c r="K145" s="286"/>
      <c r="L145" s="286"/>
      <c r="M145" s="286"/>
      <c r="N145" s="286"/>
      <c r="O145" s="286"/>
      <c r="P145" s="286"/>
      <c r="Q145" s="286"/>
      <c r="R145" s="286"/>
      <c r="S145" s="286"/>
      <c r="T145" s="286"/>
      <c r="U145" s="286"/>
      <c r="V145" s="338">
        <v>0</v>
      </c>
      <c r="W145" s="289"/>
      <c r="X145" s="5"/>
    </row>
    <row r="146" spans="1:25" ht="15.75" x14ac:dyDescent="0.25">
      <c r="A146" s="285"/>
      <c r="B146" s="286" t="s">
        <v>129</v>
      </c>
      <c r="C146" s="286"/>
      <c r="D146" s="286"/>
      <c r="E146" s="286"/>
      <c r="F146" s="286"/>
      <c r="G146" s="286"/>
      <c r="H146" s="286"/>
      <c r="I146" s="286"/>
      <c r="J146" s="286"/>
      <c r="K146" s="286"/>
      <c r="L146" s="286"/>
      <c r="M146" s="286"/>
      <c r="N146" s="286"/>
      <c r="O146" s="286"/>
      <c r="P146" s="286"/>
      <c r="Q146" s="286"/>
      <c r="R146" s="286"/>
      <c r="S146" s="286"/>
      <c r="T146" s="286"/>
      <c r="U146" s="286"/>
      <c r="V146" s="338">
        <v>0</v>
      </c>
      <c r="W146" s="289"/>
      <c r="X146" s="5"/>
    </row>
    <row r="147" spans="1:25" ht="15.75" x14ac:dyDescent="0.25">
      <c r="A147" s="285"/>
      <c r="B147" s="286" t="s">
        <v>241</v>
      </c>
      <c r="C147" s="286"/>
      <c r="D147" s="286"/>
      <c r="E147" s="286"/>
      <c r="F147" s="286"/>
      <c r="G147" s="286"/>
      <c r="H147" s="286"/>
      <c r="I147" s="286"/>
      <c r="J147" s="286"/>
      <c r="K147" s="286"/>
      <c r="L147" s="286"/>
      <c r="M147" s="286"/>
      <c r="N147" s="286"/>
      <c r="O147" s="286"/>
      <c r="P147" s="286"/>
      <c r="Q147" s="286"/>
      <c r="R147" s="286"/>
      <c r="S147" s="286"/>
      <c r="T147" s="286"/>
      <c r="U147" s="286"/>
      <c r="V147" s="338">
        <v>0</v>
      </c>
      <c r="W147" s="289"/>
      <c r="X147" s="5"/>
      <c r="Y147" s="109"/>
    </row>
    <row r="148" spans="1:25" ht="15.75" x14ac:dyDescent="0.25">
      <c r="A148" s="285"/>
      <c r="B148" s="286" t="s">
        <v>46</v>
      </c>
      <c r="C148" s="286"/>
      <c r="D148" s="286"/>
      <c r="E148" s="286"/>
      <c r="F148" s="286"/>
      <c r="G148" s="286"/>
      <c r="H148" s="286"/>
      <c r="I148" s="286"/>
      <c r="J148" s="286"/>
      <c r="K148" s="286"/>
      <c r="L148" s="286"/>
      <c r="M148" s="286"/>
      <c r="N148" s="286"/>
      <c r="O148" s="286"/>
      <c r="P148" s="286"/>
      <c r="Q148" s="286"/>
      <c r="R148" s="286"/>
      <c r="S148" s="286"/>
      <c r="T148" s="286"/>
      <c r="U148" s="286"/>
      <c r="V148" s="338">
        <f>SUM(V140:V147)</f>
        <v>19022</v>
      </c>
      <c r="W148" s="289"/>
      <c r="X148" s="5"/>
    </row>
    <row r="149" spans="1:25" ht="15.75" x14ac:dyDescent="0.25">
      <c r="A149" s="285"/>
      <c r="B149" s="314"/>
      <c r="C149" s="314"/>
      <c r="D149" s="314"/>
      <c r="E149" s="314"/>
      <c r="F149" s="314"/>
      <c r="G149" s="314"/>
      <c r="H149" s="314"/>
      <c r="I149" s="314"/>
      <c r="J149" s="314"/>
      <c r="K149" s="314"/>
      <c r="L149" s="314"/>
      <c r="M149" s="314"/>
      <c r="N149" s="314"/>
      <c r="O149" s="314"/>
      <c r="P149" s="314"/>
      <c r="Q149" s="314"/>
      <c r="R149" s="314"/>
      <c r="S149" s="314"/>
      <c r="T149" s="314"/>
      <c r="U149" s="314"/>
      <c r="V149" s="345"/>
      <c r="W149" s="318"/>
      <c r="X149" s="5"/>
    </row>
    <row r="150" spans="1:25" ht="15.75" x14ac:dyDescent="0.25">
      <c r="A150" s="285"/>
      <c r="B150" s="342" t="s">
        <v>269</v>
      </c>
      <c r="C150" s="314"/>
      <c r="D150" s="314"/>
      <c r="E150" s="314"/>
      <c r="F150" s="314"/>
      <c r="G150" s="314"/>
      <c r="H150" s="314"/>
      <c r="I150" s="314"/>
      <c r="J150" s="314"/>
      <c r="K150" s="314"/>
      <c r="L150" s="314"/>
      <c r="M150" s="314"/>
      <c r="N150" s="314"/>
      <c r="O150" s="314"/>
      <c r="P150" s="314"/>
      <c r="Q150" s="314"/>
      <c r="R150" s="314"/>
      <c r="S150" s="314"/>
      <c r="T150" s="314"/>
      <c r="U150" s="314"/>
      <c r="V150" s="345"/>
      <c r="W150" s="318"/>
      <c r="X150" s="5"/>
    </row>
    <row r="151" spans="1:25" ht="15.75" x14ac:dyDescent="0.25">
      <c r="A151" s="285"/>
      <c r="B151" s="286" t="s">
        <v>155</v>
      </c>
      <c r="C151" s="286"/>
      <c r="D151" s="286"/>
      <c r="E151" s="286"/>
      <c r="F151" s="286"/>
      <c r="G151" s="286"/>
      <c r="H151" s="286"/>
      <c r="I151" s="286"/>
      <c r="J151" s="286"/>
      <c r="K151" s="286"/>
      <c r="L151" s="286"/>
      <c r="M151" s="286"/>
      <c r="N151" s="286"/>
      <c r="O151" s="286"/>
      <c r="P151" s="286"/>
      <c r="Q151" s="286"/>
      <c r="R151" s="286"/>
      <c r="S151" s="286"/>
      <c r="T151" s="286"/>
      <c r="U151" s="286"/>
      <c r="V151" s="338">
        <v>0</v>
      </c>
      <c r="W151" s="289"/>
      <c r="X151" s="5"/>
    </row>
    <row r="152" spans="1:25" ht="15.75" x14ac:dyDescent="0.25">
      <c r="A152" s="285"/>
      <c r="B152" s="286" t="s">
        <v>172</v>
      </c>
      <c r="C152" s="286"/>
      <c r="D152" s="286"/>
      <c r="E152" s="286"/>
      <c r="F152" s="286"/>
      <c r="G152" s="286"/>
      <c r="H152" s="286"/>
      <c r="I152" s="286"/>
      <c r="J152" s="286"/>
      <c r="K152" s="286"/>
      <c r="L152" s="286"/>
      <c r="M152" s="286"/>
      <c r="N152" s="286"/>
      <c r="O152" s="286"/>
      <c r="P152" s="286"/>
      <c r="Q152" s="286"/>
      <c r="R152" s="286"/>
      <c r="S152" s="286"/>
      <c r="T152" s="286"/>
      <c r="U152" s="286"/>
      <c r="V152" s="338">
        <v>0</v>
      </c>
      <c r="W152" s="289"/>
      <c r="X152" s="5"/>
    </row>
    <row r="153" spans="1:25" ht="15.75" x14ac:dyDescent="0.25">
      <c r="A153" s="285"/>
      <c r="B153" s="286" t="s">
        <v>226</v>
      </c>
      <c r="C153" s="286"/>
      <c r="D153" s="286"/>
      <c r="E153" s="286"/>
      <c r="F153" s="286"/>
      <c r="G153" s="286"/>
      <c r="H153" s="286"/>
      <c r="I153" s="286"/>
      <c r="J153" s="286"/>
      <c r="K153" s="286"/>
      <c r="L153" s="286"/>
      <c r="M153" s="286"/>
      <c r="N153" s="286"/>
      <c r="O153" s="286"/>
      <c r="P153" s="286"/>
      <c r="Q153" s="286"/>
      <c r="R153" s="286"/>
      <c r="S153" s="286"/>
      <c r="T153" s="286"/>
      <c r="U153" s="286"/>
      <c r="V153" s="338">
        <v>0</v>
      </c>
      <c r="W153" s="289"/>
      <c r="X153" s="5"/>
    </row>
    <row r="154" spans="1:25" ht="15.75" x14ac:dyDescent="0.25">
      <c r="A154" s="285"/>
      <c r="B154" s="314"/>
      <c r="C154" s="314"/>
      <c r="D154" s="314"/>
      <c r="E154" s="314"/>
      <c r="F154" s="314"/>
      <c r="G154" s="314"/>
      <c r="H154" s="314"/>
      <c r="I154" s="314"/>
      <c r="J154" s="314"/>
      <c r="K154" s="314"/>
      <c r="L154" s="314"/>
      <c r="M154" s="314"/>
      <c r="N154" s="314"/>
      <c r="O154" s="314"/>
      <c r="P154" s="314"/>
      <c r="Q154" s="314"/>
      <c r="R154" s="314"/>
      <c r="S154" s="314"/>
      <c r="T154" s="314"/>
      <c r="U154" s="314"/>
      <c r="V154" s="345"/>
      <c r="W154" s="318"/>
      <c r="X154" s="5"/>
    </row>
    <row r="155" spans="1:25" ht="15.75" x14ac:dyDescent="0.25">
      <c r="A155" s="181"/>
      <c r="B155" s="212"/>
      <c r="C155" s="212"/>
      <c r="D155" s="212"/>
      <c r="E155" s="212"/>
      <c r="F155" s="212"/>
      <c r="G155" s="212"/>
      <c r="H155" s="212"/>
      <c r="I155" s="212"/>
      <c r="J155" s="212"/>
      <c r="K155" s="212"/>
      <c r="L155" s="212"/>
      <c r="M155" s="212"/>
      <c r="N155" s="212"/>
      <c r="O155" s="212"/>
      <c r="P155" s="212"/>
      <c r="Q155" s="212"/>
      <c r="R155" s="212"/>
      <c r="S155" s="212"/>
      <c r="T155" s="212"/>
      <c r="U155" s="212"/>
      <c r="V155" s="344"/>
      <c r="W155" s="212"/>
      <c r="X155" s="5"/>
    </row>
    <row r="156" spans="1:25" ht="15.75" x14ac:dyDescent="0.25">
      <c r="A156" s="181"/>
      <c r="B156" s="210" t="s">
        <v>24</v>
      </c>
      <c r="C156" s="183"/>
      <c r="D156" s="183"/>
      <c r="E156" s="183"/>
      <c r="F156" s="183"/>
      <c r="G156" s="183"/>
      <c r="H156" s="183"/>
      <c r="I156" s="183"/>
      <c r="J156" s="183"/>
      <c r="K156" s="183"/>
      <c r="L156" s="183"/>
      <c r="M156" s="183"/>
      <c r="N156" s="183"/>
      <c r="O156" s="183"/>
      <c r="P156" s="183"/>
      <c r="Q156" s="183"/>
      <c r="R156" s="183"/>
      <c r="S156" s="183"/>
      <c r="T156" s="183"/>
      <c r="U156" s="183"/>
      <c r="V156" s="202"/>
      <c r="W156" s="183"/>
      <c r="X156" s="5"/>
    </row>
    <row r="157" spans="1:25" ht="15.75" x14ac:dyDescent="0.25">
      <c r="A157" s="285"/>
      <c r="B157" s="286" t="s">
        <v>47</v>
      </c>
      <c r="C157" s="286"/>
      <c r="D157" s="286"/>
      <c r="E157" s="286"/>
      <c r="F157" s="286"/>
      <c r="G157" s="286"/>
      <c r="H157" s="286"/>
      <c r="I157" s="286"/>
      <c r="J157" s="286"/>
      <c r="K157" s="286"/>
      <c r="L157" s="286"/>
      <c r="M157" s="286"/>
      <c r="N157" s="286"/>
      <c r="O157" s="286"/>
      <c r="P157" s="286"/>
      <c r="Q157" s="286"/>
      <c r="R157" s="286"/>
      <c r="S157" s="286"/>
      <c r="T157" s="286"/>
      <c r="U157" s="286"/>
      <c r="V157" s="343" t="s">
        <v>118</v>
      </c>
      <c r="W157" s="318"/>
      <c r="X157" s="5"/>
    </row>
    <row r="158" spans="1:25" ht="15.75" x14ac:dyDescent="0.25">
      <c r="A158" s="285"/>
      <c r="B158" s="286" t="s">
        <v>48</v>
      </c>
      <c r="C158" s="288"/>
      <c r="D158" s="288"/>
      <c r="E158" s="288"/>
      <c r="F158" s="288"/>
      <c r="G158" s="288"/>
      <c r="H158" s="288"/>
      <c r="I158" s="288"/>
      <c r="J158" s="288"/>
      <c r="K158" s="288"/>
      <c r="L158" s="288"/>
      <c r="M158" s="288"/>
      <c r="N158" s="288"/>
      <c r="O158" s="288"/>
      <c r="P158" s="288"/>
      <c r="Q158" s="288"/>
      <c r="R158" s="288"/>
      <c r="S158" s="288"/>
      <c r="T158" s="288"/>
      <c r="U158" s="288"/>
      <c r="V158" s="343" t="s">
        <v>118</v>
      </c>
      <c r="W158" s="318"/>
      <c r="X158" s="5"/>
    </row>
    <row r="159" spans="1:25" ht="15.75" x14ac:dyDescent="0.25">
      <c r="A159" s="285"/>
      <c r="B159" s="286" t="s">
        <v>49</v>
      </c>
      <c r="C159" s="286"/>
      <c r="D159" s="286"/>
      <c r="E159" s="286"/>
      <c r="F159" s="286"/>
      <c r="G159" s="286"/>
      <c r="H159" s="286"/>
      <c r="I159" s="286"/>
      <c r="J159" s="286"/>
      <c r="K159" s="286"/>
      <c r="L159" s="286"/>
      <c r="M159" s="286"/>
      <c r="N159" s="286"/>
      <c r="O159" s="286"/>
      <c r="P159" s="286"/>
      <c r="Q159" s="286"/>
      <c r="R159" s="286"/>
      <c r="S159" s="286"/>
      <c r="T159" s="286"/>
      <c r="U159" s="286"/>
      <c r="V159" s="343" t="s">
        <v>118</v>
      </c>
      <c r="W159" s="318"/>
      <c r="X159" s="5"/>
    </row>
    <row r="160" spans="1:25" ht="15.75" x14ac:dyDescent="0.25">
      <c r="A160" s="285"/>
      <c r="B160" s="286" t="s">
        <v>50</v>
      </c>
      <c r="C160" s="286"/>
      <c r="D160" s="286"/>
      <c r="E160" s="286"/>
      <c r="F160" s="286"/>
      <c r="G160" s="286"/>
      <c r="H160" s="286"/>
      <c r="I160" s="286"/>
      <c r="J160" s="286"/>
      <c r="K160" s="286"/>
      <c r="L160" s="286"/>
      <c r="M160" s="286"/>
      <c r="N160" s="286"/>
      <c r="O160" s="286"/>
      <c r="P160" s="286"/>
      <c r="Q160" s="286"/>
      <c r="R160" s="286"/>
      <c r="S160" s="286"/>
      <c r="T160" s="286"/>
      <c r="U160" s="286"/>
      <c r="V160" s="343" t="s">
        <v>118</v>
      </c>
      <c r="W160" s="318"/>
      <c r="X160" s="5"/>
    </row>
    <row r="161" spans="1:256" ht="15.75" x14ac:dyDescent="0.25">
      <c r="A161" s="181"/>
      <c r="B161" s="212"/>
      <c r="C161" s="212"/>
      <c r="D161" s="212"/>
      <c r="E161" s="212"/>
      <c r="F161" s="212"/>
      <c r="G161" s="212"/>
      <c r="H161" s="212"/>
      <c r="I161" s="212"/>
      <c r="J161" s="212"/>
      <c r="K161" s="212"/>
      <c r="L161" s="212"/>
      <c r="M161" s="212"/>
      <c r="N161" s="212"/>
      <c r="O161" s="212"/>
      <c r="P161" s="212"/>
      <c r="Q161" s="212"/>
      <c r="R161" s="212"/>
      <c r="S161" s="212"/>
      <c r="T161" s="212"/>
      <c r="U161" s="212"/>
      <c r="V161" s="344"/>
      <c r="W161" s="212"/>
      <c r="X161" s="5"/>
    </row>
    <row r="162" spans="1:256" ht="15.75" x14ac:dyDescent="0.25">
      <c r="A162" s="181"/>
      <c r="B162" s="210" t="s">
        <v>51</v>
      </c>
      <c r="C162" s="183"/>
      <c r="D162" s="183"/>
      <c r="E162" s="183"/>
      <c r="F162" s="183"/>
      <c r="G162" s="183"/>
      <c r="H162" s="183"/>
      <c r="I162" s="183"/>
      <c r="J162" s="183"/>
      <c r="K162" s="183"/>
      <c r="L162" s="183"/>
      <c r="M162" s="183"/>
      <c r="N162" s="183"/>
      <c r="O162" s="183"/>
      <c r="P162" s="183"/>
      <c r="Q162" s="183"/>
      <c r="R162" s="183"/>
      <c r="S162" s="183"/>
      <c r="T162" s="183"/>
      <c r="U162" s="183"/>
      <c r="V162" s="211"/>
      <c r="W162" s="183"/>
      <c r="X162" s="5"/>
    </row>
    <row r="163" spans="1:256" ht="15.75" x14ac:dyDescent="0.25">
      <c r="A163" s="285"/>
      <c r="B163" s="286" t="s">
        <v>52</v>
      </c>
      <c r="C163" s="286"/>
      <c r="D163" s="286"/>
      <c r="E163" s="286"/>
      <c r="F163" s="286"/>
      <c r="G163" s="286"/>
      <c r="H163" s="286"/>
      <c r="I163" s="286"/>
      <c r="J163" s="286"/>
      <c r="K163" s="286"/>
      <c r="L163" s="286"/>
      <c r="M163" s="286"/>
      <c r="N163" s="286"/>
      <c r="O163" s="286"/>
      <c r="P163" s="286"/>
      <c r="Q163" s="286"/>
      <c r="R163" s="286"/>
      <c r="S163" s="286"/>
      <c r="T163" s="286"/>
      <c r="U163" s="286"/>
      <c r="V163" s="338">
        <v>0</v>
      </c>
      <c r="W163" s="289"/>
      <c r="X163" s="5"/>
    </row>
    <row r="164" spans="1:256" ht="15.75" x14ac:dyDescent="0.25">
      <c r="A164" s="285"/>
      <c r="B164" s="286" t="s">
        <v>53</v>
      </c>
      <c r="C164" s="286"/>
      <c r="D164" s="286"/>
      <c r="E164" s="286"/>
      <c r="F164" s="286"/>
      <c r="G164" s="286"/>
      <c r="H164" s="286"/>
      <c r="I164" s="286"/>
      <c r="J164" s="286"/>
      <c r="K164" s="286"/>
      <c r="L164" s="286"/>
      <c r="M164" s="286"/>
      <c r="N164" s="286"/>
      <c r="O164" s="286"/>
      <c r="P164" s="286"/>
      <c r="Q164" s="286"/>
      <c r="R164" s="286"/>
      <c r="S164" s="286"/>
      <c r="T164" s="286"/>
      <c r="U164" s="286"/>
      <c r="V164" s="338">
        <v>270</v>
      </c>
      <c r="W164" s="289"/>
      <c r="X164" s="5"/>
    </row>
    <row r="165" spans="1:256" ht="15.75" x14ac:dyDescent="0.25">
      <c r="A165" s="285"/>
      <c r="B165" s="286" t="s">
        <v>54</v>
      </c>
      <c r="C165" s="286"/>
      <c r="D165" s="286"/>
      <c r="E165" s="286"/>
      <c r="F165" s="286"/>
      <c r="G165" s="286"/>
      <c r="H165" s="286"/>
      <c r="I165" s="286"/>
      <c r="J165" s="286"/>
      <c r="K165" s="286"/>
      <c r="L165" s="286"/>
      <c r="M165" s="286"/>
      <c r="N165" s="286"/>
      <c r="O165" s="286"/>
      <c r="P165" s="286"/>
      <c r="Q165" s="286"/>
      <c r="R165" s="286"/>
      <c r="S165" s="286"/>
      <c r="T165" s="286"/>
      <c r="U165" s="286"/>
      <c r="V165" s="338">
        <f>V164+V163</f>
        <v>270</v>
      </c>
      <c r="W165" s="289"/>
      <c r="X165" s="5"/>
    </row>
    <row r="166" spans="1:256" ht="15.75" x14ac:dyDescent="0.25">
      <c r="A166" s="285"/>
      <c r="B166" s="286" t="s">
        <v>303</v>
      </c>
      <c r="C166" s="286"/>
      <c r="D166" s="286"/>
      <c r="E166" s="286"/>
      <c r="F166" s="286"/>
      <c r="G166" s="286"/>
      <c r="H166" s="286"/>
      <c r="I166" s="286"/>
      <c r="J166" s="286"/>
      <c r="K166" s="286"/>
      <c r="L166" s="286"/>
      <c r="M166" s="286"/>
      <c r="N166" s="286"/>
      <c r="O166" s="286"/>
      <c r="P166" s="286"/>
      <c r="Q166" s="286"/>
      <c r="R166" s="286"/>
      <c r="S166" s="286"/>
      <c r="T166" s="286"/>
      <c r="U166" s="286"/>
      <c r="V166" s="338">
        <f>V114</f>
        <v>-270</v>
      </c>
      <c r="W166" s="289"/>
      <c r="X166" s="5"/>
    </row>
    <row r="167" spans="1:256" ht="15.75" x14ac:dyDescent="0.25">
      <c r="A167" s="285"/>
      <c r="B167" s="286" t="s">
        <v>55</v>
      </c>
      <c r="C167" s="286"/>
      <c r="D167" s="286"/>
      <c r="E167" s="286"/>
      <c r="F167" s="286"/>
      <c r="G167" s="286"/>
      <c r="H167" s="286"/>
      <c r="I167" s="286"/>
      <c r="J167" s="286"/>
      <c r="K167" s="286"/>
      <c r="L167" s="286"/>
      <c r="M167" s="286"/>
      <c r="N167" s="286"/>
      <c r="O167" s="286"/>
      <c r="P167" s="286"/>
      <c r="Q167" s="286"/>
      <c r="R167" s="286"/>
      <c r="S167" s="286"/>
      <c r="T167" s="286"/>
      <c r="U167" s="286"/>
      <c r="V167" s="338">
        <f>V165+V166</f>
        <v>0</v>
      </c>
      <c r="W167" s="289"/>
      <c r="X167" s="5"/>
    </row>
    <row r="168" spans="1:256" ht="15.75" x14ac:dyDescent="0.25">
      <c r="A168" s="285"/>
      <c r="B168" s="286" t="s">
        <v>274</v>
      </c>
      <c r="C168" s="286"/>
      <c r="D168" s="286"/>
      <c r="E168" s="286"/>
      <c r="F168" s="286"/>
      <c r="G168" s="286"/>
      <c r="H168" s="286"/>
      <c r="I168" s="286"/>
      <c r="J168" s="286"/>
      <c r="K168" s="286"/>
      <c r="L168" s="286"/>
      <c r="M168" s="286"/>
      <c r="N168" s="286"/>
      <c r="O168" s="286"/>
      <c r="P168" s="286"/>
      <c r="Q168" s="286"/>
      <c r="R168" s="286"/>
      <c r="S168" s="286"/>
      <c r="T168" s="286"/>
      <c r="U168" s="286"/>
      <c r="V168" s="338">
        <f>-V100</f>
        <v>26</v>
      </c>
      <c r="W168" s="289"/>
      <c r="X168" s="5"/>
    </row>
    <row r="169" spans="1:256" ht="16.5" thickBot="1" x14ac:dyDescent="0.3">
      <c r="A169" s="181"/>
      <c r="B169" s="212"/>
      <c r="C169" s="212"/>
      <c r="D169" s="212"/>
      <c r="E169" s="212"/>
      <c r="F169" s="212"/>
      <c r="G169" s="212"/>
      <c r="H169" s="212"/>
      <c r="I169" s="212"/>
      <c r="J169" s="212"/>
      <c r="K169" s="212"/>
      <c r="L169" s="212"/>
      <c r="M169" s="212"/>
      <c r="N169" s="212"/>
      <c r="O169" s="212"/>
      <c r="P169" s="212"/>
      <c r="Q169" s="212"/>
      <c r="R169" s="212"/>
      <c r="S169" s="212"/>
      <c r="T169" s="212"/>
      <c r="U169" s="212"/>
      <c r="V169" s="344"/>
      <c r="W169" s="212"/>
      <c r="X169" s="5"/>
    </row>
    <row r="170" spans="1:256" ht="15.75" x14ac:dyDescent="0.25">
      <c r="A170" s="179"/>
      <c r="B170" s="180"/>
      <c r="C170" s="180"/>
      <c r="D170" s="180"/>
      <c r="E170" s="180"/>
      <c r="F170" s="180"/>
      <c r="G170" s="180"/>
      <c r="H170" s="180"/>
      <c r="I170" s="180"/>
      <c r="J170" s="180"/>
      <c r="K170" s="180"/>
      <c r="L170" s="180"/>
      <c r="M170" s="180"/>
      <c r="N170" s="180"/>
      <c r="O170" s="180"/>
      <c r="P170" s="180"/>
      <c r="Q170" s="180"/>
      <c r="R170" s="180"/>
      <c r="S170" s="180"/>
      <c r="T170" s="180"/>
      <c r="U170" s="180"/>
      <c r="V170" s="201"/>
      <c r="W170" s="180"/>
      <c r="X170" s="5"/>
    </row>
    <row r="171" spans="1:256" s="158" customFormat="1" ht="15.75" x14ac:dyDescent="0.25">
      <c r="A171" s="181"/>
      <c r="B171" s="210" t="s">
        <v>230</v>
      </c>
      <c r="C171" s="212"/>
      <c r="D171" s="212"/>
      <c r="E171" s="212"/>
      <c r="F171" s="212"/>
      <c r="G171" s="212"/>
      <c r="H171" s="212"/>
      <c r="I171" s="212"/>
      <c r="J171" s="212"/>
      <c r="K171" s="212"/>
      <c r="L171" s="212"/>
      <c r="M171" s="212"/>
      <c r="N171" s="212"/>
      <c r="O171" s="212"/>
      <c r="P171" s="212"/>
      <c r="Q171" s="212"/>
      <c r="R171" s="212"/>
      <c r="S171" s="212"/>
      <c r="T171" s="212"/>
      <c r="U171" s="212"/>
      <c r="V171" s="213"/>
      <c r="W171" s="212"/>
      <c r="X171" s="5"/>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s="160" customFormat="1" ht="15.75" x14ac:dyDescent="0.25">
      <c r="A172" s="285"/>
      <c r="B172" s="286" t="s">
        <v>231</v>
      </c>
      <c r="C172" s="286"/>
      <c r="D172" s="286"/>
      <c r="E172" s="286"/>
      <c r="F172" s="286"/>
      <c r="G172" s="286"/>
      <c r="H172" s="286"/>
      <c r="I172" s="286"/>
      <c r="J172" s="286"/>
      <c r="K172" s="286"/>
      <c r="L172" s="286"/>
      <c r="M172" s="286"/>
      <c r="N172" s="286"/>
      <c r="O172" s="286"/>
      <c r="P172" s="286"/>
      <c r="Q172" s="286"/>
      <c r="R172" s="286"/>
      <c r="S172" s="286"/>
      <c r="T172" s="286"/>
      <c r="U172" s="286"/>
      <c r="V172" s="338">
        <f>+'Aug 08'!V173</f>
        <v>0</v>
      </c>
      <c r="W172" s="289"/>
      <c r="X172" s="5"/>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s="160" customFormat="1" ht="15.75" x14ac:dyDescent="0.25">
      <c r="A173" s="285"/>
      <c r="B173" s="286" t="s">
        <v>234</v>
      </c>
      <c r="C173" s="286"/>
      <c r="D173" s="286"/>
      <c r="E173" s="286"/>
      <c r="F173" s="286"/>
      <c r="G173" s="286"/>
      <c r="H173" s="286"/>
      <c r="I173" s="286"/>
      <c r="J173" s="286"/>
      <c r="K173" s="286"/>
      <c r="L173" s="286"/>
      <c r="M173" s="286"/>
      <c r="N173" s="286"/>
      <c r="O173" s="286"/>
      <c r="P173" s="286"/>
      <c r="Q173" s="286"/>
      <c r="R173" s="286"/>
      <c r="S173" s="286"/>
      <c r="T173" s="286"/>
      <c r="U173" s="286"/>
      <c r="V173" s="338">
        <f>+V94</f>
        <v>0</v>
      </c>
      <c r="W173" s="289"/>
      <c r="X173" s="5"/>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s="160" customFormat="1" ht="15.75" x14ac:dyDescent="0.25">
      <c r="A174" s="285"/>
      <c r="B174" s="286" t="s">
        <v>232</v>
      </c>
      <c r="C174" s="286"/>
      <c r="D174" s="286"/>
      <c r="E174" s="286"/>
      <c r="F174" s="286"/>
      <c r="G174" s="286"/>
      <c r="H174" s="286"/>
      <c r="I174" s="286"/>
      <c r="J174" s="286"/>
      <c r="K174" s="286"/>
      <c r="L174" s="286"/>
      <c r="M174" s="286"/>
      <c r="N174" s="286"/>
      <c r="O174" s="286"/>
      <c r="P174" s="286"/>
      <c r="Q174" s="286"/>
      <c r="R174" s="286"/>
      <c r="S174" s="286"/>
      <c r="T174" s="286"/>
      <c r="U174" s="286"/>
      <c r="V174" s="338">
        <f>+V172-V173</f>
        <v>0</v>
      </c>
      <c r="W174" s="289"/>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6.5" thickBot="1" x14ac:dyDescent="0.3">
      <c r="A175" s="197"/>
      <c r="B175" s="212"/>
      <c r="C175" s="212"/>
      <c r="D175" s="212"/>
      <c r="E175" s="212"/>
      <c r="F175" s="212"/>
      <c r="G175" s="212"/>
      <c r="H175" s="212"/>
      <c r="I175" s="212"/>
      <c r="J175" s="212"/>
      <c r="K175" s="212"/>
      <c r="L175" s="212"/>
      <c r="M175" s="212"/>
      <c r="N175" s="212"/>
      <c r="O175" s="212"/>
      <c r="P175" s="212"/>
      <c r="Q175" s="212"/>
      <c r="R175" s="212"/>
      <c r="S175" s="212"/>
      <c r="T175" s="212"/>
      <c r="U175" s="212"/>
      <c r="V175" s="344"/>
      <c r="W175" s="212"/>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4" customFormat="1" ht="15.75" x14ac:dyDescent="0.25">
      <c r="A176" s="179"/>
      <c r="B176" s="180"/>
      <c r="C176" s="180"/>
      <c r="D176" s="180"/>
      <c r="E176" s="180"/>
      <c r="F176" s="180"/>
      <c r="G176" s="180"/>
      <c r="H176" s="180"/>
      <c r="I176" s="180"/>
      <c r="J176" s="180"/>
      <c r="K176" s="180"/>
      <c r="L176" s="180"/>
      <c r="M176" s="180"/>
      <c r="N176" s="180"/>
      <c r="O176" s="180"/>
      <c r="P176" s="180"/>
      <c r="Q176" s="180"/>
      <c r="R176" s="180"/>
      <c r="S176" s="180"/>
      <c r="T176" s="180"/>
      <c r="U176" s="180"/>
      <c r="V176" s="201"/>
      <c r="W176" s="180"/>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4" ht="15.75" x14ac:dyDescent="0.25">
      <c r="A177" s="181"/>
      <c r="B177" s="210" t="s">
        <v>56</v>
      </c>
      <c r="C177" s="183"/>
      <c r="D177" s="183"/>
      <c r="E177" s="183"/>
      <c r="F177" s="183"/>
      <c r="G177" s="183"/>
      <c r="H177" s="183"/>
      <c r="I177" s="183"/>
      <c r="J177" s="183"/>
      <c r="K177" s="183"/>
      <c r="L177" s="183"/>
      <c r="M177" s="183"/>
      <c r="N177" s="183"/>
      <c r="O177" s="183"/>
      <c r="P177" s="183"/>
      <c r="Q177" s="183"/>
      <c r="R177" s="183"/>
      <c r="S177" s="183"/>
      <c r="T177" s="183"/>
      <c r="U177" s="183"/>
      <c r="V177" s="202"/>
      <c r="W177" s="183"/>
      <c r="X177" s="5"/>
    </row>
    <row r="178" spans="1:24" ht="15.75" x14ac:dyDescent="0.25">
      <c r="A178" s="181"/>
      <c r="B178" s="191"/>
      <c r="C178" s="183"/>
      <c r="D178" s="183"/>
      <c r="E178" s="183"/>
      <c r="F178" s="183"/>
      <c r="G178" s="183"/>
      <c r="H178" s="183"/>
      <c r="I178" s="183"/>
      <c r="J178" s="183"/>
      <c r="K178" s="183"/>
      <c r="L178" s="183"/>
      <c r="M178" s="183"/>
      <c r="N178" s="183"/>
      <c r="O178" s="183"/>
      <c r="P178" s="183"/>
      <c r="Q178" s="183"/>
      <c r="R178" s="183"/>
      <c r="S178" s="183"/>
      <c r="T178" s="183"/>
      <c r="U178" s="183"/>
      <c r="V178" s="202"/>
      <c r="W178" s="183"/>
      <c r="X178" s="5"/>
    </row>
    <row r="179" spans="1:24" ht="15.75" x14ac:dyDescent="0.25">
      <c r="A179" s="285"/>
      <c r="B179" s="286" t="s">
        <v>57</v>
      </c>
      <c r="C179" s="286"/>
      <c r="D179" s="286"/>
      <c r="E179" s="286"/>
      <c r="F179" s="286"/>
      <c r="G179" s="286"/>
      <c r="H179" s="286"/>
      <c r="I179" s="286"/>
      <c r="J179" s="286"/>
      <c r="K179" s="286"/>
      <c r="L179" s="286"/>
      <c r="M179" s="286"/>
      <c r="N179" s="286"/>
      <c r="O179" s="286"/>
      <c r="P179" s="286"/>
      <c r="Q179" s="286"/>
      <c r="R179" s="286"/>
      <c r="S179" s="286"/>
      <c r="T179" s="286"/>
      <c r="U179" s="286"/>
      <c r="V179" s="338">
        <f>V71</f>
        <v>645126</v>
      </c>
      <c r="W179" s="289"/>
      <c r="X179" s="5"/>
    </row>
    <row r="180" spans="1:24" ht="15.75" x14ac:dyDescent="0.25">
      <c r="A180" s="285"/>
      <c r="B180" s="286" t="s">
        <v>58</v>
      </c>
      <c r="C180" s="286"/>
      <c r="D180" s="286"/>
      <c r="E180" s="286"/>
      <c r="F180" s="286"/>
      <c r="G180" s="286"/>
      <c r="H180" s="286"/>
      <c r="I180" s="286"/>
      <c r="J180" s="286"/>
      <c r="K180" s="286"/>
      <c r="L180" s="286"/>
      <c r="M180" s="286"/>
      <c r="N180" s="286"/>
      <c r="O180" s="286"/>
      <c r="P180" s="286"/>
      <c r="Q180" s="286"/>
      <c r="R180" s="286"/>
      <c r="S180" s="286"/>
      <c r="T180" s="286"/>
      <c r="U180" s="286"/>
      <c r="V180" s="338">
        <f>V84</f>
        <v>645126</v>
      </c>
      <c r="W180" s="289"/>
      <c r="X180" s="5"/>
    </row>
    <row r="181" spans="1:24" ht="16.5" thickBot="1" x14ac:dyDescent="0.3">
      <c r="A181" s="181"/>
      <c r="B181" s="212"/>
      <c r="C181" s="212"/>
      <c r="D181" s="212"/>
      <c r="E181" s="212"/>
      <c r="F181" s="212"/>
      <c r="G181" s="212"/>
      <c r="H181" s="212"/>
      <c r="I181" s="212"/>
      <c r="J181" s="212"/>
      <c r="K181" s="212"/>
      <c r="L181" s="212"/>
      <c r="M181" s="212"/>
      <c r="N181" s="212"/>
      <c r="O181" s="212"/>
      <c r="P181" s="212"/>
      <c r="Q181" s="212"/>
      <c r="R181" s="212"/>
      <c r="S181" s="212"/>
      <c r="T181" s="212"/>
      <c r="U181" s="212"/>
      <c r="V181" s="344"/>
      <c r="W181" s="212"/>
      <c r="X181" s="5"/>
    </row>
    <row r="182" spans="1:24" ht="15.75" x14ac:dyDescent="0.25">
      <c r="A182" s="179"/>
      <c r="B182" s="180"/>
      <c r="C182" s="180"/>
      <c r="D182" s="180"/>
      <c r="E182" s="180"/>
      <c r="F182" s="180"/>
      <c r="G182" s="180"/>
      <c r="H182" s="180"/>
      <c r="I182" s="180"/>
      <c r="J182" s="180"/>
      <c r="K182" s="180"/>
      <c r="L182" s="180"/>
      <c r="M182" s="180"/>
      <c r="N182" s="180"/>
      <c r="O182" s="180"/>
      <c r="P182" s="180"/>
      <c r="Q182" s="180"/>
      <c r="R182" s="180"/>
      <c r="S182" s="180"/>
      <c r="T182" s="180"/>
      <c r="U182" s="180"/>
      <c r="V182" s="201"/>
      <c r="W182" s="180"/>
      <c r="X182" s="5"/>
    </row>
    <row r="183" spans="1:24" ht="15.75" x14ac:dyDescent="0.25">
      <c r="A183" s="181"/>
      <c r="B183" s="210" t="s">
        <v>59</v>
      </c>
      <c r="C183" s="206"/>
      <c r="D183" s="206"/>
      <c r="E183" s="206"/>
      <c r="F183" s="206"/>
      <c r="G183" s="206"/>
      <c r="H183" s="214"/>
      <c r="I183" s="214"/>
      <c r="J183" s="214"/>
      <c r="K183" s="214"/>
      <c r="L183" s="214"/>
      <c r="M183" s="214"/>
      <c r="N183" s="214"/>
      <c r="O183" s="214"/>
      <c r="P183" s="214"/>
      <c r="Q183" s="214"/>
      <c r="R183" s="214"/>
      <c r="S183" s="214" t="s">
        <v>101</v>
      </c>
      <c r="T183" s="214" t="s">
        <v>176</v>
      </c>
      <c r="U183" s="185"/>
      <c r="V183" s="215" t="s">
        <v>114</v>
      </c>
      <c r="W183" s="216"/>
      <c r="X183" s="5"/>
    </row>
    <row r="184" spans="1:24" ht="15.75" x14ac:dyDescent="0.25">
      <c r="A184" s="285"/>
      <c r="B184" s="286" t="s">
        <v>60</v>
      </c>
      <c r="C184" s="286"/>
      <c r="D184" s="286"/>
      <c r="E184" s="286"/>
      <c r="F184" s="286"/>
      <c r="G184" s="286"/>
      <c r="H184" s="286"/>
      <c r="I184" s="286"/>
      <c r="J184" s="286"/>
      <c r="K184" s="286"/>
      <c r="L184" s="286"/>
      <c r="M184" s="286"/>
      <c r="N184" s="286"/>
      <c r="O184" s="286"/>
      <c r="P184" s="286"/>
      <c r="Q184" s="286"/>
      <c r="R184" s="286"/>
      <c r="S184" s="338">
        <f>+V34*0.16</f>
        <v>160181.28</v>
      </c>
      <c r="T184" s="325"/>
      <c r="U184" s="286"/>
      <c r="V184" s="338"/>
      <c r="W184" s="289"/>
      <c r="X184" s="5"/>
    </row>
    <row r="185" spans="1:24" ht="15.75" x14ac:dyDescent="0.25">
      <c r="A185" s="285"/>
      <c r="B185" s="286" t="s">
        <v>61</v>
      </c>
      <c r="C185" s="286"/>
      <c r="D185" s="286"/>
      <c r="E185" s="286"/>
      <c r="F185" s="286"/>
      <c r="G185" s="286"/>
      <c r="H185" s="286"/>
      <c r="I185" s="286"/>
      <c r="J185" s="286"/>
      <c r="K185" s="286"/>
      <c r="L185" s="286"/>
      <c r="M185" s="286"/>
      <c r="N185" s="286"/>
      <c r="O185" s="286"/>
      <c r="P185" s="286"/>
      <c r="Q185" s="286"/>
      <c r="R185" s="286"/>
      <c r="S185" s="338">
        <f>+'May 17'!S187</f>
        <v>13256</v>
      </c>
      <c r="T185" s="338">
        <f>+'May 17'!T187</f>
        <v>6095</v>
      </c>
      <c r="U185" s="286"/>
      <c r="V185" s="338">
        <f>S185+T185</f>
        <v>19351</v>
      </c>
      <c r="W185" s="289"/>
      <c r="X185" s="5"/>
    </row>
    <row r="186" spans="1:24" ht="15.75" x14ac:dyDescent="0.25">
      <c r="A186" s="285"/>
      <c r="B186" s="286" t="s">
        <v>62</v>
      </c>
      <c r="C186" s="286"/>
      <c r="D186" s="286"/>
      <c r="E186" s="286"/>
      <c r="F186" s="286"/>
      <c r="G186" s="286"/>
      <c r="H186" s="286"/>
      <c r="I186" s="286"/>
      <c r="J186" s="286"/>
      <c r="K186" s="286"/>
      <c r="L186" s="286"/>
      <c r="M186" s="286"/>
      <c r="N186" s="286"/>
      <c r="O186" s="286"/>
      <c r="P186" s="286"/>
      <c r="Q186" s="286"/>
      <c r="R186" s="286"/>
      <c r="S186" s="337">
        <v>56</v>
      </c>
      <c r="T186" s="337">
        <v>0</v>
      </c>
      <c r="U186" s="286"/>
      <c r="V186" s="338">
        <f>S186+T186</f>
        <v>56</v>
      </c>
      <c r="W186" s="289"/>
      <c r="X186" s="5"/>
    </row>
    <row r="187" spans="1:24" ht="15.75" x14ac:dyDescent="0.25">
      <c r="A187" s="285"/>
      <c r="B187" s="286" t="s">
        <v>63</v>
      </c>
      <c r="C187" s="286"/>
      <c r="D187" s="286"/>
      <c r="E187" s="286"/>
      <c r="F187" s="286"/>
      <c r="G187" s="286"/>
      <c r="H187" s="286"/>
      <c r="I187" s="286"/>
      <c r="J187" s="286"/>
      <c r="K187" s="286"/>
      <c r="L187" s="286"/>
      <c r="M187" s="286"/>
      <c r="N187" s="286"/>
      <c r="O187" s="286"/>
      <c r="P187" s="286"/>
      <c r="Q187" s="286"/>
      <c r="R187" s="286"/>
      <c r="S187" s="338">
        <f>S185+S186</f>
        <v>13312</v>
      </c>
      <c r="T187" s="338">
        <f>T186+T185</f>
        <v>6095</v>
      </c>
      <c r="U187" s="286"/>
      <c r="V187" s="338">
        <f>S187+T187</f>
        <v>19407</v>
      </c>
      <c r="W187" s="289"/>
      <c r="X187" s="5"/>
    </row>
    <row r="188" spans="1:24" ht="15.75" x14ac:dyDescent="0.25">
      <c r="A188" s="285"/>
      <c r="B188" s="286" t="s">
        <v>64</v>
      </c>
      <c r="C188" s="286"/>
      <c r="D188" s="286"/>
      <c r="E188" s="286"/>
      <c r="F188" s="286"/>
      <c r="G188" s="286"/>
      <c r="H188" s="286"/>
      <c r="I188" s="286"/>
      <c r="J188" s="286"/>
      <c r="K188" s="286"/>
      <c r="L188" s="286"/>
      <c r="M188" s="286"/>
      <c r="N188" s="286"/>
      <c r="O188" s="286"/>
      <c r="P188" s="286"/>
      <c r="Q188" s="286"/>
      <c r="R188" s="286"/>
      <c r="S188" s="338">
        <f>S184-S187-T187</f>
        <v>140774.28</v>
      </c>
      <c r="T188" s="325"/>
      <c r="U188" s="286"/>
      <c r="V188" s="338"/>
      <c r="W188" s="289"/>
      <c r="X188" s="5"/>
    </row>
    <row r="189" spans="1:24" ht="16.5" thickBot="1" x14ac:dyDescent="0.3">
      <c r="A189" s="181"/>
      <c r="B189" s="212"/>
      <c r="C189" s="212"/>
      <c r="D189" s="212"/>
      <c r="E189" s="212"/>
      <c r="F189" s="212"/>
      <c r="G189" s="212"/>
      <c r="H189" s="212"/>
      <c r="I189" s="212"/>
      <c r="J189" s="212"/>
      <c r="K189" s="212"/>
      <c r="L189" s="212"/>
      <c r="M189" s="212"/>
      <c r="N189" s="212"/>
      <c r="O189" s="212"/>
      <c r="P189" s="212"/>
      <c r="Q189" s="212"/>
      <c r="R189" s="212"/>
      <c r="S189" s="212"/>
      <c r="T189" s="212"/>
      <c r="U189" s="212"/>
      <c r="V189" s="344"/>
      <c r="W189" s="212"/>
      <c r="X189" s="5"/>
    </row>
    <row r="190" spans="1:24" ht="15.75" x14ac:dyDescent="0.25">
      <c r="A190" s="179"/>
      <c r="B190" s="180"/>
      <c r="C190" s="180"/>
      <c r="D190" s="180"/>
      <c r="E190" s="180"/>
      <c r="F190" s="180"/>
      <c r="G190" s="180"/>
      <c r="H190" s="180"/>
      <c r="I190" s="180"/>
      <c r="J190" s="180"/>
      <c r="K190" s="180"/>
      <c r="L190" s="180"/>
      <c r="M190" s="180"/>
      <c r="N190" s="180"/>
      <c r="O190" s="180"/>
      <c r="P190" s="180"/>
      <c r="Q190" s="180"/>
      <c r="R190" s="180"/>
      <c r="S190" s="180"/>
      <c r="T190" s="180"/>
      <c r="U190" s="180"/>
      <c r="V190" s="201"/>
      <c r="W190" s="180"/>
      <c r="X190" s="5"/>
    </row>
    <row r="191" spans="1:24" ht="15.75" x14ac:dyDescent="0.25">
      <c r="A191" s="181"/>
      <c r="B191" s="210" t="s">
        <v>65</v>
      </c>
      <c r="C191" s="183"/>
      <c r="D191" s="183"/>
      <c r="E191" s="183"/>
      <c r="F191" s="183"/>
      <c r="G191" s="183"/>
      <c r="H191" s="183"/>
      <c r="I191" s="183"/>
      <c r="J191" s="183"/>
      <c r="K191" s="183"/>
      <c r="L191" s="183"/>
      <c r="M191" s="183"/>
      <c r="N191" s="183"/>
      <c r="O191" s="183"/>
      <c r="P191" s="183"/>
      <c r="Q191" s="183"/>
      <c r="R191" s="183"/>
      <c r="S191" s="183"/>
      <c r="T191" s="183"/>
      <c r="U191" s="183"/>
      <c r="V191" s="217"/>
      <c r="W191" s="183"/>
      <c r="X191" s="5"/>
    </row>
    <row r="192" spans="1:24" ht="15.75" x14ac:dyDescent="0.25">
      <c r="A192" s="285"/>
      <c r="B192" s="286" t="s">
        <v>66</v>
      </c>
      <c r="C192" s="286"/>
      <c r="D192" s="286"/>
      <c r="E192" s="286"/>
      <c r="F192" s="286"/>
      <c r="G192" s="286"/>
      <c r="H192" s="286"/>
      <c r="I192" s="286"/>
      <c r="J192" s="286"/>
      <c r="K192" s="286"/>
      <c r="L192" s="286"/>
      <c r="M192" s="286"/>
      <c r="N192" s="286"/>
      <c r="O192" s="286"/>
      <c r="P192" s="286"/>
      <c r="Q192" s="286"/>
      <c r="R192" s="286"/>
      <c r="S192" s="286"/>
      <c r="T192" s="286"/>
      <c r="U192" s="286"/>
      <c r="V192" s="343">
        <f>(V101+V103+V104+V105+V106)/-(V107+V108)</f>
        <v>5.2930513595166166</v>
      </c>
      <c r="W192" s="289" t="s">
        <v>115</v>
      </c>
      <c r="X192" s="5"/>
    </row>
    <row r="193" spans="1:24" ht="15.75" x14ac:dyDescent="0.25">
      <c r="A193" s="285"/>
      <c r="B193" s="286" t="s">
        <v>67</v>
      </c>
      <c r="C193" s="286"/>
      <c r="D193" s="286"/>
      <c r="E193" s="286"/>
      <c r="F193" s="286"/>
      <c r="G193" s="286"/>
      <c r="H193" s="286"/>
      <c r="I193" s="286"/>
      <c r="J193" s="286"/>
      <c r="K193" s="286"/>
      <c r="L193" s="286"/>
      <c r="M193" s="286"/>
      <c r="N193" s="286"/>
      <c r="O193" s="286"/>
      <c r="P193" s="286"/>
      <c r="Q193" s="286"/>
      <c r="R193" s="286"/>
      <c r="S193" s="286"/>
      <c r="T193" s="286"/>
      <c r="U193" s="286"/>
      <c r="V193" s="347">
        <v>2.15</v>
      </c>
      <c r="W193" s="289" t="s">
        <v>115</v>
      </c>
      <c r="X193" s="5"/>
    </row>
    <row r="194" spans="1:24" ht="15.75" x14ac:dyDescent="0.25">
      <c r="A194" s="285"/>
      <c r="B194" s="286" t="s">
        <v>68</v>
      </c>
      <c r="C194" s="286"/>
      <c r="D194" s="286"/>
      <c r="E194" s="286"/>
      <c r="F194" s="286"/>
      <c r="G194" s="286"/>
      <c r="H194" s="286"/>
      <c r="I194" s="286"/>
      <c r="J194" s="286"/>
      <c r="K194" s="286"/>
      <c r="L194" s="286"/>
      <c r="M194" s="286"/>
      <c r="N194" s="286"/>
      <c r="O194" s="286"/>
      <c r="P194" s="286"/>
      <c r="Q194" s="286"/>
      <c r="R194" s="286"/>
      <c r="S194" s="286"/>
      <c r="T194" s="286"/>
      <c r="U194" s="286"/>
      <c r="V194" s="343">
        <f>(V101+V103+V104+V105+V106+V107+V108)/-(V109+V110)</f>
        <v>16.916666666666668</v>
      </c>
      <c r="W194" s="289" t="s">
        <v>115</v>
      </c>
      <c r="X194" s="5"/>
    </row>
    <row r="195" spans="1:24" ht="15.75" x14ac:dyDescent="0.25">
      <c r="A195" s="285"/>
      <c r="B195" s="286" t="s">
        <v>69</v>
      </c>
      <c r="C195" s="286"/>
      <c r="D195" s="286"/>
      <c r="E195" s="286"/>
      <c r="F195" s="286"/>
      <c r="G195" s="286"/>
      <c r="H195" s="286"/>
      <c r="I195" s="286"/>
      <c r="J195" s="286"/>
      <c r="K195" s="286"/>
      <c r="L195" s="286"/>
      <c r="M195" s="286"/>
      <c r="N195" s="286"/>
      <c r="O195" s="286"/>
      <c r="P195" s="286"/>
      <c r="Q195" s="286"/>
      <c r="R195" s="286"/>
      <c r="S195" s="286"/>
      <c r="T195" s="286"/>
      <c r="U195" s="286"/>
      <c r="V195" s="347">
        <v>9.8000000000000007</v>
      </c>
      <c r="W195" s="289" t="s">
        <v>115</v>
      </c>
      <c r="X195" s="5"/>
    </row>
    <row r="196" spans="1:24" ht="15.75" x14ac:dyDescent="0.25">
      <c r="A196" s="285"/>
      <c r="B196" s="286" t="s">
        <v>198</v>
      </c>
      <c r="C196" s="286"/>
      <c r="D196" s="286"/>
      <c r="E196" s="286"/>
      <c r="F196" s="286"/>
      <c r="G196" s="286"/>
      <c r="H196" s="286"/>
      <c r="I196" s="286"/>
      <c r="J196" s="286"/>
      <c r="K196" s="286"/>
      <c r="L196" s="286"/>
      <c r="M196" s="286"/>
      <c r="N196" s="286"/>
      <c r="O196" s="286"/>
      <c r="P196" s="286"/>
      <c r="Q196" s="286"/>
      <c r="R196" s="286"/>
      <c r="S196" s="286"/>
      <c r="T196" s="286"/>
      <c r="U196" s="286"/>
      <c r="V196" s="343">
        <f>(V101+V103+V104+V105+V106+V107+V108+V109+V110)/-(V111)</f>
        <v>9.3170731707317067</v>
      </c>
      <c r="W196" s="289" t="s">
        <v>115</v>
      </c>
      <c r="X196" s="5"/>
    </row>
    <row r="197" spans="1:24" ht="15.75" x14ac:dyDescent="0.25">
      <c r="A197" s="285"/>
      <c r="B197" s="286" t="s">
        <v>199</v>
      </c>
      <c r="C197" s="286"/>
      <c r="D197" s="286"/>
      <c r="E197" s="286"/>
      <c r="F197" s="286"/>
      <c r="G197" s="286"/>
      <c r="H197" s="286"/>
      <c r="I197" s="286"/>
      <c r="J197" s="286"/>
      <c r="K197" s="286"/>
      <c r="L197" s="286"/>
      <c r="M197" s="286"/>
      <c r="N197" s="286"/>
      <c r="O197" s="286"/>
      <c r="P197" s="286"/>
      <c r="Q197" s="286"/>
      <c r="R197" s="286"/>
      <c r="S197" s="286"/>
      <c r="T197" s="286"/>
      <c r="U197" s="286"/>
      <c r="V197" s="347">
        <v>7.06</v>
      </c>
      <c r="W197" s="289" t="s">
        <v>115</v>
      </c>
      <c r="X197" s="5"/>
    </row>
    <row r="198" spans="1:24" ht="15.75" x14ac:dyDescent="0.25">
      <c r="A198" s="285"/>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9"/>
      <c r="X198" s="5"/>
    </row>
    <row r="199" spans="1:24" ht="15.75" x14ac:dyDescent="0.25">
      <c r="A199" s="181"/>
      <c r="B199" s="346"/>
      <c r="C199" s="346"/>
      <c r="D199" s="346"/>
      <c r="E199" s="346"/>
      <c r="F199" s="346"/>
      <c r="G199" s="346"/>
      <c r="H199" s="346"/>
      <c r="I199" s="346"/>
      <c r="J199" s="346"/>
      <c r="K199" s="346"/>
      <c r="L199" s="346"/>
      <c r="M199" s="346"/>
      <c r="N199" s="346"/>
      <c r="O199" s="346"/>
      <c r="P199" s="346"/>
      <c r="Q199" s="346"/>
      <c r="R199" s="346"/>
      <c r="S199" s="346"/>
      <c r="T199" s="346"/>
      <c r="U199" s="346"/>
      <c r="V199" s="346"/>
      <c r="W199" s="346"/>
      <c r="X199" s="5"/>
    </row>
    <row r="200" spans="1:24" ht="15.75" x14ac:dyDescent="0.25">
      <c r="A200" s="181"/>
      <c r="B200" s="255"/>
      <c r="C200" s="255"/>
      <c r="D200" s="255"/>
      <c r="E200" s="255"/>
      <c r="F200" s="255"/>
      <c r="G200" s="255"/>
      <c r="H200" s="255"/>
      <c r="I200" s="255"/>
      <c r="J200" s="255"/>
      <c r="K200" s="255"/>
      <c r="L200" s="255"/>
      <c r="M200" s="255"/>
      <c r="N200" s="255"/>
      <c r="O200" s="255"/>
      <c r="P200" s="255"/>
      <c r="Q200" s="255"/>
      <c r="R200" s="255"/>
      <c r="S200" s="255"/>
      <c r="T200" s="255"/>
      <c r="U200" s="255"/>
      <c r="V200" s="255"/>
      <c r="W200" s="255"/>
      <c r="X200" s="5"/>
    </row>
    <row r="201" spans="1:24" ht="19.5" thickBot="1" x14ac:dyDescent="0.35">
      <c r="A201" s="197"/>
      <c r="B201" s="270" t="str">
        <f>B135</f>
        <v>PM15 INVESTOR REPORT QUARTER ENDING AUGUST 2017</v>
      </c>
      <c r="C201" s="271"/>
      <c r="D201" s="271"/>
      <c r="E201" s="271"/>
      <c r="F201" s="271"/>
      <c r="G201" s="271"/>
      <c r="H201" s="271"/>
      <c r="I201" s="271"/>
      <c r="J201" s="271"/>
      <c r="K201" s="271"/>
      <c r="L201" s="271"/>
      <c r="M201" s="271"/>
      <c r="N201" s="271"/>
      <c r="O201" s="271"/>
      <c r="P201" s="271"/>
      <c r="Q201" s="271"/>
      <c r="R201" s="271"/>
      <c r="S201" s="271"/>
      <c r="T201" s="271"/>
      <c r="U201" s="271"/>
      <c r="V201" s="271"/>
      <c r="W201" s="272"/>
      <c r="X201" s="5"/>
    </row>
    <row r="202" spans="1:24" ht="15.75" x14ac:dyDescent="0.25">
      <c r="A202" s="236"/>
      <c r="B202" s="403" t="s">
        <v>70</v>
      </c>
      <c r="C202" s="404"/>
      <c r="D202" s="404"/>
      <c r="E202" s="404"/>
      <c r="F202" s="404"/>
      <c r="G202" s="405"/>
      <c r="H202" s="405"/>
      <c r="I202" s="405"/>
      <c r="J202" s="405"/>
      <c r="K202" s="405"/>
      <c r="L202" s="405"/>
      <c r="M202" s="405"/>
      <c r="N202" s="405"/>
      <c r="O202" s="405"/>
      <c r="P202" s="405"/>
      <c r="Q202" s="405"/>
      <c r="R202" s="405"/>
      <c r="S202" s="405"/>
      <c r="T202" s="405">
        <v>42978</v>
      </c>
      <c r="U202" s="238"/>
      <c r="V202" s="238"/>
      <c r="W202" s="238"/>
      <c r="X202" s="5"/>
    </row>
    <row r="203" spans="1:24" ht="15.75" x14ac:dyDescent="0.25">
      <c r="A203" s="218"/>
      <c r="B203" s="219"/>
      <c r="C203" s="220"/>
      <c r="D203" s="220"/>
      <c r="E203" s="220"/>
      <c r="F203" s="220"/>
      <c r="G203" s="221"/>
      <c r="H203" s="221"/>
      <c r="I203" s="221"/>
      <c r="J203" s="221"/>
      <c r="K203" s="221"/>
      <c r="L203" s="221"/>
      <c r="M203" s="221"/>
      <c r="N203" s="221"/>
      <c r="O203" s="221"/>
      <c r="P203" s="221"/>
      <c r="Q203" s="221"/>
      <c r="R203" s="221"/>
      <c r="S203" s="221"/>
      <c r="T203" s="221"/>
      <c r="U203" s="183"/>
      <c r="V203" s="183"/>
      <c r="W203" s="183"/>
      <c r="X203" s="5"/>
    </row>
    <row r="204" spans="1:24" ht="15.75" x14ac:dyDescent="0.25">
      <c r="A204" s="350"/>
      <c r="B204" s="286" t="s">
        <v>71</v>
      </c>
      <c r="C204" s="406"/>
      <c r="D204" s="406"/>
      <c r="E204" s="406"/>
      <c r="F204" s="406"/>
      <c r="G204" s="397"/>
      <c r="H204" s="397"/>
      <c r="I204" s="397"/>
      <c r="J204" s="397"/>
      <c r="K204" s="397"/>
      <c r="L204" s="397"/>
      <c r="M204" s="397"/>
      <c r="N204" s="397"/>
      <c r="O204" s="397"/>
      <c r="P204" s="397"/>
      <c r="Q204" s="397"/>
      <c r="R204" s="397"/>
      <c r="S204" s="397"/>
      <c r="T204" s="321">
        <v>5.3830000000000003E-2</v>
      </c>
      <c r="U204" s="286"/>
      <c r="V204" s="286"/>
      <c r="W204" s="289"/>
      <c r="X204" s="5"/>
    </row>
    <row r="205" spans="1:24" ht="15.75" x14ac:dyDescent="0.25">
      <c r="A205" s="350"/>
      <c r="B205" s="286" t="s">
        <v>151</v>
      </c>
      <c r="C205" s="406"/>
      <c r="D205" s="406"/>
      <c r="E205" s="406"/>
      <c r="F205" s="406"/>
      <c r="G205" s="397"/>
      <c r="H205" s="397"/>
      <c r="I205" s="397"/>
      <c r="J205" s="397"/>
      <c r="K205" s="397"/>
      <c r="L205" s="397"/>
      <c r="M205" s="397"/>
      <c r="N205" s="397"/>
      <c r="O205" s="397"/>
      <c r="P205" s="397"/>
      <c r="Q205" s="397"/>
      <c r="R205" s="397"/>
      <c r="S205" s="397"/>
      <c r="T205" s="321">
        <v>6.25E-2</v>
      </c>
      <c r="U205" s="286"/>
      <c r="V205" s="286"/>
      <c r="W205" s="289"/>
      <c r="X205" s="5"/>
    </row>
    <row r="206" spans="1:24" ht="15.75" x14ac:dyDescent="0.25">
      <c r="A206" s="350"/>
      <c r="B206" s="286" t="s">
        <v>72</v>
      </c>
      <c r="C206" s="406"/>
      <c r="D206" s="406"/>
      <c r="E206" s="406"/>
      <c r="F206" s="406"/>
      <c r="G206" s="397"/>
      <c r="H206" s="397"/>
      <c r="I206" s="397"/>
      <c r="J206" s="397"/>
      <c r="K206" s="397"/>
      <c r="L206" s="397"/>
      <c r="M206" s="397"/>
      <c r="N206" s="397"/>
      <c r="O206" s="397"/>
      <c r="P206" s="397"/>
      <c r="Q206" s="397"/>
      <c r="R206" s="397"/>
      <c r="S206" s="397"/>
      <c r="T206" s="321">
        <f>T204-T205</f>
        <v>-8.6699999999999972E-3</v>
      </c>
      <c r="U206" s="286"/>
      <c r="V206" s="286"/>
      <c r="W206" s="289"/>
      <c r="X206" s="5"/>
    </row>
    <row r="207" spans="1:24" ht="15.75" x14ac:dyDescent="0.25">
      <c r="A207" s="350"/>
      <c r="B207" s="286" t="s">
        <v>73</v>
      </c>
      <c r="C207" s="406"/>
      <c r="D207" s="406"/>
      <c r="E207" s="406"/>
      <c r="F207" s="406"/>
      <c r="G207" s="397"/>
      <c r="H207" s="397"/>
      <c r="I207" s="397"/>
      <c r="J207" s="397"/>
      <c r="K207" s="397"/>
      <c r="L207" s="397"/>
      <c r="M207" s="397"/>
      <c r="N207" s="397"/>
      <c r="O207" s="397"/>
      <c r="P207" s="397"/>
      <c r="Q207" s="397"/>
      <c r="R207" s="397"/>
      <c r="S207" s="397"/>
      <c r="T207" s="321">
        <v>2.317E-2</v>
      </c>
      <c r="U207" s="286"/>
      <c r="V207" s="286"/>
      <c r="W207" s="289"/>
      <c r="X207" s="5"/>
    </row>
    <row r="208" spans="1:24" ht="15.75" x14ac:dyDescent="0.25">
      <c r="A208" s="350"/>
      <c r="B208" s="286" t="s">
        <v>218</v>
      </c>
      <c r="C208" s="406"/>
      <c r="D208" s="406"/>
      <c r="E208" s="406"/>
      <c r="F208" s="406"/>
      <c r="G208" s="397"/>
      <c r="H208" s="397"/>
      <c r="I208" s="397"/>
      <c r="J208" s="397"/>
      <c r="K208" s="397"/>
      <c r="L208" s="397"/>
      <c r="M208" s="397"/>
      <c r="N208" s="397"/>
      <c r="O208" s="397"/>
      <c r="P208" s="397"/>
      <c r="Q208" s="397"/>
      <c r="R208" s="397"/>
      <c r="S208" s="397"/>
      <c r="T208" s="321">
        <f>V43</f>
        <v>6.7270322976158573E-3</v>
      </c>
      <c r="U208" s="286"/>
      <c r="V208" s="286"/>
      <c r="W208" s="289"/>
      <c r="X208" s="5"/>
    </row>
    <row r="209" spans="1:24" ht="15.75" x14ac:dyDescent="0.25">
      <c r="A209" s="350"/>
      <c r="B209" s="286" t="s">
        <v>74</v>
      </c>
      <c r="C209" s="406"/>
      <c r="D209" s="406"/>
      <c r="E209" s="406"/>
      <c r="F209" s="406"/>
      <c r="G209" s="397"/>
      <c r="H209" s="397"/>
      <c r="I209" s="397"/>
      <c r="J209" s="397"/>
      <c r="K209" s="397"/>
      <c r="L209" s="397"/>
      <c r="M209" s="397"/>
      <c r="N209" s="397"/>
      <c r="O209" s="397"/>
      <c r="P209" s="397"/>
      <c r="Q209" s="397"/>
      <c r="R209" s="397"/>
      <c r="S209" s="397"/>
      <c r="T209" s="321">
        <f>T207-T208</f>
        <v>1.6442967702384143E-2</v>
      </c>
      <c r="U209" s="286"/>
      <c r="V209" s="286"/>
      <c r="W209" s="289"/>
      <c r="X209" s="5"/>
    </row>
    <row r="210" spans="1:24" ht="15.75" x14ac:dyDescent="0.25">
      <c r="A210" s="350"/>
      <c r="B210" s="286" t="s">
        <v>227</v>
      </c>
      <c r="C210" s="406"/>
      <c r="D210" s="406"/>
      <c r="E210" s="406"/>
      <c r="F210" s="406"/>
      <c r="G210" s="397"/>
      <c r="H210" s="397"/>
      <c r="I210" s="397"/>
      <c r="J210" s="397"/>
      <c r="K210" s="397"/>
      <c r="L210" s="397"/>
      <c r="M210" s="397"/>
      <c r="N210" s="397"/>
      <c r="O210" s="397"/>
      <c r="P210" s="397"/>
      <c r="Q210" s="397"/>
      <c r="R210" s="397"/>
      <c r="S210" s="397"/>
      <c r="T210" s="321">
        <f>V101/N71</f>
        <v>5.9098927323348403E-3</v>
      </c>
      <c r="U210" s="286"/>
      <c r="V210" s="286"/>
      <c r="W210" s="289"/>
      <c r="X210" s="5"/>
    </row>
    <row r="211" spans="1:24" ht="15.75" x14ac:dyDescent="0.25">
      <c r="A211" s="350"/>
      <c r="B211" s="286" t="s">
        <v>207</v>
      </c>
      <c r="C211" s="406"/>
      <c r="D211" s="406"/>
      <c r="E211" s="406"/>
      <c r="F211" s="406"/>
      <c r="G211" s="397"/>
      <c r="H211" s="397"/>
      <c r="I211" s="397"/>
      <c r="J211" s="397"/>
      <c r="K211" s="397"/>
      <c r="L211" s="397"/>
      <c r="M211" s="397"/>
      <c r="N211" s="397"/>
      <c r="O211" s="397"/>
      <c r="P211" s="397"/>
      <c r="Q211" s="397"/>
      <c r="R211" s="397"/>
      <c r="S211" s="397"/>
      <c r="T211" s="352">
        <v>51105</v>
      </c>
      <c r="U211" s="286"/>
      <c r="V211" s="286"/>
      <c r="W211" s="289"/>
      <c r="X211" s="5"/>
    </row>
    <row r="212" spans="1:24" ht="15.75" x14ac:dyDescent="0.25">
      <c r="A212" s="350"/>
      <c r="B212" s="286" t="s">
        <v>208</v>
      </c>
      <c r="C212" s="406"/>
      <c r="D212" s="406"/>
      <c r="E212" s="406"/>
      <c r="F212" s="406"/>
      <c r="G212" s="397"/>
      <c r="H212" s="397"/>
      <c r="I212" s="397"/>
      <c r="J212" s="397"/>
      <c r="K212" s="397"/>
      <c r="L212" s="397"/>
      <c r="M212" s="397"/>
      <c r="N212" s="397"/>
      <c r="O212" s="397"/>
      <c r="P212" s="397"/>
      <c r="Q212" s="397"/>
      <c r="R212" s="397"/>
      <c r="S212" s="397"/>
      <c r="T212" s="352">
        <v>51105</v>
      </c>
      <c r="U212" s="286"/>
      <c r="V212" s="286"/>
      <c r="W212" s="289"/>
      <c r="X212" s="5"/>
    </row>
    <row r="213" spans="1:24" ht="15.75" x14ac:dyDescent="0.25">
      <c r="A213" s="350"/>
      <c r="B213" s="286" t="s">
        <v>209</v>
      </c>
      <c r="C213" s="406"/>
      <c r="D213" s="406"/>
      <c r="E213" s="406"/>
      <c r="F213" s="406"/>
      <c r="G213" s="397"/>
      <c r="H213" s="397"/>
      <c r="I213" s="397"/>
      <c r="J213" s="397"/>
      <c r="K213" s="397"/>
      <c r="L213" s="397"/>
      <c r="M213" s="397"/>
      <c r="N213" s="397"/>
      <c r="O213" s="397"/>
      <c r="P213" s="397"/>
      <c r="Q213" s="397"/>
      <c r="R213" s="397"/>
      <c r="S213" s="397"/>
      <c r="T213" s="352">
        <v>51105</v>
      </c>
      <c r="U213" s="286"/>
      <c r="V213" s="286"/>
      <c r="W213" s="289"/>
      <c r="X213" s="5"/>
    </row>
    <row r="214" spans="1:24" ht="15.75" x14ac:dyDescent="0.25">
      <c r="A214" s="350"/>
      <c r="B214" s="286" t="s">
        <v>75</v>
      </c>
      <c r="C214" s="406"/>
      <c r="D214" s="406"/>
      <c r="E214" s="406"/>
      <c r="F214" s="406"/>
      <c r="G214" s="397"/>
      <c r="H214" s="397"/>
      <c r="I214" s="397"/>
      <c r="J214" s="397"/>
      <c r="K214" s="397"/>
      <c r="L214" s="397"/>
      <c r="M214" s="397"/>
      <c r="N214" s="397"/>
      <c r="O214" s="397"/>
      <c r="P214" s="397"/>
      <c r="Q214" s="397"/>
      <c r="R214" s="397"/>
      <c r="S214" s="397"/>
      <c r="T214" s="327">
        <v>21.06</v>
      </c>
      <c r="U214" s="286" t="s">
        <v>110</v>
      </c>
      <c r="V214" s="286"/>
      <c r="W214" s="289"/>
      <c r="X214" s="5"/>
    </row>
    <row r="215" spans="1:24" ht="15.75" x14ac:dyDescent="0.25">
      <c r="A215" s="350"/>
      <c r="B215" s="286" t="s">
        <v>76</v>
      </c>
      <c r="C215" s="406"/>
      <c r="D215" s="406"/>
      <c r="E215" s="406"/>
      <c r="F215" s="406"/>
      <c r="G215" s="397"/>
      <c r="H215" s="397"/>
      <c r="I215" s="397"/>
      <c r="J215" s="397"/>
      <c r="K215" s="397"/>
      <c r="L215" s="397"/>
      <c r="M215" s="397"/>
      <c r="N215" s="397"/>
      <c r="O215" s="397"/>
      <c r="P215" s="397"/>
      <c r="Q215" s="397"/>
      <c r="R215" s="397"/>
      <c r="S215" s="397"/>
      <c r="T215" s="327">
        <v>11.73</v>
      </c>
      <c r="U215" s="286" t="s">
        <v>110</v>
      </c>
      <c r="V215" s="286"/>
      <c r="W215" s="289"/>
      <c r="X215" s="5"/>
    </row>
    <row r="216" spans="1:24" ht="15.75" x14ac:dyDescent="0.25">
      <c r="A216" s="350"/>
      <c r="B216" s="286" t="s">
        <v>77</v>
      </c>
      <c r="C216" s="406"/>
      <c r="D216" s="406"/>
      <c r="E216" s="406"/>
      <c r="F216" s="406"/>
      <c r="G216" s="397"/>
      <c r="H216" s="397"/>
      <c r="I216" s="397"/>
      <c r="J216" s="397"/>
      <c r="K216" s="397"/>
      <c r="L216" s="397"/>
      <c r="M216" s="397"/>
      <c r="N216" s="397"/>
      <c r="O216" s="397"/>
      <c r="P216" s="397"/>
      <c r="Q216" s="397"/>
      <c r="R216" s="397"/>
      <c r="S216" s="397"/>
      <c r="T216" s="321">
        <f>+P68/N68</f>
        <v>2.0730926060304283E-2</v>
      </c>
      <c r="U216" s="286"/>
      <c r="V216" s="286"/>
      <c r="W216" s="289"/>
      <c r="X216" s="5"/>
    </row>
    <row r="217" spans="1:24" ht="15.75" x14ac:dyDescent="0.25">
      <c r="A217" s="350"/>
      <c r="B217" s="286" t="s">
        <v>78</v>
      </c>
      <c r="C217" s="406"/>
      <c r="D217" s="406"/>
      <c r="E217" s="406"/>
      <c r="F217" s="406"/>
      <c r="G217" s="397"/>
      <c r="H217" s="397"/>
      <c r="I217" s="397"/>
      <c r="J217" s="397"/>
      <c r="K217" s="397"/>
      <c r="L217" s="397"/>
      <c r="M217" s="397"/>
      <c r="N217" s="397"/>
      <c r="O217" s="397"/>
      <c r="P217" s="397"/>
      <c r="Q217" s="397"/>
      <c r="R217" s="397"/>
      <c r="S217" s="397"/>
      <c r="T217" s="321">
        <v>4.3999999999999997E-2</v>
      </c>
      <c r="U217" s="286"/>
      <c r="V217" s="286"/>
      <c r="W217" s="289"/>
      <c r="X217" s="5"/>
    </row>
    <row r="218" spans="1:24" ht="15.75" x14ac:dyDescent="0.25">
      <c r="A218" s="218"/>
      <c r="B218" s="348"/>
      <c r="C218" s="348"/>
      <c r="D218" s="348"/>
      <c r="E218" s="348"/>
      <c r="F218" s="348"/>
      <c r="G218" s="212"/>
      <c r="H218" s="212"/>
      <c r="I218" s="212"/>
      <c r="J218" s="212"/>
      <c r="K218" s="212"/>
      <c r="L218" s="212"/>
      <c r="M218" s="212"/>
      <c r="N218" s="212"/>
      <c r="O218" s="212"/>
      <c r="P218" s="212"/>
      <c r="Q218" s="212"/>
      <c r="R218" s="212"/>
      <c r="S218" s="212"/>
      <c r="T218" s="344"/>
      <c r="U218" s="212"/>
      <c r="V218" s="349"/>
      <c r="W218" s="212"/>
      <c r="X218" s="5"/>
    </row>
    <row r="219" spans="1:24" ht="15.75" x14ac:dyDescent="0.25">
      <c r="A219" s="242"/>
      <c r="B219" s="399" t="s">
        <v>79</v>
      </c>
      <c r="C219" s="400"/>
      <c r="D219" s="400"/>
      <c r="E219" s="400"/>
      <c r="F219" s="407"/>
      <c r="G219" s="400"/>
      <c r="H219" s="400"/>
      <c r="I219" s="400"/>
      <c r="J219" s="400"/>
      <c r="K219" s="400"/>
      <c r="L219" s="400"/>
      <c r="M219" s="400"/>
      <c r="N219" s="400"/>
      <c r="O219" s="400"/>
      <c r="P219" s="400"/>
      <c r="Q219" s="400"/>
      <c r="R219" s="400"/>
      <c r="S219" s="400" t="s">
        <v>102</v>
      </c>
      <c r="T219" s="407" t="s">
        <v>108</v>
      </c>
      <c r="U219" s="225"/>
      <c r="V219" s="225"/>
      <c r="W219" s="225"/>
      <c r="X219" s="5"/>
    </row>
    <row r="220" spans="1:24" ht="15.75" x14ac:dyDescent="0.25">
      <c r="A220" s="222"/>
      <c r="B220" s="250" t="s">
        <v>80</v>
      </c>
      <c r="C220" s="249"/>
      <c r="D220" s="249"/>
      <c r="E220" s="249"/>
      <c r="F220" s="250"/>
      <c r="G220" s="250"/>
      <c r="H220" s="268"/>
      <c r="I220" s="268"/>
      <c r="J220" s="268"/>
      <c r="K220" s="268"/>
      <c r="L220" s="268"/>
      <c r="M220" s="268"/>
      <c r="N220" s="268"/>
      <c r="O220" s="268"/>
      <c r="P220" s="268"/>
      <c r="Q220" s="268"/>
      <c r="R220" s="268"/>
      <c r="S220" s="268">
        <v>0</v>
      </c>
      <c r="T220" s="269">
        <v>0</v>
      </c>
      <c r="U220" s="250"/>
      <c r="V220" s="266"/>
      <c r="W220" s="223"/>
      <c r="X220" s="5"/>
    </row>
    <row r="221" spans="1:24" ht="15.75" x14ac:dyDescent="0.25">
      <c r="A221" s="358"/>
      <c r="B221" s="286" t="s">
        <v>145</v>
      </c>
      <c r="C221" s="337"/>
      <c r="D221" s="337"/>
      <c r="E221" s="337"/>
      <c r="F221" s="286"/>
      <c r="G221" s="286"/>
      <c r="H221" s="296"/>
      <c r="I221" s="296"/>
      <c r="J221" s="296"/>
      <c r="K221" s="296"/>
      <c r="L221" s="296"/>
      <c r="M221" s="296"/>
      <c r="N221" s="296"/>
      <c r="O221" s="296"/>
      <c r="P221" s="296"/>
      <c r="Q221" s="296"/>
      <c r="R221" s="296"/>
      <c r="S221" s="359">
        <f>+R273</f>
        <v>72</v>
      </c>
      <c r="T221" s="360">
        <f>+T273</f>
        <v>9705</v>
      </c>
      <c r="U221" s="286"/>
      <c r="V221" s="361"/>
      <c r="W221" s="362"/>
      <c r="X221" s="5"/>
    </row>
    <row r="222" spans="1:24" ht="15.75" x14ac:dyDescent="0.25">
      <c r="A222" s="358"/>
      <c r="B222" s="286" t="s">
        <v>81</v>
      </c>
      <c r="C222" s="337"/>
      <c r="D222" s="337"/>
      <c r="E222" s="337"/>
      <c r="F222" s="286"/>
      <c r="G222" s="286"/>
      <c r="H222" s="296"/>
      <c r="I222" s="296"/>
      <c r="J222" s="296"/>
      <c r="K222" s="296"/>
      <c r="L222" s="296"/>
      <c r="M222" s="296"/>
      <c r="N222" s="296"/>
      <c r="O222" s="296"/>
      <c r="P222" s="296"/>
      <c r="Q222" s="296"/>
      <c r="R222" s="296"/>
      <c r="S222" s="359">
        <f>+R285</f>
        <v>0</v>
      </c>
      <c r="T222" s="360">
        <f>+T285</f>
        <v>0</v>
      </c>
      <c r="U222" s="286"/>
      <c r="V222" s="361"/>
      <c r="W222" s="362"/>
      <c r="X222" s="5"/>
    </row>
    <row r="223" spans="1:24" ht="15.75" x14ac:dyDescent="0.25">
      <c r="A223" s="358"/>
      <c r="B223" s="313" t="s">
        <v>82</v>
      </c>
      <c r="C223" s="363"/>
      <c r="D223" s="363"/>
      <c r="E223" s="363"/>
      <c r="F223" s="314"/>
      <c r="G223" s="314"/>
      <c r="H223" s="314"/>
      <c r="I223" s="314"/>
      <c r="J223" s="314"/>
      <c r="K223" s="314"/>
      <c r="L223" s="314"/>
      <c r="M223" s="314"/>
      <c r="N223" s="314"/>
      <c r="O223" s="314"/>
      <c r="P223" s="314"/>
      <c r="Q223" s="314"/>
      <c r="R223" s="314"/>
      <c r="S223" s="286"/>
      <c r="T223" s="360">
        <v>0</v>
      </c>
      <c r="U223" s="314"/>
      <c r="V223" s="364"/>
      <c r="W223" s="362"/>
      <c r="X223" s="5"/>
    </row>
    <row r="224" spans="1:24" ht="15.75" x14ac:dyDescent="0.25">
      <c r="A224" s="358"/>
      <c r="B224" s="313" t="s">
        <v>228</v>
      </c>
      <c r="C224" s="363"/>
      <c r="D224" s="363"/>
      <c r="E224" s="363"/>
      <c r="F224" s="314"/>
      <c r="G224" s="314"/>
      <c r="H224" s="314"/>
      <c r="I224" s="314"/>
      <c r="J224" s="314"/>
      <c r="K224" s="314"/>
      <c r="L224" s="314"/>
      <c r="M224" s="314"/>
      <c r="N224" s="314"/>
      <c r="O224" s="314"/>
      <c r="P224" s="314"/>
      <c r="Q224" s="314"/>
      <c r="R224" s="314"/>
      <c r="S224" s="286"/>
      <c r="T224" s="360">
        <f>+N81</f>
        <v>0</v>
      </c>
      <c r="U224" s="314"/>
      <c r="V224" s="364"/>
      <c r="W224" s="362"/>
      <c r="X224" s="5"/>
    </row>
    <row r="225" spans="1:24" ht="15.75" x14ac:dyDescent="0.25">
      <c r="A225" s="365"/>
      <c r="B225" s="313" t="s">
        <v>83</v>
      </c>
      <c r="C225" s="366"/>
      <c r="D225" s="366"/>
      <c r="E225" s="366"/>
      <c r="F225" s="366"/>
      <c r="G225" s="314"/>
      <c r="H225" s="314"/>
      <c r="I225" s="314"/>
      <c r="J225" s="314"/>
      <c r="K225" s="314"/>
      <c r="L225" s="314"/>
      <c r="M225" s="314"/>
      <c r="N225" s="314"/>
      <c r="O225" s="314"/>
      <c r="P225" s="314"/>
      <c r="Q225" s="314"/>
      <c r="R225" s="314"/>
      <c r="S225" s="286"/>
      <c r="T225" s="360"/>
      <c r="U225" s="314"/>
      <c r="V225" s="364"/>
      <c r="W225" s="367"/>
      <c r="X225" s="5"/>
    </row>
    <row r="226" spans="1:24" ht="15.75" x14ac:dyDescent="0.25">
      <c r="A226" s="365"/>
      <c r="B226" s="286" t="s">
        <v>84</v>
      </c>
      <c r="C226" s="366"/>
      <c r="D226" s="366"/>
      <c r="E226" s="366"/>
      <c r="F226" s="366"/>
      <c r="G226" s="314"/>
      <c r="H226" s="314"/>
      <c r="I226" s="314"/>
      <c r="J226" s="314"/>
      <c r="K226" s="314"/>
      <c r="L226" s="314"/>
      <c r="M226" s="314"/>
      <c r="N226" s="314"/>
      <c r="O226" s="314"/>
      <c r="P226" s="314"/>
      <c r="Q226" s="314"/>
      <c r="R226" s="314"/>
      <c r="S226" s="296"/>
      <c r="T226" s="360">
        <f>V164</f>
        <v>270</v>
      </c>
      <c r="U226" s="314"/>
      <c r="V226" s="364"/>
      <c r="W226" s="367"/>
      <c r="X226" s="5"/>
    </row>
    <row r="227" spans="1:24" ht="15.75" x14ac:dyDescent="0.25">
      <c r="A227" s="358"/>
      <c r="B227" s="286" t="s">
        <v>85</v>
      </c>
      <c r="C227" s="363"/>
      <c r="D227" s="363"/>
      <c r="E227" s="363"/>
      <c r="F227" s="363"/>
      <c r="G227" s="314"/>
      <c r="H227" s="314"/>
      <c r="I227" s="314"/>
      <c r="J227" s="314"/>
      <c r="K227" s="314"/>
      <c r="L227" s="314"/>
      <c r="M227" s="314"/>
      <c r="N227" s="314"/>
      <c r="O227" s="314"/>
      <c r="P227" s="314"/>
      <c r="Q227" s="314"/>
      <c r="R227" s="314"/>
      <c r="S227" s="296"/>
      <c r="T227" s="360">
        <f>'May 17'!T227+T226</f>
        <v>8459</v>
      </c>
      <c r="U227" s="314"/>
      <c r="V227" s="364"/>
      <c r="W227" s="367"/>
      <c r="X227" s="5"/>
    </row>
    <row r="228" spans="1:24" ht="15.75" x14ac:dyDescent="0.25">
      <c r="A228" s="365"/>
      <c r="B228" s="313" t="s">
        <v>285</v>
      </c>
      <c r="C228" s="366"/>
      <c r="D228" s="366"/>
      <c r="E228" s="366"/>
      <c r="F228" s="366"/>
      <c r="G228" s="314"/>
      <c r="H228" s="314"/>
      <c r="I228" s="314"/>
      <c r="J228" s="314"/>
      <c r="K228" s="314"/>
      <c r="L228" s="314"/>
      <c r="M228" s="314"/>
      <c r="N228" s="314"/>
      <c r="O228" s="314"/>
      <c r="P228" s="314"/>
      <c r="Q228" s="314"/>
      <c r="R228" s="314"/>
      <c r="S228" s="296"/>
      <c r="T228" s="360"/>
      <c r="U228" s="314"/>
      <c r="V228" s="364"/>
      <c r="W228" s="367"/>
      <c r="X228" s="5"/>
    </row>
    <row r="229" spans="1:24" ht="15.75" x14ac:dyDescent="0.25">
      <c r="A229" s="365"/>
      <c r="B229" s="286" t="s">
        <v>282</v>
      </c>
      <c r="C229" s="366"/>
      <c r="D229" s="366"/>
      <c r="E229" s="366"/>
      <c r="F229" s="366"/>
      <c r="G229" s="314"/>
      <c r="H229" s="314"/>
      <c r="I229" s="314"/>
      <c r="J229" s="314"/>
      <c r="K229" s="314"/>
      <c r="L229" s="314"/>
      <c r="M229" s="314"/>
      <c r="N229" s="314"/>
      <c r="O229" s="314"/>
      <c r="P229" s="314"/>
      <c r="Q229" s="314"/>
      <c r="R229" s="314"/>
      <c r="S229" s="296">
        <v>0</v>
      </c>
      <c r="T229" s="360">
        <v>0</v>
      </c>
      <c r="U229" s="314"/>
      <c r="V229" s="364"/>
      <c r="W229" s="367"/>
      <c r="X229" s="5"/>
    </row>
    <row r="230" spans="1:24" ht="15.75" x14ac:dyDescent="0.25">
      <c r="A230" s="358"/>
      <c r="B230" s="286" t="s">
        <v>86</v>
      </c>
      <c r="C230" s="368"/>
      <c r="D230" s="368"/>
      <c r="E230" s="368"/>
      <c r="F230" s="369"/>
      <c r="G230" s="314"/>
      <c r="H230" s="314"/>
      <c r="I230" s="314"/>
      <c r="J230" s="314"/>
      <c r="K230" s="314"/>
      <c r="L230" s="314"/>
      <c r="M230" s="314"/>
      <c r="N230" s="314"/>
      <c r="O230" s="314"/>
      <c r="P230" s="314"/>
      <c r="Q230" s="314"/>
      <c r="R230" s="314"/>
      <c r="S230" s="286"/>
      <c r="T230" s="370">
        <v>0</v>
      </c>
      <c r="U230" s="314"/>
      <c r="V230" s="364"/>
      <c r="W230" s="367"/>
      <c r="X230" s="5"/>
    </row>
    <row r="231" spans="1:24" ht="15.75" x14ac:dyDescent="0.25">
      <c r="A231" s="358"/>
      <c r="B231" s="286" t="s">
        <v>87</v>
      </c>
      <c r="C231" s="368"/>
      <c r="D231" s="368"/>
      <c r="E231" s="368"/>
      <c r="F231" s="369"/>
      <c r="G231" s="314"/>
      <c r="H231" s="314"/>
      <c r="I231" s="314"/>
      <c r="J231" s="314"/>
      <c r="K231" s="314"/>
      <c r="L231" s="314"/>
      <c r="M231" s="314"/>
      <c r="N231" s="314"/>
      <c r="O231" s="314"/>
      <c r="P231" s="314"/>
      <c r="Q231" s="314"/>
      <c r="R231" s="314"/>
      <c r="S231" s="286"/>
      <c r="T231" s="370">
        <v>0</v>
      </c>
      <c r="U231" s="314"/>
      <c r="V231" s="364"/>
      <c r="W231" s="367"/>
      <c r="X231" s="5"/>
    </row>
    <row r="232" spans="1:24" ht="15.75" x14ac:dyDescent="0.25">
      <c r="A232" s="358"/>
      <c r="B232" s="313" t="s">
        <v>216</v>
      </c>
      <c r="C232" s="368"/>
      <c r="D232" s="368"/>
      <c r="E232" s="368"/>
      <c r="F232" s="369"/>
      <c r="G232" s="314"/>
      <c r="H232" s="314"/>
      <c r="I232" s="314"/>
      <c r="J232" s="314"/>
      <c r="K232" s="314"/>
      <c r="L232" s="314"/>
      <c r="M232" s="314"/>
      <c r="N232" s="314"/>
      <c r="O232" s="314"/>
      <c r="P232" s="314"/>
      <c r="Q232" s="314"/>
      <c r="R232" s="314"/>
      <c r="S232" s="286"/>
      <c r="T232" s="371"/>
      <c r="U232" s="314"/>
      <c r="V232" s="364"/>
      <c r="W232" s="367"/>
      <c r="X232" s="5"/>
    </row>
    <row r="233" spans="1:24" ht="15.75" x14ac:dyDescent="0.25">
      <c r="A233" s="358"/>
      <c r="B233" s="286" t="s">
        <v>282</v>
      </c>
      <c r="C233" s="368"/>
      <c r="D233" s="368"/>
      <c r="E233" s="368"/>
      <c r="F233" s="369"/>
      <c r="G233" s="314"/>
      <c r="H233" s="314"/>
      <c r="I233" s="314"/>
      <c r="J233" s="314"/>
      <c r="K233" s="314"/>
      <c r="L233" s="314"/>
      <c r="M233" s="314"/>
      <c r="N233" s="314"/>
      <c r="O233" s="314"/>
      <c r="P233" s="314"/>
      <c r="Q233" s="314"/>
      <c r="R233" s="314"/>
      <c r="S233" s="296">
        <v>5</v>
      </c>
      <c r="T233" s="360">
        <v>523</v>
      </c>
      <c r="U233" s="314"/>
      <c r="V233" s="364"/>
      <c r="W233" s="367"/>
      <c r="X233" s="5"/>
    </row>
    <row r="234" spans="1:24" ht="15.75" x14ac:dyDescent="0.25">
      <c r="A234" s="358"/>
      <c r="B234" s="286" t="s">
        <v>217</v>
      </c>
      <c r="C234" s="368"/>
      <c r="D234" s="368"/>
      <c r="E234" s="368"/>
      <c r="F234" s="369"/>
      <c r="G234" s="314"/>
      <c r="H234" s="314"/>
      <c r="I234" s="314"/>
      <c r="J234" s="314"/>
      <c r="K234" s="314"/>
      <c r="L234" s="314"/>
      <c r="M234" s="314"/>
      <c r="N234" s="314"/>
      <c r="O234" s="314"/>
      <c r="P234" s="314"/>
      <c r="Q234" s="314"/>
      <c r="R234" s="314"/>
      <c r="S234" s="286"/>
      <c r="T234" s="370">
        <v>7.9</v>
      </c>
      <c r="U234" s="314"/>
      <c r="V234" s="364"/>
      <c r="W234" s="367"/>
      <c r="X234" s="5"/>
    </row>
    <row r="235" spans="1:24" ht="15.75" x14ac:dyDescent="0.25">
      <c r="A235" s="358"/>
      <c r="B235" s="366"/>
      <c r="C235" s="368"/>
      <c r="D235" s="368"/>
      <c r="E235" s="368"/>
      <c r="F235" s="369"/>
      <c r="G235" s="314"/>
      <c r="H235" s="314"/>
      <c r="I235" s="314"/>
      <c r="J235" s="314"/>
      <c r="K235" s="314"/>
      <c r="L235" s="314"/>
      <c r="M235" s="314"/>
      <c r="N235" s="314"/>
      <c r="O235" s="314"/>
      <c r="P235" s="314"/>
      <c r="Q235" s="314"/>
      <c r="R235" s="314"/>
      <c r="S235" s="286"/>
      <c r="T235" s="371"/>
      <c r="U235" s="314"/>
      <c r="V235" s="364"/>
      <c r="W235" s="367"/>
      <c r="X235" s="5"/>
    </row>
    <row r="236" spans="1:24" ht="15.75" x14ac:dyDescent="0.25">
      <c r="A236" s="358"/>
      <c r="B236" s="366"/>
      <c r="C236" s="368"/>
      <c r="D236" s="368"/>
      <c r="E236" s="368"/>
      <c r="F236" s="369"/>
      <c r="G236" s="314"/>
      <c r="H236" s="314"/>
      <c r="I236" s="314"/>
      <c r="J236" s="314"/>
      <c r="K236" s="314"/>
      <c r="L236" s="314"/>
      <c r="M236" s="314"/>
      <c r="N236" s="314"/>
      <c r="O236" s="314"/>
      <c r="P236" s="314"/>
      <c r="Q236" s="314"/>
      <c r="R236" s="314"/>
      <c r="S236" s="314"/>
      <c r="T236" s="372"/>
      <c r="U236" s="314"/>
      <c r="V236" s="364"/>
      <c r="W236" s="367"/>
      <c r="X236" s="5"/>
    </row>
    <row r="237" spans="1:24" ht="18.75" x14ac:dyDescent="0.3">
      <c r="A237" s="358"/>
      <c r="B237" s="373" t="s">
        <v>168</v>
      </c>
      <c r="C237" s="368"/>
      <c r="D237" s="368"/>
      <c r="E237" s="368"/>
      <c r="F237" s="369"/>
      <c r="G237" s="314"/>
      <c r="H237" s="314"/>
      <c r="I237" s="314"/>
      <c r="J237" s="314"/>
      <c r="K237" s="314"/>
      <c r="L237" s="314"/>
      <c r="M237" s="314"/>
      <c r="N237" s="314"/>
      <c r="O237" s="314"/>
      <c r="P237" s="374" t="s">
        <v>167</v>
      </c>
      <c r="Q237" s="314"/>
      <c r="R237" s="314"/>
      <c r="S237" s="314"/>
      <c r="T237" s="372"/>
      <c r="U237" s="314"/>
      <c r="V237" s="364"/>
      <c r="W237" s="367"/>
      <c r="X237" s="5"/>
    </row>
    <row r="238" spans="1:24" ht="15.75" x14ac:dyDescent="0.25">
      <c r="A238" s="353"/>
      <c r="B238" s="348"/>
      <c r="C238" s="354"/>
      <c r="D238" s="354"/>
      <c r="E238" s="354"/>
      <c r="F238" s="355"/>
      <c r="G238" s="212"/>
      <c r="H238" s="212"/>
      <c r="I238" s="212"/>
      <c r="J238" s="212"/>
      <c r="K238" s="212"/>
      <c r="L238" s="212"/>
      <c r="M238" s="212"/>
      <c r="N238" s="212"/>
      <c r="O238" s="212"/>
      <c r="P238" s="212"/>
      <c r="Q238" s="212"/>
      <c r="R238" s="212"/>
      <c r="S238" s="212"/>
      <c r="T238" s="356"/>
      <c r="U238" s="212"/>
      <c r="V238" s="349"/>
      <c r="W238" s="357"/>
      <c r="X238" s="5"/>
    </row>
    <row r="239" spans="1:24" ht="15.75" x14ac:dyDescent="0.25">
      <c r="A239" s="224"/>
      <c r="B239" s="399" t="s">
        <v>297</v>
      </c>
      <c r="C239" s="400"/>
      <c r="D239" s="400"/>
      <c r="E239" s="400"/>
      <c r="F239" s="407"/>
      <c r="G239" s="400"/>
      <c r="H239" s="400"/>
      <c r="I239" s="400"/>
      <c r="J239" s="400"/>
      <c r="K239" s="400"/>
      <c r="L239" s="400"/>
      <c r="M239" s="400"/>
      <c r="N239" s="400"/>
      <c r="O239" s="400"/>
      <c r="P239" s="400"/>
      <c r="Q239" s="400"/>
      <c r="R239" s="407" t="s">
        <v>102</v>
      </c>
      <c r="S239" s="400" t="s">
        <v>103</v>
      </c>
      <c r="T239" s="407" t="s">
        <v>109</v>
      </c>
      <c r="U239" s="400" t="s">
        <v>103</v>
      </c>
      <c r="V239" s="225"/>
      <c r="W239" s="399"/>
      <c r="X239" s="5"/>
    </row>
    <row r="240" spans="1:24" ht="15.75" x14ac:dyDescent="0.25">
      <c r="A240" s="193"/>
      <c r="B240" s="249" t="s">
        <v>88</v>
      </c>
      <c r="C240" s="265"/>
      <c r="D240" s="265"/>
      <c r="E240" s="265"/>
      <c r="F240" s="250"/>
      <c r="G240" s="265"/>
      <c r="H240" s="265"/>
      <c r="I240" s="265"/>
      <c r="J240" s="265"/>
      <c r="K240" s="265"/>
      <c r="L240" s="265"/>
      <c r="M240" s="265"/>
      <c r="N240" s="265"/>
      <c r="O240" s="265"/>
      <c r="P240" s="265"/>
      <c r="Q240" s="265"/>
      <c r="R240" s="249">
        <f t="shared" ref="R240:R247" si="1">+R252+R264+R276</f>
        <v>4679</v>
      </c>
      <c r="S240" s="252">
        <f t="shared" ref="S240:S247" si="2">R240/$R$249</f>
        <v>0.99659211927582536</v>
      </c>
      <c r="T240" s="253">
        <f t="shared" ref="T240:T247" si="3">+T252+T264+T276</f>
        <v>643103</v>
      </c>
      <c r="U240" s="252">
        <f t="shared" ref="U240:U247" si="4">T240/$T$249</f>
        <v>0.9968641784705623</v>
      </c>
      <c r="V240" s="266"/>
      <c r="W240" s="408"/>
      <c r="X240" s="5"/>
    </row>
    <row r="241" spans="1:25" ht="15.75" x14ac:dyDescent="0.25">
      <c r="A241" s="285"/>
      <c r="B241" s="337" t="s">
        <v>89</v>
      </c>
      <c r="C241" s="378"/>
      <c r="D241" s="378"/>
      <c r="E241" s="378"/>
      <c r="F241" s="286"/>
      <c r="G241" s="379"/>
      <c r="H241" s="378"/>
      <c r="I241" s="378"/>
      <c r="J241" s="378"/>
      <c r="K241" s="378"/>
      <c r="L241" s="378"/>
      <c r="M241" s="378"/>
      <c r="N241" s="378"/>
      <c r="O241" s="378"/>
      <c r="P241" s="378"/>
      <c r="Q241" s="378"/>
      <c r="R241" s="337">
        <f t="shared" si="1"/>
        <v>7</v>
      </c>
      <c r="S241" s="379">
        <f t="shared" si="2"/>
        <v>1.490947816826411E-3</v>
      </c>
      <c r="T241" s="338">
        <f t="shared" si="3"/>
        <v>1222</v>
      </c>
      <c r="U241" s="379">
        <f t="shared" si="4"/>
        <v>1.8942036129376276E-3</v>
      </c>
      <c r="V241" s="361"/>
      <c r="W241" s="409"/>
      <c r="X241" s="5"/>
      <c r="Y241" s="109"/>
    </row>
    <row r="242" spans="1:25" ht="15.75" x14ac:dyDescent="0.25">
      <c r="A242" s="285"/>
      <c r="B242" s="337" t="s">
        <v>90</v>
      </c>
      <c r="C242" s="378"/>
      <c r="D242" s="378"/>
      <c r="E242" s="378"/>
      <c r="F242" s="286"/>
      <c r="G242" s="379"/>
      <c r="H242" s="378"/>
      <c r="I242" s="378"/>
      <c r="J242" s="378"/>
      <c r="K242" s="378"/>
      <c r="L242" s="378"/>
      <c r="M242" s="378"/>
      <c r="N242" s="378"/>
      <c r="O242" s="378"/>
      <c r="P242" s="378"/>
      <c r="Q242" s="378"/>
      <c r="R242" s="337">
        <f t="shared" si="1"/>
        <v>4</v>
      </c>
      <c r="S242" s="379">
        <f t="shared" si="2"/>
        <v>8.5197018104366342E-4</v>
      </c>
      <c r="T242" s="338">
        <f t="shared" si="3"/>
        <v>321</v>
      </c>
      <c r="U242" s="379">
        <f t="shared" si="4"/>
        <v>4.9757721747379583E-4</v>
      </c>
      <c r="V242" s="361"/>
      <c r="W242" s="409"/>
      <c r="X242" s="5"/>
    </row>
    <row r="243" spans="1:25" ht="15.75" x14ac:dyDescent="0.25">
      <c r="A243" s="285"/>
      <c r="B243" s="337" t="s">
        <v>156</v>
      </c>
      <c r="C243" s="378"/>
      <c r="D243" s="378"/>
      <c r="E243" s="378"/>
      <c r="F243" s="286"/>
      <c r="G243" s="379"/>
      <c r="H243" s="378"/>
      <c r="I243" s="378"/>
      <c r="J243" s="378"/>
      <c r="K243" s="378"/>
      <c r="L243" s="378"/>
      <c r="M243" s="378"/>
      <c r="N243" s="378"/>
      <c r="O243" s="378"/>
      <c r="P243" s="378"/>
      <c r="Q243" s="378"/>
      <c r="R243" s="337">
        <f t="shared" si="1"/>
        <v>0</v>
      </c>
      <c r="S243" s="379">
        <f t="shared" si="2"/>
        <v>0</v>
      </c>
      <c r="T243" s="338">
        <f t="shared" si="3"/>
        <v>0</v>
      </c>
      <c r="U243" s="379">
        <f t="shared" si="4"/>
        <v>0</v>
      </c>
      <c r="V243" s="361"/>
      <c r="W243" s="409"/>
      <c r="X243" s="5"/>
      <c r="Y243" s="109"/>
    </row>
    <row r="244" spans="1:25" ht="15.75" x14ac:dyDescent="0.25">
      <c r="A244" s="285"/>
      <c r="B244" s="337" t="s">
        <v>157</v>
      </c>
      <c r="C244" s="378"/>
      <c r="D244" s="378"/>
      <c r="E244" s="378"/>
      <c r="F244" s="286"/>
      <c r="G244" s="379"/>
      <c r="H244" s="378"/>
      <c r="I244" s="378"/>
      <c r="J244" s="378"/>
      <c r="K244" s="378"/>
      <c r="L244" s="378"/>
      <c r="M244" s="378"/>
      <c r="N244" s="378"/>
      <c r="O244" s="378"/>
      <c r="P244" s="378"/>
      <c r="Q244" s="378"/>
      <c r="R244" s="337">
        <f t="shared" si="1"/>
        <v>3</v>
      </c>
      <c r="S244" s="379">
        <f t="shared" si="2"/>
        <v>6.3897763578274762E-4</v>
      </c>
      <c r="T244" s="338">
        <f t="shared" si="3"/>
        <v>219</v>
      </c>
      <c r="U244" s="379">
        <f t="shared" si="4"/>
        <v>3.3946856893072051E-4</v>
      </c>
      <c r="V244" s="361"/>
      <c r="W244" s="409"/>
      <c r="X244" s="5"/>
    </row>
    <row r="245" spans="1:25" ht="15.75" x14ac:dyDescent="0.25">
      <c r="A245" s="285"/>
      <c r="B245" s="337" t="s">
        <v>158</v>
      </c>
      <c r="C245" s="378"/>
      <c r="D245" s="378"/>
      <c r="E245" s="378"/>
      <c r="F245" s="286"/>
      <c r="G245" s="379"/>
      <c r="H245" s="378"/>
      <c r="I245" s="378"/>
      <c r="J245" s="378"/>
      <c r="K245" s="378"/>
      <c r="L245" s="378"/>
      <c r="M245" s="378"/>
      <c r="N245" s="378"/>
      <c r="O245" s="378"/>
      <c r="P245" s="378"/>
      <c r="Q245" s="378"/>
      <c r="R245" s="337">
        <f t="shared" si="1"/>
        <v>1</v>
      </c>
      <c r="S245" s="379">
        <f t="shared" si="2"/>
        <v>2.1299254526091586E-4</v>
      </c>
      <c r="T245" s="338">
        <f t="shared" si="3"/>
        <v>116</v>
      </c>
      <c r="U245" s="379">
        <f t="shared" si="4"/>
        <v>1.7980983559800722E-4</v>
      </c>
      <c r="V245" s="361"/>
      <c r="W245" s="409"/>
      <c r="X245" s="5"/>
      <c r="Y245" s="109"/>
    </row>
    <row r="246" spans="1:25" ht="15.75" x14ac:dyDescent="0.25">
      <c r="A246" s="285"/>
      <c r="B246" s="337" t="s">
        <v>159</v>
      </c>
      <c r="C246" s="378"/>
      <c r="D246" s="378"/>
      <c r="E246" s="378"/>
      <c r="F246" s="286"/>
      <c r="G246" s="379"/>
      <c r="H246" s="378"/>
      <c r="I246" s="378"/>
      <c r="J246" s="378"/>
      <c r="K246" s="378"/>
      <c r="L246" s="378"/>
      <c r="M246" s="378"/>
      <c r="N246" s="378"/>
      <c r="O246" s="378"/>
      <c r="P246" s="378"/>
      <c r="Q246" s="378"/>
      <c r="R246" s="337">
        <f t="shared" si="1"/>
        <v>1</v>
      </c>
      <c r="S246" s="379">
        <f t="shared" si="2"/>
        <v>2.1299254526091586E-4</v>
      </c>
      <c r="T246" s="338">
        <f t="shared" si="3"/>
        <v>145</v>
      </c>
      <c r="U246" s="379">
        <f t="shared" si="4"/>
        <v>2.2476229449750902E-4</v>
      </c>
      <c r="V246" s="361"/>
      <c r="W246" s="409"/>
      <c r="X246" s="5"/>
    </row>
    <row r="247" spans="1:25" ht="15.75" x14ac:dyDescent="0.25">
      <c r="A247" s="285"/>
      <c r="B247" s="337" t="s">
        <v>160</v>
      </c>
      <c r="C247" s="378"/>
      <c r="D247" s="378"/>
      <c r="E247" s="378"/>
      <c r="F247" s="286"/>
      <c r="G247" s="379"/>
      <c r="H247" s="378"/>
      <c r="I247" s="378"/>
      <c r="J247" s="378"/>
      <c r="K247" s="378"/>
      <c r="L247" s="378"/>
      <c r="M247" s="378"/>
      <c r="N247" s="378"/>
      <c r="O247" s="378"/>
      <c r="P247" s="378"/>
      <c r="Q247" s="378"/>
      <c r="R247" s="386">
        <f t="shared" si="1"/>
        <v>0</v>
      </c>
      <c r="S247" s="379">
        <f t="shared" si="2"/>
        <v>0</v>
      </c>
      <c r="T247" s="383">
        <f t="shared" si="3"/>
        <v>0</v>
      </c>
      <c r="U247" s="387">
        <f t="shared" si="4"/>
        <v>0</v>
      </c>
      <c r="V247" s="361"/>
      <c r="W247" s="409"/>
      <c r="X247" s="5"/>
      <c r="Y247" s="109"/>
    </row>
    <row r="248" spans="1:25" ht="15.75" x14ac:dyDescent="0.25">
      <c r="A248" s="285"/>
      <c r="B248" s="337"/>
      <c r="C248" s="378"/>
      <c r="D248" s="378"/>
      <c r="E248" s="378"/>
      <c r="F248" s="286"/>
      <c r="G248" s="379"/>
      <c r="H248" s="378"/>
      <c r="I248" s="378"/>
      <c r="J248" s="378"/>
      <c r="K248" s="378"/>
      <c r="L248" s="378"/>
      <c r="M248" s="378"/>
      <c r="N248" s="378"/>
      <c r="O248" s="378"/>
      <c r="P248" s="378"/>
      <c r="Q248" s="378"/>
      <c r="R248" s="337"/>
      <c r="S248" s="379"/>
      <c r="T248" s="338"/>
      <c r="U248" s="379"/>
      <c r="V248" s="361"/>
      <c r="W248" s="409"/>
      <c r="X248" s="5"/>
    </row>
    <row r="249" spans="1:25" ht="15.75" x14ac:dyDescent="0.25">
      <c r="A249" s="285"/>
      <c r="B249" s="286"/>
      <c r="C249" s="286"/>
      <c r="D249" s="286"/>
      <c r="E249" s="286"/>
      <c r="F249" s="286"/>
      <c r="G249" s="286"/>
      <c r="H249" s="381"/>
      <c r="I249" s="381"/>
      <c r="J249" s="381"/>
      <c r="K249" s="381"/>
      <c r="L249" s="381"/>
      <c r="M249" s="381"/>
      <c r="N249" s="381"/>
      <c r="O249" s="381"/>
      <c r="P249" s="381"/>
      <c r="Q249" s="381"/>
      <c r="R249" s="337">
        <f>SUM(R240:R248)</f>
        <v>4695</v>
      </c>
      <c r="S249" s="379">
        <f>SUM(S240:S248)</f>
        <v>1.0000000000000002</v>
      </c>
      <c r="T249" s="338">
        <f>SUM(T240:T248)</f>
        <v>645126</v>
      </c>
      <c r="U249" s="379">
        <f>SUM(U240:U248)</f>
        <v>0.99999999999999989</v>
      </c>
      <c r="V249" s="286"/>
      <c r="W249" s="289"/>
      <c r="X249" s="5"/>
    </row>
    <row r="250" spans="1:25" ht="15.75" x14ac:dyDescent="0.25">
      <c r="A250" s="181"/>
      <c r="B250" s="212"/>
      <c r="C250" s="212"/>
      <c r="D250" s="212"/>
      <c r="E250" s="212"/>
      <c r="F250" s="212"/>
      <c r="G250" s="212"/>
      <c r="H250" s="375"/>
      <c r="I250" s="375"/>
      <c r="J250" s="375"/>
      <c r="K250" s="375"/>
      <c r="L250" s="375"/>
      <c r="M250" s="375"/>
      <c r="N250" s="375"/>
      <c r="O250" s="375"/>
      <c r="P250" s="375"/>
      <c r="Q250" s="375"/>
      <c r="R250" s="335"/>
      <c r="S250" s="376"/>
      <c r="T250" s="377"/>
      <c r="U250" s="376"/>
      <c r="V250" s="212"/>
      <c r="W250" s="212"/>
      <c r="X250" s="5"/>
    </row>
    <row r="251" spans="1:25" ht="15.75" x14ac:dyDescent="0.25">
      <c r="A251" s="224"/>
      <c r="B251" s="399" t="s">
        <v>162</v>
      </c>
      <c r="C251" s="400"/>
      <c r="D251" s="400"/>
      <c r="E251" s="400"/>
      <c r="F251" s="407"/>
      <c r="G251" s="400"/>
      <c r="H251" s="400"/>
      <c r="I251" s="400"/>
      <c r="J251" s="400"/>
      <c r="K251" s="400"/>
      <c r="L251" s="400"/>
      <c r="M251" s="400"/>
      <c r="N251" s="400"/>
      <c r="O251" s="400"/>
      <c r="P251" s="400"/>
      <c r="Q251" s="400"/>
      <c r="R251" s="407" t="s">
        <v>102</v>
      </c>
      <c r="S251" s="400" t="s">
        <v>103</v>
      </c>
      <c r="T251" s="407" t="s">
        <v>109</v>
      </c>
      <c r="U251" s="400" t="s">
        <v>103</v>
      </c>
      <c r="V251" s="225"/>
      <c r="W251" s="399"/>
      <c r="X251" s="5"/>
    </row>
    <row r="252" spans="1:25" ht="15.75" x14ac:dyDescent="0.25">
      <c r="A252" s="193"/>
      <c r="B252" s="249" t="s">
        <v>88</v>
      </c>
      <c r="C252" s="265"/>
      <c r="D252" s="265"/>
      <c r="E252" s="265"/>
      <c r="F252" s="250"/>
      <c r="G252" s="265"/>
      <c r="H252" s="265"/>
      <c r="I252" s="265"/>
      <c r="J252" s="265"/>
      <c r="K252" s="265"/>
      <c r="L252" s="265"/>
      <c r="M252" s="265"/>
      <c r="N252" s="265"/>
      <c r="O252" s="265"/>
      <c r="P252" s="265"/>
      <c r="Q252" s="265"/>
      <c r="R252" s="249">
        <v>4614</v>
      </c>
      <c r="S252" s="252">
        <f>R252/$R$261</f>
        <v>0.9980532121998702</v>
      </c>
      <c r="T252" s="253">
        <v>634061</v>
      </c>
      <c r="U252" s="252">
        <f t="shared" ref="U252:U259" si="5">T252/$T$261</f>
        <v>0.99785968672738234</v>
      </c>
      <c r="V252" s="266"/>
      <c r="W252" s="408"/>
      <c r="X252" s="5"/>
    </row>
    <row r="253" spans="1:25" ht="15.75" x14ac:dyDescent="0.25">
      <c r="A253" s="285"/>
      <c r="B253" s="337" t="s">
        <v>89</v>
      </c>
      <c r="C253" s="378"/>
      <c r="D253" s="378"/>
      <c r="E253" s="378"/>
      <c r="F253" s="286"/>
      <c r="G253" s="379"/>
      <c r="H253" s="378"/>
      <c r="I253" s="378"/>
      <c r="J253" s="378"/>
      <c r="K253" s="378"/>
      <c r="L253" s="378"/>
      <c r="M253" s="378"/>
      <c r="N253" s="378"/>
      <c r="O253" s="378"/>
      <c r="P253" s="378"/>
      <c r="Q253" s="378"/>
      <c r="R253" s="337">
        <v>7</v>
      </c>
      <c r="S253" s="379">
        <f t="shared" ref="S253:S259" si="6">R253/$R$261</f>
        <v>1.5141682889898333E-3</v>
      </c>
      <c r="T253" s="338">
        <v>1222</v>
      </c>
      <c r="U253" s="379">
        <f t="shared" si="5"/>
        <v>1.9231344258373582E-3</v>
      </c>
      <c r="V253" s="361"/>
      <c r="W253" s="409"/>
      <c r="X253" s="5"/>
      <c r="Y253" s="109"/>
    </row>
    <row r="254" spans="1:25" ht="15.75" x14ac:dyDescent="0.25">
      <c r="A254" s="285"/>
      <c r="B254" s="337" t="s">
        <v>90</v>
      </c>
      <c r="C254" s="378"/>
      <c r="D254" s="378"/>
      <c r="E254" s="378"/>
      <c r="F254" s="286"/>
      <c r="G254" s="379"/>
      <c r="H254" s="378"/>
      <c r="I254" s="378"/>
      <c r="J254" s="378"/>
      <c r="K254" s="378"/>
      <c r="L254" s="378"/>
      <c r="M254" s="378"/>
      <c r="N254" s="378"/>
      <c r="O254" s="378"/>
      <c r="P254" s="378"/>
      <c r="Q254" s="378"/>
      <c r="R254" s="337">
        <v>1</v>
      </c>
      <c r="S254" s="379">
        <f t="shared" si="6"/>
        <v>2.1630975556997622E-4</v>
      </c>
      <c r="T254" s="338">
        <v>78</v>
      </c>
      <c r="U254" s="379">
        <f t="shared" si="5"/>
        <v>1.2275326122366116E-4</v>
      </c>
      <c r="V254" s="361"/>
      <c r="W254" s="409"/>
      <c r="X254" s="5"/>
    </row>
    <row r="255" spans="1:25" ht="15.75" x14ac:dyDescent="0.25">
      <c r="A255" s="285"/>
      <c r="B255" s="337" t="s">
        <v>156</v>
      </c>
      <c r="C255" s="378"/>
      <c r="D255" s="378"/>
      <c r="E255" s="378"/>
      <c r="F255" s="286"/>
      <c r="G255" s="379"/>
      <c r="H255" s="378"/>
      <c r="I255" s="378"/>
      <c r="J255" s="378"/>
      <c r="K255" s="378"/>
      <c r="L255" s="378"/>
      <c r="M255" s="378"/>
      <c r="N255" s="378"/>
      <c r="O255" s="378"/>
      <c r="P255" s="378"/>
      <c r="Q255" s="378"/>
      <c r="R255" s="337">
        <v>0</v>
      </c>
      <c r="S255" s="379">
        <f t="shared" si="6"/>
        <v>0</v>
      </c>
      <c r="T255" s="338">
        <v>0</v>
      </c>
      <c r="U255" s="379">
        <f t="shared" si="5"/>
        <v>0</v>
      </c>
      <c r="V255" s="361"/>
      <c r="W255" s="409"/>
      <c r="X255" s="5"/>
      <c r="Y255" s="109"/>
    </row>
    <row r="256" spans="1:25" ht="15.75" x14ac:dyDescent="0.25">
      <c r="A256" s="285"/>
      <c r="B256" s="337" t="s">
        <v>157</v>
      </c>
      <c r="C256" s="378"/>
      <c r="D256" s="378"/>
      <c r="E256" s="378"/>
      <c r="F256" s="286"/>
      <c r="G256" s="379"/>
      <c r="H256" s="378"/>
      <c r="I256" s="378"/>
      <c r="J256" s="378"/>
      <c r="K256" s="378"/>
      <c r="L256" s="378"/>
      <c r="M256" s="378"/>
      <c r="N256" s="378"/>
      <c r="O256" s="378"/>
      <c r="P256" s="378"/>
      <c r="Q256" s="378"/>
      <c r="R256" s="337">
        <v>1</v>
      </c>
      <c r="S256" s="379">
        <f t="shared" si="6"/>
        <v>2.1630975556997622E-4</v>
      </c>
      <c r="T256" s="338">
        <v>60</v>
      </c>
      <c r="U256" s="379">
        <f t="shared" si="5"/>
        <v>9.4425585556662435E-5</v>
      </c>
      <c r="V256" s="361"/>
      <c r="W256" s="409"/>
      <c r="X256" s="5"/>
    </row>
    <row r="257" spans="1:25" ht="15.75" x14ac:dyDescent="0.25">
      <c r="A257" s="285"/>
      <c r="B257" s="337" t="s">
        <v>158</v>
      </c>
      <c r="C257" s="378"/>
      <c r="D257" s="378"/>
      <c r="E257" s="378"/>
      <c r="F257" s="286"/>
      <c r="G257" s="379"/>
      <c r="H257" s="378"/>
      <c r="I257" s="378"/>
      <c r="J257" s="378"/>
      <c r="K257" s="378"/>
      <c r="L257" s="378"/>
      <c r="M257" s="378"/>
      <c r="N257" s="378"/>
      <c r="O257" s="378"/>
      <c r="P257" s="378"/>
      <c r="Q257" s="378"/>
      <c r="R257" s="337">
        <v>0</v>
      </c>
      <c r="S257" s="379">
        <f t="shared" si="6"/>
        <v>0</v>
      </c>
      <c r="T257" s="338">
        <v>0</v>
      </c>
      <c r="U257" s="379">
        <f t="shared" si="5"/>
        <v>0</v>
      </c>
      <c r="V257" s="361"/>
      <c r="W257" s="409"/>
      <c r="X257" s="5"/>
      <c r="Y257" s="109"/>
    </row>
    <row r="258" spans="1:25" ht="15.75" x14ac:dyDescent="0.25">
      <c r="A258" s="285"/>
      <c r="B258" s="337" t="s">
        <v>159</v>
      </c>
      <c r="C258" s="378"/>
      <c r="D258" s="378"/>
      <c r="E258" s="378"/>
      <c r="F258" s="286"/>
      <c r="G258" s="379"/>
      <c r="H258" s="378"/>
      <c r="I258" s="378"/>
      <c r="J258" s="378"/>
      <c r="K258" s="378"/>
      <c r="L258" s="378"/>
      <c r="M258" s="378"/>
      <c r="N258" s="378"/>
      <c r="O258" s="378"/>
      <c r="P258" s="378"/>
      <c r="Q258" s="378"/>
      <c r="R258" s="337">
        <v>0</v>
      </c>
      <c r="S258" s="379">
        <f t="shared" si="6"/>
        <v>0</v>
      </c>
      <c r="T258" s="338">
        <v>0</v>
      </c>
      <c r="U258" s="379">
        <f t="shared" si="5"/>
        <v>0</v>
      </c>
      <c r="V258" s="361"/>
      <c r="W258" s="409"/>
      <c r="X258" s="5"/>
    </row>
    <row r="259" spans="1:25" ht="15.75" x14ac:dyDescent="0.25">
      <c r="A259" s="285"/>
      <c r="B259" s="337" t="s">
        <v>160</v>
      </c>
      <c r="C259" s="378"/>
      <c r="D259" s="378"/>
      <c r="E259" s="378"/>
      <c r="F259" s="286"/>
      <c r="G259" s="379"/>
      <c r="H259" s="378"/>
      <c r="I259" s="378"/>
      <c r="J259" s="378"/>
      <c r="K259" s="378"/>
      <c r="L259" s="378"/>
      <c r="M259" s="378"/>
      <c r="N259" s="378"/>
      <c r="O259" s="378"/>
      <c r="P259" s="378"/>
      <c r="Q259" s="378"/>
      <c r="R259" s="337">
        <v>0</v>
      </c>
      <c r="S259" s="379">
        <f t="shared" si="6"/>
        <v>0</v>
      </c>
      <c r="T259" s="338">
        <v>0</v>
      </c>
      <c r="U259" s="379">
        <f t="shared" si="5"/>
        <v>0</v>
      </c>
      <c r="V259" s="361"/>
      <c r="W259" s="409"/>
      <c r="X259" s="5"/>
      <c r="Y259" s="109"/>
    </row>
    <row r="260" spans="1:25" ht="15.75" x14ac:dyDescent="0.25">
      <c r="A260" s="285"/>
      <c r="B260" s="337"/>
      <c r="C260" s="378"/>
      <c r="D260" s="378"/>
      <c r="E260" s="378"/>
      <c r="F260" s="286"/>
      <c r="G260" s="379"/>
      <c r="H260" s="378"/>
      <c r="I260" s="378"/>
      <c r="J260" s="378"/>
      <c r="K260" s="378"/>
      <c r="L260" s="378"/>
      <c r="M260" s="378"/>
      <c r="N260" s="378"/>
      <c r="O260" s="378"/>
      <c r="P260" s="378"/>
      <c r="Q260" s="378"/>
      <c r="R260" s="337"/>
      <c r="S260" s="379"/>
      <c r="T260" s="338"/>
      <c r="U260" s="379"/>
      <c r="V260" s="361"/>
      <c r="W260" s="409"/>
      <c r="X260" s="5"/>
    </row>
    <row r="261" spans="1:25" ht="15.75" x14ac:dyDescent="0.25">
      <c r="A261" s="285"/>
      <c r="B261" s="286"/>
      <c r="C261" s="286"/>
      <c r="D261" s="286"/>
      <c r="E261" s="286"/>
      <c r="F261" s="286"/>
      <c r="G261" s="286"/>
      <c r="H261" s="381"/>
      <c r="I261" s="381"/>
      <c r="J261" s="381"/>
      <c r="K261" s="381"/>
      <c r="L261" s="381"/>
      <c r="M261" s="381"/>
      <c r="N261" s="381"/>
      <c r="O261" s="381"/>
      <c r="P261" s="381"/>
      <c r="Q261" s="381"/>
      <c r="R261" s="337">
        <f>SUM(R252:R260)</f>
        <v>4623</v>
      </c>
      <c r="S261" s="379">
        <f>SUM(S252:S260)</f>
        <v>1</v>
      </c>
      <c r="T261" s="338">
        <f>SUM(T252:T260)</f>
        <v>635421</v>
      </c>
      <c r="U261" s="379">
        <f>SUM(U252:U260)</f>
        <v>1</v>
      </c>
      <c r="V261" s="286"/>
      <c r="W261" s="289"/>
      <c r="X261" s="5"/>
    </row>
    <row r="262" spans="1:25" ht="15.75" x14ac:dyDescent="0.25">
      <c r="A262" s="181"/>
      <c r="B262" s="212"/>
      <c r="C262" s="212"/>
      <c r="D262" s="212"/>
      <c r="E262" s="212"/>
      <c r="F262" s="212"/>
      <c r="G262" s="212"/>
      <c r="H262" s="375"/>
      <c r="I262" s="375"/>
      <c r="J262" s="375"/>
      <c r="K262" s="375"/>
      <c r="L262" s="375"/>
      <c r="M262" s="375"/>
      <c r="N262" s="375"/>
      <c r="O262" s="375"/>
      <c r="P262" s="375"/>
      <c r="Q262" s="375"/>
      <c r="R262" s="335"/>
      <c r="S262" s="376"/>
      <c r="T262" s="377"/>
      <c r="U262" s="376"/>
      <c r="V262" s="212"/>
      <c r="W262" s="212"/>
      <c r="X262" s="5"/>
    </row>
    <row r="263" spans="1:25" ht="15.75" x14ac:dyDescent="0.25">
      <c r="A263" s="244"/>
      <c r="B263" s="399" t="s">
        <v>236</v>
      </c>
      <c r="C263" s="400"/>
      <c r="D263" s="400"/>
      <c r="E263" s="400"/>
      <c r="F263" s="407"/>
      <c r="G263" s="400"/>
      <c r="H263" s="400"/>
      <c r="I263" s="400"/>
      <c r="J263" s="400"/>
      <c r="K263" s="400"/>
      <c r="L263" s="400"/>
      <c r="M263" s="400"/>
      <c r="N263" s="400"/>
      <c r="O263" s="400"/>
      <c r="P263" s="400"/>
      <c r="Q263" s="400"/>
      <c r="R263" s="407" t="s">
        <v>102</v>
      </c>
      <c r="S263" s="400" t="s">
        <v>103</v>
      </c>
      <c r="T263" s="407" t="s">
        <v>109</v>
      </c>
      <c r="U263" s="400" t="s">
        <v>103</v>
      </c>
      <c r="V263" s="245"/>
      <c r="W263" s="246"/>
      <c r="X263" s="5"/>
    </row>
    <row r="264" spans="1:25" ht="15.75" x14ac:dyDescent="0.25">
      <c r="A264" s="193"/>
      <c r="B264" s="249" t="s">
        <v>88</v>
      </c>
      <c r="C264" s="265"/>
      <c r="D264" s="265"/>
      <c r="E264" s="265"/>
      <c r="F264" s="250"/>
      <c r="G264" s="265"/>
      <c r="H264" s="265"/>
      <c r="I264" s="265"/>
      <c r="J264" s="265"/>
      <c r="K264" s="265"/>
      <c r="L264" s="265"/>
      <c r="M264" s="265"/>
      <c r="N264" s="265"/>
      <c r="O264" s="265"/>
      <c r="P264" s="265"/>
      <c r="Q264" s="265"/>
      <c r="R264" s="249">
        <v>65</v>
      </c>
      <c r="S264" s="252">
        <f t="shared" ref="S264:S270" si="7">R264/$R$273</f>
        <v>0.90277777777777779</v>
      </c>
      <c r="T264" s="253">
        <v>9042</v>
      </c>
      <c r="U264" s="252">
        <f t="shared" ref="U264:U271" si="8">T264/$T$273</f>
        <v>0.93168469860896441</v>
      </c>
      <c r="V264" s="250"/>
      <c r="W264" s="250"/>
      <c r="X264" s="5"/>
    </row>
    <row r="265" spans="1:25" ht="15.75" x14ac:dyDescent="0.25">
      <c r="A265" s="285"/>
      <c r="B265" s="337" t="s">
        <v>89</v>
      </c>
      <c r="C265" s="378"/>
      <c r="D265" s="378"/>
      <c r="E265" s="378"/>
      <c r="F265" s="286"/>
      <c r="G265" s="379"/>
      <c r="H265" s="378"/>
      <c r="I265" s="378"/>
      <c r="J265" s="378"/>
      <c r="K265" s="378"/>
      <c r="L265" s="378"/>
      <c r="M265" s="378"/>
      <c r="N265" s="378"/>
      <c r="O265" s="378"/>
      <c r="P265" s="378"/>
      <c r="Q265" s="378"/>
      <c r="R265" s="337">
        <v>0</v>
      </c>
      <c r="S265" s="379">
        <f t="shared" si="7"/>
        <v>0</v>
      </c>
      <c r="T265" s="338">
        <v>0</v>
      </c>
      <c r="U265" s="379">
        <f t="shared" si="8"/>
        <v>0</v>
      </c>
      <c r="V265" s="286"/>
      <c r="W265" s="289"/>
      <c r="X265" s="5"/>
    </row>
    <row r="266" spans="1:25" ht="15.75" x14ac:dyDescent="0.25">
      <c r="A266" s="285"/>
      <c r="B266" s="337" t="s">
        <v>90</v>
      </c>
      <c r="C266" s="378"/>
      <c r="D266" s="378"/>
      <c r="E266" s="378"/>
      <c r="F266" s="286"/>
      <c r="G266" s="379"/>
      <c r="H266" s="378"/>
      <c r="I266" s="378"/>
      <c r="J266" s="378"/>
      <c r="K266" s="378"/>
      <c r="L266" s="378"/>
      <c r="M266" s="378"/>
      <c r="N266" s="378"/>
      <c r="O266" s="378"/>
      <c r="P266" s="378"/>
      <c r="Q266" s="378"/>
      <c r="R266" s="337">
        <v>3</v>
      </c>
      <c r="S266" s="379">
        <f t="shared" si="7"/>
        <v>4.1666666666666664E-2</v>
      </c>
      <c r="T266" s="338">
        <v>243</v>
      </c>
      <c r="U266" s="379">
        <f t="shared" si="8"/>
        <v>2.5038639876352395E-2</v>
      </c>
      <c r="V266" s="286"/>
      <c r="W266" s="289"/>
      <c r="X266" s="5"/>
    </row>
    <row r="267" spans="1:25" ht="15.75" x14ac:dyDescent="0.25">
      <c r="A267" s="285"/>
      <c r="B267" s="337" t="s">
        <v>156</v>
      </c>
      <c r="C267" s="378"/>
      <c r="D267" s="378"/>
      <c r="E267" s="378"/>
      <c r="F267" s="286"/>
      <c r="G267" s="379"/>
      <c r="H267" s="378"/>
      <c r="I267" s="378"/>
      <c r="J267" s="378"/>
      <c r="K267" s="378"/>
      <c r="L267" s="378"/>
      <c r="M267" s="378"/>
      <c r="N267" s="378"/>
      <c r="O267" s="378"/>
      <c r="P267" s="378"/>
      <c r="Q267" s="378"/>
      <c r="R267" s="337">
        <v>0</v>
      </c>
      <c r="S267" s="379">
        <f t="shared" si="7"/>
        <v>0</v>
      </c>
      <c r="T267" s="338">
        <v>0</v>
      </c>
      <c r="U267" s="379">
        <f t="shared" si="8"/>
        <v>0</v>
      </c>
      <c r="V267" s="286"/>
      <c r="W267" s="289"/>
      <c r="X267" s="5"/>
    </row>
    <row r="268" spans="1:25" ht="15.75" x14ac:dyDescent="0.25">
      <c r="A268" s="285"/>
      <c r="B268" s="337" t="s">
        <v>157</v>
      </c>
      <c r="C268" s="378"/>
      <c r="D268" s="378"/>
      <c r="E268" s="378"/>
      <c r="F268" s="286"/>
      <c r="G268" s="379"/>
      <c r="H268" s="378"/>
      <c r="I268" s="378"/>
      <c r="J268" s="378"/>
      <c r="K268" s="378"/>
      <c r="L268" s="378"/>
      <c r="M268" s="378"/>
      <c r="N268" s="378"/>
      <c r="O268" s="378"/>
      <c r="P268" s="378"/>
      <c r="Q268" s="378"/>
      <c r="R268" s="337">
        <v>2</v>
      </c>
      <c r="S268" s="379">
        <f t="shared" si="7"/>
        <v>2.7777777777777776E-2</v>
      </c>
      <c r="T268" s="338">
        <v>159</v>
      </c>
      <c r="U268" s="379">
        <f t="shared" si="8"/>
        <v>1.6383307573415766E-2</v>
      </c>
      <c r="V268" s="286"/>
      <c r="W268" s="289"/>
      <c r="X268" s="5"/>
    </row>
    <row r="269" spans="1:25" ht="15.75" x14ac:dyDescent="0.25">
      <c r="A269" s="285"/>
      <c r="B269" s="337" t="s">
        <v>158</v>
      </c>
      <c r="C269" s="378"/>
      <c r="D269" s="378"/>
      <c r="E269" s="378"/>
      <c r="F269" s="286"/>
      <c r="G269" s="379"/>
      <c r="H269" s="378"/>
      <c r="I269" s="378"/>
      <c r="J269" s="378"/>
      <c r="K269" s="378"/>
      <c r="L269" s="378"/>
      <c r="M269" s="378"/>
      <c r="N269" s="378"/>
      <c r="O269" s="378"/>
      <c r="P269" s="378"/>
      <c r="Q269" s="378"/>
      <c r="R269" s="337">
        <v>1</v>
      </c>
      <c r="S269" s="379">
        <f t="shared" si="7"/>
        <v>1.3888888888888888E-2</v>
      </c>
      <c r="T269" s="338">
        <v>116</v>
      </c>
      <c r="U269" s="379">
        <f t="shared" si="8"/>
        <v>1.1952601751674395E-2</v>
      </c>
      <c r="V269" s="286"/>
      <c r="W269" s="289"/>
      <c r="X269" s="5"/>
    </row>
    <row r="270" spans="1:25" ht="15.75" x14ac:dyDescent="0.25">
      <c r="A270" s="285"/>
      <c r="B270" s="337" t="s">
        <v>159</v>
      </c>
      <c r="C270" s="378"/>
      <c r="D270" s="378"/>
      <c r="E270" s="378"/>
      <c r="F270" s="286"/>
      <c r="G270" s="379"/>
      <c r="H270" s="378"/>
      <c r="I270" s="378"/>
      <c r="J270" s="378"/>
      <c r="K270" s="378"/>
      <c r="L270" s="378"/>
      <c r="M270" s="378"/>
      <c r="N270" s="378"/>
      <c r="O270" s="378"/>
      <c r="P270" s="378"/>
      <c r="Q270" s="378"/>
      <c r="R270" s="337">
        <v>1</v>
      </c>
      <c r="S270" s="379">
        <f t="shared" si="7"/>
        <v>1.3888888888888888E-2</v>
      </c>
      <c r="T270" s="338">
        <v>145</v>
      </c>
      <c r="U270" s="379">
        <f t="shared" si="8"/>
        <v>1.4940752189592994E-2</v>
      </c>
      <c r="V270" s="286"/>
      <c r="W270" s="289"/>
      <c r="X270" s="5"/>
    </row>
    <row r="271" spans="1:25" ht="15.75" x14ac:dyDescent="0.25">
      <c r="A271" s="285"/>
      <c r="B271" s="337" t="s">
        <v>160</v>
      </c>
      <c r="C271" s="378"/>
      <c r="D271" s="378"/>
      <c r="E271" s="378"/>
      <c r="F271" s="286"/>
      <c r="G271" s="379"/>
      <c r="H271" s="378"/>
      <c r="I271" s="378"/>
      <c r="J271" s="378"/>
      <c r="K271" s="378"/>
      <c r="L271" s="378"/>
      <c r="M271" s="378"/>
      <c r="N271" s="378"/>
      <c r="O271" s="378"/>
      <c r="P271" s="378"/>
      <c r="Q271" s="378"/>
      <c r="R271" s="337">
        <v>0</v>
      </c>
      <c r="S271" s="379">
        <f>R271/$R$273</f>
        <v>0</v>
      </c>
      <c r="T271" s="338">
        <v>0</v>
      </c>
      <c r="U271" s="379">
        <f t="shared" si="8"/>
        <v>0</v>
      </c>
      <c r="V271" s="286"/>
      <c r="W271" s="289"/>
      <c r="X271" s="5"/>
    </row>
    <row r="272" spans="1:25" ht="15.75" x14ac:dyDescent="0.25">
      <c r="A272" s="285"/>
      <c r="B272" s="337"/>
      <c r="C272" s="378"/>
      <c r="D272" s="378"/>
      <c r="E272" s="378"/>
      <c r="F272" s="286"/>
      <c r="G272" s="379"/>
      <c r="H272" s="378"/>
      <c r="I272" s="378"/>
      <c r="J272" s="378"/>
      <c r="K272" s="378"/>
      <c r="L272" s="378"/>
      <c r="M272" s="378"/>
      <c r="N272" s="378"/>
      <c r="O272" s="378"/>
      <c r="P272" s="378"/>
      <c r="Q272" s="378"/>
      <c r="R272" s="337"/>
      <c r="S272" s="379"/>
      <c r="T272" s="338"/>
      <c r="U272" s="379"/>
      <c r="V272" s="286"/>
      <c r="W272" s="289"/>
      <c r="X272" s="5"/>
    </row>
    <row r="273" spans="1:24" ht="15.75" x14ac:dyDescent="0.25">
      <c r="A273" s="285"/>
      <c r="B273" s="286"/>
      <c r="C273" s="286"/>
      <c r="D273" s="286"/>
      <c r="E273" s="286"/>
      <c r="F273" s="286"/>
      <c r="G273" s="286"/>
      <c r="H273" s="381"/>
      <c r="I273" s="381"/>
      <c r="J273" s="381"/>
      <c r="K273" s="381"/>
      <c r="L273" s="381"/>
      <c r="M273" s="381"/>
      <c r="N273" s="381"/>
      <c r="O273" s="381"/>
      <c r="P273" s="381"/>
      <c r="Q273" s="381"/>
      <c r="R273" s="337">
        <f>SUM(R264:R272)</f>
        <v>72</v>
      </c>
      <c r="S273" s="379">
        <f>SUM(S264:S272)</f>
        <v>0.99999999999999989</v>
      </c>
      <c r="T273" s="338">
        <f>SUM(T264:T272)</f>
        <v>9705</v>
      </c>
      <c r="U273" s="379">
        <f>SUM(U264:U272)</f>
        <v>0.99999999999999989</v>
      </c>
      <c r="V273" s="286"/>
      <c r="W273" s="289"/>
      <c r="X273" s="5"/>
    </row>
    <row r="274" spans="1:24" ht="15.75" x14ac:dyDescent="0.25">
      <c r="A274" s="181"/>
      <c r="B274" s="212"/>
      <c r="C274" s="212"/>
      <c r="D274" s="212"/>
      <c r="E274" s="212"/>
      <c r="F274" s="212"/>
      <c r="G274" s="212"/>
      <c r="H274" s="375"/>
      <c r="I274" s="375"/>
      <c r="J274" s="375"/>
      <c r="K274" s="375"/>
      <c r="L274" s="375"/>
      <c r="M274" s="375"/>
      <c r="N274" s="375"/>
      <c r="O274" s="375"/>
      <c r="P274" s="375"/>
      <c r="Q274" s="375"/>
      <c r="R274" s="335"/>
      <c r="S274" s="376"/>
      <c r="T274" s="377"/>
      <c r="U274" s="376"/>
      <c r="V274" s="212"/>
      <c r="W274" s="212"/>
      <c r="X274" s="5"/>
    </row>
    <row r="275" spans="1:24" ht="15.75" x14ac:dyDescent="0.25">
      <c r="A275" s="244"/>
      <c r="B275" s="399" t="s">
        <v>163</v>
      </c>
      <c r="C275" s="245"/>
      <c r="D275" s="245"/>
      <c r="E275" s="245"/>
      <c r="F275" s="245"/>
      <c r="G275" s="245"/>
      <c r="H275" s="247"/>
      <c r="I275" s="247"/>
      <c r="J275" s="247"/>
      <c r="K275" s="247"/>
      <c r="L275" s="247"/>
      <c r="M275" s="247"/>
      <c r="N275" s="247"/>
      <c r="O275" s="247"/>
      <c r="P275" s="247"/>
      <c r="Q275" s="247"/>
      <c r="R275" s="407" t="s">
        <v>102</v>
      </c>
      <c r="S275" s="400" t="s">
        <v>103</v>
      </c>
      <c r="T275" s="407" t="s">
        <v>109</v>
      </c>
      <c r="U275" s="400" t="s">
        <v>103</v>
      </c>
      <c r="V275" s="245"/>
      <c r="W275" s="246"/>
      <c r="X275" s="5"/>
    </row>
    <row r="276" spans="1:24" ht="15.75" x14ac:dyDescent="0.25">
      <c r="A276" s="248"/>
      <c r="B276" s="249" t="s">
        <v>88</v>
      </c>
      <c r="C276" s="250"/>
      <c r="D276" s="250"/>
      <c r="E276" s="250"/>
      <c r="F276" s="250"/>
      <c r="G276" s="250"/>
      <c r="H276" s="251"/>
      <c r="I276" s="251"/>
      <c r="J276" s="251"/>
      <c r="K276" s="251"/>
      <c r="L276" s="251"/>
      <c r="M276" s="251"/>
      <c r="N276" s="251"/>
      <c r="O276" s="251"/>
      <c r="P276" s="251"/>
      <c r="Q276" s="251"/>
      <c r="R276" s="249">
        <v>0</v>
      </c>
      <c r="S276" s="252">
        <v>0</v>
      </c>
      <c r="T276" s="253">
        <v>0</v>
      </c>
      <c r="U276" s="252">
        <v>0</v>
      </c>
      <c r="V276" s="250"/>
      <c r="W276" s="250"/>
      <c r="X276" s="5"/>
    </row>
    <row r="277" spans="1:24" ht="15.75" x14ac:dyDescent="0.25">
      <c r="A277" s="295"/>
      <c r="B277" s="337" t="s">
        <v>89</v>
      </c>
      <c r="C277" s="286"/>
      <c r="D277" s="286"/>
      <c r="E277" s="286"/>
      <c r="F277" s="286"/>
      <c r="G277" s="286"/>
      <c r="H277" s="381"/>
      <c r="I277" s="381"/>
      <c r="J277" s="381"/>
      <c r="K277" s="381"/>
      <c r="L277" s="381"/>
      <c r="M277" s="381"/>
      <c r="N277" s="381"/>
      <c r="O277" s="381"/>
      <c r="P277" s="381"/>
      <c r="Q277" s="381"/>
      <c r="R277" s="337">
        <v>0</v>
      </c>
      <c r="S277" s="379">
        <v>0</v>
      </c>
      <c r="T277" s="338">
        <v>0</v>
      </c>
      <c r="U277" s="379">
        <v>0</v>
      </c>
      <c r="V277" s="286"/>
      <c r="W277" s="289"/>
      <c r="X277" s="5"/>
    </row>
    <row r="278" spans="1:24" ht="15.75" x14ac:dyDescent="0.25">
      <c r="A278" s="295"/>
      <c r="B278" s="337" t="s">
        <v>90</v>
      </c>
      <c r="C278" s="286"/>
      <c r="D278" s="286"/>
      <c r="E278" s="286"/>
      <c r="F278" s="286"/>
      <c r="G278" s="286"/>
      <c r="H278" s="381"/>
      <c r="I278" s="381"/>
      <c r="J278" s="381"/>
      <c r="K278" s="381"/>
      <c r="L278" s="381"/>
      <c r="M278" s="381"/>
      <c r="N278" s="381"/>
      <c r="O278" s="381"/>
      <c r="P278" s="381"/>
      <c r="Q278" s="381"/>
      <c r="R278" s="337">
        <v>0</v>
      </c>
      <c r="S278" s="379">
        <v>0</v>
      </c>
      <c r="T278" s="338">
        <v>0</v>
      </c>
      <c r="U278" s="379">
        <v>0</v>
      </c>
      <c r="V278" s="286"/>
      <c r="W278" s="289"/>
      <c r="X278" s="5"/>
    </row>
    <row r="279" spans="1:24" ht="15.75" x14ac:dyDescent="0.25">
      <c r="A279" s="295"/>
      <c r="B279" s="337" t="s">
        <v>156</v>
      </c>
      <c r="C279" s="286"/>
      <c r="D279" s="286"/>
      <c r="E279" s="286"/>
      <c r="F279" s="286"/>
      <c r="G279" s="286"/>
      <c r="H279" s="381"/>
      <c r="I279" s="381"/>
      <c r="J279" s="381"/>
      <c r="K279" s="381"/>
      <c r="L279" s="381"/>
      <c r="M279" s="381"/>
      <c r="N279" s="381"/>
      <c r="O279" s="381"/>
      <c r="P279" s="381"/>
      <c r="Q279" s="381"/>
      <c r="R279" s="337">
        <v>0</v>
      </c>
      <c r="S279" s="379">
        <v>0</v>
      </c>
      <c r="T279" s="338">
        <v>0</v>
      </c>
      <c r="U279" s="379">
        <v>0</v>
      </c>
      <c r="V279" s="286"/>
      <c r="W279" s="289"/>
      <c r="X279" s="5"/>
    </row>
    <row r="280" spans="1:24" ht="15.75" x14ac:dyDescent="0.25">
      <c r="A280" s="295"/>
      <c r="B280" s="337" t="s">
        <v>157</v>
      </c>
      <c r="C280" s="286"/>
      <c r="D280" s="286"/>
      <c r="E280" s="286"/>
      <c r="F280" s="286"/>
      <c r="G280" s="286"/>
      <c r="H280" s="381"/>
      <c r="I280" s="381"/>
      <c r="J280" s="381"/>
      <c r="K280" s="381"/>
      <c r="L280" s="381"/>
      <c r="M280" s="381"/>
      <c r="N280" s="381"/>
      <c r="O280" s="381"/>
      <c r="P280" s="381"/>
      <c r="Q280" s="381"/>
      <c r="R280" s="337">
        <v>0</v>
      </c>
      <c r="S280" s="379">
        <v>0</v>
      </c>
      <c r="T280" s="338">
        <v>0</v>
      </c>
      <c r="U280" s="379">
        <v>0</v>
      </c>
      <c r="V280" s="286"/>
      <c r="W280" s="289"/>
      <c r="X280" s="5"/>
    </row>
    <row r="281" spans="1:24" ht="15.75" x14ac:dyDescent="0.25">
      <c r="A281" s="295"/>
      <c r="B281" s="337" t="s">
        <v>158</v>
      </c>
      <c r="C281" s="286"/>
      <c r="D281" s="286"/>
      <c r="E281" s="286"/>
      <c r="F281" s="286"/>
      <c r="G281" s="286"/>
      <c r="H281" s="381"/>
      <c r="I281" s="381"/>
      <c r="J281" s="381"/>
      <c r="K281" s="381"/>
      <c r="L281" s="381"/>
      <c r="M281" s="381"/>
      <c r="N281" s="381"/>
      <c r="O281" s="381"/>
      <c r="P281" s="381"/>
      <c r="Q281" s="381"/>
      <c r="R281" s="337">
        <v>0</v>
      </c>
      <c r="S281" s="379">
        <v>0</v>
      </c>
      <c r="T281" s="338">
        <v>0</v>
      </c>
      <c r="U281" s="379">
        <v>0</v>
      </c>
      <c r="V281" s="286"/>
      <c r="W281" s="289"/>
      <c r="X281" s="5"/>
    </row>
    <row r="282" spans="1:24" ht="15.75" x14ac:dyDescent="0.25">
      <c r="A282" s="295"/>
      <c r="B282" s="337" t="s">
        <v>159</v>
      </c>
      <c r="C282" s="286"/>
      <c r="D282" s="286"/>
      <c r="E282" s="286"/>
      <c r="F282" s="286"/>
      <c r="G282" s="286"/>
      <c r="H282" s="381"/>
      <c r="I282" s="381"/>
      <c r="J282" s="381"/>
      <c r="K282" s="381"/>
      <c r="L282" s="381"/>
      <c r="M282" s="381"/>
      <c r="N282" s="381"/>
      <c r="O282" s="381"/>
      <c r="P282" s="381"/>
      <c r="Q282" s="381"/>
      <c r="R282" s="337">
        <v>0</v>
      </c>
      <c r="S282" s="379">
        <v>0</v>
      </c>
      <c r="T282" s="338">
        <v>0</v>
      </c>
      <c r="U282" s="379">
        <v>0</v>
      </c>
      <c r="V282" s="286"/>
      <c r="W282" s="289"/>
      <c r="X282" s="5"/>
    </row>
    <row r="283" spans="1:24" ht="15.75" x14ac:dyDescent="0.25">
      <c r="A283" s="295"/>
      <c r="B283" s="337" t="s">
        <v>160</v>
      </c>
      <c r="C283" s="286"/>
      <c r="D283" s="286"/>
      <c r="E283" s="286"/>
      <c r="F283" s="286"/>
      <c r="G283" s="286"/>
      <c r="H283" s="381"/>
      <c r="I283" s="381"/>
      <c r="J283" s="381"/>
      <c r="K283" s="381"/>
      <c r="L283" s="381"/>
      <c r="M283" s="381"/>
      <c r="N283" s="381"/>
      <c r="O283" s="381"/>
      <c r="P283" s="381"/>
      <c r="Q283" s="381"/>
      <c r="R283" s="337">
        <v>0</v>
      </c>
      <c r="S283" s="379">
        <v>0</v>
      </c>
      <c r="T283" s="338">
        <v>0</v>
      </c>
      <c r="U283" s="379">
        <v>0</v>
      </c>
      <c r="V283" s="286"/>
      <c r="W283" s="289"/>
      <c r="X283" s="5"/>
    </row>
    <row r="284" spans="1:24" ht="15.75" x14ac:dyDescent="0.25">
      <c r="A284" s="295"/>
      <c r="B284" s="337"/>
      <c r="C284" s="286"/>
      <c r="D284" s="286"/>
      <c r="E284" s="286"/>
      <c r="F284" s="286"/>
      <c r="G284" s="286"/>
      <c r="H284" s="381"/>
      <c r="I284" s="381"/>
      <c r="J284" s="381"/>
      <c r="K284" s="381"/>
      <c r="L284" s="381"/>
      <c r="M284" s="381"/>
      <c r="N284" s="381"/>
      <c r="O284" s="381"/>
      <c r="P284" s="381"/>
      <c r="Q284" s="381"/>
      <c r="R284" s="337"/>
      <c r="S284" s="379"/>
      <c r="T284" s="338"/>
      <c r="U284" s="379"/>
      <c r="V284" s="286"/>
      <c r="W284" s="289"/>
      <c r="X284" s="5"/>
    </row>
    <row r="285" spans="1:24" ht="15.75" x14ac:dyDescent="0.25">
      <c r="A285" s="295"/>
      <c r="B285" s="286" t="s">
        <v>114</v>
      </c>
      <c r="C285" s="286"/>
      <c r="D285" s="286"/>
      <c r="E285" s="286"/>
      <c r="F285" s="286"/>
      <c r="G285" s="286"/>
      <c r="H285" s="381"/>
      <c r="I285" s="381"/>
      <c r="J285" s="381"/>
      <c r="K285" s="381"/>
      <c r="L285" s="381"/>
      <c r="M285" s="381"/>
      <c r="N285" s="381"/>
      <c r="O285" s="381"/>
      <c r="P285" s="381"/>
      <c r="Q285" s="381"/>
      <c r="R285" s="337">
        <f>SUM(R276:R283)</f>
        <v>0</v>
      </c>
      <c r="S285" s="379">
        <f>SUM(S276:S283)</f>
        <v>0</v>
      </c>
      <c r="T285" s="338">
        <f>SUM(T276:T283)</f>
        <v>0</v>
      </c>
      <c r="U285" s="379">
        <f>SUM(U276:U283)</f>
        <v>0</v>
      </c>
      <c r="V285" s="286"/>
      <c r="W285" s="289"/>
      <c r="X285" s="5"/>
    </row>
    <row r="286" spans="1:24" ht="15.75" x14ac:dyDescent="0.25">
      <c r="A286" s="295"/>
      <c r="B286" s="286"/>
      <c r="C286" s="286"/>
      <c r="D286" s="286"/>
      <c r="E286" s="286"/>
      <c r="F286" s="286"/>
      <c r="G286" s="286"/>
      <c r="H286" s="381"/>
      <c r="I286" s="381"/>
      <c r="J286" s="381"/>
      <c r="K286" s="381"/>
      <c r="L286" s="381"/>
      <c r="M286" s="381"/>
      <c r="N286" s="381"/>
      <c r="O286" s="381"/>
      <c r="P286" s="381"/>
      <c r="Q286" s="381"/>
      <c r="R286" s="337"/>
      <c r="S286" s="379"/>
      <c r="T286" s="338"/>
      <c r="U286" s="379"/>
      <c r="V286" s="286"/>
      <c r="W286" s="289"/>
      <c r="X286" s="5"/>
    </row>
    <row r="287" spans="1:24" ht="15.75" x14ac:dyDescent="0.25">
      <c r="A287" s="295"/>
      <c r="B287" s="297" t="s">
        <v>164</v>
      </c>
      <c r="C287" s="286"/>
      <c r="D287" s="286"/>
      <c r="E287" s="286"/>
      <c r="F287" s="286"/>
      <c r="G287" s="286"/>
      <c r="H287" s="381"/>
      <c r="I287" s="381"/>
      <c r="J287" s="381"/>
      <c r="K287" s="381"/>
      <c r="L287" s="381"/>
      <c r="M287" s="381"/>
      <c r="N287" s="381"/>
      <c r="O287" s="381"/>
      <c r="P287" s="381"/>
      <c r="Q287" s="381"/>
      <c r="R287" s="384">
        <f>R285+R273+R261</f>
        <v>4695</v>
      </c>
      <c r="S287" s="379"/>
      <c r="T287" s="410">
        <f>+T285+T273+T261</f>
        <v>645126</v>
      </c>
      <c r="U287" s="379"/>
      <c r="V287" s="286"/>
      <c r="W287" s="289"/>
      <c r="X287" s="5"/>
    </row>
    <row r="288" spans="1:24" ht="15.75" x14ac:dyDescent="0.25">
      <c r="A288" s="254"/>
      <c r="B288" s="346"/>
      <c r="C288" s="346"/>
      <c r="D288" s="346"/>
      <c r="E288" s="346"/>
      <c r="F288" s="346"/>
      <c r="G288" s="346"/>
      <c r="H288" s="382"/>
      <c r="I288" s="382"/>
      <c r="J288" s="382"/>
      <c r="K288" s="382"/>
      <c r="L288" s="382"/>
      <c r="M288" s="382"/>
      <c r="N288" s="382"/>
      <c r="O288" s="382"/>
      <c r="P288" s="382"/>
      <c r="Q288" s="382"/>
      <c r="R288" s="382"/>
      <c r="S288" s="382"/>
      <c r="T288" s="383"/>
      <c r="U288" s="382"/>
      <c r="V288" s="346"/>
      <c r="W288" s="346"/>
      <c r="X288" s="5"/>
    </row>
    <row r="289" spans="1:24" ht="15.75" x14ac:dyDescent="0.25">
      <c r="A289" s="254"/>
      <c r="B289" s="255"/>
      <c r="C289" s="255"/>
      <c r="D289" s="255"/>
      <c r="E289" s="255"/>
      <c r="F289" s="255"/>
      <c r="G289" s="255"/>
      <c r="H289" s="256"/>
      <c r="I289" s="256"/>
      <c r="J289" s="256"/>
      <c r="K289" s="256"/>
      <c r="L289" s="256"/>
      <c r="M289" s="256"/>
      <c r="N289" s="256"/>
      <c r="O289" s="256"/>
      <c r="P289" s="256"/>
      <c r="Q289" s="256"/>
      <c r="R289" s="256"/>
      <c r="S289" s="256"/>
      <c r="T289" s="257"/>
      <c r="U289" s="256"/>
      <c r="V289" s="255"/>
      <c r="W289" s="255"/>
      <c r="X289" s="5"/>
    </row>
    <row r="290" spans="1:24" ht="15.75" x14ac:dyDescent="0.25">
      <c r="A290" s="258"/>
      <c r="B290" s="388" t="s">
        <v>91</v>
      </c>
      <c r="C290" s="255"/>
      <c r="D290" s="255"/>
      <c r="E290" s="255"/>
      <c r="F290" s="391" t="s">
        <v>97</v>
      </c>
      <c r="G290" s="255"/>
      <c r="H290" s="388" t="s">
        <v>99</v>
      </c>
      <c r="I290" s="388"/>
      <c r="J290" s="388"/>
      <c r="K290" s="261"/>
      <c r="L290" s="261"/>
      <c r="M290" s="261"/>
      <c r="N290" s="261"/>
      <c r="O290" s="261"/>
      <c r="P290" s="261"/>
      <c r="Q290" s="261"/>
      <c r="R290" s="261"/>
      <c r="S290" s="261"/>
      <c r="T290" s="261"/>
      <c r="U290" s="261"/>
      <c r="V290" s="261"/>
      <c r="W290" s="261"/>
      <c r="X290" s="5"/>
    </row>
    <row r="291" spans="1:24" ht="15.75" x14ac:dyDescent="0.25">
      <c r="A291" s="258"/>
      <c r="B291" s="261"/>
      <c r="C291" s="255"/>
      <c r="D291" s="255"/>
      <c r="E291" s="255"/>
      <c r="F291" s="255"/>
      <c r="G291" s="255"/>
      <c r="H291" s="255"/>
      <c r="I291" s="255"/>
      <c r="J291" s="255"/>
      <c r="K291" s="261"/>
      <c r="L291" s="261"/>
      <c r="M291" s="261"/>
      <c r="N291" s="261"/>
      <c r="O291" s="261"/>
      <c r="P291" s="261"/>
      <c r="Q291" s="261"/>
      <c r="R291" s="261"/>
      <c r="S291" s="261"/>
      <c r="T291" s="261"/>
      <c r="U291" s="261"/>
      <c r="V291" s="261"/>
      <c r="W291" s="261"/>
      <c r="X291" s="5"/>
    </row>
    <row r="292" spans="1:24" ht="15.75" x14ac:dyDescent="0.25">
      <c r="A292" s="258"/>
      <c r="B292" s="388" t="s">
        <v>319</v>
      </c>
      <c r="C292" s="388"/>
      <c r="D292" s="388"/>
      <c r="E292" s="388"/>
      <c r="F292" s="411" t="s">
        <v>266</v>
      </c>
      <c r="G292" s="388"/>
      <c r="H292" s="388" t="s">
        <v>267</v>
      </c>
      <c r="I292" s="388"/>
      <c r="J292" s="388"/>
      <c r="K292" s="261"/>
      <c r="L292" s="261"/>
      <c r="M292" s="261"/>
      <c r="N292" s="261"/>
      <c r="O292" s="261"/>
      <c r="P292" s="261"/>
      <c r="Q292" s="261"/>
      <c r="R292" s="261"/>
      <c r="S292" s="261"/>
      <c r="T292" s="261"/>
      <c r="U292" s="261"/>
      <c r="V292" s="261"/>
      <c r="W292" s="261"/>
      <c r="X292" s="5"/>
    </row>
    <row r="293" spans="1:24" ht="15.75" x14ac:dyDescent="0.25">
      <c r="A293" s="258"/>
      <c r="B293" s="388" t="s">
        <v>320</v>
      </c>
      <c r="C293" s="388"/>
      <c r="D293" s="388"/>
      <c r="E293" s="388"/>
      <c r="F293" s="411" t="s">
        <v>147</v>
      </c>
      <c r="G293" s="388"/>
      <c r="H293" s="388" t="s">
        <v>153</v>
      </c>
      <c r="I293" s="388"/>
      <c r="J293" s="388"/>
      <c r="K293" s="261"/>
      <c r="L293" s="261"/>
      <c r="M293" s="261"/>
      <c r="N293" s="261"/>
      <c r="O293" s="261"/>
      <c r="P293" s="261"/>
      <c r="Q293" s="261"/>
      <c r="R293" s="261"/>
      <c r="S293" s="261"/>
      <c r="T293" s="261"/>
      <c r="U293" s="261"/>
      <c r="V293" s="261"/>
      <c r="W293" s="261"/>
      <c r="X293" s="5"/>
    </row>
    <row r="294" spans="1:24" ht="15.75" x14ac:dyDescent="0.25">
      <c r="A294" s="258"/>
      <c r="B294" s="388"/>
      <c r="C294" s="388"/>
      <c r="D294" s="388"/>
      <c r="E294" s="388"/>
      <c r="F294" s="388"/>
      <c r="G294" s="263"/>
      <c r="H294" s="261"/>
      <c r="I294" s="261"/>
      <c r="J294" s="261"/>
      <c r="K294" s="261"/>
      <c r="L294" s="261"/>
      <c r="M294" s="261"/>
      <c r="N294" s="261"/>
      <c r="O294" s="261"/>
      <c r="P294" s="261"/>
      <c r="Q294" s="261"/>
      <c r="R294" s="261"/>
      <c r="S294" s="261"/>
      <c r="T294" s="261"/>
      <c r="U294" s="261"/>
      <c r="V294" s="261"/>
      <c r="W294" s="261"/>
      <c r="X294" s="5"/>
    </row>
    <row r="295" spans="1:24" ht="15.75" x14ac:dyDescent="0.25">
      <c r="A295" s="258"/>
      <c r="B295" s="388"/>
      <c r="C295" s="388"/>
      <c r="D295" s="388"/>
      <c r="E295" s="388"/>
      <c r="F295" s="388"/>
      <c r="G295" s="263"/>
      <c r="H295" s="261"/>
      <c r="I295" s="261"/>
      <c r="J295" s="261"/>
      <c r="K295" s="261"/>
      <c r="L295" s="261"/>
      <c r="M295" s="261"/>
      <c r="N295" s="261"/>
      <c r="O295" s="261"/>
      <c r="P295" s="261"/>
      <c r="Q295" s="261"/>
      <c r="R295" s="261"/>
      <c r="S295" s="261"/>
      <c r="T295" s="261"/>
      <c r="U295" s="261"/>
      <c r="V295" s="261"/>
      <c r="W295" s="261"/>
      <c r="X295" s="5"/>
    </row>
    <row r="296" spans="1:24" ht="19.5" thickBot="1" x14ac:dyDescent="0.35">
      <c r="A296" s="258"/>
      <c r="B296" s="264" t="str">
        <f>B201</f>
        <v>PM15 INVESTOR REPORT QUARTER ENDING AUGUST 2017</v>
      </c>
      <c r="C296" s="388"/>
      <c r="D296" s="388"/>
      <c r="E296" s="388"/>
      <c r="F296" s="388"/>
      <c r="G296" s="263"/>
      <c r="H296" s="261"/>
      <c r="I296" s="261"/>
      <c r="J296" s="261"/>
      <c r="K296" s="261"/>
      <c r="L296" s="261"/>
      <c r="M296" s="261"/>
      <c r="N296" s="261"/>
      <c r="O296" s="261"/>
      <c r="P296" s="261"/>
      <c r="Q296" s="261"/>
      <c r="R296" s="261"/>
      <c r="S296" s="261"/>
      <c r="T296" s="261"/>
      <c r="U296" s="261"/>
      <c r="V296" s="261"/>
      <c r="W296" s="261"/>
      <c r="X296" s="5"/>
    </row>
    <row r="297" spans="1:24" x14ac:dyDescent="0.2">
      <c r="A297" s="100"/>
      <c r="B297" s="100"/>
      <c r="C297" s="100"/>
      <c r="D297" s="100"/>
      <c r="E297" s="100"/>
      <c r="F297" s="100"/>
      <c r="G297" s="100"/>
      <c r="H297" s="100"/>
      <c r="I297" s="100"/>
      <c r="J297" s="100"/>
      <c r="K297" s="100"/>
      <c r="L297" s="100"/>
      <c r="M297" s="100"/>
      <c r="N297" s="100"/>
      <c r="O297" s="100"/>
      <c r="P297" s="100"/>
      <c r="Q297" s="100"/>
      <c r="R297" s="100"/>
      <c r="S297" s="100"/>
      <c r="T297" s="100"/>
      <c r="U297" s="100"/>
      <c r="V297" s="100"/>
      <c r="W297" s="100"/>
    </row>
  </sheetData>
  <hyperlinks>
    <hyperlink ref="P237" r:id="rId1" xr:uid="{00000000-0004-0000-2700-000000000000}"/>
    <hyperlink ref="I9" r:id="rId2" xr:uid="{00000000-0004-0000-27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5" max="14" man="1"/>
    <brk id="201" max="14" man="1"/>
  </rowBreaks>
  <drawing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4"/>
  </sheetPr>
  <dimension ref="A1:IV297"/>
  <sheetViews>
    <sheetView showGridLines="0" showOutlineSymbols="0" zoomScale="70" zoomScaleNormal="70" workbookViewId="0"/>
  </sheetViews>
  <sheetFormatPr defaultColWidth="9.6640625" defaultRowHeight="15" x14ac:dyDescent="0.2"/>
  <cols>
    <col min="1" max="1" width="4" style="1" customWidth="1"/>
    <col min="2" max="2" width="71.21875" style="1" customWidth="1"/>
    <col min="3" max="3" width="2.21875" style="1" customWidth="1"/>
    <col min="4" max="4" width="19.33203125" style="1" customWidth="1"/>
    <col min="5" max="5" width="2.21875" style="1" customWidth="1"/>
    <col min="6" max="6" width="25.109375" style="1" customWidth="1"/>
    <col min="7" max="7" width="2.21875" style="1" customWidth="1"/>
    <col min="8" max="8" width="16.21875" style="1" customWidth="1"/>
    <col min="9" max="9" width="2.88671875" style="1" customWidth="1"/>
    <col min="10" max="10" width="16.21875" style="1" customWidth="1"/>
    <col min="11" max="11" width="2.21875" style="1" customWidth="1"/>
    <col min="12" max="12" width="17.88671875" style="1" customWidth="1"/>
    <col min="13" max="13" width="2.33203125" style="1" customWidth="1"/>
    <col min="14" max="14" width="14.88671875" style="1" customWidth="1"/>
    <col min="15" max="15" width="2.33203125" style="1" customWidth="1"/>
    <col min="16" max="16" width="15.5546875" style="1" customWidth="1"/>
    <col min="17" max="17" width="2.21875" style="1" customWidth="1"/>
    <col min="18" max="18" width="15.5546875" style="1" customWidth="1"/>
    <col min="19" max="20" width="12.6640625" style="1" customWidth="1"/>
    <col min="21" max="21" width="7.77734375" style="1" customWidth="1"/>
    <col min="22" max="22" width="14.6640625" style="1" customWidth="1"/>
    <col min="23" max="23" width="11.77734375" style="1" customWidth="1"/>
    <col min="24" max="16384" width="9.6640625" style="1"/>
  </cols>
  <sheetData>
    <row r="1" spans="1:24" ht="20.25" x14ac:dyDescent="0.3">
      <c r="A1" s="179"/>
      <c r="B1" s="413" t="s">
        <v>237</v>
      </c>
      <c r="C1" s="180"/>
      <c r="D1" s="180"/>
      <c r="E1" s="180"/>
      <c r="F1" s="180"/>
      <c r="G1" s="180"/>
      <c r="H1" s="180"/>
      <c r="I1" s="180"/>
      <c r="J1" s="180"/>
      <c r="K1" s="180"/>
      <c r="L1" s="180"/>
      <c r="M1" s="180"/>
      <c r="N1" s="180"/>
      <c r="O1" s="180"/>
      <c r="P1" s="180"/>
      <c r="Q1" s="180"/>
      <c r="R1" s="180"/>
      <c r="S1" s="180"/>
      <c r="T1" s="180"/>
      <c r="U1" s="180"/>
      <c r="V1" s="180"/>
      <c r="W1" s="180"/>
      <c r="X1" s="5"/>
    </row>
    <row r="2" spans="1:24" ht="15.75" x14ac:dyDescent="0.25">
      <c r="A2" s="181"/>
      <c r="B2" s="182"/>
      <c r="C2" s="183"/>
      <c r="D2" s="183"/>
      <c r="E2" s="183"/>
      <c r="F2" s="183"/>
      <c r="G2" s="183"/>
      <c r="H2" s="183"/>
      <c r="I2" s="183"/>
      <c r="J2" s="183"/>
      <c r="K2" s="183"/>
      <c r="L2" s="183"/>
      <c r="M2" s="183"/>
      <c r="N2" s="183"/>
      <c r="O2" s="183"/>
      <c r="P2" s="183"/>
      <c r="Q2" s="183"/>
      <c r="R2" s="183"/>
      <c r="S2" s="183"/>
      <c r="T2" s="183"/>
      <c r="U2" s="183"/>
      <c r="V2" s="183"/>
      <c r="W2" s="183"/>
      <c r="X2" s="5"/>
    </row>
    <row r="3" spans="1:24" ht="15.75" x14ac:dyDescent="0.25">
      <c r="A3" s="184"/>
      <c r="B3" s="511" t="s">
        <v>238</v>
      </c>
      <c r="C3" s="183"/>
      <c r="D3" s="183"/>
      <c r="E3" s="183"/>
      <c r="F3" s="183"/>
      <c r="G3" s="183"/>
      <c r="H3" s="183"/>
      <c r="I3" s="183"/>
      <c r="J3" s="183"/>
      <c r="K3" s="183"/>
      <c r="L3" s="183"/>
      <c r="M3" s="183"/>
      <c r="N3" s="183"/>
      <c r="O3" s="183"/>
      <c r="P3" s="183"/>
      <c r="Q3" s="183"/>
      <c r="R3" s="183"/>
      <c r="S3" s="183"/>
      <c r="T3" s="183"/>
      <c r="U3" s="183"/>
      <c r="V3" s="183"/>
      <c r="W3" s="183"/>
      <c r="X3" s="5"/>
    </row>
    <row r="4" spans="1:24" ht="15.75" x14ac:dyDescent="0.25">
      <c r="A4" s="181"/>
      <c r="B4" s="182"/>
      <c r="C4" s="183"/>
      <c r="D4" s="183"/>
      <c r="E4" s="183"/>
      <c r="F4" s="183"/>
      <c r="G4" s="183"/>
      <c r="H4" s="183"/>
      <c r="I4" s="183"/>
      <c r="J4" s="183"/>
      <c r="K4" s="183"/>
      <c r="L4" s="183"/>
      <c r="M4" s="183"/>
      <c r="N4" s="183"/>
      <c r="O4" s="183"/>
      <c r="P4" s="183"/>
      <c r="Q4" s="183"/>
      <c r="R4" s="183"/>
      <c r="S4" s="183"/>
      <c r="T4" s="183"/>
      <c r="U4" s="183"/>
      <c r="V4" s="183"/>
      <c r="W4" s="183"/>
      <c r="X4" s="5"/>
    </row>
    <row r="5" spans="1:24" ht="15.75" x14ac:dyDescent="0.25">
      <c r="A5" s="181"/>
      <c r="B5" s="414" t="s">
        <v>137</v>
      </c>
      <c r="C5" s="183"/>
      <c r="D5" s="183"/>
      <c r="E5" s="183"/>
      <c r="F5" s="183"/>
      <c r="G5" s="183"/>
      <c r="H5" s="183"/>
      <c r="I5" s="183"/>
      <c r="J5" s="183"/>
      <c r="K5" s="183"/>
      <c r="L5" s="183"/>
      <c r="M5" s="183"/>
      <c r="N5" s="183"/>
      <c r="O5" s="183"/>
      <c r="P5" s="183"/>
      <c r="Q5" s="183"/>
      <c r="R5" s="183"/>
      <c r="S5" s="183"/>
      <c r="T5" s="183"/>
      <c r="U5" s="183"/>
      <c r="V5" s="183"/>
      <c r="W5" s="183"/>
      <c r="X5" s="5"/>
    </row>
    <row r="6" spans="1:24" ht="15.75" x14ac:dyDescent="0.25">
      <c r="A6" s="181"/>
      <c r="B6" s="414" t="s">
        <v>139</v>
      </c>
      <c r="C6" s="183"/>
      <c r="D6" s="183"/>
      <c r="E6" s="183"/>
      <c r="F6" s="183"/>
      <c r="G6" s="183"/>
      <c r="H6" s="183"/>
      <c r="I6" s="183"/>
      <c r="J6" s="183"/>
      <c r="K6" s="183"/>
      <c r="L6" s="183"/>
      <c r="M6" s="183"/>
      <c r="N6" s="183"/>
      <c r="O6" s="183"/>
      <c r="P6" s="183"/>
      <c r="Q6" s="183"/>
      <c r="R6" s="183"/>
      <c r="S6" s="183"/>
      <c r="T6" s="183"/>
      <c r="U6" s="183"/>
      <c r="V6" s="183"/>
      <c r="W6" s="183"/>
      <c r="X6" s="5"/>
    </row>
    <row r="7" spans="1:24" ht="15.75" x14ac:dyDescent="0.25">
      <c r="A7" s="181"/>
      <c r="B7" s="414" t="s">
        <v>138</v>
      </c>
      <c r="C7" s="183"/>
      <c r="D7" s="183"/>
      <c r="E7" s="183"/>
      <c r="F7" s="183"/>
      <c r="G7" s="183"/>
      <c r="H7" s="183"/>
      <c r="I7" s="183"/>
      <c r="J7" s="183"/>
      <c r="K7" s="183"/>
      <c r="L7" s="183"/>
      <c r="M7" s="183"/>
      <c r="N7" s="183"/>
      <c r="O7" s="183"/>
      <c r="P7" s="183"/>
      <c r="Q7" s="183"/>
      <c r="R7" s="183"/>
      <c r="S7" s="183"/>
      <c r="T7" s="183"/>
      <c r="U7" s="183"/>
      <c r="V7" s="183"/>
      <c r="W7" s="183"/>
      <c r="X7" s="5"/>
    </row>
    <row r="8" spans="1:24" ht="15.75" x14ac:dyDescent="0.25">
      <c r="A8" s="181"/>
      <c r="B8" s="186"/>
      <c r="C8" s="183"/>
      <c r="D8" s="183"/>
      <c r="E8" s="183"/>
      <c r="F8" s="183"/>
      <c r="G8" s="183"/>
      <c r="H8" s="183"/>
      <c r="I8" s="183"/>
      <c r="J8" s="183"/>
      <c r="K8" s="183"/>
      <c r="L8" s="183"/>
      <c r="M8" s="183"/>
      <c r="N8" s="183"/>
      <c r="O8" s="183"/>
      <c r="P8" s="183"/>
      <c r="Q8" s="183"/>
      <c r="R8" s="183"/>
      <c r="S8" s="183"/>
      <c r="T8" s="183"/>
      <c r="U8" s="183"/>
      <c r="V8" s="183"/>
      <c r="W8" s="183"/>
      <c r="X8" s="5"/>
    </row>
    <row r="9" spans="1:24" ht="18.75" x14ac:dyDescent="0.3">
      <c r="A9" s="181"/>
      <c r="B9" s="512" t="s">
        <v>166</v>
      </c>
      <c r="C9" s="183"/>
      <c r="D9" s="183"/>
      <c r="E9" s="183"/>
      <c r="F9" s="183"/>
      <c r="G9" s="183"/>
      <c r="H9" s="183"/>
      <c r="I9" s="513" t="s">
        <v>341</v>
      </c>
      <c r="J9" s="183"/>
      <c r="K9" s="183"/>
      <c r="L9" s="188"/>
      <c r="M9" s="183"/>
      <c r="N9" s="188"/>
      <c r="O9" s="183"/>
      <c r="P9" s="183"/>
      <c r="Q9" s="183"/>
      <c r="R9" s="183"/>
      <c r="S9" s="183"/>
      <c r="T9" s="183"/>
      <c r="U9" s="183"/>
      <c r="V9" s="183"/>
      <c r="W9" s="183"/>
      <c r="X9" s="5"/>
    </row>
    <row r="10" spans="1:24" ht="15.75" x14ac:dyDescent="0.25">
      <c r="A10" s="181"/>
      <c r="B10" s="186"/>
      <c r="C10" s="189"/>
      <c r="D10" s="189"/>
      <c r="E10" s="189"/>
      <c r="F10" s="183"/>
      <c r="G10" s="183"/>
      <c r="H10" s="183"/>
      <c r="I10" s="183"/>
      <c r="J10" s="183"/>
      <c r="K10" s="183"/>
      <c r="L10" s="183"/>
      <c r="M10" s="183"/>
      <c r="N10" s="183"/>
      <c r="O10" s="183"/>
      <c r="P10" s="183"/>
      <c r="Q10" s="183"/>
      <c r="R10" s="183"/>
      <c r="S10" s="183"/>
      <c r="T10" s="183"/>
      <c r="U10" s="183"/>
      <c r="V10" s="183"/>
      <c r="W10" s="183"/>
      <c r="X10" s="5"/>
    </row>
    <row r="11" spans="1:24" ht="15.75" x14ac:dyDescent="0.25">
      <c r="A11" s="181"/>
      <c r="B11" s="415" t="s">
        <v>0</v>
      </c>
      <c r="C11" s="183"/>
      <c r="D11" s="183"/>
      <c r="E11" s="183"/>
      <c r="F11" s="183"/>
      <c r="G11" s="183"/>
      <c r="H11" s="183"/>
      <c r="I11" s="183"/>
      <c r="J11" s="183"/>
      <c r="K11" s="183"/>
      <c r="L11" s="183"/>
      <c r="M11" s="183"/>
      <c r="N11" s="183"/>
      <c r="O11" s="183"/>
      <c r="P11" s="183"/>
      <c r="Q11" s="183"/>
      <c r="R11" s="183"/>
      <c r="S11" s="183"/>
      <c r="T11" s="183"/>
      <c r="U11" s="183"/>
      <c r="V11" s="183"/>
      <c r="W11" s="183"/>
      <c r="X11" s="5"/>
    </row>
    <row r="12" spans="1:24" ht="16.5" thickBot="1" x14ac:dyDescent="0.3">
      <c r="A12" s="181"/>
      <c r="B12" s="189"/>
      <c r="C12" s="183"/>
      <c r="D12" s="183"/>
      <c r="E12" s="183"/>
      <c r="F12" s="183"/>
      <c r="G12" s="183"/>
      <c r="H12" s="183"/>
      <c r="I12" s="183"/>
      <c r="J12" s="183"/>
      <c r="K12" s="183"/>
      <c r="L12" s="183"/>
      <c r="M12" s="183"/>
      <c r="N12" s="183"/>
      <c r="O12" s="183"/>
      <c r="P12" s="183"/>
      <c r="Q12" s="183"/>
      <c r="R12" s="183"/>
      <c r="S12" s="183"/>
      <c r="T12" s="183"/>
      <c r="U12" s="183"/>
      <c r="V12" s="183"/>
      <c r="W12" s="183"/>
      <c r="X12" s="5"/>
    </row>
    <row r="13" spans="1:24" ht="15.75" x14ac:dyDescent="0.25">
      <c r="A13" s="179"/>
      <c r="B13" s="180"/>
      <c r="C13" s="180"/>
      <c r="D13" s="180"/>
      <c r="E13" s="180"/>
      <c r="F13" s="180"/>
      <c r="G13" s="180"/>
      <c r="H13" s="180"/>
      <c r="I13" s="180"/>
      <c r="J13" s="180"/>
      <c r="K13" s="180"/>
      <c r="L13" s="180"/>
      <c r="M13" s="180"/>
      <c r="N13" s="180"/>
      <c r="O13" s="180"/>
      <c r="P13" s="180"/>
      <c r="Q13" s="180"/>
      <c r="R13" s="180"/>
      <c r="S13" s="180"/>
      <c r="T13" s="180"/>
      <c r="U13" s="180"/>
      <c r="V13" s="180"/>
      <c r="W13" s="180"/>
      <c r="X13" s="5"/>
    </row>
    <row r="14" spans="1:24" s="420" customFormat="1" ht="15.75" x14ac:dyDescent="0.25">
      <c r="A14" s="416"/>
      <c r="B14" s="415" t="s">
        <v>1</v>
      </c>
      <c r="C14" s="417"/>
      <c r="D14" s="417"/>
      <c r="E14" s="417"/>
      <c r="F14" s="417"/>
      <c r="G14" s="417"/>
      <c r="H14" s="417"/>
      <c r="I14" s="417"/>
      <c r="J14" s="417"/>
      <c r="K14" s="417"/>
      <c r="L14" s="417"/>
      <c r="M14" s="417"/>
      <c r="N14" s="417"/>
      <c r="O14" s="417"/>
      <c r="P14" s="417"/>
      <c r="Q14" s="417"/>
      <c r="R14" s="417"/>
      <c r="S14" s="417"/>
      <c r="T14" s="417"/>
      <c r="U14" s="417"/>
      <c r="V14" s="418" t="s">
        <v>239</v>
      </c>
      <c r="W14" s="417"/>
      <c r="X14" s="419"/>
    </row>
    <row r="15" spans="1:24" s="420" customFormat="1" ht="15.75" x14ac:dyDescent="0.25">
      <c r="A15" s="416"/>
      <c r="B15" s="415" t="s">
        <v>2</v>
      </c>
      <c r="C15" s="417"/>
      <c r="D15" s="417"/>
      <c r="E15" s="417"/>
      <c r="F15" s="417"/>
      <c r="G15" s="417"/>
      <c r="H15" s="421"/>
      <c r="I15" s="421"/>
      <c r="J15" s="421"/>
      <c r="K15" s="421"/>
      <c r="L15" s="421"/>
      <c r="M15" s="421"/>
      <c r="N15" s="421"/>
      <c r="O15" s="421"/>
      <c r="P15" s="421"/>
      <c r="Q15" s="421"/>
      <c r="R15" s="421" t="s">
        <v>104</v>
      </c>
      <c r="S15" s="422">
        <v>0.47189999999999999</v>
      </c>
      <c r="T15" s="423" t="s">
        <v>140</v>
      </c>
      <c r="U15" s="422">
        <v>0.52810000000000001</v>
      </c>
      <c r="V15" s="418"/>
      <c r="W15" s="417"/>
      <c r="X15" s="419"/>
    </row>
    <row r="16" spans="1:24" s="420" customFormat="1" ht="15.75" x14ac:dyDescent="0.25">
      <c r="A16" s="416"/>
      <c r="B16" s="415" t="s">
        <v>3</v>
      </c>
      <c r="C16" s="417"/>
      <c r="D16" s="417"/>
      <c r="E16" s="417"/>
      <c r="F16" s="417"/>
      <c r="G16" s="417"/>
      <c r="H16" s="421"/>
      <c r="I16" s="421"/>
      <c r="J16" s="421"/>
      <c r="K16" s="421"/>
      <c r="L16" s="421"/>
      <c r="M16" s="421"/>
      <c r="N16" s="421"/>
      <c r="O16" s="421"/>
      <c r="P16" s="421"/>
      <c r="Q16" s="421"/>
      <c r="R16" s="421" t="s">
        <v>104</v>
      </c>
      <c r="S16" s="422">
        <v>0.56840000000000002</v>
      </c>
      <c r="T16" s="423" t="s">
        <v>140</v>
      </c>
      <c r="U16" s="422">
        <v>0.43159999999999998</v>
      </c>
      <c r="V16" s="418"/>
      <c r="W16" s="417"/>
      <c r="X16" s="419"/>
    </row>
    <row r="17" spans="1:24" s="420" customFormat="1" ht="15.75" x14ac:dyDescent="0.25">
      <c r="A17" s="416"/>
      <c r="B17" s="415" t="s">
        <v>4</v>
      </c>
      <c r="C17" s="417"/>
      <c r="D17" s="417"/>
      <c r="E17" s="417"/>
      <c r="F17" s="417"/>
      <c r="G17" s="417"/>
      <c r="H17" s="417"/>
      <c r="I17" s="417"/>
      <c r="J17" s="417"/>
      <c r="K17" s="417"/>
      <c r="L17" s="417"/>
      <c r="M17" s="417"/>
      <c r="N17" s="417"/>
      <c r="O17" s="417"/>
      <c r="P17" s="417"/>
      <c r="Q17" s="417"/>
      <c r="R17" s="417"/>
      <c r="S17" s="417"/>
      <c r="T17" s="417"/>
      <c r="U17" s="417"/>
      <c r="V17" s="424">
        <v>39282</v>
      </c>
      <c r="W17" s="417"/>
      <c r="X17" s="419"/>
    </row>
    <row r="18" spans="1:24" s="420" customFormat="1" ht="15.75" x14ac:dyDescent="0.25">
      <c r="A18" s="416"/>
      <c r="B18" s="415" t="s">
        <v>5</v>
      </c>
      <c r="C18" s="417"/>
      <c r="D18" s="417"/>
      <c r="E18" s="417"/>
      <c r="F18" s="417"/>
      <c r="G18" s="417"/>
      <c r="H18" s="417"/>
      <c r="I18" s="417"/>
      <c r="J18" s="417"/>
      <c r="K18" s="417"/>
      <c r="L18" s="417"/>
      <c r="M18" s="417"/>
      <c r="N18" s="417"/>
      <c r="O18" s="417"/>
      <c r="P18" s="417"/>
      <c r="Q18" s="417"/>
      <c r="R18" s="417"/>
      <c r="S18" s="417"/>
      <c r="T18" s="417"/>
      <c r="U18" s="417"/>
      <c r="V18" s="424">
        <v>43091</v>
      </c>
      <c r="W18" s="417"/>
      <c r="X18" s="419"/>
    </row>
    <row r="19" spans="1:24" s="420" customFormat="1" ht="15.75" x14ac:dyDescent="0.25">
      <c r="A19" s="416"/>
      <c r="B19" s="417"/>
      <c r="C19" s="417"/>
      <c r="D19" s="417"/>
      <c r="E19" s="417"/>
      <c r="F19" s="417"/>
      <c r="G19" s="417"/>
      <c r="H19" s="417"/>
      <c r="I19" s="417"/>
      <c r="J19" s="417"/>
      <c r="K19" s="417"/>
      <c r="L19" s="417"/>
      <c r="M19" s="417"/>
      <c r="N19" s="417"/>
      <c r="O19" s="417"/>
      <c r="P19" s="417"/>
      <c r="Q19" s="417"/>
      <c r="R19" s="417"/>
      <c r="S19" s="417"/>
      <c r="T19" s="417"/>
      <c r="U19" s="417"/>
      <c r="V19" s="425"/>
      <c r="W19" s="417"/>
      <c r="X19" s="419"/>
    </row>
    <row r="20" spans="1:24" s="420" customFormat="1" ht="15.75" x14ac:dyDescent="0.25">
      <c r="A20" s="416"/>
      <c r="B20" s="426" t="s">
        <v>6</v>
      </c>
      <c r="C20" s="417"/>
      <c r="D20" s="417"/>
      <c r="E20" s="417"/>
      <c r="F20" s="417"/>
      <c r="G20" s="417"/>
      <c r="H20" s="417"/>
      <c r="I20" s="417"/>
      <c r="J20" s="417"/>
      <c r="K20" s="417"/>
      <c r="L20" s="417"/>
      <c r="M20" s="417"/>
      <c r="N20" s="417"/>
      <c r="O20" s="417"/>
      <c r="P20" s="417"/>
      <c r="Q20" s="417"/>
      <c r="R20" s="417"/>
      <c r="S20" s="417"/>
      <c r="T20" s="425" t="s">
        <v>105</v>
      </c>
      <c r="U20" s="417"/>
      <c r="V20" s="427"/>
      <c r="W20" s="417"/>
      <c r="X20" s="419"/>
    </row>
    <row r="21" spans="1:24" ht="15.75" x14ac:dyDescent="0.25">
      <c r="A21" s="181"/>
      <c r="B21" s="183"/>
      <c r="C21" s="183"/>
      <c r="D21" s="183"/>
      <c r="E21" s="183"/>
      <c r="F21" s="183"/>
      <c r="G21" s="183"/>
      <c r="H21" s="183"/>
      <c r="I21" s="183"/>
      <c r="J21" s="183"/>
      <c r="K21" s="183"/>
      <c r="L21" s="183"/>
      <c r="M21" s="183"/>
      <c r="N21" s="183"/>
      <c r="O21" s="183"/>
      <c r="P21" s="183"/>
      <c r="Q21" s="183"/>
      <c r="R21" s="183"/>
      <c r="S21" s="183"/>
      <c r="T21" s="183"/>
      <c r="U21" s="183"/>
      <c r="V21" s="192"/>
      <c r="W21" s="183"/>
      <c r="X21" s="5"/>
    </row>
    <row r="22" spans="1:24" ht="15.75" x14ac:dyDescent="0.25">
      <c r="A22" s="536"/>
      <c r="B22" s="540"/>
      <c r="C22" s="541"/>
      <c r="D22" s="541" t="s">
        <v>177</v>
      </c>
      <c r="E22" s="541"/>
      <c r="F22" s="541" t="s">
        <v>178</v>
      </c>
      <c r="G22" s="541"/>
      <c r="H22" s="541" t="s">
        <v>179</v>
      </c>
      <c r="I22" s="541"/>
      <c r="J22" s="541" t="s">
        <v>219</v>
      </c>
      <c r="K22" s="541"/>
      <c r="L22" s="541" t="s">
        <v>180</v>
      </c>
      <c r="M22" s="541"/>
      <c r="N22" s="541" t="s">
        <v>181</v>
      </c>
      <c r="O22" s="541"/>
      <c r="P22" s="541" t="s">
        <v>182</v>
      </c>
      <c r="Q22" s="541"/>
      <c r="R22" s="541"/>
      <c r="S22" s="542"/>
      <c r="T22" s="542"/>
      <c r="U22" s="543"/>
      <c r="V22" s="543"/>
      <c r="W22" s="544"/>
      <c r="X22" s="5"/>
    </row>
    <row r="23" spans="1:24" s="420" customFormat="1" ht="15.75" x14ac:dyDescent="0.25">
      <c r="A23" s="416"/>
      <c r="B23" s="462" t="s">
        <v>7</v>
      </c>
      <c r="C23" s="538"/>
      <c r="D23" s="538" t="s">
        <v>212</v>
      </c>
      <c r="E23" s="538"/>
      <c r="F23" s="538" t="s">
        <v>141</v>
      </c>
      <c r="G23" s="538"/>
      <c r="H23" s="538" t="s">
        <v>141</v>
      </c>
      <c r="I23" s="538"/>
      <c r="J23" s="538" t="s">
        <v>141</v>
      </c>
      <c r="K23" s="538"/>
      <c r="L23" s="538" t="s">
        <v>183</v>
      </c>
      <c r="M23" s="538"/>
      <c r="N23" s="538" t="s">
        <v>183</v>
      </c>
      <c r="O23" s="538"/>
      <c r="P23" s="538" t="s">
        <v>142</v>
      </c>
      <c r="Q23" s="538"/>
      <c r="R23" s="538"/>
      <c r="S23" s="538"/>
      <c r="T23" s="538"/>
      <c r="U23" s="539"/>
      <c r="V23" s="539"/>
      <c r="W23" s="462"/>
      <c r="X23" s="419"/>
    </row>
    <row r="24" spans="1:24" s="420" customFormat="1" ht="15.75" x14ac:dyDescent="0.25">
      <c r="A24" s="428"/>
      <c r="B24" s="429" t="s">
        <v>8</v>
      </c>
      <c r="C24" s="430"/>
      <c r="D24" s="430" t="s">
        <v>213</v>
      </c>
      <c r="E24" s="430"/>
      <c r="F24" s="430" t="s">
        <v>143</v>
      </c>
      <c r="G24" s="430"/>
      <c r="H24" s="430" t="s">
        <v>143</v>
      </c>
      <c r="I24" s="430"/>
      <c r="J24" s="430" t="s">
        <v>143</v>
      </c>
      <c r="K24" s="430"/>
      <c r="L24" s="430" t="s">
        <v>165</v>
      </c>
      <c r="M24" s="430"/>
      <c r="N24" s="430" t="s">
        <v>165</v>
      </c>
      <c r="O24" s="430"/>
      <c r="P24" s="430" t="s">
        <v>144</v>
      </c>
      <c r="Q24" s="430"/>
      <c r="R24" s="430"/>
      <c r="S24" s="430"/>
      <c r="T24" s="430"/>
      <c r="U24" s="431"/>
      <c r="V24" s="431"/>
      <c r="W24" s="432"/>
      <c r="X24" s="419"/>
    </row>
    <row r="25" spans="1:24" s="420" customFormat="1" ht="15.75" x14ac:dyDescent="0.25">
      <c r="A25" s="433"/>
      <c r="B25" s="429" t="s">
        <v>190</v>
      </c>
      <c r="C25" s="434"/>
      <c r="D25" s="430" t="s">
        <v>214</v>
      </c>
      <c r="E25" s="430"/>
      <c r="F25" s="430" t="s">
        <v>143</v>
      </c>
      <c r="G25" s="430"/>
      <c r="H25" s="430" t="s">
        <v>143</v>
      </c>
      <c r="I25" s="430"/>
      <c r="J25" s="430" t="s">
        <v>143</v>
      </c>
      <c r="K25" s="430"/>
      <c r="L25" s="430" t="s">
        <v>165</v>
      </c>
      <c r="M25" s="430"/>
      <c r="N25" s="430" t="s">
        <v>165</v>
      </c>
      <c r="O25" s="430"/>
      <c r="P25" s="430" t="s">
        <v>144</v>
      </c>
      <c r="Q25" s="430"/>
      <c r="R25" s="430"/>
      <c r="S25" s="434"/>
      <c r="T25" s="430"/>
      <c r="U25" s="431"/>
      <c r="V25" s="431"/>
      <c r="W25" s="432"/>
      <c r="X25" s="419"/>
    </row>
    <row r="26" spans="1:24" s="420" customFormat="1" ht="15.75" x14ac:dyDescent="0.25">
      <c r="A26" s="433"/>
      <c r="B26" s="435" t="s">
        <v>9</v>
      </c>
      <c r="C26" s="434"/>
      <c r="D26" s="434" t="s">
        <v>141</v>
      </c>
      <c r="E26" s="434"/>
      <c r="F26" s="434" t="s">
        <v>141</v>
      </c>
      <c r="G26" s="434"/>
      <c r="H26" s="434" t="s">
        <v>141</v>
      </c>
      <c r="I26" s="434"/>
      <c r="J26" s="434" t="s">
        <v>141</v>
      </c>
      <c r="K26" s="434"/>
      <c r="L26" s="434" t="s">
        <v>183</v>
      </c>
      <c r="M26" s="434"/>
      <c r="N26" s="434" t="s">
        <v>183</v>
      </c>
      <c r="O26" s="434"/>
      <c r="P26" s="434" t="s">
        <v>142</v>
      </c>
      <c r="Q26" s="434"/>
      <c r="R26" s="434"/>
      <c r="S26" s="434"/>
      <c r="T26" s="430"/>
      <c r="U26" s="431"/>
      <c r="V26" s="431"/>
      <c r="W26" s="432"/>
      <c r="X26" s="419"/>
    </row>
    <row r="27" spans="1:24" s="420" customFormat="1" ht="15.75" x14ac:dyDescent="0.25">
      <c r="A27" s="428"/>
      <c r="B27" s="435" t="s">
        <v>191</v>
      </c>
      <c r="C27" s="430"/>
      <c r="D27" s="434" t="s">
        <v>143</v>
      </c>
      <c r="E27" s="434"/>
      <c r="F27" s="434" t="s">
        <v>143</v>
      </c>
      <c r="G27" s="434"/>
      <c r="H27" s="434" t="s">
        <v>143</v>
      </c>
      <c r="I27" s="434"/>
      <c r="J27" s="434" t="s">
        <v>143</v>
      </c>
      <c r="K27" s="434"/>
      <c r="L27" s="434" t="s">
        <v>165</v>
      </c>
      <c r="M27" s="434"/>
      <c r="N27" s="434" t="s">
        <v>165</v>
      </c>
      <c r="O27" s="434"/>
      <c r="P27" s="434" t="s">
        <v>330</v>
      </c>
      <c r="Q27" s="434"/>
      <c r="R27" s="434"/>
      <c r="S27" s="430"/>
      <c r="T27" s="436"/>
      <c r="U27" s="431"/>
      <c r="V27" s="431"/>
      <c r="W27" s="432"/>
      <c r="X27" s="419"/>
    </row>
    <row r="28" spans="1:24" s="420" customFormat="1" ht="15.75" x14ac:dyDescent="0.25">
      <c r="A28" s="428"/>
      <c r="B28" s="435" t="s">
        <v>192</v>
      </c>
      <c r="C28" s="430"/>
      <c r="D28" s="434" t="s">
        <v>143</v>
      </c>
      <c r="E28" s="434"/>
      <c r="F28" s="434" t="s">
        <v>143</v>
      </c>
      <c r="G28" s="434"/>
      <c r="H28" s="434" t="s">
        <v>143</v>
      </c>
      <c r="I28" s="434"/>
      <c r="J28" s="434" t="s">
        <v>143</v>
      </c>
      <c r="K28" s="434"/>
      <c r="L28" s="434" t="s">
        <v>143</v>
      </c>
      <c r="M28" s="434"/>
      <c r="N28" s="434" t="s">
        <v>143</v>
      </c>
      <c r="O28" s="434"/>
      <c r="P28" s="434" t="s">
        <v>330</v>
      </c>
      <c r="Q28" s="434"/>
      <c r="R28" s="434"/>
      <c r="S28" s="430"/>
      <c r="T28" s="436"/>
      <c r="U28" s="431"/>
      <c r="V28" s="431"/>
      <c r="W28" s="432"/>
      <c r="X28" s="419"/>
    </row>
    <row r="29" spans="1:24" s="420" customFormat="1" ht="15.75" x14ac:dyDescent="0.25">
      <c r="A29" s="428"/>
      <c r="B29" s="429" t="s">
        <v>10</v>
      </c>
      <c r="C29" s="437"/>
      <c r="D29" s="430" t="s">
        <v>242</v>
      </c>
      <c r="E29" s="430"/>
      <c r="F29" s="436" t="s">
        <v>244</v>
      </c>
      <c r="G29" s="430"/>
      <c r="H29" s="430" t="s">
        <v>245</v>
      </c>
      <c r="I29" s="430"/>
      <c r="J29" s="430" t="s">
        <v>247</v>
      </c>
      <c r="K29" s="430"/>
      <c r="L29" s="430" t="s">
        <v>248</v>
      </c>
      <c r="M29" s="430"/>
      <c r="N29" s="430" t="s">
        <v>249</v>
      </c>
      <c r="O29" s="430"/>
      <c r="P29" s="430" t="s">
        <v>250</v>
      </c>
      <c r="Q29" s="430"/>
      <c r="R29" s="430"/>
      <c r="S29" s="438"/>
      <c r="T29" s="438"/>
      <c r="U29" s="439"/>
      <c r="V29" s="438"/>
      <c r="W29" s="440"/>
      <c r="X29" s="419"/>
    </row>
    <row r="30" spans="1:24" s="420" customFormat="1" ht="15.75" x14ac:dyDescent="0.25">
      <c r="A30" s="428"/>
      <c r="B30" s="429" t="s">
        <v>10</v>
      </c>
      <c r="C30" s="437"/>
      <c r="D30" s="430" t="s">
        <v>243</v>
      </c>
      <c r="E30" s="430"/>
      <c r="F30" s="436" t="s">
        <v>118</v>
      </c>
      <c r="G30" s="430"/>
      <c r="H30" s="430" t="s">
        <v>118</v>
      </c>
      <c r="I30" s="430"/>
      <c r="J30" s="430" t="s">
        <v>246</v>
      </c>
      <c r="K30" s="430"/>
      <c r="L30" s="430" t="s">
        <v>118</v>
      </c>
      <c r="M30" s="430"/>
      <c r="N30" s="430" t="s">
        <v>118</v>
      </c>
      <c r="O30" s="430"/>
      <c r="P30" s="430" t="s">
        <v>118</v>
      </c>
      <c r="Q30" s="430"/>
      <c r="R30" s="430"/>
      <c r="S30" s="438"/>
      <c r="T30" s="438"/>
      <c r="U30" s="439"/>
      <c r="V30" s="438"/>
      <c r="W30" s="440"/>
      <c r="X30" s="419"/>
    </row>
    <row r="31" spans="1:24" s="420" customFormat="1" ht="15.75" x14ac:dyDescent="0.25">
      <c r="A31" s="433"/>
      <c r="B31" s="429" t="s">
        <v>133</v>
      </c>
      <c r="C31" s="441"/>
      <c r="D31" s="442">
        <v>1000000</v>
      </c>
      <c r="E31" s="437"/>
      <c r="F31" s="438">
        <v>209500</v>
      </c>
      <c r="G31" s="438"/>
      <c r="H31" s="443">
        <v>110000</v>
      </c>
      <c r="I31" s="443"/>
      <c r="J31" s="442">
        <v>150000</v>
      </c>
      <c r="K31" s="438"/>
      <c r="L31" s="438">
        <v>17000</v>
      </c>
      <c r="M31" s="438"/>
      <c r="N31" s="443">
        <v>85500</v>
      </c>
      <c r="O31" s="438"/>
      <c r="P31" s="443">
        <v>110500</v>
      </c>
      <c r="Q31" s="438"/>
      <c r="R31" s="443"/>
      <c r="S31" s="444"/>
      <c r="T31" s="444"/>
      <c r="U31" s="445"/>
      <c r="V31" s="444"/>
      <c r="W31" s="440"/>
      <c r="X31" s="419"/>
    </row>
    <row r="32" spans="1:24" s="420" customFormat="1" ht="15.75" x14ac:dyDescent="0.25">
      <c r="A32" s="428"/>
      <c r="B32" s="429" t="s">
        <v>132</v>
      </c>
      <c r="C32" s="437"/>
      <c r="D32" s="442">
        <f>D31*D38</f>
        <v>581694.5</v>
      </c>
      <c r="E32" s="437"/>
      <c r="F32" s="438">
        <f>F31*F38</f>
        <v>121865.3958</v>
      </c>
      <c r="G32" s="438"/>
      <c r="H32" s="443">
        <f>H31*H38</f>
        <v>63987.528000000006</v>
      </c>
      <c r="I32" s="443"/>
      <c r="J32" s="442">
        <f>J31*J38</f>
        <v>87254.175000000003</v>
      </c>
      <c r="K32" s="438"/>
      <c r="L32" s="438">
        <f>L31*L38</f>
        <v>17000</v>
      </c>
      <c r="M32" s="438"/>
      <c r="N32" s="443">
        <f>N31*N38</f>
        <v>85500</v>
      </c>
      <c r="O32" s="438"/>
      <c r="P32" s="443">
        <f>P31*P38</f>
        <v>110500</v>
      </c>
      <c r="Q32" s="438"/>
      <c r="R32" s="443"/>
      <c r="S32" s="438"/>
      <c r="T32" s="438"/>
      <c r="U32" s="439"/>
      <c r="V32" s="438"/>
      <c r="W32" s="440"/>
      <c r="X32" s="419"/>
    </row>
    <row r="33" spans="1:27" s="420" customFormat="1" ht="15.75" x14ac:dyDescent="0.25">
      <c r="A33" s="428"/>
      <c r="B33" s="435" t="s">
        <v>134</v>
      </c>
      <c r="C33" s="437"/>
      <c r="D33" s="446">
        <f>D37*D31</f>
        <v>568129</v>
      </c>
      <c r="E33" s="441"/>
      <c r="F33" s="444">
        <f>F37*F31</f>
        <v>119023.44450000001</v>
      </c>
      <c r="G33" s="444"/>
      <c r="H33" s="447">
        <f>H31*H37</f>
        <v>62495.356</v>
      </c>
      <c r="I33" s="447"/>
      <c r="J33" s="446">
        <f>J37*J31</f>
        <v>85219.35</v>
      </c>
      <c r="K33" s="444"/>
      <c r="L33" s="444">
        <f>L31*L37</f>
        <v>17000</v>
      </c>
      <c r="M33" s="444"/>
      <c r="N33" s="447">
        <f>N31*N37</f>
        <v>85500</v>
      </c>
      <c r="O33" s="444"/>
      <c r="P33" s="447">
        <f>P31*P37</f>
        <v>110500</v>
      </c>
      <c r="Q33" s="444"/>
      <c r="R33" s="447"/>
      <c r="S33" s="438"/>
      <c r="T33" s="438"/>
      <c r="U33" s="439"/>
      <c r="V33" s="438"/>
      <c r="W33" s="440"/>
      <c r="X33" s="419"/>
    </row>
    <row r="34" spans="1:27" s="420" customFormat="1" ht="15.75" x14ac:dyDescent="0.25">
      <c r="A34" s="433"/>
      <c r="B34" s="429" t="s">
        <v>286</v>
      </c>
      <c r="C34" s="441"/>
      <c r="D34" s="438">
        <v>492951</v>
      </c>
      <c r="E34" s="437"/>
      <c r="F34" s="438">
        <v>209500</v>
      </c>
      <c r="G34" s="438"/>
      <c r="H34" s="438">
        <v>74677</v>
      </c>
      <c r="I34" s="438"/>
      <c r="J34" s="438">
        <v>73943</v>
      </c>
      <c r="K34" s="438"/>
      <c r="L34" s="438">
        <v>17000</v>
      </c>
      <c r="M34" s="438"/>
      <c r="N34" s="438">
        <v>58045</v>
      </c>
      <c r="O34" s="438"/>
      <c r="P34" s="438">
        <v>75017</v>
      </c>
      <c r="Q34" s="438"/>
      <c r="R34" s="438"/>
      <c r="S34" s="444"/>
      <c r="T34" s="444"/>
      <c r="U34" s="445"/>
      <c r="V34" s="438">
        <f>SUM(C34:R34)</f>
        <v>1001133</v>
      </c>
      <c r="W34" s="440"/>
      <c r="X34" s="419"/>
    </row>
    <row r="35" spans="1:27" s="420" customFormat="1" ht="15.75" x14ac:dyDescent="0.25">
      <c r="A35" s="433"/>
      <c r="B35" s="429" t="s">
        <v>287</v>
      </c>
      <c r="C35" s="441"/>
      <c r="D35" s="438">
        <f>D34*D38</f>
        <v>286746.88546949998</v>
      </c>
      <c r="E35" s="437"/>
      <c r="F35" s="438">
        <f>F34*F38</f>
        <v>121865.3958</v>
      </c>
      <c r="G35" s="438"/>
      <c r="H35" s="438">
        <f>H34*H38</f>
        <v>43439.969349600004</v>
      </c>
      <c r="I35" s="438"/>
      <c r="J35" s="438">
        <f>J34*J38</f>
        <v>43012.236413500003</v>
      </c>
      <c r="K35" s="438"/>
      <c r="L35" s="438">
        <f>L34*L38</f>
        <v>17000</v>
      </c>
      <c r="M35" s="438"/>
      <c r="N35" s="438">
        <f>N34*N38</f>
        <v>58045</v>
      </c>
      <c r="O35" s="438"/>
      <c r="P35" s="438">
        <f>P34*P38</f>
        <v>75017</v>
      </c>
      <c r="Q35" s="438"/>
      <c r="R35" s="438"/>
      <c r="S35" s="438"/>
      <c r="T35" s="438"/>
      <c r="U35" s="439"/>
      <c r="V35" s="438">
        <f>SUM(C35:R35)</f>
        <v>645126.48703259998</v>
      </c>
      <c r="W35" s="440"/>
      <c r="X35" s="419"/>
    </row>
    <row r="36" spans="1:27" s="420" customFormat="1" ht="15.75" x14ac:dyDescent="0.25">
      <c r="A36" s="433"/>
      <c r="B36" s="435" t="s">
        <v>288</v>
      </c>
      <c r="C36" s="441"/>
      <c r="D36" s="444">
        <f>D34*D37</f>
        <v>280059.75867900002</v>
      </c>
      <c r="E36" s="441"/>
      <c r="F36" s="444">
        <f>F34*F37</f>
        <v>119023.44450000001</v>
      </c>
      <c r="G36" s="444"/>
      <c r="H36" s="444">
        <f>H34*H37</f>
        <v>42426.960909199996</v>
      </c>
      <c r="I36" s="444"/>
      <c r="J36" s="444">
        <f>J34*J37</f>
        <v>42009.162646999997</v>
      </c>
      <c r="K36" s="444"/>
      <c r="L36" s="444">
        <f>L34*L37</f>
        <v>17000</v>
      </c>
      <c r="M36" s="444"/>
      <c r="N36" s="444">
        <f>N34*N37</f>
        <v>58045</v>
      </c>
      <c r="O36" s="444"/>
      <c r="P36" s="444">
        <f>P34*P37</f>
        <v>75017</v>
      </c>
      <c r="Q36" s="444"/>
      <c r="R36" s="444"/>
      <c r="S36" s="448"/>
      <c r="T36" s="448"/>
      <c r="U36" s="439"/>
      <c r="V36" s="444">
        <f>SUM(C36:R36)</f>
        <v>633581.32673520013</v>
      </c>
      <c r="W36" s="440"/>
      <c r="X36" s="419"/>
    </row>
    <row r="37" spans="1:27" s="522" customFormat="1" ht="15.75" x14ac:dyDescent="0.25">
      <c r="A37" s="514"/>
      <c r="B37" s="515" t="s">
        <v>130</v>
      </c>
      <c r="C37" s="516"/>
      <c r="D37" s="517">
        <v>0.568129</v>
      </c>
      <c r="E37" s="517"/>
      <c r="F37" s="517">
        <v>0.56813100000000005</v>
      </c>
      <c r="G37" s="517"/>
      <c r="H37" s="517">
        <v>0.56813959999999997</v>
      </c>
      <c r="I37" s="517"/>
      <c r="J37" s="517">
        <v>0.568129</v>
      </c>
      <c r="K37" s="517"/>
      <c r="L37" s="517">
        <v>1</v>
      </c>
      <c r="M37" s="517"/>
      <c r="N37" s="517">
        <v>1</v>
      </c>
      <c r="O37" s="517"/>
      <c r="P37" s="517">
        <v>1</v>
      </c>
      <c r="Q37" s="517"/>
      <c r="R37" s="517"/>
      <c r="S37" s="518"/>
      <c r="T37" s="518"/>
      <c r="U37" s="519"/>
      <c r="V37" s="519"/>
      <c r="W37" s="520"/>
      <c r="X37" s="521"/>
    </row>
    <row r="38" spans="1:27" s="522" customFormat="1" ht="15.75" x14ac:dyDescent="0.25">
      <c r="A38" s="514"/>
      <c r="B38" s="515" t="s">
        <v>131</v>
      </c>
      <c r="C38" s="516"/>
      <c r="D38" s="517">
        <v>0.5816945</v>
      </c>
      <c r="E38" s="517"/>
      <c r="F38" s="517">
        <v>0.5816964</v>
      </c>
      <c r="G38" s="517"/>
      <c r="H38" s="517">
        <v>0.58170480000000002</v>
      </c>
      <c r="I38" s="517"/>
      <c r="J38" s="517">
        <v>0.5816945</v>
      </c>
      <c r="K38" s="517"/>
      <c r="L38" s="517">
        <v>1</v>
      </c>
      <c r="M38" s="517"/>
      <c r="N38" s="517">
        <v>1</v>
      </c>
      <c r="O38" s="517"/>
      <c r="P38" s="517">
        <v>1</v>
      </c>
      <c r="Q38" s="517"/>
      <c r="R38" s="517"/>
      <c r="S38" s="523"/>
      <c r="T38" s="524"/>
      <c r="U38" s="519"/>
      <c r="V38" s="523"/>
      <c r="W38" s="520"/>
      <c r="X38" s="521"/>
    </row>
    <row r="39" spans="1:27" s="522" customFormat="1" ht="15.75" x14ac:dyDescent="0.25">
      <c r="A39" s="514"/>
      <c r="B39" s="516" t="s">
        <v>11</v>
      </c>
      <c r="C39" s="516"/>
      <c r="D39" s="518" t="s">
        <v>304</v>
      </c>
      <c r="E39" s="516"/>
      <c r="F39" s="518" t="s">
        <v>256</v>
      </c>
      <c r="G39" s="518"/>
      <c r="H39" s="518" t="s">
        <v>257</v>
      </c>
      <c r="I39" s="518"/>
      <c r="J39" s="518" t="s">
        <v>258</v>
      </c>
      <c r="K39" s="518"/>
      <c r="L39" s="518" t="s">
        <v>259</v>
      </c>
      <c r="M39" s="518"/>
      <c r="N39" s="518" t="s">
        <v>259</v>
      </c>
      <c r="O39" s="518"/>
      <c r="P39" s="518" t="s">
        <v>260</v>
      </c>
      <c r="Q39" s="518"/>
      <c r="R39" s="518"/>
      <c r="S39" s="523"/>
      <c r="T39" s="524"/>
      <c r="U39" s="519"/>
      <c r="V39" s="519"/>
      <c r="W39" s="520"/>
      <c r="X39" s="521"/>
    </row>
    <row r="40" spans="1:27" s="420" customFormat="1" ht="15.75" x14ac:dyDescent="0.25">
      <c r="A40" s="428"/>
      <c r="B40" s="429" t="s">
        <v>12</v>
      </c>
      <c r="C40" s="429"/>
      <c r="D40" s="450">
        <v>1.4302799999999999E-2</v>
      </c>
      <c r="E40" s="429"/>
      <c r="F40" s="450">
        <v>5.8688000000000004E-3</v>
      </c>
      <c r="G40" s="449"/>
      <c r="H40" s="450">
        <v>0</v>
      </c>
      <c r="I40" s="450"/>
      <c r="J40" s="450">
        <v>1.54E-2</v>
      </c>
      <c r="K40" s="449"/>
      <c r="L40" s="450">
        <v>8.6688000000000008E-3</v>
      </c>
      <c r="M40" s="449"/>
      <c r="N40" s="450">
        <v>2.1099999999999999E-3</v>
      </c>
      <c r="O40" s="449"/>
      <c r="P40" s="450">
        <v>7.7099999999999998E-3</v>
      </c>
      <c r="Q40" s="449"/>
      <c r="R40" s="450"/>
      <c r="S40" s="449"/>
      <c r="T40" s="450"/>
      <c r="U40" s="431"/>
      <c r="V40" s="436"/>
      <c r="W40" s="432"/>
      <c r="X40" s="419"/>
      <c r="AA40" s="420" t="s">
        <v>193</v>
      </c>
    </row>
    <row r="41" spans="1:27" s="420" customFormat="1" ht="15.75" x14ac:dyDescent="0.25">
      <c r="A41" s="428"/>
      <c r="B41" s="429" t="s">
        <v>13</v>
      </c>
      <c r="C41" s="429"/>
      <c r="D41" s="450">
        <v>1.40667E-2</v>
      </c>
      <c r="E41" s="429"/>
      <c r="F41" s="450">
        <v>5.4869000000000003E-3</v>
      </c>
      <c r="G41" s="449"/>
      <c r="H41" s="450">
        <v>0</v>
      </c>
      <c r="I41" s="450"/>
      <c r="J41" s="450">
        <v>1.46556E-2</v>
      </c>
      <c r="K41" s="449"/>
      <c r="L41" s="450">
        <v>8.2868999999999998E-3</v>
      </c>
      <c r="M41" s="449"/>
      <c r="N41" s="450">
        <v>2.0899999999999998E-3</v>
      </c>
      <c r="O41" s="449"/>
      <c r="P41" s="450">
        <v>7.6899999999999998E-3</v>
      </c>
      <c r="Q41" s="449"/>
      <c r="R41" s="450"/>
      <c r="S41" s="449"/>
      <c r="T41" s="450"/>
      <c r="U41" s="431"/>
      <c r="V41" s="449" t="s">
        <v>193</v>
      </c>
      <c r="W41" s="432"/>
      <c r="X41" s="419"/>
    </row>
    <row r="42" spans="1:27" s="420" customFormat="1" ht="15.75" x14ac:dyDescent="0.25">
      <c r="A42" s="428"/>
      <c r="B42" s="429" t="s">
        <v>289</v>
      </c>
      <c r="C42" s="429"/>
      <c r="D42" s="436" t="s">
        <v>311</v>
      </c>
      <c r="E42" s="429"/>
      <c r="F42" s="436" t="s">
        <v>256</v>
      </c>
      <c r="G42" s="436"/>
      <c r="H42" s="436" t="s">
        <v>261</v>
      </c>
      <c r="I42" s="436"/>
      <c r="J42" s="436" t="s">
        <v>261</v>
      </c>
      <c r="K42" s="436"/>
      <c r="L42" s="436" t="s">
        <v>259</v>
      </c>
      <c r="M42" s="436"/>
      <c r="N42" s="436" t="s">
        <v>263</v>
      </c>
      <c r="O42" s="436"/>
      <c r="P42" s="436" t="s">
        <v>264</v>
      </c>
      <c r="Q42" s="436"/>
      <c r="R42" s="436"/>
      <c r="S42" s="449"/>
      <c r="T42" s="450"/>
      <c r="U42" s="431"/>
      <c r="V42" s="431"/>
      <c r="W42" s="432"/>
      <c r="X42" s="419"/>
    </row>
    <row r="43" spans="1:27" s="420" customFormat="1" ht="15.75" x14ac:dyDescent="0.25">
      <c r="A43" s="428"/>
      <c r="B43" s="429" t="s">
        <v>290</v>
      </c>
      <c r="C43" s="451"/>
      <c r="D43" s="450">
        <v>5.2656999999999999E-3</v>
      </c>
      <c r="E43" s="450"/>
      <c r="F43" s="450">
        <f>+F40</f>
        <v>5.8688000000000004E-3</v>
      </c>
      <c r="G43" s="450"/>
      <c r="H43" s="450">
        <v>6.0188000000000004E-3</v>
      </c>
      <c r="I43" s="450"/>
      <c r="J43" s="450">
        <v>6.0488E-3</v>
      </c>
      <c r="K43" s="450"/>
      <c r="L43" s="450">
        <f>+L40</f>
        <v>8.6688000000000008E-3</v>
      </c>
      <c r="M43" s="450"/>
      <c r="N43" s="450">
        <v>9.4027999999999994E-3</v>
      </c>
      <c r="O43" s="450"/>
      <c r="P43" s="450">
        <v>1.55628E-2</v>
      </c>
      <c r="Q43" s="449"/>
      <c r="R43" s="450"/>
      <c r="S43" s="436"/>
      <c r="T43" s="436"/>
      <c r="U43" s="431"/>
      <c r="V43" s="449">
        <f>SUMPRODUCT(D43:R43,D35:R35)/V35</f>
        <v>7.1418324918262333E-3</v>
      </c>
      <c r="W43" s="432"/>
      <c r="X43" s="419"/>
    </row>
    <row r="44" spans="1:27" s="420" customFormat="1" ht="15.75" x14ac:dyDescent="0.25">
      <c r="A44" s="428"/>
      <c r="B44" s="429" t="s">
        <v>291</v>
      </c>
      <c r="C44" s="451"/>
      <c r="D44" s="450">
        <v>4.8837999999999998E-3</v>
      </c>
      <c r="E44" s="450"/>
      <c r="F44" s="450">
        <f>+F41</f>
        <v>5.4869000000000003E-3</v>
      </c>
      <c r="G44" s="450"/>
      <c r="H44" s="450">
        <v>5.6369000000000002E-3</v>
      </c>
      <c r="I44" s="450"/>
      <c r="J44" s="450">
        <v>5.6668999999999999E-3</v>
      </c>
      <c r="K44" s="450"/>
      <c r="L44" s="450">
        <f>+L41</f>
        <v>8.2868999999999998E-3</v>
      </c>
      <c r="M44" s="450"/>
      <c r="N44" s="450">
        <v>9.0209000000000001E-3</v>
      </c>
      <c r="O44" s="450"/>
      <c r="P44" s="450">
        <v>1.5180900000000001E-2</v>
      </c>
      <c r="Q44" s="449"/>
      <c r="R44" s="450"/>
      <c r="S44" s="436"/>
      <c r="T44" s="436"/>
      <c r="U44" s="431"/>
      <c r="V44" s="431"/>
      <c r="W44" s="432"/>
      <c r="X44" s="419"/>
    </row>
    <row r="45" spans="1:27" s="420" customFormat="1" ht="15.75" x14ac:dyDescent="0.25">
      <c r="A45" s="428"/>
      <c r="B45" s="429" t="s">
        <v>14</v>
      </c>
      <c r="C45" s="429"/>
      <c r="D45" s="451">
        <v>40709</v>
      </c>
      <c r="E45" s="451"/>
      <c r="F45" s="451">
        <v>40709</v>
      </c>
      <c r="G45" s="451"/>
      <c r="H45" s="451">
        <v>40709</v>
      </c>
      <c r="I45" s="451"/>
      <c r="J45" s="451">
        <v>40709</v>
      </c>
      <c r="K45" s="451"/>
      <c r="L45" s="451">
        <v>40709</v>
      </c>
      <c r="M45" s="451"/>
      <c r="N45" s="451">
        <v>40709</v>
      </c>
      <c r="O45" s="451"/>
      <c r="P45" s="451">
        <v>40709</v>
      </c>
      <c r="Q45" s="451"/>
      <c r="R45" s="451"/>
      <c r="S45" s="436"/>
      <c r="T45" s="436"/>
      <c r="U45" s="431"/>
      <c r="V45" s="431"/>
      <c r="W45" s="432"/>
      <c r="X45" s="419"/>
    </row>
    <row r="46" spans="1:27" s="420" customFormat="1" ht="15.75" x14ac:dyDescent="0.25">
      <c r="A46" s="428"/>
      <c r="B46" s="429" t="s">
        <v>15</v>
      </c>
      <c r="C46" s="429"/>
      <c r="D46" s="451">
        <v>41075</v>
      </c>
      <c r="E46" s="451"/>
      <c r="F46" s="451">
        <v>41075</v>
      </c>
      <c r="G46" s="451"/>
      <c r="H46" s="451">
        <v>41075</v>
      </c>
      <c r="I46" s="451"/>
      <c r="J46" s="451">
        <v>41075</v>
      </c>
      <c r="K46" s="436"/>
      <c r="L46" s="451">
        <v>41075</v>
      </c>
      <c r="M46" s="436"/>
      <c r="N46" s="451">
        <v>41075</v>
      </c>
      <c r="O46" s="436"/>
      <c r="P46" s="451">
        <v>41075</v>
      </c>
      <c r="Q46" s="436"/>
      <c r="R46" s="451"/>
      <c r="S46" s="436"/>
      <c r="T46" s="436"/>
      <c r="U46" s="431"/>
      <c r="V46" s="431"/>
      <c r="W46" s="432"/>
      <c r="X46" s="419"/>
    </row>
    <row r="47" spans="1:27" s="420" customFormat="1" ht="15.75" x14ac:dyDescent="0.25">
      <c r="A47" s="428"/>
      <c r="B47" s="429" t="s">
        <v>119</v>
      </c>
      <c r="C47" s="429"/>
      <c r="D47" s="436" t="s">
        <v>304</v>
      </c>
      <c r="E47" s="429"/>
      <c r="F47" s="436" t="s">
        <v>256</v>
      </c>
      <c r="G47" s="436"/>
      <c r="H47" s="436" t="s">
        <v>257</v>
      </c>
      <c r="I47" s="436"/>
      <c r="J47" s="436" t="s">
        <v>258</v>
      </c>
      <c r="K47" s="436"/>
      <c r="L47" s="436" t="s">
        <v>259</v>
      </c>
      <c r="M47" s="436"/>
      <c r="N47" s="436" t="s">
        <v>259</v>
      </c>
      <c r="O47" s="436"/>
      <c r="P47" s="436" t="s">
        <v>260</v>
      </c>
      <c r="Q47" s="436"/>
      <c r="R47" s="436"/>
      <c r="S47" s="452"/>
      <c r="T47" s="452"/>
      <c r="U47" s="452"/>
      <c r="V47" s="452"/>
      <c r="W47" s="432"/>
      <c r="X47" s="419"/>
    </row>
    <row r="48" spans="1:27" s="420" customFormat="1" ht="15.75" x14ac:dyDescent="0.25">
      <c r="A48" s="428"/>
      <c r="B48" s="429" t="s">
        <v>292</v>
      </c>
      <c r="C48" s="429"/>
      <c r="D48" s="436" t="s">
        <v>311</v>
      </c>
      <c r="E48" s="429"/>
      <c r="F48" s="436" t="s">
        <v>256</v>
      </c>
      <c r="G48" s="436"/>
      <c r="H48" s="436" t="s">
        <v>261</v>
      </c>
      <c r="I48" s="436"/>
      <c r="J48" s="436" t="s">
        <v>261</v>
      </c>
      <c r="K48" s="436"/>
      <c r="L48" s="436" t="s">
        <v>259</v>
      </c>
      <c r="M48" s="436"/>
      <c r="N48" s="436" t="s">
        <v>263</v>
      </c>
      <c r="O48" s="436"/>
      <c r="P48" s="436" t="s">
        <v>264</v>
      </c>
      <c r="Q48" s="436"/>
      <c r="R48" s="436"/>
      <c r="S48" s="429"/>
      <c r="T48" s="429"/>
      <c r="U48" s="429"/>
      <c r="V48" s="449"/>
      <c r="W48" s="432"/>
      <c r="X48" s="419"/>
    </row>
    <row r="49" spans="1:25" s="420" customFormat="1" ht="15.75" x14ac:dyDescent="0.25">
      <c r="A49" s="428"/>
      <c r="B49" s="429"/>
      <c r="C49" s="429"/>
      <c r="D49" s="436"/>
      <c r="E49" s="429"/>
      <c r="F49" s="436"/>
      <c r="G49" s="436"/>
      <c r="H49" s="436"/>
      <c r="I49" s="436"/>
      <c r="J49" s="436"/>
      <c r="K49" s="436"/>
      <c r="L49" s="436"/>
      <c r="M49" s="436"/>
      <c r="N49" s="436"/>
      <c r="O49" s="436"/>
      <c r="P49" s="436"/>
      <c r="Q49" s="436"/>
      <c r="R49" s="436"/>
      <c r="S49" s="429"/>
      <c r="T49" s="429"/>
      <c r="U49" s="429"/>
      <c r="V49" s="449" t="s">
        <v>193</v>
      </c>
      <c r="W49" s="432"/>
      <c r="X49" s="419"/>
    </row>
    <row r="50" spans="1:25" s="420" customFormat="1" ht="15.75" x14ac:dyDescent="0.25">
      <c r="A50" s="428"/>
      <c r="B50" s="429" t="s">
        <v>169</v>
      </c>
      <c r="C50" s="429"/>
      <c r="D50" s="436"/>
      <c r="E50" s="429"/>
      <c r="F50" s="436"/>
      <c r="G50" s="436"/>
      <c r="H50" s="436"/>
      <c r="I50" s="436"/>
      <c r="J50" s="436"/>
      <c r="K50" s="436"/>
      <c r="L50" s="436"/>
      <c r="M50" s="436"/>
      <c r="N50" s="436"/>
      <c r="O50" s="436"/>
      <c r="P50" s="436"/>
      <c r="Q50" s="436"/>
      <c r="R50" s="436"/>
      <c r="S50" s="429"/>
      <c r="T50" s="429"/>
      <c r="U50" s="429"/>
      <c r="V50" s="449">
        <f>SUM(L34:R34)/SUM(D34:J34)</f>
        <v>0.17632136449250416</v>
      </c>
      <c r="W50" s="432"/>
      <c r="X50" s="419"/>
    </row>
    <row r="51" spans="1:25" s="420" customFormat="1" ht="15.75" x14ac:dyDescent="0.25">
      <c r="A51" s="428"/>
      <c r="B51" s="429" t="s">
        <v>170</v>
      </c>
      <c r="C51" s="429"/>
      <c r="D51" s="429"/>
      <c r="E51" s="429"/>
      <c r="F51" s="453"/>
      <c r="G51" s="429"/>
      <c r="H51" s="429"/>
      <c r="I51" s="429"/>
      <c r="J51" s="429"/>
      <c r="K51" s="429"/>
      <c r="L51" s="429"/>
      <c r="M51" s="429"/>
      <c r="N51" s="429"/>
      <c r="O51" s="429"/>
      <c r="P51" s="429"/>
      <c r="Q51" s="429"/>
      <c r="R51" s="429"/>
      <c r="S51" s="429"/>
      <c r="T51" s="429"/>
      <c r="U51" s="429"/>
      <c r="V51" s="449">
        <f>SUM(L36:R36)/SUM(D36:J36)</f>
        <v>0.31035367502937816</v>
      </c>
      <c r="W51" s="432"/>
      <c r="X51" s="419"/>
    </row>
    <row r="52" spans="1:25" s="420" customFormat="1" ht="15.75" x14ac:dyDescent="0.25">
      <c r="A52" s="428"/>
      <c r="B52" s="429" t="s">
        <v>171</v>
      </c>
      <c r="C52" s="429"/>
      <c r="D52" s="429"/>
      <c r="E52" s="429"/>
      <c r="F52" s="429"/>
      <c r="G52" s="429"/>
      <c r="H52" s="429"/>
      <c r="I52" s="429"/>
      <c r="J52" s="429"/>
      <c r="K52" s="429"/>
      <c r="L52" s="429"/>
      <c r="M52" s="429"/>
      <c r="N52" s="429"/>
      <c r="O52" s="429"/>
      <c r="P52" s="429"/>
      <c r="Q52" s="429"/>
      <c r="R52" s="429"/>
      <c r="S52" s="429"/>
      <c r="T52" s="436"/>
      <c r="U52" s="436"/>
      <c r="V52" s="438" t="s">
        <v>268</v>
      </c>
      <c r="W52" s="432"/>
      <c r="X52" s="419"/>
    </row>
    <row r="53" spans="1:25" s="420" customFormat="1" ht="15.75" x14ac:dyDescent="0.25">
      <c r="A53" s="428"/>
      <c r="B53" s="429"/>
      <c r="C53" s="429"/>
      <c r="D53" s="429"/>
      <c r="E53" s="429"/>
      <c r="F53" s="429"/>
      <c r="G53" s="429"/>
      <c r="H53" s="429"/>
      <c r="I53" s="429"/>
      <c r="J53" s="429"/>
      <c r="K53" s="429"/>
      <c r="L53" s="429"/>
      <c r="M53" s="429"/>
      <c r="N53" s="429"/>
      <c r="O53" s="429"/>
      <c r="P53" s="429"/>
      <c r="Q53" s="429"/>
      <c r="R53" s="429"/>
      <c r="S53" s="429"/>
      <c r="T53" s="429"/>
      <c r="U53" s="429"/>
      <c r="V53" s="454"/>
      <c r="W53" s="432"/>
      <c r="X53" s="419"/>
    </row>
    <row r="54" spans="1:25" s="420" customFormat="1" ht="15.75" x14ac:dyDescent="0.25">
      <c r="A54" s="428"/>
      <c r="B54" s="429" t="s">
        <v>202</v>
      </c>
      <c r="C54" s="429"/>
      <c r="D54" s="429"/>
      <c r="E54" s="429"/>
      <c r="F54" s="429"/>
      <c r="G54" s="429"/>
      <c r="H54" s="429"/>
      <c r="I54" s="429"/>
      <c r="J54" s="429"/>
      <c r="K54" s="429"/>
      <c r="L54" s="429"/>
      <c r="M54" s="429"/>
      <c r="N54" s="429"/>
      <c r="O54" s="429"/>
      <c r="P54" s="429"/>
      <c r="Q54" s="429"/>
      <c r="R54" s="429"/>
      <c r="S54" s="429"/>
      <c r="T54" s="429"/>
      <c r="U54" s="429"/>
      <c r="V54" s="448" t="s">
        <v>203</v>
      </c>
      <c r="W54" s="432"/>
      <c r="X54" s="419"/>
    </row>
    <row r="55" spans="1:25" s="420" customFormat="1" ht="15.75" x14ac:dyDescent="0.25">
      <c r="A55" s="428"/>
      <c r="B55" s="429" t="s">
        <v>270</v>
      </c>
      <c r="C55" s="429"/>
      <c r="D55" s="429"/>
      <c r="E55" s="429"/>
      <c r="F55" s="429"/>
      <c r="G55" s="429"/>
      <c r="H55" s="429"/>
      <c r="I55" s="429"/>
      <c r="J55" s="429"/>
      <c r="K55" s="429"/>
      <c r="L55" s="429"/>
      <c r="M55" s="429"/>
      <c r="N55" s="429"/>
      <c r="O55" s="429"/>
      <c r="P55" s="429"/>
      <c r="Q55" s="429"/>
      <c r="R55" s="429"/>
      <c r="S55" s="429"/>
      <c r="T55" s="436"/>
      <c r="U55" s="436"/>
      <c r="V55" s="455" t="s">
        <v>111</v>
      </c>
      <c r="W55" s="432"/>
      <c r="X55" s="419"/>
    </row>
    <row r="56" spans="1:25" s="420" customFormat="1" ht="15.75" x14ac:dyDescent="0.25">
      <c r="A56" s="428"/>
      <c r="B56" s="435" t="s">
        <v>201</v>
      </c>
      <c r="C56" s="435"/>
      <c r="D56" s="435"/>
      <c r="E56" s="435"/>
      <c r="F56" s="435"/>
      <c r="G56" s="435"/>
      <c r="H56" s="435"/>
      <c r="I56" s="435"/>
      <c r="J56" s="435"/>
      <c r="K56" s="435"/>
      <c r="L56" s="435"/>
      <c r="M56" s="435"/>
      <c r="N56" s="435"/>
      <c r="O56" s="435"/>
      <c r="P56" s="435"/>
      <c r="Q56" s="435"/>
      <c r="R56" s="435"/>
      <c r="S56" s="435"/>
      <c r="T56" s="456"/>
      <c r="U56" s="456"/>
      <c r="V56" s="457">
        <v>43084</v>
      </c>
      <c r="W56" s="432"/>
      <c r="X56" s="419"/>
    </row>
    <row r="57" spans="1:25" s="420" customFormat="1" ht="15.75" x14ac:dyDescent="0.25">
      <c r="A57" s="428"/>
      <c r="B57" s="429" t="s">
        <v>121</v>
      </c>
      <c r="C57" s="429"/>
      <c r="D57" s="429"/>
      <c r="E57" s="429"/>
      <c r="F57" s="429"/>
      <c r="G57" s="429"/>
      <c r="H57" s="458"/>
      <c r="I57" s="458"/>
      <c r="J57" s="458"/>
      <c r="K57" s="458"/>
      <c r="L57" s="458"/>
      <c r="M57" s="458"/>
      <c r="N57" s="458"/>
      <c r="O57" s="458"/>
      <c r="P57" s="458"/>
      <c r="Q57" s="458"/>
      <c r="R57" s="429">
        <f>+V57-T57+1</f>
        <v>92</v>
      </c>
      <c r="S57" s="458"/>
      <c r="T57" s="459">
        <v>42901</v>
      </c>
      <c r="U57" s="460"/>
      <c r="V57" s="459">
        <v>42992</v>
      </c>
      <c r="W57" s="432"/>
      <c r="X57" s="419"/>
    </row>
    <row r="58" spans="1:25" s="420" customFormat="1" ht="15.75" x14ac:dyDescent="0.25">
      <c r="A58" s="428"/>
      <c r="B58" s="429" t="s">
        <v>122</v>
      </c>
      <c r="C58" s="429"/>
      <c r="D58" s="429"/>
      <c r="E58" s="429"/>
      <c r="F58" s="429"/>
      <c r="G58" s="429"/>
      <c r="H58" s="429"/>
      <c r="I58" s="429"/>
      <c r="J58" s="429"/>
      <c r="K58" s="429"/>
      <c r="L58" s="429"/>
      <c r="M58" s="429"/>
      <c r="N58" s="429"/>
      <c r="O58" s="429"/>
      <c r="P58" s="429"/>
      <c r="Q58" s="429"/>
      <c r="R58" s="429">
        <f>+V58-T58+1</f>
        <v>91</v>
      </c>
      <c r="S58" s="429"/>
      <c r="T58" s="459">
        <v>42993</v>
      </c>
      <c r="U58" s="460"/>
      <c r="V58" s="459">
        <v>43083</v>
      </c>
      <c r="W58" s="432"/>
      <c r="X58" s="419"/>
    </row>
    <row r="59" spans="1:25" s="420" customFormat="1" ht="15.75" x14ac:dyDescent="0.25">
      <c r="A59" s="428"/>
      <c r="B59" s="429" t="s">
        <v>223</v>
      </c>
      <c r="C59" s="429"/>
      <c r="D59" s="429"/>
      <c r="E59" s="429"/>
      <c r="F59" s="429"/>
      <c r="G59" s="429"/>
      <c r="H59" s="429"/>
      <c r="I59" s="429"/>
      <c r="J59" s="429"/>
      <c r="K59" s="429"/>
      <c r="L59" s="429"/>
      <c r="M59" s="429"/>
      <c r="N59" s="429"/>
      <c r="O59" s="429"/>
      <c r="P59" s="429"/>
      <c r="Q59" s="429"/>
      <c r="R59" s="429"/>
      <c r="S59" s="429"/>
      <c r="T59" s="459"/>
      <c r="U59" s="460"/>
      <c r="V59" s="459" t="s">
        <v>120</v>
      </c>
      <c r="W59" s="432"/>
      <c r="X59" s="419"/>
    </row>
    <row r="60" spans="1:25" s="420" customFormat="1" ht="15.75" x14ac:dyDescent="0.25">
      <c r="A60" s="428"/>
      <c r="B60" s="429" t="s">
        <v>271</v>
      </c>
      <c r="C60" s="429"/>
      <c r="D60" s="429"/>
      <c r="E60" s="429"/>
      <c r="F60" s="429"/>
      <c r="G60" s="429"/>
      <c r="H60" s="429"/>
      <c r="I60" s="429"/>
      <c r="J60" s="429"/>
      <c r="K60" s="429"/>
      <c r="L60" s="429"/>
      <c r="M60" s="429"/>
      <c r="N60" s="429"/>
      <c r="O60" s="429"/>
      <c r="P60" s="429"/>
      <c r="Q60" s="429"/>
      <c r="R60" s="429"/>
      <c r="S60" s="429"/>
      <c r="T60" s="459"/>
      <c r="U60" s="460"/>
      <c r="V60" s="459" t="s">
        <v>154</v>
      </c>
      <c r="W60" s="432"/>
      <c r="X60" s="419"/>
      <c r="Y60" s="461"/>
    </row>
    <row r="61" spans="1:25" s="420" customFormat="1" ht="15.75" x14ac:dyDescent="0.25">
      <c r="A61" s="428"/>
      <c r="B61" s="429" t="s">
        <v>16</v>
      </c>
      <c r="C61" s="429"/>
      <c r="D61" s="429"/>
      <c r="E61" s="429"/>
      <c r="F61" s="429"/>
      <c r="G61" s="429"/>
      <c r="H61" s="429"/>
      <c r="I61" s="429"/>
      <c r="J61" s="429"/>
      <c r="K61" s="429"/>
      <c r="L61" s="429"/>
      <c r="M61" s="429"/>
      <c r="N61" s="429"/>
      <c r="O61" s="429"/>
      <c r="P61" s="429"/>
      <c r="Q61" s="429"/>
      <c r="R61" s="429"/>
      <c r="S61" s="429"/>
      <c r="T61" s="459"/>
      <c r="U61" s="460"/>
      <c r="V61" s="459">
        <v>43070</v>
      </c>
      <c r="W61" s="432"/>
      <c r="X61" s="419"/>
    </row>
    <row r="62" spans="1:25" s="420" customFormat="1" ht="15.75" x14ac:dyDescent="0.25">
      <c r="A62" s="416"/>
      <c r="B62" s="462"/>
      <c r="C62" s="462"/>
      <c r="D62" s="462"/>
      <c r="E62" s="462"/>
      <c r="F62" s="462"/>
      <c r="G62" s="462"/>
      <c r="H62" s="462"/>
      <c r="I62" s="462"/>
      <c r="J62" s="462"/>
      <c r="K62" s="462"/>
      <c r="L62" s="462"/>
      <c r="M62" s="462"/>
      <c r="N62" s="462"/>
      <c r="O62" s="462"/>
      <c r="P62" s="462"/>
      <c r="Q62" s="462"/>
      <c r="R62" s="462"/>
      <c r="S62" s="462"/>
      <c r="T62" s="463"/>
      <c r="U62" s="464"/>
      <c r="V62" s="463"/>
      <c r="W62" s="462"/>
      <c r="X62" s="419"/>
    </row>
    <row r="63" spans="1:25" s="420" customFormat="1" ht="15.75" x14ac:dyDescent="0.25">
      <c r="A63" s="416"/>
      <c r="B63" s="417"/>
      <c r="C63" s="417"/>
      <c r="D63" s="417"/>
      <c r="E63" s="417"/>
      <c r="F63" s="417"/>
      <c r="G63" s="417"/>
      <c r="H63" s="417"/>
      <c r="I63" s="417"/>
      <c r="J63" s="417"/>
      <c r="K63" s="417"/>
      <c r="L63" s="417"/>
      <c r="M63" s="417"/>
      <c r="N63" s="417"/>
      <c r="O63" s="417"/>
      <c r="P63" s="417"/>
      <c r="Q63" s="417"/>
      <c r="R63" s="417"/>
      <c r="S63" s="417"/>
      <c r="T63" s="465"/>
      <c r="U63" s="466"/>
      <c r="V63" s="465"/>
      <c r="W63" s="417"/>
      <c r="X63" s="419"/>
    </row>
    <row r="64" spans="1:25" s="420" customFormat="1" ht="19.5" thickBot="1" x14ac:dyDescent="0.35">
      <c r="A64" s="467"/>
      <c r="B64" s="468" t="s">
        <v>342</v>
      </c>
      <c r="C64" s="469"/>
      <c r="D64" s="469"/>
      <c r="E64" s="469"/>
      <c r="F64" s="469"/>
      <c r="G64" s="469"/>
      <c r="H64" s="469"/>
      <c r="I64" s="469"/>
      <c r="J64" s="469"/>
      <c r="K64" s="469"/>
      <c r="L64" s="469"/>
      <c r="M64" s="469"/>
      <c r="N64" s="469"/>
      <c r="O64" s="469"/>
      <c r="P64" s="469"/>
      <c r="Q64" s="469"/>
      <c r="R64" s="469"/>
      <c r="S64" s="469"/>
      <c r="T64" s="469"/>
      <c r="U64" s="469"/>
      <c r="V64" s="470"/>
      <c r="W64" s="471"/>
      <c r="X64" s="419"/>
    </row>
    <row r="65" spans="1:24" ht="15.75" x14ac:dyDescent="0.25">
      <c r="A65" s="536"/>
      <c r="B65" s="545" t="s">
        <v>17</v>
      </c>
      <c r="C65" s="537"/>
      <c r="D65" s="537"/>
      <c r="E65" s="537"/>
      <c r="F65" s="537"/>
      <c r="G65" s="537"/>
      <c r="H65" s="537"/>
      <c r="I65" s="537"/>
      <c r="J65" s="537"/>
      <c r="K65" s="537"/>
      <c r="L65" s="537"/>
      <c r="M65" s="537"/>
      <c r="N65" s="537"/>
      <c r="O65" s="537"/>
      <c r="P65" s="537"/>
      <c r="Q65" s="537"/>
      <c r="R65" s="537"/>
      <c r="S65" s="537"/>
      <c r="T65" s="537"/>
      <c r="U65" s="537"/>
      <c r="V65" s="546"/>
      <c r="W65" s="537"/>
      <c r="X65" s="5"/>
    </row>
    <row r="66" spans="1:24" ht="15.75" x14ac:dyDescent="0.25">
      <c r="A66" s="181"/>
      <c r="B66" s="189"/>
      <c r="C66" s="183"/>
      <c r="D66" s="183"/>
      <c r="E66" s="183"/>
      <c r="F66" s="183"/>
      <c r="G66" s="183"/>
      <c r="H66" s="183"/>
      <c r="I66" s="183"/>
      <c r="J66" s="183"/>
      <c r="K66" s="183"/>
      <c r="L66" s="183"/>
      <c r="M66" s="183"/>
      <c r="N66" s="183"/>
      <c r="O66" s="183"/>
      <c r="P66" s="183"/>
      <c r="Q66" s="183"/>
      <c r="R66" s="183"/>
      <c r="S66" s="183"/>
      <c r="T66" s="183"/>
      <c r="U66" s="183"/>
      <c r="V66" s="202"/>
      <c r="W66" s="183"/>
      <c r="X66" s="5"/>
    </row>
    <row r="67" spans="1:24" s="522" customFormat="1" ht="47.25" x14ac:dyDescent="0.25">
      <c r="A67" s="525"/>
      <c r="B67" s="526" t="s">
        <v>18</v>
      </c>
      <c r="C67" s="527"/>
      <c r="D67" s="527"/>
      <c r="E67" s="527"/>
      <c r="F67" s="527"/>
      <c r="G67" s="527"/>
      <c r="H67" s="527"/>
      <c r="I67" s="527"/>
      <c r="J67" s="527"/>
      <c r="K67" s="527"/>
      <c r="L67" s="527" t="s">
        <v>94</v>
      </c>
      <c r="M67" s="527"/>
      <c r="N67" s="527" t="s">
        <v>96</v>
      </c>
      <c r="O67" s="527"/>
      <c r="P67" s="527" t="s">
        <v>98</v>
      </c>
      <c r="Q67" s="527"/>
      <c r="R67" s="527" t="s">
        <v>100</v>
      </c>
      <c r="S67" s="527"/>
      <c r="T67" s="527" t="s">
        <v>106</v>
      </c>
      <c r="U67" s="527"/>
      <c r="V67" s="528" t="s">
        <v>112</v>
      </c>
      <c r="W67" s="529"/>
      <c r="X67" s="521"/>
    </row>
    <row r="68" spans="1:24" s="420" customFormat="1" ht="15.75" x14ac:dyDescent="0.25">
      <c r="A68" s="428"/>
      <c r="B68" s="429" t="s">
        <v>19</v>
      </c>
      <c r="C68" s="472"/>
      <c r="D68" s="472"/>
      <c r="E68" s="472"/>
      <c r="F68" s="472"/>
      <c r="G68" s="472"/>
      <c r="H68" s="472"/>
      <c r="I68" s="472"/>
      <c r="J68" s="472"/>
      <c r="K68" s="472"/>
      <c r="L68" s="472">
        <v>812446</v>
      </c>
      <c r="M68" s="472"/>
      <c r="N68" s="473">
        <v>645126</v>
      </c>
      <c r="O68" s="472"/>
      <c r="P68" s="472">
        <f>11545+3</f>
        <v>11548</v>
      </c>
      <c r="Q68" s="472"/>
      <c r="R68" s="472">
        <v>3</v>
      </c>
      <c r="S68" s="472"/>
      <c r="T68" s="472">
        <v>0</v>
      </c>
      <c r="U68" s="472"/>
      <c r="V68" s="473">
        <f>+N68-P68+R68-T68</f>
        <v>633581</v>
      </c>
      <c r="W68" s="432"/>
      <c r="X68" s="419"/>
    </row>
    <row r="69" spans="1:24" s="420" customFormat="1" ht="15.75" x14ac:dyDescent="0.25">
      <c r="A69" s="428"/>
      <c r="B69" s="429" t="s">
        <v>20</v>
      </c>
      <c r="C69" s="472"/>
      <c r="D69" s="472"/>
      <c r="E69" s="472"/>
      <c r="F69" s="472"/>
      <c r="G69" s="472"/>
      <c r="H69" s="472"/>
      <c r="I69" s="472"/>
      <c r="J69" s="472"/>
      <c r="K69" s="472"/>
      <c r="L69" s="472">
        <v>0</v>
      </c>
      <c r="M69" s="472"/>
      <c r="N69" s="473">
        <v>0</v>
      </c>
      <c r="O69" s="472"/>
      <c r="P69" s="472">
        <v>0</v>
      </c>
      <c r="Q69" s="472"/>
      <c r="R69" s="472">
        <v>0</v>
      </c>
      <c r="S69" s="472"/>
      <c r="T69" s="472">
        <v>0</v>
      </c>
      <c r="U69" s="472"/>
      <c r="V69" s="473">
        <f>+L69-P69</f>
        <v>0</v>
      </c>
      <c r="W69" s="432"/>
      <c r="X69" s="419"/>
    </row>
    <row r="70" spans="1:24" s="420" customFormat="1" ht="15.75" x14ac:dyDescent="0.25">
      <c r="A70" s="428"/>
      <c r="B70" s="429"/>
      <c r="C70" s="472"/>
      <c r="D70" s="472"/>
      <c r="E70" s="472"/>
      <c r="F70" s="472"/>
      <c r="G70" s="472"/>
      <c r="H70" s="472"/>
      <c r="I70" s="472"/>
      <c r="J70" s="472"/>
      <c r="K70" s="472"/>
      <c r="L70" s="472"/>
      <c r="M70" s="472"/>
      <c r="N70" s="473"/>
      <c r="O70" s="472"/>
      <c r="P70" s="472"/>
      <c r="Q70" s="472"/>
      <c r="R70" s="472"/>
      <c r="S70" s="472"/>
      <c r="T70" s="472"/>
      <c r="U70" s="472"/>
      <c r="V70" s="473"/>
      <c r="W70" s="432"/>
      <c r="X70" s="419"/>
    </row>
    <row r="71" spans="1:24" s="420" customFormat="1" ht="15.75" x14ac:dyDescent="0.25">
      <c r="A71" s="428"/>
      <c r="B71" s="429" t="s">
        <v>21</v>
      </c>
      <c r="C71" s="472"/>
      <c r="D71" s="472"/>
      <c r="E71" s="472"/>
      <c r="F71" s="472"/>
      <c r="G71" s="472"/>
      <c r="H71" s="472"/>
      <c r="I71" s="472"/>
      <c r="J71" s="472"/>
      <c r="K71" s="472"/>
      <c r="L71" s="472">
        <f>SUM(L68:L70)</f>
        <v>812446</v>
      </c>
      <c r="M71" s="472"/>
      <c r="N71" s="472">
        <f>N68+N69</f>
        <v>645126</v>
      </c>
      <c r="O71" s="472"/>
      <c r="P71" s="472">
        <f>SUM(P68:P70)</f>
        <v>11548</v>
      </c>
      <c r="Q71" s="472"/>
      <c r="R71" s="472">
        <f>SUM(R68:R70)</f>
        <v>3</v>
      </c>
      <c r="S71" s="472"/>
      <c r="T71" s="472">
        <f>SUM(T68:T70)</f>
        <v>0</v>
      </c>
      <c r="U71" s="472"/>
      <c r="V71" s="472">
        <f>SUM(V68:V70)</f>
        <v>633581</v>
      </c>
      <c r="W71" s="432"/>
      <c r="X71" s="419"/>
    </row>
    <row r="72" spans="1:24" ht="15.75" x14ac:dyDescent="0.25">
      <c r="A72" s="181"/>
      <c r="B72" s="212"/>
      <c r="C72" s="335"/>
      <c r="D72" s="335"/>
      <c r="E72" s="335"/>
      <c r="F72" s="335"/>
      <c r="G72" s="335"/>
      <c r="H72" s="335"/>
      <c r="I72" s="335"/>
      <c r="J72" s="335"/>
      <c r="K72" s="335"/>
      <c r="L72" s="335"/>
      <c r="M72" s="335"/>
      <c r="N72" s="335"/>
      <c r="O72" s="335"/>
      <c r="P72" s="335"/>
      <c r="Q72" s="335"/>
      <c r="R72" s="335"/>
      <c r="S72" s="335"/>
      <c r="T72" s="335"/>
      <c r="U72" s="335"/>
      <c r="V72" s="336"/>
      <c r="W72" s="212"/>
      <c r="X72" s="5"/>
    </row>
    <row r="73" spans="1:24" ht="15.75" x14ac:dyDescent="0.25">
      <c r="A73" s="181"/>
      <c r="B73" s="511" t="s">
        <v>22</v>
      </c>
      <c r="C73" s="207"/>
      <c r="D73" s="207"/>
      <c r="E73" s="207"/>
      <c r="F73" s="207"/>
      <c r="G73" s="207"/>
      <c r="H73" s="207"/>
      <c r="I73" s="207"/>
      <c r="J73" s="207"/>
      <c r="K73" s="207"/>
      <c r="L73" s="207"/>
      <c r="M73" s="207"/>
      <c r="N73" s="207"/>
      <c r="O73" s="207"/>
      <c r="P73" s="207"/>
      <c r="Q73" s="207"/>
      <c r="R73" s="207"/>
      <c r="S73" s="207"/>
      <c r="T73" s="207"/>
      <c r="U73" s="207"/>
      <c r="V73" s="208"/>
      <c r="W73" s="183"/>
      <c r="X73" s="5"/>
    </row>
    <row r="74" spans="1:24" ht="15.75" x14ac:dyDescent="0.25">
      <c r="A74" s="181"/>
      <c r="B74" s="183"/>
      <c r="C74" s="207"/>
      <c r="D74" s="207"/>
      <c r="E74" s="207"/>
      <c r="F74" s="207"/>
      <c r="G74" s="207"/>
      <c r="H74" s="207"/>
      <c r="I74" s="207"/>
      <c r="J74" s="207"/>
      <c r="K74" s="207"/>
      <c r="L74" s="207"/>
      <c r="M74" s="207"/>
      <c r="N74" s="207"/>
      <c r="O74" s="207"/>
      <c r="P74" s="207"/>
      <c r="Q74" s="207"/>
      <c r="R74" s="207"/>
      <c r="S74" s="207"/>
      <c r="T74" s="207"/>
      <c r="U74" s="207"/>
      <c r="V74" s="208"/>
      <c r="W74" s="183"/>
      <c r="X74" s="5"/>
    </row>
    <row r="75" spans="1:24" s="420" customFormat="1" ht="15.75" x14ac:dyDescent="0.25">
      <c r="A75" s="428"/>
      <c r="B75" s="429" t="s">
        <v>19</v>
      </c>
      <c r="C75" s="472"/>
      <c r="D75" s="472"/>
      <c r="E75" s="472"/>
      <c r="F75" s="472"/>
      <c r="G75" s="472"/>
      <c r="H75" s="472"/>
      <c r="I75" s="472"/>
      <c r="J75" s="472"/>
      <c r="K75" s="472"/>
      <c r="L75" s="472"/>
      <c r="M75" s="472"/>
      <c r="N75" s="472"/>
      <c r="O75" s="472"/>
      <c r="P75" s="472"/>
      <c r="Q75" s="472"/>
      <c r="R75" s="472"/>
      <c r="S75" s="472"/>
      <c r="T75" s="472"/>
      <c r="U75" s="472"/>
      <c r="V75" s="472"/>
      <c r="W75" s="432"/>
      <c r="X75" s="419"/>
    </row>
    <row r="76" spans="1:24" s="420" customFormat="1" ht="15.75" x14ac:dyDescent="0.25">
      <c r="A76" s="428"/>
      <c r="B76" s="429" t="s">
        <v>20</v>
      </c>
      <c r="C76" s="472"/>
      <c r="D76" s="472"/>
      <c r="E76" s="472"/>
      <c r="F76" s="472"/>
      <c r="G76" s="472"/>
      <c r="H76" s="472"/>
      <c r="I76" s="472"/>
      <c r="J76" s="472"/>
      <c r="K76" s="472"/>
      <c r="L76" s="472"/>
      <c r="M76" s="472"/>
      <c r="N76" s="472"/>
      <c r="O76" s="472"/>
      <c r="P76" s="472"/>
      <c r="Q76" s="472"/>
      <c r="R76" s="472"/>
      <c r="S76" s="472"/>
      <c r="T76" s="472"/>
      <c r="U76" s="472"/>
      <c r="V76" s="472"/>
      <c r="W76" s="432"/>
      <c r="X76" s="419"/>
    </row>
    <row r="77" spans="1:24" s="420" customFormat="1" ht="15.75" x14ac:dyDescent="0.25">
      <c r="A77" s="428"/>
      <c r="B77" s="429"/>
      <c r="C77" s="472"/>
      <c r="D77" s="472"/>
      <c r="E77" s="472"/>
      <c r="F77" s="472"/>
      <c r="G77" s="472"/>
      <c r="H77" s="472"/>
      <c r="I77" s="472"/>
      <c r="J77" s="472"/>
      <c r="K77" s="472"/>
      <c r="L77" s="472"/>
      <c r="M77" s="472"/>
      <c r="N77" s="472"/>
      <c r="O77" s="472"/>
      <c r="P77" s="472"/>
      <c r="Q77" s="472"/>
      <c r="R77" s="472"/>
      <c r="S77" s="472"/>
      <c r="T77" s="472"/>
      <c r="U77" s="472"/>
      <c r="V77" s="472"/>
      <c r="W77" s="432"/>
      <c r="X77" s="419"/>
    </row>
    <row r="78" spans="1:24" s="420" customFormat="1" ht="15.75" x14ac:dyDescent="0.25">
      <c r="A78" s="428"/>
      <c r="B78" s="429" t="s">
        <v>21</v>
      </c>
      <c r="C78" s="472"/>
      <c r="D78" s="472"/>
      <c r="E78" s="472"/>
      <c r="F78" s="472"/>
      <c r="G78" s="472"/>
      <c r="H78" s="472"/>
      <c r="I78" s="472"/>
      <c r="J78" s="472"/>
      <c r="K78" s="472"/>
      <c r="L78" s="472"/>
      <c r="M78" s="472"/>
      <c r="N78" s="472"/>
      <c r="O78" s="472"/>
      <c r="P78" s="472"/>
      <c r="Q78" s="472"/>
      <c r="R78" s="472"/>
      <c r="S78" s="472"/>
      <c r="T78" s="472"/>
      <c r="U78" s="472"/>
      <c r="V78" s="472"/>
      <c r="W78" s="432"/>
      <c r="X78" s="419"/>
    </row>
    <row r="79" spans="1:24" s="420" customFormat="1" ht="15.75" x14ac:dyDescent="0.25">
      <c r="A79" s="428"/>
      <c r="B79" s="429"/>
      <c r="C79" s="472"/>
      <c r="D79" s="472"/>
      <c r="E79" s="472"/>
      <c r="F79" s="472"/>
      <c r="G79" s="472"/>
      <c r="H79" s="472"/>
      <c r="I79" s="472"/>
      <c r="J79" s="472"/>
      <c r="K79" s="472"/>
      <c r="L79" s="472"/>
      <c r="M79" s="472"/>
      <c r="N79" s="472"/>
      <c r="O79" s="472"/>
      <c r="P79" s="472"/>
      <c r="Q79" s="472"/>
      <c r="R79" s="472"/>
      <c r="S79" s="472"/>
      <c r="T79" s="472"/>
      <c r="U79" s="472"/>
      <c r="V79" s="472"/>
      <c r="W79" s="432"/>
      <c r="X79" s="419"/>
    </row>
    <row r="80" spans="1:24" s="420" customFormat="1" ht="15.75" x14ac:dyDescent="0.25">
      <c r="A80" s="428"/>
      <c r="B80" s="429" t="s">
        <v>23</v>
      </c>
      <c r="C80" s="472"/>
      <c r="D80" s="472"/>
      <c r="E80" s="472"/>
      <c r="F80" s="472"/>
      <c r="G80" s="472"/>
      <c r="H80" s="472"/>
      <c r="I80" s="472"/>
      <c r="J80" s="472"/>
      <c r="K80" s="472"/>
      <c r="L80" s="472">
        <v>0</v>
      </c>
      <c r="M80" s="472"/>
      <c r="N80" s="472">
        <v>0</v>
      </c>
      <c r="O80" s="472"/>
      <c r="P80" s="472"/>
      <c r="Q80" s="472"/>
      <c r="R80" s="472"/>
      <c r="S80" s="472"/>
      <c r="T80" s="472"/>
      <c r="U80" s="472"/>
      <c r="V80" s="473">
        <v>0</v>
      </c>
      <c r="W80" s="432"/>
      <c r="X80" s="419"/>
    </row>
    <row r="81" spans="1:24" s="420" customFormat="1" ht="15.75" x14ac:dyDescent="0.25">
      <c r="A81" s="428"/>
      <c r="B81" s="429" t="s">
        <v>117</v>
      </c>
      <c r="C81" s="472"/>
      <c r="D81" s="472"/>
      <c r="E81" s="472"/>
      <c r="F81" s="472"/>
      <c r="G81" s="472"/>
      <c r="H81" s="472"/>
      <c r="I81" s="472"/>
      <c r="J81" s="472"/>
      <c r="K81" s="472"/>
      <c r="L81" s="472">
        <v>188687</v>
      </c>
      <c r="M81" s="472"/>
      <c r="N81" s="472">
        <v>0</v>
      </c>
      <c r="O81" s="472"/>
      <c r="P81" s="472">
        <v>0</v>
      </c>
      <c r="Q81" s="472"/>
      <c r="R81" s="472"/>
      <c r="S81" s="472"/>
      <c r="T81" s="472"/>
      <c r="U81" s="472"/>
      <c r="V81" s="472">
        <f>SUM(N81:R81)</f>
        <v>0</v>
      </c>
      <c r="W81" s="432"/>
      <c r="X81" s="419"/>
    </row>
    <row r="82" spans="1:24" s="420" customFormat="1" ht="15.75" x14ac:dyDescent="0.25">
      <c r="A82" s="428"/>
      <c r="B82" s="429" t="s">
        <v>146</v>
      </c>
      <c r="C82" s="472"/>
      <c r="D82" s="472"/>
      <c r="E82" s="472"/>
      <c r="F82" s="472"/>
      <c r="G82" s="472"/>
      <c r="H82" s="472"/>
      <c r="I82" s="472"/>
      <c r="J82" s="472"/>
      <c r="K82" s="472"/>
      <c r="L82" s="472">
        <v>0</v>
      </c>
      <c r="M82" s="472"/>
      <c r="N82" s="472">
        <v>0</v>
      </c>
      <c r="O82" s="472"/>
      <c r="P82" s="472">
        <v>0</v>
      </c>
      <c r="Q82" s="472"/>
      <c r="R82" s="472"/>
      <c r="S82" s="472"/>
      <c r="T82" s="472"/>
      <c r="U82" s="472"/>
      <c r="V82" s="472">
        <f>+N82+P82</f>
        <v>0</v>
      </c>
      <c r="W82" s="432"/>
      <c r="X82" s="419"/>
    </row>
    <row r="83" spans="1:24" s="420" customFormat="1" ht="15.75" x14ac:dyDescent="0.25">
      <c r="A83" s="428"/>
      <c r="B83" s="429" t="s">
        <v>25</v>
      </c>
      <c r="C83" s="472"/>
      <c r="D83" s="472"/>
      <c r="E83" s="472"/>
      <c r="F83" s="472"/>
      <c r="G83" s="472"/>
      <c r="H83" s="472"/>
      <c r="I83" s="472"/>
      <c r="J83" s="472"/>
      <c r="K83" s="472"/>
      <c r="L83" s="472">
        <v>0</v>
      </c>
      <c r="M83" s="472"/>
      <c r="N83" s="472">
        <v>0</v>
      </c>
      <c r="O83" s="472"/>
      <c r="P83" s="472"/>
      <c r="Q83" s="472"/>
      <c r="R83" s="472"/>
      <c r="S83" s="472"/>
      <c r="T83" s="472"/>
      <c r="U83" s="472"/>
      <c r="V83" s="472">
        <v>0</v>
      </c>
      <c r="W83" s="432"/>
      <c r="X83" s="419"/>
    </row>
    <row r="84" spans="1:24" s="420" customFormat="1" ht="15.75" x14ac:dyDescent="0.25">
      <c r="A84" s="428"/>
      <c r="B84" s="429" t="s">
        <v>26</v>
      </c>
      <c r="C84" s="472"/>
      <c r="D84" s="472"/>
      <c r="E84" s="472"/>
      <c r="F84" s="472"/>
      <c r="G84" s="472"/>
      <c r="H84" s="472"/>
      <c r="I84" s="472"/>
      <c r="J84" s="472"/>
      <c r="K84" s="472"/>
      <c r="L84" s="472">
        <f>SUM(L71:L83)</f>
        <v>1001133</v>
      </c>
      <c r="M84" s="472"/>
      <c r="N84" s="472">
        <f>SUM(N71:N83)</f>
        <v>645126</v>
      </c>
      <c r="O84" s="472"/>
      <c r="P84" s="472"/>
      <c r="Q84" s="472"/>
      <c r="R84" s="472"/>
      <c r="S84" s="472"/>
      <c r="T84" s="472"/>
      <c r="U84" s="472"/>
      <c r="V84" s="472">
        <f>SUM(V71:V83)</f>
        <v>633581</v>
      </c>
      <c r="W84" s="432"/>
      <c r="X84" s="419"/>
    </row>
    <row r="85" spans="1:24" ht="15.75" x14ac:dyDescent="0.25">
      <c r="A85" s="181"/>
      <c r="B85" s="212"/>
      <c r="C85" s="335"/>
      <c r="D85" s="335"/>
      <c r="E85" s="335"/>
      <c r="F85" s="335"/>
      <c r="G85" s="335"/>
      <c r="H85" s="335"/>
      <c r="I85" s="335"/>
      <c r="J85" s="335"/>
      <c r="K85" s="335"/>
      <c r="L85" s="335"/>
      <c r="M85" s="335"/>
      <c r="N85" s="335"/>
      <c r="O85" s="335"/>
      <c r="P85" s="335"/>
      <c r="Q85" s="335"/>
      <c r="R85" s="335"/>
      <c r="S85" s="335"/>
      <c r="T85" s="335"/>
      <c r="U85" s="335"/>
      <c r="V85" s="336"/>
      <c r="W85" s="212"/>
      <c r="X85" s="5"/>
    </row>
    <row r="86" spans="1:24" ht="15.75" x14ac:dyDescent="0.25">
      <c r="A86" s="181"/>
      <c r="B86" s="183"/>
      <c r="C86" s="183"/>
      <c r="D86" s="183"/>
      <c r="E86" s="183"/>
      <c r="F86" s="183"/>
      <c r="G86" s="183"/>
      <c r="H86" s="183"/>
      <c r="I86" s="183"/>
      <c r="J86" s="183"/>
      <c r="K86" s="183"/>
      <c r="L86" s="183"/>
      <c r="M86" s="183"/>
      <c r="N86" s="183"/>
      <c r="O86" s="183"/>
      <c r="P86" s="183"/>
      <c r="Q86" s="183"/>
      <c r="R86" s="183"/>
      <c r="S86" s="183"/>
      <c r="T86" s="183"/>
      <c r="U86" s="183"/>
      <c r="V86" s="183"/>
      <c r="W86" s="183"/>
      <c r="X86" s="5"/>
    </row>
    <row r="87" spans="1:24" ht="15.75" x14ac:dyDescent="0.25">
      <c r="A87" s="536"/>
      <c r="B87" s="547" t="s">
        <v>27</v>
      </c>
      <c r="C87" s="547"/>
      <c r="D87" s="547"/>
      <c r="E87" s="547"/>
      <c r="F87" s="547"/>
      <c r="G87" s="547"/>
      <c r="H87" s="548"/>
      <c r="I87" s="548"/>
      <c r="J87" s="548"/>
      <c r="K87" s="548"/>
      <c r="L87" s="549" t="s">
        <v>95</v>
      </c>
      <c r="M87" s="548"/>
      <c r="N87" s="550">
        <f>+T202</f>
        <v>43069</v>
      </c>
      <c r="O87" s="548"/>
      <c r="P87" s="548"/>
      <c r="Q87" s="548"/>
      <c r="R87" s="548"/>
      <c r="S87" s="548"/>
      <c r="T87" s="548" t="s">
        <v>107</v>
      </c>
      <c r="U87" s="548"/>
      <c r="V87" s="548" t="s">
        <v>113</v>
      </c>
      <c r="W87" s="544"/>
      <c r="X87" s="5"/>
    </row>
    <row r="88" spans="1:24" s="420" customFormat="1" ht="15.75" x14ac:dyDescent="0.25">
      <c r="A88" s="416"/>
      <c r="B88" s="462" t="s">
        <v>28</v>
      </c>
      <c r="C88" s="462"/>
      <c r="D88" s="462"/>
      <c r="E88" s="462"/>
      <c r="F88" s="462"/>
      <c r="G88" s="462"/>
      <c r="H88" s="462"/>
      <c r="I88" s="462"/>
      <c r="J88" s="462"/>
      <c r="K88" s="462"/>
      <c r="L88" s="462"/>
      <c r="M88" s="462"/>
      <c r="N88" s="462"/>
      <c r="O88" s="462"/>
      <c r="P88" s="462"/>
      <c r="Q88" s="462"/>
      <c r="R88" s="462"/>
      <c r="S88" s="462"/>
      <c r="T88" s="478">
        <v>0</v>
      </c>
      <c r="U88" s="462"/>
      <c r="V88" s="499">
        <v>0</v>
      </c>
      <c r="W88" s="462"/>
      <c r="X88" s="419"/>
    </row>
    <row r="89" spans="1:24" s="420" customFormat="1" ht="15.75" x14ac:dyDescent="0.25">
      <c r="A89" s="428"/>
      <c r="B89" s="429" t="s">
        <v>29</v>
      </c>
      <c r="C89" s="429"/>
      <c r="D89" s="429"/>
      <c r="E89" s="429"/>
      <c r="F89" s="429"/>
      <c r="G89" s="429"/>
      <c r="H89" s="452"/>
      <c r="I89" s="452"/>
      <c r="J89" s="452"/>
      <c r="K89" s="474"/>
      <c r="L89" s="452"/>
      <c r="M89" s="429"/>
      <c r="N89" s="475"/>
      <c r="O89" s="429"/>
      <c r="P89" s="429"/>
      <c r="Q89" s="429"/>
      <c r="R89" s="429"/>
      <c r="S89" s="429"/>
      <c r="T89" s="472">
        <f>11548-361</f>
        <v>11187</v>
      </c>
      <c r="U89" s="429"/>
      <c r="V89" s="473"/>
      <c r="W89" s="432"/>
      <c r="X89" s="419"/>
    </row>
    <row r="90" spans="1:24" s="420" customFormat="1" ht="15.75" x14ac:dyDescent="0.25">
      <c r="A90" s="428"/>
      <c r="B90" s="429" t="s">
        <v>215</v>
      </c>
      <c r="C90" s="429"/>
      <c r="D90" s="429"/>
      <c r="E90" s="429"/>
      <c r="F90" s="429"/>
      <c r="G90" s="429"/>
      <c r="H90" s="452"/>
      <c r="I90" s="452"/>
      <c r="J90" s="452"/>
      <c r="K90" s="474"/>
      <c r="L90" s="452"/>
      <c r="M90" s="429"/>
      <c r="N90" s="475"/>
      <c r="O90" s="429"/>
      <c r="P90" s="429"/>
      <c r="Q90" s="429"/>
      <c r="R90" s="429"/>
      <c r="S90" s="429"/>
      <c r="T90" s="472"/>
      <c r="U90" s="429"/>
      <c r="V90" s="473">
        <f>2619+2623-461-1010</f>
        <v>3771</v>
      </c>
      <c r="W90" s="432"/>
      <c r="X90" s="419"/>
    </row>
    <row r="91" spans="1:24" s="420" customFormat="1" ht="15.75" x14ac:dyDescent="0.25">
      <c r="A91" s="428"/>
      <c r="B91" s="429" t="s">
        <v>210</v>
      </c>
      <c r="C91" s="429"/>
      <c r="D91" s="429"/>
      <c r="E91" s="429"/>
      <c r="F91" s="429"/>
      <c r="G91" s="429"/>
      <c r="H91" s="452"/>
      <c r="I91" s="452"/>
      <c r="J91" s="452"/>
      <c r="K91" s="474"/>
      <c r="L91" s="452"/>
      <c r="M91" s="429"/>
      <c r="N91" s="475"/>
      <c r="O91" s="429"/>
      <c r="P91" s="429"/>
      <c r="Q91" s="429"/>
      <c r="R91" s="429"/>
      <c r="S91" s="429"/>
      <c r="T91" s="472"/>
      <c r="U91" s="429"/>
      <c r="V91" s="473">
        <f>108+53</f>
        <v>161</v>
      </c>
      <c r="W91" s="432"/>
      <c r="X91" s="419"/>
    </row>
    <row r="92" spans="1:24" s="420" customFormat="1" ht="15.75" x14ac:dyDescent="0.25">
      <c r="A92" s="428"/>
      <c r="B92" s="429" t="s">
        <v>211</v>
      </c>
      <c r="C92" s="429"/>
      <c r="D92" s="429"/>
      <c r="E92" s="429"/>
      <c r="F92" s="429"/>
      <c r="G92" s="429"/>
      <c r="H92" s="452"/>
      <c r="I92" s="452"/>
      <c r="J92" s="452"/>
      <c r="K92" s="474"/>
      <c r="L92" s="452"/>
      <c r="M92" s="429"/>
      <c r="N92" s="475"/>
      <c r="O92" s="429"/>
      <c r="P92" s="429"/>
      <c r="Q92" s="429"/>
      <c r="R92" s="429"/>
      <c r="S92" s="429"/>
      <c r="T92" s="472"/>
      <c r="U92" s="429"/>
      <c r="V92" s="473">
        <v>21</v>
      </c>
      <c r="W92" s="432"/>
      <c r="X92" s="419"/>
    </row>
    <row r="93" spans="1:24" s="420" customFormat="1" ht="15.75" x14ac:dyDescent="0.25">
      <c r="A93" s="428"/>
      <c r="B93" s="429" t="s">
        <v>233</v>
      </c>
      <c r="C93" s="429"/>
      <c r="D93" s="429"/>
      <c r="E93" s="429"/>
      <c r="F93" s="429"/>
      <c r="G93" s="429"/>
      <c r="H93" s="452"/>
      <c r="I93" s="452"/>
      <c r="J93" s="452"/>
      <c r="K93" s="474"/>
      <c r="L93" s="452"/>
      <c r="M93" s="429"/>
      <c r="N93" s="475"/>
      <c r="O93" s="429"/>
      <c r="P93" s="429"/>
      <c r="Q93" s="429"/>
      <c r="R93" s="429"/>
      <c r="S93" s="429"/>
      <c r="T93" s="472"/>
      <c r="U93" s="429"/>
      <c r="V93" s="473">
        <v>0</v>
      </c>
      <c r="W93" s="432"/>
      <c r="X93" s="419"/>
    </row>
    <row r="94" spans="1:24" s="420" customFormat="1" ht="15.75" x14ac:dyDescent="0.25">
      <c r="A94" s="428"/>
      <c r="B94" s="429" t="s">
        <v>235</v>
      </c>
      <c r="C94" s="429"/>
      <c r="D94" s="429"/>
      <c r="E94" s="429"/>
      <c r="F94" s="429"/>
      <c r="G94" s="429"/>
      <c r="H94" s="452"/>
      <c r="I94" s="452"/>
      <c r="J94" s="452"/>
      <c r="K94" s="474"/>
      <c r="L94" s="452"/>
      <c r="M94" s="429"/>
      <c r="N94" s="475"/>
      <c r="O94" s="429"/>
      <c r="P94" s="429"/>
      <c r="Q94" s="429"/>
      <c r="R94" s="429"/>
      <c r="S94" s="429"/>
      <c r="T94" s="472"/>
      <c r="U94" s="429"/>
      <c r="V94" s="473">
        <v>0</v>
      </c>
      <c r="W94" s="432"/>
      <c r="X94" s="419"/>
    </row>
    <row r="95" spans="1:24" s="420" customFormat="1" ht="15.75" x14ac:dyDescent="0.25">
      <c r="A95" s="428"/>
      <c r="B95" s="429" t="s">
        <v>135</v>
      </c>
      <c r="C95" s="429"/>
      <c r="D95" s="429"/>
      <c r="E95" s="429"/>
      <c r="F95" s="429"/>
      <c r="G95" s="429"/>
      <c r="H95" s="429"/>
      <c r="I95" s="429"/>
      <c r="J95" s="429"/>
      <c r="K95" s="429"/>
      <c r="L95" s="429"/>
      <c r="M95" s="429"/>
      <c r="N95" s="429"/>
      <c r="O95" s="429"/>
      <c r="P95" s="429"/>
      <c r="Q95" s="429"/>
      <c r="R95" s="429"/>
      <c r="S95" s="429"/>
      <c r="T95" s="472"/>
      <c r="U95" s="429"/>
      <c r="V95" s="473">
        <v>0</v>
      </c>
      <c r="W95" s="432"/>
      <c r="X95" s="419"/>
    </row>
    <row r="96" spans="1:24" s="420" customFormat="1" ht="15.75" x14ac:dyDescent="0.25">
      <c r="A96" s="428"/>
      <c r="B96" s="429" t="s">
        <v>272</v>
      </c>
      <c r="C96" s="429"/>
      <c r="D96" s="429"/>
      <c r="E96" s="429"/>
      <c r="F96" s="429"/>
      <c r="G96" s="429"/>
      <c r="H96" s="429"/>
      <c r="I96" s="429"/>
      <c r="J96" s="429"/>
      <c r="K96" s="429"/>
      <c r="L96" s="429"/>
      <c r="M96" s="429"/>
      <c r="N96" s="429"/>
      <c r="O96" s="429"/>
      <c r="P96" s="429"/>
      <c r="Q96" s="429"/>
      <c r="R96" s="429"/>
      <c r="S96" s="429"/>
      <c r="T96" s="472"/>
      <c r="U96" s="429"/>
      <c r="V96" s="473">
        <v>0</v>
      </c>
      <c r="W96" s="432"/>
      <c r="X96" s="419"/>
    </row>
    <row r="97" spans="1:25" s="420" customFormat="1" ht="15.75" x14ac:dyDescent="0.25">
      <c r="A97" s="428"/>
      <c r="B97" s="429" t="s">
        <v>30</v>
      </c>
      <c r="C97" s="429"/>
      <c r="D97" s="429"/>
      <c r="E97" s="429"/>
      <c r="F97" s="429"/>
      <c r="G97" s="429"/>
      <c r="H97" s="429"/>
      <c r="I97" s="429"/>
      <c r="J97" s="429"/>
      <c r="K97" s="429"/>
      <c r="L97" s="429"/>
      <c r="M97" s="429"/>
      <c r="N97" s="429"/>
      <c r="O97" s="429"/>
      <c r="P97" s="429"/>
      <c r="Q97" s="429"/>
      <c r="R97" s="429"/>
      <c r="S97" s="429"/>
      <c r="T97" s="472">
        <f>SUM(T88:T96)</f>
        <v>11187</v>
      </c>
      <c r="U97" s="429"/>
      <c r="V97" s="472">
        <f>SUM(V88:V96)</f>
        <v>3953</v>
      </c>
      <c r="W97" s="432"/>
      <c r="X97" s="419"/>
    </row>
    <row r="98" spans="1:25" s="420" customFormat="1" ht="15.75" x14ac:dyDescent="0.25">
      <c r="A98" s="428"/>
      <c r="B98" s="429" t="s">
        <v>161</v>
      </c>
      <c r="C98" s="429"/>
      <c r="D98" s="429"/>
      <c r="E98" s="429"/>
      <c r="F98" s="429"/>
      <c r="G98" s="429"/>
      <c r="H98" s="429"/>
      <c r="I98" s="429"/>
      <c r="J98" s="429"/>
      <c r="K98" s="429"/>
      <c r="L98" s="429"/>
      <c r="M98" s="429"/>
      <c r="N98" s="429"/>
      <c r="O98" s="429"/>
      <c r="P98" s="429"/>
      <c r="Q98" s="429"/>
      <c r="R98" s="429"/>
      <c r="S98" s="429"/>
      <c r="T98" s="472">
        <f>-V98</f>
        <v>0</v>
      </c>
      <c r="U98" s="429"/>
      <c r="V98" s="472">
        <v>0</v>
      </c>
      <c r="W98" s="432"/>
      <c r="X98" s="419"/>
    </row>
    <row r="99" spans="1:25" s="420" customFormat="1" ht="15.75" x14ac:dyDescent="0.25">
      <c r="A99" s="428"/>
      <c r="B99" s="429" t="s">
        <v>31</v>
      </c>
      <c r="C99" s="429"/>
      <c r="D99" s="429"/>
      <c r="E99" s="429"/>
      <c r="F99" s="429"/>
      <c r="G99" s="429"/>
      <c r="H99" s="429"/>
      <c r="I99" s="429"/>
      <c r="J99" s="429"/>
      <c r="K99" s="429"/>
      <c r="L99" s="429"/>
      <c r="M99" s="429"/>
      <c r="N99" s="429"/>
      <c r="O99" s="429"/>
      <c r="P99" s="429"/>
      <c r="Q99" s="429"/>
      <c r="R99" s="429"/>
      <c r="S99" s="429"/>
      <c r="T99" s="472">
        <f>-V99</f>
        <v>0</v>
      </c>
      <c r="U99" s="429"/>
      <c r="V99" s="473">
        <v>0</v>
      </c>
      <c r="W99" s="432"/>
      <c r="X99" s="419"/>
    </row>
    <row r="100" spans="1:25" s="420" customFormat="1" ht="15.75" x14ac:dyDescent="0.25">
      <c r="A100" s="428"/>
      <c r="B100" s="429" t="s">
        <v>274</v>
      </c>
      <c r="C100" s="429"/>
      <c r="D100" s="429"/>
      <c r="E100" s="429"/>
      <c r="F100" s="429"/>
      <c r="G100" s="429"/>
      <c r="H100" s="429"/>
      <c r="I100" s="429"/>
      <c r="J100" s="429"/>
      <c r="K100" s="429"/>
      <c r="L100" s="429"/>
      <c r="M100" s="429"/>
      <c r="N100" s="429"/>
      <c r="O100" s="429"/>
      <c r="P100" s="429"/>
      <c r="Q100" s="429"/>
      <c r="R100" s="429"/>
      <c r="S100" s="429"/>
      <c r="T100" s="472"/>
      <c r="U100" s="429"/>
      <c r="V100" s="473">
        <v>241</v>
      </c>
      <c r="W100" s="432"/>
      <c r="X100" s="419"/>
    </row>
    <row r="101" spans="1:25" s="420" customFormat="1" ht="15.75" x14ac:dyDescent="0.25">
      <c r="A101" s="428"/>
      <c r="B101" s="429" t="s">
        <v>32</v>
      </c>
      <c r="C101" s="429"/>
      <c r="D101" s="429"/>
      <c r="E101" s="429"/>
      <c r="F101" s="429"/>
      <c r="G101" s="429"/>
      <c r="H101" s="429"/>
      <c r="I101" s="429"/>
      <c r="J101" s="429"/>
      <c r="K101" s="429"/>
      <c r="L101" s="429"/>
      <c r="M101" s="429"/>
      <c r="N101" s="429"/>
      <c r="O101" s="429"/>
      <c r="P101" s="429"/>
      <c r="Q101" s="429"/>
      <c r="R101" s="429"/>
      <c r="S101" s="429"/>
      <c r="T101" s="472">
        <f>T97+T99+T98</f>
        <v>11187</v>
      </c>
      <c r="U101" s="429"/>
      <c r="V101" s="472">
        <f>V97+V99+V98+V100</f>
        <v>4194</v>
      </c>
      <c r="W101" s="432"/>
      <c r="X101" s="419"/>
    </row>
    <row r="102" spans="1:25" ht="15.75" x14ac:dyDescent="0.25">
      <c r="A102" s="285"/>
      <c r="B102" s="530" t="s">
        <v>33</v>
      </c>
      <c r="C102" s="314"/>
      <c r="D102" s="314"/>
      <c r="E102" s="314"/>
      <c r="F102" s="314"/>
      <c r="G102" s="314"/>
      <c r="H102" s="314"/>
      <c r="I102" s="314"/>
      <c r="J102" s="314"/>
      <c r="K102" s="314"/>
      <c r="L102" s="314"/>
      <c r="M102" s="314"/>
      <c r="N102" s="314"/>
      <c r="O102" s="314"/>
      <c r="P102" s="314"/>
      <c r="Q102" s="314"/>
      <c r="R102" s="314"/>
      <c r="S102" s="314"/>
      <c r="T102" s="337"/>
      <c r="U102" s="286"/>
      <c r="V102" s="338"/>
      <c r="W102" s="318"/>
      <c r="X102" s="5"/>
    </row>
    <row r="103" spans="1:25" s="420" customFormat="1" ht="15.75" x14ac:dyDescent="0.25">
      <c r="A103" s="428">
        <v>1</v>
      </c>
      <c r="B103" s="429" t="s">
        <v>34</v>
      </c>
      <c r="C103" s="429"/>
      <c r="D103" s="429"/>
      <c r="E103" s="429"/>
      <c r="F103" s="429"/>
      <c r="G103" s="429"/>
      <c r="H103" s="429"/>
      <c r="I103" s="429"/>
      <c r="J103" s="429"/>
      <c r="K103" s="429"/>
      <c r="L103" s="429"/>
      <c r="M103" s="429"/>
      <c r="N103" s="429"/>
      <c r="O103" s="429"/>
      <c r="P103" s="429"/>
      <c r="Q103" s="429"/>
      <c r="R103" s="429"/>
      <c r="S103" s="429"/>
      <c r="T103" s="429"/>
      <c r="U103" s="429"/>
      <c r="V103" s="473">
        <v>0</v>
      </c>
      <c r="W103" s="432"/>
      <c r="X103" s="419"/>
    </row>
    <row r="104" spans="1:25" s="420" customFormat="1" ht="15.75" x14ac:dyDescent="0.25">
      <c r="A104" s="428">
        <f>+A103+1</f>
        <v>2</v>
      </c>
      <c r="B104" s="429" t="s">
        <v>314</v>
      </c>
      <c r="C104" s="429"/>
      <c r="D104" s="429"/>
      <c r="E104" s="429"/>
      <c r="F104" s="429"/>
      <c r="G104" s="429"/>
      <c r="H104" s="429"/>
      <c r="I104" s="429"/>
      <c r="J104" s="429"/>
      <c r="K104" s="429"/>
      <c r="L104" s="429"/>
      <c r="M104" s="429"/>
      <c r="N104" s="429"/>
      <c r="O104" s="429"/>
      <c r="P104" s="429"/>
      <c r="Q104" s="429"/>
      <c r="R104" s="429"/>
      <c r="S104" s="429"/>
      <c r="T104" s="429"/>
      <c r="U104" s="429"/>
      <c r="V104" s="473">
        <v>-2</v>
      </c>
      <c r="W104" s="432"/>
      <c r="X104" s="419"/>
    </row>
    <row r="105" spans="1:25" s="420" customFormat="1" ht="15.75" x14ac:dyDescent="0.25">
      <c r="A105" s="428">
        <f>+A104+1</f>
        <v>3</v>
      </c>
      <c r="B105" s="476" t="s">
        <v>316</v>
      </c>
      <c r="C105" s="429"/>
      <c r="D105" s="429"/>
      <c r="E105" s="429"/>
      <c r="F105" s="429"/>
      <c r="G105" s="429"/>
      <c r="H105" s="429"/>
      <c r="I105" s="429"/>
      <c r="J105" s="429"/>
      <c r="K105" s="429"/>
      <c r="L105" s="429"/>
      <c r="M105" s="429"/>
      <c r="N105" s="429"/>
      <c r="O105" s="429"/>
      <c r="P105" s="429"/>
      <c r="Q105" s="429"/>
      <c r="R105" s="429"/>
      <c r="S105" s="429"/>
      <c r="T105" s="429"/>
      <c r="U105" s="429"/>
      <c r="V105" s="473">
        <f>-245-81-8</f>
        <v>-334</v>
      </c>
      <c r="W105" s="432"/>
      <c r="X105" s="419"/>
    </row>
    <row r="106" spans="1:25" s="420" customFormat="1" ht="15.75" x14ac:dyDescent="0.25">
      <c r="A106" s="428" t="s">
        <v>127</v>
      </c>
      <c r="B106" s="429" t="s">
        <v>116</v>
      </c>
      <c r="C106" s="429"/>
      <c r="D106" s="429"/>
      <c r="E106" s="429"/>
      <c r="F106" s="429"/>
      <c r="G106" s="429"/>
      <c r="H106" s="429"/>
      <c r="I106" s="429"/>
      <c r="J106" s="429"/>
      <c r="K106" s="429"/>
      <c r="L106" s="429"/>
      <c r="M106" s="429"/>
      <c r="N106" s="429"/>
      <c r="O106" s="429"/>
      <c r="P106" s="429"/>
      <c r="Q106" s="429"/>
      <c r="R106" s="429"/>
      <c r="S106" s="429"/>
      <c r="T106" s="429"/>
      <c r="U106" s="429"/>
      <c r="V106" s="473">
        <v>0</v>
      </c>
      <c r="W106" s="432"/>
      <c r="X106" s="419"/>
    </row>
    <row r="107" spans="1:25" s="420" customFormat="1" ht="15.75" x14ac:dyDescent="0.25">
      <c r="A107" s="428" t="s">
        <v>128</v>
      </c>
      <c r="B107" s="429" t="s">
        <v>220</v>
      </c>
      <c r="C107" s="429"/>
      <c r="D107" s="429"/>
      <c r="E107" s="429"/>
      <c r="F107" s="429"/>
      <c r="G107" s="429"/>
      <c r="H107" s="429"/>
      <c r="I107" s="429"/>
      <c r="J107" s="429"/>
      <c r="K107" s="429"/>
      <c r="L107" s="429"/>
      <c r="M107" s="429"/>
      <c r="N107" s="429"/>
      <c r="O107" s="429"/>
      <c r="P107" s="429"/>
      <c r="Q107" s="429"/>
      <c r="R107" s="429"/>
      <c r="S107" s="429"/>
      <c r="T107" s="429"/>
      <c r="U107" s="429"/>
      <c r="V107" s="473">
        <f>-684+172</f>
        <v>-512</v>
      </c>
      <c r="W107" s="432"/>
      <c r="X107" s="419"/>
      <c r="Y107" s="477"/>
    </row>
    <row r="108" spans="1:25" s="420" customFormat="1" ht="15.75" x14ac:dyDescent="0.25">
      <c r="A108" s="428" t="s">
        <v>150</v>
      </c>
      <c r="B108" s="429" t="s">
        <v>184</v>
      </c>
      <c r="C108" s="429"/>
      <c r="D108" s="429"/>
      <c r="E108" s="429"/>
      <c r="F108" s="429"/>
      <c r="G108" s="429"/>
      <c r="H108" s="429"/>
      <c r="I108" s="429"/>
      <c r="J108" s="429"/>
      <c r="K108" s="429"/>
      <c r="L108" s="429"/>
      <c r="M108" s="429"/>
      <c r="N108" s="429"/>
      <c r="O108" s="429"/>
      <c r="P108" s="429"/>
      <c r="Q108" s="429"/>
      <c r="R108" s="429"/>
      <c r="S108" s="429"/>
      <c r="T108" s="429"/>
      <c r="U108" s="429"/>
      <c r="V108" s="473">
        <v>-172</v>
      </c>
      <c r="W108" s="432"/>
      <c r="X108" s="419"/>
      <c r="Y108" s="477"/>
    </row>
    <row r="109" spans="1:25" s="420" customFormat="1" ht="15.75" x14ac:dyDescent="0.25">
      <c r="A109" s="428" t="s">
        <v>205</v>
      </c>
      <c r="B109" s="429" t="s">
        <v>185</v>
      </c>
      <c r="C109" s="429"/>
      <c r="D109" s="429"/>
      <c r="E109" s="429"/>
      <c r="F109" s="429"/>
      <c r="G109" s="429"/>
      <c r="H109" s="429"/>
      <c r="I109" s="429"/>
      <c r="J109" s="429"/>
      <c r="K109" s="429"/>
      <c r="L109" s="429"/>
      <c r="M109" s="429"/>
      <c r="N109" s="429"/>
      <c r="O109" s="429"/>
      <c r="P109" s="429"/>
      <c r="Q109" s="429"/>
      <c r="R109" s="429"/>
      <c r="S109" s="429"/>
      <c r="T109" s="429"/>
      <c r="U109" s="429"/>
      <c r="V109" s="473">
        <v>-136</v>
      </c>
      <c r="W109" s="432"/>
      <c r="X109" s="419"/>
      <c r="Y109" s="477"/>
    </row>
    <row r="110" spans="1:25" s="420" customFormat="1" ht="15.75" x14ac:dyDescent="0.25">
      <c r="A110" s="428" t="s">
        <v>206</v>
      </c>
      <c r="B110" s="429" t="s">
        <v>186</v>
      </c>
      <c r="C110" s="429"/>
      <c r="D110" s="429"/>
      <c r="E110" s="429"/>
      <c r="F110" s="429"/>
      <c r="G110" s="429"/>
      <c r="H110" s="429"/>
      <c r="I110" s="429"/>
      <c r="J110" s="429"/>
      <c r="K110" s="429"/>
      <c r="L110" s="429"/>
      <c r="M110" s="429"/>
      <c r="N110" s="429"/>
      <c r="O110" s="429"/>
      <c r="P110" s="429"/>
      <c r="Q110" s="429"/>
      <c r="R110" s="429"/>
      <c r="S110" s="429"/>
      <c r="T110" s="429"/>
      <c r="U110" s="429"/>
      <c r="V110" s="473">
        <v>-37</v>
      </c>
      <c r="W110" s="432"/>
      <c r="X110" s="419"/>
      <c r="Y110" s="477"/>
    </row>
    <row r="111" spans="1:25" s="420" customFormat="1" ht="15.75" x14ac:dyDescent="0.25">
      <c r="A111" s="428">
        <v>6</v>
      </c>
      <c r="B111" s="429" t="s">
        <v>196</v>
      </c>
      <c r="C111" s="429"/>
      <c r="D111" s="429"/>
      <c r="E111" s="429"/>
      <c r="F111" s="429"/>
      <c r="G111" s="429"/>
      <c r="H111" s="429"/>
      <c r="I111" s="429"/>
      <c r="J111" s="429"/>
      <c r="K111" s="429"/>
      <c r="L111" s="429"/>
      <c r="M111" s="429"/>
      <c r="N111" s="429"/>
      <c r="O111" s="429"/>
      <c r="P111" s="429"/>
      <c r="Q111" s="429"/>
      <c r="R111" s="429"/>
      <c r="S111" s="429"/>
      <c r="T111" s="429"/>
      <c r="U111" s="429"/>
      <c r="V111" s="473">
        <v>-291</v>
      </c>
      <c r="W111" s="432"/>
      <c r="X111" s="419"/>
      <c r="Y111" s="477"/>
    </row>
    <row r="112" spans="1:25" s="420" customFormat="1" ht="15.75" x14ac:dyDescent="0.25">
      <c r="A112" s="428">
        <v>7</v>
      </c>
      <c r="B112" s="476" t="s">
        <v>315</v>
      </c>
      <c r="C112" s="429"/>
      <c r="D112" s="429"/>
      <c r="E112" s="429"/>
      <c r="F112" s="429"/>
      <c r="G112" s="429"/>
      <c r="H112" s="429"/>
      <c r="I112" s="429"/>
      <c r="J112" s="429"/>
      <c r="K112" s="429"/>
      <c r="L112" s="429"/>
      <c r="M112" s="429"/>
      <c r="N112" s="429"/>
      <c r="O112" s="429"/>
      <c r="P112" s="429"/>
      <c r="Q112" s="429"/>
      <c r="R112" s="429"/>
      <c r="S112" s="429"/>
      <c r="T112" s="429"/>
      <c r="U112" s="429"/>
      <c r="V112" s="473">
        <v>0</v>
      </c>
      <c r="W112" s="432"/>
      <c r="X112" s="419"/>
      <c r="Y112" s="477"/>
    </row>
    <row r="113" spans="1:24" s="420" customFormat="1" ht="15.75" x14ac:dyDescent="0.25">
      <c r="A113" s="428">
        <v>8</v>
      </c>
      <c r="B113" s="429" t="s">
        <v>35</v>
      </c>
      <c r="C113" s="429"/>
      <c r="D113" s="429"/>
      <c r="E113" s="429"/>
      <c r="F113" s="429"/>
      <c r="G113" s="429"/>
      <c r="H113" s="429"/>
      <c r="I113" s="429"/>
      <c r="J113" s="429"/>
      <c r="K113" s="429"/>
      <c r="L113" s="429"/>
      <c r="M113" s="429"/>
      <c r="N113" s="429"/>
      <c r="O113" s="429"/>
      <c r="P113" s="429"/>
      <c r="Q113" s="429"/>
      <c r="R113" s="429"/>
      <c r="S113" s="429"/>
      <c r="T113" s="429"/>
      <c r="U113" s="429"/>
      <c r="V113" s="473">
        <v>-23</v>
      </c>
      <c r="W113" s="432"/>
      <c r="X113" s="419"/>
    </row>
    <row r="114" spans="1:24" s="420" customFormat="1" ht="15.75" x14ac:dyDescent="0.25">
      <c r="A114" s="428">
        <f t="shared" ref="A114:A119" si="0">+A113+1</f>
        <v>9</v>
      </c>
      <c r="B114" s="429" t="s">
        <v>45</v>
      </c>
      <c r="C114" s="429"/>
      <c r="D114" s="429"/>
      <c r="E114" s="429"/>
      <c r="F114" s="429"/>
      <c r="G114" s="429"/>
      <c r="H114" s="429"/>
      <c r="I114" s="429"/>
      <c r="J114" s="429"/>
      <c r="K114" s="429"/>
      <c r="L114" s="429"/>
      <c r="M114" s="429"/>
      <c r="N114" s="429"/>
      <c r="O114" s="429"/>
      <c r="P114" s="429"/>
      <c r="Q114" s="429"/>
      <c r="R114" s="429"/>
      <c r="S114" s="429"/>
      <c r="T114" s="472">
        <f>-V114</f>
        <v>361</v>
      </c>
      <c r="U114" s="429"/>
      <c r="V114" s="473">
        <v>-361</v>
      </c>
      <c r="W114" s="432"/>
      <c r="X114" s="419"/>
    </row>
    <row r="115" spans="1:24" s="420" customFormat="1" ht="15.75" x14ac:dyDescent="0.25">
      <c r="A115" s="428">
        <f t="shared" si="0"/>
        <v>10</v>
      </c>
      <c r="B115" s="429" t="s">
        <v>125</v>
      </c>
      <c r="C115" s="429"/>
      <c r="D115" s="429"/>
      <c r="E115" s="429"/>
      <c r="F115" s="429"/>
      <c r="G115" s="429"/>
      <c r="H115" s="429"/>
      <c r="I115" s="429"/>
      <c r="J115" s="429"/>
      <c r="K115" s="429"/>
      <c r="L115" s="429"/>
      <c r="M115" s="429"/>
      <c r="N115" s="429"/>
      <c r="O115" s="429"/>
      <c r="P115" s="429"/>
      <c r="Q115" s="429"/>
      <c r="R115" s="429"/>
      <c r="S115" s="429"/>
      <c r="T115" s="429"/>
      <c r="U115" s="429"/>
      <c r="V115" s="473">
        <v>0</v>
      </c>
      <c r="W115" s="432"/>
      <c r="X115" s="419"/>
    </row>
    <row r="116" spans="1:24" s="420" customFormat="1" ht="15.75" x14ac:dyDescent="0.25">
      <c r="A116" s="428">
        <f t="shared" si="0"/>
        <v>11</v>
      </c>
      <c r="B116" s="429" t="s">
        <v>225</v>
      </c>
      <c r="C116" s="429"/>
      <c r="D116" s="429"/>
      <c r="E116" s="429"/>
      <c r="F116" s="429"/>
      <c r="G116" s="429"/>
      <c r="H116" s="429"/>
      <c r="I116" s="429"/>
      <c r="J116" s="429"/>
      <c r="K116" s="429"/>
      <c r="L116" s="429"/>
      <c r="M116" s="429"/>
      <c r="N116" s="429"/>
      <c r="O116" s="429"/>
      <c r="P116" s="429"/>
      <c r="Q116" s="429"/>
      <c r="R116" s="429"/>
      <c r="S116" s="429"/>
      <c r="T116" s="429"/>
      <c r="U116" s="429"/>
      <c r="V116" s="473">
        <v>0</v>
      </c>
      <c r="W116" s="432"/>
      <c r="X116" s="419"/>
    </row>
    <row r="117" spans="1:24" s="420" customFormat="1" ht="15.75" x14ac:dyDescent="0.25">
      <c r="A117" s="428">
        <f t="shared" si="0"/>
        <v>12</v>
      </c>
      <c r="B117" s="429" t="s">
        <v>36</v>
      </c>
      <c r="C117" s="429"/>
      <c r="D117" s="429"/>
      <c r="E117" s="429"/>
      <c r="F117" s="429"/>
      <c r="G117" s="429"/>
      <c r="H117" s="429"/>
      <c r="I117" s="429"/>
      <c r="J117" s="429"/>
      <c r="K117" s="429"/>
      <c r="L117" s="429"/>
      <c r="M117" s="429"/>
      <c r="N117" s="429"/>
      <c r="O117" s="429"/>
      <c r="P117" s="429"/>
      <c r="Q117" s="429"/>
      <c r="R117" s="429"/>
      <c r="S117" s="429"/>
      <c r="T117" s="429"/>
      <c r="U117" s="429"/>
      <c r="V117" s="473">
        <v>0</v>
      </c>
      <c r="W117" s="432"/>
      <c r="X117" s="419"/>
    </row>
    <row r="118" spans="1:24" s="420" customFormat="1" ht="15.75" x14ac:dyDescent="0.25">
      <c r="A118" s="428">
        <f t="shared" si="0"/>
        <v>13</v>
      </c>
      <c r="B118" s="429" t="s">
        <v>149</v>
      </c>
      <c r="C118" s="429"/>
      <c r="D118" s="429"/>
      <c r="E118" s="429"/>
      <c r="F118" s="429"/>
      <c r="G118" s="429"/>
      <c r="H118" s="429"/>
      <c r="I118" s="429"/>
      <c r="J118" s="429"/>
      <c r="K118" s="429"/>
      <c r="L118" s="429"/>
      <c r="M118" s="429"/>
      <c r="N118" s="429"/>
      <c r="O118" s="429"/>
      <c r="P118" s="429"/>
      <c r="Q118" s="429"/>
      <c r="R118" s="429"/>
      <c r="S118" s="429"/>
      <c r="T118" s="429"/>
      <c r="U118" s="429"/>
      <c r="V118" s="473">
        <v>-245</v>
      </c>
      <c r="W118" s="432"/>
      <c r="X118" s="419"/>
    </row>
    <row r="119" spans="1:24" s="420" customFormat="1" ht="15.75" x14ac:dyDescent="0.25">
      <c r="A119" s="428">
        <f t="shared" si="0"/>
        <v>14</v>
      </c>
      <c r="B119" s="429" t="s">
        <v>126</v>
      </c>
      <c r="C119" s="429"/>
      <c r="D119" s="429"/>
      <c r="E119" s="429"/>
      <c r="F119" s="429"/>
      <c r="G119" s="429"/>
      <c r="H119" s="429"/>
      <c r="I119" s="429"/>
      <c r="J119" s="429"/>
      <c r="K119" s="429"/>
      <c r="L119" s="429"/>
      <c r="M119" s="429"/>
      <c r="N119" s="429"/>
      <c r="O119" s="429"/>
      <c r="P119" s="429"/>
      <c r="Q119" s="429"/>
      <c r="R119" s="429"/>
      <c r="S119" s="429"/>
      <c r="T119" s="429"/>
      <c r="U119" s="429"/>
      <c r="V119" s="473">
        <f>-V101-SUM(V103:V118)</f>
        <v>-2081</v>
      </c>
      <c r="W119" s="432"/>
      <c r="X119" s="419"/>
    </row>
    <row r="120" spans="1:24" ht="15.75" x14ac:dyDescent="0.25">
      <c r="A120" s="285"/>
      <c r="B120" s="530" t="s">
        <v>37</v>
      </c>
      <c r="C120" s="314"/>
      <c r="D120" s="314"/>
      <c r="E120" s="314"/>
      <c r="F120" s="314"/>
      <c r="G120" s="314"/>
      <c r="H120" s="314"/>
      <c r="I120" s="314"/>
      <c r="J120" s="314"/>
      <c r="K120" s="314"/>
      <c r="L120" s="314"/>
      <c r="M120" s="314"/>
      <c r="N120" s="314"/>
      <c r="O120" s="314"/>
      <c r="P120" s="314"/>
      <c r="Q120" s="314"/>
      <c r="R120" s="314"/>
      <c r="S120" s="314"/>
      <c r="T120" s="286"/>
      <c r="U120" s="286"/>
      <c r="V120" s="343"/>
      <c r="W120" s="318"/>
      <c r="X120" s="5"/>
    </row>
    <row r="121" spans="1:24" s="420" customFormat="1" ht="15.75" x14ac:dyDescent="0.25">
      <c r="A121" s="428"/>
      <c r="B121" s="429" t="s">
        <v>173</v>
      </c>
      <c r="C121" s="429"/>
      <c r="D121" s="429"/>
      <c r="E121" s="429"/>
      <c r="F121" s="429"/>
      <c r="G121" s="429"/>
      <c r="H121" s="429"/>
      <c r="I121" s="429"/>
      <c r="J121" s="429"/>
      <c r="K121" s="429"/>
      <c r="L121" s="429"/>
      <c r="M121" s="429"/>
      <c r="N121" s="429"/>
      <c r="O121" s="429"/>
      <c r="P121" s="429"/>
      <c r="Q121" s="429"/>
      <c r="R121" s="429"/>
      <c r="S121" s="429"/>
      <c r="T121" s="472">
        <f>-T186</f>
        <v>-3</v>
      </c>
      <c r="U121" s="472"/>
      <c r="V121" s="473"/>
      <c r="W121" s="432"/>
      <c r="X121" s="419"/>
    </row>
    <row r="122" spans="1:24" s="420" customFormat="1" ht="15.75" x14ac:dyDescent="0.25">
      <c r="A122" s="428"/>
      <c r="B122" s="429" t="s">
        <v>174</v>
      </c>
      <c r="C122" s="429"/>
      <c r="D122" s="429"/>
      <c r="E122" s="429"/>
      <c r="F122" s="429"/>
      <c r="G122" s="429"/>
      <c r="H122" s="429"/>
      <c r="I122" s="429"/>
      <c r="J122" s="429"/>
      <c r="K122" s="429"/>
      <c r="L122" s="429"/>
      <c r="M122" s="429"/>
      <c r="N122" s="429"/>
      <c r="O122" s="429"/>
      <c r="P122" s="429"/>
      <c r="Q122" s="429"/>
      <c r="R122" s="429"/>
      <c r="S122" s="429"/>
      <c r="T122" s="472">
        <v>0</v>
      </c>
      <c r="U122" s="472"/>
      <c r="V122" s="473"/>
      <c r="W122" s="432"/>
      <c r="X122" s="419"/>
    </row>
    <row r="123" spans="1:24" s="420" customFormat="1" ht="15.75" x14ac:dyDescent="0.25">
      <c r="A123" s="428"/>
      <c r="B123" s="429" t="s">
        <v>38</v>
      </c>
      <c r="C123" s="429"/>
      <c r="D123" s="429"/>
      <c r="E123" s="429"/>
      <c r="F123" s="429"/>
      <c r="G123" s="429"/>
      <c r="H123" s="429"/>
      <c r="I123" s="429"/>
      <c r="J123" s="429"/>
      <c r="K123" s="429"/>
      <c r="L123" s="429"/>
      <c r="M123" s="429"/>
      <c r="N123" s="429"/>
      <c r="O123" s="429"/>
      <c r="P123" s="429"/>
      <c r="Q123" s="429"/>
      <c r="R123" s="429"/>
      <c r="S123" s="429"/>
      <c r="T123" s="472">
        <f>-S186</f>
        <v>0</v>
      </c>
      <c r="U123" s="472"/>
      <c r="V123" s="473"/>
      <c r="W123" s="432"/>
      <c r="X123" s="419"/>
    </row>
    <row r="124" spans="1:24" s="420" customFormat="1" ht="15.75" x14ac:dyDescent="0.25">
      <c r="A124" s="428"/>
      <c r="B124" s="429" t="s">
        <v>197</v>
      </c>
      <c r="C124" s="429"/>
      <c r="D124" s="429"/>
      <c r="E124" s="429"/>
      <c r="F124" s="429"/>
      <c r="G124" s="429"/>
      <c r="H124" s="429"/>
      <c r="I124" s="429"/>
      <c r="J124" s="429"/>
      <c r="K124" s="429"/>
      <c r="L124" s="429"/>
      <c r="M124" s="429"/>
      <c r="N124" s="429"/>
      <c r="O124" s="429"/>
      <c r="P124" s="429"/>
      <c r="Q124" s="429"/>
      <c r="R124" s="429"/>
      <c r="S124" s="429"/>
      <c r="T124" s="472">
        <v>-6687</v>
      </c>
      <c r="U124" s="472"/>
      <c r="V124" s="473"/>
      <c r="W124" s="432"/>
      <c r="X124" s="419"/>
    </row>
    <row r="125" spans="1:24" s="420" customFormat="1" ht="15.75" x14ac:dyDescent="0.25">
      <c r="A125" s="428"/>
      <c r="B125" s="429" t="s">
        <v>195</v>
      </c>
      <c r="C125" s="429"/>
      <c r="D125" s="429"/>
      <c r="E125" s="429"/>
      <c r="F125" s="429"/>
      <c r="G125" s="429"/>
      <c r="H125" s="429"/>
      <c r="I125" s="429"/>
      <c r="J125" s="429"/>
      <c r="K125" s="429"/>
      <c r="L125" s="429"/>
      <c r="M125" s="429"/>
      <c r="N125" s="429"/>
      <c r="O125" s="429"/>
      <c r="P125" s="429"/>
      <c r="Q125" s="429"/>
      <c r="R125" s="429"/>
      <c r="S125" s="429"/>
      <c r="T125" s="472">
        <v>-2842</v>
      </c>
      <c r="U125" s="472"/>
      <c r="V125" s="473"/>
      <c r="W125" s="432"/>
      <c r="X125" s="419"/>
    </row>
    <row r="126" spans="1:24" s="420" customFormat="1" ht="15.75" x14ac:dyDescent="0.25">
      <c r="A126" s="428"/>
      <c r="B126" s="429" t="s">
        <v>194</v>
      </c>
      <c r="C126" s="429"/>
      <c r="D126" s="429"/>
      <c r="E126" s="429"/>
      <c r="F126" s="429"/>
      <c r="G126" s="429"/>
      <c r="H126" s="429"/>
      <c r="I126" s="429"/>
      <c r="J126" s="429"/>
      <c r="K126" s="429"/>
      <c r="L126" s="429"/>
      <c r="M126" s="429"/>
      <c r="N126" s="429"/>
      <c r="O126" s="429"/>
      <c r="P126" s="429"/>
      <c r="Q126" s="429"/>
      <c r="R126" s="429"/>
      <c r="S126" s="429"/>
      <c r="T126" s="472">
        <v>-1013</v>
      </c>
      <c r="U126" s="472"/>
      <c r="V126" s="473"/>
      <c r="W126" s="432"/>
      <c r="X126" s="419"/>
    </row>
    <row r="127" spans="1:24" s="420" customFormat="1" ht="15.75" x14ac:dyDescent="0.25">
      <c r="A127" s="428"/>
      <c r="B127" s="429" t="s">
        <v>222</v>
      </c>
      <c r="C127" s="429"/>
      <c r="D127" s="429"/>
      <c r="E127" s="429"/>
      <c r="F127" s="429"/>
      <c r="G127" s="429"/>
      <c r="H127" s="429"/>
      <c r="I127" s="429"/>
      <c r="J127" s="429"/>
      <c r="K127" s="429"/>
      <c r="L127" s="429"/>
      <c r="M127" s="429"/>
      <c r="N127" s="429"/>
      <c r="O127" s="429"/>
      <c r="P127" s="429"/>
      <c r="Q127" s="429"/>
      <c r="R127" s="429"/>
      <c r="S127" s="429"/>
      <c r="T127" s="472">
        <v>-1003</v>
      </c>
      <c r="U127" s="472"/>
      <c r="V127" s="473"/>
      <c r="W127" s="432"/>
      <c r="X127" s="419"/>
    </row>
    <row r="128" spans="1:24" s="420" customFormat="1" ht="15.75" x14ac:dyDescent="0.25">
      <c r="A128" s="428"/>
      <c r="B128" s="429" t="s">
        <v>189</v>
      </c>
      <c r="C128" s="429"/>
      <c r="D128" s="429"/>
      <c r="E128" s="429"/>
      <c r="F128" s="429"/>
      <c r="G128" s="429"/>
      <c r="H128" s="429"/>
      <c r="I128" s="429"/>
      <c r="J128" s="429"/>
      <c r="K128" s="429"/>
      <c r="L128" s="429"/>
      <c r="M128" s="429"/>
      <c r="N128" s="429"/>
      <c r="O128" s="429"/>
      <c r="P128" s="429"/>
      <c r="Q128" s="429"/>
      <c r="R128" s="429"/>
      <c r="S128" s="429"/>
      <c r="T128" s="472">
        <v>0</v>
      </c>
      <c r="U128" s="472"/>
      <c r="V128" s="473"/>
      <c r="W128" s="432"/>
      <c r="X128" s="419"/>
    </row>
    <row r="129" spans="1:24" s="420" customFormat="1" ht="15.75" x14ac:dyDescent="0.25">
      <c r="A129" s="428"/>
      <c r="B129" s="429" t="s">
        <v>188</v>
      </c>
      <c r="C129" s="429"/>
      <c r="D129" s="429"/>
      <c r="E129" s="429"/>
      <c r="F129" s="429"/>
      <c r="G129" s="429"/>
      <c r="H129" s="429"/>
      <c r="I129" s="429"/>
      <c r="J129" s="429"/>
      <c r="K129" s="429"/>
      <c r="L129" s="429"/>
      <c r="M129" s="429"/>
      <c r="N129" s="429"/>
      <c r="O129" s="429"/>
      <c r="P129" s="429"/>
      <c r="Q129" s="429"/>
      <c r="R129" s="429"/>
      <c r="S129" s="429"/>
      <c r="T129" s="472">
        <v>0</v>
      </c>
      <c r="U129" s="472"/>
      <c r="V129" s="473"/>
      <c r="W129" s="432"/>
      <c r="X129" s="419"/>
    </row>
    <row r="130" spans="1:24" s="420" customFormat="1" ht="15.75" x14ac:dyDescent="0.25">
      <c r="A130" s="428"/>
      <c r="B130" s="429" t="s">
        <v>187</v>
      </c>
      <c r="C130" s="429"/>
      <c r="D130" s="429"/>
      <c r="E130" s="429"/>
      <c r="F130" s="429"/>
      <c r="G130" s="429"/>
      <c r="H130" s="429"/>
      <c r="I130" s="429"/>
      <c r="J130" s="429"/>
      <c r="K130" s="429"/>
      <c r="L130" s="429"/>
      <c r="M130" s="429"/>
      <c r="N130" s="429"/>
      <c r="O130" s="429"/>
      <c r="P130" s="429"/>
      <c r="Q130" s="429"/>
      <c r="R130" s="429"/>
      <c r="S130" s="429"/>
      <c r="T130" s="472">
        <v>0</v>
      </c>
      <c r="U130" s="472"/>
      <c r="V130" s="473"/>
      <c r="W130" s="432"/>
      <c r="X130" s="419"/>
    </row>
    <row r="131" spans="1:24" s="420" customFormat="1" ht="15.75" x14ac:dyDescent="0.25">
      <c r="A131" s="428"/>
      <c r="B131" s="429" t="s">
        <v>39</v>
      </c>
      <c r="C131" s="429"/>
      <c r="D131" s="429"/>
      <c r="E131" s="429"/>
      <c r="F131" s="429"/>
      <c r="G131" s="429"/>
      <c r="H131" s="429"/>
      <c r="I131" s="429"/>
      <c r="J131" s="429"/>
      <c r="K131" s="429"/>
      <c r="L131" s="429"/>
      <c r="M131" s="429"/>
      <c r="N131" s="429"/>
      <c r="O131" s="429"/>
      <c r="P131" s="429"/>
      <c r="Q131" s="429"/>
      <c r="R131" s="429"/>
      <c r="S131" s="429"/>
      <c r="T131" s="472">
        <f>SUM(T121:T130)</f>
        <v>-11548</v>
      </c>
      <c r="U131" s="472"/>
      <c r="V131" s="472">
        <f>SUM(V102:V129)</f>
        <v>-4194</v>
      </c>
      <c r="W131" s="432"/>
      <c r="X131" s="419"/>
    </row>
    <row r="132" spans="1:24" s="420" customFormat="1" ht="15.75" x14ac:dyDescent="0.25">
      <c r="A132" s="428"/>
      <c r="B132" s="429" t="s">
        <v>40</v>
      </c>
      <c r="C132" s="429"/>
      <c r="D132" s="429"/>
      <c r="E132" s="429"/>
      <c r="F132" s="429"/>
      <c r="G132" s="429"/>
      <c r="H132" s="429"/>
      <c r="I132" s="429"/>
      <c r="J132" s="429"/>
      <c r="K132" s="429"/>
      <c r="L132" s="429"/>
      <c r="M132" s="429"/>
      <c r="N132" s="429"/>
      <c r="O132" s="429"/>
      <c r="P132" s="429"/>
      <c r="Q132" s="429"/>
      <c r="R132" s="429"/>
      <c r="S132" s="429"/>
      <c r="T132" s="472">
        <f>T101+T131+T114</f>
        <v>0</v>
      </c>
      <c r="U132" s="472"/>
      <c r="V132" s="472">
        <f>V101+V131</f>
        <v>0</v>
      </c>
      <c r="W132" s="432"/>
      <c r="X132" s="419"/>
    </row>
    <row r="133" spans="1:24" s="420" customFormat="1" ht="15.75" x14ac:dyDescent="0.25">
      <c r="A133" s="416"/>
      <c r="B133" s="462"/>
      <c r="C133" s="462"/>
      <c r="D133" s="462"/>
      <c r="E133" s="462"/>
      <c r="F133" s="462"/>
      <c r="G133" s="462"/>
      <c r="H133" s="462"/>
      <c r="I133" s="462"/>
      <c r="J133" s="462"/>
      <c r="K133" s="462"/>
      <c r="L133" s="462"/>
      <c r="M133" s="462"/>
      <c r="N133" s="462"/>
      <c r="O133" s="462"/>
      <c r="P133" s="462"/>
      <c r="Q133" s="462"/>
      <c r="R133" s="462"/>
      <c r="S133" s="462"/>
      <c r="T133" s="478"/>
      <c r="U133" s="478"/>
      <c r="V133" s="478"/>
      <c r="W133" s="462"/>
      <c r="X133" s="419"/>
    </row>
    <row r="134" spans="1:24" s="420" customFormat="1" ht="15.75" x14ac:dyDescent="0.25">
      <c r="A134" s="416"/>
      <c r="B134" s="417"/>
      <c r="C134" s="417"/>
      <c r="D134" s="417"/>
      <c r="E134" s="417"/>
      <c r="F134" s="417"/>
      <c r="G134" s="417"/>
      <c r="H134" s="417"/>
      <c r="I134" s="417"/>
      <c r="J134" s="417"/>
      <c r="K134" s="417"/>
      <c r="L134" s="417"/>
      <c r="M134" s="417"/>
      <c r="N134" s="417"/>
      <c r="O134" s="417"/>
      <c r="P134" s="417"/>
      <c r="Q134" s="417"/>
      <c r="R134" s="417"/>
      <c r="S134" s="417"/>
      <c r="T134" s="417"/>
      <c r="U134" s="417"/>
      <c r="V134" s="479"/>
      <c r="W134" s="417"/>
      <c r="X134" s="419"/>
    </row>
    <row r="135" spans="1:24" s="420" customFormat="1" ht="19.5" thickBot="1" x14ac:dyDescent="0.35">
      <c r="A135" s="467"/>
      <c r="B135" s="468" t="str">
        <f>B64</f>
        <v>PM15 INVESTOR REPORT QUARTER ENDING NOVEMBER 2017</v>
      </c>
      <c r="C135" s="469"/>
      <c r="D135" s="469"/>
      <c r="E135" s="469"/>
      <c r="F135" s="469"/>
      <c r="G135" s="469"/>
      <c r="H135" s="469"/>
      <c r="I135" s="469"/>
      <c r="J135" s="469"/>
      <c r="K135" s="469"/>
      <c r="L135" s="469"/>
      <c r="M135" s="469"/>
      <c r="N135" s="469"/>
      <c r="O135" s="469"/>
      <c r="P135" s="469"/>
      <c r="Q135" s="469"/>
      <c r="R135" s="469"/>
      <c r="S135" s="469"/>
      <c r="T135" s="469"/>
      <c r="U135" s="469"/>
      <c r="V135" s="480"/>
      <c r="W135" s="471"/>
      <c r="X135" s="419"/>
    </row>
    <row r="136" spans="1:24" ht="15.75" x14ac:dyDescent="0.25">
      <c r="A136" s="551"/>
      <c r="B136" s="552" t="s">
        <v>41</v>
      </c>
      <c r="C136" s="553"/>
      <c r="D136" s="553"/>
      <c r="E136" s="553"/>
      <c r="F136" s="553"/>
      <c r="G136" s="553"/>
      <c r="H136" s="553"/>
      <c r="I136" s="553"/>
      <c r="J136" s="553"/>
      <c r="K136" s="553"/>
      <c r="L136" s="553"/>
      <c r="M136" s="553"/>
      <c r="N136" s="553"/>
      <c r="O136" s="553"/>
      <c r="P136" s="553"/>
      <c r="Q136" s="553"/>
      <c r="R136" s="553"/>
      <c r="S136" s="553"/>
      <c r="T136" s="553"/>
      <c r="U136" s="553"/>
      <c r="V136" s="554"/>
      <c r="W136" s="553"/>
      <c r="X136" s="5"/>
    </row>
    <row r="137" spans="1:24" ht="15.75" x14ac:dyDescent="0.25">
      <c r="A137" s="181"/>
      <c r="B137" s="191"/>
      <c r="C137" s="183"/>
      <c r="D137" s="183"/>
      <c r="E137" s="183"/>
      <c r="F137" s="183"/>
      <c r="G137" s="183"/>
      <c r="H137" s="183"/>
      <c r="I137" s="183"/>
      <c r="J137" s="183"/>
      <c r="K137" s="183"/>
      <c r="L137" s="183"/>
      <c r="M137" s="183"/>
      <c r="N137" s="183"/>
      <c r="O137" s="183"/>
      <c r="P137" s="183"/>
      <c r="Q137" s="183"/>
      <c r="R137" s="183"/>
      <c r="S137" s="183"/>
      <c r="T137" s="183"/>
      <c r="U137" s="183"/>
      <c r="V137" s="202"/>
      <c r="W137" s="183"/>
      <c r="X137" s="5"/>
    </row>
    <row r="138" spans="1:24" ht="15.75" x14ac:dyDescent="0.25">
      <c r="A138" s="181"/>
      <c r="B138" s="531" t="s">
        <v>42</v>
      </c>
      <c r="C138" s="183"/>
      <c r="D138" s="183"/>
      <c r="E138" s="183"/>
      <c r="F138" s="183"/>
      <c r="G138" s="183"/>
      <c r="H138" s="183"/>
      <c r="I138" s="183"/>
      <c r="J138" s="183"/>
      <c r="K138" s="183"/>
      <c r="L138" s="183"/>
      <c r="M138" s="183"/>
      <c r="N138" s="183"/>
      <c r="O138" s="183"/>
      <c r="P138" s="183"/>
      <c r="Q138" s="183"/>
      <c r="R138" s="183"/>
      <c r="S138" s="183"/>
      <c r="T138" s="183"/>
      <c r="U138" s="183"/>
      <c r="V138" s="202"/>
      <c r="W138" s="183"/>
      <c r="X138" s="5"/>
    </row>
    <row r="139" spans="1:24" s="420" customFormat="1" ht="15.75" x14ac:dyDescent="0.25">
      <c r="A139" s="428"/>
      <c r="B139" s="429" t="s">
        <v>43</v>
      </c>
      <c r="C139" s="429"/>
      <c r="D139" s="429"/>
      <c r="E139" s="429"/>
      <c r="F139" s="429"/>
      <c r="G139" s="429"/>
      <c r="H139" s="429"/>
      <c r="I139" s="429"/>
      <c r="J139" s="429"/>
      <c r="K139" s="429"/>
      <c r="L139" s="429"/>
      <c r="M139" s="429"/>
      <c r="N139" s="429"/>
      <c r="O139" s="429"/>
      <c r="P139" s="429"/>
      <c r="Q139" s="429"/>
      <c r="R139" s="429"/>
      <c r="S139" s="429"/>
      <c r="T139" s="429"/>
      <c r="U139" s="429"/>
      <c r="V139" s="473">
        <f>+V34*0.019</f>
        <v>19021.526999999998</v>
      </c>
      <c r="W139" s="432"/>
      <c r="X139" s="419"/>
    </row>
    <row r="140" spans="1:24" s="420" customFormat="1" ht="15.75" x14ac:dyDescent="0.25">
      <c r="A140" s="428"/>
      <c r="B140" s="429" t="s">
        <v>44</v>
      </c>
      <c r="C140" s="429"/>
      <c r="D140" s="429"/>
      <c r="E140" s="429"/>
      <c r="F140" s="429"/>
      <c r="G140" s="429"/>
      <c r="H140" s="429"/>
      <c r="I140" s="429"/>
      <c r="J140" s="429"/>
      <c r="K140" s="429"/>
      <c r="L140" s="429"/>
      <c r="M140" s="429"/>
      <c r="N140" s="429"/>
      <c r="O140" s="429"/>
      <c r="P140" s="429"/>
      <c r="Q140" s="429"/>
      <c r="R140" s="429"/>
      <c r="S140" s="429"/>
      <c r="T140" s="429"/>
      <c r="U140" s="429"/>
      <c r="V140" s="473">
        <v>19022</v>
      </c>
      <c r="W140" s="432"/>
      <c r="X140" s="419"/>
    </row>
    <row r="141" spans="1:24" s="420" customFormat="1" ht="15.75" x14ac:dyDescent="0.25">
      <c r="A141" s="428"/>
      <c r="B141" s="429" t="s">
        <v>136</v>
      </c>
      <c r="C141" s="429"/>
      <c r="D141" s="429"/>
      <c r="E141" s="429"/>
      <c r="F141" s="429"/>
      <c r="G141" s="429"/>
      <c r="H141" s="429"/>
      <c r="I141" s="429"/>
      <c r="J141" s="429"/>
      <c r="K141" s="429"/>
      <c r="L141" s="429"/>
      <c r="M141" s="429"/>
      <c r="N141" s="429"/>
      <c r="O141" s="429"/>
      <c r="P141" s="429"/>
      <c r="Q141" s="429"/>
      <c r="R141" s="429"/>
      <c r="S141" s="429"/>
      <c r="T141" s="429"/>
      <c r="U141" s="429"/>
      <c r="V141" s="473"/>
      <c r="W141" s="432"/>
      <c r="X141" s="419"/>
    </row>
    <row r="142" spans="1:24" s="420" customFormat="1" ht="15.75" x14ac:dyDescent="0.25">
      <c r="A142" s="428"/>
      <c r="B142" s="429" t="s">
        <v>123</v>
      </c>
      <c r="C142" s="429"/>
      <c r="D142" s="429"/>
      <c r="E142" s="429"/>
      <c r="F142" s="429"/>
      <c r="G142" s="429"/>
      <c r="H142" s="429"/>
      <c r="I142" s="429"/>
      <c r="J142" s="429"/>
      <c r="K142" s="429"/>
      <c r="L142" s="429"/>
      <c r="M142" s="429"/>
      <c r="N142" s="429"/>
      <c r="O142" s="429"/>
      <c r="P142" s="429"/>
      <c r="Q142" s="429"/>
      <c r="R142" s="429"/>
      <c r="S142" s="429"/>
      <c r="T142" s="429"/>
      <c r="U142" s="429"/>
      <c r="V142" s="473">
        <v>0</v>
      </c>
      <c r="W142" s="432"/>
      <c r="X142" s="419"/>
    </row>
    <row r="143" spans="1:24" s="420" customFormat="1" ht="15.75" x14ac:dyDescent="0.25">
      <c r="A143" s="428"/>
      <c r="B143" s="429" t="s">
        <v>124</v>
      </c>
      <c r="C143" s="429"/>
      <c r="D143" s="429"/>
      <c r="E143" s="429"/>
      <c r="F143" s="429"/>
      <c r="G143" s="429"/>
      <c r="H143" s="429"/>
      <c r="I143" s="429"/>
      <c r="J143" s="429"/>
      <c r="K143" s="429"/>
      <c r="L143" s="429"/>
      <c r="M143" s="429"/>
      <c r="N143" s="429"/>
      <c r="O143" s="429"/>
      <c r="P143" s="429"/>
      <c r="Q143" s="429"/>
      <c r="R143" s="429"/>
      <c r="S143" s="429"/>
      <c r="T143" s="429"/>
      <c r="U143" s="429"/>
      <c r="V143" s="473">
        <v>0</v>
      </c>
      <c r="W143" s="432"/>
      <c r="X143" s="419"/>
    </row>
    <row r="144" spans="1:24" s="420" customFormat="1" ht="15.75" x14ac:dyDescent="0.25">
      <c r="A144" s="428"/>
      <c r="B144" s="429" t="s">
        <v>175</v>
      </c>
      <c r="C144" s="429"/>
      <c r="D144" s="429"/>
      <c r="E144" s="429"/>
      <c r="F144" s="429"/>
      <c r="G144" s="429"/>
      <c r="H144" s="429"/>
      <c r="I144" s="429"/>
      <c r="J144" s="429"/>
      <c r="K144" s="429"/>
      <c r="L144" s="429"/>
      <c r="M144" s="429"/>
      <c r="N144" s="429"/>
      <c r="O144" s="429"/>
      <c r="P144" s="429"/>
      <c r="Q144" s="429"/>
      <c r="R144" s="429"/>
      <c r="S144" s="429"/>
      <c r="T144" s="429"/>
      <c r="U144" s="429"/>
      <c r="V144" s="473">
        <v>0</v>
      </c>
      <c r="W144" s="432"/>
      <c r="X144" s="419"/>
    </row>
    <row r="145" spans="1:25" s="420" customFormat="1" ht="15.75" x14ac:dyDescent="0.25">
      <c r="A145" s="428"/>
      <c r="B145" s="429" t="s">
        <v>45</v>
      </c>
      <c r="C145" s="429"/>
      <c r="D145" s="429"/>
      <c r="E145" s="429"/>
      <c r="F145" s="429"/>
      <c r="G145" s="429"/>
      <c r="H145" s="429"/>
      <c r="I145" s="429"/>
      <c r="J145" s="429"/>
      <c r="K145" s="429"/>
      <c r="L145" s="429"/>
      <c r="M145" s="429"/>
      <c r="N145" s="429"/>
      <c r="O145" s="429"/>
      <c r="P145" s="429"/>
      <c r="Q145" s="429"/>
      <c r="R145" s="429"/>
      <c r="S145" s="429"/>
      <c r="T145" s="429"/>
      <c r="U145" s="429"/>
      <c r="V145" s="473">
        <v>0</v>
      </c>
      <c r="W145" s="432"/>
      <c r="X145" s="419"/>
    </row>
    <row r="146" spans="1:25" s="420" customFormat="1" ht="15.75" x14ac:dyDescent="0.25">
      <c r="A146" s="428"/>
      <c r="B146" s="429" t="s">
        <v>129</v>
      </c>
      <c r="C146" s="429"/>
      <c r="D146" s="429"/>
      <c r="E146" s="429"/>
      <c r="F146" s="429"/>
      <c r="G146" s="429"/>
      <c r="H146" s="429"/>
      <c r="I146" s="429"/>
      <c r="J146" s="429"/>
      <c r="K146" s="429"/>
      <c r="L146" s="429"/>
      <c r="M146" s="429"/>
      <c r="N146" s="429"/>
      <c r="O146" s="429"/>
      <c r="P146" s="429"/>
      <c r="Q146" s="429"/>
      <c r="R146" s="429"/>
      <c r="S146" s="429"/>
      <c r="T146" s="429"/>
      <c r="U146" s="429"/>
      <c r="V146" s="473">
        <v>0</v>
      </c>
      <c r="W146" s="432"/>
      <c r="X146" s="419"/>
    </row>
    <row r="147" spans="1:25" s="420" customFormat="1" ht="15.75" x14ac:dyDescent="0.25">
      <c r="A147" s="428"/>
      <c r="B147" s="429" t="s">
        <v>241</v>
      </c>
      <c r="C147" s="429"/>
      <c r="D147" s="429"/>
      <c r="E147" s="429"/>
      <c r="F147" s="429"/>
      <c r="G147" s="429"/>
      <c r="H147" s="429"/>
      <c r="I147" s="429"/>
      <c r="J147" s="429"/>
      <c r="K147" s="429"/>
      <c r="L147" s="429"/>
      <c r="M147" s="429"/>
      <c r="N147" s="429"/>
      <c r="O147" s="429"/>
      <c r="P147" s="429"/>
      <c r="Q147" s="429"/>
      <c r="R147" s="429"/>
      <c r="S147" s="429"/>
      <c r="T147" s="429"/>
      <c r="U147" s="429"/>
      <c r="V147" s="473">
        <v>0</v>
      </c>
      <c r="W147" s="432"/>
      <c r="X147" s="419"/>
      <c r="Y147" s="477"/>
    </row>
    <row r="148" spans="1:25" s="420" customFormat="1" ht="15.75" x14ac:dyDescent="0.25">
      <c r="A148" s="428"/>
      <c r="B148" s="429" t="s">
        <v>46</v>
      </c>
      <c r="C148" s="429"/>
      <c r="D148" s="429"/>
      <c r="E148" s="429"/>
      <c r="F148" s="429"/>
      <c r="G148" s="429"/>
      <c r="H148" s="429"/>
      <c r="I148" s="429"/>
      <c r="J148" s="429"/>
      <c r="K148" s="429"/>
      <c r="L148" s="429"/>
      <c r="M148" s="429"/>
      <c r="N148" s="429"/>
      <c r="O148" s="429"/>
      <c r="P148" s="429"/>
      <c r="Q148" s="429"/>
      <c r="R148" s="429"/>
      <c r="S148" s="429"/>
      <c r="T148" s="429"/>
      <c r="U148" s="429"/>
      <c r="V148" s="473">
        <f>SUM(V140:V147)</f>
        <v>19022</v>
      </c>
      <c r="W148" s="432"/>
      <c r="X148" s="419"/>
    </row>
    <row r="149" spans="1:25" ht="15.75" x14ac:dyDescent="0.25">
      <c r="A149" s="285"/>
      <c r="B149" s="314"/>
      <c r="C149" s="314"/>
      <c r="D149" s="314"/>
      <c r="E149" s="314"/>
      <c r="F149" s="314"/>
      <c r="G149" s="314"/>
      <c r="H149" s="314"/>
      <c r="I149" s="314"/>
      <c r="J149" s="314"/>
      <c r="K149" s="314"/>
      <c r="L149" s="314"/>
      <c r="M149" s="314"/>
      <c r="N149" s="314"/>
      <c r="O149" s="314"/>
      <c r="P149" s="314"/>
      <c r="Q149" s="314"/>
      <c r="R149" s="314"/>
      <c r="S149" s="314"/>
      <c r="T149" s="314"/>
      <c r="U149" s="314"/>
      <c r="V149" s="345"/>
      <c r="W149" s="318"/>
      <c r="X149" s="5"/>
    </row>
    <row r="150" spans="1:25" ht="15.75" x14ac:dyDescent="0.25">
      <c r="A150" s="285"/>
      <c r="B150" s="530" t="s">
        <v>269</v>
      </c>
      <c r="C150" s="314"/>
      <c r="D150" s="314"/>
      <c r="E150" s="314"/>
      <c r="F150" s="314"/>
      <c r="G150" s="314"/>
      <c r="H150" s="314"/>
      <c r="I150" s="314"/>
      <c r="J150" s="314"/>
      <c r="K150" s="314"/>
      <c r="L150" s="314"/>
      <c r="M150" s="314"/>
      <c r="N150" s="314"/>
      <c r="O150" s="314"/>
      <c r="P150" s="314"/>
      <c r="Q150" s="314"/>
      <c r="R150" s="314"/>
      <c r="S150" s="314"/>
      <c r="T150" s="314"/>
      <c r="U150" s="314"/>
      <c r="V150" s="345"/>
      <c r="W150" s="318"/>
      <c r="X150" s="5"/>
    </row>
    <row r="151" spans="1:25" s="420" customFormat="1" ht="15.75" x14ac:dyDescent="0.25">
      <c r="A151" s="428"/>
      <c r="B151" s="429" t="s">
        <v>155</v>
      </c>
      <c r="C151" s="429"/>
      <c r="D151" s="429"/>
      <c r="E151" s="429"/>
      <c r="F151" s="429"/>
      <c r="G151" s="429"/>
      <c r="H151" s="429"/>
      <c r="I151" s="429"/>
      <c r="J151" s="429"/>
      <c r="K151" s="429"/>
      <c r="L151" s="429"/>
      <c r="M151" s="429"/>
      <c r="N151" s="429"/>
      <c r="O151" s="429"/>
      <c r="P151" s="429"/>
      <c r="Q151" s="429"/>
      <c r="R151" s="429"/>
      <c r="S151" s="429"/>
      <c r="T151" s="429"/>
      <c r="U151" s="429"/>
      <c r="V151" s="473">
        <v>0</v>
      </c>
      <c r="W151" s="432"/>
      <c r="X151" s="419"/>
    </row>
    <row r="152" spans="1:25" s="420" customFormat="1" ht="15.75" x14ac:dyDescent="0.25">
      <c r="A152" s="428"/>
      <c r="B152" s="429" t="s">
        <v>172</v>
      </c>
      <c r="C152" s="429"/>
      <c r="D152" s="429"/>
      <c r="E152" s="429"/>
      <c r="F152" s="429"/>
      <c r="G152" s="429"/>
      <c r="H152" s="429"/>
      <c r="I152" s="429"/>
      <c r="J152" s="429"/>
      <c r="K152" s="429"/>
      <c r="L152" s="429"/>
      <c r="M152" s="429"/>
      <c r="N152" s="429"/>
      <c r="O152" s="429"/>
      <c r="P152" s="429"/>
      <c r="Q152" s="429"/>
      <c r="R152" s="429"/>
      <c r="S152" s="429"/>
      <c r="T152" s="429"/>
      <c r="U152" s="429"/>
      <c r="V152" s="473">
        <v>0</v>
      </c>
      <c r="W152" s="432"/>
      <c r="X152" s="419"/>
    </row>
    <row r="153" spans="1:25" s="420" customFormat="1" ht="15.75" x14ac:dyDescent="0.25">
      <c r="A153" s="428"/>
      <c r="B153" s="429" t="s">
        <v>226</v>
      </c>
      <c r="C153" s="429"/>
      <c r="D153" s="429"/>
      <c r="E153" s="429"/>
      <c r="F153" s="429"/>
      <c r="G153" s="429"/>
      <c r="H153" s="429"/>
      <c r="I153" s="429"/>
      <c r="J153" s="429"/>
      <c r="K153" s="429"/>
      <c r="L153" s="429"/>
      <c r="M153" s="429"/>
      <c r="N153" s="429"/>
      <c r="O153" s="429"/>
      <c r="P153" s="429"/>
      <c r="Q153" s="429"/>
      <c r="R153" s="429"/>
      <c r="S153" s="429"/>
      <c r="T153" s="429"/>
      <c r="U153" s="429"/>
      <c r="V153" s="473">
        <v>0</v>
      </c>
      <c r="W153" s="432"/>
      <c r="X153" s="419"/>
    </row>
    <row r="154" spans="1:25" ht="15.75" x14ac:dyDescent="0.25">
      <c r="A154" s="285"/>
      <c r="B154" s="314"/>
      <c r="C154" s="314"/>
      <c r="D154" s="314"/>
      <c r="E154" s="314"/>
      <c r="F154" s="314"/>
      <c r="G154" s="314"/>
      <c r="H154" s="314"/>
      <c r="I154" s="314"/>
      <c r="J154" s="314"/>
      <c r="K154" s="314"/>
      <c r="L154" s="314"/>
      <c r="M154" s="314"/>
      <c r="N154" s="314"/>
      <c r="O154" s="314"/>
      <c r="P154" s="314"/>
      <c r="Q154" s="314"/>
      <c r="R154" s="314"/>
      <c r="S154" s="314"/>
      <c r="T154" s="314"/>
      <c r="U154" s="314"/>
      <c r="V154" s="345"/>
      <c r="W154" s="318"/>
      <c r="X154" s="5"/>
    </row>
    <row r="155" spans="1:25" ht="15.75" x14ac:dyDescent="0.25">
      <c r="A155" s="181"/>
      <c r="B155" s="212"/>
      <c r="C155" s="212"/>
      <c r="D155" s="212"/>
      <c r="E155" s="212"/>
      <c r="F155" s="212"/>
      <c r="G155" s="212"/>
      <c r="H155" s="212"/>
      <c r="I155" s="212"/>
      <c r="J155" s="212"/>
      <c r="K155" s="212"/>
      <c r="L155" s="212"/>
      <c r="M155" s="212"/>
      <c r="N155" s="212"/>
      <c r="O155" s="212"/>
      <c r="P155" s="212"/>
      <c r="Q155" s="212"/>
      <c r="R155" s="212"/>
      <c r="S155" s="212"/>
      <c r="T155" s="212"/>
      <c r="U155" s="212"/>
      <c r="V155" s="344"/>
      <c r="W155" s="212"/>
      <c r="X155" s="5"/>
    </row>
    <row r="156" spans="1:25" ht="15.75" x14ac:dyDescent="0.25">
      <c r="A156" s="181"/>
      <c r="B156" s="531" t="s">
        <v>24</v>
      </c>
      <c r="C156" s="183"/>
      <c r="D156" s="183"/>
      <c r="E156" s="183"/>
      <c r="F156" s="183"/>
      <c r="G156" s="183"/>
      <c r="H156" s="183"/>
      <c r="I156" s="183"/>
      <c r="J156" s="183"/>
      <c r="K156" s="183"/>
      <c r="L156" s="183"/>
      <c r="M156" s="183"/>
      <c r="N156" s="183"/>
      <c r="O156" s="183"/>
      <c r="P156" s="183"/>
      <c r="Q156" s="183"/>
      <c r="R156" s="183"/>
      <c r="S156" s="183"/>
      <c r="T156" s="183"/>
      <c r="U156" s="183"/>
      <c r="V156" s="202"/>
      <c r="W156" s="183"/>
      <c r="X156" s="5"/>
    </row>
    <row r="157" spans="1:25" s="420" customFormat="1" ht="15.75" x14ac:dyDescent="0.25">
      <c r="A157" s="428"/>
      <c r="B157" s="429" t="s">
        <v>47</v>
      </c>
      <c r="C157" s="429"/>
      <c r="D157" s="429"/>
      <c r="E157" s="429"/>
      <c r="F157" s="429"/>
      <c r="G157" s="429"/>
      <c r="H157" s="429"/>
      <c r="I157" s="429"/>
      <c r="J157" s="429"/>
      <c r="K157" s="429"/>
      <c r="L157" s="429"/>
      <c r="M157" s="429"/>
      <c r="N157" s="429"/>
      <c r="O157" s="429"/>
      <c r="P157" s="429"/>
      <c r="Q157" s="429"/>
      <c r="R157" s="429"/>
      <c r="S157" s="429"/>
      <c r="T157" s="429"/>
      <c r="U157" s="429"/>
      <c r="V157" s="481" t="s">
        <v>118</v>
      </c>
      <c r="W157" s="432"/>
      <c r="X157" s="419"/>
    </row>
    <row r="158" spans="1:25" s="420" customFormat="1" ht="15.75" x14ac:dyDescent="0.25">
      <c r="A158" s="428"/>
      <c r="B158" s="429" t="s">
        <v>48</v>
      </c>
      <c r="C158" s="431"/>
      <c r="D158" s="431"/>
      <c r="E158" s="431"/>
      <c r="F158" s="431"/>
      <c r="G158" s="431"/>
      <c r="H158" s="431"/>
      <c r="I158" s="431"/>
      <c r="J158" s="431"/>
      <c r="K158" s="431"/>
      <c r="L158" s="431"/>
      <c r="M158" s="431"/>
      <c r="N158" s="431"/>
      <c r="O158" s="431"/>
      <c r="P158" s="431"/>
      <c r="Q158" s="431"/>
      <c r="R158" s="431"/>
      <c r="S158" s="431"/>
      <c r="T158" s="431"/>
      <c r="U158" s="431"/>
      <c r="V158" s="481" t="s">
        <v>118</v>
      </c>
      <c r="W158" s="432"/>
      <c r="X158" s="419"/>
    </row>
    <row r="159" spans="1:25" s="420" customFormat="1" ht="15.75" x14ac:dyDescent="0.25">
      <c r="A159" s="428"/>
      <c r="B159" s="429" t="s">
        <v>49</v>
      </c>
      <c r="C159" s="429"/>
      <c r="D159" s="429"/>
      <c r="E159" s="429"/>
      <c r="F159" s="429"/>
      <c r="G159" s="429"/>
      <c r="H159" s="429"/>
      <c r="I159" s="429"/>
      <c r="J159" s="429"/>
      <c r="K159" s="429"/>
      <c r="L159" s="429"/>
      <c r="M159" s="429"/>
      <c r="N159" s="429"/>
      <c r="O159" s="429"/>
      <c r="P159" s="429"/>
      <c r="Q159" s="429"/>
      <c r="R159" s="429"/>
      <c r="S159" s="429"/>
      <c r="T159" s="429"/>
      <c r="U159" s="429"/>
      <c r="V159" s="481" t="s">
        <v>118</v>
      </c>
      <c r="W159" s="432"/>
      <c r="X159" s="419"/>
    </row>
    <row r="160" spans="1:25" s="420" customFormat="1" ht="15.75" x14ac:dyDescent="0.25">
      <c r="A160" s="428"/>
      <c r="B160" s="429" t="s">
        <v>50</v>
      </c>
      <c r="C160" s="429"/>
      <c r="D160" s="429"/>
      <c r="E160" s="429"/>
      <c r="F160" s="429"/>
      <c r="G160" s="429"/>
      <c r="H160" s="429"/>
      <c r="I160" s="429"/>
      <c r="J160" s="429"/>
      <c r="K160" s="429"/>
      <c r="L160" s="429"/>
      <c r="M160" s="429"/>
      <c r="N160" s="429"/>
      <c r="O160" s="429"/>
      <c r="P160" s="429"/>
      <c r="Q160" s="429"/>
      <c r="R160" s="429"/>
      <c r="S160" s="429"/>
      <c r="T160" s="429"/>
      <c r="U160" s="429"/>
      <c r="V160" s="481" t="s">
        <v>118</v>
      </c>
      <c r="W160" s="432"/>
      <c r="X160" s="419"/>
    </row>
    <row r="161" spans="1:256" ht="15.75" x14ac:dyDescent="0.25">
      <c r="A161" s="181"/>
      <c r="B161" s="212"/>
      <c r="C161" s="212"/>
      <c r="D161" s="212"/>
      <c r="E161" s="212"/>
      <c r="F161" s="212"/>
      <c r="G161" s="212"/>
      <c r="H161" s="212"/>
      <c r="I161" s="212"/>
      <c r="J161" s="212"/>
      <c r="K161" s="212"/>
      <c r="L161" s="212"/>
      <c r="M161" s="212"/>
      <c r="N161" s="212"/>
      <c r="O161" s="212"/>
      <c r="P161" s="212"/>
      <c r="Q161" s="212"/>
      <c r="R161" s="212"/>
      <c r="S161" s="212"/>
      <c r="T161" s="212"/>
      <c r="U161" s="212"/>
      <c r="V161" s="344"/>
      <c r="W161" s="212"/>
      <c r="X161" s="5"/>
    </row>
    <row r="162" spans="1:256" ht="15.75" x14ac:dyDescent="0.25">
      <c r="A162" s="181"/>
      <c r="B162" s="531" t="s">
        <v>51</v>
      </c>
      <c r="C162" s="183"/>
      <c r="D162" s="183"/>
      <c r="E162" s="183"/>
      <c r="F162" s="183"/>
      <c r="G162" s="183"/>
      <c r="H162" s="183"/>
      <c r="I162" s="183"/>
      <c r="J162" s="183"/>
      <c r="K162" s="183"/>
      <c r="L162" s="183"/>
      <c r="M162" s="183"/>
      <c r="N162" s="183"/>
      <c r="O162" s="183"/>
      <c r="P162" s="183"/>
      <c r="Q162" s="183"/>
      <c r="R162" s="183"/>
      <c r="S162" s="183"/>
      <c r="T162" s="183"/>
      <c r="U162" s="183"/>
      <c r="V162" s="211"/>
      <c r="W162" s="183"/>
      <c r="X162" s="5"/>
    </row>
    <row r="163" spans="1:256" s="420" customFormat="1" ht="15.75" x14ac:dyDescent="0.25">
      <c r="A163" s="428"/>
      <c r="B163" s="429" t="s">
        <v>52</v>
      </c>
      <c r="C163" s="429"/>
      <c r="D163" s="429"/>
      <c r="E163" s="429"/>
      <c r="F163" s="429"/>
      <c r="G163" s="429"/>
      <c r="H163" s="429"/>
      <c r="I163" s="429"/>
      <c r="J163" s="429"/>
      <c r="K163" s="429"/>
      <c r="L163" s="429"/>
      <c r="M163" s="429"/>
      <c r="N163" s="429"/>
      <c r="O163" s="429"/>
      <c r="P163" s="429"/>
      <c r="Q163" s="429"/>
      <c r="R163" s="429"/>
      <c r="S163" s="429"/>
      <c r="T163" s="429"/>
      <c r="U163" s="429"/>
      <c r="V163" s="473">
        <v>0</v>
      </c>
      <c r="W163" s="432"/>
      <c r="X163" s="419"/>
    </row>
    <row r="164" spans="1:256" s="420" customFormat="1" ht="15.75" x14ac:dyDescent="0.25">
      <c r="A164" s="428"/>
      <c r="B164" s="429" t="s">
        <v>53</v>
      </c>
      <c r="C164" s="429"/>
      <c r="D164" s="429"/>
      <c r="E164" s="429"/>
      <c r="F164" s="429"/>
      <c r="G164" s="429"/>
      <c r="H164" s="429"/>
      <c r="I164" s="429"/>
      <c r="J164" s="429"/>
      <c r="K164" s="429"/>
      <c r="L164" s="429"/>
      <c r="M164" s="429"/>
      <c r="N164" s="429"/>
      <c r="O164" s="429"/>
      <c r="P164" s="429"/>
      <c r="Q164" s="429"/>
      <c r="R164" s="429"/>
      <c r="S164" s="429"/>
      <c r="T164" s="429"/>
      <c r="U164" s="429"/>
      <c r="V164" s="473">
        <v>361</v>
      </c>
      <c r="W164" s="432"/>
      <c r="X164" s="419"/>
    </row>
    <row r="165" spans="1:256" s="420" customFormat="1" ht="15.75" x14ac:dyDescent="0.25">
      <c r="A165" s="428"/>
      <c r="B165" s="429" t="s">
        <v>54</v>
      </c>
      <c r="C165" s="429"/>
      <c r="D165" s="429"/>
      <c r="E165" s="429"/>
      <c r="F165" s="429"/>
      <c r="G165" s="429"/>
      <c r="H165" s="429"/>
      <c r="I165" s="429"/>
      <c r="J165" s="429"/>
      <c r="K165" s="429"/>
      <c r="L165" s="429"/>
      <c r="M165" s="429"/>
      <c r="N165" s="429"/>
      <c r="O165" s="429"/>
      <c r="P165" s="429"/>
      <c r="Q165" s="429"/>
      <c r="R165" s="429"/>
      <c r="S165" s="429"/>
      <c r="T165" s="429"/>
      <c r="U165" s="429"/>
      <c r="V165" s="473">
        <f>V164+V163</f>
        <v>361</v>
      </c>
      <c r="W165" s="432"/>
      <c r="X165" s="419"/>
    </row>
    <row r="166" spans="1:256" s="420" customFormat="1" ht="15.75" x14ac:dyDescent="0.25">
      <c r="A166" s="428"/>
      <c r="B166" s="429" t="s">
        <v>303</v>
      </c>
      <c r="C166" s="429"/>
      <c r="D166" s="429"/>
      <c r="E166" s="429"/>
      <c r="F166" s="429"/>
      <c r="G166" s="429"/>
      <c r="H166" s="429"/>
      <c r="I166" s="429"/>
      <c r="J166" s="429"/>
      <c r="K166" s="429"/>
      <c r="L166" s="429"/>
      <c r="M166" s="429"/>
      <c r="N166" s="429"/>
      <c r="O166" s="429"/>
      <c r="P166" s="429"/>
      <c r="Q166" s="429"/>
      <c r="R166" s="429"/>
      <c r="S166" s="429"/>
      <c r="T166" s="429"/>
      <c r="U166" s="429"/>
      <c r="V166" s="473">
        <f>V114</f>
        <v>-361</v>
      </c>
      <c r="W166" s="432"/>
      <c r="X166" s="419"/>
    </row>
    <row r="167" spans="1:256" s="420" customFormat="1" ht="15.75" x14ac:dyDescent="0.25">
      <c r="A167" s="428"/>
      <c r="B167" s="429" t="s">
        <v>55</v>
      </c>
      <c r="C167" s="429"/>
      <c r="D167" s="429"/>
      <c r="E167" s="429"/>
      <c r="F167" s="429"/>
      <c r="G167" s="429"/>
      <c r="H167" s="429"/>
      <c r="I167" s="429"/>
      <c r="J167" s="429"/>
      <c r="K167" s="429"/>
      <c r="L167" s="429"/>
      <c r="M167" s="429"/>
      <c r="N167" s="429"/>
      <c r="O167" s="429"/>
      <c r="P167" s="429"/>
      <c r="Q167" s="429"/>
      <c r="R167" s="429"/>
      <c r="S167" s="429"/>
      <c r="T167" s="429"/>
      <c r="U167" s="429"/>
      <c r="V167" s="473">
        <f>V165+V166</f>
        <v>0</v>
      </c>
      <c r="W167" s="432"/>
      <c r="X167" s="419"/>
    </row>
    <row r="168" spans="1:256" s="420" customFormat="1" ht="15.75" x14ac:dyDescent="0.25">
      <c r="A168" s="428"/>
      <c r="B168" s="429" t="s">
        <v>274</v>
      </c>
      <c r="C168" s="429"/>
      <c r="D168" s="429"/>
      <c r="E168" s="429"/>
      <c r="F168" s="429"/>
      <c r="G168" s="429"/>
      <c r="H168" s="429"/>
      <c r="I168" s="429"/>
      <c r="J168" s="429"/>
      <c r="K168" s="429"/>
      <c r="L168" s="429"/>
      <c r="M168" s="429"/>
      <c r="N168" s="429"/>
      <c r="O168" s="429"/>
      <c r="P168" s="429"/>
      <c r="Q168" s="429"/>
      <c r="R168" s="429"/>
      <c r="S168" s="429"/>
      <c r="T168" s="429"/>
      <c r="U168" s="429"/>
      <c r="V168" s="473">
        <v>0</v>
      </c>
      <c r="W168" s="432"/>
      <c r="X168" s="419"/>
    </row>
    <row r="169" spans="1:256" ht="16.5" thickBot="1" x14ac:dyDescent="0.3">
      <c r="A169" s="181"/>
      <c r="B169" s="212"/>
      <c r="C169" s="212"/>
      <c r="D169" s="212"/>
      <c r="E169" s="212"/>
      <c r="F169" s="212"/>
      <c r="G169" s="212"/>
      <c r="H169" s="212"/>
      <c r="I169" s="212"/>
      <c r="J169" s="212"/>
      <c r="K169" s="212"/>
      <c r="L169" s="212"/>
      <c r="M169" s="212"/>
      <c r="N169" s="212"/>
      <c r="O169" s="212"/>
      <c r="P169" s="212"/>
      <c r="Q169" s="212"/>
      <c r="R169" s="212"/>
      <c r="S169" s="212"/>
      <c r="T169" s="212"/>
      <c r="U169" s="212"/>
      <c r="V169" s="344"/>
      <c r="W169" s="212"/>
      <c r="X169" s="5"/>
    </row>
    <row r="170" spans="1:256" ht="15.75" x14ac:dyDescent="0.25">
      <c r="A170" s="179"/>
      <c r="B170" s="180"/>
      <c r="C170" s="180"/>
      <c r="D170" s="180"/>
      <c r="E170" s="180"/>
      <c r="F170" s="180"/>
      <c r="G170" s="180"/>
      <c r="H170" s="180"/>
      <c r="I170" s="180"/>
      <c r="J170" s="180"/>
      <c r="K170" s="180"/>
      <c r="L170" s="180"/>
      <c r="M170" s="180"/>
      <c r="N170" s="180"/>
      <c r="O170" s="180"/>
      <c r="P170" s="180"/>
      <c r="Q170" s="180"/>
      <c r="R170" s="180"/>
      <c r="S170" s="180"/>
      <c r="T170" s="180"/>
      <c r="U170" s="180"/>
      <c r="V170" s="201"/>
      <c r="W170" s="180"/>
      <c r="X170" s="5"/>
    </row>
    <row r="171" spans="1:256" s="158" customFormat="1" ht="15.75" x14ac:dyDescent="0.25">
      <c r="A171" s="181"/>
      <c r="B171" s="531" t="s">
        <v>230</v>
      </c>
      <c r="C171" s="212"/>
      <c r="D171" s="212"/>
      <c r="E171" s="212"/>
      <c r="F171" s="212"/>
      <c r="G171" s="212"/>
      <c r="H171" s="212"/>
      <c r="I171" s="212"/>
      <c r="J171" s="212"/>
      <c r="K171" s="212"/>
      <c r="L171" s="212"/>
      <c r="M171" s="212"/>
      <c r="N171" s="212"/>
      <c r="O171" s="212"/>
      <c r="P171" s="212"/>
      <c r="Q171" s="212"/>
      <c r="R171" s="212"/>
      <c r="S171" s="212"/>
      <c r="T171" s="212"/>
      <c r="U171" s="212"/>
      <c r="V171" s="213"/>
      <c r="W171" s="212"/>
      <c r="X171" s="5"/>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s="482" customFormat="1" ht="15.75" x14ac:dyDescent="0.25">
      <c r="A172" s="428"/>
      <c r="B172" s="429" t="s">
        <v>231</v>
      </c>
      <c r="C172" s="429"/>
      <c r="D172" s="429"/>
      <c r="E172" s="429"/>
      <c r="F172" s="429"/>
      <c r="G172" s="429"/>
      <c r="H172" s="429"/>
      <c r="I172" s="429"/>
      <c r="J172" s="429"/>
      <c r="K172" s="429"/>
      <c r="L172" s="429"/>
      <c r="M172" s="429"/>
      <c r="N172" s="429"/>
      <c r="O172" s="429"/>
      <c r="P172" s="429"/>
      <c r="Q172" s="429"/>
      <c r="R172" s="429"/>
      <c r="S172" s="429"/>
      <c r="T172" s="429"/>
      <c r="U172" s="429"/>
      <c r="V172" s="473">
        <f>+'Aug 08'!V173</f>
        <v>0</v>
      </c>
      <c r="W172" s="432"/>
      <c r="X172" s="419"/>
      <c r="Y172" s="420"/>
      <c r="Z172" s="420"/>
      <c r="AA172" s="420"/>
      <c r="AB172" s="420"/>
      <c r="AC172" s="420"/>
      <c r="AD172" s="420"/>
      <c r="AE172" s="420"/>
      <c r="AF172" s="420"/>
      <c r="AG172" s="420"/>
      <c r="AH172" s="420"/>
      <c r="AI172" s="420"/>
      <c r="AJ172" s="420"/>
      <c r="AK172" s="420"/>
      <c r="AL172" s="420"/>
      <c r="AM172" s="420"/>
      <c r="AN172" s="420"/>
      <c r="AO172" s="420"/>
      <c r="AP172" s="420"/>
      <c r="AQ172" s="420"/>
      <c r="AR172" s="420"/>
      <c r="AS172" s="420"/>
      <c r="AT172" s="420"/>
      <c r="AU172" s="420"/>
      <c r="AV172" s="420"/>
      <c r="AW172" s="420"/>
      <c r="AX172" s="420"/>
      <c r="AY172" s="420"/>
      <c r="AZ172" s="420"/>
      <c r="BA172" s="420"/>
      <c r="BB172" s="420"/>
      <c r="BC172" s="420"/>
      <c r="BD172" s="420"/>
      <c r="BE172" s="420"/>
      <c r="BF172" s="420"/>
      <c r="BG172" s="420"/>
      <c r="BH172" s="420"/>
      <c r="BI172" s="420"/>
      <c r="BJ172" s="420"/>
      <c r="BK172" s="420"/>
      <c r="BL172" s="420"/>
      <c r="BM172" s="420"/>
      <c r="BN172" s="420"/>
      <c r="BO172" s="420"/>
      <c r="BP172" s="420"/>
      <c r="BQ172" s="420"/>
      <c r="BR172" s="420"/>
      <c r="BS172" s="420"/>
      <c r="BT172" s="420"/>
      <c r="BU172" s="420"/>
      <c r="BV172" s="420"/>
      <c r="BW172" s="420"/>
      <c r="BX172" s="420"/>
      <c r="BY172" s="420"/>
      <c r="BZ172" s="420"/>
      <c r="CA172" s="420"/>
      <c r="CB172" s="420"/>
      <c r="CC172" s="420"/>
      <c r="CD172" s="420"/>
      <c r="CE172" s="420"/>
      <c r="CF172" s="420"/>
      <c r="CG172" s="420"/>
      <c r="CH172" s="420"/>
      <c r="CI172" s="420"/>
      <c r="CJ172" s="420"/>
      <c r="CK172" s="420"/>
      <c r="CL172" s="420"/>
      <c r="CM172" s="420"/>
      <c r="CN172" s="420"/>
      <c r="CO172" s="420"/>
      <c r="CP172" s="420"/>
      <c r="CQ172" s="420"/>
      <c r="CR172" s="420"/>
      <c r="CS172" s="420"/>
      <c r="CT172" s="420"/>
      <c r="CU172" s="420"/>
      <c r="CV172" s="420"/>
      <c r="CW172" s="420"/>
      <c r="CX172" s="420"/>
      <c r="CY172" s="420"/>
      <c r="CZ172" s="420"/>
      <c r="DA172" s="420"/>
      <c r="DB172" s="420"/>
      <c r="DC172" s="420"/>
      <c r="DD172" s="420"/>
      <c r="DE172" s="420"/>
      <c r="DF172" s="420"/>
      <c r="DG172" s="420"/>
      <c r="DH172" s="420"/>
      <c r="DI172" s="420"/>
      <c r="DJ172" s="420"/>
      <c r="DK172" s="420"/>
      <c r="DL172" s="420"/>
      <c r="DM172" s="420"/>
      <c r="DN172" s="420"/>
      <c r="DO172" s="420"/>
      <c r="DP172" s="420"/>
      <c r="DQ172" s="420"/>
      <c r="DR172" s="420"/>
      <c r="DS172" s="420"/>
      <c r="DT172" s="420"/>
      <c r="DU172" s="420"/>
      <c r="DV172" s="420"/>
      <c r="DW172" s="420"/>
      <c r="DX172" s="420"/>
      <c r="DY172" s="420"/>
      <c r="DZ172" s="420"/>
      <c r="EA172" s="420"/>
      <c r="EB172" s="420"/>
      <c r="EC172" s="420"/>
      <c r="ED172" s="420"/>
      <c r="EE172" s="420"/>
      <c r="EF172" s="420"/>
      <c r="EG172" s="420"/>
      <c r="EH172" s="420"/>
      <c r="EI172" s="420"/>
      <c r="EJ172" s="420"/>
      <c r="EK172" s="420"/>
      <c r="EL172" s="420"/>
      <c r="EM172" s="420"/>
      <c r="EN172" s="420"/>
      <c r="EO172" s="420"/>
      <c r="EP172" s="420"/>
      <c r="EQ172" s="420"/>
      <c r="ER172" s="420"/>
      <c r="ES172" s="420"/>
      <c r="ET172" s="420"/>
      <c r="EU172" s="420"/>
      <c r="EV172" s="420"/>
      <c r="EW172" s="420"/>
      <c r="EX172" s="420"/>
      <c r="EY172" s="420"/>
      <c r="EZ172" s="420"/>
      <c r="FA172" s="420"/>
      <c r="FB172" s="420"/>
      <c r="FC172" s="420"/>
      <c r="FD172" s="420"/>
      <c r="FE172" s="420"/>
      <c r="FF172" s="420"/>
      <c r="FG172" s="420"/>
      <c r="FH172" s="420"/>
      <c r="FI172" s="420"/>
      <c r="FJ172" s="420"/>
      <c r="FK172" s="420"/>
      <c r="FL172" s="420"/>
      <c r="FM172" s="420"/>
      <c r="FN172" s="420"/>
      <c r="FO172" s="420"/>
      <c r="FP172" s="420"/>
      <c r="FQ172" s="420"/>
      <c r="FR172" s="420"/>
      <c r="FS172" s="420"/>
      <c r="FT172" s="420"/>
      <c r="FU172" s="420"/>
      <c r="FV172" s="420"/>
      <c r="FW172" s="420"/>
      <c r="FX172" s="420"/>
      <c r="FY172" s="420"/>
      <c r="FZ172" s="420"/>
      <c r="GA172" s="420"/>
      <c r="GB172" s="420"/>
      <c r="GC172" s="420"/>
      <c r="GD172" s="420"/>
      <c r="GE172" s="420"/>
      <c r="GF172" s="420"/>
      <c r="GG172" s="420"/>
      <c r="GH172" s="420"/>
      <c r="GI172" s="420"/>
      <c r="GJ172" s="420"/>
      <c r="GK172" s="420"/>
      <c r="GL172" s="420"/>
      <c r="GM172" s="420"/>
      <c r="GN172" s="420"/>
      <c r="GO172" s="420"/>
      <c r="GP172" s="420"/>
      <c r="GQ172" s="420"/>
      <c r="GR172" s="420"/>
      <c r="GS172" s="420"/>
      <c r="GT172" s="420"/>
      <c r="GU172" s="420"/>
      <c r="GV172" s="420"/>
      <c r="GW172" s="420"/>
      <c r="GX172" s="420"/>
      <c r="GY172" s="420"/>
      <c r="GZ172" s="420"/>
      <c r="HA172" s="420"/>
      <c r="HB172" s="420"/>
      <c r="HC172" s="420"/>
      <c r="HD172" s="420"/>
      <c r="HE172" s="420"/>
      <c r="HF172" s="420"/>
      <c r="HG172" s="420"/>
      <c r="HH172" s="420"/>
      <c r="HI172" s="420"/>
      <c r="HJ172" s="420"/>
      <c r="HK172" s="420"/>
      <c r="HL172" s="420"/>
      <c r="HM172" s="420"/>
      <c r="HN172" s="420"/>
      <c r="HO172" s="420"/>
      <c r="HP172" s="420"/>
      <c r="HQ172" s="420"/>
      <c r="HR172" s="420"/>
      <c r="HS172" s="420"/>
      <c r="HT172" s="420"/>
      <c r="HU172" s="420"/>
      <c r="HV172" s="420"/>
      <c r="HW172" s="420"/>
      <c r="HX172" s="420"/>
      <c r="HY172" s="420"/>
      <c r="HZ172" s="420"/>
      <c r="IA172" s="420"/>
      <c r="IB172" s="420"/>
      <c r="IC172" s="420"/>
      <c r="ID172" s="420"/>
      <c r="IE172" s="420"/>
      <c r="IF172" s="420"/>
      <c r="IG172" s="420"/>
      <c r="IH172" s="420"/>
      <c r="II172" s="420"/>
      <c r="IJ172" s="420"/>
      <c r="IK172" s="420"/>
      <c r="IL172" s="420"/>
      <c r="IM172" s="420"/>
      <c r="IN172" s="420"/>
      <c r="IO172" s="420"/>
      <c r="IP172" s="420"/>
      <c r="IQ172" s="420"/>
      <c r="IR172" s="420"/>
      <c r="IS172" s="420"/>
      <c r="IT172" s="420"/>
      <c r="IU172" s="420"/>
      <c r="IV172" s="420"/>
    </row>
    <row r="173" spans="1:256" s="482" customFormat="1" ht="15.75" x14ac:dyDescent="0.25">
      <c r="A173" s="428"/>
      <c r="B173" s="429" t="s">
        <v>234</v>
      </c>
      <c r="C173" s="429"/>
      <c r="D173" s="429"/>
      <c r="E173" s="429"/>
      <c r="F173" s="429"/>
      <c r="G173" s="429"/>
      <c r="H173" s="429"/>
      <c r="I173" s="429"/>
      <c r="J173" s="429"/>
      <c r="K173" s="429"/>
      <c r="L173" s="429"/>
      <c r="M173" s="429"/>
      <c r="N173" s="429"/>
      <c r="O173" s="429"/>
      <c r="P173" s="429"/>
      <c r="Q173" s="429"/>
      <c r="R173" s="429"/>
      <c r="S173" s="429"/>
      <c r="T173" s="429"/>
      <c r="U173" s="429"/>
      <c r="V173" s="473">
        <f>+V94</f>
        <v>0</v>
      </c>
      <c r="W173" s="432"/>
      <c r="X173" s="419"/>
      <c r="Y173" s="420"/>
      <c r="Z173" s="420"/>
      <c r="AA173" s="420"/>
      <c r="AB173" s="420"/>
      <c r="AC173" s="420"/>
      <c r="AD173" s="420"/>
      <c r="AE173" s="420"/>
      <c r="AF173" s="420"/>
      <c r="AG173" s="420"/>
      <c r="AH173" s="420"/>
      <c r="AI173" s="420"/>
      <c r="AJ173" s="420"/>
      <c r="AK173" s="420"/>
      <c r="AL173" s="420"/>
      <c r="AM173" s="420"/>
      <c r="AN173" s="420"/>
      <c r="AO173" s="420"/>
      <c r="AP173" s="420"/>
      <c r="AQ173" s="420"/>
      <c r="AR173" s="420"/>
      <c r="AS173" s="420"/>
      <c r="AT173" s="420"/>
      <c r="AU173" s="420"/>
      <c r="AV173" s="420"/>
      <c r="AW173" s="420"/>
      <c r="AX173" s="420"/>
      <c r="AY173" s="420"/>
      <c r="AZ173" s="420"/>
      <c r="BA173" s="420"/>
      <c r="BB173" s="420"/>
      <c r="BC173" s="420"/>
      <c r="BD173" s="420"/>
      <c r="BE173" s="420"/>
      <c r="BF173" s="420"/>
      <c r="BG173" s="420"/>
      <c r="BH173" s="420"/>
      <c r="BI173" s="420"/>
      <c r="BJ173" s="420"/>
      <c r="BK173" s="420"/>
      <c r="BL173" s="420"/>
      <c r="BM173" s="420"/>
      <c r="BN173" s="420"/>
      <c r="BO173" s="420"/>
      <c r="BP173" s="420"/>
      <c r="BQ173" s="420"/>
      <c r="BR173" s="420"/>
      <c r="BS173" s="420"/>
      <c r="BT173" s="420"/>
      <c r="BU173" s="420"/>
      <c r="BV173" s="420"/>
      <c r="BW173" s="420"/>
      <c r="BX173" s="420"/>
      <c r="BY173" s="420"/>
      <c r="BZ173" s="420"/>
      <c r="CA173" s="420"/>
      <c r="CB173" s="420"/>
      <c r="CC173" s="420"/>
      <c r="CD173" s="420"/>
      <c r="CE173" s="420"/>
      <c r="CF173" s="420"/>
      <c r="CG173" s="420"/>
      <c r="CH173" s="420"/>
      <c r="CI173" s="420"/>
      <c r="CJ173" s="420"/>
      <c r="CK173" s="420"/>
      <c r="CL173" s="420"/>
      <c r="CM173" s="420"/>
      <c r="CN173" s="420"/>
      <c r="CO173" s="420"/>
      <c r="CP173" s="420"/>
      <c r="CQ173" s="420"/>
      <c r="CR173" s="420"/>
      <c r="CS173" s="420"/>
      <c r="CT173" s="420"/>
      <c r="CU173" s="420"/>
      <c r="CV173" s="420"/>
      <c r="CW173" s="420"/>
      <c r="CX173" s="420"/>
      <c r="CY173" s="420"/>
      <c r="CZ173" s="420"/>
      <c r="DA173" s="420"/>
      <c r="DB173" s="420"/>
      <c r="DC173" s="420"/>
      <c r="DD173" s="420"/>
      <c r="DE173" s="420"/>
      <c r="DF173" s="420"/>
      <c r="DG173" s="420"/>
      <c r="DH173" s="420"/>
      <c r="DI173" s="420"/>
      <c r="DJ173" s="420"/>
      <c r="DK173" s="420"/>
      <c r="DL173" s="420"/>
      <c r="DM173" s="420"/>
      <c r="DN173" s="420"/>
      <c r="DO173" s="420"/>
      <c r="DP173" s="420"/>
      <c r="DQ173" s="420"/>
      <c r="DR173" s="420"/>
      <c r="DS173" s="420"/>
      <c r="DT173" s="420"/>
      <c r="DU173" s="420"/>
      <c r="DV173" s="420"/>
      <c r="DW173" s="420"/>
      <c r="DX173" s="420"/>
      <c r="DY173" s="420"/>
      <c r="DZ173" s="420"/>
      <c r="EA173" s="420"/>
      <c r="EB173" s="420"/>
      <c r="EC173" s="420"/>
      <c r="ED173" s="420"/>
      <c r="EE173" s="420"/>
      <c r="EF173" s="420"/>
      <c r="EG173" s="420"/>
      <c r="EH173" s="420"/>
      <c r="EI173" s="420"/>
      <c r="EJ173" s="420"/>
      <c r="EK173" s="420"/>
      <c r="EL173" s="420"/>
      <c r="EM173" s="420"/>
      <c r="EN173" s="420"/>
      <c r="EO173" s="420"/>
      <c r="EP173" s="420"/>
      <c r="EQ173" s="420"/>
      <c r="ER173" s="420"/>
      <c r="ES173" s="420"/>
      <c r="ET173" s="420"/>
      <c r="EU173" s="420"/>
      <c r="EV173" s="420"/>
      <c r="EW173" s="420"/>
      <c r="EX173" s="420"/>
      <c r="EY173" s="420"/>
      <c r="EZ173" s="420"/>
      <c r="FA173" s="420"/>
      <c r="FB173" s="420"/>
      <c r="FC173" s="420"/>
      <c r="FD173" s="420"/>
      <c r="FE173" s="420"/>
      <c r="FF173" s="420"/>
      <c r="FG173" s="420"/>
      <c r="FH173" s="420"/>
      <c r="FI173" s="420"/>
      <c r="FJ173" s="420"/>
      <c r="FK173" s="420"/>
      <c r="FL173" s="420"/>
      <c r="FM173" s="420"/>
      <c r="FN173" s="420"/>
      <c r="FO173" s="420"/>
      <c r="FP173" s="420"/>
      <c r="FQ173" s="420"/>
      <c r="FR173" s="420"/>
      <c r="FS173" s="420"/>
      <c r="FT173" s="420"/>
      <c r="FU173" s="420"/>
      <c r="FV173" s="420"/>
      <c r="FW173" s="420"/>
      <c r="FX173" s="420"/>
      <c r="FY173" s="420"/>
      <c r="FZ173" s="420"/>
      <c r="GA173" s="420"/>
      <c r="GB173" s="420"/>
      <c r="GC173" s="420"/>
      <c r="GD173" s="420"/>
      <c r="GE173" s="420"/>
      <c r="GF173" s="420"/>
      <c r="GG173" s="420"/>
      <c r="GH173" s="420"/>
      <c r="GI173" s="420"/>
      <c r="GJ173" s="420"/>
      <c r="GK173" s="420"/>
      <c r="GL173" s="420"/>
      <c r="GM173" s="420"/>
      <c r="GN173" s="420"/>
      <c r="GO173" s="420"/>
      <c r="GP173" s="420"/>
      <c r="GQ173" s="420"/>
      <c r="GR173" s="420"/>
      <c r="GS173" s="420"/>
      <c r="GT173" s="420"/>
      <c r="GU173" s="420"/>
      <c r="GV173" s="420"/>
      <c r="GW173" s="420"/>
      <c r="GX173" s="420"/>
      <c r="GY173" s="420"/>
      <c r="GZ173" s="420"/>
      <c r="HA173" s="420"/>
      <c r="HB173" s="420"/>
      <c r="HC173" s="420"/>
      <c r="HD173" s="420"/>
      <c r="HE173" s="420"/>
      <c r="HF173" s="420"/>
      <c r="HG173" s="420"/>
      <c r="HH173" s="420"/>
      <c r="HI173" s="420"/>
      <c r="HJ173" s="420"/>
      <c r="HK173" s="420"/>
      <c r="HL173" s="420"/>
      <c r="HM173" s="420"/>
      <c r="HN173" s="420"/>
      <c r="HO173" s="420"/>
      <c r="HP173" s="420"/>
      <c r="HQ173" s="420"/>
      <c r="HR173" s="420"/>
      <c r="HS173" s="420"/>
      <c r="HT173" s="420"/>
      <c r="HU173" s="420"/>
      <c r="HV173" s="420"/>
      <c r="HW173" s="420"/>
      <c r="HX173" s="420"/>
      <c r="HY173" s="420"/>
      <c r="HZ173" s="420"/>
      <c r="IA173" s="420"/>
      <c r="IB173" s="420"/>
      <c r="IC173" s="420"/>
      <c r="ID173" s="420"/>
      <c r="IE173" s="420"/>
      <c r="IF173" s="420"/>
      <c r="IG173" s="420"/>
      <c r="IH173" s="420"/>
      <c r="II173" s="420"/>
      <c r="IJ173" s="420"/>
      <c r="IK173" s="420"/>
      <c r="IL173" s="420"/>
      <c r="IM173" s="420"/>
      <c r="IN173" s="420"/>
      <c r="IO173" s="420"/>
      <c r="IP173" s="420"/>
      <c r="IQ173" s="420"/>
      <c r="IR173" s="420"/>
      <c r="IS173" s="420"/>
      <c r="IT173" s="420"/>
      <c r="IU173" s="420"/>
      <c r="IV173" s="420"/>
    </row>
    <row r="174" spans="1:256" s="482" customFormat="1" ht="15.75" x14ac:dyDescent="0.25">
      <c r="A174" s="428"/>
      <c r="B174" s="429" t="s">
        <v>232</v>
      </c>
      <c r="C174" s="429"/>
      <c r="D174" s="429"/>
      <c r="E174" s="429"/>
      <c r="F174" s="429"/>
      <c r="G174" s="429"/>
      <c r="H174" s="429"/>
      <c r="I174" s="429"/>
      <c r="J174" s="429"/>
      <c r="K174" s="429"/>
      <c r="L174" s="429"/>
      <c r="M174" s="429"/>
      <c r="N174" s="429"/>
      <c r="O174" s="429"/>
      <c r="P174" s="429"/>
      <c r="Q174" s="429"/>
      <c r="R174" s="429"/>
      <c r="S174" s="429"/>
      <c r="T174" s="429"/>
      <c r="U174" s="429"/>
      <c r="V174" s="473">
        <f>+V172-V173</f>
        <v>0</v>
      </c>
      <c r="W174" s="432"/>
      <c r="X174" s="419"/>
      <c r="Y174" s="420"/>
      <c r="Z174" s="420"/>
      <c r="AA174" s="420"/>
      <c r="AB174" s="420"/>
      <c r="AC174" s="420"/>
      <c r="AD174" s="420"/>
      <c r="AE174" s="420"/>
      <c r="AF174" s="420"/>
      <c r="AG174" s="420"/>
      <c r="AH174" s="420"/>
      <c r="AI174" s="420"/>
      <c r="AJ174" s="420"/>
      <c r="AK174" s="420"/>
      <c r="AL174" s="420"/>
      <c r="AM174" s="420"/>
      <c r="AN174" s="420"/>
      <c r="AO174" s="420"/>
      <c r="AP174" s="420"/>
      <c r="AQ174" s="420"/>
      <c r="AR174" s="420"/>
      <c r="AS174" s="420"/>
      <c r="AT174" s="420"/>
      <c r="AU174" s="420"/>
      <c r="AV174" s="420"/>
      <c r="AW174" s="420"/>
      <c r="AX174" s="420"/>
      <c r="AY174" s="420"/>
      <c r="AZ174" s="420"/>
      <c r="BA174" s="420"/>
      <c r="BB174" s="420"/>
      <c r="BC174" s="420"/>
      <c r="BD174" s="420"/>
      <c r="BE174" s="420"/>
      <c r="BF174" s="420"/>
      <c r="BG174" s="420"/>
      <c r="BH174" s="420"/>
      <c r="BI174" s="420"/>
      <c r="BJ174" s="420"/>
      <c r="BK174" s="420"/>
      <c r="BL174" s="420"/>
      <c r="BM174" s="420"/>
      <c r="BN174" s="420"/>
      <c r="BO174" s="420"/>
      <c r="BP174" s="420"/>
      <c r="BQ174" s="420"/>
      <c r="BR174" s="420"/>
      <c r="BS174" s="420"/>
      <c r="BT174" s="420"/>
      <c r="BU174" s="420"/>
      <c r="BV174" s="420"/>
      <c r="BW174" s="420"/>
      <c r="BX174" s="420"/>
      <c r="BY174" s="420"/>
      <c r="BZ174" s="420"/>
      <c r="CA174" s="420"/>
      <c r="CB174" s="420"/>
      <c r="CC174" s="420"/>
      <c r="CD174" s="420"/>
      <c r="CE174" s="420"/>
      <c r="CF174" s="420"/>
      <c r="CG174" s="420"/>
      <c r="CH174" s="420"/>
      <c r="CI174" s="420"/>
      <c r="CJ174" s="420"/>
      <c r="CK174" s="420"/>
      <c r="CL174" s="420"/>
      <c r="CM174" s="420"/>
      <c r="CN174" s="420"/>
      <c r="CO174" s="420"/>
      <c r="CP174" s="420"/>
      <c r="CQ174" s="420"/>
      <c r="CR174" s="420"/>
      <c r="CS174" s="420"/>
      <c r="CT174" s="420"/>
      <c r="CU174" s="420"/>
      <c r="CV174" s="420"/>
      <c r="CW174" s="420"/>
      <c r="CX174" s="420"/>
      <c r="CY174" s="420"/>
      <c r="CZ174" s="420"/>
      <c r="DA174" s="420"/>
      <c r="DB174" s="420"/>
      <c r="DC174" s="420"/>
      <c r="DD174" s="420"/>
      <c r="DE174" s="420"/>
      <c r="DF174" s="420"/>
      <c r="DG174" s="420"/>
      <c r="DH174" s="420"/>
      <c r="DI174" s="420"/>
      <c r="DJ174" s="420"/>
      <c r="DK174" s="420"/>
      <c r="DL174" s="420"/>
      <c r="DM174" s="420"/>
      <c r="DN174" s="420"/>
      <c r="DO174" s="420"/>
      <c r="DP174" s="420"/>
      <c r="DQ174" s="420"/>
      <c r="DR174" s="420"/>
      <c r="DS174" s="420"/>
      <c r="DT174" s="420"/>
      <c r="DU174" s="420"/>
      <c r="DV174" s="420"/>
      <c r="DW174" s="420"/>
      <c r="DX174" s="420"/>
      <c r="DY174" s="420"/>
      <c r="DZ174" s="420"/>
      <c r="EA174" s="420"/>
      <c r="EB174" s="420"/>
      <c r="EC174" s="420"/>
      <c r="ED174" s="420"/>
      <c r="EE174" s="420"/>
      <c r="EF174" s="420"/>
      <c r="EG174" s="420"/>
      <c r="EH174" s="420"/>
      <c r="EI174" s="420"/>
      <c r="EJ174" s="420"/>
      <c r="EK174" s="420"/>
      <c r="EL174" s="420"/>
      <c r="EM174" s="420"/>
      <c r="EN174" s="420"/>
      <c r="EO174" s="420"/>
      <c r="EP174" s="420"/>
      <c r="EQ174" s="420"/>
      <c r="ER174" s="420"/>
      <c r="ES174" s="420"/>
      <c r="ET174" s="420"/>
      <c r="EU174" s="420"/>
      <c r="EV174" s="420"/>
      <c r="EW174" s="420"/>
      <c r="EX174" s="420"/>
      <c r="EY174" s="420"/>
      <c r="EZ174" s="420"/>
      <c r="FA174" s="420"/>
      <c r="FB174" s="420"/>
      <c r="FC174" s="420"/>
      <c r="FD174" s="420"/>
      <c r="FE174" s="420"/>
      <c r="FF174" s="420"/>
      <c r="FG174" s="420"/>
      <c r="FH174" s="420"/>
      <c r="FI174" s="420"/>
      <c r="FJ174" s="420"/>
      <c r="FK174" s="420"/>
      <c r="FL174" s="420"/>
      <c r="FM174" s="420"/>
      <c r="FN174" s="420"/>
      <c r="FO174" s="420"/>
      <c r="FP174" s="420"/>
      <c r="FQ174" s="420"/>
      <c r="FR174" s="420"/>
      <c r="FS174" s="420"/>
      <c r="FT174" s="420"/>
      <c r="FU174" s="420"/>
      <c r="FV174" s="420"/>
      <c r="FW174" s="420"/>
      <c r="FX174" s="420"/>
      <c r="FY174" s="420"/>
      <c r="FZ174" s="420"/>
      <c r="GA174" s="420"/>
      <c r="GB174" s="420"/>
      <c r="GC174" s="420"/>
      <c r="GD174" s="420"/>
      <c r="GE174" s="420"/>
      <c r="GF174" s="420"/>
      <c r="GG174" s="420"/>
      <c r="GH174" s="420"/>
      <c r="GI174" s="420"/>
      <c r="GJ174" s="420"/>
      <c r="GK174" s="420"/>
      <c r="GL174" s="420"/>
      <c r="GM174" s="420"/>
      <c r="GN174" s="420"/>
      <c r="GO174" s="420"/>
      <c r="GP174" s="420"/>
      <c r="GQ174" s="420"/>
      <c r="GR174" s="420"/>
      <c r="GS174" s="420"/>
      <c r="GT174" s="420"/>
      <c r="GU174" s="420"/>
      <c r="GV174" s="420"/>
      <c r="GW174" s="420"/>
      <c r="GX174" s="420"/>
      <c r="GY174" s="420"/>
      <c r="GZ174" s="420"/>
      <c r="HA174" s="420"/>
      <c r="HB174" s="420"/>
      <c r="HC174" s="420"/>
      <c r="HD174" s="420"/>
      <c r="HE174" s="420"/>
      <c r="HF174" s="420"/>
      <c r="HG174" s="420"/>
      <c r="HH174" s="420"/>
      <c r="HI174" s="420"/>
      <c r="HJ174" s="420"/>
      <c r="HK174" s="420"/>
      <c r="HL174" s="420"/>
      <c r="HM174" s="420"/>
      <c r="HN174" s="420"/>
      <c r="HO174" s="420"/>
      <c r="HP174" s="420"/>
      <c r="HQ174" s="420"/>
      <c r="HR174" s="420"/>
      <c r="HS174" s="420"/>
      <c r="HT174" s="420"/>
      <c r="HU174" s="420"/>
      <c r="HV174" s="420"/>
      <c r="HW174" s="420"/>
      <c r="HX174" s="420"/>
      <c r="HY174" s="420"/>
      <c r="HZ174" s="420"/>
      <c r="IA174" s="420"/>
      <c r="IB174" s="420"/>
      <c r="IC174" s="420"/>
      <c r="ID174" s="420"/>
      <c r="IE174" s="420"/>
      <c r="IF174" s="420"/>
      <c r="IG174" s="420"/>
      <c r="IH174" s="420"/>
      <c r="II174" s="420"/>
      <c r="IJ174" s="420"/>
      <c r="IK174" s="420"/>
      <c r="IL174" s="420"/>
      <c r="IM174" s="420"/>
      <c r="IN174" s="420"/>
      <c r="IO174" s="420"/>
      <c r="IP174" s="420"/>
      <c r="IQ174" s="420"/>
      <c r="IR174" s="420"/>
      <c r="IS174" s="420"/>
      <c r="IT174" s="420"/>
      <c r="IU174" s="420"/>
      <c r="IV174" s="420"/>
    </row>
    <row r="175" spans="1:256" s="163" customFormat="1" ht="16.5" thickBot="1" x14ac:dyDescent="0.3">
      <c r="A175" s="197"/>
      <c r="B175" s="212"/>
      <c r="C175" s="212"/>
      <c r="D175" s="212"/>
      <c r="E175" s="212"/>
      <c r="F175" s="212"/>
      <c r="G175" s="212"/>
      <c r="H175" s="212"/>
      <c r="I175" s="212"/>
      <c r="J175" s="212"/>
      <c r="K175" s="212"/>
      <c r="L175" s="212"/>
      <c r="M175" s="212"/>
      <c r="N175" s="212"/>
      <c r="O175" s="212"/>
      <c r="P175" s="212"/>
      <c r="Q175" s="212"/>
      <c r="R175" s="212"/>
      <c r="S175" s="212"/>
      <c r="T175" s="212"/>
      <c r="U175" s="212"/>
      <c r="V175" s="344"/>
      <c r="W175" s="212"/>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4" customFormat="1" ht="15.75" x14ac:dyDescent="0.25">
      <c r="A176" s="179"/>
      <c r="B176" s="180"/>
      <c r="C176" s="180"/>
      <c r="D176" s="180"/>
      <c r="E176" s="180"/>
      <c r="F176" s="180"/>
      <c r="G176" s="180"/>
      <c r="H176" s="180"/>
      <c r="I176" s="180"/>
      <c r="J176" s="180"/>
      <c r="K176" s="180"/>
      <c r="L176" s="180"/>
      <c r="M176" s="180"/>
      <c r="N176" s="180"/>
      <c r="O176" s="180"/>
      <c r="P176" s="180"/>
      <c r="Q176" s="180"/>
      <c r="R176" s="180"/>
      <c r="S176" s="180"/>
      <c r="T176" s="180"/>
      <c r="U176" s="180"/>
      <c r="V176" s="201"/>
      <c r="W176" s="180"/>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4" ht="15.75" x14ac:dyDescent="0.25">
      <c r="A177" s="181"/>
      <c r="B177" s="531" t="s">
        <v>56</v>
      </c>
      <c r="C177" s="183"/>
      <c r="D177" s="183"/>
      <c r="E177" s="183"/>
      <c r="F177" s="183"/>
      <c r="G177" s="183"/>
      <c r="H177" s="183"/>
      <c r="I177" s="183"/>
      <c r="J177" s="183"/>
      <c r="K177" s="183"/>
      <c r="L177" s="183"/>
      <c r="M177" s="183"/>
      <c r="N177" s="183"/>
      <c r="O177" s="183"/>
      <c r="P177" s="183"/>
      <c r="Q177" s="183"/>
      <c r="R177" s="183"/>
      <c r="S177" s="183"/>
      <c r="T177" s="183"/>
      <c r="U177" s="183"/>
      <c r="V177" s="202"/>
      <c r="W177" s="183"/>
      <c r="X177" s="5"/>
    </row>
    <row r="178" spans="1:24" ht="15.75" x14ac:dyDescent="0.25">
      <c r="A178" s="181"/>
      <c r="B178" s="191"/>
      <c r="C178" s="183"/>
      <c r="D178" s="183"/>
      <c r="E178" s="183"/>
      <c r="F178" s="183"/>
      <c r="G178" s="183"/>
      <c r="H178" s="183"/>
      <c r="I178" s="183"/>
      <c r="J178" s="183"/>
      <c r="K178" s="183"/>
      <c r="L178" s="183"/>
      <c r="M178" s="183"/>
      <c r="N178" s="183"/>
      <c r="O178" s="183"/>
      <c r="P178" s="183"/>
      <c r="Q178" s="183"/>
      <c r="R178" s="183"/>
      <c r="S178" s="183"/>
      <c r="T178" s="183"/>
      <c r="U178" s="183"/>
      <c r="V178" s="202"/>
      <c r="W178" s="183"/>
      <c r="X178" s="5"/>
    </row>
    <row r="179" spans="1:24" s="420" customFormat="1" ht="15.75" x14ac:dyDescent="0.25">
      <c r="A179" s="428"/>
      <c r="B179" s="429" t="s">
        <v>57</v>
      </c>
      <c r="C179" s="429"/>
      <c r="D179" s="429"/>
      <c r="E179" s="429"/>
      <c r="F179" s="429"/>
      <c r="G179" s="429"/>
      <c r="H179" s="429"/>
      <c r="I179" s="429"/>
      <c r="J179" s="429"/>
      <c r="K179" s="429"/>
      <c r="L179" s="429"/>
      <c r="M179" s="429"/>
      <c r="N179" s="429"/>
      <c r="O179" s="429"/>
      <c r="P179" s="429"/>
      <c r="Q179" s="429"/>
      <c r="R179" s="429"/>
      <c r="S179" s="429"/>
      <c r="T179" s="429"/>
      <c r="U179" s="429"/>
      <c r="V179" s="473">
        <f>V71</f>
        <v>633581</v>
      </c>
      <c r="W179" s="432"/>
      <c r="X179" s="419"/>
    </row>
    <row r="180" spans="1:24" s="420" customFormat="1" ht="15.75" x14ac:dyDescent="0.25">
      <c r="A180" s="428"/>
      <c r="B180" s="429" t="s">
        <v>58</v>
      </c>
      <c r="C180" s="429"/>
      <c r="D180" s="429"/>
      <c r="E180" s="429"/>
      <c r="F180" s="429"/>
      <c r="G180" s="429"/>
      <c r="H180" s="429"/>
      <c r="I180" s="429"/>
      <c r="J180" s="429"/>
      <c r="K180" s="429"/>
      <c r="L180" s="429"/>
      <c r="M180" s="429"/>
      <c r="N180" s="429"/>
      <c r="O180" s="429"/>
      <c r="P180" s="429"/>
      <c r="Q180" s="429"/>
      <c r="R180" s="429"/>
      <c r="S180" s="429"/>
      <c r="T180" s="429"/>
      <c r="U180" s="429"/>
      <c r="V180" s="473">
        <f>V84</f>
        <v>633581</v>
      </c>
      <c r="W180" s="432"/>
      <c r="X180" s="419"/>
    </row>
    <row r="181" spans="1:24" ht="16.5" thickBot="1" x14ac:dyDescent="0.3">
      <c r="A181" s="181"/>
      <c r="B181" s="212"/>
      <c r="C181" s="212"/>
      <c r="D181" s="212"/>
      <c r="E181" s="212"/>
      <c r="F181" s="212"/>
      <c r="G181" s="212"/>
      <c r="H181" s="212"/>
      <c r="I181" s="212"/>
      <c r="J181" s="212"/>
      <c r="K181" s="212"/>
      <c r="L181" s="212"/>
      <c r="M181" s="212"/>
      <c r="N181" s="212"/>
      <c r="O181" s="212"/>
      <c r="P181" s="212"/>
      <c r="Q181" s="212"/>
      <c r="R181" s="212"/>
      <c r="S181" s="212"/>
      <c r="T181" s="212"/>
      <c r="U181" s="212"/>
      <c r="V181" s="344"/>
      <c r="W181" s="212"/>
      <c r="X181" s="5"/>
    </row>
    <row r="182" spans="1:24" ht="15.75" x14ac:dyDescent="0.25">
      <c r="A182" s="179"/>
      <c r="B182" s="180"/>
      <c r="C182" s="180"/>
      <c r="D182" s="180"/>
      <c r="E182" s="180"/>
      <c r="F182" s="180"/>
      <c r="G182" s="180"/>
      <c r="H182" s="180"/>
      <c r="I182" s="180"/>
      <c r="J182" s="180"/>
      <c r="K182" s="180"/>
      <c r="L182" s="180"/>
      <c r="M182" s="180"/>
      <c r="N182" s="180"/>
      <c r="O182" s="180"/>
      <c r="P182" s="180"/>
      <c r="Q182" s="180"/>
      <c r="R182" s="180"/>
      <c r="S182" s="180"/>
      <c r="T182" s="180"/>
      <c r="U182" s="180"/>
      <c r="V182" s="201"/>
      <c r="W182" s="180"/>
      <c r="X182" s="5"/>
    </row>
    <row r="183" spans="1:24" s="522" customFormat="1" ht="15.75" x14ac:dyDescent="0.25">
      <c r="A183" s="525"/>
      <c r="B183" s="531" t="s">
        <v>59</v>
      </c>
      <c r="C183" s="529"/>
      <c r="D183" s="529"/>
      <c r="E183" s="529"/>
      <c r="F183" s="529"/>
      <c r="G183" s="529"/>
      <c r="H183" s="532"/>
      <c r="I183" s="532"/>
      <c r="J183" s="532"/>
      <c r="K183" s="532"/>
      <c r="L183" s="532"/>
      <c r="M183" s="532"/>
      <c r="N183" s="532"/>
      <c r="O183" s="532"/>
      <c r="P183" s="532"/>
      <c r="Q183" s="532"/>
      <c r="R183" s="532"/>
      <c r="S183" s="532" t="s">
        <v>101</v>
      </c>
      <c r="T183" s="532" t="s">
        <v>176</v>
      </c>
      <c r="U183" s="511"/>
      <c r="V183" s="533" t="s">
        <v>114</v>
      </c>
      <c r="W183" s="511"/>
      <c r="X183" s="521"/>
    </row>
    <row r="184" spans="1:24" s="420" customFormat="1" ht="15.75" x14ac:dyDescent="0.25">
      <c r="A184" s="428"/>
      <c r="B184" s="429" t="s">
        <v>60</v>
      </c>
      <c r="C184" s="429"/>
      <c r="D184" s="429"/>
      <c r="E184" s="429"/>
      <c r="F184" s="429"/>
      <c r="G184" s="429"/>
      <c r="H184" s="429"/>
      <c r="I184" s="429"/>
      <c r="J184" s="429"/>
      <c r="K184" s="429"/>
      <c r="L184" s="429"/>
      <c r="M184" s="429"/>
      <c r="N184" s="429"/>
      <c r="O184" s="429"/>
      <c r="P184" s="429"/>
      <c r="Q184" s="429"/>
      <c r="R184" s="429"/>
      <c r="S184" s="473">
        <f>+V34*0.16</f>
        <v>160181.28</v>
      </c>
      <c r="T184" s="452"/>
      <c r="U184" s="429"/>
      <c r="V184" s="473"/>
      <c r="W184" s="432"/>
      <c r="X184" s="419"/>
    </row>
    <row r="185" spans="1:24" s="420" customFormat="1" ht="15.75" x14ac:dyDescent="0.25">
      <c r="A185" s="428"/>
      <c r="B185" s="429" t="s">
        <v>61</v>
      </c>
      <c r="C185" s="429"/>
      <c r="D185" s="429"/>
      <c r="E185" s="429"/>
      <c r="F185" s="429"/>
      <c r="G185" s="429"/>
      <c r="H185" s="429"/>
      <c r="I185" s="429"/>
      <c r="J185" s="429"/>
      <c r="K185" s="429"/>
      <c r="L185" s="429"/>
      <c r="M185" s="429"/>
      <c r="N185" s="429"/>
      <c r="O185" s="429"/>
      <c r="P185" s="429"/>
      <c r="Q185" s="429"/>
      <c r="R185" s="429"/>
      <c r="S185" s="473">
        <f>+'Aug 17'!S187</f>
        <v>13312</v>
      </c>
      <c r="T185" s="473">
        <f>+'Aug 17'!T187</f>
        <v>6095</v>
      </c>
      <c r="U185" s="429"/>
      <c r="V185" s="473">
        <f>S185+T185</f>
        <v>19407</v>
      </c>
      <c r="W185" s="432"/>
      <c r="X185" s="419"/>
    </row>
    <row r="186" spans="1:24" s="420" customFormat="1" ht="15.75" x14ac:dyDescent="0.25">
      <c r="A186" s="428"/>
      <c r="B186" s="429" t="s">
        <v>62</v>
      </c>
      <c r="C186" s="429"/>
      <c r="D186" s="429"/>
      <c r="E186" s="429"/>
      <c r="F186" s="429"/>
      <c r="G186" s="429"/>
      <c r="H186" s="429"/>
      <c r="I186" s="429"/>
      <c r="J186" s="429"/>
      <c r="K186" s="429"/>
      <c r="L186" s="429"/>
      <c r="M186" s="429"/>
      <c r="N186" s="429"/>
      <c r="O186" s="429"/>
      <c r="P186" s="429"/>
      <c r="Q186" s="429"/>
      <c r="R186" s="429"/>
      <c r="S186" s="472">
        <v>0</v>
      </c>
      <c r="T186" s="472">
        <v>3</v>
      </c>
      <c r="U186" s="429"/>
      <c r="V186" s="473">
        <f>S186+T186</f>
        <v>3</v>
      </c>
      <c r="W186" s="432"/>
      <c r="X186" s="419"/>
    </row>
    <row r="187" spans="1:24" s="420" customFormat="1" ht="15.75" x14ac:dyDescent="0.25">
      <c r="A187" s="428"/>
      <c r="B187" s="429" t="s">
        <v>63</v>
      </c>
      <c r="C187" s="429"/>
      <c r="D187" s="429"/>
      <c r="E187" s="429"/>
      <c r="F187" s="429"/>
      <c r="G187" s="429"/>
      <c r="H187" s="429"/>
      <c r="I187" s="429"/>
      <c r="J187" s="429"/>
      <c r="K187" s="429"/>
      <c r="L187" s="429"/>
      <c r="M187" s="429"/>
      <c r="N187" s="429"/>
      <c r="O187" s="429"/>
      <c r="P187" s="429"/>
      <c r="Q187" s="429"/>
      <c r="R187" s="429"/>
      <c r="S187" s="473">
        <f>S185+S186</f>
        <v>13312</v>
      </c>
      <c r="T187" s="473">
        <f>T186+T185</f>
        <v>6098</v>
      </c>
      <c r="U187" s="429"/>
      <c r="V187" s="473">
        <f>S187+T187</f>
        <v>19410</v>
      </c>
      <c r="W187" s="432"/>
      <c r="X187" s="419"/>
    </row>
    <row r="188" spans="1:24" s="420" customFormat="1" ht="15.75" x14ac:dyDescent="0.25">
      <c r="A188" s="428"/>
      <c r="B188" s="429" t="s">
        <v>64</v>
      </c>
      <c r="C188" s="429"/>
      <c r="D188" s="429"/>
      <c r="E188" s="429"/>
      <c r="F188" s="429"/>
      <c r="G188" s="429"/>
      <c r="H188" s="429"/>
      <c r="I188" s="429"/>
      <c r="J188" s="429"/>
      <c r="K188" s="429"/>
      <c r="L188" s="429"/>
      <c r="M188" s="429"/>
      <c r="N188" s="429"/>
      <c r="O188" s="429"/>
      <c r="P188" s="429"/>
      <c r="Q188" s="429"/>
      <c r="R188" s="429"/>
      <c r="S188" s="473">
        <f>S184-S187-T187</f>
        <v>140771.28</v>
      </c>
      <c r="T188" s="452"/>
      <c r="U188" s="429"/>
      <c r="V188" s="473"/>
      <c r="W188" s="432"/>
      <c r="X188" s="419"/>
    </row>
    <row r="189" spans="1:24" ht="16.5" thickBot="1" x14ac:dyDescent="0.3">
      <c r="A189" s="181"/>
      <c r="B189" s="212"/>
      <c r="C189" s="212"/>
      <c r="D189" s="212"/>
      <c r="E189" s="212"/>
      <c r="F189" s="212"/>
      <c r="G189" s="212"/>
      <c r="H189" s="212"/>
      <c r="I189" s="212"/>
      <c r="J189" s="212"/>
      <c r="K189" s="212"/>
      <c r="L189" s="212"/>
      <c r="M189" s="212"/>
      <c r="N189" s="212"/>
      <c r="O189" s="212"/>
      <c r="P189" s="212"/>
      <c r="Q189" s="212"/>
      <c r="R189" s="212"/>
      <c r="S189" s="212"/>
      <c r="T189" s="212"/>
      <c r="U189" s="212"/>
      <c r="V189" s="344"/>
      <c r="W189" s="212"/>
      <c r="X189" s="5"/>
    </row>
    <row r="190" spans="1:24" ht="15.75" x14ac:dyDescent="0.25">
      <c r="A190" s="179"/>
      <c r="B190" s="180"/>
      <c r="C190" s="180"/>
      <c r="D190" s="180"/>
      <c r="E190" s="180"/>
      <c r="F190" s="180"/>
      <c r="G190" s="180"/>
      <c r="H190" s="180"/>
      <c r="I190" s="180"/>
      <c r="J190" s="180"/>
      <c r="K190" s="180"/>
      <c r="L190" s="180"/>
      <c r="M190" s="180"/>
      <c r="N190" s="180"/>
      <c r="O190" s="180"/>
      <c r="P190" s="180"/>
      <c r="Q190" s="180"/>
      <c r="R190" s="180"/>
      <c r="S190" s="180"/>
      <c r="T190" s="180"/>
      <c r="U190" s="180"/>
      <c r="V190" s="201"/>
      <c r="W190" s="180"/>
      <c r="X190" s="5"/>
    </row>
    <row r="191" spans="1:24" ht="15.75" x14ac:dyDescent="0.25">
      <c r="A191" s="181"/>
      <c r="B191" s="531" t="s">
        <v>65</v>
      </c>
      <c r="C191" s="183"/>
      <c r="D191" s="183"/>
      <c r="E191" s="183"/>
      <c r="F191" s="183"/>
      <c r="G191" s="183"/>
      <c r="H191" s="183"/>
      <c r="I191" s="183"/>
      <c r="J191" s="183"/>
      <c r="K191" s="183"/>
      <c r="L191" s="183"/>
      <c r="M191" s="183"/>
      <c r="N191" s="183"/>
      <c r="O191" s="183"/>
      <c r="P191" s="183"/>
      <c r="Q191" s="183"/>
      <c r="R191" s="183"/>
      <c r="S191" s="183"/>
      <c r="T191" s="183"/>
      <c r="U191" s="183"/>
      <c r="V191" s="217"/>
      <c r="W191" s="183"/>
      <c r="X191" s="5"/>
    </row>
    <row r="192" spans="1:24" s="420" customFormat="1" ht="15.75" x14ac:dyDescent="0.25">
      <c r="A192" s="428"/>
      <c r="B192" s="429" t="s">
        <v>66</v>
      </c>
      <c r="C192" s="429"/>
      <c r="D192" s="429"/>
      <c r="E192" s="429"/>
      <c r="F192" s="429"/>
      <c r="G192" s="429"/>
      <c r="H192" s="429"/>
      <c r="I192" s="429"/>
      <c r="J192" s="429"/>
      <c r="K192" s="429"/>
      <c r="L192" s="429"/>
      <c r="M192" s="429"/>
      <c r="N192" s="429"/>
      <c r="O192" s="429"/>
      <c r="P192" s="429"/>
      <c r="Q192" s="429"/>
      <c r="R192" s="429"/>
      <c r="S192" s="429"/>
      <c r="T192" s="429"/>
      <c r="U192" s="429"/>
      <c r="V192" s="481">
        <f>(V101+V103+V104+V105+V106)/-(V107+V108)</f>
        <v>5.6403508771929829</v>
      </c>
      <c r="W192" s="432" t="s">
        <v>115</v>
      </c>
      <c r="X192" s="419"/>
    </row>
    <row r="193" spans="1:24" s="420" customFormat="1" ht="15.75" x14ac:dyDescent="0.25">
      <c r="A193" s="428"/>
      <c r="B193" s="429" t="s">
        <v>67</v>
      </c>
      <c r="C193" s="429"/>
      <c r="D193" s="429"/>
      <c r="E193" s="429"/>
      <c r="F193" s="429"/>
      <c r="G193" s="429"/>
      <c r="H193" s="429"/>
      <c r="I193" s="429"/>
      <c r="J193" s="429"/>
      <c r="K193" s="429"/>
      <c r="L193" s="429"/>
      <c r="M193" s="429"/>
      <c r="N193" s="429"/>
      <c r="O193" s="429"/>
      <c r="P193" s="429"/>
      <c r="Q193" s="429"/>
      <c r="R193" s="429"/>
      <c r="S193" s="429"/>
      <c r="T193" s="429"/>
      <c r="U193" s="429"/>
      <c r="V193" s="483">
        <v>2.17</v>
      </c>
      <c r="W193" s="432" t="s">
        <v>115</v>
      </c>
      <c r="X193" s="419"/>
    </row>
    <row r="194" spans="1:24" s="420" customFormat="1" ht="15.75" x14ac:dyDescent="0.25">
      <c r="A194" s="428"/>
      <c r="B194" s="429" t="s">
        <v>68</v>
      </c>
      <c r="C194" s="429"/>
      <c r="D194" s="429"/>
      <c r="E194" s="429"/>
      <c r="F194" s="429"/>
      <c r="G194" s="429"/>
      <c r="H194" s="429"/>
      <c r="I194" s="429"/>
      <c r="J194" s="429"/>
      <c r="K194" s="429"/>
      <c r="L194" s="429"/>
      <c r="M194" s="429"/>
      <c r="N194" s="429"/>
      <c r="O194" s="429"/>
      <c r="P194" s="429"/>
      <c r="Q194" s="429"/>
      <c r="R194" s="429"/>
      <c r="S194" s="429"/>
      <c r="T194" s="429"/>
      <c r="U194" s="429"/>
      <c r="V194" s="481">
        <f>(V101+V103+V104+V105+V106+V107+V108)/-(V109+V110)</f>
        <v>18.346820809248555</v>
      </c>
      <c r="W194" s="432" t="s">
        <v>115</v>
      </c>
      <c r="X194" s="419"/>
    </row>
    <row r="195" spans="1:24" s="420" customFormat="1" ht="15.75" x14ac:dyDescent="0.25">
      <c r="A195" s="428"/>
      <c r="B195" s="429" t="s">
        <v>69</v>
      </c>
      <c r="C195" s="429"/>
      <c r="D195" s="429"/>
      <c r="E195" s="429"/>
      <c r="F195" s="429"/>
      <c r="G195" s="429"/>
      <c r="H195" s="429"/>
      <c r="I195" s="429"/>
      <c r="J195" s="429"/>
      <c r="K195" s="429"/>
      <c r="L195" s="429"/>
      <c r="M195" s="429"/>
      <c r="N195" s="429"/>
      <c r="O195" s="429"/>
      <c r="P195" s="429"/>
      <c r="Q195" s="429"/>
      <c r="R195" s="429"/>
      <c r="S195" s="429"/>
      <c r="T195" s="429"/>
      <c r="U195" s="429"/>
      <c r="V195" s="483">
        <v>9.9</v>
      </c>
      <c r="W195" s="432" t="s">
        <v>115</v>
      </c>
      <c r="X195" s="419"/>
    </row>
    <row r="196" spans="1:24" s="420" customFormat="1" ht="15.75" x14ac:dyDescent="0.25">
      <c r="A196" s="428"/>
      <c r="B196" s="429" t="s">
        <v>198</v>
      </c>
      <c r="C196" s="429"/>
      <c r="D196" s="429"/>
      <c r="E196" s="429"/>
      <c r="F196" s="429"/>
      <c r="G196" s="429"/>
      <c r="H196" s="429"/>
      <c r="I196" s="429"/>
      <c r="J196" s="429"/>
      <c r="K196" s="429"/>
      <c r="L196" s="429"/>
      <c r="M196" s="429"/>
      <c r="N196" s="429"/>
      <c r="O196" s="429"/>
      <c r="P196" s="429"/>
      <c r="Q196" s="429"/>
      <c r="R196" s="429"/>
      <c r="S196" s="429"/>
      <c r="T196" s="429"/>
      <c r="U196" s="429"/>
      <c r="V196" s="481">
        <f>(V101+V103+V104+V105+V106+V107+V108+V109+V110)/-(V111)</f>
        <v>10.312714776632303</v>
      </c>
      <c r="W196" s="432" t="s">
        <v>115</v>
      </c>
      <c r="X196" s="419"/>
    </row>
    <row r="197" spans="1:24" s="420" customFormat="1" ht="15.75" x14ac:dyDescent="0.25">
      <c r="A197" s="428"/>
      <c r="B197" s="429" t="s">
        <v>199</v>
      </c>
      <c r="C197" s="429"/>
      <c r="D197" s="429"/>
      <c r="E197" s="429"/>
      <c r="F197" s="429"/>
      <c r="G197" s="429"/>
      <c r="H197" s="429"/>
      <c r="I197" s="429"/>
      <c r="J197" s="429"/>
      <c r="K197" s="429"/>
      <c r="L197" s="429"/>
      <c r="M197" s="429"/>
      <c r="N197" s="429"/>
      <c r="O197" s="429"/>
      <c r="P197" s="429"/>
      <c r="Q197" s="429"/>
      <c r="R197" s="429"/>
      <c r="S197" s="429"/>
      <c r="T197" s="429"/>
      <c r="U197" s="429"/>
      <c r="V197" s="483">
        <v>7.11</v>
      </c>
      <c r="W197" s="432" t="s">
        <v>115</v>
      </c>
      <c r="X197" s="419"/>
    </row>
    <row r="198" spans="1:24" s="420" customFormat="1" ht="15.75" x14ac:dyDescent="0.25">
      <c r="A198" s="428"/>
      <c r="B198" s="429"/>
      <c r="C198" s="429"/>
      <c r="D198" s="429"/>
      <c r="E198" s="429"/>
      <c r="F198" s="429"/>
      <c r="G198" s="429"/>
      <c r="H198" s="429"/>
      <c r="I198" s="429"/>
      <c r="J198" s="429"/>
      <c r="K198" s="429"/>
      <c r="L198" s="429"/>
      <c r="M198" s="429"/>
      <c r="N198" s="429"/>
      <c r="O198" s="429"/>
      <c r="P198" s="429"/>
      <c r="Q198" s="429"/>
      <c r="R198" s="429"/>
      <c r="S198" s="429"/>
      <c r="T198" s="429"/>
      <c r="U198" s="429"/>
      <c r="V198" s="429"/>
      <c r="W198" s="432"/>
      <c r="X198" s="419"/>
    </row>
    <row r="199" spans="1:24" s="420" customFormat="1" ht="15.75" x14ac:dyDescent="0.25">
      <c r="A199" s="416"/>
      <c r="B199" s="462"/>
      <c r="C199" s="462"/>
      <c r="D199" s="462"/>
      <c r="E199" s="462"/>
      <c r="F199" s="462"/>
      <c r="G199" s="462"/>
      <c r="H199" s="462"/>
      <c r="I199" s="462"/>
      <c r="J199" s="462"/>
      <c r="K199" s="462"/>
      <c r="L199" s="462"/>
      <c r="M199" s="462"/>
      <c r="N199" s="462"/>
      <c r="O199" s="462"/>
      <c r="P199" s="462"/>
      <c r="Q199" s="462"/>
      <c r="R199" s="462"/>
      <c r="S199" s="462"/>
      <c r="T199" s="462"/>
      <c r="U199" s="462"/>
      <c r="V199" s="462"/>
      <c r="W199" s="462"/>
      <c r="X199" s="419"/>
    </row>
    <row r="200" spans="1:24" s="420" customFormat="1" ht="15.75" x14ac:dyDescent="0.25">
      <c r="A200" s="416"/>
      <c r="B200" s="417"/>
      <c r="C200" s="417"/>
      <c r="D200" s="417"/>
      <c r="E200" s="417"/>
      <c r="F200" s="417"/>
      <c r="G200" s="417"/>
      <c r="H200" s="417"/>
      <c r="I200" s="417"/>
      <c r="J200" s="417"/>
      <c r="K200" s="417"/>
      <c r="L200" s="417"/>
      <c r="M200" s="417"/>
      <c r="N200" s="417"/>
      <c r="O200" s="417"/>
      <c r="P200" s="417"/>
      <c r="Q200" s="417"/>
      <c r="R200" s="417"/>
      <c r="S200" s="417"/>
      <c r="T200" s="417"/>
      <c r="U200" s="417"/>
      <c r="V200" s="417"/>
      <c r="W200" s="417"/>
      <c r="X200" s="419"/>
    </row>
    <row r="201" spans="1:24" s="420" customFormat="1" ht="19.5" thickBot="1" x14ac:dyDescent="0.35">
      <c r="A201" s="467"/>
      <c r="B201" s="468" t="str">
        <f>B135</f>
        <v>PM15 INVESTOR REPORT QUARTER ENDING NOVEMBER 2017</v>
      </c>
      <c r="C201" s="484"/>
      <c r="D201" s="484"/>
      <c r="E201" s="484"/>
      <c r="F201" s="484"/>
      <c r="G201" s="484"/>
      <c r="H201" s="484"/>
      <c r="I201" s="484"/>
      <c r="J201" s="484"/>
      <c r="K201" s="484"/>
      <c r="L201" s="484"/>
      <c r="M201" s="484"/>
      <c r="N201" s="484"/>
      <c r="O201" s="484"/>
      <c r="P201" s="484"/>
      <c r="Q201" s="484"/>
      <c r="R201" s="484"/>
      <c r="S201" s="484"/>
      <c r="T201" s="484"/>
      <c r="U201" s="484"/>
      <c r="V201" s="484"/>
      <c r="W201" s="485"/>
      <c r="X201" s="419"/>
    </row>
    <row r="202" spans="1:24" ht="15.75" x14ac:dyDescent="0.25">
      <c r="A202" s="551"/>
      <c r="B202" s="552" t="s">
        <v>70</v>
      </c>
      <c r="C202" s="555"/>
      <c r="D202" s="555"/>
      <c r="E202" s="555"/>
      <c r="F202" s="555"/>
      <c r="G202" s="556"/>
      <c r="H202" s="556"/>
      <c r="I202" s="556"/>
      <c r="J202" s="556"/>
      <c r="K202" s="556"/>
      <c r="L202" s="556"/>
      <c r="M202" s="556"/>
      <c r="N202" s="556"/>
      <c r="O202" s="556"/>
      <c r="P202" s="556"/>
      <c r="Q202" s="556"/>
      <c r="R202" s="556"/>
      <c r="S202" s="556"/>
      <c r="T202" s="556">
        <v>43069</v>
      </c>
      <c r="U202" s="553"/>
      <c r="V202" s="553"/>
      <c r="W202" s="553"/>
      <c r="X202" s="5"/>
    </row>
    <row r="203" spans="1:24" ht="15.75" x14ac:dyDescent="0.25">
      <c r="A203" s="218"/>
      <c r="B203" s="219"/>
      <c r="C203" s="220"/>
      <c r="D203" s="220"/>
      <c r="E203" s="220"/>
      <c r="F203" s="220"/>
      <c r="G203" s="221"/>
      <c r="H203" s="221"/>
      <c r="I203" s="221"/>
      <c r="J203" s="221"/>
      <c r="K203" s="221"/>
      <c r="L203" s="221"/>
      <c r="M203" s="221"/>
      <c r="N203" s="221"/>
      <c r="O203" s="221"/>
      <c r="P203" s="221"/>
      <c r="Q203" s="221"/>
      <c r="R203" s="221"/>
      <c r="S203" s="221"/>
      <c r="T203" s="221"/>
      <c r="U203" s="183"/>
      <c r="V203" s="183"/>
      <c r="W203" s="183"/>
      <c r="X203" s="5"/>
    </row>
    <row r="204" spans="1:24" s="420" customFormat="1" ht="15.75" x14ac:dyDescent="0.25">
      <c r="A204" s="428"/>
      <c r="B204" s="429" t="s">
        <v>71</v>
      </c>
      <c r="C204" s="486"/>
      <c r="D204" s="486"/>
      <c r="E204" s="486"/>
      <c r="F204" s="486"/>
      <c r="G204" s="456"/>
      <c r="H204" s="456"/>
      <c r="I204" s="456"/>
      <c r="J204" s="456"/>
      <c r="K204" s="456"/>
      <c r="L204" s="456"/>
      <c r="M204" s="456"/>
      <c r="N204" s="456"/>
      <c r="O204" s="456"/>
      <c r="P204" s="456"/>
      <c r="Q204" s="456"/>
      <c r="R204" s="456"/>
      <c r="S204" s="456"/>
      <c r="T204" s="449">
        <v>5.3830000000000003E-2</v>
      </c>
      <c r="U204" s="429"/>
      <c r="V204" s="429"/>
      <c r="W204" s="432"/>
      <c r="X204" s="419"/>
    </row>
    <row r="205" spans="1:24" s="420" customFormat="1" ht="15.75" x14ac:dyDescent="0.25">
      <c r="A205" s="428"/>
      <c r="B205" s="429" t="s">
        <v>151</v>
      </c>
      <c r="C205" s="486"/>
      <c r="D205" s="486"/>
      <c r="E205" s="486"/>
      <c r="F205" s="486"/>
      <c r="G205" s="456"/>
      <c r="H205" s="456"/>
      <c r="I205" s="456"/>
      <c r="J205" s="456"/>
      <c r="K205" s="456"/>
      <c r="L205" s="456"/>
      <c r="M205" s="456"/>
      <c r="N205" s="456"/>
      <c r="O205" s="456"/>
      <c r="P205" s="456"/>
      <c r="Q205" s="456"/>
      <c r="R205" s="456"/>
      <c r="S205" s="456"/>
      <c r="T205" s="449">
        <v>6.25E-2</v>
      </c>
      <c r="U205" s="429"/>
      <c r="V205" s="429"/>
      <c r="W205" s="432"/>
      <c r="X205" s="419"/>
    </row>
    <row r="206" spans="1:24" s="420" customFormat="1" ht="15.75" x14ac:dyDescent="0.25">
      <c r="A206" s="428"/>
      <c r="B206" s="429" t="s">
        <v>72</v>
      </c>
      <c r="C206" s="486"/>
      <c r="D206" s="486"/>
      <c r="E206" s="486"/>
      <c r="F206" s="486"/>
      <c r="G206" s="456"/>
      <c r="H206" s="456"/>
      <c r="I206" s="456"/>
      <c r="J206" s="456"/>
      <c r="K206" s="456"/>
      <c r="L206" s="456"/>
      <c r="M206" s="456"/>
      <c r="N206" s="456"/>
      <c r="O206" s="456"/>
      <c r="P206" s="456"/>
      <c r="Q206" s="456"/>
      <c r="R206" s="456"/>
      <c r="S206" s="456"/>
      <c r="T206" s="449">
        <f>T204-T205</f>
        <v>-8.6699999999999972E-3</v>
      </c>
      <c r="U206" s="429"/>
      <c r="V206" s="429"/>
      <c r="W206" s="432"/>
      <c r="X206" s="419"/>
    </row>
    <row r="207" spans="1:24" s="420" customFormat="1" ht="15.75" x14ac:dyDescent="0.25">
      <c r="A207" s="428"/>
      <c r="B207" s="429" t="s">
        <v>73</v>
      </c>
      <c r="C207" s="486"/>
      <c r="D207" s="486"/>
      <c r="E207" s="486"/>
      <c r="F207" s="486"/>
      <c r="G207" s="456"/>
      <c r="H207" s="456"/>
      <c r="I207" s="456"/>
      <c r="J207" s="456"/>
      <c r="K207" s="456"/>
      <c r="L207" s="456"/>
      <c r="M207" s="456"/>
      <c r="N207" s="456"/>
      <c r="O207" s="456"/>
      <c r="P207" s="456"/>
      <c r="Q207" s="456"/>
      <c r="R207" s="456"/>
      <c r="S207" s="456"/>
      <c r="T207" s="449">
        <v>2.3109999999999999E-2</v>
      </c>
      <c r="U207" s="429"/>
      <c r="V207" s="429"/>
      <c r="W207" s="432"/>
      <c r="X207" s="419"/>
    </row>
    <row r="208" spans="1:24" s="420" customFormat="1" ht="15.75" x14ac:dyDescent="0.25">
      <c r="A208" s="428"/>
      <c r="B208" s="429" t="s">
        <v>218</v>
      </c>
      <c r="C208" s="486"/>
      <c r="D208" s="486"/>
      <c r="E208" s="486"/>
      <c r="F208" s="486"/>
      <c r="G208" s="456"/>
      <c r="H208" s="456"/>
      <c r="I208" s="456"/>
      <c r="J208" s="456"/>
      <c r="K208" s="456"/>
      <c r="L208" s="456"/>
      <c r="M208" s="456"/>
      <c r="N208" s="456"/>
      <c r="O208" s="456"/>
      <c r="P208" s="456"/>
      <c r="Q208" s="456"/>
      <c r="R208" s="456"/>
      <c r="S208" s="456"/>
      <c r="T208" s="449">
        <f>V43</f>
        <v>7.1418324918262333E-3</v>
      </c>
      <c r="U208" s="429"/>
      <c r="V208" s="429"/>
      <c r="W208" s="432"/>
      <c r="X208" s="419"/>
    </row>
    <row r="209" spans="1:24" s="420" customFormat="1" ht="15.75" x14ac:dyDescent="0.25">
      <c r="A209" s="428"/>
      <c r="B209" s="429" t="s">
        <v>74</v>
      </c>
      <c r="C209" s="486"/>
      <c r="D209" s="486"/>
      <c r="E209" s="486"/>
      <c r="F209" s="486"/>
      <c r="G209" s="456"/>
      <c r="H209" s="456"/>
      <c r="I209" s="456"/>
      <c r="J209" s="456"/>
      <c r="K209" s="456"/>
      <c r="L209" s="456"/>
      <c r="M209" s="456"/>
      <c r="N209" s="456"/>
      <c r="O209" s="456"/>
      <c r="P209" s="456"/>
      <c r="Q209" s="456"/>
      <c r="R209" s="456"/>
      <c r="S209" s="456"/>
      <c r="T209" s="449">
        <f>T207-T208</f>
        <v>1.5968167508173765E-2</v>
      </c>
      <c r="U209" s="429"/>
      <c r="V209" s="429"/>
      <c r="W209" s="432"/>
      <c r="X209" s="419"/>
    </row>
    <row r="210" spans="1:24" s="420" customFormat="1" ht="15.75" x14ac:dyDescent="0.25">
      <c r="A210" s="428"/>
      <c r="B210" s="429" t="s">
        <v>227</v>
      </c>
      <c r="C210" s="486"/>
      <c r="D210" s="486"/>
      <c r="E210" s="486"/>
      <c r="F210" s="486"/>
      <c r="G210" s="456"/>
      <c r="H210" s="456"/>
      <c r="I210" s="456"/>
      <c r="J210" s="456"/>
      <c r="K210" s="456"/>
      <c r="L210" s="456"/>
      <c r="M210" s="456"/>
      <c r="N210" s="456"/>
      <c r="O210" s="456"/>
      <c r="P210" s="456"/>
      <c r="Q210" s="456"/>
      <c r="R210" s="456"/>
      <c r="S210" s="456"/>
      <c r="T210" s="449">
        <f>V101/N71</f>
        <v>6.5010556077417436E-3</v>
      </c>
      <c r="U210" s="429"/>
      <c r="V210" s="429"/>
      <c r="W210" s="432"/>
      <c r="X210" s="419"/>
    </row>
    <row r="211" spans="1:24" s="420" customFormat="1" ht="15.75" x14ac:dyDescent="0.25">
      <c r="A211" s="428"/>
      <c r="B211" s="429" t="s">
        <v>207</v>
      </c>
      <c r="C211" s="486"/>
      <c r="D211" s="486"/>
      <c r="E211" s="486"/>
      <c r="F211" s="486"/>
      <c r="G211" s="456"/>
      <c r="H211" s="456"/>
      <c r="I211" s="456"/>
      <c r="J211" s="456"/>
      <c r="K211" s="456"/>
      <c r="L211" s="456"/>
      <c r="M211" s="456"/>
      <c r="N211" s="456"/>
      <c r="O211" s="456"/>
      <c r="P211" s="456"/>
      <c r="Q211" s="456"/>
      <c r="R211" s="456"/>
      <c r="S211" s="456"/>
      <c r="T211" s="487">
        <v>51105</v>
      </c>
      <c r="U211" s="429"/>
      <c r="V211" s="429"/>
      <c r="W211" s="432"/>
      <c r="X211" s="419"/>
    </row>
    <row r="212" spans="1:24" s="420" customFormat="1" ht="15.75" x14ac:dyDescent="0.25">
      <c r="A212" s="428"/>
      <c r="B212" s="429" t="s">
        <v>208</v>
      </c>
      <c r="C212" s="486"/>
      <c r="D212" s="486"/>
      <c r="E212" s="486"/>
      <c r="F212" s="486"/>
      <c r="G212" s="456"/>
      <c r="H212" s="456"/>
      <c r="I212" s="456"/>
      <c r="J212" s="456"/>
      <c r="K212" s="456"/>
      <c r="L212" s="456"/>
      <c r="M212" s="456"/>
      <c r="N212" s="456"/>
      <c r="O212" s="456"/>
      <c r="P212" s="456"/>
      <c r="Q212" s="456"/>
      <c r="R212" s="456"/>
      <c r="S212" s="456"/>
      <c r="T212" s="487">
        <v>51105</v>
      </c>
      <c r="U212" s="429"/>
      <c r="V212" s="429"/>
      <c r="W212" s="432"/>
      <c r="X212" s="419"/>
    </row>
    <row r="213" spans="1:24" s="420" customFormat="1" ht="15.75" x14ac:dyDescent="0.25">
      <c r="A213" s="428"/>
      <c r="B213" s="429" t="s">
        <v>209</v>
      </c>
      <c r="C213" s="486"/>
      <c r="D213" s="486"/>
      <c r="E213" s="486"/>
      <c r="F213" s="486"/>
      <c r="G213" s="456"/>
      <c r="H213" s="456"/>
      <c r="I213" s="456"/>
      <c r="J213" s="456"/>
      <c r="K213" s="456"/>
      <c r="L213" s="456"/>
      <c r="M213" s="456"/>
      <c r="N213" s="456"/>
      <c r="O213" s="456"/>
      <c r="P213" s="456"/>
      <c r="Q213" s="456"/>
      <c r="R213" s="456"/>
      <c r="S213" s="456"/>
      <c r="T213" s="487">
        <v>51105</v>
      </c>
      <c r="U213" s="429"/>
      <c r="V213" s="429"/>
      <c r="W213" s="432"/>
      <c r="X213" s="419"/>
    </row>
    <row r="214" spans="1:24" s="420" customFormat="1" ht="15.75" x14ac:dyDescent="0.25">
      <c r="A214" s="428"/>
      <c r="B214" s="429" t="s">
        <v>75</v>
      </c>
      <c r="C214" s="486"/>
      <c r="D214" s="486"/>
      <c r="E214" s="486"/>
      <c r="F214" s="486"/>
      <c r="G214" s="456"/>
      <c r="H214" s="456"/>
      <c r="I214" s="456"/>
      <c r="J214" s="456"/>
      <c r="K214" s="456"/>
      <c r="L214" s="456"/>
      <c r="M214" s="456"/>
      <c r="N214" s="456"/>
      <c r="O214" s="456"/>
      <c r="P214" s="456"/>
      <c r="Q214" s="456"/>
      <c r="R214" s="456"/>
      <c r="S214" s="456"/>
      <c r="T214" s="454">
        <v>21.06</v>
      </c>
      <c r="U214" s="429" t="s">
        <v>110</v>
      </c>
      <c r="V214" s="429"/>
      <c r="W214" s="432"/>
      <c r="X214" s="419"/>
    </row>
    <row r="215" spans="1:24" s="420" customFormat="1" ht="15.75" x14ac:dyDescent="0.25">
      <c r="A215" s="428"/>
      <c r="B215" s="429" t="s">
        <v>76</v>
      </c>
      <c r="C215" s="486"/>
      <c r="D215" s="486"/>
      <c r="E215" s="486"/>
      <c r="F215" s="486"/>
      <c r="G215" s="456"/>
      <c r="H215" s="456"/>
      <c r="I215" s="456"/>
      <c r="J215" s="456"/>
      <c r="K215" s="456"/>
      <c r="L215" s="456"/>
      <c r="M215" s="456"/>
      <c r="N215" s="456"/>
      <c r="O215" s="456"/>
      <c r="P215" s="456"/>
      <c r="Q215" s="456"/>
      <c r="R215" s="456"/>
      <c r="S215" s="456"/>
      <c r="T215" s="454">
        <v>11.5</v>
      </c>
      <c r="U215" s="429" t="s">
        <v>110</v>
      </c>
      <c r="V215" s="429"/>
      <c r="W215" s="432"/>
      <c r="X215" s="419"/>
    </row>
    <row r="216" spans="1:24" s="420" customFormat="1" ht="15.75" x14ac:dyDescent="0.25">
      <c r="A216" s="428"/>
      <c r="B216" s="429" t="s">
        <v>77</v>
      </c>
      <c r="C216" s="486"/>
      <c r="D216" s="486"/>
      <c r="E216" s="486"/>
      <c r="F216" s="486"/>
      <c r="G216" s="456"/>
      <c r="H216" s="456"/>
      <c r="I216" s="456"/>
      <c r="J216" s="456"/>
      <c r="K216" s="456"/>
      <c r="L216" s="456"/>
      <c r="M216" s="456"/>
      <c r="N216" s="456"/>
      <c r="O216" s="456"/>
      <c r="P216" s="456"/>
      <c r="Q216" s="456"/>
      <c r="R216" s="456"/>
      <c r="S216" s="456"/>
      <c r="T216" s="449">
        <f>+P68/N68</f>
        <v>1.7900379150739547E-2</v>
      </c>
      <c r="U216" s="429"/>
      <c r="V216" s="429"/>
      <c r="W216" s="432"/>
      <c r="X216" s="419"/>
    </row>
    <row r="217" spans="1:24" s="420" customFormat="1" ht="15.75" x14ac:dyDescent="0.25">
      <c r="A217" s="428"/>
      <c r="B217" s="429" t="s">
        <v>78</v>
      </c>
      <c r="C217" s="486"/>
      <c r="D217" s="486"/>
      <c r="E217" s="486"/>
      <c r="F217" s="486"/>
      <c r="G217" s="456"/>
      <c r="H217" s="456"/>
      <c r="I217" s="456"/>
      <c r="J217" s="456"/>
      <c r="K217" s="456"/>
      <c r="L217" s="456"/>
      <c r="M217" s="456"/>
      <c r="N217" s="456"/>
      <c r="O217" s="456"/>
      <c r="P217" s="456"/>
      <c r="Q217" s="456"/>
      <c r="R217" s="456"/>
      <c r="S217" s="456"/>
      <c r="T217" s="449">
        <v>4.4699999999999997E-2</v>
      </c>
      <c r="U217" s="429"/>
      <c r="V217" s="429"/>
      <c r="W217" s="432"/>
      <c r="X217" s="419"/>
    </row>
    <row r="218" spans="1:24" ht="15.75" x14ac:dyDescent="0.25">
      <c r="A218" s="218"/>
      <c r="B218" s="348"/>
      <c r="C218" s="348"/>
      <c r="D218" s="348"/>
      <c r="E218" s="348"/>
      <c r="F218" s="348"/>
      <c r="G218" s="212"/>
      <c r="H218" s="212"/>
      <c r="I218" s="212"/>
      <c r="J218" s="212"/>
      <c r="K218" s="212"/>
      <c r="L218" s="212"/>
      <c r="M218" s="212"/>
      <c r="N218" s="212"/>
      <c r="O218" s="212"/>
      <c r="P218" s="212"/>
      <c r="Q218" s="212"/>
      <c r="R218" s="212"/>
      <c r="S218" s="212"/>
      <c r="T218" s="344"/>
      <c r="U218" s="212"/>
      <c r="V218" s="349"/>
      <c r="W218" s="212"/>
      <c r="X218" s="5"/>
    </row>
    <row r="219" spans="1:24" ht="15.75" x14ac:dyDescent="0.25">
      <c r="A219" s="557"/>
      <c r="B219" s="547" t="s">
        <v>79</v>
      </c>
      <c r="C219" s="548"/>
      <c r="D219" s="548"/>
      <c r="E219" s="548"/>
      <c r="F219" s="563"/>
      <c r="G219" s="548"/>
      <c r="H219" s="548"/>
      <c r="I219" s="548"/>
      <c r="J219" s="548"/>
      <c r="K219" s="548"/>
      <c r="L219" s="548"/>
      <c r="M219" s="548"/>
      <c r="N219" s="548"/>
      <c r="O219" s="548"/>
      <c r="P219" s="548"/>
      <c r="Q219" s="548"/>
      <c r="R219" s="548"/>
      <c r="S219" s="548" t="s">
        <v>102</v>
      </c>
      <c r="T219" s="563" t="s">
        <v>108</v>
      </c>
      <c r="U219" s="540"/>
      <c r="V219" s="540"/>
      <c r="W219" s="544"/>
      <c r="X219" s="5"/>
    </row>
    <row r="220" spans="1:24" s="420" customFormat="1" ht="15.75" x14ac:dyDescent="0.25">
      <c r="A220" s="558"/>
      <c r="B220" s="462" t="s">
        <v>80</v>
      </c>
      <c r="C220" s="478"/>
      <c r="D220" s="478"/>
      <c r="E220" s="478"/>
      <c r="F220" s="462"/>
      <c r="G220" s="462"/>
      <c r="H220" s="559"/>
      <c r="I220" s="559"/>
      <c r="J220" s="559"/>
      <c r="K220" s="559"/>
      <c r="L220" s="559"/>
      <c r="M220" s="559"/>
      <c r="N220" s="559"/>
      <c r="O220" s="559"/>
      <c r="P220" s="559"/>
      <c r="Q220" s="559"/>
      <c r="R220" s="559"/>
      <c r="S220" s="559">
        <v>1</v>
      </c>
      <c r="T220" s="560">
        <v>95</v>
      </c>
      <c r="U220" s="462"/>
      <c r="V220" s="561"/>
      <c r="W220" s="562"/>
      <c r="X220" s="419"/>
    </row>
    <row r="221" spans="1:24" s="420" customFormat="1" ht="15.75" x14ac:dyDescent="0.25">
      <c r="A221" s="488"/>
      <c r="B221" s="429" t="s">
        <v>145</v>
      </c>
      <c r="C221" s="472"/>
      <c r="D221" s="472"/>
      <c r="E221" s="472"/>
      <c r="F221" s="429"/>
      <c r="G221" s="429"/>
      <c r="H221" s="436"/>
      <c r="I221" s="436"/>
      <c r="J221" s="436"/>
      <c r="K221" s="436"/>
      <c r="L221" s="436"/>
      <c r="M221" s="436"/>
      <c r="N221" s="436"/>
      <c r="O221" s="436"/>
      <c r="P221" s="436"/>
      <c r="Q221" s="436"/>
      <c r="R221" s="436"/>
      <c r="S221" s="489">
        <f>+R273</f>
        <v>67</v>
      </c>
      <c r="T221" s="490">
        <f>+T273</f>
        <v>9492</v>
      </c>
      <c r="U221" s="429"/>
      <c r="V221" s="491"/>
      <c r="W221" s="492"/>
      <c r="X221" s="419"/>
    </row>
    <row r="222" spans="1:24" s="420" customFormat="1" ht="15.75" x14ac:dyDescent="0.25">
      <c r="A222" s="488"/>
      <c r="B222" s="429" t="s">
        <v>81</v>
      </c>
      <c r="C222" s="472"/>
      <c r="D222" s="472"/>
      <c r="E222" s="472"/>
      <c r="F222" s="429"/>
      <c r="G222" s="429"/>
      <c r="H222" s="436"/>
      <c r="I222" s="436"/>
      <c r="J222" s="436"/>
      <c r="K222" s="436"/>
      <c r="L222" s="436"/>
      <c r="M222" s="436"/>
      <c r="N222" s="436"/>
      <c r="O222" s="436"/>
      <c r="P222" s="436"/>
      <c r="Q222" s="436"/>
      <c r="R222" s="436"/>
      <c r="S222" s="489">
        <f>+R285</f>
        <v>0</v>
      </c>
      <c r="T222" s="490">
        <f>+T285</f>
        <v>0</v>
      </c>
      <c r="U222" s="429"/>
      <c r="V222" s="491"/>
      <c r="W222" s="492"/>
      <c r="X222" s="419"/>
    </row>
    <row r="223" spans="1:24" ht="15.75" x14ac:dyDescent="0.25">
      <c r="A223" s="358"/>
      <c r="B223" s="515" t="s">
        <v>82</v>
      </c>
      <c r="C223" s="363"/>
      <c r="D223" s="363"/>
      <c r="E223" s="363"/>
      <c r="F223" s="314"/>
      <c r="G223" s="314"/>
      <c r="H223" s="314"/>
      <c r="I223" s="314"/>
      <c r="J223" s="314"/>
      <c r="K223" s="314"/>
      <c r="L223" s="314"/>
      <c r="M223" s="314"/>
      <c r="N223" s="314"/>
      <c r="O223" s="314"/>
      <c r="P223" s="314"/>
      <c r="Q223" s="314"/>
      <c r="R223" s="314"/>
      <c r="S223" s="286"/>
      <c r="T223" s="490">
        <v>0</v>
      </c>
      <c r="U223" s="314"/>
      <c r="V223" s="364"/>
      <c r="W223" s="362"/>
      <c r="X223" s="5"/>
    </row>
    <row r="224" spans="1:24" ht="15.75" x14ac:dyDescent="0.25">
      <c r="A224" s="358"/>
      <c r="B224" s="515" t="s">
        <v>228</v>
      </c>
      <c r="C224" s="363"/>
      <c r="D224" s="363"/>
      <c r="E224" s="363"/>
      <c r="F224" s="314"/>
      <c r="G224" s="314"/>
      <c r="H224" s="314"/>
      <c r="I224" s="314"/>
      <c r="J224" s="314"/>
      <c r="K224" s="314"/>
      <c r="L224" s="314"/>
      <c r="M224" s="314"/>
      <c r="N224" s="314"/>
      <c r="O224" s="314"/>
      <c r="P224" s="314"/>
      <c r="Q224" s="314"/>
      <c r="R224" s="314"/>
      <c r="S224" s="286"/>
      <c r="T224" s="490">
        <f>+N81</f>
        <v>0</v>
      </c>
      <c r="U224" s="314"/>
      <c r="V224" s="364"/>
      <c r="W224" s="362"/>
      <c r="X224" s="5"/>
    </row>
    <row r="225" spans="1:24" ht="15.75" x14ac:dyDescent="0.25">
      <c r="A225" s="365"/>
      <c r="B225" s="515" t="s">
        <v>83</v>
      </c>
      <c r="C225" s="366"/>
      <c r="D225" s="366"/>
      <c r="E225" s="366"/>
      <c r="F225" s="366"/>
      <c r="G225" s="314"/>
      <c r="H225" s="314"/>
      <c r="I225" s="314"/>
      <c r="J225" s="314"/>
      <c r="K225" s="314"/>
      <c r="L225" s="314"/>
      <c r="M225" s="314"/>
      <c r="N225" s="314"/>
      <c r="O225" s="314"/>
      <c r="P225" s="314"/>
      <c r="Q225" s="314"/>
      <c r="R225" s="314"/>
      <c r="S225" s="286"/>
      <c r="T225" s="360"/>
      <c r="U225" s="314"/>
      <c r="V225" s="364"/>
      <c r="W225" s="367"/>
      <c r="X225" s="5"/>
    </row>
    <row r="226" spans="1:24" s="420" customFormat="1" ht="15.75" x14ac:dyDescent="0.25">
      <c r="A226" s="493"/>
      <c r="B226" s="429" t="s">
        <v>84</v>
      </c>
      <c r="C226" s="429"/>
      <c r="D226" s="429"/>
      <c r="E226" s="429"/>
      <c r="F226" s="429"/>
      <c r="G226" s="429"/>
      <c r="H226" s="429"/>
      <c r="I226" s="429"/>
      <c r="J226" s="429"/>
      <c r="K226" s="429"/>
      <c r="L226" s="429"/>
      <c r="M226" s="429"/>
      <c r="N226" s="429"/>
      <c r="O226" s="429"/>
      <c r="P226" s="429"/>
      <c r="Q226" s="429"/>
      <c r="R226" s="429"/>
      <c r="S226" s="436"/>
      <c r="T226" s="490">
        <f>V164</f>
        <v>361</v>
      </c>
      <c r="U226" s="429"/>
      <c r="V226" s="491"/>
      <c r="W226" s="494"/>
      <c r="X226" s="419"/>
    </row>
    <row r="227" spans="1:24" s="420" customFormat="1" ht="15.75" x14ac:dyDescent="0.25">
      <c r="A227" s="488"/>
      <c r="B227" s="429" t="s">
        <v>85</v>
      </c>
      <c r="C227" s="472"/>
      <c r="D227" s="472"/>
      <c r="E227" s="472"/>
      <c r="F227" s="472"/>
      <c r="G227" s="429"/>
      <c r="H227" s="429"/>
      <c r="I227" s="429"/>
      <c r="J227" s="429"/>
      <c r="K227" s="429"/>
      <c r="L227" s="429"/>
      <c r="M227" s="429"/>
      <c r="N227" s="429"/>
      <c r="O227" s="429"/>
      <c r="P227" s="429"/>
      <c r="Q227" s="429"/>
      <c r="R227" s="429"/>
      <c r="S227" s="436"/>
      <c r="T227" s="490">
        <f>'Aug 17'!T227+T226</f>
        <v>8820</v>
      </c>
      <c r="U227" s="429"/>
      <c r="V227" s="491"/>
      <c r="W227" s="494"/>
      <c r="X227" s="419"/>
    </row>
    <row r="228" spans="1:24" ht="15.75" x14ac:dyDescent="0.25">
      <c r="A228" s="365"/>
      <c r="B228" s="515" t="s">
        <v>285</v>
      </c>
      <c r="C228" s="366"/>
      <c r="D228" s="366"/>
      <c r="E228" s="366"/>
      <c r="F228" s="366"/>
      <c r="G228" s="314"/>
      <c r="H228" s="314"/>
      <c r="I228" s="314"/>
      <c r="J228" s="314"/>
      <c r="K228" s="314"/>
      <c r="L228" s="314"/>
      <c r="M228" s="314"/>
      <c r="N228" s="314"/>
      <c r="O228" s="314"/>
      <c r="P228" s="314"/>
      <c r="Q228" s="314"/>
      <c r="R228" s="314"/>
      <c r="S228" s="296"/>
      <c r="T228" s="360"/>
      <c r="U228" s="314"/>
      <c r="V228" s="364"/>
      <c r="W228" s="367"/>
      <c r="X228" s="5"/>
    </row>
    <row r="229" spans="1:24" s="420" customFormat="1" ht="15.75" x14ac:dyDescent="0.25">
      <c r="A229" s="493"/>
      <c r="B229" s="429" t="s">
        <v>282</v>
      </c>
      <c r="C229" s="429"/>
      <c r="D229" s="429"/>
      <c r="E229" s="429"/>
      <c r="F229" s="429"/>
      <c r="G229" s="429"/>
      <c r="H229" s="429"/>
      <c r="I229" s="429"/>
      <c r="J229" s="429"/>
      <c r="K229" s="429"/>
      <c r="L229" s="429"/>
      <c r="M229" s="429"/>
      <c r="N229" s="429"/>
      <c r="O229" s="429"/>
      <c r="P229" s="429"/>
      <c r="Q229" s="429"/>
      <c r="R229" s="429"/>
      <c r="S229" s="436">
        <v>0</v>
      </c>
      <c r="T229" s="490">
        <v>0</v>
      </c>
      <c r="U229" s="429"/>
      <c r="V229" s="491"/>
      <c r="W229" s="494"/>
      <c r="X229" s="419"/>
    </row>
    <row r="230" spans="1:24" s="420" customFormat="1" ht="15.75" x14ac:dyDescent="0.25">
      <c r="A230" s="488"/>
      <c r="B230" s="429" t="s">
        <v>86</v>
      </c>
      <c r="C230" s="452"/>
      <c r="D230" s="452"/>
      <c r="E230" s="452"/>
      <c r="F230" s="495"/>
      <c r="G230" s="429"/>
      <c r="H230" s="429"/>
      <c r="I230" s="429"/>
      <c r="J230" s="429"/>
      <c r="K230" s="429"/>
      <c r="L230" s="429"/>
      <c r="M230" s="429"/>
      <c r="N230" s="429"/>
      <c r="O230" s="429"/>
      <c r="P230" s="429"/>
      <c r="Q230" s="429"/>
      <c r="R230" s="429"/>
      <c r="S230" s="429"/>
      <c r="T230" s="496">
        <v>0</v>
      </c>
      <c r="U230" s="429"/>
      <c r="V230" s="491"/>
      <c r="W230" s="494"/>
      <c r="X230" s="419"/>
    </row>
    <row r="231" spans="1:24" s="420" customFormat="1" ht="15.75" x14ac:dyDescent="0.25">
      <c r="A231" s="488"/>
      <c r="B231" s="429" t="s">
        <v>87</v>
      </c>
      <c r="C231" s="452"/>
      <c r="D231" s="452"/>
      <c r="E231" s="452"/>
      <c r="F231" s="495"/>
      <c r="G231" s="429"/>
      <c r="H231" s="429"/>
      <c r="I231" s="429"/>
      <c r="J231" s="429"/>
      <c r="K231" s="429"/>
      <c r="L231" s="429"/>
      <c r="M231" s="429"/>
      <c r="N231" s="429"/>
      <c r="O231" s="429"/>
      <c r="P231" s="429"/>
      <c r="Q231" s="429"/>
      <c r="R231" s="429"/>
      <c r="S231" s="429"/>
      <c r="T231" s="496">
        <v>0</v>
      </c>
      <c r="U231" s="429"/>
      <c r="V231" s="491"/>
      <c r="W231" s="494"/>
      <c r="X231" s="419"/>
    </row>
    <row r="232" spans="1:24" ht="15.75" x14ac:dyDescent="0.25">
      <c r="A232" s="358"/>
      <c r="B232" s="515" t="s">
        <v>216</v>
      </c>
      <c r="C232" s="368"/>
      <c r="D232" s="368"/>
      <c r="E232" s="368"/>
      <c r="F232" s="369"/>
      <c r="G232" s="314"/>
      <c r="H232" s="314"/>
      <c r="I232" s="314"/>
      <c r="J232" s="314"/>
      <c r="K232" s="314"/>
      <c r="L232" s="314"/>
      <c r="M232" s="314"/>
      <c r="N232" s="314"/>
      <c r="O232" s="314"/>
      <c r="P232" s="314"/>
      <c r="Q232" s="314"/>
      <c r="R232" s="314"/>
      <c r="S232" s="286"/>
      <c r="T232" s="371"/>
      <c r="U232" s="314"/>
      <c r="V232" s="364"/>
      <c r="W232" s="367"/>
      <c r="X232" s="5"/>
    </row>
    <row r="233" spans="1:24" s="420" customFormat="1" ht="15.75" x14ac:dyDescent="0.25">
      <c r="A233" s="488"/>
      <c r="B233" s="429" t="s">
        <v>282</v>
      </c>
      <c r="C233" s="452"/>
      <c r="D233" s="452"/>
      <c r="E233" s="452"/>
      <c r="F233" s="495"/>
      <c r="G233" s="429"/>
      <c r="H233" s="429"/>
      <c r="I233" s="429"/>
      <c r="J233" s="429"/>
      <c r="K233" s="429"/>
      <c r="L233" s="429"/>
      <c r="M233" s="429"/>
      <c r="N233" s="429"/>
      <c r="O233" s="429"/>
      <c r="P233" s="429"/>
      <c r="Q233" s="429"/>
      <c r="R233" s="429"/>
      <c r="S233" s="436">
        <v>6</v>
      </c>
      <c r="T233" s="490">
        <v>845</v>
      </c>
      <c r="U233" s="429"/>
      <c r="V233" s="491"/>
      <c r="W233" s="494"/>
      <c r="X233" s="419"/>
    </row>
    <row r="234" spans="1:24" s="420" customFormat="1" ht="15.75" x14ac:dyDescent="0.25">
      <c r="A234" s="488"/>
      <c r="B234" s="429" t="s">
        <v>217</v>
      </c>
      <c r="C234" s="452"/>
      <c r="D234" s="452"/>
      <c r="E234" s="452"/>
      <c r="F234" s="495"/>
      <c r="G234" s="429"/>
      <c r="H234" s="429"/>
      <c r="I234" s="429"/>
      <c r="J234" s="429"/>
      <c r="K234" s="429"/>
      <c r="L234" s="429"/>
      <c r="M234" s="429"/>
      <c r="N234" s="429"/>
      <c r="O234" s="429"/>
      <c r="P234" s="429"/>
      <c r="Q234" s="429"/>
      <c r="R234" s="429"/>
      <c r="S234" s="429"/>
      <c r="T234" s="496">
        <v>1.53</v>
      </c>
      <c r="U234" s="429"/>
      <c r="V234" s="491"/>
      <c r="W234" s="494"/>
      <c r="X234" s="419"/>
    </row>
    <row r="235" spans="1:24" ht="15.75" x14ac:dyDescent="0.25">
      <c r="A235" s="358"/>
      <c r="B235" s="366"/>
      <c r="C235" s="368"/>
      <c r="D235" s="368"/>
      <c r="E235" s="368"/>
      <c r="F235" s="369"/>
      <c r="G235" s="314"/>
      <c r="H235" s="314"/>
      <c r="I235" s="314"/>
      <c r="J235" s="314"/>
      <c r="K235" s="314"/>
      <c r="L235" s="314"/>
      <c r="M235" s="314"/>
      <c r="N235" s="314"/>
      <c r="O235" s="314"/>
      <c r="P235" s="314"/>
      <c r="Q235" s="314"/>
      <c r="R235" s="314"/>
      <c r="S235" s="286"/>
      <c r="T235" s="371"/>
      <c r="U235" s="314"/>
      <c r="V235" s="364"/>
      <c r="W235" s="367"/>
      <c r="X235" s="5"/>
    </row>
    <row r="236" spans="1:24" ht="15.75" x14ac:dyDescent="0.25">
      <c r="A236" s="358"/>
      <c r="B236" s="366"/>
      <c r="C236" s="368"/>
      <c r="D236" s="368"/>
      <c r="E236" s="368"/>
      <c r="F236" s="369"/>
      <c r="G236" s="314"/>
      <c r="H236" s="314"/>
      <c r="I236" s="314"/>
      <c r="J236" s="314"/>
      <c r="K236" s="314"/>
      <c r="L236" s="314"/>
      <c r="M236" s="314"/>
      <c r="N236" s="314"/>
      <c r="O236" s="314"/>
      <c r="P236" s="314"/>
      <c r="Q236" s="314"/>
      <c r="R236" s="314"/>
      <c r="S236" s="314"/>
      <c r="T236" s="372"/>
      <c r="U236" s="314"/>
      <c r="V236" s="364"/>
      <c r="W236" s="367"/>
      <c r="X236" s="5"/>
    </row>
    <row r="237" spans="1:24" ht="18.75" x14ac:dyDescent="0.3">
      <c r="A237" s="358"/>
      <c r="B237" s="534" t="s">
        <v>168</v>
      </c>
      <c r="C237" s="368"/>
      <c r="D237" s="368"/>
      <c r="E237" s="368"/>
      <c r="F237" s="369"/>
      <c r="G237" s="314"/>
      <c r="H237" s="314"/>
      <c r="I237" s="314"/>
      <c r="J237" s="314"/>
      <c r="K237" s="314"/>
      <c r="L237" s="314"/>
      <c r="M237" s="314"/>
      <c r="N237" s="314"/>
      <c r="O237" s="314"/>
      <c r="P237" s="535" t="s">
        <v>341</v>
      </c>
      <c r="Q237" s="314"/>
      <c r="R237" s="314"/>
      <c r="S237" s="314"/>
      <c r="T237" s="372"/>
      <c r="U237" s="314"/>
      <c r="V237" s="364"/>
      <c r="W237" s="367"/>
      <c r="X237" s="5"/>
    </row>
    <row r="238" spans="1:24" ht="15.75" x14ac:dyDescent="0.25">
      <c r="A238" s="353"/>
      <c r="B238" s="348"/>
      <c r="C238" s="354"/>
      <c r="D238" s="354"/>
      <c r="E238" s="354"/>
      <c r="F238" s="355"/>
      <c r="G238" s="212"/>
      <c r="H238" s="212"/>
      <c r="I238" s="212"/>
      <c r="J238" s="212"/>
      <c r="K238" s="212"/>
      <c r="L238" s="212"/>
      <c r="M238" s="212"/>
      <c r="N238" s="212"/>
      <c r="O238" s="212"/>
      <c r="P238" s="212"/>
      <c r="Q238" s="212"/>
      <c r="R238" s="212"/>
      <c r="S238" s="212"/>
      <c r="T238" s="356"/>
      <c r="U238" s="212"/>
      <c r="V238" s="349"/>
      <c r="W238" s="357"/>
      <c r="X238" s="5"/>
    </row>
    <row r="239" spans="1:24" ht="15.75" x14ac:dyDescent="0.25">
      <c r="A239" s="536"/>
      <c r="B239" s="547" t="s">
        <v>297</v>
      </c>
      <c r="C239" s="548"/>
      <c r="D239" s="548"/>
      <c r="E239" s="548"/>
      <c r="F239" s="563"/>
      <c r="G239" s="548"/>
      <c r="H239" s="548"/>
      <c r="I239" s="548"/>
      <c r="J239" s="548"/>
      <c r="K239" s="548"/>
      <c r="L239" s="548"/>
      <c r="M239" s="548"/>
      <c r="N239" s="548"/>
      <c r="O239" s="548"/>
      <c r="P239" s="548"/>
      <c r="Q239" s="548"/>
      <c r="R239" s="563" t="s">
        <v>102</v>
      </c>
      <c r="S239" s="548" t="s">
        <v>103</v>
      </c>
      <c r="T239" s="563" t="s">
        <v>109</v>
      </c>
      <c r="U239" s="548" t="s">
        <v>103</v>
      </c>
      <c r="V239" s="540"/>
      <c r="W239" s="566"/>
      <c r="X239" s="5"/>
    </row>
    <row r="240" spans="1:24" s="420" customFormat="1" ht="15.75" x14ac:dyDescent="0.25">
      <c r="A240" s="416"/>
      <c r="B240" s="478" t="s">
        <v>88</v>
      </c>
      <c r="C240" s="564"/>
      <c r="D240" s="564"/>
      <c r="E240" s="564"/>
      <c r="F240" s="462"/>
      <c r="G240" s="564"/>
      <c r="H240" s="564"/>
      <c r="I240" s="564"/>
      <c r="J240" s="564"/>
      <c r="K240" s="564"/>
      <c r="L240" s="564"/>
      <c r="M240" s="564"/>
      <c r="N240" s="564"/>
      <c r="O240" s="564"/>
      <c r="P240" s="564"/>
      <c r="Q240" s="564"/>
      <c r="R240" s="478">
        <f t="shared" ref="R240:R247" si="1">+R252+R264+R276</f>
        <v>4601</v>
      </c>
      <c r="S240" s="500">
        <f t="shared" ref="S240:S247" si="2">R240/$R$249</f>
        <v>0.9973986559722523</v>
      </c>
      <c r="T240" s="499">
        <f t="shared" ref="T240:T247" si="3">+T252+T264+T276</f>
        <v>631442</v>
      </c>
      <c r="U240" s="500">
        <f t="shared" ref="U240:U247" si="4">T240/$T$249</f>
        <v>0.99662395179148366</v>
      </c>
      <c r="V240" s="561"/>
      <c r="W240" s="565"/>
      <c r="X240" s="419"/>
    </row>
    <row r="241" spans="1:25" s="420" customFormat="1" ht="15.75" x14ac:dyDescent="0.25">
      <c r="A241" s="428"/>
      <c r="B241" s="472" t="s">
        <v>89</v>
      </c>
      <c r="C241" s="497"/>
      <c r="D241" s="497"/>
      <c r="E241" s="497"/>
      <c r="F241" s="429"/>
      <c r="G241" s="498"/>
      <c r="H241" s="497"/>
      <c r="I241" s="497"/>
      <c r="J241" s="497"/>
      <c r="K241" s="497"/>
      <c r="L241" s="497"/>
      <c r="M241" s="497"/>
      <c r="N241" s="497"/>
      <c r="O241" s="497"/>
      <c r="P241" s="497"/>
      <c r="Q241" s="497"/>
      <c r="R241" s="472">
        <f t="shared" si="1"/>
        <v>7</v>
      </c>
      <c r="S241" s="498">
        <f t="shared" si="2"/>
        <v>1.5174506828528073E-3</v>
      </c>
      <c r="T241" s="473">
        <f t="shared" si="3"/>
        <v>1091</v>
      </c>
      <c r="U241" s="498">
        <f t="shared" si="4"/>
        <v>1.7219582026607491E-3</v>
      </c>
      <c r="V241" s="491"/>
      <c r="W241" s="494"/>
      <c r="X241" s="419"/>
      <c r="Y241" s="477"/>
    </row>
    <row r="242" spans="1:25" s="420" customFormat="1" ht="15.75" x14ac:dyDescent="0.25">
      <c r="A242" s="428"/>
      <c r="B242" s="472" t="s">
        <v>90</v>
      </c>
      <c r="C242" s="497"/>
      <c r="D242" s="497"/>
      <c r="E242" s="497"/>
      <c r="F242" s="429"/>
      <c r="G242" s="498"/>
      <c r="H242" s="497"/>
      <c r="I242" s="497"/>
      <c r="J242" s="497"/>
      <c r="K242" s="497"/>
      <c r="L242" s="497"/>
      <c r="M242" s="497"/>
      <c r="N242" s="497"/>
      <c r="O242" s="497"/>
      <c r="P242" s="497"/>
      <c r="Q242" s="497"/>
      <c r="R242" s="472">
        <f t="shared" si="1"/>
        <v>2</v>
      </c>
      <c r="S242" s="498">
        <f t="shared" si="2"/>
        <v>4.3355733795794494E-4</v>
      </c>
      <c r="T242" s="473">
        <f t="shared" si="3"/>
        <v>212</v>
      </c>
      <c r="U242" s="498">
        <f t="shared" si="4"/>
        <v>3.3460599355094299E-4</v>
      </c>
      <c r="V242" s="491"/>
      <c r="W242" s="494"/>
      <c r="X242" s="419"/>
    </row>
    <row r="243" spans="1:25" s="420" customFormat="1" ht="15.75" x14ac:dyDescent="0.25">
      <c r="A243" s="428"/>
      <c r="B243" s="472" t="s">
        <v>156</v>
      </c>
      <c r="C243" s="497"/>
      <c r="D243" s="497"/>
      <c r="E243" s="497"/>
      <c r="F243" s="429"/>
      <c r="G243" s="498"/>
      <c r="H243" s="497"/>
      <c r="I243" s="497"/>
      <c r="J243" s="497"/>
      <c r="K243" s="497"/>
      <c r="L243" s="497"/>
      <c r="M243" s="497"/>
      <c r="N243" s="497"/>
      <c r="O243" s="497"/>
      <c r="P243" s="497"/>
      <c r="Q243" s="497"/>
      <c r="R243" s="472">
        <f t="shared" si="1"/>
        <v>0</v>
      </c>
      <c r="S243" s="498">
        <f t="shared" si="2"/>
        <v>0</v>
      </c>
      <c r="T243" s="473">
        <f t="shared" si="3"/>
        <v>0</v>
      </c>
      <c r="U243" s="498">
        <f t="shared" si="4"/>
        <v>0</v>
      </c>
      <c r="V243" s="491"/>
      <c r="W243" s="494"/>
      <c r="X243" s="419"/>
      <c r="Y243" s="477"/>
    </row>
    <row r="244" spans="1:25" s="420" customFormat="1" ht="15.75" x14ac:dyDescent="0.25">
      <c r="A244" s="428"/>
      <c r="B244" s="472" t="s">
        <v>157</v>
      </c>
      <c r="C244" s="497"/>
      <c r="D244" s="497"/>
      <c r="E244" s="497"/>
      <c r="F244" s="429"/>
      <c r="G244" s="498"/>
      <c r="H244" s="497"/>
      <c r="I244" s="497"/>
      <c r="J244" s="497"/>
      <c r="K244" s="497"/>
      <c r="L244" s="497"/>
      <c r="M244" s="497"/>
      <c r="N244" s="497"/>
      <c r="O244" s="497"/>
      <c r="P244" s="497"/>
      <c r="Q244" s="497"/>
      <c r="R244" s="472">
        <f t="shared" si="1"/>
        <v>1</v>
      </c>
      <c r="S244" s="498">
        <f t="shared" si="2"/>
        <v>2.1677866897897247E-4</v>
      </c>
      <c r="T244" s="473">
        <f t="shared" si="3"/>
        <v>631</v>
      </c>
      <c r="U244" s="498">
        <f t="shared" si="4"/>
        <v>9.9592632986153311E-4</v>
      </c>
      <c r="V244" s="491"/>
      <c r="W244" s="494"/>
      <c r="X244" s="419"/>
    </row>
    <row r="245" spans="1:25" s="420" customFormat="1" ht="15.75" x14ac:dyDescent="0.25">
      <c r="A245" s="428"/>
      <c r="B245" s="472" t="s">
        <v>158</v>
      </c>
      <c r="C245" s="497"/>
      <c r="D245" s="497"/>
      <c r="E245" s="497"/>
      <c r="F245" s="429"/>
      <c r="G245" s="498"/>
      <c r="H245" s="497"/>
      <c r="I245" s="497"/>
      <c r="J245" s="497"/>
      <c r="K245" s="497"/>
      <c r="L245" s="497"/>
      <c r="M245" s="497"/>
      <c r="N245" s="497"/>
      <c r="O245" s="497"/>
      <c r="P245" s="497"/>
      <c r="Q245" s="497"/>
      <c r="R245" s="472">
        <f t="shared" si="1"/>
        <v>0</v>
      </c>
      <c r="S245" s="498">
        <f t="shared" si="2"/>
        <v>0</v>
      </c>
      <c r="T245" s="473">
        <f t="shared" si="3"/>
        <v>0</v>
      </c>
      <c r="U245" s="498">
        <f t="shared" si="4"/>
        <v>0</v>
      </c>
      <c r="V245" s="491"/>
      <c r="W245" s="494"/>
      <c r="X245" s="419"/>
      <c r="Y245" s="477"/>
    </row>
    <row r="246" spans="1:25" s="420" customFormat="1" ht="15.75" x14ac:dyDescent="0.25">
      <c r="A246" s="428"/>
      <c r="B246" s="472" t="s">
        <v>159</v>
      </c>
      <c r="C246" s="497"/>
      <c r="D246" s="497"/>
      <c r="E246" s="497"/>
      <c r="F246" s="429"/>
      <c r="G246" s="498"/>
      <c r="H246" s="497"/>
      <c r="I246" s="497"/>
      <c r="J246" s="497"/>
      <c r="K246" s="497"/>
      <c r="L246" s="497"/>
      <c r="M246" s="497"/>
      <c r="N246" s="497"/>
      <c r="O246" s="497"/>
      <c r="P246" s="497"/>
      <c r="Q246" s="497"/>
      <c r="R246" s="472">
        <f t="shared" si="1"/>
        <v>1</v>
      </c>
      <c r="S246" s="498">
        <f t="shared" si="2"/>
        <v>2.1677866897897247E-4</v>
      </c>
      <c r="T246" s="473">
        <f t="shared" si="3"/>
        <v>60</v>
      </c>
      <c r="U246" s="498">
        <f t="shared" si="4"/>
        <v>9.4699809495549892E-5</v>
      </c>
      <c r="V246" s="491"/>
      <c r="W246" s="494"/>
      <c r="X246" s="419"/>
    </row>
    <row r="247" spans="1:25" s="420" customFormat="1" ht="15.75" x14ac:dyDescent="0.25">
      <c r="A247" s="428"/>
      <c r="B247" s="472" t="s">
        <v>160</v>
      </c>
      <c r="C247" s="497"/>
      <c r="D247" s="497"/>
      <c r="E247" s="497"/>
      <c r="F247" s="429"/>
      <c r="G247" s="498"/>
      <c r="H247" s="497"/>
      <c r="I247" s="497"/>
      <c r="J247" s="497"/>
      <c r="K247" s="497"/>
      <c r="L247" s="497"/>
      <c r="M247" s="497"/>
      <c r="N247" s="497"/>
      <c r="O247" s="497"/>
      <c r="P247" s="497"/>
      <c r="Q247" s="497"/>
      <c r="R247" s="478">
        <f t="shared" si="1"/>
        <v>1</v>
      </c>
      <c r="S247" s="498">
        <f t="shared" si="2"/>
        <v>2.1677866897897247E-4</v>
      </c>
      <c r="T247" s="499">
        <f t="shared" si="3"/>
        <v>145</v>
      </c>
      <c r="U247" s="500">
        <f t="shared" si="4"/>
        <v>2.2885787294757892E-4</v>
      </c>
      <c r="V247" s="491"/>
      <c r="W247" s="494"/>
      <c r="X247" s="419"/>
      <c r="Y247" s="477"/>
    </row>
    <row r="248" spans="1:25" s="420" customFormat="1" ht="15.75" x14ac:dyDescent="0.25">
      <c r="A248" s="428"/>
      <c r="B248" s="472"/>
      <c r="C248" s="497"/>
      <c r="D248" s="497"/>
      <c r="E248" s="497"/>
      <c r="F248" s="429"/>
      <c r="G248" s="498"/>
      <c r="H248" s="497"/>
      <c r="I248" s="497"/>
      <c r="J248" s="497"/>
      <c r="K248" s="497"/>
      <c r="L248" s="497"/>
      <c r="M248" s="497"/>
      <c r="N248" s="497"/>
      <c r="O248" s="497"/>
      <c r="P248" s="497"/>
      <c r="Q248" s="497"/>
      <c r="R248" s="472"/>
      <c r="S248" s="498"/>
      <c r="T248" s="473"/>
      <c r="U248" s="498"/>
      <c r="V248" s="491"/>
      <c r="W248" s="494"/>
      <c r="X248" s="419"/>
    </row>
    <row r="249" spans="1:25" s="420" customFormat="1" ht="15.75" x14ac:dyDescent="0.25">
      <c r="A249" s="428"/>
      <c r="B249" s="429"/>
      <c r="C249" s="429"/>
      <c r="D249" s="429"/>
      <c r="E249" s="429"/>
      <c r="F249" s="429"/>
      <c r="G249" s="429"/>
      <c r="H249" s="501"/>
      <c r="I249" s="501"/>
      <c r="J249" s="501"/>
      <c r="K249" s="501"/>
      <c r="L249" s="501"/>
      <c r="M249" s="501"/>
      <c r="N249" s="501"/>
      <c r="O249" s="501"/>
      <c r="P249" s="501"/>
      <c r="Q249" s="501"/>
      <c r="R249" s="472">
        <f>SUM(R240:R248)</f>
        <v>4613</v>
      </c>
      <c r="S249" s="498">
        <f>SUM(S240:S248)</f>
        <v>0.99999999999999989</v>
      </c>
      <c r="T249" s="473">
        <f>SUM(T240:T248)</f>
        <v>633581</v>
      </c>
      <c r="U249" s="498">
        <f>SUM(U240:U248)</f>
        <v>1</v>
      </c>
      <c r="V249" s="429"/>
      <c r="W249" s="432"/>
      <c r="X249" s="419"/>
    </row>
    <row r="250" spans="1:25" ht="15.75" x14ac:dyDescent="0.25">
      <c r="A250" s="181"/>
      <c r="B250" s="212"/>
      <c r="C250" s="212"/>
      <c r="D250" s="212"/>
      <c r="E250" s="212"/>
      <c r="F250" s="212"/>
      <c r="G250" s="212"/>
      <c r="H250" s="375"/>
      <c r="I250" s="375"/>
      <c r="J250" s="375"/>
      <c r="K250" s="375"/>
      <c r="L250" s="375"/>
      <c r="M250" s="375"/>
      <c r="N250" s="375"/>
      <c r="O250" s="375"/>
      <c r="P250" s="375"/>
      <c r="Q250" s="375"/>
      <c r="R250" s="335"/>
      <c r="S250" s="376"/>
      <c r="T250" s="377"/>
      <c r="U250" s="376"/>
      <c r="V250" s="212"/>
      <c r="W250" s="212"/>
      <c r="X250" s="5"/>
    </row>
    <row r="251" spans="1:25" ht="15.75" x14ac:dyDescent="0.25">
      <c r="A251" s="536"/>
      <c r="B251" s="547" t="s">
        <v>162</v>
      </c>
      <c r="C251" s="548"/>
      <c r="D251" s="548"/>
      <c r="E251" s="548"/>
      <c r="F251" s="563"/>
      <c r="G251" s="548"/>
      <c r="H251" s="548"/>
      <c r="I251" s="548"/>
      <c r="J251" s="548"/>
      <c r="K251" s="548"/>
      <c r="L251" s="548"/>
      <c r="M251" s="548"/>
      <c r="N251" s="548"/>
      <c r="O251" s="548"/>
      <c r="P251" s="548"/>
      <c r="Q251" s="548"/>
      <c r="R251" s="563" t="s">
        <v>102</v>
      </c>
      <c r="S251" s="548" t="s">
        <v>103</v>
      </c>
      <c r="T251" s="563" t="s">
        <v>109</v>
      </c>
      <c r="U251" s="548" t="s">
        <v>103</v>
      </c>
      <c r="V251" s="540"/>
      <c r="W251" s="566"/>
      <c r="X251" s="5"/>
    </row>
    <row r="252" spans="1:25" s="420" customFormat="1" ht="15.75" x14ac:dyDescent="0.25">
      <c r="A252" s="416"/>
      <c r="B252" s="478" t="s">
        <v>88</v>
      </c>
      <c r="C252" s="564"/>
      <c r="D252" s="564"/>
      <c r="E252" s="564"/>
      <c r="F252" s="462"/>
      <c r="G252" s="564"/>
      <c r="H252" s="564"/>
      <c r="I252" s="564"/>
      <c r="J252" s="564"/>
      <c r="K252" s="564"/>
      <c r="L252" s="564"/>
      <c r="M252" s="564"/>
      <c r="N252" s="564"/>
      <c r="O252" s="564"/>
      <c r="P252" s="564"/>
      <c r="Q252" s="564"/>
      <c r="R252" s="478">
        <v>4540</v>
      </c>
      <c r="S252" s="500">
        <f>R252/$R$261</f>
        <v>0.99868015838099433</v>
      </c>
      <c r="T252" s="499">
        <v>623182</v>
      </c>
      <c r="U252" s="500">
        <f t="shared" ref="U252:U259" si="5">T252/$T$261</f>
        <v>0.99854668164316307</v>
      </c>
      <c r="V252" s="561"/>
      <c r="W252" s="565"/>
      <c r="X252" s="419"/>
    </row>
    <row r="253" spans="1:25" s="420" customFormat="1" ht="15.75" x14ac:dyDescent="0.25">
      <c r="A253" s="428"/>
      <c r="B253" s="472" t="s">
        <v>89</v>
      </c>
      <c r="C253" s="497"/>
      <c r="D253" s="497"/>
      <c r="E253" s="497"/>
      <c r="F253" s="429"/>
      <c r="G253" s="498"/>
      <c r="H253" s="497"/>
      <c r="I253" s="497"/>
      <c r="J253" s="497"/>
      <c r="K253" s="497"/>
      <c r="L253" s="497"/>
      <c r="M253" s="497"/>
      <c r="N253" s="497"/>
      <c r="O253" s="497"/>
      <c r="P253" s="497"/>
      <c r="Q253" s="497"/>
      <c r="R253" s="472">
        <v>5</v>
      </c>
      <c r="S253" s="498">
        <f t="shared" ref="S253:S259" si="6">R253/$R$261</f>
        <v>1.0998680158380994E-3</v>
      </c>
      <c r="T253" s="473">
        <v>847</v>
      </c>
      <c r="U253" s="498">
        <f t="shared" si="5"/>
        <v>1.3571782229778125E-3</v>
      </c>
      <c r="V253" s="491"/>
      <c r="W253" s="494"/>
      <c r="X253" s="419"/>
      <c r="Y253" s="477"/>
    </row>
    <row r="254" spans="1:25" s="420" customFormat="1" ht="15.75" x14ac:dyDescent="0.25">
      <c r="A254" s="428"/>
      <c r="B254" s="472" t="s">
        <v>90</v>
      </c>
      <c r="C254" s="497"/>
      <c r="D254" s="497"/>
      <c r="E254" s="497"/>
      <c r="F254" s="429"/>
      <c r="G254" s="498"/>
      <c r="H254" s="497"/>
      <c r="I254" s="497"/>
      <c r="J254" s="497"/>
      <c r="K254" s="497"/>
      <c r="L254" s="497"/>
      <c r="M254" s="497"/>
      <c r="N254" s="497"/>
      <c r="O254" s="497"/>
      <c r="P254" s="497"/>
      <c r="Q254" s="497"/>
      <c r="R254" s="472">
        <v>0</v>
      </c>
      <c r="S254" s="498">
        <f t="shared" si="6"/>
        <v>0</v>
      </c>
      <c r="T254" s="473">
        <v>0</v>
      </c>
      <c r="U254" s="498">
        <f t="shared" si="5"/>
        <v>0</v>
      </c>
      <c r="V254" s="491"/>
      <c r="W254" s="494"/>
      <c r="X254" s="419"/>
    </row>
    <row r="255" spans="1:25" s="420" customFormat="1" ht="15.75" x14ac:dyDescent="0.25">
      <c r="A255" s="428"/>
      <c r="B255" s="472" t="s">
        <v>156</v>
      </c>
      <c r="C255" s="497"/>
      <c r="D255" s="497"/>
      <c r="E255" s="497"/>
      <c r="F255" s="429"/>
      <c r="G255" s="498"/>
      <c r="H255" s="497"/>
      <c r="I255" s="497"/>
      <c r="J255" s="497"/>
      <c r="K255" s="497"/>
      <c r="L255" s="497"/>
      <c r="M255" s="497"/>
      <c r="N255" s="497"/>
      <c r="O255" s="497"/>
      <c r="P255" s="497"/>
      <c r="Q255" s="497"/>
      <c r="R255" s="472">
        <v>0</v>
      </c>
      <c r="S255" s="498">
        <f t="shared" si="6"/>
        <v>0</v>
      </c>
      <c r="T255" s="473">
        <v>0</v>
      </c>
      <c r="U255" s="498">
        <f t="shared" si="5"/>
        <v>0</v>
      </c>
      <c r="V255" s="491"/>
      <c r="W255" s="494"/>
      <c r="X255" s="419"/>
      <c r="Y255" s="477"/>
    </row>
    <row r="256" spans="1:25" s="420" customFormat="1" ht="15.75" x14ac:dyDescent="0.25">
      <c r="A256" s="428"/>
      <c r="B256" s="472" t="s">
        <v>157</v>
      </c>
      <c r="C256" s="497"/>
      <c r="D256" s="497"/>
      <c r="E256" s="497"/>
      <c r="F256" s="429"/>
      <c r="G256" s="498"/>
      <c r="H256" s="497"/>
      <c r="I256" s="497"/>
      <c r="J256" s="497"/>
      <c r="K256" s="497"/>
      <c r="L256" s="497"/>
      <c r="M256" s="497"/>
      <c r="N256" s="497"/>
      <c r="O256" s="497"/>
      <c r="P256" s="497"/>
      <c r="Q256" s="497"/>
      <c r="R256" s="472">
        <v>0</v>
      </c>
      <c r="S256" s="498">
        <f t="shared" si="6"/>
        <v>0</v>
      </c>
      <c r="T256" s="473">
        <v>0</v>
      </c>
      <c r="U256" s="498">
        <f t="shared" si="5"/>
        <v>0</v>
      </c>
      <c r="V256" s="491"/>
      <c r="W256" s="494"/>
      <c r="X256" s="419"/>
    </row>
    <row r="257" spans="1:25" s="420" customFormat="1" ht="15.75" x14ac:dyDescent="0.25">
      <c r="A257" s="428"/>
      <c r="B257" s="472" t="s">
        <v>158</v>
      </c>
      <c r="C257" s="497"/>
      <c r="D257" s="497"/>
      <c r="E257" s="497"/>
      <c r="F257" s="429"/>
      <c r="G257" s="498"/>
      <c r="H257" s="497"/>
      <c r="I257" s="497"/>
      <c r="J257" s="497"/>
      <c r="K257" s="497"/>
      <c r="L257" s="497"/>
      <c r="M257" s="497"/>
      <c r="N257" s="497"/>
      <c r="O257" s="497"/>
      <c r="P257" s="497"/>
      <c r="Q257" s="497"/>
      <c r="R257" s="472">
        <v>0</v>
      </c>
      <c r="S257" s="498">
        <f t="shared" si="6"/>
        <v>0</v>
      </c>
      <c r="T257" s="473">
        <v>0</v>
      </c>
      <c r="U257" s="498">
        <f t="shared" si="5"/>
        <v>0</v>
      </c>
      <c r="V257" s="491"/>
      <c r="W257" s="494"/>
      <c r="X257" s="419"/>
      <c r="Y257" s="477"/>
    </row>
    <row r="258" spans="1:25" s="420" customFormat="1" ht="15.75" x14ac:dyDescent="0.25">
      <c r="A258" s="428"/>
      <c r="B258" s="472" t="s">
        <v>159</v>
      </c>
      <c r="C258" s="497"/>
      <c r="D258" s="497"/>
      <c r="E258" s="497"/>
      <c r="F258" s="429"/>
      <c r="G258" s="498"/>
      <c r="H258" s="497"/>
      <c r="I258" s="497"/>
      <c r="J258" s="497"/>
      <c r="K258" s="497"/>
      <c r="L258" s="497"/>
      <c r="M258" s="497"/>
      <c r="N258" s="497"/>
      <c r="O258" s="497"/>
      <c r="P258" s="497"/>
      <c r="Q258" s="497"/>
      <c r="R258" s="472">
        <v>1</v>
      </c>
      <c r="S258" s="498">
        <f t="shared" si="6"/>
        <v>2.199736031676199E-4</v>
      </c>
      <c r="T258" s="473">
        <v>60</v>
      </c>
      <c r="U258" s="498">
        <f t="shared" si="5"/>
        <v>9.6140133859113041E-5</v>
      </c>
      <c r="V258" s="491"/>
      <c r="W258" s="494"/>
      <c r="X258" s="419"/>
    </row>
    <row r="259" spans="1:25" s="420" customFormat="1" ht="15.75" x14ac:dyDescent="0.25">
      <c r="A259" s="428"/>
      <c r="B259" s="472" t="s">
        <v>160</v>
      </c>
      <c r="C259" s="497"/>
      <c r="D259" s="497"/>
      <c r="E259" s="497"/>
      <c r="F259" s="429"/>
      <c r="G259" s="498"/>
      <c r="H259" s="497"/>
      <c r="I259" s="497"/>
      <c r="J259" s="497"/>
      <c r="K259" s="497"/>
      <c r="L259" s="497"/>
      <c r="M259" s="497"/>
      <c r="N259" s="497"/>
      <c r="O259" s="497"/>
      <c r="P259" s="497"/>
      <c r="Q259" s="497"/>
      <c r="R259" s="472">
        <v>0</v>
      </c>
      <c r="S259" s="498">
        <f t="shared" si="6"/>
        <v>0</v>
      </c>
      <c r="T259" s="473">
        <v>0</v>
      </c>
      <c r="U259" s="498">
        <f t="shared" si="5"/>
        <v>0</v>
      </c>
      <c r="V259" s="491"/>
      <c r="W259" s="494"/>
      <c r="X259" s="419"/>
      <c r="Y259" s="477"/>
    </row>
    <row r="260" spans="1:25" s="420" customFormat="1" ht="15.75" x14ac:dyDescent="0.25">
      <c r="A260" s="428"/>
      <c r="B260" s="472"/>
      <c r="C260" s="497"/>
      <c r="D260" s="497"/>
      <c r="E260" s="497"/>
      <c r="F260" s="429"/>
      <c r="G260" s="498"/>
      <c r="H260" s="497"/>
      <c r="I260" s="497"/>
      <c r="J260" s="497"/>
      <c r="K260" s="497"/>
      <c r="L260" s="497"/>
      <c r="M260" s="497"/>
      <c r="N260" s="497"/>
      <c r="O260" s="497"/>
      <c r="P260" s="497"/>
      <c r="Q260" s="497"/>
      <c r="R260" s="472"/>
      <c r="S260" s="498"/>
      <c r="T260" s="473"/>
      <c r="U260" s="498"/>
      <c r="V260" s="491"/>
      <c r="W260" s="494"/>
      <c r="X260" s="419"/>
    </row>
    <row r="261" spans="1:25" s="420" customFormat="1" ht="15.75" x14ac:dyDescent="0.25">
      <c r="A261" s="428"/>
      <c r="B261" s="429"/>
      <c r="C261" s="429"/>
      <c r="D261" s="429"/>
      <c r="E261" s="429"/>
      <c r="F261" s="429"/>
      <c r="G261" s="429"/>
      <c r="H261" s="501"/>
      <c r="I261" s="501"/>
      <c r="J261" s="501"/>
      <c r="K261" s="501"/>
      <c r="L261" s="501"/>
      <c r="M261" s="501"/>
      <c r="N261" s="501"/>
      <c r="O261" s="501"/>
      <c r="P261" s="501"/>
      <c r="Q261" s="501"/>
      <c r="R261" s="472">
        <f>SUM(R252:R260)</f>
        <v>4546</v>
      </c>
      <c r="S261" s="498">
        <f>SUM(S252:S260)</f>
        <v>1</v>
      </c>
      <c r="T261" s="473">
        <f>SUM(T252:T260)</f>
        <v>624089</v>
      </c>
      <c r="U261" s="498">
        <f>SUM(U252:U260)</f>
        <v>1</v>
      </c>
      <c r="V261" s="429"/>
      <c r="W261" s="432"/>
      <c r="X261" s="419"/>
    </row>
    <row r="262" spans="1:25" ht="15.75" x14ac:dyDescent="0.25">
      <c r="A262" s="181"/>
      <c r="B262" s="212"/>
      <c r="C262" s="212"/>
      <c r="D262" s="212"/>
      <c r="E262" s="212"/>
      <c r="F262" s="212"/>
      <c r="G262" s="212"/>
      <c r="H262" s="375"/>
      <c r="I262" s="375"/>
      <c r="J262" s="375"/>
      <c r="K262" s="375"/>
      <c r="L262" s="375"/>
      <c r="M262" s="375"/>
      <c r="N262" s="375"/>
      <c r="O262" s="375"/>
      <c r="P262" s="375"/>
      <c r="Q262" s="375"/>
      <c r="R262" s="335"/>
      <c r="S262" s="376"/>
      <c r="T262" s="377"/>
      <c r="U262" s="376"/>
      <c r="V262" s="212"/>
      <c r="W262" s="212"/>
      <c r="X262" s="5"/>
    </row>
    <row r="263" spans="1:25" ht="15.75" x14ac:dyDescent="0.25">
      <c r="A263" s="536"/>
      <c r="B263" s="547" t="s">
        <v>236</v>
      </c>
      <c r="C263" s="548"/>
      <c r="D263" s="548"/>
      <c r="E263" s="548"/>
      <c r="F263" s="563"/>
      <c r="G263" s="548"/>
      <c r="H263" s="548"/>
      <c r="I263" s="548"/>
      <c r="J263" s="548"/>
      <c r="K263" s="548"/>
      <c r="L263" s="548"/>
      <c r="M263" s="548"/>
      <c r="N263" s="548"/>
      <c r="O263" s="548"/>
      <c r="P263" s="548"/>
      <c r="Q263" s="548"/>
      <c r="R263" s="563" t="s">
        <v>102</v>
      </c>
      <c r="S263" s="548" t="s">
        <v>103</v>
      </c>
      <c r="T263" s="563" t="s">
        <v>109</v>
      </c>
      <c r="U263" s="548" t="s">
        <v>103</v>
      </c>
      <c r="V263" s="540"/>
      <c r="W263" s="544"/>
      <c r="X263" s="5"/>
    </row>
    <row r="264" spans="1:25" s="420" customFormat="1" ht="15.75" x14ac:dyDescent="0.25">
      <c r="A264" s="416"/>
      <c r="B264" s="478" t="s">
        <v>88</v>
      </c>
      <c r="C264" s="564"/>
      <c r="D264" s="564"/>
      <c r="E264" s="564"/>
      <c r="F264" s="462"/>
      <c r="G264" s="564"/>
      <c r="H264" s="564"/>
      <c r="I264" s="564"/>
      <c r="J264" s="564"/>
      <c r="K264" s="564"/>
      <c r="L264" s="564"/>
      <c r="M264" s="564"/>
      <c r="N264" s="564"/>
      <c r="O264" s="564"/>
      <c r="P264" s="564"/>
      <c r="Q264" s="564"/>
      <c r="R264" s="478">
        <v>61</v>
      </c>
      <c r="S264" s="500">
        <f t="shared" ref="S264:S270" si="7">R264/$R$273</f>
        <v>0.91044776119402981</v>
      </c>
      <c r="T264" s="499">
        <v>8260</v>
      </c>
      <c r="U264" s="500">
        <f t="shared" ref="U264:U271" si="8">T264/$T$273</f>
        <v>0.87020648967551617</v>
      </c>
      <c r="V264" s="462"/>
      <c r="W264" s="462"/>
      <c r="X264" s="419"/>
    </row>
    <row r="265" spans="1:25" s="420" customFormat="1" ht="15.75" x14ac:dyDescent="0.25">
      <c r="A265" s="428"/>
      <c r="B265" s="472" t="s">
        <v>89</v>
      </c>
      <c r="C265" s="497"/>
      <c r="D265" s="497"/>
      <c r="E265" s="497"/>
      <c r="F265" s="429"/>
      <c r="G265" s="498"/>
      <c r="H265" s="497"/>
      <c r="I265" s="497"/>
      <c r="J265" s="497"/>
      <c r="K265" s="497"/>
      <c r="L265" s="497"/>
      <c r="M265" s="497"/>
      <c r="N265" s="497"/>
      <c r="O265" s="497"/>
      <c r="P265" s="497"/>
      <c r="Q265" s="497"/>
      <c r="R265" s="472">
        <v>2</v>
      </c>
      <c r="S265" s="498">
        <f t="shared" si="7"/>
        <v>2.9850746268656716E-2</v>
      </c>
      <c r="T265" s="473">
        <v>244</v>
      </c>
      <c r="U265" s="498">
        <f t="shared" si="8"/>
        <v>2.5705857564264644E-2</v>
      </c>
      <c r="V265" s="429"/>
      <c r="W265" s="432"/>
      <c r="X265" s="419"/>
    </row>
    <row r="266" spans="1:25" s="420" customFormat="1" ht="15.75" x14ac:dyDescent="0.25">
      <c r="A266" s="428"/>
      <c r="B266" s="472" t="s">
        <v>90</v>
      </c>
      <c r="C266" s="497"/>
      <c r="D266" s="497"/>
      <c r="E266" s="497"/>
      <c r="F266" s="429"/>
      <c r="G266" s="498"/>
      <c r="H266" s="497"/>
      <c r="I266" s="497"/>
      <c r="J266" s="497"/>
      <c r="K266" s="497"/>
      <c r="L266" s="497"/>
      <c r="M266" s="497"/>
      <c r="N266" s="497"/>
      <c r="O266" s="497"/>
      <c r="P266" s="497"/>
      <c r="Q266" s="497"/>
      <c r="R266" s="472">
        <v>2</v>
      </c>
      <c r="S266" s="498">
        <f t="shared" si="7"/>
        <v>2.9850746268656716E-2</v>
      </c>
      <c r="T266" s="473">
        <v>212</v>
      </c>
      <c r="U266" s="498">
        <f t="shared" si="8"/>
        <v>2.2334597555836493E-2</v>
      </c>
      <c r="V266" s="429"/>
      <c r="W266" s="432"/>
      <c r="X266" s="419"/>
    </row>
    <row r="267" spans="1:25" s="420" customFormat="1" ht="15.75" x14ac:dyDescent="0.25">
      <c r="A267" s="428"/>
      <c r="B267" s="472" t="s">
        <v>156</v>
      </c>
      <c r="C267" s="497"/>
      <c r="D267" s="497"/>
      <c r="E267" s="497"/>
      <c r="F267" s="429"/>
      <c r="G267" s="498"/>
      <c r="H267" s="497"/>
      <c r="I267" s="497"/>
      <c r="J267" s="497"/>
      <c r="K267" s="497"/>
      <c r="L267" s="497"/>
      <c r="M267" s="497"/>
      <c r="N267" s="497"/>
      <c r="O267" s="497"/>
      <c r="P267" s="497"/>
      <c r="Q267" s="497"/>
      <c r="R267" s="472">
        <v>0</v>
      </c>
      <c r="S267" s="498">
        <f t="shared" si="7"/>
        <v>0</v>
      </c>
      <c r="T267" s="473">
        <v>0</v>
      </c>
      <c r="U267" s="498">
        <f t="shared" si="8"/>
        <v>0</v>
      </c>
      <c r="V267" s="429"/>
      <c r="W267" s="432"/>
      <c r="X267" s="419"/>
    </row>
    <row r="268" spans="1:25" s="420" customFormat="1" ht="15.75" x14ac:dyDescent="0.25">
      <c r="A268" s="428"/>
      <c r="B268" s="472" t="s">
        <v>157</v>
      </c>
      <c r="C268" s="497"/>
      <c r="D268" s="497"/>
      <c r="E268" s="497"/>
      <c r="F268" s="429"/>
      <c r="G268" s="498"/>
      <c r="H268" s="497"/>
      <c r="I268" s="497"/>
      <c r="J268" s="497"/>
      <c r="K268" s="497"/>
      <c r="L268" s="497"/>
      <c r="M268" s="497"/>
      <c r="N268" s="497"/>
      <c r="O268" s="497"/>
      <c r="P268" s="497"/>
      <c r="Q268" s="497"/>
      <c r="R268" s="472">
        <v>1</v>
      </c>
      <c r="S268" s="498">
        <f t="shared" si="7"/>
        <v>1.4925373134328358E-2</v>
      </c>
      <c r="T268" s="473">
        <v>631</v>
      </c>
      <c r="U268" s="498">
        <f t="shared" si="8"/>
        <v>6.6477033291192589E-2</v>
      </c>
      <c r="V268" s="429"/>
      <c r="W268" s="432"/>
      <c r="X268" s="419"/>
    </row>
    <row r="269" spans="1:25" s="420" customFormat="1" ht="15.75" x14ac:dyDescent="0.25">
      <c r="A269" s="428"/>
      <c r="B269" s="472" t="s">
        <v>158</v>
      </c>
      <c r="C269" s="497"/>
      <c r="D269" s="497"/>
      <c r="E269" s="497"/>
      <c r="F269" s="429"/>
      <c r="G269" s="498"/>
      <c r="H269" s="497"/>
      <c r="I269" s="497"/>
      <c r="J269" s="497"/>
      <c r="K269" s="497"/>
      <c r="L269" s="497"/>
      <c r="M269" s="497"/>
      <c r="N269" s="497"/>
      <c r="O269" s="497"/>
      <c r="P269" s="497"/>
      <c r="Q269" s="497"/>
      <c r="R269" s="472">
        <v>0</v>
      </c>
      <c r="S269" s="498">
        <f t="shared" si="7"/>
        <v>0</v>
      </c>
      <c r="T269" s="473">
        <v>0</v>
      </c>
      <c r="U269" s="498">
        <f t="shared" si="8"/>
        <v>0</v>
      </c>
      <c r="V269" s="429"/>
      <c r="W269" s="432"/>
      <c r="X269" s="419"/>
    </row>
    <row r="270" spans="1:25" s="420" customFormat="1" ht="15.75" x14ac:dyDescent="0.25">
      <c r="A270" s="428"/>
      <c r="B270" s="472" t="s">
        <v>159</v>
      </c>
      <c r="C270" s="497"/>
      <c r="D270" s="497"/>
      <c r="E270" s="497"/>
      <c r="F270" s="429"/>
      <c r="G270" s="498"/>
      <c r="H270" s="497"/>
      <c r="I270" s="497"/>
      <c r="J270" s="497"/>
      <c r="K270" s="497"/>
      <c r="L270" s="497"/>
      <c r="M270" s="497"/>
      <c r="N270" s="497"/>
      <c r="O270" s="497"/>
      <c r="P270" s="497"/>
      <c r="Q270" s="497"/>
      <c r="R270" s="472">
        <v>0</v>
      </c>
      <c r="S270" s="498">
        <f t="shared" si="7"/>
        <v>0</v>
      </c>
      <c r="T270" s="473">
        <v>0</v>
      </c>
      <c r="U270" s="498">
        <f t="shared" si="8"/>
        <v>0</v>
      </c>
      <c r="V270" s="429"/>
      <c r="W270" s="432"/>
      <c r="X270" s="419"/>
    </row>
    <row r="271" spans="1:25" s="420" customFormat="1" ht="15.75" x14ac:dyDescent="0.25">
      <c r="A271" s="428"/>
      <c r="B271" s="472" t="s">
        <v>160</v>
      </c>
      <c r="C271" s="497"/>
      <c r="D271" s="497"/>
      <c r="E271" s="497"/>
      <c r="F271" s="429"/>
      <c r="G271" s="498"/>
      <c r="H271" s="497"/>
      <c r="I271" s="497"/>
      <c r="J271" s="497"/>
      <c r="K271" s="497"/>
      <c r="L271" s="497"/>
      <c r="M271" s="497"/>
      <c r="N271" s="497"/>
      <c r="O271" s="497"/>
      <c r="P271" s="497"/>
      <c r="Q271" s="497"/>
      <c r="R271" s="472">
        <v>1</v>
      </c>
      <c r="S271" s="498">
        <f>R271/$R$273</f>
        <v>1.4925373134328358E-2</v>
      </c>
      <c r="T271" s="473">
        <v>145</v>
      </c>
      <c r="U271" s="498">
        <f t="shared" si="8"/>
        <v>1.5276021913190056E-2</v>
      </c>
      <c r="V271" s="429"/>
      <c r="W271" s="432"/>
      <c r="X271" s="419"/>
    </row>
    <row r="272" spans="1:25" s="420" customFormat="1" ht="15.75" x14ac:dyDescent="0.25">
      <c r="A272" s="428"/>
      <c r="B272" s="472"/>
      <c r="C272" s="497"/>
      <c r="D272" s="497"/>
      <c r="E272" s="497"/>
      <c r="F272" s="429"/>
      <c r="G272" s="498"/>
      <c r="H272" s="497"/>
      <c r="I272" s="497"/>
      <c r="J272" s="497"/>
      <c r="K272" s="497"/>
      <c r="L272" s="497"/>
      <c r="M272" s="497"/>
      <c r="N272" s="497"/>
      <c r="O272" s="497"/>
      <c r="P272" s="497"/>
      <c r="Q272" s="497"/>
      <c r="R272" s="472"/>
      <c r="S272" s="498"/>
      <c r="T272" s="473"/>
      <c r="U272" s="498"/>
      <c r="V272" s="429"/>
      <c r="W272" s="432"/>
      <c r="X272" s="419"/>
    </row>
    <row r="273" spans="1:24" s="420" customFormat="1" ht="15.75" x14ac:dyDescent="0.25">
      <c r="A273" s="428"/>
      <c r="B273" s="429"/>
      <c r="C273" s="429"/>
      <c r="D273" s="429"/>
      <c r="E273" s="429"/>
      <c r="F273" s="429"/>
      <c r="G273" s="429"/>
      <c r="H273" s="501"/>
      <c r="I273" s="501"/>
      <c r="J273" s="501"/>
      <c r="K273" s="501"/>
      <c r="L273" s="501"/>
      <c r="M273" s="501"/>
      <c r="N273" s="501"/>
      <c r="O273" s="501"/>
      <c r="P273" s="501"/>
      <c r="Q273" s="501"/>
      <c r="R273" s="472">
        <f>SUM(R264:R272)</f>
        <v>67</v>
      </c>
      <c r="S273" s="498">
        <f>SUM(S264:S272)</f>
        <v>1</v>
      </c>
      <c r="T273" s="473">
        <f>SUM(T264:T272)</f>
        <v>9492</v>
      </c>
      <c r="U273" s="498">
        <f>SUM(U264:U272)</f>
        <v>1</v>
      </c>
      <c r="V273" s="429"/>
      <c r="W273" s="432"/>
      <c r="X273" s="419"/>
    </row>
    <row r="274" spans="1:24" ht="15.75" x14ac:dyDescent="0.25">
      <c r="A274" s="181"/>
      <c r="B274" s="212"/>
      <c r="C274" s="212"/>
      <c r="D274" s="212"/>
      <c r="E274" s="212"/>
      <c r="F274" s="212"/>
      <c r="G274" s="212"/>
      <c r="H274" s="375"/>
      <c r="I274" s="375"/>
      <c r="J274" s="375"/>
      <c r="K274" s="375"/>
      <c r="L274" s="375"/>
      <c r="M274" s="375"/>
      <c r="N274" s="375"/>
      <c r="O274" s="375"/>
      <c r="P274" s="375"/>
      <c r="Q274" s="375"/>
      <c r="R274" s="335"/>
      <c r="S274" s="376"/>
      <c r="T274" s="377"/>
      <c r="U274" s="376"/>
      <c r="V274" s="212"/>
      <c r="W274" s="212"/>
      <c r="X274" s="5"/>
    </row>
    <row r="275" spans="1:24" ht="15.75" x14ac:dyDescent="0.25">
      <c r="A275" s="536"/>
      <c r="B275" s="547" t="s">
        <v>163</v>
      </c>
      <c r="C275" s="540"/>
      <c r="D275" s="540"/>
      <c r="E275" s="540"/>
      <c r="F275" s="540"/>
      <c r="G275" s="540"/>
      <c r="H275" s="567"/>
      <c r="I275" s="567"/>
      <c r="J275" s="567"/>
      <c r="K275" s="567"/>
      <c r="L275" s="567"/>
      <c r="M275" s="567"/>
      <c r="N275" s="567"/>
      <c r="O275" s="567"/>
      <c r="P275" s="567"/>
      <c r="Q275" s="567"/>
      <c r="R275" s="563" t="s">
        <v>102</v>
      </c>
      <c r="S275" s="548" t="s">
        <v>103</v>
      </c>
      <c r="T275" s="563" t="s">
        <v>109</v>
      </c>
      <c r="U275" s="548" t="s">
        <v>103</v>
      </c>
      <c r="V275" s="540"/>
      <c r="W275" s="544"/>
      <c r="X275" s="5"/>
    </row>
    <row r="276" spans="1:24" s="420" customFormat="1" ht="15.75" x14ac:dyDescent="0.25">
      <c r="A276" s="416"/>
      <c r="B276" s="478" t="s">
        <v>88</v>
      </c>
      <c r="C276" s="462"/>
      <c r="D276" s="462"/>
      <c r="E276" s="462"/>
      <c r="F276" s="462"/>
      <c r="G276" s="462"/>
      <c r="H276" s="504"/>
      <c r="I276" s="504"/>
      <c r="J276" s="504"/>
      <c r="K276" s="504"/>
      <c r="L276" s="504"/>
      <c r="M276" s="504"/>
      <c r="N276" s="504"/>
      <c r="O276" s="504"/>
      <c r="P276" s="504"/>
      <c r="Q276" s="504"/>
      <c r="R276" s="478">
        <v>0</v>
      </c>
      <c r="S276" s="500">
        <v>0</v>
      </c>
      <c r="T276" s="499">
        <v>0</v>
      </c>
      <c r="U276" s="500">
        <v>0</v>
      </c>
      <c r="V276" s="462"/>
      <c r="W276" s="462"/>
      <c r="X276" s="419"/>
    </row>
    <row r="277" spans="1:24" s="420" customFormat="1" ht="15.75" x14ac:dyDescent="0.25">
      <c r="A277" s="428"/>
      <c r="B277" s="472" t="s">
        <v>89</v>
      </c>
      <c r="C277" s="429"/>
      <c r="D277" s="429"/>
      <c r="E277" s="429"/>
      <c r="F277" s="429"/>
      <c r="G277" s="429"/>
      <c r="H277" s="501"/>
      <c r="I277" s="501"/>
      <c r="J277" s="501"/>
      <c r="K277" s="501"/>
      <c r="L277" s="501"/>
      <c r="M277" s="501"/>
      <c r="N277" s="501"/>
      <c r="O277" s="501"/>
      <c r="P277" s="501"/>
      <c r="Q277" s="501"/>
      <c r="R277" s="472">
        <v>0</v>
      </c>
      <c r="S277" s="498">
        <v>0</v>
      </c>
      <c r="T277" s="473">
        <v>0</v>
      </c>
      <c r="U277" s="498">
        <v>0</v>
      </c>
      <c r="V277" s="429"/>
      <c r="W277" s="432"/>
      <c r="X277" s="419"/>
    </row>
    <row r="278" spans="1:24" s="420" customFormat="1" ht="15.75" x14ac:dyDescent="0.25">
      <c r="A278" s="428"/>
      <c r="B278" s="472" t="s">
        <v>90</v>
      </c>
      <c r="C278" s="429"/>
      <c r="D278" s="429"/>
      <c r="E278" s="429"/>
      <c r="F278" s="429"/>
      <c r="G278" s="429"/>
      <c r="H278" s="501"/>
      <c r="I278" s="501"/>
      <c r="J278" s="501"/>
      <c r="K278" s="501"/>
      <c r="L278" s="501"/>
      <c r="M278" s="501"/>
      <c r="N278" s="501"/>
      <c r="O278" s="501"/>
      <c r="P278" s="501"/>
      <c r="Q278" s="501"/>
      <c r="R278" s="472">
        <v>0</v>
      </c>
      <c r="S278" s="498">
        <v>0</v>
      </c>
      <c r="T278" s="473">
        <v>0</v>
      </c>
      <c r="U278" s="498">
        <v>0</v>
      </c>
      <c r="V278" s="429"/>
      <c r="W278" s="432"/>
      <c r="X278" s="419"/>
    </row>
    <row r="279" spans="1:24" s="420" customFormat="1" ht="15.75" x14ac:dyDescent="0.25">
      <c r="A279" s="428"/>
      <c r="B279" s="472" t="s">
        <v>156</v>
      </c>
      <c r="C279" s="429"/>
      <c r="D279" s="429"/>
      <c r="E279" s="429"/>
      <c r="F279" s="429"/>
      <c r="G279" s="429"/>
      <c r="H279" s="501"/>
      <c r="I279" s="501"/>
      <c r="J279" s="501"/>
      <c r="K279" s="501"/>
      <c r="L279" s="501"/>
      <c r="M279" s="501"/>
      <c r="N279" s="501"/>
      <c r="O279" s="501"/>
      <c r="P279" s="501"/>
      <c r="Q279" s="501"/>
      <c r="R279" s="472">
        <v>0</v>
      </c>
      <c r="S279" s="498">
        <v>0</v>
      </c>
      <c r="T279" s="473">
        <v>0</v>
      </c>
      <c r="U279" s="498">
        <v>0</v>
      </c>
      <c r="V279" s="429"/>
      <c r="W279" s="432"/>
      <c r="X279" s="419"/>
    </row>
    <row r="280" spans="1:24" s="420" customFormat="1" ht="15.75" x14ac:dyDescent="0.25">
      <c r="A280" s="428"/>
      <c r="B280" s="472" t="s">
        <v>157</v>
      </c>
      <c r="C280" s="429"/>
      <c r="D280" s="429"/>
      <c r="E280" s="429"/>
      <c r="F280" s="429"/>
      <c r="G280" s="429"/>
      <c r="H280" s="501"/>
      <c r="I280" s="501"/>
      <c r="J280" s="501"/>
      <c r="K280" s="501"/>
      <c r="L280" s="501"/>
      <c r="M280" s="501"/>
      <c r="N280" s="501"/>
      <c r="O280" s="501"/>
      <c r="P280" s="501"/>
      <c r="Q280" s="501"/>
      <c r="R280" s="472">
        <v>0</v>
      </c>
      <c r="S280" s="498">
        <v>0</v>
      </c>
      <c r="T280" s="473">
        <v>0</v>
      </c>
      <c r="U280" s="498">
        <v>0</v>
      </c>
      <c r="V280" s="429"/>
      <c r="W280" s="432"/>
      <c r="X280" s="419"/>
    </row>
    <row r="281" spans="1:24" s="420" customFormat="1" ht="15.75" x14ac:dyDescent="0.25">
      <c r="A281" s="428"/>
      <c r="B281" s="472" t="s">
        <v>158</v>
      </c>
      <c r="C281" s="429"/>
      <c r="D281" s="429"/>
      <c r="E281" s="429"/>
      <c r="F281" s="429"/>
      <c r="G281" s="429"/>
      <c r="H281" s="501"/>
      <c r="I281" s="501"/>
      <c r="J281" s="501"/>
      <c r="K281" s="501"/>
      <c r="L281" s="501"/>
      <c r="M281" s="501"/>
      <c r="N281" s="501"/>
      <c r="O281" s="501"/>
      <c r="P281" s="501"/>
      <c r="Q281" s="501"/>
      <c r="R281" s="472">
        <v>0</v>
      </c>
      <c r="S281" s="498">
        <v>0</v>
      </c>
      <c r="T281" s="473">
        <v>0</v>
      </c>
      <c r="U281" s="498">
        <v>0</v>
      </c>
      <c r="V281" s="429"/>
      <c r="W281" s="432"/>
      <c r="X281" s="419"/>
    </row>
    <row r="282" spans="1:24" s="420" customFormat="1" ht="15.75" x14ac:dyDescent="0.25">
      <c r="A282" s="428"/>
      <c r="B282" s="472" t="s">
        <v>159</v>
      </c>
      <c r="C282" s="429"/>
      <c r="D282" s="429"/>
      <c r="E282" s="429"/>
      <c r="F282" s="429"/>
      <c r="G282" s="429"/>
      <c r="H282" s="501"/>
      <c r="I282" s="501"/>
      <c r="J282" s="501"/>
      <c r="K282" s="501"/>
      <c r="L282" s="501"/>
      <c r="M282" s="501"/>
      <c r="N282" s="501"/>
      <c r="O282" s="501"/>
      <c r="P282" s="501"/>
      <c r="Q282" s="501"/>
      <c r="R282" s="472">
        <v>0</v>
      </c>
      <c r="S282" s="498">
        <v>0</v>
      </c>
      <c r="T282" s="473">
        <v>0</v>
      </c>
      <c r="U282" s="498">
        <v>0</v>
      </c>
      <c r="V282" s="429"/>
      <c r="W282" s="432"/>
      <c r="X282" s="419"/>
    </row>
    <row r="283" spans="1:24" s="420" customFormat="1" ht="15.75" x14ac:dyDescent="0.25">
      <c r="A283" s="428"/>
      <c r="B283" s="472" t="s">
        <v>160</v>
      </c>
      <c r="C283" s="429"/>
      <c r="D283" s="429"/>
      <c r="E283" s="429"/>
      <c r="F283" s="429"/>
      <c r="G283" s="429"/>
      <c r="H283" s="501"/>
      <c r="I283" s="501"/>
      <c r="J283" s="501"/>
      <c r="K283" s="501"/>
      <c r="L283" s="501"/>
      <c r="M283" s="501"/>
      <c r="N283" s="501"/>
      <c r="O283" s="501"/>
      <c r="P283" s="501"/>
      <c r="Q283" s="501"/>
      <c r="R283" s="472">
        <v>0</v>
      </c>
      <c r="S283" s="498">
        <v>0</v>
      </c>
      <c r="T283" s="473">
        <v>0</v>
      </c>
      <c r="U283" s="498">
        <v>0</v>
      </c>
      <c r="V283" s="429"/>
      <c r="W283" s="432"/>
      <c r="X283" s="419"/>
    </row>
    <row r="284" spans="1:24" s="420" customFormat="1" ht="15.75" x14ac:dyDescent="0.25">
      <c r="A284" s="428"/>
      <c r="B284" s="472"/>
      <c r="C284" s="429"/>
      <c r="D284" s="429"/>
      <c r="E284" s="429"/>
      <c r="F284" s="429"/>
      <c r="G284" s="429"/>
      <c r="H284" s="501"/>
      <c r="I284" s="501"/>
      <c r="J284" s="501"/>
      <c r="K284" s="501"/>
      <c r="L284" s="501"/>
      <c r="M284" s="501"/>
      <c r="N284" s="501"/>
      <c r="O284" s="501"/>
      <c r="P284" s="501"/>
      <c r="Q284" s="501"/>
      <c r="R284" s="472"/>
      <c r="S284" s="498"/>
      <c r="T284" s="473"/>
      <c r="U284" s="498"/>
      <c r="V284" s="429"/>
      <c r="W284" s="432"/>
      <c r="X284" s="419"/>
    </row>
    <row r="285" spans="1:24" s="420" customFormat="1" ht="15.75" x14ac:dyDescent="0.25">
      <c r="A285" s="428"/>
      <c r="B285" s="429" t="s">
        <v>114</v>
      </c>
      <c r="C285" s="429"/>
      <c r="D285" s="429"/>
      <c r="E285" s="429"/>
      <c r="F285" s="429"/>
      <c r="G285" s="429"/>
      <c r="H285" s="501"/>
      <c r="I285" s="501"/>
      <c r="J285" s="501"/>
      <c r="K285" s="501"/>
      <c r="L285" s="501"/>
      <c r="M285" s="501"/>
      <c r="N285" s="501"/>
      <c r="O285" s="501"/>
      <c r="P285" s="501"/>
      <c r="Q285" s="501"/>
      <c r="R285" s="472">
        <f>SUM(R276:R283)</f>
        <v>0</v>
      </c>
      <c r="S285" s="498">
        <f>SUM(S276:S283)</f>
        <v>0</v>
      </c>
      <c r="T285" s="473">
        <f>SUM(T276:T283)</f>
        <v>0</v>
      </c>
      <c r="U285" s="498">
        <f>SUM(U276:U283)</f>
        <v>0</v>
      </c>
      <c r="V285" s="429"/>
      <c r="W285" s="432"/>
      <c r="X285" s="419"/>
    </row>
    <row r="286" spans="1:24" s="420" customFormat="1" ht="15.75" x14ac:dyDescent="0.25">
      <c r="A286" s="428"/>
      <c r="B286" s="429"/>
      <c r="C286" s="429"/>
      <c r="D286" s="429"/>
      <c r="E286" s="429"/>
      <c r="F286" s="429"/>
      <c r="G286" s="429"/>
      <c r="H286" s="501"/>
      <c r="I286" s="501"/>
      <c r="J286" s="501"/>
      <c r="K286" s="501"/>
      <c r="L286" s="501"/>
      <c r="M286" s="501"/>
      <c r="N286" s="501"/>
      <c r="O286" s="501"/>
      <c r="P286" s="501"/>
      <c r="Q286" s="501"/>
      <c r="R286" s="472"/>
      <c r="S286" s="498"/>
      <c r="T286" s="473"/>
      <c r="U286" s="498"/>
      <c r="V286" s="429"/>
      <c r="W286" s="432"/>
      <c r="X286" s="419"/>
    </row>
    <row r="287" spans="1:24" s="420" customFormat="1" ht="15.75" x14ac:dyDescent="0.25">
      <c r="A287" s="428"/>
      <c r="B287" s="435" t="s">
        <v>164</v>
      </c>
      <c r="C287" s="429"/>
      <c r="D287" s="429"/>
      <c r="E287" s="429"/>
      <c r="F287" s="429"/>
      <c r="G287" s="429"/>
      <c r="H287" s="501"/>
      <c r="I287" s="501"/>
      <c r="J287" s="501"/>
      <c r="K287" s="501"/>
      <c r="L287" s="501"/>
      <c r="M287" s="501"/>
      <c r="N287" s="501"/>
      <c r="O287" s="501"/>
      <c r="P287" s="501"/>
      <c r="Q287" s="501"/>
      <c r="R287" s="502">
        <f>R285+R273+R261</f>
        <v>4613</v>
      </c>
      <c r="S287" s="498"/>
      <c r="T287" s="503">
        <f>+T285+T273+T261</f>
        <v>633581</v>
      </c>
      <c r="U287" s="498"/>
      <c r="V287" s="429"/>
      <c r="W287" s="432"/>
      <c r="X287" s="419"/>
    </row>
    <row r="288" spans="1:24" s="420" customFormat="1" ht="15.75" x14ac:dyDescent="0.25">
      <c r="A288" s="416"/>
      <c r="B288" s="462"/>
      <c r="C288" s="462"/>
      <c r="D288" s="462"/>
      <c r="E288" s="462"/>
      <c r="F288" s="462"/>
      <c r="G288" s="462"/>
      <c r="H288" s="504"/>
      <c r="I288" s="504"/>
      <c r="J288" s="504"/>
      <c r="K288" s="504"/>
      <c r="L288" s="504"/>
      <c r="M288" s="504"/>
      <c r="N288" s="504"/>
      <c r="O288" s="504"/>
      <c r="P288" s="504"/>
      <c r="Q288" s="504"/>
      <c r="R288" s="504"/>
      <c r="S288" s="504"/>
      <c r="T288" s="499"/>
      <c r="U288" s="504"/>
      <c r="V288" s="462"/>
      <c r="W288" s="462"/>
      <c r="X288" s="419"/>
    </row>
    <row r="289" spans="1:24" s="420" customFormat="1" ht="15.75" x14ac:dyDescent="0.25">
      <c r="A289" s="416"/>
      <c r="B289" s="417"/>
      <c r="C289" s="417"/>
      <c r="D289" s="417"/>
      <c r="E289" s="417"/>
      <c r="F289" s="417"/>
      <c r="G289" s="417"/>
      <c r="H289" s="505"/>
      <c r="I289" s="505"/>
      <c r="J289" s="505"/>
      <c r="K289" s="505"/>
      <c r="L289" s="505"/>
      <c r="M289" s="505"/>
      <c r="N289" s="505"/>
      <c r="O289" s="505"/>
      <c r="P289" s="505"/>
      <c r="Q289" s="505"/>
      <c r="R289" s="505"/>
      <c r="S289" s="505"/>
      <c r="T289" s="506"/>
      <c r="U289" s="505"/>
      <c r="V289" s="417"/>
      <c r="W289" s="417"/>
      <c r="X289" s="419"/>
    </row>
    <row r="290" spans="1:24" s="420" customFormat="1" ht="15.75" x14ac:dyDescent="0.25">
      <c r="A290" s="507"/>
      <c r="B290" s="415" t="s">
        <v>91</v>
      </c>
      <c r="C290" s="417"/>
      <c r="D290" s="417"/>
      <c r="E290" s="417"/>
      <c r="F290" s="423" t="s">
        <v>97</v>
      </c>
      <c r="G290" s="417"/>
      <c r="H290" s="415" t="s">
        <v>99</v>
      </c>
      <c r="I290" s="415"/>
      <c r="J290" s="415"/>
      <c r="K290" s="427"/>
      <c r="L290" s="427"/>
      <c r="M290" s="427"/>
      <c r="N290" s="427"/>
      <c r="O290" s="427"/>
      <c r="P290" s="427"/>
      <c r="Q290" s="427"/>
      <c r="R290" s="427"/>
      <c r="S290" s="427"/>
      <c r="T290" s="427"/>
      <c r="U290" s="427"/>
      <c r="V290" s="427"/>
      <c r="W290" s="427"/>
      <c r="X290" s="419"/>
    </row>
    <row r="291" spans="1:24" s="420" customFormat="1" ht="15.75" x14ac:dyDescent="0.25">
      <c r="A291" s="507"/>
      <c r="B291" s="427"/>
      <c r="C291" s="417"/>
      <c r="D291" s="417"/>
      <c r="E291" s="417"/>
      <c r="F291" s="417"/>
      <c r="G291" s="417"/>
      <c r="H291" s="417"/>
      <c r="I291" s="417"/>
      <c r="J291" s="417"/>
      <c r="K291" s="427"/>
      <c r="L291" s="427"/>
      <c r="M291" s="427"/>
      <c r="N291" s="427"/>
      <c r="O291" s="427"/>
      <c r="P291" s="427"/>
      <c r="Q291" s="427"/>
      <c r="R291" s="427"/>
      <c r="S291" s="427"/>
      <c r="T291" s="427"/>
      <c r="U291" s="427"/>
      <c r="V291" s="427"/>
      <c r="W291" s="427"/>
      <c r="X291" s="419"/>
    </row>
    <row r="292" spans="1:24" s="420" customFormat="1" ht="15.75" x14ac:dyDescent="0.25">
      <c r="A292" s="507"/>
      <c r="B292" s="415" t="s">
        <v>319</v>
      </c>
      <c r="C292" s="415"/>
      <c r="D292" s="415"/>
      <c r="E292" s="415"/>
      <c r="F292" s="508" t="s">
        <v>266</v>
      </c>
      <c r="G292" s="415"/>
      <c r="H292" s="415" t="s">
        <v>267</v>
      </c>
      <c r="I292" s="415"/>
      <c r="J292" s="415"/>
      <c r="K292" s="427"/>
      <c r="L292" s="427"/>
      <c r="M292" s="427"/>
      <c r="N292" s="427"/>
      <c r="O292" s="427"/>
      <c r="P292" s="427"/>
      <c r="Q292" s="427"/>
      <c r="R292" s="427"/>
      <c r="S292" s="427"/>
      <c r="T292" s="427"/>
      <c r="U292" s="427"/>
      <c r="V292" s="427"/>
      <c r="W292" s="427"/>
      <c r="X292" s="419"/>
    </row>
    <row r="293" spans="1:24" s="420" customFormat="1" ht="15.75" x14ac:dyDescent="0.25">
      <c r="A293" s="507"/>
      <c r="B293" s="415" t="s">
        <v>320</v>
      </c>
      <c r="C293" s="415"/>
      <c r="D293" s="415"/>
      <c r="E293" s="415"/>
      <c r="F293" s="508" t="s">
        <v>147</v>
      </c>
      <c r="G293" s="415"/>
      <c r="H293" s="415" t="s">
        <v>153</v>
      </c>
      <c r="I293" s="415"/>
      <c r="J293" s="415"/>
      <c r="K293" s="427"/>
      <c r="L293" s="427"/>
      <c r="M293" s="427"/>
      <c r="N293" s="427"/>
      <c r="O293" s="427"/>
      <c r="P293" s="427"/>
      <c r="Q293" s="427"/>
      <c r="R293" s="427"/>
      <c r="S293" s="427"/>
      <c r="T293" s="427"/>
      <c r="U293" s="427"/>
      <c r="V293" s="427"/>
      <c r="W293" s="427"/>
      <c r="X293" s="419"/>
    </row>
    <row r="294" spans="1:24" s="420" customFormat="1" ht="15.75" x14ac:dyDescent="0.25">
      <c r="A294" s="507"/>
      <c r="B294" s="415"/>
      <c r="C294" s="415"/>
      <c r="D294" s="415"/>
      <c r="E294" s="415"/>
      <c r="F294" s="415"/>
      <c r="G294" s="509"/>
      <c r="H294" s="427"/>
      <c r="I294" s="427"/>
      <c r="J294" s="427"/>
      <c r="K294" s="427"/>
      <c r="L294" s="427"/>
      <c r="M294" s="427"/>
      <c r="N294" s="427"/>
      <c r="O294" s="427"/>
      <c r="P294" s="427"/>
      <c r="Q294" s="427"/>
      <c r="R294" s="427"/>
      <c r="S294" s="427"/>
      <c r="T294" s="427"/>
      <c r="U294" s="427"/>
      <c r="V294" s="427"/>
      <c r="W294" s="427"/>
      <c r="X294" s="419"/>
    </row>
    <row r="295" spans="1:24" s="420" customFormat="1" ht="15.75" x14ac:dyDescent="0.25">
      <c r="A295" s="507"/>
      <c r="B295" s="415"/>
      <c r="C295" s="415"/>
      <c r="D295" s="415"/>
      <c r="E295" s="415"/>
      <c r="F295" s="415"/>
      <c r="G295" s="509"/>
      <c r="H295" s="427"/>
      <c r="I295" s="427"/>
      <c r="J295" s="427"/>
      <c r="K295" s="427"/>
      <c r="L295" s="427"/>
      <c r="M295" s="427"/>
      <c r="N295" s="427"/>
      <c r="O295" s="427"/>
      <c r="P295" s="427"/>
      <c r="Q295" s="427"/>
      <c r="R295" s="427"/>
      <c r="S295" s="427"/>
      <c r="T295" s="427"/>
      <c r="U295" s="427"/>
      <c r="V295" s="427"/>
      <c r="W295" s="427"/>
      <c r="X295" s="419"/>
    </row>
    <row r="296" spans="1:24" s="420" customFormat="1" ht="19.5" thickBot="1" x14ac:dyDescent="0.35">
      <c r="A296" s="507"/>
      <c r="B296" s="510" t="str">
        <f>B201</f>
        <v>PM15 INVESTOR REPORT QUARTER ENDING NOVEMBER 2017</v>
      </c>
      <c r="C296" s="415"/>
      <c r="D296" s="415"/>
      <c r="E296" s="415"/>
      <c r="F296" s="415"/>
      <c r="G296" s="509"/>
      <c r="H296" s="427"/>
      <c r="I296" s="427"/>
      <c r="J296" s="427"/>
      <c r="K296" s="427"/>
      <c r="L296" s="427"/>
      <c r="M296" s="427"/>
      <c r="N296" s="427"/>
      <c r="O296" s="427"/>
      <c r="P296" s="427"/>
      <c r="Q296" s="427"/>
      <c r="R296" s="427"/>
      <c r="S296" s="427"/>
      <c r="T296" s="427"/>
      <c r="U296" s="427"/>
      <c r="V296" s="427"/>
      <c r="W296" s="427"/>
      <c r="X296" s="419"/>
    </row>
    <row r="297" spans="1:24" x14ac:dyDescent="0.2">
      <c r="A297" s="100"/>
      <c r="B297" s="100"/>
      <c r="C297" s="100"/>
      <c r="D297" s="100"/>
      <c r="E297" s="100"/>
      <c r="F297" s="100"/>
      <c r="G297" s="100"/>
      <c r="H297" s="100"/>
      <c r="I297" s="100"/>
      <c r="J297" s="100"/>
      <c r="K297" s="100"/>
      <c r="L297" s="100"/>
      <c r="M297" s="100"/>
      <c r="N297" s="100"/>
      <c r="O297" s="100"/>
      <c r="P297" s="100"/>
      <c r="Q297" s="100"/>
      <c r="R297" s="100"/>
      <c r="S297" s="100"/>
      <c r="T297" s="100"/>
      <c r="U297" s="100"/>
      <c r="V297" s="100"/>
      <c r="W297" s="100"/>
    </row>
  </sheetData>
  <hyperlinks>
    <hyperlink ref="I9" r:id="rId1" xr:uid="{00000000-0004-0000-2800-000000000000}"/>
    <hyperlink ref="P237" r:id="rId2" xr:uid="{00000000-0004-0000-28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5" max="14" man="1"/>
    <brk id="201" max="14" man="1"/>
  </rowBreaks>
  <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6"/>
  </sheetPr>
  <dimension ref="A1:IV297"/>
  <sheetViews>
    <sheetView showGridLines="0" showOutlineSymbols="0" zoomScale="70" zoomScaleNormal="70" workbookViewId="0"/>
  </sheetViews>
  <sheetFormatPr defaultColWidth="9.6640625" defaultRowHeight="15" x14ac:dyDescent="0.2"/>
  <cols>
    <col min="1" max="1" width="4" style="1" customWidth="1"/>
    <col min="2" max="2" width="71.21875" style="1" customWidth="1"/>
    <col min="3" max="3" width="2.21875" style="1" customWidth="1"/>
    <col min="4" max="4" width="19.33203125" style="1" customWidth="1"/>
    <col min="5" max="5" width="2.21875" style="1" customWidth="1"/>
    <col min="6" max="6" width="25.109375" style="1" customWidth="1"/>
    <col min="7" max="7" width="2.21875" style="1" customWidth="1"/>
    <col min="8" max="8" width="16.21875" style="1" customWidth="1"/>
    <col min="9" max="9" width="2.88671875" style="1" customWidth="1"/>
    <col min="10" max="10" width="16.21875" style="1" customWidth="1"/>
    <col min="11" max="11" width="2.21875" style="1" customWidth="1"/>
    <col min="12" max="12" width="17.88671875" style="1" customWidth="1"/>
    <col min="13" max="13" width="2.33203125" style="1" customWidth="1"/>
    <col min="14" max="14" width="14.88671875" style="1" customWidth="1"/>
    <col min="15" max="15" width="2.33203125" style="1" customWidth="1"/>
    <col min="16" max="16" width="15.5546875" style="1" customWidth="1"/>
    <col min="17" max="17" width="2.21875" style="1" customWidth="1"/>
    <col min="18" max="18" width="15.5546875" style="1" customWidth="1"/>
    <col min="19" max="20" width="12.6640625" style="1" customWidth="1"/>
    <col min="21" max="21" width="7.77734375" style="1" customWidth="1"/>
    <col min="22" max="22" width="14.6640625" style="1" customWidth="1"/>
    <col min="23" max="23" width="11.77734375" style="1" customWidth="1"/>
    <col min="24" max="16384" width="9.6640625" style="1"/>
  </cols>
  <sheetData>
    <row r="1" spans="1:24" ht="20.25" x14ac:dyDescent="0.3">
      <c r="A1" s="179"/>
      <c r="B1" s="413" t="s">
        <v>237</v>
      </c>
      <c r="C1" s="180"/>
      <c r="D1" s="180"/>
      <c r="E1" s="180"/>
      <c r="F1" s="180"/>
      <c r="G1" s="180"/>
      <c r="H1" s="180"/>
      <c r="I1" s="180"/>
      <c r="J1" s="180"/>
      <c r="K1" s="180"/>
      <c r="L1" s="180"/>
      <c r="M1" s="180"/>
      <c r="N1" s="180"/>
      <c r="O1" s="180"/>
      <c r="P1" s="180"/>
      <c r="Q1" s="180"/>
      <c r="R1" s="180"/>
      <c r="S1" s="180"/>
      <c r="T1" s="180"/>
      <c r="U1" s="180"/>
      <c r="V1" s="180"/>
      <c r="W1" s="180"/>
      <c r="X1" s="5"/>
    </row>
    <row r="2" spans="1:24" ht="15.75" x14ac:dyDescent="0.25">
      <c r="A2" s="181"/>
      <c r="B2" s="182"/>
      <c r="C2" s="183"/>
      <c r="D2" s="183"/>
      <c r="E2" s="183"/>
      <c r="F2" s="183"/>
      <c r="G2" s="183"/>
      <c r="H2" s="183"/>
      <c r="I2" s="183"/>
      <c r="J2" s="183"/>
      <c r="K2" s="183"/>
      <c r="L2" s="183"/>
      <c r="M2" s="183"/>
      <c r="N2" s="183"/>
      <c r="O2" s="183"/>
      <c r="P2" s="183"/>
      <c r="Q2" s="183"/>
      <c r="R2" s="183"/>
      <c r="S2" s="183"/>
      <c r="T2" s="183"/>
      <c r="U2" s="183"/>
      <c r="V2" s="183"/>
      <c r="W2" s="183"/>
      <c r="X2" s="5"/>
    </row>
    <row r="3" spans="1:24" ht="15.75" x14ac:dyDescent="0.25">
      <c r="A3" s="184"/>
      <c r="B3" s="511" t="s">
        <v>238</v>
      </c>
      <c r="C3" s="183"/>
      <c r="D3" s="183"/>
      <c r="E3" s="183"/>
      <c r="F3" s="183"/>
      <c r="G3" s="183"/>
      <c r="H3" s="183"/>
      <c r="I3" s="183"/>
      <c r="J3" s="183"/>
      <c r="K3" s="183"/>
      <c r="L3" s="183"/>
      <c r="M3" s="183"/>
      <c r="N3" s="183"/>
      <c r="O3" s="183"/>
      <c r="P3" s="183"/>
      <c r="Q3" s="183"/>
      <c r="R3" s="183"/>
      <c r="S3" s="183"/>
      <c r="T3" s="183"/>
      <c r="U3" s="183"/>
      <c r="V3" s="183"/>
      <c r="W3" s="183"/>
      <c r="X3" s="5"/>
    </row>
    <row r="4" spans="1:24" ht="15.75" x14ac:dyDescent="0.25">
      <c r="A4" s="181"/>
      <c r="B4" s="182"/>
      <c r="C4" s="183"/>
      <c r="D4" s="183"/>
      <c r="E4" s="183"/>
      <c r="F4" s="183"/>
      <c r="G4" s="183"/>
      <c r="H4" s="183"/>
      <c r="I4" s="183"/>
      <c r="J4" s="183"/>
      <c r="K4" s="183"/>
      <c r="L4" s="183"/>
      <c r="M4" s="183"/>
      <c r="N4" s="183"/>
      <c r="O4" s="183"/>
      <c r="P4" s="183"/>
      <c r="Q4" s="183"/>
      <c r="R4" s="183"/>
      <c r="S4" s="183"/>
      <c r="T4" s="183"/>
      <c r="U4" s="183"/>
      <c r="V4" s="183"/>
      <c r="W4" s="183"/>
      <c r="X4" s="5"/>
    </row>
    <row r="5" spans="1:24" ht="15.75" x14ac:dyDescent="0.25">
      <c r="A5" s="181"/>
      <c r="B5" s="414" t="s">
        <v>137</v>
      </c>
      <c r="C5" s="183"/>
      <c r="D5" s="183"/>
      <c r="E5" s="183"/>
      <c r="F5" s="183"/>
      <c r="G5" s="183"/>
      <c r="H5" s="183"/>
      <c r="I5" s="183"/>
      <c r="J5" s="183"/>
      <c r="K5" s="183"/>
      <c r="L5" s="183"/>
      <c r="M5" s="183"/>
      <c r="N5" s="183"/>
      <c r="O5" s="183"/>
      <c r="P5" s="183"/>
      <c r="Q5" s="183"/>
      <c r="R5" s="183"/>
      <c r="S5" s="183"/>
      <c r="T5" s="183"/>
      <c r="U5" s="183"/>
      <c r="V5" s="183"/>
      <c r="W5" s="183"/>
      <c r="X5" s="5"/>
    </row>
    <row r="6" spans="1:24" ht="15.75" x14ac:dyDescent="0.25">
      <c r="A6" s="181"/>
      <c r="B6" s="414" t="s">
        <v>139</v>
      </c>
      <c r="C6" s="183"/>
      <c r="D6" s="183"/>
      <c r="E6" s="183"/>
      <c r="F6" s="183"/>
      <c r="G6" s="183"/>
      <c r="H6" s="183"/>
      <c r="I6" s="183"/>
      <c r="J6" s="183"/>
      <c r="K6" s="183"/>
      <c r="L6" s="183"/>
      <c r="M6" s="183"/>
      <c r="N6" s="183"/>
      <c r="O6" s="183"/>
      <c r="P6" s="183"/>
      <c r="Q6" s="183"/>
      <c r="R6" s="183"/>
      <c r="S6" s="183"/>
      <c r="T6" s="183"/>
      <c r="U6" s="183"/>
      <c r="V6" s="183"/>
      <c r="W6" s="183"/>
      <c r="X6" s="5"/>
    </row>
    <row r="7" spans="1:24" ht="15.75" x14ac:dyDescent="0.25">
      <c r="A7" s="181"/>
      <c r="B7" s="414" t="s">
        <v>138</v>
      </c>
      <c r="C7" s="183"/>
      <c r="D7" s="183"/>
      <c r="E7" s="183"/>
      <c r="F7" s="183"/>
      <c r="G7" s="183"/>
      <c r="H7" s="183"/>
      <c r="I7" s="183"/>
      <c r="J7" s="183"/>
      <c r="K7" s="183"/>
      <c r="L7" s="183"/>
      <c r="M7" s="183"/>
      <c r="N7" s="183"/>
      <c r="O7" s="183"/>
      <c r="P7" s="183"/>
      <c r="Q7" s="183"/>
      <c r="R7" s="183"/>
      <c r="S7" s="183"/>
      <c r="T7" s="183"/>
      <c r="U7" s="183"/>
      <c r="V7" s="183"/>
      <c r="W7" s="183"/>
      <c r="X7" s="5"/>
    </row>
    <row r="8" spans="1:24" ht="15.75" x14ac:dyDescent="0.25">
      <c r="A8" s="181"/>
      <c r="B8" s="186"/>
      <c r="C8" s="183"/>
      <c r="D8" s="183"/>
      <c r="E8" s="183"/>
      <c r="F8" s="183"/>
      <c r="G8" s="183"/>
      <c r="H8" s="183"/>
      <c r="I8" s="183"/>
      <c r="J8" s="183"/>
      <c r="K8" s="183"/>
      <c r="L8" s="183"/>
      <c r="M8" s="183"/>
      <c r="N8" s="183"/>
      <c r="O8" s="183"/>
      <c r="P8" s="183"/>
      <c r="Q8" s="183"/>
      <c r="R8" s="183"/>
      <c r="S8" s="183"/>
      <c r="T8" s="183"/>
      <c r="U8" s="183"/>
      <c r="V8" s="183"/>
      <c r="W8" s="183"/>
      <c r="X8" s="5"/>
    </row>
    <row r="9" spans="1:24" ht="18.75" x14ac:dyDescent="0.3">
      <c r="A9" s="181"/>
      <c r="B9" s="512" t="s">
        <v>166</v>
      </c>
      <c r="C9" s="183"/>
      <c r="D9" s="183"/>
      <c r="E9" s="183"/>
      <c r="F9" s="183"/>
      <c r="G9" s="183"/>
      <c r="H9" s="183"/>
      <c r="I9" s="513" t="s">
        <v>341</v>
      </c>
      <c r="J9" s="183"/>
      <c r="K9" s="183"/>
      <c r="L9" s="188"/>
      <c r="M9" s="183"/>
      <c r="N9" s="188"/>
      <c r="O9" s="183"/>
      <c r="P9" s="183"/>
      <c r="Q9" s="183"/>
      <c r="R9" s="183"/>
      <c r="S9" s="183"/>
      <c r="T9" s="183"/>
      <c r="U9" s="183"/>
      <c r="V9" s="183"/>
      <c r="W9" s="183"/>
      <c r="X9" s="5"/>
    </row>
    <row r="10" spans="1:24" ht="15.75" x14ac:dyDescent="0.25">
      <c r="A10" s="181"/>
      <c r="B10" s="186"/>
      <c r="C10" s="189"/>
      <c r="D10" s="189"/>
      <c r="E10" s="189"/>
      <c r="F10" s="183"/>
      <c r="G10" s="183"/>
      <c r="H10" s="183"/>
      <c r="I10" s="183"/>
      <c r="J10" s="183"/>
      <c r="K10" s="183"/>
      <c r="L10" s="183"/>
      <c r="M10" s="183"/>
      <c r="N10" s="183"/>
      <c r="O10" s="183"/>
      <c r="P10" s="183"/>
      <c r="Q10" s="183"/>
      <c r="R10" s="183"/>
      <c r="S10" s="183"/>
      <c r="T10" s="183"/>
      <c r="U10" s="183"/>
      <c r="V10" s="183"/>
      <c r="W10" s="183"/>
      <c r="X10" s="5"/>
    </row>
    <row r="11" spans="1:24" ht="15.75" x14ac:dyDescent="0.25">
      <c r="A11" s="181"/>
      <c r="B11" s="415" t="s">
        <v>0</v>
      </c>
      <c r="C11" s="183"/>
      <c r="D11" s="183"/>
      <c r="E11" s="183"/>
      <c r="F11" s="183"/>
      <c r="G11" s="183"/>
      <c r="H11" s="183"/>
      <c r="I11" s="183"/>
      <c r="J11" s="183"/>
      <c r="K11" s="183"/>
      <c r="L11" s="183"/>
      <c r="M11" s="183"/>
      <c r="N11" s="183"/>
      <c r="O11" s="183"/>
      <c r="P11" s="183"/>
      <c r="Q11" s="183"/>
      <c r="R11" s="183"/>
      <c r="S11" s="183"/>
      <c r="T11" s="183"/>
      <c r="U11" s="183"/>
      <c r="V11" s="183"/>
      <c r="W11" s="183"/>
      <c r="X11" s="5"/>
    </row>
    <row r="12" spans="1:24" ht="16.5" thickBot="1" x14ac:dyDescent="0.3">
      <c r="A12" s="181"/>
      <c r="B12" s="189"/>
      <c r="C12" s="183"/>
      <c r="D12" s="183"/>
      <c r="E12" s="183"/>
      <c r="F12" s="183"/>
      <c r="G12" s="183"/>
      <c r="H12" s="183"/>
      <c r="I12" s="183"/>
      <c r="J12" s="183"/>
      <c r="K12" s="183"/>
      <c r="L12" s="183"/>
      <c r="M12" s="183"/>
      <c r="N12" s="183"/>
      <c r="O12" s="183"/>
      <c r="P12" s="183"/>
      <c r="Q12" s="183"/>
      <c r="R12" s="183"/>
      <c r="S12" s="183"/>
      <c r="T12" s="183"/>
      <c r="U12" s="183"/>
      <c r="V12" s="183"/>
      <c r="W12" s="183"/>
      <c r="X12" s="5"/>
    </row>
    <row r="13" spans="1:24" ht="15.75" x14ac:dyDescent="0.25">
      <c r="A13" s="179"/>
      <c r="B13" s="180"/>
      <c r="C13" s="180"/>
      <c r="D13" s="180"/>
      <c r="E13" s="180"/>
      <c r="F13" s="180"/>
      <c r="G13" s="180"/>
      <c r="H13" s="180"/>
      <c r="I13" s="180"/>
      <c r="J13" s="180"/>
      <c r="K13" s="180"/>
      <c r="L13" s="180"/>
      <c r="M13" s="180"/>
      <c r="N13" s="180"/>
      <c r="O13" s="180"/>
      <c r="P13" s="180"/>
      <c r="Q13" s="180"/>
      <c r="R13" s="180"/>
      <c r="S13" s="180"/>
      <c r="T13" s="180"/>
      <c r="U13" s="180"/>
      <c r="V13" s="180"/>
      <c r="W13" s="180"/>
      <c r="X13" s="5"/>
    </row>
    <row r="14" spans="1:24" s="420" customFormat="1" ht="15.75" x14ac:dyDescent="0.25">
      <c r="A14" s="416"/>
      <c r="B14" s="415" t="s">
        <v>1</v>
      </c>
      <c r="C14" s="417"/>
      <c r="D14" s="417"/>
      <c r="E14" s="417"/>
      <c r="F14" s="417"/>
      <c r="G14" s="417"/>
      <c r="H14" s="417"/>
      <c r="I14" s="417"/>
      <c r="J14" s="417"/>
      <c r="K14" s="417"/>
      <c r="L14" s="417"/>
      <c r="M14" s="417"/>
      <c r="N14" s="417"/>
      <c r="O14" s="417"/>
      <c r="P14" s="417"/>
      <c r="Q14" s="417"/>
      <c r="R14" s="417"/>
      <c r="S14" s="417"/>
      <c r="T14" s="417"/>
      <c r="U14" s="417"/>
      <c r="V14" s="418" t="s">
        <v>239</v>
      </c>
      <c r="W14" s="417"/>
      <c r="X14" s="419"/>
    </row>
    <row r="15" spans="1:24" s="420" customFormat="1" ht="15.75" x14ac:dyDescent="0.25">
      <c r="A15" s="416"/>
      <c r="B15" s="415" t="s">
        <v>2</v>
      </c>
      <c r="C15" s="417"/>
      <c r="D15" s="417"/>
      <c r="E15" s="417"/>
      <c r="F15" s="417"/>
      <c r="G15" s="417"/>
      <c r="H15" s="421"/>
      <c r="I15" s="421"/>
      <c r="J15" s="421"/>
      <c r="K15" s="421"/>
      <c r="L15" s="421"/>
      <c r="M15" s="421"/>
      <c r="N15" s="421"/>
      <c r="O15" s="421"/>
      <c r="P15" s="421"/>
      <c r="Q15" s="421"/>
      <c r="R15" s="421" t="s">
        <v>104</v>
      </c>
      <c r="S15" s="422">
        <v>0.47189999999999999</v>
      </c>
      <c r="T15" s="423" t="s">
        <v>140</v>
      </c>
      <c r="U15" s="422">
        <v>0.52810000000000001</v>
      </c>
      <c r="V15" s="418"/>
      <c r="W15" s="417"/>
      <c r="X15" s="419"/>
    </row>
    <row r="16" spans="1:24" s="420" customFormat="1" ht="15.75" x14ac:dyDescent="0.25">
      <c r="A16" s="416"/>
      <c r="B16" s="415" t="s">
        <v>3</v>
      </c>
      <c r="C16" s="417"/>
      <c r="D16" s="417"/>
      <c r="E16" s="417"/>
      <c r="F16" s="417"/>
      <c r="G16" s="417"/>
      <c r="H16" s="421"/>
      <c r="I16" s="421"/>
      <c r="J16" s="421"/>
      <c r="K16" s="421"/>
      <c r="L16" s="421"/>
      <c r="M16" s="421"/>
      <c r="N16" s="421"/>
      <c r="O16" s="421"/>
      <c r="P16" s="421"/>
      <c r="Q16" s="421"/>
      <c r="R16" s="421" t="s">
        <v>104</v>
      </c>
      <c r="S16" s="422">
        <v>0.56989999999999996</v>
      </c>
      <c r="T16" s="423" t="s">
        <v>140</v>
      </c>
      <c r="U16" s="422">
        <v>0.43009999999999998</v>
      </c>
      <c r="V16" s="418"/>
      <c r="W16" s="417"/>
      <c r="X16" s="419"/>
    </row>
    <row r="17" spans="1:24" s="420" customFormat="1" ht="15.75" x14ac:dyDescent="0.25">
      <c r="A17" s="416"/>
      <c r="B17" s="415" t="s">
        <v>4</v>
      </c>
      <c r="C17" s="417"/>
      <c r="D17" s="417"/>
      <c r="E17" s="417"/>
      <c r="F17" s="417"/>
      <c r="G17" s="417"/>
      <c r="H17" s="417"/>
      <c r="I17" s="417"/>
      <c r="J17" s="417"/>
      <c r="K17" s="417"/>
      <c r="L17" s="417"/>
      <c r="M17" s="417"/>
      <c r="N17" s="417"/>
      <c r="O17" s="417"/>
      <c r="P17" s="417"/>
      <c r="Q17" s="417"/>
      <c r="R17" s="417"/>
      <c r="S17" s="417"/>
      <c r="T17" s="417"/>
      <c r="U17" s="417"/>
      <c r="V17" s="424">
        <v>39282</v>
      </c>
      <c r="W17" s="417"/>
      <c r="X17" s="419"/>
    </row>
    <row r="18" spans="1:24" s="420" customFormat="1" ht="15.75" x14ac:dyDescent="0.25">
      <c r="A18" s="416"/>
      <c r="B18" s="415" t="s">
        <v>5</v>
      </c>
      <c r="C18" s="417"/>
      <c r="D18" s="417"/>
      <c r="E18" s="417"/>
      <c r="F18" s="417"/>
      <c r="G18" s="417"/>
      <c r="H18" s="417"/>
      <c r="I18" s="417"/>
      <c r="J18" s="417"/>
      <c r="K18" s="417"/>
      <c r="L18" s="417"/>
      <c r="M18" s="417"/>
      <c r="N18" s="417"/>
      <c r="O18" s="417"/>
      <c r="P18" s="417"/>
      <c r="Q18" s="417"/>
      <c r="R18" s="417"/>
      <c r="S18" s="417"/>
      <c r="T18" s="417"/>
      <c r="U18" s="417"/>
      <c r="V18" s="424">
        <v>43179</v>
      </c>
      <c r="W18" s="417"/>
      <c r="X18" s="419"/>
    </row>
    <row r="19" spans="1:24" s="420" customFormat="1" ht="15.75" x14ac:dyDescent="0.25">
      <c r="A19" s="416"/>
      <c r="B19" s="417"/>
      <c r="C19" s="417"/>
      <c r="D19" s="417"/>
      <c r="E19" s="417"/>
      <c r="F19" s="417"/>
      <c r="G19" s="417"/>
      <c r="H19" s="417"/>
      <c r="I19" s="417"/>
      <c r="J19" s="417"/>
      <c r="K19" s="417"/>
      <c r="L19" s="417"/>
      <c r="M19" s="417"/>
      <c r="N19" s="417"/>
      <c r="O19" s="417"/>
      <c r="P19" s="417"/>
      <c r="Q19" s="417"/>
      <c r="R19" s="417"/>
      <c r="S19" s="417"/>
      <c r="T19" s="417"/>
      <c r="U19" s="417"/>
      <c r="V19" s="425"/>
      <c r="W19" s="417"/>
      <c r="X19" s="419"/>
    </row>
    <row r="20" spans="1:24" s="420" customFormat="1" ht="15.75" x14ac:dyDescent="0.25">
      <c r="A20" s="416"/>
      <c r="B20" s="426" t="s">
        <v>6</v>
      </c>
      <c r="C20" s="417"/>
      <c r="D20" s="417"/>
      <c r="E20" s="417"/>
      <c r="F20" s="417"/>
      <c r="G20" s="417"/>
      <c r="H20" s="417"/>
      <c r="I20" s="417"/>
      <c r="J20" s="417"/>
      <c r="K20" s="417"/>
      <c r="L20" s="417"/>
      <c r="M20" s="417"/>
      <c r="N20" s="417"/>
      <c r="O20" s="417"/>
      <c r="P20" s="417"/>
      <c r="Q20" s="417"/>
      <c r="R20" s="417"/>
      <c r="S20" s="417"/>
      <c r="T20" s="425" t="s">
        <v>105</v>
      </c>
      <c r="U20" s="417"/>
      <c r="V20" s="427"/>
      <c r="W20" s="417"/>
      <c r="X20" s="419"/>
    </row>
    <row r="21" spans="1:24" ht="15.75" x14ac:dyDescent="0.25">
      <c r="A21" s="181"/>
      <c r="B21" s="183"/>
      <c r="C21" s="183"/>
      <c r="D21" s="183"/>
      <c r="E21" s="183"/>
      <c r="F21" s="183"/>
      <c r="G21" s="183"/>
      <c r="H21" s="183"/>
      <c r="I21" s="183"/>
      <c r="J21" s="183"/>
      <c r="K21" s="183"/>
      <c r="L21" s="183"/>
      <c r="M21" s="183"/>
      <c r="N21" s="183"/>
      <c r="O21" s="183"/>
      <c r="P21" s="183"/>
      <c r="Q21" s="183"/>
      <c r="R21" s="183"/>
      <c r="S21" s="183"/>
      <c r="T21" s="183"/>
      <c r="U21" s="183"/>
      <c r="V21" s="192"/>
      <c r="W21" s="183"/>
      <c r="X21" s="5"/>
    </row>
    <row r="22" spans="1:24" ht="15.75" x14ac:dyDescent="0.25">
      <c r="A22" s="536"/>
      <c r="B22" s="540"/>
      <c r="C22" s="541"/>
      <c r="D22" s="541" t="s">
        <v>177</v>
      </c>
      <c r="E22" s="541"/>
      <c r="F22" s="541" t="s">
        <v>178</v>
      </c>
      <c r="G22" s="541"/>
      <c r="H22" s="541" t="s">
        <v>179</v>
      </c>
      <c r="I22" s="541"/>
      <c r="J22" s="541" t="s">
        <v>219</v>
      </c>
      <c r="K22" s="541"/>
      <c r="L22" s="541" t="s">
        <v>180</v>
      </c>
      <c r="M22" s="541"/>
      <c r="N22" s="541" t="s">
        <v>181</v>
      </c>
      <c r="O22" s="541"/>
      <c r="P22" s="541" t="s">
        <v>182</v>
      </c>
      <c r="Q22" s="541"/>
      <c r="R22" s="541"/>
      <c r="S22" s="542"/>
      <c r="T22" s="542"/>
      <c r="U22" s="543"/>
      <c r="V22" s="543"/>
      <c r="W22" s="544"/>
      <c r="X22" s="5"/>
    </row>
    <row r="23" spans="1:24" s="420" customFormat="1" ht="15.75" x14ac:dyDescent="0.25">
      <c r="A23" s="416"/>
      <c r="B23" s="462" t="s">
        <v>7</v>
      </c>
      <c r="C23" s="538"/>
      <c r="D23" s="538" t="s">
        <v>212</v>
      </c>
      <c r="E23" s="538"/>
      <c r="F23" s="538" t="s">
        <v>141</v>
      </c>
      <c r="G23" s="538"/>
      <c r="H23" s="538" t="s">
        <v>141</v>
      </c>
      <c r="I23" s="538"/>
      <c r="J23" s="538" t="s">
        <v>141</v>
      </c>
      <c r="K23" s="538"/>
      <c r="L23" s="538" t="s">
        <v>183</v>
      </c>
      <c r="M23" s="538"/>
      <c r="N23" s="538" t="s">
        <v>183</v>
      </c>
      <c r="O23" s="538"/>
      <c r="P23" s="538" t="s">
        <v>142</v>
      </c>
      <c r="Q23" s="538"/>
      <c r="R23" s="538"/>
      <c r="S23" s="538"/>
      <c r="T23" s="538"/>
      <c r="U23" s="539"/>
      <c r="V23" s="539"/>
      <c r="W23" s="462"/>
      <c r="X23" s="419"/>
    </row>
    <row r="24" spans="1:24" s="420" customFormat="1" ht="15.75" x14ac:dyDescent="0.25">
      <c r="A24" s="428"/>
      <c r="B24" s="429" t="s">
        <v>8</v>
      </c>
      <c r="C24" s="430"/>
      <c r="D24" s="430" t="s">
        <v>213</v>
      </c>
      <c r="E24" s="430"/>
      <c r="F24" s="430" t="s">
        <v>143</v>
      </c>
      <c r="G24" s="430"/>
      <c r="H24" s="430" t="s">
        <v>143</v>
      </c>
      <c r="I24" s="430"/>
      <c r="J24" s="430" t="s">
        <v>143</v>
      </c>
      <c r="K24" s="430"/>
      <c r="L24" s="430" t="s">
        <v>165</v>
      </c>
      <c r="M24" s="430"/>
      <c r="N24" s="430" t="s">
        <v>165</v>
      </c>
      <c r="O24" s="430"/>
      <c r="P24" s="430" t="s">
        <v>144</v>
      </c>
      <c r="Q24" s="430"/>
      <c r="R24" s="430"/>
      <c r="S24" s="430"/>
      <c r="T24" s="430"/>
      <c r="U24" s="431"/>
      <c r="V24" s="431"/>
      <c r="W24" s="432"/>
      <c r="X24" s="419"/>
    </row>
    <row r="25" spans="1:24" s="420" customFormat="1" ht="15.75" x14ac:dyDescent="0.25">
      <c r="A25" s="433"/>
      <c r="B25" s="429" t="s">
        <v>190</v>
      </c>
      <c r="C25" s="434"/>
      <c r="D25" s="430" t="s">
        <v>214</v>
      </c>
      <c r="E25" s="430"/>
      <c r="F25" s="430" t="s">
        <v>143</v>
      </c>
      <c r="G25" s="430"/>
      <c r="H25" s="430" t="s">
        <v>143</v>
      </c>
      <c r="I25" s="430"/>
      <c r="J25" s="430" t="s">
        <v>143</v>
      </c>
      <c r="K25" s="430"/>
      <c r="L25" s="430" t="s">
        <v>165</v>
      </c>
      <c r="M25" s="430"/>
      <c r="N25" s="430" t="s">
        <v>165</v>
      </c>
      <c r="O25" s="430"/>
      <c r="P25" s="430" t="s">
        <v>144</v>
      </c>
      <c r="Q25" s="430"/>
      <c r="R25" s="430"/>
      <c r="S25" s="434"/>
      <c r="T25" s="430"/>
      <c r="U25" s="431"/>
      <c r="V25" s="431"/>
      <c r="W25" s="432"/>
      <c r="X25" s="419"/>
    </row>
    <row r="26" spans="1:24" s="420" customFormat="1" ht="15.75" x14ac:dyDescent="0.25">
      <c r="A26" s="433"/>
      <c r="B26" s="435" t="s">
        <v>9</v>
      </c>
      <c r="C26" s="434"/>
      <c r="D26" s="434" t="s">
        <v>141</v>
      </c>
      <c r="E26" s="434"/>
      <c r="F26" s="434" t="s">
        <v>141</v>
      </c>
      <c r="G26" s="434"/>
      <c r="H26" s="434" t="s">
        <v>141</v>
      </c>
      <c r="I26" s="434"/>
      <c r="J26" s="434" t="s">
        <v>141</v>
      </c>
      <c r="K26" s="434"/>
      <c r="L26" s="434" t="s">
        <v>183</v>
      </c>
      <c r="M26" s="434"/>
      <c r="N26" s="434" t="s">
        <v>183</v>
      </c>
      <c r="O26" s="434"/>
      <c r="P26" s="434" t="s">
        <v>142</v>
      </c>
      <c r="Q26" s="434"/>
      <c r="R26" s="434"/>
      <c r="S26" s="434"/>
      <c r="T26" s="430"/>
      <c r="U26" s="431"/>
      <c r="V26" s="431"/>
      <c r="W26" s="432"/>
      <c r="X26" s="419"/>
    </row>
    <row r="27" spans="1:24" s="420" customFormat="1" ht="15.75" x14ac:dyDescent="0.25">
      <c r="A27" s="428"/>
      <c r="B27" s="435" t="s">
        <v>191</v>
      </c>
      <c r="C27" s="430"/>
      <c r="D27" s="434" t="s">
        <v>143</v>
      </c>
      <c r="E27" s="434"/>
      <c r="F27" s="434" t="s">
        <v>143</v>
      </c>
      <c r="G27" s="434"/>
      <c r="H27" s="434" t="s">
        <v>143</v>
      </c>
      <c r="I27" s="434"/>
      <c r="J27" s="434" t="s">
        <v>143</v>
      </c>
      <c r="K27" s="434"/>
      <c r="L27" s="434" t="s">
        <v>165</v>
      </c>
      <c r="M27" s="434"/>
      <c r="N27" s="434" t="s">
        <v>165</v>
      </c>
      <c r="O27" s="434"/>
      <c r="P27" s="434" t="s">
        <v>330</v>
      </c>
      <c r="Q27" s="434"/>
      <c r="R27" s="434"/>
      <c r="S27" s="430"/>
      <c r="T27" s="436"/>
      <c r="U27" s="431"/>
      <c r="V27" s="431"/>
      <c r="W27" s="432"/>
      <c r="X27" s="419"/>
    </row>
    <row r="28" spans="1:24" s="420" customFormat="1" ht="15.75" x14ac:dyDescent="0.25">
      <c r="A28" s="428"/>
      <c r="B28" s="435" t="s">
        <v>192</v>
      </c>
      <c r="C28" s="430"/>
      <c r="D28" s="434" t="s">
        <v>143</v>
      </c>
      <c r="E28" s="434"/>
      <c r="F28" s="434" t="s">
        <v>143</v>
      </c>
      <c r="G28" s="434"/>
      <c r="H28" s="434" t="s">
        <v>143</v>
      </c>
      <c r="I28" s="434"/>
      <c r="J28" s="434" t="s">
        <v>143</v>
      </c>
      <c r="K28" s="434"/>
      <c r="L28" s="434" t="s">
        <v>143</v>
      </c>
      <c r="M28" s="434"/>
      <c r="N28" s="434" t="s">
        <v>143</v>
      </c>
      <c r="O28" s="434"/>
      <c r="P28" s="434" t="s">
        <v>330</v>
      </c>
      <c r="Q28" s="434"/>
      <c r="R28" s="434"/>
      <c r="S28" s="430"/>
      <c r="T28" s="436"/>
      <c r="U28" s="431"/>
      <c r="V28" s="431"/>
      <c r="W28" s="432"/>
      <c r="X28" s="419"/>
    </row>
    <row r="29" spans="1:24" s="420" customFormat="1" ht="15.75" x14ac:dyDescent="0.25">
      <c r="A29" s="428"/>
      <c r="B29" s="429" t="s">
        <v>10</v>
      </c>
      <c r="C29" s="437"/>
      <c r="D29" s="430" t="s">
        <v>242</v>
      </c>
      <c r="E29" s="430"/>
      <c r="F29" s="436" t="s">
        <v>244</v>
      </c>
      <c r="G29" s="430"/>
      <c r="H29" s="430" t="s">
        <v>245</v>
      </c>
      <c r="I29" s="430"/>
      <c r="J29" s="430" t="s">
        <v>247</v>
      </c>
      <c r="K29" s="430"/>
      <c r="L29" s="430" t="s">
        <v>248</v>
      </c>
      <c r="M29" s="430"/>
      <c r="N29" s="430" t="s">
        <v>249</v>
      </c>
      <c r="O29" s="430"/>
      <c r="P29" s="430" t="s">
        <v>250</v>
      </c>
      <c r="Q29" s="430"/>
      <c r="R29" s="430"/>
      <c r="S29" s="438"/>
      <c r="T29" s="438"/>
      <c r="U29" s="439"/>
      <c r="V29" s="438"/>
      <c r="W29" s="440"/>
      <c r="X29" s="419"/>
    </row>
    <row r="30" spans="1:24" s="420" customFormat="1" ht="15.75" x14ac:dyDescent="0.25">
      <c r="A30" s="428"/>
      <c r="B30" s="429" t="s">
        <v>10</v>
      </c>
      <c r="C30" s="437"/>
      <c r="D30" s="430" t="s">
        <v>243</v>
      </c>
      <c r="E30" s="430"/>
      <c r="F30" s="436" t="s">
        <v>118</v>
      </c>
      <c r="G30" s="430"/>
      <c r="H30" s="430" t="s">
        <v>118</v>
      </c>
      <c r="I30" s="430"/>
      <c r="J30" s="430" t="s">
        <v>246</v>
      </c>
      <c r="K30" s="430"/>
      <c r="L30" s="430" t="s">
        <v>118</v>
      </c>
      <c r="M30" s="430"/>
      <c r="N30" s="430" t="s">
        <v>118</v>
      </c>
      <c r="O30" s="430"/>
      <c r="P30" s="430" t="s">
        <v>118</v>
      </c>
      <c r="Q30" s="430"/>
      <c r="R30" s="430"/>
      <c r="S30" s="438"/>
      <c r="T30" s="438"/>
      <c r="U30" s="439"/>
      <c r="V30" s="438"/>
      <c r="W30" s="440"/>
      <c r="X30" s="419"/>
    </row>
    <row r="31" spans="1:24" s="420" customFormat="1" ht="15.75" x14ac:dyDescent="0.25">
      <c r="A31" s="433"/>
      <c r="B31" s="429" t="s">
        <v>133</v>
      </c>
      <c r="C31" s="441"/>
      <c r="D31" s="442">
        <v>1000000</v>
      </c>
      <c r="E31" s="437"/>
      <c r="F31" s="438">
        <v>209500</v>
      </c>
      <c r="G31" s="438"/>
      <c r="H31" s="443">
        <v>110000</v>
      </c>
      <c r="I31" s="443"/>
      <c r="J31" s="442">
        <v>150000</v>
      </c>
      <c r="K31" s="438"/>
      <c r="L31" s="438">
        <v>17000</v>
      </c>
      <c r="M31" s="438"/>
      <c r="N31" s="443">
        <v>85500</v>
      </c>
      <c r="O31" s="438"/>
      <c r="P31" s="443">
        <v>110500</v>
      </c>
      <c r="Q31" s="438"/>
      <c r="R31" s="443"/>
      <c r="S31" s="444"/>
      <c r="T31" s="444"/>
      <c r="U31" s="445"/>
      <c r="V31" s="444"/>
      <c r="W31" s="440"/>
      <c r="X31" s="419"/>
    </row>
    <row r="32" spans="1:24" s="420" customFormat="1" ht="15.75" x14ac:dyDescent="0.25">
      <c r="A32" s="428"/>
      <c r="B32" s="429" t="s">
        <v>132</v>
      </c>
      <c r="C32" s="437"/>
      <c r="D32" s="442">
        <f>D31*D38</f>
        <v>568129</v>
      </c>
      <c r="E32" s="437"/>
      <c r="F32" s="438">
        <f>F31*F38</f>
        <v>119023.44450000001</v>
      </c>
      <c r="G32" s="438"/>
      <c r="H32" s="443">
        <f>H31*H38</f>
        <v>62495.356</v>
      </c>
      <c r="I32" s="443"/>
      <c r="J32" s="442">
        <f>J31*J38</f>
        <v>85219.35</v>
      </c>
      <c r="K32" s="438"/>
      <c r="L32" s="438">
        <f>L31*L38</f>
        <v>17000</v>
      </c>
      <c r="M32" s="438"/>
      <c r="N32" s="443">
        <f>N31*N38</f>
        <v>85500</v>
      </c>
      <c r="O32" s="438"/>
      <c r="P32" s="443">
        <f>P31*P38</f>
        <v>110500</v>
      </c>
      <c r="Q32" s="438"/>
      <c r="R32" s="443"/>
      <c r="S32" s="438"/>
      <c r="T32" s="438"/>
      <c r="U32" s="439"/>
      <c r="V32" s="438"/>
      <c r="W32" s="440"/>
      <c r="X32" s="419"/>
    </row>
    <row r="33" spans="1:27" s="420" customFormat="1" ht="15.75" x14ac:dyDescent="0.25">
      <c r="A33" s="428"/>
      <c r="B33" s="435" t="s">
        <v>134</v>
      </c>
      <c r="C33" s="437"/>
      <c r="D33" s="446">
        <f>D37*D31</f>
        <v>558006.1</v>
      </c>
      <c r="E33" s="441"/>
      <c r="F33" s="444">
        <f>F37*F31</f>
        <v>116902.71789999999</v>
      </c>
      <c r="G33" s="444"/>
      <c r="H33" s="447">
        <f>H31*H37</f>
        <v>61381.869999999995</v>
      </c>
      <c r="I33" s="447"/>
      <c r="J33" s="446">
        <f>J37*J31</f>
        <v>83700.914999999994</v>
      </c>
      <c r="K33" s="444"/>
      <c r="L33" s="444">
        <f>L31*L37</f>
        <v>17000</v>
      </c>
      <c r="M33" s="444"/>
      <c r="N33" s="447">
        <f>N31*N37</f>
        <v>85500</v>
      </c>
      <c r="O33" s="444"/>
      <c r="P33" s="447">
        <f>P31*P37</f>
        <v>110500</v>
      </c>
      <c r="Q33" s="444"/>
      <c r="R33" s="447"/>
      <c r="S33" s="438"/>
      <c r="T33" s="438"/>
      <c r="U33" s="439"/>
      <c r="V33" s="438"/>
      <c r="W33" s="440"/>
      <c r="X33" s="419"/>
    </row>
    <row r="34" spans="1:27" s="420" customFormat="1" ht="15.75" x14ac:dyDescent="0.25">
      <c r="A34" s="433"/>
      <c r="B34" s="429" t="s">
        <v>286</v>
      </c>
      <c r="C34" s="441"/>
      <c r="D34" s="438">
        <v>492951</v>
      </c>
      <c r="E34" s="437"/>
      <c r="F34" s="438">
        <v>209500</v>
      </c>
      <c r="G34" s="438"/>
      <c r="H34" s="438">
        <v>74677</v>
      </c>
      <c r="I34" s="438"/>
      <c r="J34" s="438">
        <v>73943</v>
      </c>
      <c r="K34" s="438"/>
      <c r="L34" s="438">
        <v>17000</v>
      </c>
      <c r="M34" s="438"/>
      <c r="N34" s="438">
        <v>58045</v>
      </c>
      <c r="O34" s="438"/>
      <c r="P34" s="438">
        <v>75017</v>
      </c>
      <c r="Q34" s="438"/>
      <c r="R34" s="438"/>
      <c r="S34" s="444"/>
      <c r="T34" s="444"/>
      <c r="U34" s="445"/>
      <c r="V34" s="438">
        <f>SUM(C34:R34)</f>
        <v>1001133</v>
      </c>
      <c r="W34" s="440"/>
      <c r="X34" s="419"/>
    </row>
    <row r="35" spans="1:27" s="420" customFormat="1" ht="15.75" x14ac:dyDescent="0.25">
      <c r="A35" s="433"/>
      <c r="B35" s="429" t="s">
        <v>287</v>
      </c>
      <c r="C35" s="441"/>
      <c r="D35" s="438">
        <f>D34*D38</f>
        <v>280059.75867900002</v>
      </c>
      <c r="E35" s="437"/>
      <c r="F35" s="438">
        <f>F34*F38</f>
        <v>119023.44450000001</v>
      </c>
      <c r="G35" s="438"/>
      <c r="H35" s="438">
        <f>H34*H38</f>
        <v>42426.960909199996</v>
      </c>
      <c r="I35" s="438"/>
      <c r="J35" s="438">
        <f>J34*J38</f>
        <v>42009.162646999997</v>
      </c>
      <c r="K35" s="438"/>
      <c r="L35" s="438">
        <f>L34*L38</f>
        <v>17000</v>
      </c>
      <c r="M35" s="438"/>
      <c r="N35" s="438">
        <f>N34*N38</f>
        <v>58045</v>
      </c>
      <c r="O35" s="438"/>
      <c r="P35" s="438">
        <f>P34*P38</f>
        <v>75017</v>
      </c>
      <c r="Q35" s="438"/>
      <c r="R35" s="438"/>
      <c r="S35" s="438"/>
      <c r="T35" s="438"/>
      <c r="U35" s="439"/>
      <c r="V35" s="438">
        <f>SUM(C35:R35)</f>
        <v>633581.32673520013</v>
      </c>
      <c r="W35" s="440"/>
      <c r="X35" s="419"/>
    </row>
    <row r="36" spans="1:27" s="420" customFormat="1" ht="15.75" x14ac:dyDescent="0.25">
      <c r="A36" s="433"/>
      <c r="B36" s="435" t="s">
        <v>288</v>
      </c>
      <c r="C36" s="441"/>
      <c r="D36" s="444">
        <f>D34*D37</f>
        <v>275069.66500109999</v>
      </c>
      <c r="E36" s="441"/>
      <c r="F36" s="444">
        <f>F34*F37</f>
        <v>116902.71789999999</v>
      </c>
      <c r="G36" s="444"/>
      <c r="H36" s="444">
        <f>H34*H37</f>
        <v>41671.035509000001</v>
      </c>
      <c r="I36" s="444"/>
      <c r="J36" s="444">
        <f>J34*J37</f>
        <v>41260.645052299995</v>
      </c>
      <c r="K36" s="444"/>
      <c r="L36" s="444">
        <f>L34*L37</f>
        <v>17000</v>
      </c>
      <c r="M36" s="444"/>
      <c r="N36" s="444">
        <f>N34*N37</f>
        <v>58045</v>
      </c>
      <c r="O36" s="444"/>
      <c r="P36" s="444">
        <f>P34*P37</f>
        <v>75017</v>
      </c>
      <c r="Q36" s="444"/>
      <c r="R36" s="444"/>
      <c r="S36" s="448"/>
      <c r="T36" s="448"/>
      <c r="U36" s="439"/>
      <c r="V36" s="444">
        <f>SUM(C36:R36)</f>
        <v>624966.06346239999</v>
      </c>
      <c r="W36" s="440"/>
      <c r="X36" s="419"/>
    </row>
    <row r="37" spans="1:27" s="522" customFormat="1" ht="15.75" x14ac:dyDescent="0.25">
      <c r="A37" s="514"/>
      <c r="B37" s="515" t="s">
        <v>130</v>
      </c>
      <c r="C37" s="516"/>
      <c r="D37" s="517">
        <v>0.55800609999999995</v>
      </c>
      <c r="E37" s="517"/>
      <c r="F37" s="517">
        <v>0.55800819999999995</v>
      </c>
      <c r="G37" s="517"/>
      <c r="H37" s="517">
        <v>0.55801699999999999</v>
      </c>
      <c r="I37" s="517"/>
      <c r="J37" s="517">
        <v>0.55800609999999995</v>
      </c>
      <c r="K37" s="517"/>
      <c r="L37" s="517">
        <v>1</v>
      </c>
      <c r="M37" s="517"/>
      <c r="N37" s="517">
        <v>1</v>
      </c>
      <c r="O37" s="517"/>
      <c r="P37" s="517">
        <v>1</v>
      </c>
      <c r="Q37" s="517"/>
      <c r="R37" s="517"/>
      <c r="S37" s="518"/>
      <c r="T37" s="518"/>
      <c r="U37" s="519"/>
      <c r="V37" s="519"/>
      <c r="W37" s="520"/>
      <c r="X37" s="521"/>
    </row>
    <row r="38" spans="1:27" s="522" customFormat="1" ht="15.75" x14ac:dyDescent="0.25">
      <c r="A38" s="514"/>
      <c r="B38" s="515" t="s">
        <v>131</v>
      </c>
      <c r="C38" s="516"/>
      <c r="D38" s="517">
        <v>0.568129</v>
      </c>
      <c r="E38" s="517"/>
      <c r="F38" s="517">
        <v>0.56813100000000005</v>
      </c>
      <c r="G38" s="517"/>
      <c r="H38" s="517">
        <v>0.56813959999999997</v>
      </c>
      <c r="I38" s="517"/>
      <c r="J38" s="517">
        <v>0.568129</v>
      </c>
      <c r="K38" s="517"/>
      <c r="L38" s="517">
        <v>1</v>
      </c>
      <c r="M38" s="517"/>
      <c r="N38" s="517">
        <v>1</v>
      </c>
      <c r="O38" s="517"/>
      <c r="P38" s="517">
        <v>1</v>
      </c>
      <c r="Q38" s="517"/>
      <c r="R38" s="517"/>
      <c r="S38" s="523"/>
      <c r="T38" s="524"/>
      <c r="U38" s="519"/>
      <c r="V38" s="523"/>
      <c r="W38" s="520"/>
      <c r="X38" s="521"/>
    </row>
    <row r="39" spans="1:27" s="522" customFormat="1" ht="15.75" x14ac:dyDescent="0.25">
      <c r="A39" s="514"/>
      <c r="B39" s="516" t="s">
        <v>11</v>
      </c>
      <c r="C39" s="516"/>
      <c r="D39" s="518" t="s">
        <v>304</v>
      </c>
      <c r="E39" s="516"/>
      <c r="F39" s="518" t="s">
        <v>256</v>
      </c>
      <c r="G39" s="518"/>
      <c r="H39" s="518" t="s">
        <v>257</v>
      </c>
      <c r="I39" s="518"/>
      <c r="J39" s="518" t="s">
        <v>258</v>
      </c>
      <c r="K39" s="518"/>
      <c r="L39" s="518" t="s">
        <v>259</v>
      </c>
      <c r="M39" s="518"/>
      <c r="N39" s="518" t="s">
        <v>259</v>
      </c>
      <c r="O39" s="518"/>
      <c r="P39" s="518" t="s">
        <v>260</v>
      </c>
      <c r="Q39" s="518"/>
      <c r="R39" s="518"/>
      <c r="S39" s="523"/>
      <c r="T39" s="524"/>
      <c r="U39" s="519"/>
      <c r="V39" s="519"/>
      <c r="W39" s="520"/>
      <c r="X39" s="521"/>
    </row>
    <row r="40" spans="1:27" s="420" customFormat="1" ht="15.75" x14ac:dyDescent="0.25">
      <c r="A40" s="428"/>
      <c r="B40" s="429" t="s">
        <v>12</v>
      </c>
      <c r="C40" s="429"/>
      <c r="D40" s="450">
        <v>1.7675E-2</v>
      </c>
      <c r="E40" s="429"/>
      <c r="F40" s="450">
        <v>7.7619000000000004E-3</v>
      </c>
      <c r="G40" s="449"/>
      <c r="H40" s="450">
        <v>0</v>
      </c>
      <c r="I40" s="450"/>
      <c r="J40" s="450">
        <v>1.8084900000000001E-2</v>
      </c>
      <c r="K40" s="449"/>
      <c r="L40" s="450">
        <v>1.0561900000000001E-2</v>
      </c>
      <c r="M40" s="449"/>
      <c r="N40" s="450">
        <v>2.1099999999999999E-3</v>
      </c>
      <c r="O40" s="449"/>
      <c r="P40" s="450">
        <v>7.7099999999999998E-3</v>
      </c>
      <c r="Q40" s="449"/>
      <c r="R40" s="450"/>
      <c r="S40" s="449"/>
      <c r="T40" s="450"/>
      <c r="U40" s="431"/>
      <c r="V40" s="436"/>
      <c r="W40" s="432"/>
      <c r="X40" s="419"/>
      <c r="AA40" s="420" t="s">
        <v>193</v>
      </c>
    </row>
    <row r="41" spans="1:27" s="420" customFormat="1" ht="15.75" x14ac:dyDescent="0.25">
      <c r="A41" s="428"/>
      <c r="B41" s="429" t="s">
        <v>13</v>
      </c>
      <c r="C41" s="429"/>
      <c r="D41" s="450">
        <v>1.4302799999999999E-2</v>
      </c>
      <c r="E41" s="429"/>
      <c r="F41" s="450">
        <v>5.8688000000000004E-3</v>
      </c>
      <c r="G41" s="449"/>
      <c r="H41" s="450">
        <v>0</v>
      </c>
      <c r="I41" s="450"/>
      <c r="J41" s="450">
        <v>1.54E-2</v>
      </c>
      <c r="K41" s="449"/>
      <c r="L41" s="450">
        <v>8.6688000000000008E-3</v>
      </c>
      <c r="M41" s="449"/>
      <c r="N41" s="450">
        <v>2.1099999999999999E-3</v>
      </c>
      <c r="O41" s="449"/>
      <c r="P41" s="450">
        <v>7.7099999999999998E-3</v>
      </c>
      <c r="Q41" s="449"/>
      <c r="R41" s="450"/>
      <c r="S41" s="449"/>
      <c r="T41" s="450"/>
      <c r="U41" s="431"/>
      <c r="V41" s="449" t="s">
        <v>193</v>
      </c>
      <c r="W41" s="432"/>
      <c r="X41" s="419"/>
    </row>
    <row r="42" spans="1:27" s="420" customFormat="1" ht="15.75" x14ac:dyDescent="0.25">
      <c r="A42" s="428"/>
      <c r="B42" s="429" t="s">
        <v>289</v>
      </c>
      <c r="C42" s="429"/>
      <c r="D42" s="436" t="s">
        <v>311</v>
      </c>
      <c r="E42" s="429"/>
      <c r="F42" s="436" t="s">
        <v>256</v>
      </c>
      <c r="G42" s="436"/>
      <c r="H42" s="436" t="s">
        <v>261</v>
      </c>
      <c r="I42" s="436"/>
      <c r="J42" s="436" t="s">
        <v>261</v>
      </c>
      <c r="K42" s="436"/>
      <c r="L42" s="436" t="s">
        <v>259</v>
      </c>
      <c r="M42" s="436"/>
      <c r="N42" s="436" t="s">
        <v>263</v>
      </c>
      <c r="O42" s="436"/>
      <c r="P42" s="436" t="s">
        <v>264</v>
      </c>
      <c r="Q42" s="436"/>
      <c r="R42" s="436"/>
      <c r="S42" s="449"/>
      <c r="T42" s="450"/>
      <c r="U42" s="431"/>
      <c r="V42" s="431"/>
      <c r="W42" s="432"/>
      <c r="X42" s="419"/>
    </row>
    <row r="43" spans="1:27" s="420" customFormat="1" ht="15.75" x14ac:dyDescent="0.25">
      <c r="A43" s="428"/>
      <c r="B43" s="429" t="s">
        <v>290</v>
      </c>
      <c r="C43" s="451"/>
      <c r="D43" s="450">
        <v>7.1587999999999999E-3</v>
      </c>
      <c r="E43" s="450"/>
      <c r="F43" s="450">
        <f>+F40</f>
        <v>7.7619000000000004E-3</v>
      </c>
      <c r="G43" s="450"/>
      <c r="H43" s="450">
        <v>7.9118999999999995E-3</v>
      </c>
      <c r="I43" s="450"/>
      <c r="J43" s="450">
        <v>7.9419E-3</v>
      </c>
      <c r="K43" s="450"/>
      <c r="L43" s="450">
        <f>+L40</f>
        <v>1.0561900000000001E-2</v>
      </c>
      <c r="M43" s="450"/>
      <c r="N43" s="450">
        <v>1.1295899999999999E-2</v>
      </c>
      <c r="O43" s="450"/>
      <c r="P43" s="450">
        <v>1.74559E-2</v>
      </c>
      <c r="Q43" s="449"/>
      <c r="R43" s="450"/>
      <c r="S43" s="436"/>
      <c r="T43" s="436"/>
      <c r="U43" s="431"/>
      <c r="V43" s="449">
        <f>SUMPRODUCT(D43:R43,D35:R35)/V35</f>
        <v>9.0639703832995407E-3</v>
      </c>
      <c r="W43" s="432"/>
      <c r="X43" s="419"/>
    </row>
    <row r="44" spans="1:27" s="420" customFormat="1" ht="15.75" x14ac:dyDescent="0.25">
      <c r="A44" s="428"/>
      <c r="B44" s="429" t="s">
        <v>291</v>
      </c>
      <c r="C44" s="451"/>
      <c r="D44" s="450">
        <v>5.2656999999999999E-3</v>
      </c>
      <c r="E44" s="450"/>
      <c r="F44" s="450">
        <f>+F41</f>
        <v>5.8688000000000004E-3</v>
      </c>
      <c r="G44" s="450"/>
      <c r="H44" s="450">
        <v>6.0188000000000004E-3</v>
      </c>
      <c r="I44" s="450"/>
      <c r="J44" s="450">
        <v>6.0488E-3</v>
      </c>
      <c r="K44" s="450"/>
      <c r="L44" s="450">
        <f>+L41</f>
        <v>8.6688000000000008E-3</v>
      </c>
      <c r="M44" s="450"/>
      <c r="N44" s="450">
        <v>9.4027999999999994E-3</v>
      </c>
      <c r="O44" s="450"/>
      <c r="P44" s="450">
        <v>1.55628E-2</v>
      </c>
      <c r="Q44" s="449"/>
      <c r="R44" s="450"/>
      <c r="S44" s="436"/>
      <c r="T44" s="436"/>
      <c r="U44" s="431"/>
      <c r="V44" s="431"/>
      <c r="W44" s="432"/>
      <c r="X44" s="419"/>
    </row>
    <row r="45" spans="1:27" s="420" customFormat="1" ht="15.75" x14ac:dyDescent="0.25">
      <c r="A45" s="428"/>
      <c r="B45" s="429" t="s">
        <v>14</v>
      </c>
      <c r="C45" s="429"/>
      <c r="D45" s="451">
        <v>40709</v>
      </c>
      <c r="E45" s="451"/>
      <c r="F45" s="451">
        <v>40709</v>
      </c>
      <c r="G45" s="451"/>
      <c r="H45" s="451">
        <v>40709</v>
      </c>
      <c r="I45" s="451"/>
      <c r="J45" s="451">
        <v>40709</v>
      </c>
      <c r="K45" s="451"/>
      <c r="L45" s="451">
        <v>40709</v>
      </c>
      <c r="M45" s="451"/>
      <c r="N45" s="451">
        <v>40709</v>
      </c>
      <c r="O45" s="451"/>
      <c r="P45" s="451">
        <v>40709</v>
      </c>
      <c r="Q45" s="451"/>
      <c r="R45" s="451"/>
      <c r="S45" s="436"/>
      <c r="T45" s="436"/>
      <c r="U45" s="431"/>
      <c r="V45" s="431"/>
      <c r="W45" s="432"/>
      <c r="X45" s="419"/>
    </row>
    <row r="46" spans="1:27" s="420" customFormat="1" ht="15.75" x14ac:dyDescent="0.25">
      <c r="A46" s="428"/>
      <c r="B46" s="429" t="s">
        <v>15</v>
      </c>
      <c r="C46" s="429"/>
      <c r="D46" s="451">
        <v>41075</v>
      </c>
      <c r="E46" s="451"/>
      <c r="F46" s="451">
        <v>41075</v>
      </c>
      <c r="G46" s="451"/>
      <c r="H46" s="451">
        <v>41075</v>
      </c>
      <c r="I46" s="451"/>
      <c r="J46" s="451">
        <v>41075</v>
      </c>
      <c r="K46" s="436"/>
      <c r="L46" s="451">
        <v>41075</v>
      </c>
      <c r="M46" s="436"/>
      <c r="N46" s="451">
        <v>41075</v>
      </c>
      <c r="O46" s="436"/>
      <c r="P46" s="451">
        <v>41075</v>
      </c>
      <c r="Q46" s="436"/>
      <c r="R46" s="451"/>
      <c r="S46" s="436"/>
      <c r="T46" s="436"/>
      <c r="U46" s="431"/>
      <c r="V46" s="431"/>
      <c r="W46" s="432"/>
      <c r="X46" s="419"/>
    </row>
    <row r="47" spans="1:27" s="420" customFormat="1" ht="15.75" x14ac:dyDescent="0.25">
      <c r="A47" s="428"/>
      <c r="B47" s="429" t="s">
        <v>119</v>
      </c>
      <c r="C47" s="429"/>
      <c r="D47" s="436" t="s">
        <v>304</v>
      </c>
      <c r="E47" s="429"/>
      <c r="F47" s="436" t="s">
        <v>256</v>
      </c>
      <c r="G47" s="436"/>
      <c r="H47" s="436" t="s">
        <v>257</v>
      </c>
      <c r="I47" s="436"/>
      <c r="J47" s="436" t="s">
        <v>258</v>
      </c>
      <c r="K47" s="436"/>
      <c r="L47" s="436" t="s">
        <v>259</v>
      </c>
      <c r="M47" s="436"/>
      <c r="N47" s="436" t="s">
        <v>259</v>
      </c>
      <c r="O47" s="436"/>
      <c r="P47" s="436" t="s">
        <v>260</v>
      </c>
      <c r="Q47" s="436"/>
      <c r="R47" s="436"/>
      <c r="S47" s="452"/>
      <c r="T47" s="452"/>
      <c r="U47" s="452"/>
      <c r="V47" s="452"/>
      <c r="W47" s="432"/>
      <c r="X47" s="419"/>
    </row>
    <row r="48" spans="1:27" s="420" customFormat="1" ht="15.75" x14ac:dyDescent="0.25">
      <c r="A48" s="428"/>
      <c r="B48" s="429" t="s">
        <v>292</v>
      </c>
      <c r="C48" s="429"/>
      <c r="D48" s="436" t="s">
        <v>311</v>
      </c>
      <c r="E48" s="429"/>
      <c r="F48" s="436" t="s">
        <v>256</v>
      </c>
      <c r="G48" s="436"/>
      <c r="H48" s="436" t="s">
        <v>261</v>
      </c>
      <c r="I48" s="436"/>
      <c r="J48" s="436" t="s">
        <v>261</v>
      </c>
      <c r="K48" s="436"/>
      <c r="L48" s="436" t="s">
        <v>259</v>
      </c>
      <c r="M48" s="436"/>
      <c r="N48" s="436" t="s">
        <v>263</v>
      </c>
      <c r="O48" s="436"/>
      <c r="P48" s="436" t="s">
        <v>264</v>
      </c>
      <c r="Q48" s="436"/>
      <c r="R48" s="436"/>
      <c r="S48" s="429"/>
      <c r="T48" s="429"/>
      <c r="U48" s="429"/>
      <c r="V48" s="449"/>
      <c r="W48" s="432"/>
      <c r="X48" s="419"/>
    </row>
    <row r="49" spans="1:25" s="420" customFormat="1" ht="15.75" x14ac:dyDescent="0.25">
      <c r="A49" s="428"/>
      <c r="B49" s="429"/>
      <c r="C49" s="429"/>
      <c r="D49" s="436"/>
      <c r="E49" s="429"/>
      <c r="F49" s="436"/>
      <c r="G49" s="436"/>
      <c r="H49" s="436"/>
      <c r="I49" s="436"/>
      <c r="J49" s="436"/>
      <c r="K49" s="436"/>
      <c r="L49" s="436"/>
      <c r="M49" s="436"/>
      <c r="N49" s="436"/>
      <c r="O49" s="436"/>
      <c r="P49" s="436"/>
      <c r="Q49" s="436"/>
      <c r="R49" s="436"/>
      <c r="S49" s="429"/>
      <c r="T49" s="429"/>
      <c r="U49" s="429"/>
      <c r="V49" s="449" t="s">
        <v>193</v>
      </c>
      <c r="W49" s="432"/>
      <c r="X49" s="419"/>
    </row>
    <row r="50" spans="1:25" s="420" customFormat="1" ht="15.75" x14ac:dyDescent="0.25">
      <c r="A50" s="428"/>
      <c r="B50" s="429" t="s">
        <v>169</v>
      </c>
      <c r="C50" s="429"/>
      <c r="D50" s="436"/>
      <c r="E50" s="429"/>
      <c r="F50" s="436"/>
      <c r="G50" s="436"/>
      <c r="H50" s="436"/>
      <c r="I50" s="436"/>
      <c r="J50" s="436"/>
      <c r="K50" s="436"/>
      <c r="L50" s="436"/>
      <c r="M50" s="436"/>
      <c r="N50" s="436"/>
      <c r="O50" s="436"/>
      <c r="P50" s="436"/>
      <c r="Q50" s="436"/>
      <c r="R50" s="436"/>
      <c r="S50" s="429"/>
      <c r="T50" s="429"/>
      <c r="U50" s="429"/>
      <c r="V50" s="449">
        <f>SUM(L34:R34)/SUM(D34:J34)</f>
        <v>0.17632136449250416</v>
      </c>
      <c r="W50" s="432"/>
      <c r="X50" s="419"/>
    </row>
    <row r="51" spans="1:25" s="420" customFormat="1" ht="15.75" x14ac:dyDescent="0.25">
      <c r="A51" s="428"/>
      <c r="B51" s="429" t="s">
        <v>170</v>
      </c>
      <c r="C51" s="429"/>
      <c r="D51" s="429"/>
      <c r="E51" s="429"/>
      <c r="F51" s="453"/>
      <c r="G51" s="429"/>
      <c r="H51" s="429"/>
      <c r="I51" s="429"/>
      <c r="J51" s="429"/>
      <c r="K51" s="429"/>
      <c r="L51" s="429"/>
      <c r="M51" s="429"/>
      <c r="N51" s="429"/>
      <c r="O51" s="429"/>
      <c r="P51" s="429"/>
      <c r="Q51" s="429"/>
      <c r="R51" s="429"/>
      <c r="S51" s="429"/>
      <c r="T51" s="429"/>
      <c r="U51" s="429"/>
      <c r="V51" s="449">
        <f>SUM(L36:R36)/SUM(D36:J36)</f>
        <v>0.31598381977601459</v>
      </c>
      <c r="W51" s="432"/>
      <c r="X51" s="419"/>
    </row>
    <row r="52" spans="1:25" s="420" customFormat="1" ht="15.75" x14ac:dyDescent="0.25">
      <c r="A52" s="428"/>
      <c r="B52" s="429" t="s">
        <v>171</v>
      </c>
      <c r="C52" s="429"/>
      <c r="D52" s="429"/>
      <c r="E52" s="429"/>
      <c r="F52" s="429"/>
      <c r="G52" s="429"/>
      <c r="H52" s="429"/>
      <c r="I52" s="429"/>
      <c r="J52" s="429"/>
      <c r="K52" s="429"/>
      <c r="L52" s="429"/>
      <c r="M52" s="429"/>
      <c r="N52" s="429"/>
      <c r="O52" s="429"/>
      <c r="P52" s="429"/>
      <c r="Q52" s="429"/>
      <c r="R52" s="429"/>
      <c r="S52" s="429"/>
      <c r="T52" s="436"/>
      <c r="U52" s="436"/>
      <c r="V52" s="438" t="s">
        <v>268</v>
      </c>
      <c r="W52" s="432"/>
      <c r="X52" s="419"/>
    </row>
    <row r="53" spans="1:25" s="420" customFormat="1" ht="15.75" x14ac:dyDescent="0.25">
      <c r="A53" s="428"/>
      <c r="B53" s="429"/>
      <c r="C53" s="429"/>
      <c r="D53" s="429"/>
      <c r="E53" s="429"/>
      <c r="F53" s="429"/>
      <c r="G53" s="429"/>
      <c r="H53" s="429"/>
      <c r="I53" s="429"/>
      <c r="J53" s="429"/>
      <c r="K53" s="429"/>
      <c r="L53" s="429"/>
      <c r="M53" s="429"/>
      <c r="N53" s="429"/>
      <c r="O53" s="429"/>
      <c r="P53" s="429"/>
      <c r="Q53" s="429"/>
      <c r="R53" s="429"/>
      <c r="S53" s="429"/>
      <c r="T53" s="429"/>
      <c r="U53" s="429"/>
      <c r="V53" s="454"/>
      <c r="W53" s="432"/>
      <c r="X53" s="419"/>
    </row>
    <row r="54" spans="1:25" s="420" customFormat="1" ht="15.75" x14ac:dyDescent="0.25">
      <c r="A54" s="428"/>
      <c r="B54" s="429" t="s">
        <v>202</v>
      </c>
      <c r="C54" s="429"/>
      <c r="D54" s="429"/>
      <c r="E54" s="429"/>
      <c r="F54" s="429"/>
      <c r="G54" s="429"/>
      <c r="H54" s="429"/>
      <c r="I54" s="429"/>
      <c r="J54" s="429"/>
      <c r="K54" s="429"/>
      <c r="L54" s="429"/>
      <c r="M54" s="429"/>
      <c r="N54" s="429"/>
      <c r="O54" s="429"/>
      <c r="P54" s="429"/>
      <c r="Q54" s="429"/>
      <c r="R54" s="429"/>
      <c r="S54" s="429"/>
      <c r="T54" s="429"/>
      <c r="U54" s="429"/>
      <c r="V54" s="448" t="s">
        <v>203</v>
      </c>
      <c r="W54" s="432"/>
      <c r="X54" s="419"/>
    </row>
    <row r="55" spans="1:25" s="420" customFormat="1" ht="15.75" x14ac:dyDescent="0.25">
      <c r="A55" s="428"/>
      <c r="B55" s="429" t="s">
        <v>270</v>
      </c>
      <c r="C55" s="429"/>
      <c r="D55" s="429"/>
      <c r="E55" s="429"/>
      <c r="F55" s="429"/>
      <c r="G55" s="429"/>
      <c r="H55" s="429"/>
      <c r="I55" s="429"/>
      <c r="J55" s="429"/>
      <c r="K55" s="429"/>
      <c r="L55" s="429"/>
      <c r="M55" s="429"/>
      <c r="N55" s="429"/>
      <c r="O55" s="429"/>
      <c r="P55" s="429"/>
      <c r="Q55" s="429"/>
      <c r="R55" s="429"/>
      <c r="S55" s="429"/>
      <c r="T55" s="436"/>
      <c r="U55" s="436"/>
      <c r="V55" s="455" t="s">
        <v>111</v>
      </c>
      <c r="W55" s="432"/>
      <c r="X55" s="419"/>
    </row>
    <row r="56" spans="1:25" s="420" customFormat="1" ht="15.75" x14ac:dyDescent="0.25">
      <c r="A56" s="428"/>
      <c r="B56" s="435" t="s">
        <v>201</v>
      </c>
      <c r="C56" s="435"/>
      <c r="D56" s="435"/>
      <c r="E56" s="435"/>
      <c r="F56" s="435"/>
      <c r="G56" s="435"/>
      <c r="H56" s="435"/>
      <c r="I56" s="435"/>
      <c r="J56" s="435"/>
      <c r="K56" s="435"/>
      <c r="L56" s="435"/>
      <c r="M56" s="435"/>
      <c r="N56" s="435"/>
      <c r="O56" s="435"/>
      <c r="P56" s="435"/>
      <c r="Q56" s="435"/>
      <c r="R56" s="435"/>
      <c r="S56" s="435"/>
      <c r="T56" s="456"/>
      <c r="U56" s="456"/>
      <c r="V56" s="457">
        <v>43174</v>
      </c>
      <c r="W56" s="432"/>
      <c r="X56" s="419"/>
    </row>
    <row r="57" spans="1:25" s="420" customFormat="1" ht="15.75" x14ac:dyDescent="0.25">
      <c r="A57" s="428"/>
      <c r="B57" s="429" t="s">
        <v>121</v>
      </c>
      <c r="C57" s="429"/>
      <c r="D57" s="429"/>
      <c r="E57" s="429"/>
      <c r="F57" s="429"/>
      <c r="G57" s="429"/>
      <c r="H57" s="458"/>
      <c r="I57" s="458"/>
      <c r="J57" s="458"/>
      <c r="K57" s="458"/>
      <c r="L57" s="458"/>
      <c r="M57" s="458"/>
      <c r="N57" s="458"/>
      <c r="O57" s="458"/>
      <c r="P57" s="458"/>
      <c r="Q57" s="458"/>
      <c r="R57" s="429">
        <f>+V57-T57+1</f>
        <v>91</v>
      </c>
      <c r="S57" s="458"/>
      <c r="T57" s="459">
        <v>42993</v>
      </c>
      <c r="U57" s="460"/>
      <c r="V57" s="459">
        <v>43083</v>
      </c>
      <c r="W57" s="432"/>
      <c r="X57" s="419"/>
    </row>
    <row r="58" spans="1:25" s="420" customFormat="1" ht="15.75" x14ac:dyDescent="0.25">
      <c r="A58" s="428"/>
      <c r="B58" s="429" t="s">
        <v>122</v>
      </c>
      <c r="C58" s="429"/>
      <c r="D58" s="429"/>
      <c r="E58" s="429"/>
      <c r="F58" s="429"/>
      <c r="G58" s="429"/>
      <c r="H58" s="429"/>
      <c r="I58" s="429"/>
      <c r="J58" s="429"/>
      <c r="K58" s="429"/>
      <c r="L58" s="429"/>
      <c r="M58" s="429"/>
      <c r="N58" s="429"/>
      <c r="O58" s="429"/>
      <c r="P58" s="429"/>
      <c r="Q58" s="429"/>
      <c r="R58" s="429">
        <f>+V58-T58+1</f>
        <v>90</v>
      </c>
      <c r="S58" s="429"/>
      <c r="T58" s="459">
        <v>43084</v>
      </c>
      <c r="U58" s="460"/>
      <c r="V58" s="459">
        <v>43173</v>
      </c>
      <c r="W58" s="432"/>
      <c r="X58" s="419"/>
    </row>
    <row r="59" spans="1:25" s="420" customFormat="1" ht="15.75" x14ac:dyDescent="0.25">
      <c r="A59" s="428"/>
      <c r="B59" s="429" t="s">
        <v>223</v>
      </c>
      <c r="C59" s="429"/>
      <c r="D59" s="429"/>
      <c r="E59" s="429"/>
      <c r="F59" s="429"/>
      <c r="G59" s="429"/>
      <c r="H59" s="429"/>
      <c r="I59" s="429"/>
      <c r="J59" s="429"/>
      <c r="K59" s="429"/>
      <c r="L59" s="429"/>
      <c r="M59" s="429"/>
      <c r="N59" s="429"/>
      <c r="O59" s="429"/>
      <c r="P59" s="429"/>
      <c r="Q59" s="429"/>
      <c r="R59" s="429"/>
      <c r="S59" s="429"/>
      <c r="T59" s="459"/>
      <c r="U59" s="460"/>
      <c r="V59" s="459" t="s">
        <v>120</v>
      </c>
      <c r="W59" s="432"/>
      <c r="X59" s="419"/>
    </row>
    <row r="60" spans="1:25" s="420" customFormat="1" ht="15.75" x14ac:dyDescent="0.25">
      <c r="A60" s="428"/>
      <c r="B60" s="429" t="s">
        <v>271</v>
      </c>
      <c r="C60" s="429"/>
      <c r="D60" s="429"/>
      <c r="E60" s="429"/>
      <c r="F60" s="429"/>
      <c r="G60" s="429"/>
      <c r="H60" s="429"/>
      <c r="I60" s="429"/>
      <c r="J60" s="429"/>
      <c r="K60" s="429"/>
      <c r="L60" s="429"/>
      <c r="M60" s="429"/>
      <c r="N60" s="429"/>
      <c r="O60" s="429"/>
      <c r="P60" s="429"/>
      <c r="Q60" s="429"/>
      <c r="R60" s="429"/>
      <c r="S60" s="429"/>
      <c r="T60" s="459"/>
      <c r="U60" s="460"/>
      <c r="V60" s="459" t="s">
        <v>154</v>
      </c>
      <c r="W60" s="432"/>
      <c r="X60" s="419"/>
      <c r="Y60" s="461"/>
    </row>
    <row r="61" spans="1:25" s="420" customFormat="1" ht="15.75" x14ac:dyDescent="0.25">
      <c r="A61" s="428"/>
      <c r="B61" s="429" t="s">
        <v>16</v>
      </c>
      <c r="C61" s="429"/>
      <c r="D61" s="429"/>
      <c r="E61" s="429"/>
      <c r="F61" s="429"/>
      <c r="G61" s="429"/>
      <c r="H61" s="429"/>
      <c r="I61" s="429"/>
      <c r="J61" s="429"/>
      <c r="K61" s="429"/>
      <c r="L61" s="429"/>
      <c r="M61" s="429"/>
      <c r="N61" s="429"/>
      <c r="O61" s="429"/>
      <c r="P61" s="429"/>
      <c r="Q61" s="429"/>
      <c r="R61" s="429"/>
      <c r="S61" s="429"/>
      <c r="T61" s="459"/>
      <c r="U61" s="460"/>
      <c r="V61" s="459">
        <v>43160</v>
      </c>
      <c r="W61" s="432"/>
      <c r="X61" s="419"/>
    </row>
    <row r="62" spans="1:25" s="420" customFormat="1" ht="15.75" x14ac:dyDescent="0.25">
      <c r="A62" s="416"/>
      <c r="B62" s="462"/>
      <c r="C62" s="462"/>
      <c r="D62" s="462"/>
      <c r="E62" s="462"/>
      <c r="F62" s="462"/>
      <c r="G62" s="462"/>
      <c r="H62" s="462"/>
      <c r="I62" s="462"/>
      <c r="J62" s="462"/>
      <c r="K62" s="462"/>
      <c r="L62" s="462"/>
      <c r="M62" s="462"/>
      <c r="N62" s="462"/>
      <c r="O62" s="462"/>
      <c r="P62" s="462"/>
      <c r="Q62" s="462"/>
      <c r="R62" s="462"/>
      <c r="S62" s="462"/>
      <c r="T62" s="463"/>
      <c r="U62" s="464"/>
      <c r="V62" s="463"/>
      <c r="W62" s="462"/>
      <c r="X62" s="419"/>
    </row>
    <row r="63" spans="1:25" s="420" customFormat="1" ht="15.75" x14ac:dyDescent="0.25">
      <c r="A63" s="416"/>
      <c r="B63" s="417"/>
      <c r="C63" s="417"/>
      <c r="D63" s="417"/>
      <c r="E63" s="417"/>
      <c r="F63" s="417"/>
      <c r="G63" s="417"/>
      <c r="H63" s="417"/>
      <c r="I63" s="417"/>
      <c r="J63" s="417"/>
      <c r="K63" s="417"/>
      <c r="L63" s="417"/>
      <c r="M63" s="417"/>
      <c r="N63" s="417"/>
      <c r="O63" s="417"/>
      <c r="P63" s="417"/>
      <c r="Q63" s="417"/>
      <c r="R63" s="417"/>
      <c r="S63" s="417"/>
      <c r="T63" s="465"/>
      <c r="U63" s="466"/>
      <c r="V63" s="465"/>
      <c r="W63" s="417"/>
      <c r="X63" s="419"/>
    </row>
    <row r="64" spans="1:25" s="420" customFormat="1" ht="19.5" thickBot="1" x14ac:dyDescent="0.35">
      <c r="A64" s="467"/>
      <c r="B64" s="468" t="s">
        <v>343</v>
      </c>
      <c r="C64" s="469"/>
      <c r="D64" s="469"/>
      <c r="E64" s="469"/>
      <c r="F64" s="469"/>
      <c r="G64" s="469"/>
      <c r="H64" s="469"/>
      <c r="I64" s="469"/>
      <c r="J64" s="469"/>
      <c r="K64" s="469"/>
      <c r="L64" s="469"/>
      <c r="M64" s="469"/>
      <c r="N64" s="469"/>
      <c r="O64" s="469"/>
      <c r="P64" s="469"/>
      <c r="Q64" s="469"/>
      <c r="R64" s="469"/>
      <c r="S64" s="469"/>
      <c r="T64" s="469"/>
      <c r="U64" s="469"/>
      <c r="V64" s="470"/>
      <c r="W64" s="471"/>
      <c r="X64" s="419"/>
    </row>
    <row r="65" spans="1:24" ht="15.75" x14ac:dyDescent="0.25">
      <c r="A65" s="536"/>
      <c r="B65" s="545" t="s">
        <v>17</v>
      </c>
      <c r="C65" s="537"/>
      <c r="D65" s="537"/>
      <c r="E65" s="537"/>
      <c r="F65" s="537"/>
      <c r="G65" s="537"/>
      <c r="H65" s="537"/>
      <c r="I65" s="537"/>
      <c r="J65" s="537"/>
      <c r="K65" s="537"/>
      <c r="L65" s="537"/>
      <c r="M65" s="537"/>
      <c r="N65" s="537"/>
      <c r="O65" s="537"/>
      <c r="P65" s="537"/>
      <c r="Q65" s="537"/>
      <c r="R65" s="537"/>
      <c r="S65" s="537"/>
      <c r="T65" s="537"/>
      <c r="U65" s="537"/>
      <c r="V65" s="546"/>
      <c r="W65" s="537"/>
      <c r="X65" s="5"/>
    </row>
    <row r="66" spans="1:24" ht="15.75" x14ac:dyDescent="0.25">
      <c r="A66" s="181"/>
      <c r="B66" s="189"/>
      <c r="C66" s="183"/>
      <c r="D66" s="183"/>
      <c r="E66" s="183"/>
      <c r="F66" s="183"/>
      <c r="G66" s="183"/>
      <c r="H66" s="183"/>
      <c r="I66" s="183"/>
      <c r="J66" s="183"/>
      <c r="K66" s="183"/>
      <c r="L66" s="183"/>
      <c r="M66" s="183"/>
      <c r="N66" s="183"/>
      <c r="O66" s="183"/>
      <c r="P66" s="183"/>
      <c r="Q66" s="183"/>
      <c r="R66" s="183"/>
      <c r="S66" s="183"/>
      <c r="T66" s="183"/>
      <c r="U66" s="183"/>
      <c r="V66" s="202"/>
      <c r="W66" s="183"/>
      <c r="X66" s="5"/>
    </row>
    <row r="67" spans="1:24" s="522" customFormat="1" ht="47.25" x14ac:dyDescent="0.25">
      <c r="A67" s="525"/>
      <c r="B67" s="526" t="s">
        <v>18</v>
      </c>
      <c r="C67" s="527"/>
      <c r="D67" s="527"/>
      <c r="E67" s="527"/>
      <c r="F67" s="527"/>
      <c r="G67" s="527"/>
      <c r="H67" s="527"/>
      <c r="I67" s="527"/>
      <c r="J67" s="527"/>
      <c r="K67" s="527"/>
      <c r="L67" s="527" t="s">
        <v>94</v>
      </c>
      <c r="M67" s="527"/>
      <c r="N67" s="527" t="s">
        <v>96</v>
      </c>
      <c r="O67" s="527"/>
      <c r="P67" s="527" t="s">
        <v>98</v>
      </c>
      <c r="Q67" s="527"/>
      <c r="R67" s="527" t="s">
        <v>100</v>
      </c>
      <c r="S67" s="527"/>
      <c r="T67" s="527" t="s">
        <v>106</v>
      </c>
      <c r="U67" s="527"/>
      <c r="V67" s="528" t="s">
        <v>112</v>
      </c>
      <c r="W67" s="529"/>
      <c r="X67" s="521"/>
    </row>
    <row r="68" spans="1:24" s="420" customFormat="1" ht="15.75" x14ac:dyDescent="0.25">
      <c r="A68" s="428"/>
      <c r="B68" s="429" t="s">
        <v>19</v>
      </c>
      <c r="C68" s="472"/>
      <c r="D68" s="472"/>
      <c r="E68" s="472"/>
      <c r="F68" s="472"/>
      <c r="G68" s="472"/>
      <c r="H68" s="472"/>
      <c r="I68" s="472"/>
      <c r="J68" s="472"/>
      <c r="K68" s="472"/>
      <c r="L68" s="472">
        <v>812446</v>
      </c>
      <c r="M68" s="472"/>
      <c r="N68" s="473">
        <v>633581</v>
      </c>
      <c r="O68" s="472"/>
      <c r="P68" s="472">
        <f>8615+251+43</f>
        <v>8909</v>
      </c>
      <c r="Q68" s="472"/>
      <c r="R68" s="472">
        <f>251+43</f>
        <v>294</v>
      </c>
      <c r="S68" s="472"/>
      <c r="T68" s="472">
        <v>0</v>
      </c>
      <c r="U68" s="472"/>
      <c r="V68" s="473">
        <f>+N68-P68+R68-T68</f>
        <v>624966</v>
      </c>
      <c r="W68" s="432"/>
      <c r="X68" s="419"/>
    </row>
    <row r="69" spans="1:24" s="420" customFormat="1" ht="15.75" x14ac:dyDescent="0.25">
      <c r="A69" s="428"/>
      <c r="B69" s="429" t="s">
        <v>20</v>
      </c>
      <c r="C69" s="472"/>
      <c r="D69" s="472"/>
      <c r="E69" s="472"/>
      <c r="F69" s="472"/>
      <c r="G69" s="472"/>
      <c r="H69" s="472"/>
      <c r="I69" s="472"/>
      <c r="J69" s="472"/>
      <c r="K69" s="472"/>
      <c r="L69" s="472">
        <v>0</v>
      </c>
      <c r="M69" s="472"/>
      <c r="N69" s="473">
        <v>0</v>
      </c>
      <c r="O69" s="472"/>
      <c r="P69" s="472">
        <v>0</v>
      </c>
      <c r="Q69" s="472"/>
      <c r="R69" s="472">
        <v>0</v>
      </c>
      <c r="S69" s="472"/>
      <c r="T69" s="472">
        <v>0</v>
      </c>
      <c r="U69" s="472"/>
      <c r="V69" s="473">
        <f>+L69-P69</f>
        <v>0</v>
      </c>
      <c r="W69" s="432"/>
      <c r="X69" s="419"/>
    </row>
    <row r="70" spans="1:24" s="420" customFormat="1" ht="15.75" x14ac:dyDescent="0.25">
      <c r="A70" s="428"/>
      <c r="B70" s="429"/>
      <c r="C70" s="472"/>
      <c r="D70" s="472"/>
      <c r="E70" s="472"/>
      <c r="F70" s="472"/>
      <c r="G70" s="472"/>
      <c r="H70" s="472"/>
      <c r="I70" s="472"/>
      <c r="J70" s="472"/>
      <c r="K70" s="472"/>
      <c r="L70" s="472"/>
      <c r="M70" s="472"/>
      <c r="N70" s="473"/>
      <c r="O70" s="472"/>
      <c r="P70" s="472"/>
      <c r="Q70" s="472"/>
      <c r="R70" s="472"/>
      <c r="S70" s="472"/>
      <c r="T70" s="472"/>
      <c r="U70" s="472"/>
      <c r="V70" s="473"/>
      <c r="W70" s="432"/>
      <c r="X70" s="419"/>
    </row>
    <row r="71" spans="1:24" s="420" customFormat="1" ht="15.75" x14ac:dyDescent="0.25">
      <c r="A71" s="428"/>
      <c r="B71" s="429" t="s">
        <v>21</v>
      </c>
      <c r="C71" s="472"/>
      <c r="D71" s="472"/>
      <c r="E71" s="472"/>
      <c r="F71" s="472"/>
      <c r="G71" s="472"/>
      <c r="H71" s="472"/>
      <c r="I71" s="472"/>
      <c r="J71" s="472"/>
      <c r="K71" s="472"/>
      <c r="L71" s="472">
        <f>SUM(L68:L70)</f>
        <v>812446</v>
      </c>
      <c r="M71" s="472"/>
      <c r="N71" s="472">
        <f>N68+N69</f>
        <v>633581</v>
      </c>
      <c r="O71" s="472"/>
      <c r="P71" s="472">
        <f>SUM(P68:P70)</f>
        <v>8909</v>
      </c>
      <c r="Q71" s="472"/>
      <c r="R71" s="472">
        <f>SUM(R68:R70)</f>
        <v>294</v>
      </c>
      <c r="S71" s="472"/>
      <c r="T71" s="472">
        <f>SUM(T68:T70)</f>
        <v>0</v>
      </c>
      <c r="U71" s="472"/>
      <c r="V71" s="472">
        <f>SUM(V68:V70)</f>
        <v>624966</v>
      </c>
      <c r="W71" s="432"/>
      <c r="X71" s="419"/>
    </row>
    <row r="72" spans="1:24" ht="15.75" x14ac:dyDescent="0.25">
      <c r="A72" s="181"/>
      <c r="B72" s="212"/>
      <c r="C72" s="335"/>
      <c r="D72" s="335"/>
      <c r="E72" s="335"/>
      <c r="F72" s="335"/>
      <c r="G72" s="335"/>
      <c r="H72" s="335"/>
      <c r="I72" s="335"/>
      <c r="J72" s="335"/>
      <c r="K72" s="335"/>
      <c r="L72" s="335"/>
      <c r="M72" s="335"/>
      <c r="N72" s="335"/>
      <c r="O72" s="335"/>
      <c r="P72" s="335"/>
      <c r="Q72" s="335"/>
      <c r="R72" s="335"/>
      <c r="S72" s="335"/>
      <c r="T72" s="335"/>
      <c r="U72" s="335"/>
      <c r="V72" s="336"/>
      <c r="W72" s="212"/>
      <c r="X72" s="5"/>
    </row>
    <row r="73" spans="1:24" ht="15.75" x14ac:dyDescent="0.25">
      <c r="A73" s="181"/>
      <c r="B73" s="511" t="s">
        <v>22</v>
      </c>
      <c r="C73" s="207"/>
      <c r="D73" s="207"/>
      <c r="E73" s="207"/>
      <c r="F73" s="207"/>
      <c r="G73" s="207"/>
      <c r="H73" s="207"/>
      <c r="I73" s="207"/>
      <c r="J73" s="207"/>
      <c r="K73" s="207"/>
      <c r="L73" s="207"/>
      <c r="M73" s="207"/>
      <c r="N73" s="207"/>
      <c r="O73" s="207"/>
      <c r="P73" s="207"/>
      <c r="Q73" s="207"/>
      <c r="R73" s="207"/>
      <c r="S73" s="207"/>
      <c r="T73" s="207"/>
      <c r="U73" s="207"/>
      <c r="V73" s="208"/>
      <c r="W73" s="183"/>
      <c r="X73" s="5"/>
    </row>
    <row r="74" spans="1:24" ht="15.75" x14ac:dyDescent="0.25">
      <c r="A74" s="181"/>
      <c r="B74" s="183"/>
      <c r="C74" s="207"/>
      <c r="D74" s="207"/>
      <c r="E74" s="207"/>
      <c r="F74" s="207"/>
      <c r="G74" s="207"/>
      <c r="H74" s="207"/>
      <c r="I74" s="207"/>
      <c r="J74" s="207"/>
      <c r="K74" s="207"/>
      <c r="L74" s="207"/>
      <c r="M74" s="207"/>
      <c r="N74" s="207"/>
      <c r="O74" s="207"/>
      <c r="P74" s="207"/>
      <c r="Q74" s="207"/>
      <c r="R74" s="207"/>
      <c r="S74" s="207"/>
      <c r="T74" s="207"/>
      <c r="U74" s="207"/>
      <c r="V74" s="208"/>
      <c r="W74" s="183"/>
      <c r="X74" s="5"/>
    </row>
    <row r="75" spans="1:24" s="420" customFormat="1" ht="15.75" x14ac:dyDescent="0.25">
      <c r="A75" s="428"/>
      <c r="B75" s="429" t="s">
        <v>19</v>
      </c>
      <c r="C75" s="472"/>
      <c r="D75" s="472"/>
      <c r="E75" s="472"/>
      <c r="F75" s="472"/>
      <c r="G75" s="472"/>
      <c r="H75" s="472"/>
      <c r="I75" s="472"/>
      <c r="J75" s="472"/>
      <c r="K75" s="472"/>
      <c r="L75" s="472"/>
      <c r="M75" s="472"/>
      <c r="N75" s="472"/>
      <c r="O75" s="472"/>
      <c r="P75" s="472"/>
      <c r="Q75" s="472"/>
      <c r="R75" s="472"/>
      <c r="S75" s="472"/>
      <c r="T75" s="472"/>
      <c r="U75" s="472"/>
      <c r="V75" s="472"/>
      <c r="W75" s="432"/>
      <c r="X75" s="419"/>
    </row>
    <row r="76" spans="1:24" s="420" customFormat="1" ht="15.75" x14ac:dyDescent="0.25">
      <c r="A76" s="428"/>
      <c r="B76" s="429" t="s">
        <v>20</v>
      </c>
      <c r="C76" s="472"/>
      <c r="D76" s="472"/>
      <c r="E76" s="472"/>
      <c r="F76" s="472"/>
      <c r="G76" s="472"/>
      <c r="H76" s="472"/>
      <c r="I76" s="472"/>
      <c r="J76" s="472"/>
      <c r="K76" s="472"/>
      <c r="L76" s="472"/>
      <c r="M76" s="472"/>
      <c r="N76" s="472"/>
      <c r="O76" s="472"/>
      <c r="P76" s="472"/>
      <c r="Q76" s="472"/>
      <c r="R76" s="472"/>
      <c r="S76" s="472"/>
      <c r="T76" s="472"/>
      <c r="U76" s="472"/>
      <c r="V76" s="472"/>
      <c r="W76" s="432"/>
      <c r="X76" s="419"/>
    </row>
    <row r="77" spans="1:24" s="420" customFormat="1" ht="15.75" x14ac:dyDescent="0.25">
      <c r="A77" s="428"/>
      <c r="B77" s="429"/>
      <c r="C77" s="472"/>
      <c r="D77" s="472"/>
      <c r="E77" s="472"/>
      <c r="F77" s="472"/>
      <c r="G77" s="472"/>
      <c r="H77" s="472"/>
      <c r="I77" s="472"/>
      <c r="J77" s="472"/>
      <c r="K77" s="472"/>
      <c r="L77" s="472"/>
      <c r="M77" s="472"/>
      <c r="N77" s="472"/>
      <c r="O77" s="472"/>
      <c r="P77" s="472"/>
      <c r="Q77" s="472"/>
      <c r="R77" s="472"/>
      <c r="S77" s="472"/>
      <c r="T77" s="472"/>
      <c r="U77" s="472"/>
      <c r="V77" s="472"/>
      <c r="W77" s="432"/>
      <c r="X77" s="419"/>
    </row>
    <row r="78" spans="1:24" s="420" customFormat="1" ht="15.75" x14ac:dyDescent="0.25">
      <c r="A78" s="428"/>
      <c r="B78" s="429" t="s">
        <v>21</v>
      </c>
      <c r="C78" s="472"/>
      <c r="D78" s="472"/>
      <c r="E78" s="472"/>
      <c r="F78" s="472"/>
      <c r="G78" s="472"/>
      <c r="H78" s="472"/>
      <c r="I78" s="472"/>
      <c r="J78" s="472"/>
      <c r="K78" s="472"/>
      <c r="L78" s="472"/>
      <c r="M78" s="472"/>
      <c r="N78" s="472"/>
      <c r="O78" s="472"/>
      <c r="P78" s="472"/>
      <c r="Q78" s="472"/>
      <c r="R78" s="472"/>
      <c r="S78" s="472"/>
      <c r="T78" s="472"/>
      <c r="U78" s="472"/>
      <c r="V78" s="472"/>
      <c r="W78" s="432"/>
      <c r="X78" s="419"/>
    </row>
    <row r="79" spans="1:24" s="420" customFormat="1" ht="15.75" x14ac:dyDescent="0.25">
      <c r="A79" s="428"/>
      <c r="B79" s="429"/>
      <c r="C79" s="472"/>
      <c r="D79" s="472"/>
      <c r="E79" s="472"/>
      <c r="F79" s="472"/>
      <c r="G79" s="472"/>
      <c r="H79" s="472"/>
      <c r="I79" s="472"/>
      <c r="J79" s="472"/>
      <c r="K79" s="472"/>
      <c r="L79" s="472"/>
      <c r="M79" s="472"/>
      <c r="N79" s="472"/>
      <c r="O79" s="472"/>
      <c r="P79" s="472"/>
      <c r="Q79" s="472"/>
      <c r="R79" s="472"/>
      <c r="S79" s="472"/>
      <c r="T79" s="472"/>
      <c r="U79" s="472"/>
      <c r="V79" s="472"/>
      <c r="W79" s="432"/>
      <c r="X79" s="419"/>
    </row>
    <row r="80" spans="1:24" s="420" customFormat="1" ht="15.75" x14ac:dyDescent="0.25">
      <c r="A80" s="428"/>
      <c r="B80" s="429" t="s">
        <v>23</v>
      </c>
      <c r="C80" s="472"/>
      <c r="D80" s="472"/>
      <c r="E80" s="472"/>
      <c r="F80" s="472"/>
      <c r="G80" s="472"/>
      <c r="H80" s="472"/>
      <c r="I80" s="472"/>
      <c r="J80" s="472"/>
      <c r="K80" s="472"/>
      <c r="L80" s="472">
        <v>0</v>
      </c>
      <c r="M80" s="472"/>
      <c r="N80" s="472">
        <v>0</v>
      </c>
      <c r="O80" s="472"/>
      <c r="P80" s="472"/>
      <c r="Q80" s="472"/>
      <c r="R80" s="472"/>
      <c r="S80" s="472"/>
      <c r="T80" s="472"/>
      <c r="U80" s="472"/>
      <c r="V80" s="473">
        <v>0</v>
      </c>
      <c r="W80" s="432"/>
      <c r="X80" s="419"/>
    </row>
    <row r="81" spans="1:24" s="420" customFormat="1" ht="15.75" x14ac:dyDescent="0.25">
      <c r="A81" s="428"/>
      <c r="B81" s="429" t="s">
        <v>117</v>
      </c>
      <c r="C81" s="472"/>
      <c r="D81" s="472"/>
      <c r="E81" s="472"/>
      <c r="F81" s="472"/>
      <c r="G81" s="472"/>
      <c r="H81" s="472"/>
      <c r="I81" s="472"/>
      <c r="J81" s="472"/>
      <c r="K81" s="472"/>
      <c r="L81" s="472">
        <v>188687</v>
      </c>
      <c r="M81" s="472"/>
      <c r="N81" s="472">
        <v>0</v>
      </c>
      <c r="O81" s="472"/>
      <c r="P81" s="472">
        <v>0</v>
      </c>
      <c r="Q81" s="472"/>
      <c r="R81" s="472"/>
      <c r="S81" s="472"/>
      <c r="T81" s="472"/>
      <c r="U81" s="472"/>
      <c r="V81" s="472">
        <f>SUM(N81:R81)</f>
        <v>0</v>
      </c>
      <c r="W81" s="432"/>
      <c r="X81" s="419"/>
    </row>
    <row r="82" spans="1:24" s="420" customFormat="1" ht="15.75" x14ac:dyDescent="0.25">
      <c r="A82" s="428"/>
      <c r="B82" s="429" t="s">
        <v>146</v>
      </c>
      <c r="C82" s="472"/>
      <c r="D82" s="472"/>
      <c r="E82" s="472"/>
      <c r="F82" s="472"/>
      <c r="G82" s="472"/>
      <c r="H82" s="472"/>
      <c r="I82" s="472"/>
      <c r="J82" s="472"/>
      <c r="K82" s="472"/>
      <c r="L82" s="472">
        <v>0</v>
      </c>
      <c r="M82" s="472"/>
      <c r="N82" s="472">
        <v>0</v>
      </c>
      <c r="O82" s="472"/>
      <c r="P82" s="472">
        <v>0</v>
      </c>
      <c r="Q82" s="472"/>
      <c r="R82" s="472"/>
      <c r="S82" s="472"/>
      <c r="T82" s="472"/>
      <c r="U82" s="472"/>
      <c r="V82" s="472">
        <f>+N82+P82</f>
        <v>0</v>
      </c>
      <c r="W82" s="432"/>
      <c r="X82" s="419"/>
    </row>
    <row r="83" spans="1:24" s="420" customFormat="1" ht="15.75" x14ac:dyDescent="0.25">
      <c r="A83" s="428"/>
      <c r="B83" s="429" t="s">
        <v>25</v>
      </c>
      <c r="C83" s="472"/>
      <c r="D83" s="472"/>
      <c r="E83" s="472"/>
      <c r="F83" s="472"/>
      <c r="G83" s="472"/>
      <c r="H83" s="472"/>
      <c r="I83" s="472"/>
      <c r="J83" s="472"/>
      <c r="K83" s="472"/>
      <c r="L83" s="472">
        <v>0</v>
      </c>
      <c r="M83" s="472"/>
      <c r="N83" s="472">
        <v>0</v>
      </c>
      <c r="O83" s="472"/>
      <c r="P83" s="472"/>
      <c r="Q83" s="472"/>
      <c r="R83" s="472"/>
      <c r="S83" s="472"/>
      <c r="T83" s="472"/>
      <c r="U83" s="472"/>
      <c r="V83" s="472">
        <v>0</v>
      </c>
      <c r="W83" s="432"/>
      <c r="X83" s="419"/>
    </row>
    <row r="84" spans="1:24" s="420" customFormat="1" ht="15.75" x14ac:dyDescent="0.25">
      <c r="A84" s="428"/>
      <c r="B84" s="429" t="s">
        <v>26</v>
      </c>
      <c r="C84" s="472"/>
      <c r="D84" s="472"/>
      <c r="E84" s="472"/>
      <c r="F84" s="472"/>
      <c r="G84" s="472"/>
      <c r="H84" s="472"/>
      <c r="I84" s="472"/>
      <c r="J84" s="472"/>
      <c r="K84" s="472"/>
      <c r="L84" s="472">
        <f>SUM(L71:L83)</f>
        <v>1001133</v>
      </c>
      <c r="M84" s="472"/>
      <c r="N84" s="472">
        <f>SUM(N71:N83)</f>
        <v>633581</v>
      </c>
      <c r="O84" s="472"/>
      <c r="P84" s="472"/>
      <c r="Q84" s="472"/>
      <c r="R84" s="472"/>
      <c r="S84" s="472"/>
      <c r="T84" s="472"/>
      <c r="U84" s="472"/>
      <c r="V84" s="472">
        <f>SUM(V71:V83)</f>
        <v>624966</v>
      </c>
      <c r="W84" s="432"/>
      <c r="X84" s="419"/>
    </row>
    <row r="85" spans="1:24" ht="15.75" x14ac:dyDescent="0.25">
      <c r="A85" s="181"/>
      <c r="B85" s="212"/>
      <c r="C85" s="335"/>
      <c r="D85" s="335"/>
      <c r="E85" s="335"/>
      <c r="F85" s="335"/>
      <c r="G85" s="335"/>
      <c r="H85" s="335"/>
      <c r="I85" s="335"/>
      <c r="J85" s="335"/>
      <c r="K85" s="335"/>
      <c r="L85" s="335"/>
      <c r="M85" s="335"/>
      <c r="N85" s="335"/>
      <c r="O85" s="335"/>
      <c r="P85" s="335"/>
      <c r="Q85" s="335"/>
      <c r="R85" s="335"/>
      <c r="S85" s="335"/>
      <c r="T85" s="335"/>
      <c r="U85" s="335"/>
      <c r="V85" s="336"/>
      <c r="W85" s="212"/>
      <c r="X85" s="5"/>
    </row>
    <row r="86" spans="1:24" ht="15.75" x14ac:dyDescent="0.25">
      <c r="A86" s="181"/>
      <c r="B86" s="183"/>
      <c r="C86" s="183"/>
      <c r="D86" s="183"/>
      <c r="E86" s="183"/>
      <c r="F86" s="183"/>
      <c r="G86" s="183"/>
      <c r="H86" s="183"/>
      <c r="I86" s="183"/>
      <c r="J86" s="183"/>
      <c r="K86" s="183"/>
      <c r="L86" s="183"/>
      <c r="M86" s="183"/>
      <c r="N86" s="183"/>
      <c r="O86" s="183"/>
      <c r="P86" s="183"/>
      <c r="Q86" s="183"/>
      <c r="R86" s="183"/>
      <c r="S86" s="183"/>
      <c r="T86" s="183"/>
      <c r="U86" s="183"/>
      <c r="V86" s="183"/>
      <c r="W86" s="183"/>
      <c r="X86" s="5"/>
    </row>
    <row r="87" spans="1:24" ht="15.75" x14ac:dyDescent="0.25">
      <c r="A87" s="536"/>
      <c r="B87" s="547" t="s">
        <v>27</v>
      </c>
      <c r="C87" s="547"/>
      <c r="D87" s="547"/>
      <c r="E87" s="547"/>
      <c r="F87" s="547"/>
      <c r="G87" s="547"/>
      <c r="H87" s="548"/>
      <c r="I87" s="548"/>
      <c r="J87" s="548"/>
      <c r="K87" s="548"/>
      <c r="L87" s="549" t="s">
        <v>95</v>
      </c>
      <c r="M87" s="548"/>
      <c r="N87" s="550">
        <f>+T202</f>
        <v>43159</v>
      </c>
      <c r="O87" s="548"/>
      <c r="P87" s="548"/>
      <c r="Q87" s="548"/>
      <c r="R87" s="548"/>
      <c r="S87" s="548"/>
      <c r="T87" s="548" t="s">
        <v>107</v>
      </c>
      <c r="U87" s="548"/>
      <c r="V87" s="548" t="s">
        <v>113</v>
      </c>
      <c r="W87" s="544"/>
      <c r="X87" s="5"/>
    </row>
    <row r="88" spans="1:24" s="420" customFormat="1" ht="15.75" x14ac:dyDescent="0.25">
      <c r="A88" s="416"/>
      <c r="B88" s="462" t="s">
        <v>28</v>
      </c>
      <c r="C88" s="462"/>
      <c r="D88" s="462"/>
      <c r="E88" s="462"/>
      <c r="F88" s="462"/>
      <c r="G88" s="462"/>
      <c r="H88" s="462"/>
      <c r="I88" s="462"/>
      <c r="J88" s="462"/>
      <c r="K88" s="462"/>
      <c r="L88" s="462"/>
      <c r="M88" s="462"/>
      <c r="N88" s="462"/>
      <c r="O88" s="462"/>
      <c r="P88" s="462"/>
      <c r="Q88" s="462"/>
      <c r="R88" s="462"/>
      <c r="S88" s="462"/>
      <c r="T88" s="478">
        <v>0</v>
      </c>
      <c r="U88" s="462"/>
      <c r="V88" s="499">
        <v>0</v>
      </c>
      <c r="W88" s="462"/>
      <c r="X88" s="419"/>
    </row>
    <row r="89" spans="1:24" s="420" customFormat="1" ht="15.75" x14ac:dyDescent="0.25">
      <c r="A89" s="428"/>
      <c r="B89" s="429" t="s">
        <v>29</v>
      </c>
      <c r="C89" s="429"/>
      <c r="D89" s="429"/>
      <c r="E89" s="429"/>
      <c r="F89" s="429"/>
      <c r="G89" s="429"/>
      <c r="H89" s="452"/>
      <c r="I89" s="452"/>
      <c r="J89" s="452"/>
      <c r="K89" s="474"/>
      <c r="L89" s="452"/>
      <c r="M89" s="429"/>
      <c r="N89" s="475"/>
      <c r="O89" s="429"/>
      <c r="P89" s="429"/>
      <c r="Q89" s="429"/>
      <c r="R89" s="429"/>
      <c r="S89" s="429"/>
      <c r="T89" s="472">
        <f>8909-167</f>
        <v>8742</v>
      </c>
      <c r="U89" s="429"/>
      <c r="V89" s="473"/>
      <c r="W89" s="432"/>
      <c r="X89" s="419"/>
    </row>
    <row r="90" spans="1:24" s="420" customFormat="1" ht="15.75" x14ac:dyDescent="0.25">
      <c r="A90" s="428"/>
      <c r="B90" s="429" t="s">
        <v>215</v>
      </c>
      <c r="C90" s="429"/>
      <c r="D90" s="429"/>
      <c r="E90" s="429"/>
      <c r="F90" s="429"/>
      <c r="G90" s="429"/>
      <c r="H90" s="452"/>
      <c r="I90" s="452"/>
      <c r="J90" s="452"/>
      <c r="K90" s="474"/>
      <c r="L90" s="452"/>
      <c r="M90" s="429"/>
      <c r="N90" s="475"/>
      <c r="O90" s="429"/>
      <c r="P90" s="429"/>
      <c r="Q90" s="429"/>
      <c r="R90" s="429"/>
      <c r="S90" s="429"/>
      <c r="T90" s="472"/>
      <c r="U90" s="429"/>
      <c r="V90" s="473">
        <f>2695+2173-534-458</f>
        <v>3876</v>
      </c>
      <c r="W90" s="432"/>
      <c r="X90" s="419"/>
    </row>
    <row r="91" spans="1:24" s="420" customFormat="1" ht="15.75" x14ac:dyDescent="0.25">
      <c r="A91" s="428"/>
      <c r="B91" s="429" t="s">
        <v>210</v>
      </c>
      <c r="C91" s="429"/>
      <c r="D91" s="429"/>
      <c r="E91" s="429"/>
      <c r="F91" s="429"/>
      <c r="G91" s="429"/>
      <c r="H91" s="452"/>
      <c r="I91" s="452"/>
      <c r="J91" s="452"/>
      <c r="K91" s="474"/>
      <c r="L91" s="452"/>
      <c r="M91" s="429"/>
      <c r="N91" s="475"/>
      <c r="O91" s="429"/>
      <c r="P91" s="429"/>
      <c r="Q91" s="429"/>
      <c r="R91" s="429"/>
      <c r="S91" s="429"/>
      <c r="T91" s="472"/>
      <c r="U91" s="429"/>
      <c r="V91" s="473">
        <f>48+114</f>
        <v>162</v>
      </c>
      <c r="W91" s="432"/>
      <c r="X91" s="419"/>
    </row>
    <row r="92" spans="1:24" s="420" customFormat="1" ht="15.75" x14ac:dyDescent="0.25">
      <c r="A92" s="428"/>
      <c r="B92" s="429" t="s">
        <v>211</v>
      </c>
      <c r="C92" s="429"/>
      <c r="D92" s="429"/>
      <c r="E92" s="429"/>
      <c r="F92" s="429"/>
      <c r="G92" s="429"/>
      <c r="H92" s="452"/>
      <c r="I92" s="452"/>
      <c r="J92" s="452"/>
      <c r="K92" s="474"/>
      <c r="L92" s="452"/>
      <c r="M92" s="429"/>
      <c r="N92" s="475"/>
      <c r="O92" s="429"/>
      <c r="P92" s="429"/>
      <c r="Q92" s="429"/>
      <c r="R92" s="429"/>
      <c r="S92" s="429"/>
      <c r="T92" s="472"/>
      <c r="U92" s="429"/>
      <c r="V92" s="473">
        <v>22</v>
      </c>
      <c r="W92" s="432"/>
      <c r="X92" s="419"/>
    </row>
    <row r="93" spans="1:24" s="420" customFormat="1" ht="15.75" x14ac:dyDescent="0.25">
      <c r="A93" s="428"/>
      <c r="B93" s="429" t="s">
        <v>233</v>
      </c>
      <c r="C93" s="429"/>
      <c r="D93" s="429"/>
      <c r="E93" s="429"/>
      <c r="F93" s="429"/>
      <c r="G93" s="429"/>
      <c r="H93" s="452"/>
      <c r="I93" s="452"/>
      <c r="J93" s="452"/>
      <c r="K93" s="474"/>
      <c r="L93" s="452"/>
      <c r="M93" s="429"/>
      <c r="N93" s="475"/>
      <c r="O93" s="429"/>
      <c r="P93" s="429"/>
      <c r="Q93" s="429"/>
      <c r="R93" s="429"/>
      <c r="S93" s="429"/>
      <c r="T93" s="472"/>
      <c r="U93" s="429"/>
      <c r="V93" s="473">
        <v>0</v>
      </c>
      <c r="W93" s="432"/>
      <c r="X93" s="419"/>
    </row>
    <row r="94" spans="1:24" s="420" customFormat="1" ht="15.75" x14ac:dyDescent="0.25">
      <c r="A94" s="428"/>
      <c r="B94" s="429" t="s">
        <v>235</v>
      </c>
      <c r="C94" s="429"/>
      <c r="D94" s="429"/>
      <c r="E94" s="429"/>
      <c r="F94" s="429"/>
      <c r="G94" s="429"/>
      <c r="H94" s="452"/>
      <c r="I94" s="452"/>
      <c r="J94" s="452"/>
      <c r="K94" s="474"/>
      <c r="L94" s="452"/>
      <c r="M94" s="429"/>
      <c r="N94" s="475"/>
      <c r="O94" s="429"/>
      <c r="P94" s="429"/>
      <c r="Q94" s="429"/>
      <c r="R94" s="429"/>
      <c r="S94" s="429"/>
      <c r="T94" s="472"/>
      <c r="U94" s="429"/>
      <c r="V94" s="473">
        <v>0</v>
      </c>
      <c r="W94" s="432"/>
      <c r="X94" s="419"/>
    </row>
    <row r="95" spans="1:24" s="420" customFormat="1" ht="15.75" x14ac:dyDescent="0.25">
      <c r="A95" s="428"/>
      <c r="B95" s="429" t="s">
        <v>135</v>
      </c>
      <c r="C95" s="429"/>
      <c r="D95" s="429"/>
      <c r="E95" s="429"/>
      <c r="F95" s="429"/>
      <c r="G95" s="429"/>
      <c r="H95" s="429"/>
      <c r="I95" s="429"/>
      <c r="J95" s="429"/>
      <c r="K95" s="429"/>
      <c r="L95" s="429"/>
      <c r="M95" s="429"/>
      <c r="N95" s="429"/>
      <c r="O95" s="429"/>
      <c r="P95" s="429"/>
      <c r="Q95" s="429"/>
      <c r="R95" s="429"/>
      <c r="S95" s="429"/>
      <c r="T95" s="472"/>
      <c r="U95" s="429"/>
      <c r="V95" s="473">
        <v>0</v>
      </c>
      <c r="W95" s="432"/>
      <c r="X95" s="419"/>
    </row>
    <row r="96" spans="1:24" s="420" customFormat="1" ht="15.75" x14ac:dyDescent="0.25">
      <c r="A96" s="428"/>
      <c r="B96" s="429" t="s">
        <v>272</v>
      </c>
      <c r="C96" s="429"/>
      <c r="D96" s="429"/>
      <c r="E96" s="429"/>
      <c r="F96" s="429"/>
      <c r="G96" s="429"/>
      <c r="H96" s="429"/>
      <c r="I96" s="429"/>
      <c r="J96" s="429"/>
      <c r="K96" s="429"/>
      <c r="L96" s="429"/>
      <c r="M96" s="429"/>
      <c r="N96" s="429"/>
      <c r="O96" s="429"/>
      <c r="P96" s="429"/>
      <c r="Q96" s="429"/>
      <c r="R96" s="429"/>
      <c r="S96" s="429"/>
      <c r="T96" s="472"/>
      <c r="U96" s="429"/>
      <c r="V96" s="473">
        <v>0</v>
      </c>
      <c r="W96" s="432"/>
      <c r="X96" s="419"/>
    </row>
    <row r="97" spans="1:25" s="420" customFormat="1" ht="15.75" x14ac:dyDescent="0.25">
      <c r="A97" s="428"/>
      <c r="B97" s="429" t="s">
        <v>30</v>
      </c>
      <c r="C97" s="429"/>
      <c r="D97" s="429"/>
      <c r="E97" s="429"/>
      <c r="F97" s="429"/>
      <c r="G97" s="429"/>
      <c r="H97" s="429"/>
      <c r="I97" s="429"/>
      <c r="J97" s="429"/>
      <c r="K97" s="429"/>
      <c r="L97" s="429"/>
      <c r="M97" s="429"/>
      <c r="N97" s="429"/>
      <c r="O97" s="429"/>
      <c r="P97" s="429"/>
      <c r="Q97" s="429"/>
      <c r="R97" s="429"/>
      <c r="S97" s="429"/>
      <c r="T97" s="472">
        <f>SUM(T88:T96)</f>
        <v>8742</v>
      </c>
      <c r="U97" s="429"/>
      <c r="V97" s="472">
        <f>SUM(V88:V96)</f>
        <v>4060</v>
      </c>
      <c r="W97" s="432"/>
      <c r="X97" s="419"/>
    </row>
    <row r="98" spans="1:25" s="420" customFormat="1" ht="15.75" x14ac:dyDescent="0.25">
      <c r="A98" s="428"/>
      <c r="B98" s="429" t="s">
        <v>161</v>
      </c>
      <c r="C98" s="429"/>
      <c r="D98" s="429"/>
      <c r="E98" s="429"/>
      <c r="F98" s="429"/>
      <c r="G98" s="429"/>
      <c r="H98" s="429"/>
      <c r="I98" s="429"/>
      <c r="J98" s="429"/>
      <c r="K98" s="429"/>
      <c r="L98" s="429"/>
      <c r="M98" s="429"/>
      <c r="N98" s="429"/>
      <c r="O98" s="429"/>
      <c r="P98" s="429"/>
      <c r="Q98" s="429"/>
      <c r="R98" s="429"/>
      <c r="S98" s="429"/>
      <c r="T98" s="472">
        <f>-V98</f>
        <v>0</v>
      </c>
      <c r="U98" s="429"/>
      <c r="V98" s="472">
        <v>0</v>
      </c>
      <c r="W98" s="432"/>
      <c r="X98" s="419"/>
    </row>
    <row r="99" spans="1:25" s="420" customFormat="1" ht="15.75" x14ac:dyDescent="0.25">
      <c r="A99" s="428"/>
      <c r="B99" s="429" t="s">
        <v>31</v>
      </c>
      <c r="C99" s="429"/>
      <c r="D99" s="429"/>
      <c r="E99" s="429"/>
      <c r="F99" s="429"/>
      <c r="G99" s="429"/>
      <c r="H99" s="429"/>
      <c r="I99" s="429"/>
      <c r="J99" s="429"/>
      <c r="K99" s="429"/>
      <c r="L99" s="429"/>
      <c r="M99" s="429"/>
      <c r="N99" s="429"/>
      <c r="O99" s="429"/>
      <c r="P99" s="429"/>
      <c r="Q99" s="429"/>
      <c r="R99" s="429"/>
      <c r="S99" s="429"/>
      <c r="T99" s="472">
        <f>-V99</f>
        <v>0</v>
      </c>
      <c r="U99" s="429"/>
      <c r="V99" s="473">
        <v>0</v>
      </c>
      <c r="W99" s="432"/>
      <c r="X99" s="419"/>
    </row>
    <row r="100" spans="1:25" s="420" customFormat="1" ht="15.75" x14ac:dyDescent="0.25">
      <c r="A100" s="428"/>
      <c r="B100" s="429" t="s">
        <v>274</v>
      </c>
      <c r="C100" s="429"/>
      <c r="D100" s="429"/>
      <c r="E100" s="429"/>
      <c r="F100" s="429"/>
      <c r="G100" s="429"/>
      <c r="H100" s="429"/>
      <c r="I100" s="429"/>
      <c r="J100" s="429"/>
      <c r="K100" s="429"/>
      <c r="L100" s="429"/>
      <c r="M100" s="429"/>
      <c r="N100" s="429"/>
      <c r="O100" s="429"/>
      <c r="P100" s="429"/>
      <c r="Q100" s="429"/>
      <c r="R100" s="429"/>
      <c r="S100" s="429"/>
      <c r="T100" s="472"/>
      <c r="U100" s="429"/>
      <c r="V100" s="473">
        <v>76</v>
      </c>
      <c r="W100" s="432"/>
      <c r="X100" s="419"/>
    </row>
    <row r="101" spans="1:25" s="420" customFormat="1" ht="15.75" x14ac:dyDescent="0.25">
      <c r="A101" s="428"/>
      <c r="B101" s="429" t="s">
        <v>32</v>
      </c>
      <c r="C101" s="429"/>
      <c r="D101" s="429"/>
      <c r="E101" s="429"/>
      <c r="F101" s="429"/>
      <c r="G101" s="429"/>
      <c r="H101" s="429"/>
      <c r="I101" s="429"/>
      <c r="J101" s="429"/>
      <c r="K101" s="429"/>
      <c r="L101" s="429"/>
      <c r="M101" s="429"/>
      <c r="N101" s="429"/>
      <c r="O101" s="429"/>
      <c r="P101" s="429"/>
      <c r="Q101" s="429"/>
      <c r="R101" s="429"/>
      <c r="S101" s="429"/>
      <c r="T101" s="472">
        <f>T97+T99+T98</f>
        <v>8742</v>
      </c>
      <c r="U101" s="429"/>
      <c r="V101" s="472">
        <f>V97+V99+V98+V100</f>
        <v>4136</v>
      </c>
      <c r="W101" s="432"/>
      <c r="X101" s="419"/>
    </row>
    <row r="102" spans="1:25" ht="15.75" x14ac:dyDescent="0.25">
      <c r="A102" s="285"/>
      <c r="B102" s="530" t="s">
        <v>33</v>
      </c>
      <c r="C102" s="314"/>
      <c r="D102" s="314"/>
      <c r="E102" s="314"/>
      <c r="F102" s="314"/>
      <c r="G102" s="314"/>
      <c r="H102" s="314"/>
      <c r="I102" s="314"/>
      <c r="J102" s="314"/>
      <c r="K102" s="314"/>
      <c r="L102" s="314"/>
      <c r="M102" s="314"/>
      <c r="N102" s="314"/>
      <c r="O102" s="314"/>
      <c r="P102" s="314"/>
      <c r="Q102" s="314"/>
      <c r="R102" s="314"/>
      <c r="S102" s="314"/>
      <c r="T102" s="337"/>
      <c r="U102" s="286"/>
      <c r="V102" s="338"/>
      <c r="W102" s="318"/>
      <c r="X102" s="5"/>
    </row>
    <row r="103" spans="1:25" s="420" customFormat="1" ht="15.75" x14ac:dyDescent="0.25">
      <c r="A103" s="428">
        <v>1</v>
      </c>
      <c r="B103" s="429" t="s">
        <v>34</v>
      </c>
      <c r="C103" s="429"/>
      <c r="D103" s="429"/>
      <c r="E103" s="429"/>
      <c r="F103" s="429"/>
      <c r="G103" s="429"/>
      <c r="H103" s="429"/>
      <c r="I103" s="429"/>
      <c r="J103" s="429"/>
      <c r="K103" s="429"/>
      <c r="L103" s="429"/>
      <c r="M103" s="429"/>
      <c r="N103" s="429"/>
      <c r="O103" s="429"/>
      <c r="P103" s="429"/>
      <c r="Q103" s="429"/>
      <c r="R103" s="429"/>
      <c r="S103" s="429"/>
      <c r="T103" s="429"/>
      <c r="U103" s="429"/>
      <c r="V103" s="473">
        <v>0</v>
      </c>
      <c r="W103" s="432"/>
      <c r="X103" s="419"/>
    </row>
    <row r="104" spans="1:25" s="420" customFormat="1" ht="15.75" x14ac:dyDescent="0.25">
      <c r="A104" s="428">
        <f>+A103+1</f>
        <v>2</v>
      </c>
      <c r="B104" s="429" t="s">
        <v>314</v>
      </c>
      <c r="C104" s="429"/>
      <c r="D104" s="429"/>
      <c r="E104" s="429"/>
      <c r="F104" s="429"/>
      <c r="G104" s="429"/>
      <c r="H104" s="429"/>
      <c r="I104" s="429"/>
      <c r="J104" s="429"/>
      <c r="K104" s="429"/>
      <c r="L104" s="429"/>
      <c r="M104" s="429"/>
      <c r="N104" s="429"/>
      <c r="O104" s="429"/>
      <c r="P104" s="429"/>
      <c r="Q104" s="429"/>
      <c r="R104" s="429"/>
      <c r="S104" s="429"/>
      <c r="T104" s="429"/>
      <c r="U104" s="429"/>
      <c r="V104" s="473">
        <v>-2</v>
      </c>
      <c r="W104" s="432"/>
      <c r="X104" s="419"/>
    </row>
    <row r="105" spans="1:25" s="420" customFormat="1" ht="15.75" x14ac:dyDescent="0.25">
      <c r="A105" s="428">
        <f>+A104+1</f>
        <v>3</v>
      </c>
      <c r="B105" s="476" t="s">
        <v>316</v>
      </c>
      <c r="C105" s="429"/>
      <c r="D105" s="429"/>
      <c r="E105" s="429"/>
      <c r="F105" s="429"/>
      <c r="G105" s="429"/>
      <c r="H105" s="429"/>
      <c r="I105" s="429"/>
      <c r="J105" s="429"/>
      <c r="K105" s="429"/>
      <c r="L105" s="429"/>
      <c r="M105" s="429"/>
      <c r="N105" s="429"/>
      <c r="O105" s="429"/>
      <c r="P105" s="429"/>
      <c r="Q105" s="429"/>
      <c r="R105" s="429"/>
      <c r="S105" s="429"/>
      <c r="T105" s="429"/>
      <c r="U105" s="429"/>
      <c r="V105" s="473">
        <f>-238-90-8</f>
        <v>-336</v>
      </c>
      <c r="W105" s="432"/>
      <c r="X105" s="419"/>
    </row>
    <row r="106" spans="1:25" s="420" customFormat="1" ht="15.75" x14ac:dyDescent="0.25">
      <c r="A106" s="428" t="s">
        <v>127</v>
      </c>
      <c r="B106" s="429" t="s">
        <v>116</v>
      </c>
      <c r="C106" s="429"/>
      <c r="D106" s="429"/>
      <c r="E106" s="429"/>
      <c r="F106" s="429"/>
      <c r="G106" s="429"/>
      <c r="H106" s="429"/>
      <c r="I106" s="429"/>
      <c r="J106" s="429"/>
      <c r="K106" s="429"/>
      <c r="L106" s="429"/>
      <c r="M106" s="429"/>
      <c r="N106" s="429"/>
      <c r="O106" s="429"/>
      <c r="P106" s="429"/>
      <c r="Q106" s="429"/>
      <c r="R106" s="429"/>
      <c r="S106" s="429"/>
      <c r="T106" s="429"/>
      <c r="U106" s="429"/>
      <c r="V106" s="473">
        <v>0</v>
      </c>
      <c r="W106" s="432"/>
      <c r="X106" s="419"/>
    </row>
    <row r="107" spans="1:25" s="420" customFormat="1" ht="15.75" x14ac:dyDescent="0.25">
      <c r="A107" s="428" t="s">
        <v>128</v>
      </c>
      <c r="B107" s="429" t="s">
        <v>220</v>
      </c>
      <c r="C107" s="429"/>
      <c r="D107" s="429"/>
      <c r="E107" s="429"/>
      <c r="F107" s="429"/>
      <c r="G107" s="429"/>
      <c r="H107" s="429"/>
      <c r="I107" s="429"/>
      <c r="J107" s="429"/>
      <c r="K107" s="429"/>
      <c r="L107" s="429"/>
      <c r="M107" s="429"/>
      <c r="N107" s="429"/>
      <c r="O107" s="429"/>
      <c r="P107" s="429"/>
      <c r="Q107" s="429"/>
      <c r="R107" s="429"/>
      <c r="S107" s="429"/>
      <c r="T107" s="429"/>
      <c r="U107" s="429"/>
      <c r="V107" s="473">
        <f>-887+228</f>
        <v>-659</v>
      </c>
      <c r="W107" s="432"/>
      <c r="X107" s="419"/>
      <c r="Y107" s="477"/>
    </row>
    <row r="108" spans="1:25" s="420" customFormat="1" ht="15.75" x14ac:dyDescent="0.25">
      <c r="A108" s="428" t="s">
        <v>150</v>
      </c>
      <c r="B108" s="429" t="s">
        <v>184</v>
      </c>
      <c r="C108" s="429"/>
      <c r="D108" s="429"/>
      <c r="E108" s="429"/>
      <c r="F108" s="429"/>
      <c r="G108" s="429"/>
      <c r="H108" s="429"/>
      <c r="I108" s="429"/>
      <c r="J108" s="429"/>
      <c r="K108" s="429"/>
      <c r="L108" s="429"/>
      <c r="M108" s="429"/>
      <c r="N108" s="429"/>
      <c r="O108" s="429"/>
      <c r="P108" s="429"/>
      <c r="Q108" s="429"/>
      <c r="R108" s="429"/>
      <c r="S108" s="429"/>
      <c r="T108" s="429"/>
      <c r="U108" s="429"/>
      <c r="V108" s="473">
        <v>-228</v>
      </c>
      <c r="W108" s="432"/>
      <c r="X108" s="419"/>
      <c r="Y108" s="477"/>
    </row>
    <row r="109" spans="1:25" s="420" customFormat="1" ht="15.75" x14ac:dyDescent="0.25">
      <c r="A109" s="428" t="s">
        <v>205</v>
      </c>
      <c r="B109" s="429" t="s">
        <v>185</v>
      </c>
      <c r="C109" s="429"/>
      <c r="D109" s="429"/>
      <c r="E109" s="429"/>
      <c r="F109" s="429"/>
      <c r="G109" s="429"/>
      <c r="H109" s="429"/>
      <c r="I109" s="429"/>
      <c r="J109" s="429"/>
      <c r="K109" s="429"/>
      <c r="L109" s="429"/>
      <c r="M109" s="429"/>
      <c r="N109" s="429"/>
      <c r="O109" s="429"/>
      <c r="P109" s="429"/>
      <c r="Q109" s="429"/>
      <c r="R109" s="429"/>
      <c r="S109" s="429"/>
      <c r="T109" s="429"/>
      <c r="U109" s="429"/>
      <c r="V109" s="473">
        <v>-162</v>
      </c>
      <c r="W109" s="432"/>
      <c r="X109" s="419"/>
      <c r="Y109" s="477"/>
    </row>
    <row r="110" spans="1:25" s="420" customFormat="1" ht="15.75" x14ac:dyDescent="0.25">
      <c r="A110" s="428" t="s">
        <v>206</v>
      </c>
      <c r="B110" s="429" t="s">
        <v>186</v>
      </c>
      <c r="C110" s="429"/>
      <c r="D110" s="429"/>
      <c r="E110" s="429"/>
      <c r="F110" s="429"/>
      <c r="G110" s="429"/>
      <c r="H110" s="429"/>
      <c r="I110" s="429"/>
      <c r="J110" s="429"/>
      <c r="K110" s="429"/>
      <c r="L110" s="429"/>
      <c r="M110" s="429"/>
      <c r="N110" s="429"/>
      <c r="O110" s="429"/>
      <c r="P110" s="429"/>
      <c r="Q110" s="429"/>
      <c r="R110" s="429"/>
      <c r="S110" s="429"/>
      <c r="T110" s="429"/>
      <c r="U110" s="429"/>
      <c r="V110" s="473">
        <v>-44</v>
      </c>
      <c r="W110" s="432"/>
      <c r="X110" s="419"/>
      <c r="Y110" s="477"/>
    </row>
    <row r="111" spans="1:25" s="420" customFormat="1" ht="15.75" x14ac:dyDescent="0.25">
      <c r="A111" s="428">
        <v>6</v>
      </c>
      <c r="B111" s="429" t="s">
        <v>196</v>
      </c>
      <c r="C111" s="429"/>
      <c r="D111" s="429"/>
      <c r="E111" s="429"/>
      <c r="F111" s="429"/>
      <c r="G111" s="429"/>
      <c r="H111" s="429"/>
      <c r="I111" s="429"/>
      <c r="J111" s="429"/>
      <c r="K111" s="429"/>
      <c r="L111" s="429"/>
      <c r="M111" s="429"/>
      <c r="N111" s="429"/>
      <c r="O111" s="429"/>
      <c r="P111" s="429"/>
      <c r="Q111" s="429"/>
      <c r="R111" s="429"/>
      <c r="S111" s="429"/>
      <c r="T111" s="429"/>
      <c r="U111" s="429"/>
      <c r="V111" s="473">
        <v>-323</v>
      </c>
      <c r="W111" s="432"/>
      <c r="X111" s="419"/>
      <c r="Y111" s="477"/>
    </row>
    <row r="112" spans="1:25" s="420" customFormat="1" ht="15.75" x14ac:dyDescent="0.25">
      <c r="A112" s="428">
        <v>7</v>
      </c>
      <c r="B112" s="476" t="s">
        <v>315</v>
      </c>
      <c r="C112" s="429"/>
      <c r="D112" s="429"/>
      <c r="E112" s="429"/>
      <c r="F112" s="429"/>
      <c r="G112" s="429"/>
      <c r="H112" s="429"/>
      <c r="I112" s="429"/>
      <c r="J112" s="429"/>
      <c r="K112" s="429"/>
      <c r="L112" s="429"/>
      <c r="M112" s="429"/>
      <c r="N112" s="429"/>
      <c r="O112" s="429"/>
      <c r="P112" s="429"/>
      <c r="Q112" s="429"/>
      <c r="R112" s="429"/>
      <c r="S112" s="429"/>
      <c r="T112" s="429"/>
      <c r="U112" s="429"/>
      <c r="V112" s="473">
        <v>0</v>
      </c>
      <c r="W112" s="432"/>
      <c r="X112" s="419"/>
      <c r="Y112" s="477"/>
    </row>
    <row r="113" spans="1:24" s="420" customFormat="1" ht="15.75" x14ac:dyDescent="0.25">
      <c r="A113" s="428">
        <v>8</v>
      </c>
      <c r="B113" s="429" t="s">
        <v>35</v>
      </c>
      <c r="C113" s="429"/>
      <c r="D113" s="429"/>
      <c r="E113" s="429"/>
      <c r="F113" s="429"/>
      <c r="G113" s="429"/>
      <c r="H113" s="429"/>
      <c r="I113" s="429"/>
      <c r="J113" s="429"/>
      <c r="K113" s="429"/>
      <c r="L113" s="429"/>
      <c r="M113" s="429"/>
      <c r="N113" s="429"/>
      <c r="O113" s="429"/>
      <c r="P113" s="429"/>
      <c r="Q113" s="429"/>
      <c r="R113" s="429"/>
      <c r="S113" s="429"/>
      <c r="T113" s="429"/>
      <c r="U113" s="429"/>
      <c r="V113" s="473">
        <v>-21</v>
      </c>
      <c r="W113" s="432"/>
      <c r="X113" s="419"/>
    </row>
    <row r="114" spans="1:24" s="420" customFormat="1" ht="15.75" x14ac:dyDescent="0.25">
      <c r="A114" s="428">
        <f t="shared" ref="A114:A119" si="0">+A113+1</f>
        <v>9</v>
      </c>
      <c r="B114" s="429" t="s">
        <v>45</v>
      </c>
      <c r="C114" s="429"/>
      <c r="D114" s="429"/>
      <c r="E114" s="429"/>
      <c r="F114" s="429"/>
      <c r="G114" s="429"/>
      <c r="H114" s="429"/>
      <c r="I114" s="429"/>
      <c r="J114" s="429"/>
      <c r="K114" s="429"/>
      <c r="L114" s="429"/>
      <c r="M114" s="429"/>
      <c r="N114" s="429"/>
      <c r="O114" s="429"/>
      <c r="P114" s="429"/>
      <c r="Q114" s="429"/>
      <c r="R114" s="429"/>
      <c r="S114" s="429"/>
      <c r="T114" s="472">
        <f>-V114</f>
        <v>167</v>
      </c>
      <c r="U114" s="429"/>
      <c r="V114" s="473">
        <v>-167</v>
      </c>
      <c r="W114" s="432"/>
      <c r="X114" s="419"/>
    </row>
    <row r="115" spans="1:24" s="420" customFormat="1" ht="15.75" x14ac:dyDescent="0.25">
      <c r="A115" s="428">
        <f t="shared" si="0"/>
        <v>10</v>
      </c>
      <c r="B115" s="429" t="s">
        <v>125</v>
      </c>
      <c r="C115" s="429"/>
      <c r="D115" s="429"/>
      <c r="E115" s="429"/>
      <c r="F115" s="429"/>
      <c r="G115" s="429"/>
      <c r="H115" s="429"/>
      <c r="I115" s="429"/>
      <c r="J115" s="429"/>
      <c r="K115" s="429"/>
      <c r="L115" s="429"/>
      <c r="M115" s="429"/>
      <c r="N115" s="429"/>
      <c r="O115" s="429"/>
      <c r="P115" s="429"/>
      <c r="Q115" s="429"/>
      <c r="R115" s="429"/>
      <c r="S115" s="429"/>
      <c r="T115" s="429"/>
      <c r="U115" s="429"/>
      <c r="V115" s="473">
        <v>0</v>
      </c>
      <c r="W115" s="432"/>
      <c r="X115" s="419"/>
    </row>
    <row r="116" spans="1:24" s="420" customFormat="1" ht="15.75" x14ac:dyDescent="0.25">
      <c r="A116" s="428">
        <f t="shared" si="0"/>
        <v>11</v>
      </c>
      <c r="B116" s="429" t="s">
        <v>225</v>
      </c>
      <c r="C116" s="429"/>
      <c r="D116" s="429"/>
      <c r="E116" s="429"/>
      <c r="F116" s="429"/>
      <c r="G116" s="429"/>
      <c r="H116" s="429"/>
      <c r="I116" s="429"/>
      <c r="J116" s="429"/>
      <c r="K116" s="429"/>
      <c r="L116" s="429"/>
      <c r="M116" s="429"/>
      <c r="N116" s="429"/>
      <c r="O116" s="429"/>
      <c r="P116" s="429"/>
      <c r="Q116" s="429"/>
      <c r="R116" s="429"/>
      <c r="S116" s="429"/>
      <c r="T116" s="429"/>
      <c r="U116" s="429"/>
      <c r="V116" s="473">
        <v>0</v>
      </c>
      <c r="W116" s="432"/>
      <c r="X116" s="419"/>
    </row>
    <row r="117" spans="1:24" s="420" customFormat="1" ht="15.75" x14ac:dyDescent="0.25">
      <c r="A117" s="428">
        <f t="shared" si="0"/>
        <v>12</v>
      </c>
      <c r="B117" s="429" t="s">
        <v>36</v>
      </c>
      <c r="C117" s="429"/>
      <c r="D117" s="429"/>
      <c r="E117" s="429"/>
      <c r="F117" s="429"/>
      <c r="G117" s="429"/>
      <c r="H117" s="429"/>
      <c r="I117" s="429"/>
      <c r="J117" s="429"/>
      <c r="K117" s="429"/>
      <c r="L117" s="429"/>
      <c r="M117" s="429"/>
      <c r="N117" s="429"/>
      <c r="O117" s="429"/>
      <c r="P117" s="429"/>
      <c r="Q117" s="429"/>
      <c r="R117" s="429"/>
      <c r="S117" s="429"/>
      <c r="T117" s="429"/>
      <c r="U117" s="429"/>
      <c r="V117" s="473">
        <v>0</v>
      </c>
      <c r="W117" s="432"/>
      <c r="X117" s="419"/>
    </row>
    <row r="118" spans="1:24" s="420" customFormat="1" ht="15.75" x14ac:dyDescent="0.25">
      <c r="A118" s="428">
        <f t="shared" si="0"/>
        <v>13</v>
      </c>
      <c r="B118" s="429" t="s">
        <v>149</v>
      </c>
      <c r="C118" s="429"/>
      <c r="D118" s="429"/>
      <c r="E118" s="429"/>
      <c r="F118" s="429"/>
      <c r="G118" s="429"/>
      <c r="H118" s="429"/>
      <c r="I118" s="429"/>
      <c r="J118" s="429"/>
      <c r="K118" s="429"/>
      <c r="L118" s="429"/>
      <c r="M118" s="429"/>
      <c r="N118" s="429"/>
      <c r="O118" s="429"/>
      <c r="P118" s="429"/>
      <c r="Q118" s="429"/>
      <c r="R118" s="429"/>
      <c r="S118" s="429"/>
      <c r="T118" s="429"/>
      <c r="U118" s="429"/>
      <c r="V118" s="473">
        <v>-238</v>
      </c>
      <c r="W118" s="432"/>
      <c r="X118" s="419"/>
    </row>
    <row r="119" spans="1:24" s="420" customFormat="1" ht="15.75" x14ac:dyDescent="0.25">
      <c r="A119" s="428">
        <f t="shared" si="0"/>
        <v>14</v>
      </c>
      <c r="B119" s="429" t="s">
        <v>126</v>
      </c>
      <c r="C119" s="429"/>
      <c r="D119" s="429"/>
      <c r="E119" s="429"/>
      <c r="F119" s="429"/>
      <c r="G119" s="429"/>
      <c r="H119" s="429"/>
      <c r="I119" s="429"/>
      <c r="J119" s="429"/>
      <c r="K119" s="429"/>
      <c r="L119" s="429"/>
      <c r="M119" s="429"/>
      <c r="N119" s="429"/>
      <c r="O119" s="429"/>
      <c r="P119" s="429"/>
      <c r="Q119" s="429"/>
      <c r="R119" s="429"/>
      <c r="S119" s="429"/>
      <c r="T119" s="429"/>
      <c r="U119" s="429"/>
      <c r="V119" s="473">
        <f>-V101-SUM(V103:V118)</f>
        <v>-1956</v>
      </c>
      <c r="W119" s="432"/>
      <c r="X119" s="419"/>
    </row>
    <row r="120" spans="1:24" ht="15.75" x14ac:dyDescent="0.25">
      <c r="A120" s="285"/>
      <c r="B120" s="530" t="s">
        <v>37</v>
      </c>
      <c r="C120" s="314"/>
      <c r="D120" s="314"/>
      <c r="E120" s="314"/>
      <c r="F120" s="314"/>
      <c r="G120" s="314"/>
      <c r="H120" s="314"/>
      <c r="I120" s="314"/>
      <c r="J120" s="314"/>
      <c r="K120" s="314"/>
      <c r="L120" s="314"/>
      <c r="M120" s="314"/>
      <c r="N120" s="314"/>
      <c r="O120" s="314"/>
      <c r="P120" s="314"/>
      <c r="Q120" s="314"/>
      <c r="R120" s="314"/>
      <c r="S120" s="314"/>
      <c r="T120" s="286"/>
      <c r="U120" s="286"/>
      <c r="V120" s="343"/>
      <c r="W120" s="318"/>
      <c r="X120" s="5"/>
    </row>
    <row r="121" spans="1:24" s="420" customFormat="1" ht="15.75" x14ac:dyDescent="0.25">
      <c r="A121" s="428"/>
      <c r="B121" s="429" t="s">
        <v>173</v>
      </c>
      <c r="C121" s="429"/>
      <c r="D121" s="429"/>
      <c r="E121" s="429"/>
      <c r="F121" s="429"/>
      <c r="G121" s="429"/>
      <c r="H121" s="429"/>
      <c r="I121" s="429"/>
      <c r="J121" s="429"/>
      <c r="K121" s="429"/>
      <c r="L121" s="429"/>
      <c r="M121" s="429"/>
      <c r="N121" s="429"/>
      <c r="O121" s="429"/>
      <c r="P121" s="429"/>
      <c r="Q121" s="429"/>
      <c r="R121" s="429"/>
      <c r="S121" s="429"/>
      <c r="T121" s="472">
        <f>-T186</f>
        <v>0</v>
      </c>
      <c r="U121" s="472"/>
      <c r="V121" s="473"/>
      <c r="W121" s="432"/>
      <c r="X121" s="419"/>
    </row>
    <row r="122" spans="1:24" s="420" customFormat="1" ht="15.75" x14ac:dyDescent="0.25">
      <c r="A122" s="428"/>
      <c r="B122" s="429" t="s">
        <v>174</v>
      </c>
      <c r="C122" s="429"/>
      <c r="D122" s="429"/>
      <c r="E122" s="429"/>
      <c r="F122" s="429"/>
      <c r="G122" s="429"/>
      <c r="H122" s="429"/>
      <c r="I122" s="429"/>
      <c r="J122" s="429"/>
      <c r="K122" s="429"/>
      <c r="L122" s="429"/>
      <c r="M122" s="429"/>
      <c r="N122" s="429"/>
      <c r="O122" s="429"/>
      <c r="P122" s="429"/>
      <c r="Q122" s="429"/>
      <c r="R122" s="429"/>
      <c r="S122" s="429"/>
      <c r="T122" s="472">
        <v>0</v>
      </c>
      <c r="U122" s="472"/>
      <c r="V122" s="473"/>
      <c r="W122" s="432"/>
      <c r="X122" s="419"/>
    </row>
    <row r="123" spans="1:24" s="420" customFormat="1" ht="15.75" x14ac:dyDescent="0.25">
      <c r="A123" s="428"/>
      <c r="B123" s="429" t="s">
        <v>38</v>
      </c>
      <c r="C123" s="429"/>
      <c r="D123" s="429"/>
      <c r="E123" s="429"/>
      <c r="F123" s="429"/>
      <c r="G123" s="429"/>
      <c r="H123" s="429"/>
      <c r="I123" s="429"/>
      <c r="J123" s="429"/>
      <c r="K123" s="429"/>
      <c r="L123" s="429"/>
      <c r="M123" s="429"/>
      <c r="N123" s="429"/>
      <c r="O123" s="429"/>
      <c r="P123" s="429"/>
      <c r="Q123" s="429"/>
      <c r="R123" s="429"/>
      <c r="S123" s="429"/>
      <c r="T123" s="472">
        <f>-S186</f>
        <v>-294</v>
      </c>
      <c r="U123" s="472"/>
      <c r="V123" s="473"/>
      <c r="W123" s="432"/>
      <c r="X123" s="419"/>
    </row>
    <row r="124" spans="1:24" s="420" customFormat="1" ht="15.75" x14ac:dyDescent="0.25">
      <c r="A124" s="428"/>
      <c r="B124" s="429" t="s">
        <v>197</v>
      </c>
      <c r="C124" s="429"/>
      <c r="D124" s="429"/>
      <c r="E124" s="429"/>
      <c r="F124" s="429"/>
      <c r="G124" s="429"/>
      <c r="H124" s="429"/>
      <c r="I124" s="429"/>
      <c r="J124" s="429"/>
      <c r="K124" s="429"/>
      <c r="L124" s="429"/>
      <c r="M124" s="429"/>
      <c r="N124" s="429"/>
      <c r="O124" s="429"/>
      <c r="P124" s="429"/>
      <c r="Q124" s="429"/>
      <c r="R124" s="429"/>
      <c r="S124" s="429"/>
      <c r="T124" s="472">
        <v>-4990</v>
      </c>
      <c r="U124" s="472"/>
      <c r="V124" s="473"/>
      <c r="W124" s="432"/>
      <c r="X124" s="419"/>
    </row>
    <row r="125" spans="1:24" s="420" customFormat="1" ht="15.75" x14ac:dyDescent="0.25">
      <c r="A125" s="428"/>
      <c r="B125" s="429" t="s">
        <v>195</v>
      </c>
      <c r="C125" s="429"/>
      <c r="D125" s="429"/>
      <c r="E125" s="429"/>
      <c r="F125" s="429"/>
      <c r="G125" s="429"/>
      <c r="H125" s="429"/>
      <c r="I125" s="429"/>
      <c r="J125" s="429"/>
      <c r="K125" s="429"/>
      <c r="L125" s="429"/>
      <c r="M125" s="429"/>
      <c r="N125" s="429"/>
      <c r="O125" s="429"/>
      <c r="P125" s="429"/>
      <c r="Q125" s="429"/>
      <c r="R125" s="429"/>
      <c r="S125" s="429"/>
      <c r="T125" s="472">
        <v>-2121</v>
      </c>
      <c r="U125" s="472"/>
      <c r="V125" s="473"/>
      <c r="W125" s="432"/>
      <c r="X125" s="419"/>
    </row>
    <row r="126" spans="1:24" s="420" customFormat="1" ht="15.75" x14ac:dyDescent="0.25">
      <c r="A126" s="428"/>
      <c r="B126" s="429" t="s">
        <v>194</v>
      </c>
      <c r="C126" s="429"/>
      <c r="D126" s="429"/>
      <c r="E126" s="429"/>
      <c r="F126" s="429"/>
      <c r="G126" s="429"/>
      <c r="H126" s="429"/>
      <c r="I126" s="429"/>
      <c r="J126" s="429"/>
      <c r="K126" s="429"/>
      <c r="L126" s="429"/>
      <c r="M126" s="429"/>
      <c r="N126" s="429"/>
      <c r="O126" s="429"/>
      <c r="P126" s="429"/>
      <c r="Q126" s="429"/>
      <c r="R126" s="429"/>
      <c r="S126" s="429"/>
      <c r="T126" s="472">
        <v>-756</v>
      </c>
      <c r="U126" s="472"/>
      <c r="V126" s="473"/>
      <c r="W126" s="432"/>
      <c r="X126" s="419"/>
    </row>
    <row r="127" spans="1:24" s="420" customFormat="1" ht="15.75" x14ac:dyDescent="0.25">
      <c r="A127" s="428"/>
      <c r="B127" s="429" t="s">
        <v>222</v>
      </c>
      <c r="C127" s="429"/>
      <c r="D127" s="429"/>
      <c r="E127" s="429"/>
      <c r="F127" s="429"/>
      <c r="G127" s="429"/>
      <c r="H127" s="429"/>
      <c r="I127" s="429"/>
      <c r="J127" s="429"/>
      <c r="K127" s="429"/>
      <c r="L127" s="429"/>
      <c r="M127" s="429"/>
      <c r="N127" s="429"/>
      <c r="O127" s="429"/>
      <c r="P127" s="429"/>
      <c r="Q127" s="429"/>
      <c r="R127" s="429"/>
      <c r="S127" s="429"/>
      <c r="T127" s="472">
        <v>-748</v>
      </c>
      <c r="U127" s="472"/>
      <c r="V127" s="473"/>
      <c r="W127" s="432"/>
      <c r="X127" s="419"/>
    </row>
    <row r="128" spans="1:24" s="420" customFormat="1" ht="15.75" x14ac:dyDescent="0.25">
      <c r="A128" s="428"/>
      <c r="B128" s="429" t="s">
        <v>189</v>
      </c>
      <c r="C128" s="429"/>
      <c r="D128" s="429"/>
      <c r="E128" s="429"/>
      <c r="F128" s="429"/>
      <c r="G128" s="429"/>
      <c r="H128" s="429"/>
      <c r="I128" s="429"/>
      <c r="J128" s="429"/>
      <c r="K128" s="429"/>
      <c r="L128" s="429"/>
      <c r="M128" s="429"/>
      <c r="N128" s="429"/>
      <c r="O128" s="429"/>
      <c r="P128" s="429"/>
      <c r="Q128" s="429"/>
      <c r="R128" s="429"/>
      <c r="S128" s="429"/>
      <c r="T128" s="472">
        <v>0</v>
      </c>
      <c r="U128" s="472"/>
      <c r="V128" s="473"/>
      <c r="W128" s="432"/>
      <c r="X128" s="419"/>
    </row>
    <row r="129" spans="1:24" s="420" customFormat="1" ht="15.75" x14ac:dyDescent="0.25">
      <c r="A129" s="428"/>
      <c r="B129" s="429" t="s">
        <v>188</v>
      </c>
      <c r="C129" s="429"/>
      <c r="D129" s="429"/>
      <c r="E129" s="429"/>
      <c r="F129" s="429"/>
      <c r="G129" s="429"/>
      <c r="H129" s="429"/>
      <c r="I129" s="429"/>
      <c r="J129" s="429"/>
      <c r="K129" s="429"/>
      <c r="L129" s="429"/>
      <c r="M129" s="429"/>
      <c r="N129" s="429"/>
      <c r="O129" s="429"/>
      <c r="P129" s="429"/>
      <c r="Q129" s="429"/>
      <c r="R129" s="429"/>
      <c r="S129" s="429"/>
      <c r="T129" s="472">
        <v>0</v>
      </c>
      <c r="U129" s="472"/>
      <c r="V129" s="473"/>
      <c r="W129" s="432"/>
      <c r="X129" s="419"/>
    </row>
    <row r="130" spans="1:24" s="420" customFormat="1" ht="15.75" x14ac:dyDescent="0.25">
      <c r="A130" s="428"/>
      <c r="B130" s="429" t="s">
        <v>187</v>
      </c>
      <c r="C130" s="429"/>
      <c r="D130" s="429"/>
      <c r="E130" s="429"/>
      <c r="F130" s="429"/>
      <c r="G130" s="429"/>
      <c r="H130" s="429"/>
      <c r="I130" s="429"/>
      <c r="J130" s="429"/>
      <c r="K130" s="429"/>
      <c r="L130" s="429"/>
      <c r="M130" s="429"/>
      <c r="N130" s="429"/>
      <c r="O130" s="429"/>
      <c r="P130" s="429"/>
      <c r="Q130" s="429"/>
      <c r="R130" s="429"/>
      <c r="S130" s="429"/>
      <c r="T130" s="472">
        <v>0</v>
      </c>
      <c r="U130" s="472"/>
      <c r="V130" s="473"/>
      <c r="W130" s="432"/>
      <c r="X130" s="419"/>
    </row>
    <row r="131" spans="1:24" s="420" customFormat="1" ht="15.75" x14ac:dyDescent="0.25">
      <c r="A131" s="428"/>
      <c r="B131" s="429" t="s">
        <v>39</v>
      </c>
      <c r="C131" s="429"/>
      <c r="D131" s="429"/>
      <c r="E131" s="429"/>
      <c r="F131" s="429"/>
      <c r="G131" s="429"/>
      <c r="H131" s="429"/>
      <c r="I131" s="429"/>
      <c r="J131" s="429"/>
      <c r="K131" s="429"/>
      <c r="L131" s="429"/>
      <c r="M131" s="429"/>
      <c r="N131" s="429"/>
      <c r="O131" s="429"/>
      <c r="P131" s="429"/>
      <c r="Q131" s="429"/>
      <c r="R131" s="429"/>
      <c r="S131" s="429"/>
      <c r="T131" s="472">
        <f>SUM(T121:T130)</f>
        <v>-8909</v>
      </c>
      <c r="U131" s="472"/>
      <c r="V131" s="472">
        <f>SUM(V102:V129)</f>
        <v>-4136</v>
      </c>
      <c r="W131" s="432"/>
      <c r="X131" s="419"/>
    </row>
    <row r="132" spans="1:24" s="420" customFormat="1" ht="15.75" x14ac:dyDescent="0.25">
      <c r="A132" s="428"/>
      <c r="B132" s="429" t="s">
        <v>40</v>
      </c>
      <c r="C132" s="429"/>
      <c r="D132" s="429"/>
      <c r="E132" s="429"/>
      <c r="F132" s="429"/>
      <c r="G132" s="429"/>
      <c r="H132" s="429"/>
      <c r="I132" s="429"/>
      <c r="J132" s="429"/>
      <c r="K132" s="429"/>
      <c r="L132" s="429"/>
      <c r="M132" s="429"/>
      <c r="N132" s="429"/>
      <c r="O132" s="429"/>
      <c r="P132" s="429"/>
      <c r="Q132" s="429"/>
      <c r="R132" s="429"/>
      <c r="S132" s="429"/>
      <c r="T132" s="472">
        <f>T101+T131+T114</f>
        <v>0</v>
      </c>
      <c r="U132" s="472"/>
      <c r="V132" s="472">
        <f>V101+V131</f>
        <v>0</v>
      </c>
      <c r="W132" s="432"/>
      <c r="X132" s="419"/>
    </row>
    <row r="133" spans="1:24" s="420" customFormat="1" ht="15.75" x14ac:dyDescent="0.25">
      <c r="A133" s="416"/>
      <c r="B133" s="462"/>
      <c r="C133" s="462"/>
      <c r="D133" s="462"/>
      <c r="E133" s="462"/>
      <c r="F133" s="462"/>
      <c r="G133" s="462"/>
      <c r="H133" s="462"/>
      <c r="I133" s="462"/>
      <c r="J133" s="462"/>
      <c r="K133" s="462"/>
      <c r="L133" s="462"/>
      <c r="M133" s="462"/>
      <c r="N133" s="462"/>
      <c r="O133" s="462"/>
      <c r="P133" s="462"/>
      <c r="Q133" s="462"/>
      <c r="R133" s="462"/>
      <c r="S133" s="462"/>
      <c r="T133" s="478"/>
      <c r="U133" s="478"/>
      <c r="V133" s="478"/>
      <c r="W133" s="462"/>
      <c r="X133" s="419"/>
    </row>
    <row r="134" spans="1:24" s="420" customFormat="1" ht="15.75" x14ac:dyDescent="0.25">
      <c r="A134" s="416"/>
      <c r="B134" s="417"/>
      <c r="C134" s="417"/>
      <c r="D134" s="417"/>
      <c r="E134" s="417"/>
      <c r="F134" s="417"/>
      <c r="G134" s="417"/>
      <c r="H134" s="417"/>
      <c r="I134" s="417"/>
      <c r="J134" s="417"/>
      <c r="K134" s="417"/>
      <c r="L134" s="417"/>
      <c r="M134" s="417"/>
      <c r="N134" s="417"/>
      <c r="O134" s="417"/>
      <c r="P134" s="417"/>
      <c r="Q134" s="417"/>
      <c r="R134" s="417"/>
      <c r="S134" s="417"/>
      <c r="T134" s="417"/>
      <c r="U134" s="417"/>
      <c r="V134" s="479"/>
      <c r="W134" s="417"/>
      <c r="X134" s="419"/>
    </row>
    <row r="135" spans="1:24" s="420" customFormat="1" ht="19.5" thickBot="1" x14ac:dyDescent="0.35">
      <c r="A135" s="467"/>
      <c r="B135" s="468" t="str">
        <f>B64</f>
        <v>PM15 INVESTOR REPORT QUARTER ENDING FEBRUARY 2018</v>
      </c>
      <c r="C135" s="469"/>
      <c r="D135" s="469"/>
      <c r="E135" s="469"/>
      <c r="F135" s="469"/>
      <c r="G135" s="469"/>
      <c r="H135" s="469"/>
      <c r="I135" s="469"/>
      <c r="J135" s="469"/>
      <c r="K135" s="469"/>
      <c r="L135" s="469"/>
      <c r="M135" s="469"/>
      <c r="N135" s="469"/>
      <c r="O135" s="469"/>
      <c r="P135" s="469"/>
      <c r="Q135" s="469"/>
      <c r="R135" s="469"/>
      <c r="S135" s="469"/>
      <c r="T135" s="469"/>
      <c r="U135" s="469"/>
      <c r="V135" s="480"/>
      <c r="W135" s="471"/>
      <c r="X135" s="419"/>
    </row>
    <row r="136" spans="1:24" ht="15.75" x14ac:dyDescent="0.25">
      <c r="A136" s="551"/>
      <c r="B136" s="552" t="s">
        <v>41</v>
      </c>
      <c r="C136" s="553"/>
      <c r="D136" s="553"/>
      <c r="E136" s="553"/>
      <c r="F136" s="553"/>
      <c r="G136" s="553"/>
      <c r="H136" s="553"/>
      <c r="I136" s="553"/>
      <c r="J136" s="553"/>
      <c r="K136" s="553"/>
      <c r="L136" s="553"/>
      <c r="M136" s="553"/>
      <c r="N136" s="553"/>
      <c r="O136" s="553"/>
      <c r="P136" s="553"/>
      <c r="Q136" s="553"/>
      <c r="R136" s="553"/>
      <c r="S136" s="553"/>
      <c r="T136" s="553"/>
      <c r="U136" s="553"/>
      <c r="V136" s="554"/>
      <c r="W136" s="553"/>
      <c r="X136" s="5"/>
    </row>
    <row r="137" spans="1:24" ht="15.75" x14ac:dyDescent="0.25">
      <c r="A137" s="181"/>
      <c r="B137" s="191"/>
      <c r="C137" s="183"/>
      <c r="D137" s="183"/>
      <c r="E137" s="183"/>
      <c r="F137" s="183"/>
      <c r="G137" s="183"/>
      <c r="H137" s="183"/>
      <c r="I137" s="183"/>
      <c r="J137" s="183"/>
      <c r="K137" s="183"/>
      <c r="L137" s="183"/>
      <c r="M137" s="183"/>
      <c r="N137" s="183"/>
      <c r="O137" s="183"/>
      <c r="P137" s="183"/>
      <c r="Q137" s="183"/>
      <c r="R137" s="183"/>
      <c r="S137" s="183"/>
      <c r="T137" s="183"/>
      <c r="U137" s="183"/>
      <c r="V137" s="202"/>
      <c r="W137" s="183"/>
      <c r="X137" s="5"/>
    </row>
    <row r="138" spans="1:24" ht="15.75" x14ac:dyDescent="0.25">
      <c r="A138" s="181"/>
      <c r="B138" s="531" t="s">
        <v>42</v>
      </c>
      <c r="C138" s="183"/>
      <c r="D138" s="183"/>
      <c r="E138" s="183"/>
      <c r="F138" s="183"/>
      <c r="G138" s="183"/>
      <c r="H138" s="183"/>
      <c r="I138" s="183"/>
      <c r="J138" s="183"/>
      <c r="K138" s="183"/>
      <c r="L138" s="183"/>
      <c r="M138" s="183"/>
      <c r="N138" s="183"/>
      <c r="O138" s="183"/>
      <c r="P138" s="183"/>
      <c r="Q138" s="183"/>
      <c r="R138" s="183"/>
      <c r="S138" s="183"/>
      <c r="T138" s="183"/>
      <c r="U138" s="183"/>
      <c r="V138" s="202"/>
      <c r="W138" s="183"/>
      <c r="X138" s="5"/>
    </row>
    <row r="139" spans="1:24" s="420" customFormat="1" ht="15.75" x14ac:dyDescent="0.25">
      <c r="A139" s="428"/>
      <c r="B139" s="429" t="s">
        <v>43</v>
      </c>
      <c r="C139" s="429"/>
      <c r="D139" s="429"/>
      <c r="E139" s="429"/>
      <c r="F139" s="429"/>
      <c r="G139" s="429"/>
      <c r="H139" s="429"/>
      <c r="I139" s="429"/>
      <c r="J139" s="429"/>
      <c r="K139" s="429"/>
      <c r="L139" s="429"/>
      <c r="M139" s="429"/>
      <c r="N139" s="429"/>
      <c r="O139" s="429"/>
      <c r="P139" s="429"/>
      <c r="Q139" s="429"/>
      <c r="R139" s="429"/>
      <c r="S139" s="429"/>
      <c r="T139" s="429"/>
      <c r="U139" s="429"/>
      <c r="V139" s="473">
        <f>+V34*0.019</f>
        <v>19021.526999999998</v>
      </c>
      <c r="W139" s="432"/>
      <c r="X139" s="419"/>
    </row>
    <row r="140" spans="1:24" s="420" customFormat="1" ht="15.75" x14ac:dyDescent="0.25">
      <c r="A140" s="428"/>
      <c r="B140" s="429" t="s">
        <v>44</v>
      </c>
      <c r="C140" s="429"/>
      <c r="D140" s="429"/>
      <c r="E140" s="429"/>
      <c r="F140" s="429"/>
      <c r="G140" s="429"/>
      <c r="H140" s="429"/>
      <c r="I140" s="429"/>
      <c r="J140" s="429"/>
      <c r="K140" s="429"/>
      <c r="L140" s="429"/>
      <c r="M140" s="429"/>
      <c r="N140" s="429"/>
      <c r="O140" s="429"/>
      <c r="P140" s="429"/>
      <c r="Q140" s="429"/>
      <c r="R140" s="429"/>
      <c r="S140" s="429"/>
      <c r="T140" s="429"/>
      <c r="U140" s="429"/>
      <c r="V140" s="473">
        <v>19022</v>
      </c>
      <c r="W140" s="432"/>
      <c r="X140" s="419"/>
    </row>
    <row r="141" spans="1:24" s="420" customFormat="1" ht="15.75" x14ac:dyDescent="0.25">
      <c r="A141" s="428"/>
      <c r="B141" s="429" t="s">
        <v>136</v>
      </c>
      <c r="C141" s="429"/>
      <c r="D141" s="429"/>
      <c r="E141" s="429"/>
      <c r="F141" s="429"/>
      <c r="G141" s="429"/>
      <c r="H141" s="429"/>
      <c r="I141" s="429"/>
      <c r="J141" s="429"/>
      <c r="K141" s="429"/>
      <c r="L141" s="429"/>
      <c r="M141" s="429"/>
      <c r="N141" s="429"/>
      <c r="O141" s="429"/>
      <c r="P141" s="429"/>
      <c r="Q141" s="429"/>
      <c r="R141" s="429"/>
      <c r="S141" s="429"/>
      <c r="T141" s="429"/>
      <c r="U141" s="429"/>
      <c r="V141" s="473"/>
      <c r="W141" s="432"/>
      <c r="X141" s="419"/>
    </row>
    <row r="142" spans="1:24" s="420" customFormat="1" ht="15.75" x14ac:dyDescent="0.25">
      <c r="A142" s="428"/>
      <c r="B142" s="429" t="s">
        <v>123</v>
      </c>
      <c r="C142" s="429"/>
      <c r="D142" s="429"/>
      <c r="E142" s="429"/>
      <c r="F142" s="429"/>
      <c r="G142" s="429"/>
      <c r="H142" s="429"/>
      <c r="I142" s="429"/>
      <c r="J142" s="429"/>
      <c r="K142" s="429"/>
      <c r="L142" s="429"/>
      <c r="M142" s="429"/>
      <c r="N142" s="429"/>
      <c r="O142" s="429"/>
      <c r="P142" s="429"/>
      <c r="Q142" s="429"/>
      <c r="R142" s="429"/>
      <c r="S142" s="429"/>
      <c r="T142" s="429"/>
      <c r="U142" s="429"/>
      <c r="V142" s="473">
        <v>0</v>
      </c>
      <c r="W142" s="432"/>
      <c r="X142" s="419"/>
    </row>
    <row r="143" spans="1:24" s="420" customFormat="1" ht="15.75" x14ac:dyDescent="0.25">
      <c r="A143" s="428"/>
      <c r="B143" s="429" t="s">
        <v>124</v>
      </c>
      <c r="C143" s="429"/>
      <c r="D143" s="429"/>
      <c r="E143" s="429"/>
      <c r="F143" s="429"/>
      <c r="G143" s="429"/>
      <c r="H143" s="429"/>
      <c r="I143" s="429"/>
      <c r="J143" s="429"/>
      <c r="K143" s="429"/>
      <c r="L143" s="429"/>
      <c r="M143" s="429"/>
      <c r="N143" s="429"/>
      <c r="O143" s="429"/>
      <c r="P143" s="429"/>
      <c r="Q143" s="429"/>
      <c r="R143" s="429"/>
      <c r="S143" s="429"/>
      <c r="T143" s="429"/>
      <c r="U143" s="429"/>
      <c r="V143" s="473">
        <v>0</v>
      </c>
      <c r="W143" s="432"/>
      <c r="X143" s="419"/>
    </row>
    <row r="144" spans="1:24" s="420" customFormat="1" ht="15.75" x14ac:dyDescent="0.25">
      <c r="A144" s="428"/>
      <c r="B144" s="429" t="s">
        <v>175</v>
      </c>
      <c r="C144" s="429"/>
      <c r="D144" s="429"/>
      <c r="E144" s="429"/>
      <c r="F144" s="429"/>
      <c r="G144" s="429"/>
      <c r="H144" s="429"/>
      <c r="I144" s="429"/>
      <c r="J144" s="429"/>
      <c r="K144" s="429"/>
      <c r="L144" s="429"/>
      <c r="M144" s="429"/>
      <c r="N144" s="429"/>
      <c r="O144" s="429"/>
      <c r="P144" s="429"/>
      <c r="Q144" s="429"/>
      <c r="R144" s="429"/>
      <c r="S144" s="429"/>
      <c r="T144" s="429"/>
      <c r="U144" s="429"/>
      <c r="V144" s="473">
        <v>0</v>
      </c>
      <c r="W144" s="432"/>
      <c r="X144" s="419"/>
    </row>
    <row r="145" spans="1:25" s="420" customFormat="1" ht="15.75" x14ac:dyDescent="0.25">
      <c r="A145" s="428"/>
      <c r="B145" s="429" t="s">
        <v>45</v>
      </c>
      <c r="C145" s="429"/>
      <c r="D145" s="429"/>
      <c r="E145" s="429"/>
      <c r="F145" s="429"/>
      <c r="G145" s="429"/>
      <c r="H145" s="429"/>
      <c r="I145" s="429"/>
      <c r="J145" s="429"/>
      <c r="K145" s="429"/>
      <c r="L145" s="429"/>
      <c r="M145" s="429"/>
      <c r="N145" s="429"/>
      <c r="O145" s="429"/>
      <c r="P145" s="429"/>
      <c r="Q145" s="429"/>
      <c r="R145" s="429"/>
      <c r="S145" s="429"/>
      <c r="T145" s="429"/>
      <c r="U145" s="429"/>
      <c r="V145" s="473">
        <v>0</v>
      </c>
      <c r="W145" s="432"/>
      <c r="X145" s="419"/>
    </row>
    <row r="146" spans="1:25" s="420" customFormat="1" ht="15.75" x14ac:dyDescent="0.25">
      <c r="A146" s="428"/>
      <c r="B146" s="429" t="s">
        <v>129</v>
      </c>
      <c r="C146" s="429"/>
      <c r="D146" s="429"/>
      <c r="E146" s="429"/>
      <c r="F146" s="429"/>
      <c r="G146" s="429"/>
      <c r="H146" s="429"/>
      <c r="I146" s="429"/>
      <c r="J146" s="429"/>
      <c r="K146" s="429"/>
      <c r="L146" s="429"/>
      <c r="M146" s="429"/>
      <c r="N146" s="429"/>
      <c r="O146" s="429"/>
      <c r="P146" s="429"/>
      <c r="Q146" s="429"/>
      <c r="R146" s="429"/>
      <c r="S146" s="429"/>
      <c r="T146" s="429"/>
      <c r="U146" s="429"/>
      <c r="V146" s="473">
        <v>0</v>
      </c>
      <c r="W146" s="432"/>
      <c r="X146" s="419"/>
    </row>
    <row r="147" spans="1:25" s="420" customFormat="1" ht="15.75" x14ac:dyDescent="0.25">
      <c r="A147" s="428"/>
      <c r="B147" s="429" t="s">
        <v>241</v>
      </c>
      <c r="C147" s="429"/>
      <c r="D147" s="429"/>
      <c r="E147" s="429"/>
      <c r="F147" s="429"/>
      <c r="G147" s="429"/>
      <c r="H147" s="429"/>
      <c r="I147" s="429"/>
      <c r="J147" s="429"/>
      <c r="K147" s="429"/>
      <c r="L147" s="429"/>
      <c r="M147" s="429"/>
      <c r="N147" s="429"/>
      <c r="O147" s="429"/>
      <c r="P147" s="429"/>
      <c r="Q147" s="429"/>
      <c r="R147" s="429"/>
      <c r="S147" s="429"/>
      <c r="T147" s="429"/>
      <c r="U147" s="429"/>
      <c r="V147" s="473">
        <v>0</v>
      </c>
      <c r="W147" s="432"/>
      <c r="X147" s="419"/>
      <c r="Y147" s="477"/>
    </row>
    <row r="148" spans="1:25" s="420" customFormat="1" ht="15.75" x14ac:dyDescent="0.25">
      <c r="A148" s="428"/>
      <c r="B148" s="429" t="s">
        <v>46</v>
      </c>
      <c r="C148" s="429"/>
      <c r="D148" s="429"/>
      <c r="E148" s="429"/>
      <c r="F148" s="429"/>
      <c r="G148" s="429"/>
      <c r="H148" s="429"/>
      <c r="I148" s="429"/>
      <c r="J148" s="429"/>
      <c r="K148" s="429"/>
      <c r="L148" s="429"/>
      <c r="M148" s="429"/>
      <c r="N148" s="429"/>
      <c r="O148" s="429"/>
      <c r="P148" s="429"/>
      <c r="Q148" s="429"/>
      <c r="R148" s="429"/>
      <c r="S148" s="429"/>
      <c r="T148" s="429"/>
      <c r="U148" s="429"/>
      <c r="V148" s="473">
        <f>SUM(V140:V147)</f>
        <v>19022</v>
      </c>
      <c r="W148" s="432"/>
      <c r="X148" s="419"/>
    </row>
    <row r="149" spans="1:25" ht="15.75" x14ac:dyDescent="0.25">
      <c r="A149" s="285"/>
      <c r="B149" s="314"/>
      <c r="C149" s="314"/>
      <c r="D149" s="314"/>
      <c r="E149" s="314"/>
      <c r="F149" s="314"/>
      <c r="G149" s="314"/>
      <c r="H149" s="314"/>
      <c r="I149" s="314"/>
      <c r="J149" s="314"/>
      <c r="K149" s="314"/>
      <c r="L149" s="314"/>
      <c r="M149" s="314"/>
      <c r="N149" s="314"/>
      <c r="O149" s="314"/>
      <c r="P149" s="314"/>
      <c r="Q149" s="314"/>
      <c r="R149" s="314"/>
      <c r="S149" s="314"/>
      <c r="T149" s="314"/>
      <c r="U149" s="314"/>
      <c r="V149" s="345"/>
      <c r="W149" s="318"/>
      <c r="X149" s="5"/>
    </row>
    <row r="150" spans="1:25" ht="15.75" x14ac:dyDescent="0.25">
      <c r="A150" s="285"/>
      <c r="B150" s="530" t="s">
        <v>269</v>
      </c>
      <c r="C150" s="314"/>
      <c r="D150" s="314"/>
      <c r="E150" s="314"/>
      <c r="F150" s="314"/>
      <c r="G150" s="314"/>
      <c r="H150" s="314"/>
      <c r="I150" s="314"/>
      <c r="J150" s="314"/>
      <c r="K150" s="314"/>
      <c r="L150" s="314"/>
      <c r="M150" s="314"/>
      <c r="N150" s="314"/>
      <c r="O150" s="314"/>
      <c r="P150" s="314"/>
      <c r="Q150" s="314"/>
      <c r="R150" s="314"/>
      <c r="S150" s="314"/>
      <c r="T150" s="314"/>
      <c r="U150" s="314"/>
      <c r="V150" s="345"/>
      <c r="W150" s="318"/>
      <c r="X150" s="5"/>
    </row>
    <row r="151" spans="1:25" s="420" customFormat="1" ht="15.75" x14ac:dyDescent="0.25">
      <c r="A151" s="428"/>
      <c r="B151" s="429" t="s">
        <v>155</v>
      </c>
      <c r="C151" s="429"/>
      <c r="D151" s="429"/>
      <c r="E151" s="429"/>
      <c r="F151" s="429"/>
      <c r="G151" s="429"/>
      <c r="H151" s="429"/>
      <c r="I151" s="429"/>
      <c r="J151" s="429"/>
      <c r="K151" s="429"/>
      <c r="L151" s="429"/>
      <c r="M151" s="429"/>
      <c r="N151" s="429"/>
      <c r="O151" s="429"/>
      <c r="P151" s="429"/>
      <c r="Q151" s="429"/>
      <c r="R151" s="429"/>
      <c r="S151" s="429"/>
      <c r="T151" s="429"/>
      <c r="U151" s="429"/>
      <c r="V151" s="473">
        <v>0</v>
      </c>
      <c r="W151" s="432"/>
      <c r="X151" s="419"/>
    </row>
    <row r="152" spans="1:25" s="420" customFormat="1" ht="15.75" x14ac:dyDescent="0.25">
      <c r="A152" s="428"/>
      <c r="B152" s="429" t="s">
        <v>172</v>
      </c>
      <c r="C152" s="429"/>
      <c r="D152" s="429"/>
      <c r="E152" s="429"/>
      <c r="F152" s="429"/>
      <c r="G152" s="429"/>
      <c r="H152" s="429"/>
      <c r="I152" s="429"/>
      <c r="J152" s="429"/>
      <c r="K152" s="429"/>
      <c r="L152" s="429"/>
      <c r="M152" s="429"/>
      <c r="N152" s="429"/>
      <c r="O152" s="429"/>
      <c r="P152" s="429"/>
      <c r="Q152" s="429"/>
      <c r="R152" s="429"/>
      <c r="S152" s="429"/>
      <c r="T152" s="429"/>
      <c r="U152" s="429"/>
      <c r="V152" s="473">
        <v>0</v>
      </c>
      <c r="W152" s="432"/>
      <c r="X152" s="419"/>
    </row>
    <row r="153" spans="1:25" s="420" customFormat="1" ht="15.75" x14ac:dyDescent="0.25">
      <c r="A153" s="428"/>
      <c r="B153" s="429" t="s">
        <v>226</v>
      </c>
      <c r="C153" s="429"/>
      <c r="D153" s="429"/>
      <c r="E153" s="429"/>
      <c r="F153" s="429"/>
      <c r="G153" s="429"/>
      <c r="H153" s="429"/>
      <c r="I153" s="429"/>
      <c r="J153" s="429"/>
      <c r="K153" s="429"/>
      <c r="L153" s="429"/>
      <c r="M153" s="429"/>
      <c r="N153" s="429"/>
      <c r="O153" s="429"/>
      <c r="P153" s="429"/>
      <c r="Q153" s="429"/>
      <c r="R153" s="429"/>
      <c r="S153" s="429"/>
      <c r="T153" s="429"/>
      <c r="U153" s="429"/>
      <c r="V153" s="473">
        <v>0</v>
      </c>
      <c r="W153" s="432"/>
      <c r="X153" s="419"/>
    </row>
    <row r="154" spans="1:25" ht="15.75" x14ac:dyDescent="0.25">
      <c r="A154" s="285"/>
      <c r="B154" s="314"/>
      <c r="C154" s="314"/>
      <c r="D154" s="314"/>
      <c r="E154" s="314"/>
      <c r="F154" s="314"/>
      <c r="G154" s="314"/>
      <c r="H154" s="314"/>
      <c r="I154" s="314"/>
      <c r="J154" s="314"/>
      <c r="K154" s="314"/>
      <c r="L154" s="314"/>
      <c r="M154" s="314"/>
      <c r="N154" s="314"/>
      <c r="O154" s="314"/>
      <c r="P154" s="314"/>
      <c r="Q154" s="314"/>
      <c r="R154" s="314"/>
      <c r="S154" s="314"/>
      <c r="T154" s="314"/>
      <c r="U154" s="314"/>
      <c r="V154" s="345"/>
      <c r="W154" s="318"/>
      <c r="X154" s="5"/>
    </row>
    <row r="155" spans="1:25" ht="15.75" x14ac:dyDescent="0.25">
      <c r="A155" s="181"/>
      <c r="B155" s="212"/>
      <c r="C155" s="212"/>
      <c r="D155" s="212"/>
      <c r="E155" s="212"/>
      <c r="F155" s="212"/>
      <c r="G155" s="212"/>
      <c r="H155" s="212"/>
      <c r="I155" s="212"/>
      <c r="J155" s="212"/>
      <c r="K155" s="212"/>
      <c r="L155" s="212"/>
      <c r="M155" s="212"/>
      <c r="N155" s="212"/>
      <c r="O155" s="212"/>
      <c r="P155" s="212"/>
      <c r="Q155" s="212"/>
      <c r="R155" s="212"/>
      <c r="S155" s="212"/>
      <c r="T155" s="212"/>
      <c r="U155" s="212"/>
      <c r="V155" s="344"/>
      <c r="W155" s="212"/>
      <c r="X155" s="5"/>
    </row>
    <row r="156" spans="1:25" ht="15.75" x14ac:dyDescent="0.25">
      <c r="A156" s="181"/>
      <c r="B156" s="531" t="s">
        <v>24</v>
      </c>
      <c r="C156" s="183"/>
      <c r="D156" s="183"/>
      <c r="E156" s="183"/>
      <c r="F156" s="183"/>
      <c r="G156" s="183"/>
      <c r="H156" s="183"/>
      <c r="I156" s="183"/>
      <c r="J156" s="183"/>
      <c r="K156" s="183"/>
      <c r="L156" s="183"/>
      <c r="M156" s="183"/>
      <c r="N156" s="183"/>
      <c r="O156" s="183"/>
      <c r="P156" s="183"/>
      <c r="Q156" s="183"/>
      <c r="R156" s="183"/>
      <c r="S156" s="183"/>
      <c r="T156" s="183"/>
      <c r="U156" s="183"/>
      <c r="V156" s="202"/>
      <c r="W156" s="183"/>
      <c r="X156" s="5"/>
    </row>
    <row r="157" spans="1:25" s="420" customFormat="1" ht="15.75" x14ac:dyDescent="0.25">
      <c r="A157" s="428"/>
      <c r="B157" s="429" t="s">
        <v>47</v>
      </c>
      <c r="C157" s="429"/>
      <c r="D157" s="429"/>
      <c r="E157" s="429"/>
      <c r="F157" s="429"/>
      <c r="G157" s="429"/>
      <c r="H157" s="429"/>
      <c r="I157" s="429"/>
      <c r="J157" s="429"/>
      <c r="K157" s="429"/>
      <c r="L157" s="429"/>
      <c r="M157" s="429"/>
      <c r="N157" s="429"/>
      <c r="O157" s="429"/>
      <c r="P157" s="429"/>
      <c r="Q157" s="429"/>
      <c r="R157" s="429"/>
      <c r="S157" s="429"/>
      <c r="T157" s="429"/>
      <c r="U157" s="429"/>
      <c r="V157" s="481" t="s">
        <v>118</v>
      </c>
      <c r="W157" s="432"/>
      <c r="X157" s="419"/>
    </row>
    <row r="158" spans="1:25" s="420" customFormat="1" ht="15.75" x14ac:dyDescent="0.25">
      <c r="A158" s="428"/>
      <c r="B158" s="429" t="s">
        <v>48</v>
      </c>
      <c r="C158" s="431"/>
      <c r="D158" s="431"/>
      <c r="E158" s="431"/>
      <c r="F158" s="431"/>
      <c r="G158" s="431"/>
      <c r="H158" s="431"/>
      <c r="I158" s="431"/>
      <c r="J158" s="431"/>
      <c r="K158" s="431"/>
      <c r="L158" s="431"/>
      <c r="M158" s="431"/>
      <c r="N158" s="431"/>
      <c r="O158" s="431"/>
      <c r="P158" s="431"/>
      <c r="Q158" s="431"/>
      <c r="R158" s="431"/>
      <c r="S158" s="431"/>
      <c r="T158" s="431"/>
      <c r="U158" s="431"/>
      <c r="V158" s="481" t="s">
        <v>118</v>
      </c>
      <c r="W158" s="432"/>
      <c r="X158" s="419"/>
    </row>
    <row r="159" spans="1:25" s="420" customFormat="1" ht="15.75" x14ac:dyDescent="0.25">
      <c r="A159" s="428"/>
      <c r="B159" s="429" t="s">
        <v>49</v>
      </c>
      <c r="C159" s="429"/>
      <c r="D159" s="429"/>
      <c r="E159" s="429"/>
      <c r="F159" s="429"/>
      <c r="G159" s="429"/>
      <c r="H159" s="429"/>
      <c r="I159" s="429"/>
      <c r="J159" s="429"/>
      <c r="K159" s="429"/>
      <c r="L159" s="429"/>
      <c r="M159" s="429"/>
      <c r="N159" s="429"/>
      <c r="O159" s="429"/>
      <c r="P159" s="429"/>
      <c r="Q159" s="429"/>
      <c r="R159" s="429"/>
      <c r="S159" s="429"/>
      <c r="T159" s="429"/>
      <c r="U159" s="429"/>
      <c r="V159" s="481" t="s">
        <v>118</v>
      </c>
      <c r="W159" s="432"/>
      <c r="X159" s="419"/>
    </row>
    <row r="160" spans="1:25" s="420" customFormat="1" ht="15.75" x14ac:dyDescent="0.25">
      <c r="A160" s="428"/>
      <c r="B160" s="429" t="s">
        <v>50</v>
      </c>
      <c r="C160" s="429"/>
      <c r="D160" s="429"/>
      <c r="E160" s="429"/>
      <c r="F160" s="429"/>
      <c r="G160" s="429"/>
      <c r="H160" s="429"/>
      <c r="I160" s="429"/>
      <c r="J160" s="429"/>
      <c r="K160" s="429"/>
      <c r="L160" s="429"/>
      <c r="M160" s="429"/>
      <c r="N160" s="429"/>
      <c r="O160" s="429"/>
      <c r="P160" s="429"/>
      <c r="Q160" s="429"/>
      <c r="R160" s="429"/>
      <c r="S160" s="429"/>
      <c r="T160" s="429"/>
      <c r="U160" s="429"/>
      <c r="V160" s="481" t="s">
        <v>118</v>
      </c>
      <c r="W160" s="432"/>
      <c r="X160" s="419"/>
    </row>
    <row r="161" spans="1:256" ht="15.75" x14ac:dyDescent="0.25">
      <c r="A161" s="181"/>
      <c r="B161" s="212"/>
      <c r="C161" s="212"/>
      <c r="D161" s="212"/>
      <c r="E161" s="212"/>
      <c r="F161" s="212"/>
      <c r="G161" s="212"/>
      <c r="H161" s="212"/>
      <c r="I161" s="212"/>
      <c r="J161" s="212"/>
      <c r="K161" s="212"/>
      <c r="L161" s="212"/>
      <c r="M161" s="212"/>
      <c r="N161" s="212"/>
      <c r="O161" s="212"/>
      <c r="P161" s="212"/>
      <c r="Q161" s="212"/>
      <c r="R161" s="212"/>
      <c r="S161" s="212"/>
      <c r="T161" s="212"/>
      <c r="U161" s="212"/>
      <c r="V161" s="344"/>
      <c r="W161" s="212"/>
      <c r="X161" s="5"/>
    </row>
    <row r="162" spans="1:256" ht="15.75" x14ac:dyDescent="0.25">
      <c r="A162" s="181"/>
      <c r="B162" s="531" t="s">
        <v>51</v>
      </c>
      <c r="C162" s="183"/>
      <c r="D162" s="183"/>
      <c r="E162" s="183"/>
      <c r="F162" s="183"/>
      <c r="G162" s="183"/>
      <c r="H162" s="183"/>
      <c r="I162" s="183"/>
      <c r="J162" s="183"/>
      <c r="K162" s="183"/>
      <c r="L162" s="183"/>
      <c r="M162" s="183"/>
      <c r="N162" s="183"/>
      <c r="O162" s="183"/>
      <c r="P162" s="183"/>
      <c r="Q162" s="183"/>
      <c r="R162" s="183"/>
      <c r="S162" s="183"/>
      <c r="T162" s="183"/>
      <c r="U162" s="183"/>
      <c r="V162" s="211"/>
      <c r="W162" s="183"/>
      <c r="X162" s="5"/>
    </row>
    <row r="163" spans="1:256" s="420" customFormat="1" ht="15.75" x14ac:dyDescent="0.25">
      <c r="A163" s="428"/>
      <c r="B163" s="429" t="s">
        <v>52</v>
      </c>
      <c r="C163" s="429"/>
      <c r="D163" s="429"/>
      <c r="E163" s="429"/>
      <c r="F163" s="429"/>
      <c r="G163" s="429"/>
      <c r="H163" s="429"/>
      <c r="I163" s="429"/>
      <c r="J163" s="429"/>
      <c r="K163" s="429"/>
      <c r="L163" s="429"/>
      <c r="M163" s="429"/>
      <c r="N163" s="429"/>
      <c r="O163" s="429"/>
      <c r="P163" s="429"/>
      <c r="Q163" s="429"/>
      <c r="R163" s="429"/>
      <c r="S163" s="429"/>
      <c r="T163" s="429"/>
      <c r="U163" s="429"/>
      <c r="V163" s="473">
        <v>0</v>
      </c>
      <c r="W163" s="432"/>
      <c r="X163" s="419"/>
    </row>
    <row r="164" spans="1:256" s="420" customFormat="1" ht="15.75" x14ac:dyDescent="0.25">
      <c r="A164" s="428"/>
      <c r="B164" s="429" t="s">
        <v>53</v>
      </c>
      <c r="C164" s="429"/>
      <c r="D164" s="429"/>
      <c r="E164" s="429"/>
      <c r="F164" s="429"/>
      <c r="G164" s="429"/>
      <c r="H164" s="429"/>
      <c r="I164" s="429"/>
      <c r="J164" s="429"/>
      <c r="K164" s="429"/>
      <c r="L164" s="429"/>
      <c r="M164" s="429"/>
      <c r="N164" s="429"/>
      <c r="O164" s="429"/>
      <c r="P164" s="429"/>
      <c r="Q164" s="429"/>
      <c r="R164" s="429"/>
      <c r="S164" s="429"/>
      <c r="T164" s="429"/>
      <c r="U164" s="429"/>
      <c r="V164" s="473">
        <v>167</v>
      </c>
      <c r="W164" s="432"/>
      <c r="X164" s="419"/>
    </row>
    <row r="165" spans="1:256" s="420" customFormat="1" ht="15.75" x14ac:dyDescent="0.25">
      <c r="A165" s="428"/>
      <c r="B165" s="429" t="s">
        <v>54</v>
      </c>
      <c r="C165" s="429"/>
      <c r="D165" s="429"/>
      <c r="E165" s="429"/>
      <c r="F165" s="429"/>
      <c r="G165" s="429"/>
      <c r="H165" s="429"/>
      <c r="I165" s="429"/>
      <c r="J165" s="429"/>
      <c r="K165" s="429"/>
      <c r="L165" s="429"/>
      <c r="M165" s="429"/>
      <c r="N165" s="429"/>
      <c r="O165" s="429"/>
      <c r="P165" s="429"/>
      <c r="Q165" s="429"/>
      <c r="R165" s="429"/>
      <c r="S165" s="429"/>
      <c r="T165" s="429"/>
      <c r="U165" s="429"/>
      <c r="V165" s="473">
        <f>V164+V163</f>
        <v>167</v>
      </c>
      <c r="W165" s="432"/>
      <c r="X165" s="419"/>
    </row>
    <row r="166" spans="1:256" s="420" customFormat="1" ht="15.75" x14ac:dyDescent="0.25">
      <c r="A166" s="428"/>
      <c r="B166" s="429" t="s">
        <v>303</v>
      </c>
      <c r="C166" s="429"/>
      <c r="D166" s="429"/>
      <c r="E166" s="429"/>
      <c r="F166" s="429"/>
      <c r="G166" s="429"/>
      <c r="H166" s="429"/>
      <c r="I166" s="429"/>
      <c r="J166" s="429"/>
      <c r="K166" s="429"/>
      <c r="L166" s="429"/>
      <c r="M166" s="429"/>
      <c r="N166" s="429"/>
      <c r="O166" s="429"/>
      <c r="P166" s="429"/>
      <c r="Q166" s="429"/>
      <c r="R166" s="429"/>
      <c r="S166" s="429"/>
      <c r="T166" s="429"/>
      <c r="U166" s="429"/>
      <c r="V166" s="473">
        <f>V114</f>
        <v>-167</v>
      </c>
      <c r="W166" s="432"/>
      <c r="X166" s="419"/>
    </row>
    <row r="167" spans="1:256" s="420" customFormat="1" ht="15.75" x14ac:dyDescent="0.25">
      <c r="A167" s="428"/>
      <c r="B167" s="429" t="s">
        <v>55</v>
      </c>
      <c r="C167" s="429"/>
      <c r="D167" s="429"/>
      <c r="E167" s="429"/>
      <c r="F167" s="429"/>
      <c r="G167" s="429"/>
      <c r="H167" s="429"/>
      <c r="I167" s="429"/>
      <c r="J167" s="429"/>
      <c r="K167" s="429"/>
      <c r="L167" s="429"/>
      <c r="M167" s="429"/>
      <c r="N167" s="429"/>
      <c r="O167" s="429"/>
      <c r="P167" s="429"/>
      <c r="Q167" s="429"/>
      <c r="R167" s="429"/>
      <c r="S167" s="429"/>
      <c r="T167" s="429"/>
      <c r="U167" s="429"/>
      <c r="V167" s="473">
        <f>V165+V166</f>
        <v>0</v>
      </c>
      <c r="W167" s="432"/>
      <c r="X167" s="419"/>
    </row>
    <row r="168" spans="1:256" s="420" customFormat="1" ht="15.75" x14ac:dyDescent="0.25">
      <c r="A168" s="428"/>
      <c r="B168" s="429" t="s">
        <v>274</v>
      </c>
      <c r="C168" s="429"/>
      <c r="D168" s="429"/>
      <c r="E168" s="429"/>
      <c r="F168" s="429"/>
      <c r="G168" s="429"/>
      <c r="H168" s="429"/>
      <c r="I168" s="429"/>
      <c r="J168" s="429"/>
      <c r="K168" s="429"/>
      <c r="L168" s="429"/>
      <c r="M168" s="429"/>
      <c r="N168" s="429"/>
      <c r="O168" s="429"/>
      <c r="P168" s="429"/>
      <c r="Q168" s="429"/>
      <c r="R168" s="429"/>
      <c r="S168" s="429"/>
      <c r="T168" s="429"/>
      <c r="U168" s="429"/>
      <c r="V168" s="473">
        <v>0</v>
      </c>
      <c r="W168" s="432"/>
      <c r="X168" s="419"/>
    </row>
    <row r="169" spans="1:256" ht="16.5" thickBot="1" x14ac:dyDescent="0.3">
      <c r="A169" s="181"/>
      <c r="B169" s="212"/>
      <c r="C169" s="212"/>
      <c r="D169" s="212"/>
      <c r="E169" s="212"/>
      <c r="F169" s="212"/>
      <c r="G169" s="212"/>
      <c r="H169" s="212"/>
      <c r="I169" s="212"/>
      <c r="J169" s="212"/>
      <c r="K169" s="212"/>
      <c r="L169" s="212"/>
      <c r="M169" s="212"/>
      <c r="N169" s="212"/>
      <c r="O169" s="212"/>
      <c r="P169" s="212"/>
      <c r="Q169" s="212"/>
      <c r="R169" s="212"/>
      <c r="S169" s="212"/>
      <c r="T169" s="212"/>
      <c r="U169" s="212"/>
      <c r="V169" s="344"/>
      <c r="W169" s="212"/>
      <c r="X169" s="5"/>
    </row>
    <row r="170" spans="1:256" ht="15.75" x14ac:dyDescent="0.25">
      <c r="A170" s="179"/>
      <c r="B170" s="180"/>
      <c r="C170" s="180"/>
      <c r="D170" s="180"/>
      <c r="E170" s="180"/>
      <c r="F170" s="180"/>
      <c r="G170" s="180"/>
      <c r="H170" s="180"/>
      <c r="I170" s="180"/>
      <c r="J170" s="180"/>
      <c r="K170" s="180"/>
      <c r="L170" s="180"/>
      <c r="M170" s="180"/>
      <c r="N170" s="180"/>
      <c r="O170" s="180"/>
      <c r="P170" s="180"/>
      <c r="Q170" s="180"/>
      <c r="R170" s="180"/>
      <c r="S170" s="180"/>
      <c r="T170" s="180"/>
      <c r="U170" s="180"/>
      <c r="V170" s="201"/>
      <c r="W170" s="180"/>
      <c r="X170" s="5"/>
    </row>
    <row r="171" spans="1:256" s="158" customFormat="1" ht="15.75" x14ac:dyDescent="0.25">
      <c r="A171" s="181"/>
      <c r="B171" s="531" t="s">
        <v>230</v>
      </c>
      <c r="C171" s="212"/>
      <c r="D171" s="212"/>
      <c r="E171" s="212"/>
      <c r="F171" s="212"/>
      <c r="G171" s="212"/>
      <c r="H171" s="212"/>
      <c r="I171" s="212"/>
      <c r="J171" s="212"/>
      <c r="K171" s="212"/>
      <c r="L171" s="212"/>
      <c r="M171" s="212"/>
      <c r="N171" s="212"/>
      <c r="O171" s="212"/>
      <c r="P171" s="212"/>
      <c r="Q171" s="212"/>
      <c r="R171" s="212"/>
      <c r="S171" s="212"/>
      <c r="T171" s="212"/>
      <c r="U171" s="212"/>
      <c r="V171" s="213"/>
      <c r="W171" s="212"/>
      <c r="X171" s="5"/>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s="482" customFormat="1" ht="15.75" x14ac:dyDescent="0.25">
      <c r="A172" s="428"/>
      <c r="B172" s="429" t="s">
        <v>231</v>
      </c>
      <c r="C172" s="429"/>
      <c r="D172" s="429"/>
      <c r="E172" s="429"/>
      <c r="F172" s="429"/>
      <c r="G172" s="429"/>
      <c r="H172" s="429"/>
      <c r="I172" s="429"/>
      <c r="J172" s="429"/>
      <c r="K172" s="429"/>
      <c r="L172" s="429"/>
      <c r="M172" s="429"/>
      <c r="N172" s="429"/>
      <c r="O172" s="429"/>
      <c r="P172" s="429"/>
      <c r="Q172" s="429"/>
      <c r="R172" s="429"/>
      <c r="S172" s="429"/>
      <c r="T172" s="429"/>
      <c r="U172" s="429"/>
      <c r="V172" s="473">
        <f>+'Aug 08'!V173</f>
        <v>0</v>
      </c>
      <c r="W172" s="432"/>
      <c r="X172" s="419"/>
      <c r="Y172" s="420"/>
      <c r="Z172" s="420"/>
      <c r="AA172" s="420"/>
      <c r="AB172" s="420"/>
      <c r="AC172" s="420"/>
      <c r="AD172" s="420"/>
      <c r="AE172" s="420"/>
      <c r="AF172" s="420"/>
      <c r="AG172" s="420"/>
      <c r="AH172" s="420"/>
      <c r="AI172" s="420"/>
      <c r="AJ172" s="420"/>
      <c r="AK172" s="420"/>
      <c r="AL172" s="420"/>
      <c r="AM172" s="420"/>
      <c r="AN172" s="420"/>
      <c r="AO172" s="420"/>
      <c r="AP172" s="420"/>
      <c r="AQ172" s="420"/>
      <c r="AR172" s="420"/>
      <c r="AS172" s="420"/>
      <c r="AT172" s="420"/>
      <c r="AU172" s="420"/>
      <c r="AV172" s="420"/>
      <c r="AW172" s="420"/>
      <c r="AX172" s="420"/>
      <c r="AY172" s="420"/>
      <c r="AZ172" s="420"/>
      <c r="BA172" s="420"/>
      <c r="BB172" s="420"/>
      <c r="BC172" s="420"/>
      <c r="BD172" s="420"/>
      <c r="BE172" s="420"/>
      <c r="BF172" s="420"/>
      <c r="BG172" s="420"/>
      <c r="BH172" s="420"/>
      <c r="BI172" s="420"/>
      <c r="BJ172" s="420"/>
      <c r="BK172" s="420"/>
      <c r="BL172" s="420"/>
      <c r="BM172" s="420"/>
      <c r="BN172" s="420"/>
      <c r="BO172" s="420"/>
      <c r="BP172" s="420"/>
      <c r="BQ172" s="420"/>
      <c r="BR172" s="420"/>
      <c r="BS172" s="420"/>
      <c r="BT172" s="420"/>
      <c r="BU172" s="420"/>
      <c r="BV172" s="420"/>
      <c r="BW172" s="420"/>
      <c r="BX172" s="420"/>
      <c r="BY172" s="420"/>
      <c r="BZ172" s="420"/>
      <c r="CA172" s="420"/>
      <c r="CB172" s="420"/>
      <c r="CC172" s="420"/>
      <c r="CD172" s="420"/>
      <c r="CE172" s="420"/>
      <c r="CF172" s="420"/>
      <c r="CG172" s="420"/>
      <c r="CH172" s="420"/>
      <c r="CI172" s="420"/>
      <c r="CJ172" s="420"/>
      <c r="CK172" s="420"/>
      <c r="CL172" s="420"/>
      <c r="CM172" s="420"/>
      <c r="CN172" s="420"/>
      <c r="CO172" s="420"/>
      <c r="CP172" s="420"/>
      <c r="CQ172" s="420"/>
      <c r="CR172" s="420"/>
      <c r="CS172" s="420"/>
      <c r="CT172" s="420"/>
      <c r="CU172" s="420"/>
      <c r="CV172" s="420"/>
      <c r="CW172" s="420"/>
      <c r="CX172" s="420"/>
      <c r="CY172" s="420"/>
      <c r="CZ172" s="420"/>
      <c r="DA172" s="420"/>
      <c r="DB172" s="420"/>
      <c r="DC172" s="420"/>
      <c r="DD172" s="420"/>
      <c r="DE172" s="420"/>
      <c r="DF172" s="420"/>
      <c r="DG172" s="420"/>
      <c r="DH172" s="420"/>
      <c r="DI172" s="420"/>
      <c r="DJ172" s="420"/>
      <c r="DK172" s="420"/>
      <c r="DL172" s="420"/>
      <c r="DM172" s="420"/>
      <c r="DN172" s="420"/>
      <c r="DO172" s="420"/>
      <c r="DP172" s="420"/>
      <c r="DQ172" s="420"/>
      <c r="DR172" s="420"/>
      <c r="DS172" s="420"/>
      <c r="DT172" s="420"/>
      <c r="DU172" s="420"/>
      <c r="DV172" s="420"/>
      <c r="DW172" s="420"/>
      <c r="DX172" s="420"/>
      <c r="DY172" s="420"/>
      <c r="DZ172" s="420"/>
      <c r="EA172" s="420"/>
      <c r="EB172" s="420"/>
      <c r="EC172" s="420"/>
      <c r="ED172" s="420"/>
      <c r="EE172" s="420"/>
      <c r="EF172" s="420"/>
      <c r="EG172" s="420"/>
      <c r="EH172" s="420"/>
      <c r="EI172" s="420"/>
      <c r="EJ172" s="420"/>
      <c r="EK172" s="420"/>
      <c r="EL172" s="420"/>
      <c r="EM172" s="420"/>
      <c r="EN172" s="420"/>
      <c r="EO172" s="420"/>
      <c r="EP172" s="420"/>
      <c r="EQ172" s="420"/>
      <c r="ER172" s="420"/>
      <c r="ES172" s="420"/>
      <c r="ET172" s="420"/>
      <c r="EU172" s="420"/>
      <c r="EV172" s="420"/>
      <c r="EW172" s="420"/>
      <c r="EX172" s="420"/>
      <c r="EY172" s="420"/>
      <c r="EZ172" s="420"/>
      <c r="FA172" s="420"/>
      <c r="FB172" s="420"/>
      <c r="FC172" s="420"/>
      <c r="FD172" s="420"/>
      <c r="FE172" s="420"/>
      <c r="FF172" s="420"/>
      <c r="FG172" s="420"/>
      <c r="FH172" s="420"/>
      <c r="FI172" s="420"/>
      <c r="FJ172" s="420"/>
      <c r="FK172" s="420"/>
      <c r="FL172" s="420"/>
      <c r="FM172" s="420"/>
      <c r="FN172" s="420"/>
      <c r="FO172" s="420"/>
      <c r="FP172" s="420"/>
      <c r="FQ172" s="420"/>
      <c r="FR172" s="420"/>
      <c r="FS172" s="420"/>
      <c r="FT172" s="420"/>
      <c r="FU172" s="420"/>
      <c r="FV172" s="420"/>
      <c r="FW172" s="420"/>
      <c r="FX172" s="420"/>
      <c r="FY172" s="420"/>
      <c r="FZ172" s="420"/>
      <c r="GA172" s="420"/>
      <c r="GB172" s="420"/>
      <c r="GC172" s="420"/>
      <c r="GD172" s="420"/>
      <c r="GE172" s="420"/>
      <c r="GF172" s="420"/>
      <c r="GG172" s="420"/>
      <c r="GH172" s="420"/>
      <c r="GI172" s="420"/>
      <c r="GJ172" s="420"/>
      <c r="GK172" s="420"/>
      <c r="GL172" s="420"/>
      <c r="GM172" s="420"/>
      <c r="GN172" s="420"/>
      <c r="GO172" s="420"/>
      <c r="GP172" s="420"/>
      <c r="GQ172" s="420"/>
      <c r="GR172" s="420"/>
      <c r="GS172" s="420"/>
      <c r="GT172" s="420"/>
      <c r="GU172" s="420"/>
      <c r="GV172" s="420"/>
      <c r="GW172" s="420"/>
      <c r="GX172" s="420"/>
      <c r="GY172" s="420"/>
      <c r="GZ172" s="420"/>
      <c r="HA172" s="420"/>
      <c r="HB172" s="420"/>
      <c r="HC172" s="420"/>
      <c r="HD172" s="420"/>
      <c r="HE172" s="420"/>
      <c r="HF172" s="420"/>
      <c r="HG172" s="420"/>
      <c r="HH172" s="420"/>
      <c r="HI172" s="420"/>
      <c r="HJ172" s="420"/>
      <c r="HK172" s="420"/>
      <c r="HL172" s="420"/>
      <c r="HM172" s="420"/>
      <c r="HN172" s="420"/>
      <c r="HO172" s="420"/>
      <c r="HP172" s="420"/>
      <c r="HQ172" s="420"/>
      <c r="HR172" s="420"/>
      <c r="HS172" s="420"/>
      <c r="HT172" s="420"/>
      <c r="HU172" s="420"/>
      <c r="HV172" s="420"/>
      <c r="HW172" s="420"/>
      <c r="HX172" s="420"/>
      <c r="HY172" s="420"/>
      <c r="HZ172" s="420"/>
      <c r="IA172" s="420"/>
      <c r="IB172" s="420"/>
      <c r="IC172" s="420"/>
      <c r="ID172" s="420"/>
      <c r="IE172" s="420"/>
      <c r="IF172" s="420"/>
      <c r="IG172" s="420"/>
      <c r="IH172" s="420"/>
      <c r="II172" s="420"/>
      <c r="IJ172" s="420"/>
      <c r="IK172" s="420"/>
      <c r="IL172" s="420"/>
      <c r="IM172" s="420"/>
      <c r="IN172" s="420"/>
      <c r="IO172" s="420"/>
      <c r="IP172" s="420"/>
      <c r="IQ172" s="420"/>
      <c r="IR172" s="420"/>
      <c r="IS172" s="420"/>
      <c r="IT172" s="420"/>
      <c r="IU172" s="420"/>
      <c r="IV172" s="420"/>
    </row>
    <row r="173" spans="1:256" s="482" customFormat="1" ht="15.75" x14ac:dyDescent="0.25">
      <c r="A173" s="428"/>
      <c r="B173" s="429" t="s">
        <v>234</v>
      </c>
      <c r="C173" s="429"/>
      <c r="D173" s="429"/>
      <c r="E173" s="429"/>
      <c r="F173" s="429"/>
      <c r="G173" s="429"/>
      <c r="H173" s="429"/>
      <c r="I173" s="429"/>
      <c r="J173" s="429"/>
      <c r="K173" s="429"/>
      <c r="L173" s="429"/>
      <c r="M173" s="429"/>
      <c r="N173" s="429"/>
      <c r="O173" s="429"/>
      <c r="P173" s="429"/>
      <c r="Q173" s="429"/>
      <c r="R173" s="429"/>
      <c r="S173" s="429"/>
      <c r="T173" s="429"/>
      <c r="U173" s="429"/>
      <c r="V173" s="473">
        <f>+V94</f>
        <v>0</v>
      </c>
      <c r="W173" s="432"/>
      <c r="X173" s="419"/>
      <c r="Y173" s="420"/>
      <c r="Z173" s="420"/>
      <c r="AA173" s="420"/>
      <c r="AB173" s="420"/>
      <c r="AC173" s="420"/>
      <c r="AD173" s="420"/>
      <c r="AE173" s="420"/>
      <c r="AF173" s="420"/>
      <c r="AG173" s="420"/>
      <c r="AH173" s="420"/>
      <c r="AI173" s="420"/>
      <c r="AJ173" s="420"/>
      <c r="AK173" s="420"/>
      <c r="AL173" s="420"/>
      <c r="AM173" s="420"/>
      <c r="AN173" s="420"/>
      <c r="AO173" s="420"/>
      <c r="AP173" s="420"/>
      <c r="AQ173" s="420"/>
      <c r="AR173" s="420"/>
      <c r="AS173" s="420"/>
      <c r="AT173" s="420"/>
      <c r="AU173" s="420"/>
      <c r="AV173" s="420"/>
      <c r="AW173" s="420"/>
      <c r="AX173" s="420"/>
      <c r="AY173" s="420"/>
      <c r="AZ173" s="420"/>
      <c r="BA173" s="420"/>
      <c r="BB173" s="420"/>
      <c r="BC173" s="420"/>
      <c r="BD173" s="420"/>
      <c r="BE173" s="420"/>
      <c r="BF173" s="420"/>
      <c r="BG173" s="420"/>
      <c r="BH173" s="420"/>
      <c r="BI173" s="420"/>
      <c r="BJ173" s="420"/>
      <c r="BK173" s="420"/>
      <c r="BL173" s="420"/>
      <c r="BM173" s="420"/>
      <c r="BN173" s="420"/>
      <c r="BO173" s="420"/>
      <c r="BP173" s="420"/>
      <c r="BQ173" s="420"/>
      <c r="BR173" s="420"/>
      <c r="BS173" s="420"/>
      <c r="BT173" s="420"/>
      <c r="BU173" s="420"/>
      <c r="BV173" s="420"/>
      <c r="BW173" s="420"/>
      <c r="BX173" s="420"/>
      <c r="BY173" s="420"/>
      <c r="BZ173" s="420"/>
      <c r="CA173" s="420"/>
      <c r="CB173" s="420"/>
      <c r="CC173" s="420"/>
      <c r="CD173" s="420"/>
      <c r="CE173" s="420"/>
      <c r="CF173" s="420"/>
      <c r="CG173" s="420"/>
      <c r="CH173" s="420"/>
      <c r="CI173" s="420"/>
      <c r="CJ173" s="420"/>
      <c r="CK173" s="420"/>
      <c r="CL173" s="420"/>
      <c r="CM173" s="420"/>
      <c r="CN173" s="420"/>
      <c r="CO173" s="420"/>
      <c r="CP173" s="420"/>
      <c r="CQ173" s="420"/>
      <c r="CR173" s="420"/>
      <c r="CS173" s="420"/>
      <c r="CT173" s="420"/>
      <c r="CU173" s="420"/>
      <c r="CV173" s="420"/>
      <c r="CW173" s="420"/>
      <c r="CX173" s="420"/>
      <c r="CY173" s="420"/>
      <c r="CZ173" s="420"/>
      <c r="DA173" s="420"/>
      <c r="DB173" s="420"/>
      <c r="DC173" s="420"/>
      <c r="DD173" s="420"/>
      <c r="DE173" s="420"/>
      <c r="DF173" s="420"/>
      <c r="DG173" s="420"/>
      <c r="DH173" s="420"/>
      <c r="DI173" s="420"/>
      <c r="DJ173" s="420"/>
      <c r="DK173" s="420"/>
      <c r="DL173" s="420"/>
      <c r="DM173" s="420"/>
      <c r="DN173" s="420"/>
      <c r="DO173" s="420"/>
      <c r="DP173" s="420"/>
      <c r="DQ173" s="420"/>
      <c r="DR173" s="420"/>
      <c r="DS173" s="420"/>
      <c r="DT173" s="420"/>
      <c r="DU173" s="420"/>
      <c r="DV173" s="420"/>
      <c r="DW173" s="420"/>
      <c r="DX173" s="420"/>
      <c r="DY173" s="420"/>
      <c r="DZ173" s="420"/>
      <c r="EA173" s="420"/>
      <c r="EB173" s="420"/>
      <c r="EC173" s="420"/>
      <c r="ED173" s="420"/>
      <c r="EE173" s="420"/>
      <c r="EF173" s="420"/>
      <c r="EG173" s="420"/>
      <c r="EH173" s="420"/>
      <c r="EI173" s="420"/>
      <c r="EJ173" s="420"/>
      <c r="EK173" s="420"/>
      <c r="EL173" s="420"/>
      <c r="EM173" s="420"/>
      <c r="EN173" s="420"/>
      <c r="EO173" s="420"/>
      <c r="EP173" s="420"/>
      <c r="EQ173" s="420"/>
      <c r="ER173" s="420"/>
      <c r="ES173" s="420"/>
      <c r="ET173" s="420"/>
      <c r="EU173" s="420"/>
      <c r="EV173" s="420"/>
      <c r="EW173" s="420"/>
      <c r="EX173" s="420"/>
      <c r="EY173" s="420"/>
      <c r="EZ173" s="420"/>
      <c r="FA173" s="420"/>
      <c r="FB173" s="420"/>
      <c r="FC173" s="420"/>
      <c r="FD173" s="420"/>
      <c r="FE173" s="420"/>
      <c r="FF173" s="420"/>
      <c r="FG173" s="420"/>
      <c r="FH173" s="420"/>
      <c r="FI173" s="420"/>
      <c r="FJ173" s="420"/>
      <c r="FK173" s="420"/>
      <c r="FL173" s="420"/>
      <c r="FM173" s="420"/>
      <c r="FN173" s="420"/>
      <c r="FO173" s="420"/>
      <c r="FP173" s="420"/>
      <c r="FQ173" s="420"/>
      <c r="FR173" s="420"/>
      <c r="FS173" s="420"/>
      <c r="FT173" s="420"/>
      <c r="FU173" s="420"/>
      <c r="FV173" s="420"/>
      <c r="FW173" s="420"/>
      <c r="FX173" s="420"/>
      <c r="FY173" s="420"/>
      <c r="FZ173" s="420"/>
      <c r="GA173" s="420"/>
      <c r="GB173" s="420"/>
      <c r="GC173" s="420"/>
      <c r="GD173" s="420"/>
      <c r="GE173" s="420"/>
      <c r="GF173" s="420"/>
      <c r="GG173" s="420"/>
      <c r="GH173" s="420"/>
      <c r="GI173" s="420"/>
      <c r="GJ173" s="420"/>
      <c r="GK173" s="420"/>
      <c r="GL173" s="420"/>
      <c r="GM173" s="420"/>
      <c r="GN173" s="420"/>
      <c r="GO173" s="420"/>
      <c r="GP173" s="420"/>
      <c r="GQ173" s="420"/>
      <c r="GR173" s="420"/>
      <c r="GS173" s="420"/>
      <c r="GT173" s="420"/>
      <c r="GU173" s="420"/>
      <c r="GV173" s="420"/>
      <c r="GW173" s="420"/>
      <c r="GX173" s="420"/>
      <c r="GY173" s="420"/>
      <c r="GZ173" s="420"/>
      <c r="HA173" s="420"/>
      <c r="HB173" s="420"/>
      <c r="HC173" s="420"/>
      <c r="HD173" s="420"/>
      <c r="HE173" s="420"/>
      <c r="HF173" s="420"/>
      <c r="HG173" s="420"/>
      <c r="HH173" s="420"/>
      <c r="HI173" s="420"/>
      <c r="HJ173" s="420"/>
      <c r="HK173" s="420"/>
      <c r="HL173" s="420"/>
      <c r="HM173" s="420"/>
      <c r="HN173" s="420"/>
      <c r="HO173" s="420"/>
      <c r="HP173" s="420"/>
      <c r="HQ173" s="420"/>
      <c r="HR173" s="420"/>
      <c r="HS173" s="420"/>
      <c r="HT173" s="420"/>
      <c r="HU173" s="420"/>
      <c r="HV173" s="420"/>
      <c r="HW173" s="420"/>
      <c r="HX173" s="420"/>
      <c r="HY173" s="420"/>
      <c r="HZ173" s="420"/>
      <c r="IA173" s="420"/>
      <c r="IB173" s="420"/>
      <c r="IC173" s="420"/>
      <c r="ID173" s="420"/>
      <c r="IE173" s="420"/>
      <c r="IF173" s="420"/>
      <c r="IG173" s="420"/>
      <c r="IH173" s="420"/>
      <c r="II173" s="420"/>
      <c r="IJ173" s="420"/>
      <c r="IK173" s="420"/>
      <c r="IL173" s="420"/>
      <c r="IM173" s="420"/>
      <c r="IN173" s="420"/>
      <c r="IO173" s="420"/>
      <c r="IP173" s="420"/>
      <c r="IQ173" s="420"/>
      <c r="IR173" s="420"/>
      <c r="IS173" s="420"/>
      <c r="IT173" s="420"/>
      <c r="IU173" s="420"/>
      <c r="IV173" s="420"/>
    </row>
    <row r="174" spans="1:256" s="482" customFormat="1" ht="15.75" x14ac:dyDescent="0.25">
      <c r="A174" s="428"/>
      <c r="B174" s="429" t="s">
        <v>232</v>
      </c>
      <c r="C174" s="429"/>
      <c r="D174" s="429"/>
      <c r="E174" s="429"/>
      <c r="F174" s="429"/>
      <c r="G174" s="429"/>
      <c r="H174" s="429"/>
      <c r="I174" s="429"/>
      <c r="J174" s="429"/>
      <c r="K174" s="429"/>
      <c r="L174" s="429"/>
      <c r="M174" s="429"/>
      <c r="N174" s="429"/>
      <c r="O174" s="429"/>
      <c r="P174" s="429"/>
      <c r="Q174" s="429"/>
      <c r="R174" s="429"/>
      <c r="S174" s="429"/>
      <c r="T174" s="429"/>
      <c r="U174" s="429"/>
      <c r="V174" s="473">
        <f>+V172-V173</f>
        <v>0</v>
      </c>
      <c r="W174" s="432"/>
      <c r="X174" s="419"/>
      <c r="Y174" s="420"/>
      <c r="Z174" s="420"/>
      <c r="AA174" s="420"/>
      <c r="AB174" s="420"/>
      <c r="AC174" s="420"/>
      <c r="AD174" s="420"/>
      <c r="AE174" s="420"/>
      <c r="AF174" s="420"/>
      <c r="AG174" s="420"/>
      <c r="AH174" s="420"/>
      <c r="AI174" s="420"/>
      <c r="AJ174" s="420"/>
      <c r="AK174" s="420"/>
      <c r="AL174" s="420"/>
      <c r="AM174" s="420"/>
      <c r="AN174" s="420"/>
      <c r="AO174" s="420"/>
      <c r="AP174" s="420"/>
      <c r="AQ174" s="420"/>
      <c r="AR174" s="420"/>
      <c r="AS174" s="420"/>
      <c r="AT174" s="420"/>
      <c r="AU174" s="420"/>
      <c r="AV174" s="420"/>
      <c r="AW174" s="420"/>
      <c r="AX174" s="420"/>
      <c r="AY174" s="420"/>
      <c r="AZ174" s="420"/>
      <c r="BA174" s="420"/>
      <c r="BB174" s="420"/>
      <c r="BC174" s="420"/>
      <c r="BD174" s="420"/>
      <c r="BE174" s="420"/>
      <c r="BF174" s="420"/>
      <c r="BG174" s="420"/>
      <c r="BH174" s="420"/>
      <c r="BI174" s="420"/>
      <c r="BJ174" s="420"/>
      <c r="BK174" s="420"/>
      <c r="BL174" s="420"/>
      <c r="BM174" s="420"/>
      <c r="BN174" s="420"/>
      <c r="BO174" s="420"/>
      <c r="BP174" s="420"/>
      <c r="BQ174" s="420"/>
      <c r="BR174" s="420"/>
      <c r="BS174" s="420"/>
      <c r="BT174" s="420"/>
      <c r="BU174" s="420"/>
      <c r="BV174" s="420"/>
      <c r="BW174" s="420"/>
      <c r="BX174" s="420"/>
      <c r="BY174" s="420"/>
      <c r="BZ174" s="420"/>
      <c r="CA174" s="420"/>
      <c r="CB174" s="420"/>
      <c r="CC174" s="420"/>
      <c r="CD174" s="420"/>
      <c r="CE174" s="420"/>
      <c r="CF174" s="420"/>
      <c r="CG174" s="420"/>
      <c r="CH174" s="420"/>
      <c r="CI174" s="420"/>
      <c r="CJ174" s="420"/>
      <c r="CK174" s="420"/>
      <c r="CL174" s="420"/>
      <c r="CM174" s="420"/>
      <c r="CN174" s="420"/>
      <c r="CO174" s="420"/>
      <c r="CP174" s="420"/>
      <c r="CQ174" s="420"/>
      <c r="CR174" s="420"/>
      <c r="CS174" s="420"/>
      <c r="CT174" s="420"/>
      <c r="CU174" s="420"/>
      <c r="CV174" s="420"/>
      <c r="CW174" s="420"/>
      <c r="CX174" s="420"/>
      <c r="CY174" s="420"/>
      <c r="CZ174" s="420"/>
      <c r="DA174" s="420"/>
      <c r="DB174" s="420"/>
      <c r="DC174" s="420"/>
      <c r="DD174" s="420"/>
      <c r="DE174" s="420"/>
      <c r="DF174" s="420"/>
      <c r="DG174" s="420"/>
      <c r="DH174" s="420"/>
      <c r="DI174" s="420"/>
      <c r="DJ174" s="420"/>
      <c r="DK174" s="420"/>
      <c r="DL174" s="420"/>
      <c r="DM174" s="420"/>
      <c r="DN174" s="420"/>
      <c r="DO174" s="420"/>
      <c r="DP174" s="420"/>
      <c r="DQ174" s="420"/>
      <c r="DR174" s="420"/>
      <c r="DS174" s="420"/>
      <c r="DT174" s="420"/>
      <c r="DU174" s="420"/>
      <c r="DV174" s="420"/>
      <c r="DW174" s="420"/>
      <c r="DX174" s="420"/>
      <c r="DY174" s="420"/>
      <c r="DZ174" s="420"/>
      <c r="EA174" s="420"/>
      <c r="EB174" s="420"/>
      <c r="EC174" s="420"/>
      <c r="ED174" s="420"/>
      <c r="EE174" s="420"/>
      <c r="EF174" s="420"/>
      <c r="EG174" s="420"/>
      <c r="EH174" s="420"/>
      <c r="EI174" s="420"/>
      <c r="EJ174" s="420"/>
      <c r="EK174" s="420"/>
      <c r="EL174" s="420"/>
      <c r="EM174" s="420"/>
      <c r="EN174" s="420"/>
      <c r="EO174" s="420"/>
      <c r="EP174" s="420"/>
      <c r="EQ174" s="420"/>
      <c r="ER174" s="420"/>
      <c r="ES174" s="420"/>
      <c r="ET174" s="420"/>
      <c r="EU174" s="420"/>
      <c r="EV174" s="420"/>
      <c r="EW174" s="420"/>
      <c r="EX174" s="420"/>
      <c r="EY174" s="420"/>
      <c r="EZ174" s="420"/>
      <c r="FA174" s="420"/>
      <c r="FB174" s="420"/>
      <c r="FC174" s="420"/>
      <c r="FD174" s="420"/>
      <c r="FE174" s="420"/>
      <c r="FF174" s="420"/>
      <c r="FG174" s="420"/>
      <c r="FH174" s="420"/>
      <c r="FI174" s="420"/>
      <c r="FJ174" s="420"/>
      <c r="FK174" s="420"/>
      <c r="FL174" s="420"/>
      <c r="FM174" s="420"/>
      <c r="FN174" s="420"/>
      <c r="FO174" s="420"/>
      <c r="FP174" s="420"/>
      <c r="FQ174" s="420"/>
      <c r="FR174" s="420"/>
      <c r="FS174" s="420"/>
      <c r="FT174" s="420"/>
      <c r="FU174" s="420"/>
      <c r="FV174" s="420"/>
      <c r="FW174" s="420"/>
      <c r="FX174" s="420"/>
      <c r="FY174" s="420"/>
      <c r="FZ174" s="420"/>
      <c r="GA174" s="420"/>
      <c r="GB174" s="420"/>
      <c r="GC174" s="420"/>
      <c r="GD174" s="420"/>
      <c r="GE174" s="420"/>
      <c r="GF174" s="420"/>
      <c r="GG174" s="420"/>
      <c r="GH174" s="420"/>
      <c r="GI174" s="420"/>
      <c r="GJ174" s="420"/>
      <c r="GK174" s="420"/>
      <c r="GL174" s="420"/>
      <c r="GM174" s="420"/>
      <c r="GN174" s="420"/>
      <c r="GO174" s="420"/>
      <c r="GP174" s="420"/>
      <c r="GQ174" s="420"/>
      <c r="GR174" s="420"/>
      <c r="GS174" s="420"/>
      <c r="GT174" s="420"/>
      <c r="GU174" s="420"/>
      <c r="GV174" s="420"/>
      <c r="GW174" s="420"/>
      <c r="GX174" s="420"/>
      <c r="GY174" s="420"/>
      <c r="GZ174" s="420"/>
      <c r="HA174" s="420"/>
      <c r="HB174" s="420"/>
      <c r="HC174" s="420"/>
      <c r="HD174" s="420"/>
      <c r="HE174" s="420"/>
      <c r="HF174" s="420"/>
      <c r="HG174" s="420"/>
      <c r="HH174" s="420"/>
      <c r="HI174" s="420"/>
      <c r="HJ174" s="420"/>
      <c r="HK174" s="420"/>
      <c r="HL174" s="420"/>
      <c r="HM174" s="420"/>
      <c r="HN174" s="420"/>
      <c r="HO174" s="420"/>
      <c r="HP174" s="420"/>
      <c r="HQ174" s="420"/>
      <c r="HR174" s="420"/>
      <c r="HS174" s="420"/>
      <c r="HT174" s="420"/>
      <c r="HU174" s="420"/>
      <c r="HV174" s="420"/>
      <c r="HW174" s="420"/>
      <c r="HX174" s="420"/>
      <c r="HY174" s="420"/>
      <c r="HZ174" s="420"/>
      <c r="IA174" s="420"/>
      <c r="IB174" s="420"/>
      <c r="IC174" s="420"/>
      <c r="ID174" s="420"/>
      <c r="IE174" s="420"/>
      <c r="IF174" s="420"/>
      <c r="IG174" s="420"/>
      <c r="IH174" s="420"/>
      <c r="II174" s="420"/>
      <c r="IJ174" s="420"/>
      <c r="IK174" s="420"/>
      <c r="IL174" s="420"/>
      <c r="IM174" s="420"/>
      <c r="IN174" s="420"/>
      <c r="IO174" s="420"/>
      <c r="IP174" s="420"/>
      <c r="IQ174" s="420"/>
      <c r="IR174" s="420"/>
      <c r="IS174" s="420"/>
      <c r="IT174" s="420"/>
      <c r="IU174" s="420"/>
      <c r="IV174" s="420"/>
    </row>
    <row r="175" spans="1:256" s="163" customFormat="1" ht="16.5" thickBot="1" x14ac:dyDescent="0.3">
      <c r="A175" s="197"/>
      <c r="B175" s="212"/>
      <c r="C175" s="212"/>
      <c r="D175" s="212"/>
      <c r="E175" s="212"/>
      <c r="F175" s="212"/>
      <c r="G175" s="212"/>
      <c r="H175" s="212"/>
      <c r="I175" s="212"/>
      <c r="J175" s="212"/>
      <c r="K175" s="212"/>
      <c r="L175" s="212"/>
      <c r="M175" s="212"/>
      <c r="N175" s="212"/>
      <c r="O175" s="212"/>
      <c r="P175" s="212"/>
      <c r="Q175" s="212"/>
      <c r="R175" s="212"/>
      <c r="S175" s="212"/>
      <c r="T175" s="212"/>
      <c r="U175" s="212"/>
      <c r="V175" s="344"/>
      <c r="W175" s="212"/>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4" customFormat="1" ht="15.75" x14ac:dyDescent="0.25">
      <c r="A176" s="179"/>
      <c r="B176" s="180"/>
      <c r="C176" s="180"/>
      <c r="D176" s="180"/>
      <c r="E176" s="180"/>
      <c r="F176" s="180"/>
      <c r="G176" s="180"/>
      <c r="H176" s="180"/>
      <c r="I176" s="180"/>
      <c r="J176" s="180"/>
      <c r="K176" s="180"/>
      <c r="L176" s="180"/>
      <c r="M176" s="180"/>
      <c r="N176" s="180"/>
      <c r="O176" s="180"/>
      <c r="P176" s="180"/>
      <c r="Q176" s="180"/>
      <c r="R176" s="180"/>
      <c r="S176" s="180"/>
      <c r="T176" s="180"/>
      <c r="U176" s="180"/>
      <c r="V176" s="201"/>
      <c r="W176" s="180"/>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4" ht="15.75" x14ac:dyDescent="0.25">
      <c r="A177" s="181"/>
      <c r="B177" s="531" t="s">
        <v>56</v>
      </c>
      <c r="C177" s="183"/>
      <c r="D177" s="183"/>
      <c r="E177" s="183"/>
      <c r="F177" s="183"/>
      <c r="G177" s="183"/>
      <c r="H177" s="183"/>
      <c r="I177" s="183"/>
      <c r="J177" s="183"/>
      <c r="K177" s="183"/>
      <c r="L177" s="183"/>
      <c r="M177" s="183"/>
      <c r="N177" s="183"/>
      <c r="O177" s="183"/>
      <c r="P177" s="183"/>
      <c r="Q177" s="183"/>
      <c r="R177" s="183"/>
      <c r="S177" s="183"/>
      <c r="T177" s="183"/>
      <c r="U177" s="183"/>
      <c r="V177" s="202"/>
      <c r="W177" s="183"/>
      <c r="X177" s="5"/>
    </row>
    <row r="178" spans="1:24" ht="15.75" x14ac:dyDescent="0.25">
      <c r="A178" s="181"/>
      <c r="B178" s="191"/>
      <c r="C178" s="183"/>
      <c r="D178" s="183"/>
      <c r="E178" s="183"/>
      <c r="F178" s="183"/>
      <c r="G178" s="183"/>
      <c r="H178" s="183"/>
      <c r="I178" s="183"/>
      <c r="J178" s="183"/>
      <c r="K178" s="183"/>
      <c r="L178" s="183"/>
      <c r="M178" s="183"/>
      <c r="N178" s="183"/>
      <c r="O178" s="183"/>
      <c r="P178" s="183"/>
      <c r="Q178" s="183"/>
      <c r="R178" s="183"/>
      <c r="S178" s="183"/>
      <c r="T178" s="183"/>
      <c r="U178" s="183"/>
      <c r="V178" s="202"/>
      <c r="W178" s="183"/>
      <c r="X178" s="5"/>
    </row>
    <row r="179" spans="1:24" s="420" customFormat="1" ht="15.75" x14ac:dyDescent="0.25">
      <c r="A179" s="428"/>
      <c r="B179" s="429" t="s">
        <v>57</v>
      </c>
      <c r="C179" s="429"/>
      <c r="D179" s="429"/>
      <c r="E179" s="429"/>
      <c r="F179" s="429"/>
      <c r="G179" s="429"/>
      <c r="H179" s="429"/>
      <c r="I179" s="429"/>
      <c r="J179" s="429"/>
      <c r="K179" s="429"/>
      <c r="L179" s="429"/>
      <c r="M179" s="429"/>
      <c r="N179" s="429"/>
      <c r="O179" s="429"/>
      <c r="P179" s="429"/>
      <c r="Q179" s="429"/>
      <c r="R179" s="429"/>
      <c r="S179" s="429"/>
      <c r="T179" s="429"/>
      <c r="U179" s="429"/>
      <c r="V179" s="473">
        <f>V71</f>
        <v>624966</v>
      </c>
      <c r="W179" s="432"/>
      <c r="X179" s="419"/>
    </row>
    <row r="180" spans="1:24" s="420" customFormat="1" ht="15.75" x14ac:dyDescent="0.25">
      <c r="A180" s="428"/>
      <c r="B180" s="429" t="s">
        <v>58</v>
      </c>
      <c r="C180" s="429"/>
      <c r="D180" s="429"/>
      <c r="E180" s="429"/>
      <c r="F180" s="429"/>
      <c r="G180" s="429"/>
      <c r="H180" s="429"/>
      <c r="I180" s="429"/>
      <c r="J180" s="429"/>
      <c r="K180" s="429"/>
      <c r="L180" s="429"/>
      <c r="M180" s="429"/>
      <c r="N180" s="429"/>
      <c r="O180" s="429"/>
      <c r="P180" s="429"/>
      <c r="Q180" s="429"/>
      <c r="R180" s="429"/>
      <c r="S180" s="429"/>
      <c r="T180" s="429"/>
      <c r="U180" s="429"/>
      <c r="V180" s="473">
        <f>V84</f>
        <v>624966</v>
      </c>
      <c r="W180" s="432"/>
      <c r="X180" s="419"/>
    </row>
    <row r="181" spans="1:24" ht="16.5" thickBot="1" x14ac:dyDescent="0.3">
      <c r="A181" s="181"/>
      <c r="B181" s="212"/>
      <c r="C181" s="212"/>
      <c r="D181" s="212"/>
      <c r="E181" s="212"/>
      <c r="F181" s="212"/>
      <c r="G181" s="212"/>
      <c r="H181" s="212"/>
      <c r="I181" s="212"/>
      <c r="J181" s="212"/>
      <c r="K181" s="212"/>
      <c r="L181" s="212"/>
      <c r="M181" s="212"/>
      <c r="N181" s="212"/>
      <c r="O181" s="212"/>
      <c r="P181" s="212"/>
      <c r="Q181" s="212"/>
      <c r="R181" s="212"/>
      <c r="S181" s="212"/>
      <c r="T181" s="212"/>
      <c r="U181" s="212"/>
      <c r="V181" s="344"/>
      <c r="W181" s="212"/>
      <c r="X181" s="5"/>
    </row>
    <row r="182" spans="1:24" ht="15.75" x14ac:dyDescent="0.25">
      <c r="A182" s="179"/>
      <c r="B182" s="180"/>
      <c r="C182" s="180"/>
      <c r="D182" s="180"/>
      <c r="E182" s="180"/>
      <c r="F182" s="180"/>
      <c r="G182" s="180"/>
      <c r="H182" s="180"/>
      <c r="I182" s="180"/>
      <c r="J182" s="180"/>
      <c r="K182" s="180"/>
      <c r="L182" s="180"/>
      <c r="M182" s="180"/>
      <c r="N182" s="180"/>
      <c r="O182" s="180"/>
      <c r="P182" s="180"/>
      <c r="Q182" s="180"/>
      <c r="R182" s="180"/>
      <c r="S182" s="180"/>
      <c r="T182" s="180"/>
      <c r="U182" s="180"/>
      <c r="V182" s="201"/>
      <c r="W182" s="180"/>
      <c r="X182" s="5"/>
    </row>
    <row r="183" spans="1:24" s="522" customFormat="1" ht="15.75" x14ac:dyDescent="0.25">
      <c r="A183" s="525"/>
      <c r="B183" s="531" t="s">
        <v>59</v>
      </c>
      <c r="C183" s="529"/>
      <c r="D183" s="529"/>
      <c r="E183" s="529"/>
      <c r="F183" s="529"/>
      <c r="G183" s="529"/>
      <c r="H183" s="532"/>
      <c r="I183" s="532"/>
      <c r="J183" s="532"/>
      <c r="K183" s="532"/>
      <c r="L183" s="532"/>
      <c r="M183" s="532"/>
      <c r="N183" s="532"/>
      <c r="O183" s="532"/>
      <c r="P183" s="532"/>
      <c r="Q183" s="532"/>
      <c r="R183" s="532"/>
      <c r="S183" s="532" t="s">
        <v>101</v>
      </c>
      <c r="T183" s="532" t="s">
        <v>176</v>
      </c>
      <c r="U183" s="511"/>
      <c r="V183" s="533" t="s">
        <v>114</v>
      </c>
      <c r="W183" s="511"/>
      <c r="X183" s="521"/>
    </row>
    <row r="184" spans="1:24" s="420" customFormat="1" ht="15.75" x14ac:dyDescent="0.25">
      <c r="A184" s="428"/>
      <c r="B184" s="429" t="s">
        <v>60</v>
      </c>
      <c r="C184" s="429"/>
      <c r="D184" s="429"/>
      <c r="E184" s="429"/>
      <c r="F184" s="429"/>
      <c r="G184" s="429"/>
      <c r="H184" s="429"/>
      <c r="I184" s="429"/>
      <c r="J184" s="429"/>
      <c r="K184" s="429"/>
      <c r="L184" s="429"/>
      <c r="M184" s="429"/>
      <c r="N184" s="429"/>
      <c r="O184" s="429"/>
      <c r="P184" s="429"/>
      <c r="Q184" s="429"/>
      <c r="R184" s="429"/>
      <c r="S184" s="473">
        <f>+V34*0.16</f>
        <v>160181.28</v>
      </c>
      <c r="T184" s="452"/>
      <c r="U184" s="429"/>
      <c r="V184" s="473"/>
      <c r="W184" s="432"/>
      <c r="X184" s="419"/>
    </row>
    <row r="185" spans="1:24" s="420" customFormat="1" ht="15.75" x14ac:dyDescent="0.25">
      <c r="A185" s="428"/>
      <c r="B185" s="429" t="s">
        <v>61</v>
      </c>
      <c r="C185" s="429"/>
      <c r="D185" s="429"/>
      <c r="E185" s="429"/>
      <c r="F185" s="429"/>
      <c r="G185" s="429"/>
      <c r="H185" s="429"/>
      <c r="I185" s="429"/>
      <c r="J185" s="429"/>
      <c r="K185" s="429"/>
      <c r="L185" s="429"/>
      <c r="M185" s="429"/>
      <c r="N185" s="429"/>
      <c r="O185" s="429"/>
      <c r="P185" s="429"/>
      <c r="Q185" s="429"/>
      <c r="R185" s="429"/>
      <c r="S185" s="473">
        <f>+'Nov 17'!S187</f>
        <v>13312</v>
      </c>
      <c r="T185" s="473">
        <f>+'Nov 17'!T187</f>
        <v>6098</v>
      </c>
      <c r="U185" s="429"/>
      <c r="V185" s="473">
        <f>S185+T185</f>
        <v>19410</v>
      </c>
      <c r="W185" s="432"/>
      <c r="X185" s="419"/>
    </row>
    <row r="186" spans="1:24" s="420" customFormat="1" ht="15.75" x14ac:dyDescent="0.25">
      <c r="A186" s="428"/>
      <c r="B186" s="429" t="s">
        <v>62</v>
      </c>
      <c r="C186" s="429"/>
      <c r="D186" s="429"/>
      <c r="E186" s="429"/>
      <c r="F186" s="429"/>
      <c r="G186" s="429"/>
      <c r="H186" s="429"/>
      <c r="I186" s="429"/>
      <c r="J186" s="429"/>
      <c r="K186" s="429"/>
      <c r="L186" s="429"/>
      <c r="M186" s="429"/>
      <c r="N186" s="429"/>
      <c r="O186" s="429"/>
      <c r="P186" s="429"/>
      <c r="Q186" s="429"/>
      <c r="R186" s="429"/>
      <c r="S186" s="472">
        <f>251+43</f>
        <v>294</v>
      </c>
      <c r="T186" s="472">
        <v>0</v>
      </c>
      <c r="U186" s="429"/>
      <c r="V186" s="473">
        <f>S186+T186</f>
        <v>294</v>
      </c>
      <c r="W186" s="432"/>
      <c r="X186" s="419"/>
    </row>
    <row r="187" spans="1:24" s="420" customFormat="1" ht="15.75" x14ac:dyDescent="0.25">
      <c r="A187" s="428"/>
      <c r="B187" s="429" t="s">
        <v>63</v>
      </c>
      <c r="C187" s="429"/>
      <c r="D187" s="429"/>
      <c r="E187" s="429"/>
      <c r="F187" s="429"/>
      <c r="G187" s="429"/>
      <c r="H187" s="429"/>
      <c r="I187" s="429"/>
      <c r="J187" s="429"/>
      <c r="K187" s="429"/>
      <c r="L187" s="429"/>
      <c r="M187" s="429"/>
      <c r="N187" s="429"/>
      <c r="O187" s="429"/>
      <c r="P187" s="429"/>
      <c r="Q187" s="429"/>
      <c r="R187" s="429"/>
      <c r="S187" s="473">
        <f>S185+S186</f>
        <v>13606</v>
      </c>
      <c r="T187" s="473">
        <f>T186+T185</f>
        <v>6098</v>
      </c>
      <c r="U187" s="429"/>
      <c r="V187" s="473">
        <f>S187+T187</f>
        <v>19704</v>
      </c>
      <c r="W187" s="432"/>
      <c r="X187" s="419"/>
    </row>
    <row r="188" spans="1:24" s="420" customFormat="1" ht="15.75" x14ac:dyDescent="0.25">
      <c r="A188" s="428"/>
      <c r="B188" s="429" t="s">
        <v>64</v>
      </c>
      <c r="C188" s="429"/>
      <c r="D188" s="429"/>
      <c r="E188" s="429"/>
      <c r="F188" s="429"/>
      <c r="G188" s="429"/>
      <c r="H188" s="429"/>
      <c r="I188" s="429"/>
      <c r="J188" s="429"/>
      <c r="K188" s="429"/>
      <c r="L188" s="429"/>
      <c r="M188" s="429"/>
      <c r="N188" s="429"/>
      <c r="O188" s="429"/>
      <c r="P188" s="429"/>
      <c r="Q188" s="429"/>
      <c r="R188" s="429"/>
      <c r="S188" s="473">
        <f>S184-S187-T187</f>
        <v>140477.28</v>
      </c>
      <c r="T188" s="452"/>
      <c r="U188" s="429"/>
      <c r="V188" s="473"/>
      <c r="W188" s="432"/>
      <c r="X188" s="419"/>
    </row>
    <row r="189" spans="1:24" ht="16.5" thickBot="1" x14ac:dyDescent="0.3">
      <c r="A189" s="181"/>
      <c r="B189" s="212"/>
      <c r="C189" s="212"/>
      <c r="D189" s="212"/>
      <c r="E189" s="212"/>
      <c r="F189" s="212"/>
      <c r="G189" s="212"/>
      <c r="H189" s="212"/>
      <c r="I189" s="212"/>
      <c r="J189" s="212"/>
      <c r="K189" s="212"/>
      <c r="L189" s="212"/>
      <c r="M189" s="212"/>
      <c r="N189" s="212"/>
      <c r="O189" s="212"/>
      <c r="P189" s="212"/>
      <c r="Q189" s="212"/>
      <c r="R189" s="212"/>
      <c r="S189" s="212"/>
      <c r="T189" s="212"/>
      <c r="U189" s="212"/>
      <c r="V189" s="344"/>
      <c r="W189" s="212"/>
      <c r="X189" s="5"/>
    </row>
    <row r="190" spans="1:24" ht="15.75" x14ac:dyDescent="0.25">
      <c r="A190" s="179"/>
      <c r="B190" s="180"/>
      <c r="C190" s="180"/>
      <c r="D190" s="180"/>
      <c r="E190" s="180"/>
      <c r="F190" s="180"/>
      <c r="G190" s="180"/>
      <c r="H190" s="180"/>
      <c r="I190" s="180"/>
      <c r="J190" s="180"/>
      <c r="K190" s="180"/>
      <c r="L190" s="180"/>
      <c r="M190" s="180"/>
      <c r="N190" s="180"/>
      <c r="O190" s="180"/>
      <c r="P190" s="180"/>
      <c r="Q190" s="180"/>
      <c r="R190" s="180"/>
      <c r="S190" s="180"/>
      <c r="T190" s="180"/>
      <c r="U190" s="180"/>
      <c r="V190" s="201"/>
      <c r="W190" s="180"/>
      <c r="X190" s="5"/>
    </row>
    <row r="191" spans="1:24" ht="15.75" x14ac:dyDescent="0.25">
      <c r="A191" s="181"/>
      <c r="B191" s="531" t="s">
        <v>65</v>
      </c>
      <c r="C191" s="183"/>
      <c r="D191" s="183"/>
      <c r="E191" s="183"/>
      <c r="F191" s="183"/>
      <c r="G191" s="183"/>
      <c r="H191" s="183"/>
      <c r="I191" s="183"/>
      <c r="J191" s="183"/>
      <c r="K191" s="183"/>
      <c r="L191" s="183"/>
      <c r="M191" s="183"/>
      <c r="N191" s="183"/>
      <c r="O191" s="183"/>
      <c r="P191" s="183"/>
      <c r="Q191" s="183"/>
      <c r="R191" s="183"/>
      <c r="S191" s="183"/>
      <c r="T191" s="183"/>
      <c r="U191" s="183"/>
      <c r="V191" s="217"/>
      <c r="W191" s="183"/>
      <c r="X191" s="5"/>
    </row>
    <row r="192" spans="1:24" s="420" customFormat="1" ht="15.75" x14ac:dyDescent="0.25">
      <c r="A192" s="428"/>
      <c r="B192" s="429" t="s">
        <v>66</v>
      </c>
      <c r="C192" s="429"/>
      <c r="D192" s="429"/>
      <c r="E192" s="429"/>
      <c r="F192" s="429"/>
      <c r="G192" s="429"/>
      <c r="H192" s="429"/>
      <c r="I192" s="429"/>
      <c r="J192" s="429"/>
      <c r="K192" s="429"/>
      <c r="L192" s="429"/>
      <c r="M192" s="429"/>
      <c r="N192" s="429"/>
      <c r="O192" s="429"/>
      <c r="P192" s="429"/>
      <c r="Q192" s="429"/>
      <c r="R192" s="429"/>
      <c r="S192" s="429"/>
      <c r="T192" s="429"/>
      <c r="U192" s="429"/>
      <c r="V192" s="481">
        <f>(V101+V103+V104+V105+V106)/-(V107+V108)</f>
        <v>4.2818489289740702</v>
      </c>
      <c r="W192" s="432" t="s">
        <v>115</v>
      </c>
      <c r="X192" s="419"/>
    </row>
    <row r="193" spans="1:24" s="420" customFormat="1" ht="15.75" x14ac:dyDescent="0.25">
      <c r="A193" s="428"/>
      <c r="B193" s="429" t="s">
        <v>67</v>
      </c>
      <c r="C193" s="429"/>
      <c r="D193" s="429"/>
      <c r="E193" s="429"/>
      <c r="F193" s="429"/>
      <c r="G193" s="429"/>
      <c r="H193" s="429"/>
      <c r="I193" s="429"/>
      <c r="J193" s="429"/>
      <c r="K193" s="429"/>
      <c r="L193" s="429"/>
      <c r="M193" s="429"/>
      <c r="N193" s="429"/>
      <c r="O193" s="429"/>
      <c r="P193" s="429"/>
      <c r="Q193" s="429"/>
      <c r="R193" s="429"/>
      <c r="S193" s="429"/>
      <c r="T193" s="429"/>
      <c r="U193" s="429"/>
      <c r="V193" s="483">
        <v>2.1800000000000002</v>
      </c>
      <c r="W193" s="432" t="s">
        <v>115</v>
      </c>
      <c r="X193" s="419"/>
    </row>
    <row r="194" spans="1:24" s="420" customFormat="1" ht="15.75" x14ac:dyDescent="0.25">
      <c r="A194" s="428"/>
      <c r="B194" s="429" t="s">
        <v>68</v>
      </c>
      <c r="C194" s="429"/>
      <c r="D194" s="429"/>
      <c r="E194" s="429"/>
      <c r="F194" s="429"/>
      <c r="G194" s="429"/>
      <c r="H194" s="429"/>
      <c r="I194" s="429"/>
      <c r="J194" s="429"/>
      <c r="K194" s="429"/>
      <c r="L194" s="429"/>
      <c r="M194" s="429"/>
      <c r="N194" s="429"/>
      <c r="O194" s="429"/>
      <c r="P194" s="429"/>
      <c r="Q194" s="429"/>
      <c r="R194" s="429"/>
      <c r="S194" s="429"/>
      <c r="T194" s="429"/>
      <c r="U194" s="429"/>
      <c r="V194" s="481">
        <f>(V101+V103+V104+V105+V106+V107+V108)/-(V109+V110)</f>
        <v>14.131067961165048</v>
      </c>
      <c r="W194" s="432" t="s">
        <v>115</v>
      </c>
      <c r="X194" s="419"/>
    </row>
    <row r="195" spans="1:24" s="420" customFormat="1" ht="15.75" x14ac:dyDescent="0.25">
      <c r="A195" s="428"/>
      <c r="B195" s="429" t="s">
        <v>69</v>
      </c>
      <c r="C195" s="429"/>
      <c r="D195" s="429"/>
      <c r="E195" s="429"/>
      <c r="F195" s="429"/>
      <c r="G195" s="429"/>
      <c r="H195" s="429"/>
      <c r="I195" s="429"/>
      <c r="J195" s="429"/>
      <c r="K195" s="429"/>
      <c r="L195" s="429"/>
      <c r="M195" s="429"/>
      <c r="N195" s="429"/>
      <c r="O195" s="429"/>
      <c r="P195" s="429"/>
      <c r="Q195" s="429"/>
      <c r="R195" s="429"/>
      <c r="S195" s="429"/>
      <c r="T195" s="429"/>
      <c r="U195" s="429"/>
      <c r="V195" s="483">
        <v>9.9600000000000009</v>
      </c>
      <c r="W195" s="432" t="s">
        <v>115</v>
      </c>
      <c r="X195" s="419"/>
    </row>
    <row r="196" spans="1:24" s="420" customFormat="1" ht="15.75" x14ac:dyDescent="0.25">
      <c r="A196" s="428"/>
      <c r="B196" s="429" t="s">
        <v>198</v>
      </c>
      <c r="C196" s="429"/>
      <c r="D196" s="429"/>
      <c r="E196" s="429"/>
      <c r="F196" s="429"/>
      <c r="G196" s="429"/>
      <c r="H196" s="429"/>
      <c r="I196" s="429"/>
      <c r="J196" s="429"/>
      <c r="K196" s="429"/>
      <c r="L196" s="429"/>
      <c r="M196" s="429"/>
      <c r="N196" s="429"/>
      <c r="O196" s="429"/>
      <c r="P196" s="429"/>
      <c r="Q196" s="429"/>
      <c r="R196" s="429"/>
      <c r="S196" s="429"/>
      <c r="T196" s="429"/>
      <c r="U196" s="429"/>
      <c r="V196" s="481">
        <f>(V101+V103+V104+V105+V106+V107+V108+V109+V110)/-(V111)</f>
        <v>8.3746130030959751</v>
      </c>
      <c r="W196" s="432" t="s">
        <v>115</v>
      </c>
      <c r="X196" s="419"/>
    </row>
    <row r="197" spans="1:24" s="420" customFormat="1" ht="15.75" x14ac:dyDescent="0.25">
      <c r="A197" s="428"/>
      <c r="B197" s="429" t="s">
        <v>199</v>
      </c>
      <c r="C197" s="429"/>
      <c r="D197" s="429"/>
      <c r="E197" s="429"/>
      <c r="F197" s="429"/>
      <c r="G197" s="429"/>
      <c r="H197" s="429"/>
      <c r="I197" s="429"/>
      <c r="J197" s="429"/>
      <c r="K197" s="429"/>
      <c r="L197" s="429"/>
      <c r="M197" s="429"/>
      <c r="N197" s="429"/>
      <c r="O197" s="429"/>
      <c r="P197" s="429"/>
      <c r="Q197" s="429"/>
      <c r="R197" s="429"/>
      <c r="S197" s="429"/>
      <c r="T197" s="429"/>
      <c r="U197" s="429"/>
      <c r="V197" s="483">
        <v>7.13</v>
      </c>
      <c r="W197" s="432" t="s">
        <v>115</v>
      </c>
      <c r="X197" s="419"/>
    </row>
    <row r="198" spans="1:24" s="420" customFormat="1" ht="15.75" x14ac:dyDescent="0.25">
      <c r="A198" s="428"/>
      <c r="B198" s="429"/>
      <c r="C198" s="429"/>
      <c r="D198" s="429"/>
      <c r="E198" s="429"/>
      <c r="F198" s="429"/>
      <c r="G198" s="429"/>
      <c r="H198" s="429"/>
      <c r="I198" s="429"/>
      <c r="J198" s="429"/>
      <c r="K198" s="429"/>
      <c r="L198" s="429"/>
      <c r="M198" s="429"/>
      <c r="N198" s="429"/>
      <c r="O198" s="429"/>
      <c r="P198" s="429"/>
      <c r="Q198" s="429"/>
      <c r="R198" s="429"/>
      <c r="S198" s="429"/>
      <c r="T198" s="429"/>
      <c r="U198" s="429"/>
      <c r="V198" s="429"/>
      <c r="W198" s="432"/>
      <c r="X198" s="419"/>
    </row>
    <row r="199" spans="1:24" s="420" customFormat="1" ht="15.75" x14ac:dyDescent="0.25">
      <c r="A199" s="416"/>
      <c r="B199" s="462"/>
      <c r="C199" s="462"/>
      <c r="D199" s="462"/>
      <c r="E199" s="462"/>
      <c r="F199" s="462"/>
      <c r="G199" s="462"/>
      <c r="H199" s="462"/>
      <c r="I199" s="462"/>
      <c r="J199" s="462"/>
      <c r="K199" s="462"/>
      <c r="L199" s="462"/>
      <c r="M199" s="462"/>
      <c r="N199" s="462"/>
      <c r="O199" s="462"/>
      <c r="P199" s="462"/>
      <c r="Q199" s="462"/>
      <c r="R199" s="462"/>
      <c r="S199" s="462"/>
      <c r="T199" s="462"/>
      <c r="U199" s="462"/>
      <c r="V199" s="462"/>
      <c r="W199" s="462"/>
      <c r="X199" s="419"/>
    </row>
    <row r="200" spans="1:24" s="420" customFormat="1" ht="15.75" x14ac:dyDescent="0.25">
      <c r="A200" s="416"/>
      <c r="B200" s="417"/>
      <c r="C200" s="417"/>
      <c r="D200" s="417"/>
      <c r="E200" s="417"/>
      <c r="F200" s="417"/>
      <c r="G200" s="417"/>
      <c r="H200" s="417"/>
      <c r="I200" s="417"/>
      <c r="J200" s="417"/>
      <c r="K200" s="417"/>
      <c r="L200" s="417"/>
      <c r="M200" s="417"/>
      <c r="N200" s="417"/>
      <c r="O200" s="417"/>
      <c r="P200" s="417"/>
      <c r="Q200" s="417"/>
      <c r="R200" s="417"/>
      <c r="S200" s="417"/>
      <c r="T200" s="417"/>
      <c r="U200" s="417"/>
      <c r="V200" s="417"/>
      <c r="W200" s="417"/>
      <c r="X200" s="419"/>
    </row>
    <row r="201" spans="1:24" s="420" customFormat="1" ht="19.5" thickBot="1" x14ac:dyDescent="0.35">
      <c r="A201" s="467"/>
      <c r="B201" s="468" t="str">
        <f>B135</f>
        <v>PM15 INVESTOR REPORT QUARTER ENDING FEBRUARY 2018</v>
      </c>
      <c r="C201" s="484"/>
      <c r="D201" s="484"/>
      <c r="E201" s="484"/>
      <c r="F201" s="484"/>
      <c r="G201" s="484"/>
      <c r="H201" s="484"/>
      <c r="I201" s="484"/>
      <c r="J201" s="484"/>
      <c r="K201" s="484"/>
      <c r="L201" s="484"/>
      <c r="M201" s="484"/>
      <c r="N201" s="484"/>
      <c r="O201" s="484"/>
      <c r="P201" s="484"/>
      <c r="Q201" s="484"/>
      <c r="R201" s="484"/>
      <c r="S201" s="484"/>
      <c r="T201" s="484"/>
      <c r="U201" s="484"/>
      <c r="V201" s="484"/>
      <c r="W201" s="485"/>
      <c r="X201" s="419"/>
    </row>
    <row r="202" spans="1:24" ht="15.75" x14ac:dyDescent="0.25">
      <c r="A202" s="551"/>
      <c r="B202" s="552" t="s">
        <v>70</v>
      </c>
      <c r="C202" s="555"/>
      <c r="D202" s="555"/>
      <c r="E202" s="555"/>
      <c r="F202" s="555"/>
      <c r="G202" s="556"/>
      <c r="H202" s="556"/>
      <c r="I202" s="556"/>
      <c r="J202" s="556"/>
      <c r="K202" s="556"/>
      <c r="L202" s="556"/>
      <c r="M202" s="556"/>
      <c r="N202" s="556"/>
      <c r="O202" s="556"/>
      <c r="P202" s="556"/>
      <c r="Q202" s="556"/>
      <c r="R202" s="556"/>
      <c r="S202" s="556"/>
      <c r="T202" s="556">
        <v>43159</v>
      </c>
      <c r="U202" s="553"/>
      <c r="V202" s="553"/>
      <c r="W202" s="553"/>
      <c r="X202" s="5"/>
    </row>
    <row r="203" spans="1:24" ht="15.75" x14ac:dyDescent="0.25">
      <c r="A203" s="218"/>
      <c r="B203" s="219"/>
      <c r="C203" s="220"/>
      <c r="D203" s="220"/>
      <c r="E203" s="220"/>
      <c r="F203" s="220"/>
      <c r="G203" s="221"/>
      <c r="H203" s="221"/>
      <c r="I203" s="221"/>
      <c r="J203" s="221"/>
      <c r="K203" s="221"/>
      <c r="L203" s="221"/>
      <c r="M203" s="221"/>
      <c r="N203" s="221"/>
      <c r="O203" s="221"/>
      <c r="P203" s="221"/>
      <c r="Q203" s="221"/>
      <c r="R203" s="221"/>
      <c r="S203" s="221"/>
      <c r="T203" s="221"/>
      <c r="U203" s="183"/>
      <c r="V203" s="183"/>
      <c r="W203" s="183"/>
      <c r="X203" s="5"/>
    </row>
    <row r="204" spans="1:24" s="420" customFormat="1" ht="15.75" x14ac:dyDescent="0.25">
      <c r="A204" s="428"/>
      <c r="B204" s="429" t="s">
        <v>71</v>
      </c>
      <c r="C204" s="486"/>
      <c r="D204" s="486"/>
      <c r="E204" s="486"/>
      <c r="F204" s="486"/>
      <c r="G204" s="456"/>
      <c r="H204" s="456"/>
      <c r="I204" s="456"/>
      <c r="J204" s="456"/>
      <c r="K204" s="456"/>
      <c r="L204" s="456"/>
      <c r="M204" s="456"/>
      <c r="N204" s="456"/>
      <c r="O204" s="456"/>
      <c r="P204" s="456"/>
      <c r="Q204" s="456"/>
      <c r="R204" s="456"/>
      <c r="S204" s="456"/>
      <c r="T204" s="449">
        <v>5.3830000000000003E-2</v>
      </c>
      <c r="U204" s="429"/>
      <c r="V204" s="429"/>
      <c r="W204" s="432"/>
      <c r="X204" s="419"/>
    </row>
    <row r="205" spans="1:24" s="420" customFormat="1" ht="15.75" x14ac:dyDescent="0.25">
      <c r="A205" s="428"/>
      <c r="B205" s="429" t="s">
        <v>151</v>
      </c>
      <c r="C205" s="486"/>
      <c r="D205" s="486"/>
      <c r="E205" s="486"/>
      <c r="F205" s="486"/>
      <c r="G205" s="456"/>
      <c r="H205" s="456"/>
      <c r="I205" s="456"/>
      <c r="J205" s="456"/>
      <c r="K205" s="456"/>
      <c r="L205" s="456"/>
      <c r="M205" s="456"/>
      <c r="N205" s="456"/>
      <c r="O205" s="456"/>
      <c r="P205" s="456"/>
      <c r="Q205" s="456"/>
      <c r="R205" s="456"/>
      <c r="S205" s="456"/>
      <c r="T205" s="449">
        <v>6.25E-2</v>
      </c>
      <c r="U205" s="429"/>
      <c r="V205" s="429"/>
      <c r="W205" s="432"/>
      <c r="X205" s="419"/>
    </row>
    <row r="206" spans="1:24" s="420" customFormat="1" ht="15.75" x14ac:dyDescent="0.25">
      <c r="A206" s="428"/>
      <c r="B206" s="429" t="s">
        <v>72</v>
      </c>
      <c r="C206" s="486"/>
      <c r="D206" s="486"/>
      <c r="E206" s="486"/>
      <c r="F206" s="486"/>
      <c r="G206" s="456"/>
      <c r="H206" s="456"/>
      <c r="I206" s="456"/>
      <c r="J206" s="456"/>
      <c r="K206" s="456"/>
      <c r="L206" s="456"/>
      <c r="M206" s="456"/>
      <c r="N206" s="456"/>
      <c r="O206" s="456"/>
      <c r="P206" s="456"/>
      <c r="Q206" s="456"/>
      <c r="R206" s="456"/>
      <c r="S206" s="456"/>
      <c r="T206" s="449">
        <f>T204-T205</f>
        <v>-8.6699999999999972E-3</v>
      </c>
      <c r="U206" s="429"/>
      <c r="V206" s="429"/>
      <c r="W206" s="432"/>
      <c r="X206" s="419"/>
    </row>
    <row r="207" spans="1:24" s="420" customFormat="1" ht="15.75" x14ac:dyDescent="0.25">
      <c r="A207" s="428"/>
      <c r="B207" s="429" t="s">
        <v>73</v>
      </c>
      <c r="C207" s="486"/>
      <c r="D207" s="486"/>
      <c r="E207" s="486"/>
      <c r="F207" s="486"/>
      <c r="G207" s="456"/>
      <c r="H207" s="456"/>
      <c r="I207" s="456"/>
      <c r="J207" s="456"/>
      <c r="K207" s="456"/>
      <c r="L207" s="456"/>
      <c r="M207" s="456"/>
      <c r="N207" s="456"/>
      <c r="O207" s="456"/>
      <c r="P207" s="456"/>
      <c r="Q207" s="456"/>
      <c r="R207" s="456"/>
      <c r="S207" s="456"/>
      <c r="T207" s="449">
        <v>2.537E-2</v>
      </c>
      <c r="U207" s="429"/>
      <c r="V207" s="429"/>
      <c r="W207" s="432"/>
      <c r="X207" s="419"/>
    </row>
    <row r="208" spans="1:24" s="420" customFormat="1" ht="15.75" x14ac:dyDescent="0.25">
      <c r="A208" s="428"/>
      <c r="B208" s="429" t="s">
        <v>218</v>
      </c>
      <c r="C208" s="486"/>
      <c r="D208" s="486"/>
      <c r="E208" s="486"/>
      <c r="F208" s="486"/>
      <c r="G208" s="456"/>
      <c r="H208" s="456"/>
      <c r="I208" s="456"/>
      <c r="J208" s="456"/>
      <c r="K208" s="456"/>
      <c r="L208" s="456"/>
      <c r="M208" s="456"/>
      <c r="N208" s="456"/>
      <c r="O208" s="456"/>
      <c r="P208" s="456"/>
      <c r="Q208" s="456"/>
      <c r="R208" s="456"/>
      <c r="S208" s="456"/>
      <c r="T208" s="449">
        <f>V43</f>
        <v>9.0639703832995407E-3</v>
      </c>
      <c r="U208" s="429"/>
      <c r="V208" s="429"/>
      <c r="W208" s="432"/>
      <c r="X208" s="419"/>
    </row>
    <row r="209" spans="1:24" s="420" customFormat="1" ht="15.75" x14ac:dyDescent="0.25">
      <c r="A209" s="428"/>
      <c r="B209" s="429" t="s">
        <v>74</v>
      </c>
      <c r="C209" s="486"/>
      <c r="D209" s="486"/>
      <c r="E209" s="486"/>
      <c r="F209" s="486"/>
      <c r="G209" s="456"/>
      <c r="H209" s="456"/>
      <c r="I209" s="456"/>
      <c r="J209" s="456"/>
      <c r="K209" s="456"/>
      <c r="L209" s="456"/>
      <c r="M209" s="456"/>
      <c r="N209" s="456"/>
      <c r="O209" s="456"/>
      <c r="P209" s="456"/>
      <c r="Q209" s="456"/>
      <c r="R209" s="456"/>
      <c r="S209" s="456"/>
      <c r="T209" s="449">
        <f>T207-T208</f>
        <v>1.6306029616700461E-2</v>
      </c>
      <c r="U209" s="429"/>
      <c r="V209" s="429"/>
      <c r="W209" s="432"/>
      <c r="X209" s="419"/>
    </row>
    <row r="210" spans="1:24" s="420" customFormat="1" ht="15.75" x14ac:dyDescent="0.25">
      <c r="A210" s="428"/>
      <c r="B210" s="429" t="s">
        <v>227</v>
      </c>
      <c r="C210" s="486"/>
      <c r="D210" s="486"/>
      <c r="E210" s="486"/>
      <c r="F210" s="486"/>
      <c r="G210" s="456"/>
      <c r="H210" s="456"/>
      <c r="I210" s="456"/>
      <c r="J210" s="456"/>
      <c r="K210" s="456"/>
      <c r="L210" s="456"/>
      <c r="M210" s="456"/>
      <c r="N210" s="456"/>
      <c r="O210" s="456"/>
      <c r="P210" s="456"/>
      <c r="Q210" s="456"/>
      <c r="R210" s="456"/>
      <c r="S210" s="456"/>
      <c r="T210" s="449">
        <f>V101/N71</f>
        <v>6.5279735345599062E-3</v>
      </c>
      <c r="U210" s="429"/>
      <c r="V210" s="429"/>
      <c r="W210" s="432"/>
      <c r="X210" s="419"/>
    </row>
    <row r="211" spans="1:24" s="420" customFormat="1" ht="15.75" x14ac:dyDescent="0.25">
      <c r="A211" s="428"/>
      <c r="B211" s="429" t="s">
        <v>207</v>
      </c>
      <c r="C211" s="486"/>
      <c r="D211" s="486"/>
      <c r="E211" s="486"/>
      <c r="F211" s="486"/>
      <c r="G211" s="456"/>
      <c r="H211" s="456"/>
      <c r="I211" s="456"/>
      <c r="J211" s="456"/>
      <c r="K211" s="456"/>
      <c r="L211" s="456"/>
      <c r="M211" s="456"/>
      <c r="N211" s="456"/>
      <c r="O211" s="456"/>
      <c r="P211" s="456"/>
      <c r="Q211" s="456"/>
      <c r="R211" s="456"/>
      <c r="S211" s="456"/>
      <c r="T211" s="487">
        <v>51105</v>
      </c>
      <c r="U211" s="429"/>
      <c r="V211" s="429"/>
      <c r="W211" s="432"/>
      <c r="X211" s="419"/>
    </row>
    <row r="212" spans="1:24" s="420" customFormat="1" ht="15.75" x14ac:dyDescent="0.25">
      <c r="A212" s="428"/>
      <c r="B212" s="429" t="s">
        <v>208</v>
      </c>
      <c r="C212" s="486"/>
      <c r="D212" s="486"/>
      <c r="E212" s="486"/>
      <c r="F212" s="486"/>
      <c r="G212" s="456"/>
      <c r="H212" s="456"/>
      <c r="I212" s="456"/>
      <c r="J212" s="456"/>
      <c r="K212" s="456"/>
      <c r="L212" s="456"/>
      <c r="M212" s="456"/>
      <c r="N212" s="456"/>
      <c r="O212" s="456"/>
      <c r="P212" s="456"/>
      <c r="Q212" s="456"/>
      <c r="R212" s="456"/>
      <c r="S212" s="456"/>
      <c r="T212" s="487">
        <v>51105</v>
      </c>
      <c r="U212" s="429"/>
      <c r="V212" s="429"/>
      <c r="W212" s="432"/>
      <c r="X212" s="419"/>
    </row>
    <row r="213" spans="1:24" s="420" customFormat="1" ht="15.75" x14ac:dyDescent="0.25">
      <c r="A213" s="428"/>
      <c r="B213" s="429" t="s">
        <v>209</v>
      </c>
      <c r="C213" s="486"/>
      <c r="D213" s="486"/>
      <c r="E213" s="486"/>
      <c r="F213" s="486"/>
      <c r="G213" s="456"/>
      <c r="H213" s="456"/>
      <c r="I213" s="456"/>
      <c r="J213" s="456"/>
      <c r="K213" s="456"/>
      <c r="L213" s="456"/>
      <c r="M213" s="456"/>
      <c r="N213" s="456"/>
      <c r="O213" s="456"/>
      <c r="P213" s="456"/>
      <c r="Q213" s="456"/>
      <c r="R213" s="456"/>
      <c r="S213" s="456"/>
      <c r="T213" s="487">
        <v>51105</v>
      </c>
      <c r="U213" s="429"/>
      <c r="V213" s="429"/>
      <c r="W213" s="432"/>
      <c r="X213" s="419"/>
    </row>
    <row r="214" spans="1:24" s="420" customFormat="1" ht="15.75" x14ac:dyDescent="0.25">
      <c r="A214" s="428"/>
      <c r="B214" s="429" t="s">
        <v>75</v>
      </c>
      <c r="C214" s="486"/>
      <c r="D214" s="486"/>
      <c r="E214" s="486"/>
      <c r="F214" s="486"/>
      <c r="G214" s="456"/>
      <c r="H214" s="456"/>
      <c r="I214" s="456"/>
      <c r="J214" s="456"/>
      <c r="K214" s="456"/>
      <c r="L214" s="456"/>
      <c r="M214" s="456"/>
      <c r="N214" s="456"/>
      <c r="O214" s="456"/>
      <c r="P214" s="456"/>
      <c r="Q214" s="456"/>
      <c r="R214" s="456"/>
      <c r="S214" s="456"/>
      <c r="T214" s="454">
        <v>21.06</v>
      </c>
      <c r="U214" s="429" t="s">
        <v>110</v>
      </c>
      <c r="V214" s="429"/>
      <c r="W214" s="432"/>
      <c r="X214" s="419"/>
    </row>
    <row r="215" spans="1:24" s="420" customFormat="1" ht="15.75" x14ac:dyDescent="0.25">
      <c r="A215" s="428"/>
      <c r="B215" s="429" t="s">
        <v>76</v>
      </c>
      <c r="C215" s="486"/>
      <c r="D215" s="486"/>
      <c r="E215" s="486"/>
      <c r="F215" s="486"/>
      <c r="G215" s="456"/>
      <c r="H215" s="456"/>
      <c r="I215" s="456"/>
      <c r="J215" s="456"/>
      <c r="K215" s="456"/>
      <c r="L215" s="456"/>
      <c r="M215" s="456"/>
      <c r="N215" s="456"/>
      <c r="O215" s="456"/>
      <c r="P215" s="456"/>
      <c r="Q215" s="456"/>
      <c r="R215" s="456"/>
      <c r="S215" s="456"/>
      <c r="T215" s="454">
        <v>11.26</v>
      </c>
      <c r="U215" s="429" t="s">
        <v>110</v>
      </c>
      <c r="V215" s="429"/>
      <c r="W215" s="432"/>
      <c r="X215" s="419"/>
    </row>
    <row r="216" spans="1:24" s="420" customFormat="1" ht="15.75" x14ac:dyDescent="0.25">
      <c r="A216" s="428"/>
      <c r="B216" s="429" t="s">
        <v>77</v>
      </c>
      <c r="C216" s="486"/>
      <c r="D216" s="486"/>
      <c r="E216" s="486"/>
      <c r="F216" s="486"/>
      <c r="G216" s="456"/>
      <c r="H216" s="456"/>
      <c r="I216" s="456"/>
      <c r="J216" s="456"/>
      <c r="K216" s="456"/>
      <c r="L216" s="456"/>
      <c r="M216" s="456"/>
      <c r="N216" s="456"/>
      <c r="O216" s="456"/>
      <c r="P216" s="456"/>
      <c r="Q216" s="456"/>
      <c r="R216" s="456"/>
      <c r="S216" s="456"/>
      <c r="T216" s="449">
        <f>+P68/N68</f>
        <v>1.4061343379930901E-2</v>
      </c>
      <c r="U216" s="429"/>
      <c r="V216" s="429"/>
      <c r="W216" s="432"/>
      <c r="X216" s="419"/>
    </row>
    <row r="217" spans="1:24" s="420" customFormat="1" ht="15.75" x14ac:dyDescent="0.25">
      <c r="A217" s="428"/>
      <c r="B217" s="429" t="s">
        <v>78</v>
      </c>
      <c r="C217" s="486"/>
      <c r="D217" s="486"/>
      <c r="E217" s="486"/>
      <c r="F217" s="486"/>
      <c r="G217" s="456"/>
      <c r="H217" s="456"/>
      <c r="I217" s="456"/>
      <c r="J217" s="456"/>
      <c r="K217" s="456"/>
      <c r="L217" s="456"/>
      <c r="M217" s="456"/>
      <c r="N217" s="456"/>
      <c r="O217" s="456"/>
      <c r="P217" s="456"/>
      <c r="Q217" s="456"/>
      <c r="R217" s="456"/>
      <c r="S217" s="456"/>
      <c r="T217" s="449">
        <v>4.4900000000000002E-2</v>
      </c>
      <c r="U217" s="429"/>
      <c r="V217" s="429"/>
      <c r="W217" s="432"/>
      <c r="X217" s="419"/>
    </row>
    <row r="218" spans="1:24" ht="15.75" x14ac:dyDescent="0.25">
      <c r="A218" s="218"/>
      <c r="B218" s="348"/>
      <c r="C218" s="348"/>
      <c r="D218" s="348"/>
      <c r="E218" s="348"/>
      <c r="F218" s="348"/>
      <c r="G218" s="212"/>
      <c r="H218" s="212"/>
      <c r="I218" s="212"/>
      <c r="J218" s="212"/>
      <c r="K218" s="212"/>
      <c r="L218" s="212"/>
      <c r="M218" s="212"/>
      <c r="N218" s="212"/>
      <c r="O218" s="212"/>
      <c r="P218" s="212"/>
      <c r="Q218" s="212"/>
      <c r="R218" s="212"/>
      <c r="S218" s="212"/>
      <c r="T218" s="344"/>
      <c r="U218" s="212"/>
      <c r="V218" s="349"/>
      <c r="W218" s="212"/>
      <c r="X218" s="5"/>
    </row>
    <row r="219" spans="1:24" ht="15.75" x14ac:dyDescent="0.25">
      <c r="A219" s="557"/>
      <c r="B219" s="547" t="s">
        <v>79</v>
      </c>
      <c r="C219" s="548"/>
      <c r="D219" s="548"/>
      <c r="E219" s="548"/>
      <c r="F219" s="563"/>
      <c r="G219" s="548"/>
      <c r="H219" s="548"/>
      <c r="I219" s="548"/>
      <c r="J219" s="548"/>
      <c r="K219" s="548"/>
      <c r="L219" s="548"/>
      <c r="M219" s="548"/>
      <c r="N219" s="548"/>
      <c r="O219" s="548"/>
      <c r="P219" s="548"/>
      <c r="Q219" s="548"/>
      <c r="R219" s="548"/>
      <c r="S219" s="548" t="s">
        <v>102</v>
      </c>
      <c r="T219" s="563" t="s">
        <v>108</v>
      </c>
      <c r="U219" s="540"/>
      <c r="V219" s="540"/>
      <c r="W219" s="544"/>
      <c r="X219" s="5"/>
    </row>
    <row r="220" spans="1:24" s="420" customFormat="1" ht="15.75" x14ac:dyDescent="0.25">
      <c r="A220" s="558"/>
      <c r="B220" s="462" t="s">
        <v>80</v>
      </c>
      <c r="C220" s="478"/>
      <c r="D220" s="478"/>
      <c r="E220" s="478"/>
      <c r="F220" s="462"/>
      <c r="G220" s="462"/>
      <c r="H220" s="559"/>
      <c r="I220" s="559"/>
      <c r="J220" s="559"/>
      <c r="K220" s="559"/>
      <c r="L220" s="559"/>
      <c r="M220" s="559"/>
      <c r="N220" s="559"/>
      <c r="O220" s="559"/>
      <c r="P220" s="559"/>
      <c r="Q220" s="559"/>
      <c r="R220" s="559"/>
      <c r="S220" s="559">
        <v>3</v>
      </c>
      <c r="T220" s="560">
        <v>799</v>
      </c>
      <c r="U220" s="462"/>
      <c r="V220" s="561"/>
      <c r="W220" s="562"/>
      <c r="X220" s="419"/>
    </row>
    <row r="221" spans="1:24" s="420" customFormat="1" ht="15.75" x14ac:dyDescent="0.25">
      <c r="A221" s="488"/>
      <c r="B221" s="429" t="s">
        <v>145</v>
      </c>
      <c r="C221" s="472"/>
      <c r="D221" s="472"/>
      <c r="E221" s="472"/>
      <c r="F221" s="429"/>
      <c r="G221" s="429"/>
      <c r="H221" s="436"/>
      <c r="I221" s="436"/>
      <c r="J221" s="436"/>
      <c r="K221" s="436"/>
      <c r="L221" s="436"/>
      <c r="M221" s="436"/>
      <c r="N221" s="436"/>
      <c r="O221" s="436"/>
      <c r="P221" s="436"/>
      <c r="Q221" s="436"/>
      <c r="R221" s="436"/>
      <c r="S221" s="489">
        <f>+R273</f>
        <v>65</v>
      </c>
      <c r="T221" s="490">
        <f>+T273</f>
        <v>9050</v>
      </c>
      <c r="U221" s="429"/>
      <c r="V221" s="491"/>
      <c r="W221" s="492"/>
      <c r="X221" s="419"/>
    </row>
    <row r="222" spans="1:24" s="420" customFormat="1" ht="15.75" x14ac:dyDescent="0.25">
      <c r="A222" s="488"/>
      <c r="B222" s="429" t="s">
        <v>81</v>
      </c>
      <c r="C222" s="472"/>
      <c r="D222" s="472"/>
      <c r="E222" s="472"/>
      <c r="F222" s="429"/>
      <c r="G222" s="429"/>
      <c r="H222" s="436"/>
      <c r="I222" s="436"/>
      <c r="J222" s="436"/>
      <c r="K222" s="436"/>
      <c r="L222" s="436"/>
      <c r="M222" s="436"/>
      <c r="N222" s="436"/>
      <c r="O222" s="436"/>
      <c r="P222" s="436"/>
      <c r="Q222" s="436"/>
      <c r="R222" s="436"/>
      <c r="S222" s="489">
        <f>+R285</f>
        <v>1</v>
      </c>
      <c r="T222" s="490">
        <f>+T285</f>
        <v>60</v>
      </c>
      <c r="U222" s="429"/>
      <c r="V222" s="491"/>
      <c r="W222" s="492"/>
      <c r="X222" s="419"/>
    </row>
    <row r="223" spans="1:24" ht="15.75" x14ac:dyDescent="0.25">
      <c r="A223" s="358"/>
      <c r="B223" s="515" t="s">
        <v>82</v>
      </c>
      <c r="C223" s="363"/>
      <c r="D223" s="363"/>
      <c r="E223" s="363"/>
      <c r="F223" s="314"/>
      <c r="G223" s="314"/>
      <c r="H223" s="314"/>
      <c r="I223" s="314"/>
      <c r="J223" s="314"/>
      <c r="K223" s="314"/>
      <c r="L223" s="314"/>
      <c r="M223" s="314"/>
      <c r="N223" s="314"/>
      <c r="O223" s="314"/>
      <c r="P223" s="314"/>
      <c r="Q223" s="314"/>
      <c r="R223" s="314"/>
      <c r="S223" s="286"/>
      <c r="T223" s="490">
        <v>0</v>
      </c>
      <c r="U223" s="314"/>
      <c r="V223" s="364"/>
      <c r="W223" s="362"/>
      <c r="X223" s="5"/>
    </row>
    <row r="224" spans="1:24" ht="15.75" x14ac:dyDescent="0.25">
      <c r="A224" s="358"/>
      <c r="B224" s="515" t="s">
        <v>228</v>
      </c>
      <c r="C224" s="363"/>
      <c r="D224" s="363"/>
      <c r="E224" s="363"/>
      <c r="F224" s="314"/>
      <c r="G224" s="314"/>
      <c r="H224" s="314"/>
      <c r="I224" s="314"/>
      <c r="J224" s="314"/>
      <c r="K224" s="314"/>
      <c r="L224" s="314"/>
      <c r="M224" s="314"/>
      <c r="N224" s="314"/>
      <c r="O224" s="314"/>
      <c r="P224" s="314"/>
      <c r="Q224" s="314"/>
      <c r="R224" s="314"/>
      <c r="S224" s="286"/>
      <c r="T224" s="490">
        <f>+N81</f>
        <v>0</v>
      </c>
      <c r="U224" s="314"/>
      <c r="V224" s="364"/>
      <c r="W224" s="362"/>
      <c r="X224" s="5"/>
    </row>
    <row r="225" spans="1:24" ht="15.75" x14ac:dyDescent="0.25">
      <c r="A225" s="365"/>
      <c r="B225" s="515" t="s">
        <v>83</v>
      </c>
      <c r="C225" s="366"/>
      <c r="D225" s="366"/>
      <c r="E225" s="366"/>
      <c r="F225" s="366"/>
      <c r="G225" s="314"/>
      <c r="H225" s="314"/>
      <c r="I225" s="314"/>
      <c r="J225" s="314"/>
      <c r="K225" s="314"/>
      <c r="L225" s="314"/>
      <c r="M225" s="314"/>
      <c r="N225" s="314"/>
      <c r="O225" s="314"/>
      <c r="P225" s="314"/>
      <c r="Q225" s="314"/>
      <c r="R225" s="314"/>
      <c r="S225" s="286"/>
      <c r="T225" s="360"/>
      <c r="U225" s="314"/>
      <c r="V225" s="364"/>
      <c r="W225" s="367"/>
      <c r="X225" s="5"/>
    </row>
    <row r="226" spans="1:24" s="420" customFormat="1" ht="15.75" x14ac:dyDescent="0.25">
      <c r="A226" s="493"/>
      <c r="B226" s="429" t="s">
        <v>84</v>
      </c>
      <c r="C226" s="429"/>
      <c r="D226" s="429"/>
      <c r="E226" s="429"/>
      <c r="F226" s="429"/>
      <c r="G226" s="429"/>
      <c r="H226" s="429"/>
      <c r="I226" s="429"/>
      <c r="J226" s="429"/>
      <c r="K226" s="429"/>
      <c r="L226" s="429"/>
      <c r="M226" s="429"/>
      <c r="N226" s="429"/>
      <c r="O226" s="429"/>
      <c r="P226" s="429"/>
      <c r="Q226" s="429"/>
      <c r="R226" s="429"/>
      <c r="S226" s="436"/>
      <c r="T226" s="490">
        <f>V164</f>
        <v>167</v>
      </c>
      <c r="U226" s="429"/>
      <c r="V226" s="491"/>
      <c r="W226" s="494"/>
      <c r="X226" s="419"/>
    </row>
    <row r="227" spans="1:24" s="420" customFormat="1" ht="15.75" x14ac:dyDescent="0.25">
      <c r="A227" s="488"/>
      <c r="B227" s="429" t="s">
        <v>85</v>
      </c>
      <c r="C227" s="472"/>
      <c r="D227" s="472"/>
      <c r="E227" s="472"/>
      <c r="F227" s="472"/>
      <c r="G227" s="429"/>
      <c r="H227" s="429"/>
      <c r="I227" s="429"/>
      <c r="J227" s="429"/>
      <c r="K227" s="429"/>
      <c r="L227" s="429"/>
      <c r="M227" s="429"/>
      <c r="N227" s="429"/>
      <c r="O227" s="429"/>
      <c r="P227" s="429"/>
      <c r="Q227" s="429"/>
      <c r="R227" s="429"/>
      <c r="S227" s="436"/>
      <c r="T227" s="490">
        <f>'Nov 17'!T227+T226</f>
        <v>8987</v>
      </c>
      <c r="U227" s="429"/>
      <c r="V227" s="491"/>
      <c r="W227" s="494"/>
      <c r="X227" s="419"/>
    </row>
    <row r="228" spans="1:24" ht="15.75" x14ac:dyDescent="0.25">
      <c r="A228" s="365"/>
      <c r="B228" s="515" t="s">
        <v>285</v>
      </c>
      <c r="C228" s="366"/>
      <c r="D228" s="366"/>
      <c r="E228" s="366"/>
      <c r="F228" s="366"/>
      <c r="G228" s="314"/>
      <c r="H228" s="314"/>
      <c r="I228" s="314"/>
      <c r="J228" s="314"/>
      <c r="K228" s="314"/>
      <c r="L228" s="314"/>
      <c r="M228" s="314"/>
      <c r="N228" s="314"/>
      <c r="O228" s="314"/>
      <c r="P228" s="314"/>
      <c r="Q228" s="314"/>
      <c r="R228" s="314"/>
      <c r="S228" s="296"/>
      <c r="T228" s="360"/>
      <c r="U228" s="314"/>
      <c r="V228" s="364"/>
      <c r="W228" s="367"/>
      <c r="X228" s="5"/>
    </row>
    <row r="229" spans="1:24" s="420" customFormat="1" ht="15.75" x14ac:dyDescent="0.25">
      <c r="A229" s="493"/>
      <c r="B229" s="429" t="s">
        <v>282</v>
      </c>
      <c r="C229" s="429"/>
      <c r="D229" s="429"/>
      <c r="E229" s="429"/>
      <c r="F229" s="429"/>
      <c r="G229" s="429"/>
      <c r="H229" s="429"/>
      <c r="I229" s="429"/>
      <c r="J229" s="429"/>
      <c r="K229" s="429"/>
      <c r="L229" s="429"/>
      <c r="M229" s="429"/>
      <c r="N229" s="429"/>
      <c r="O229" s="429"/>
      <c r="P229" s="429"/>
      <c r="Q229" s="429"/>
      <c r="R229" s="429"/>
      <c r="S229" s="436">
        <v>0</v>
      </c>
      <c r="T229" s="490">
        <v>0</v>
      </c>
      <c r="U229" s="429"/>
      <c r="V229" s="491"/>
      <c r="W229" s="494"/>
      <c r="X229" s="419"/>
    </row>
    <row r="230" spans="1:24" s="420" customFormat="1" ht="15.75" x14ac:dyDescent="0.25">
      <c r="A230" s="488"/>
      <c r="B230" s="429" t="s">
        <v>86</v>
      </c>
      <c r="C230" s="452"/>
      <c r="D230" s="452"/>
      <c r="E230" s="452"/>
      <c r="F230" s="495"/>
      <c r="G230" s="429"/>
      <c r="H230" s="429"/>
      <c r="I230" s="429"/>
      <c r="J230" s="429"/>
      <c r="K230" s="429"/>
      <c r="L230" s="429"/>
      <c r="M230" s="429"/>
      <c r="N230" s="429"/>
      <c r="O230" s="429"/>
      <c r="P230" s="429"/>
      <c r="Q230" s="429"/>
      <c r="R230" s="429"/>
      <c r="S230" s="429"/>
      <c r="T230" s="496">
        <v>0</v>
      </c>
      <c r="U230" s="429"/>
      <c r="V230" s="491"/>
      <c r="W230" s="494"/>
      <c r="X230" s="419"/>
    </row>
    <row r="231" spans="1:24" s="420" customFormat="1" ht="15.75" x14ac:dyDescent="0.25">
      <c r="A231" s="488"/>
      <c r="B231" s="429" t="s">
        <v>87</v>
      </c>
      <c r="C231" s="452"/>
      <c r="D231" s="452"/>
      <c r="E231" s="452"/>
      <c r="F231" s="495"/>
      <c r="G231" s="429"/>
      <c r="H231" s="429"/>
      <c r="I231" s="429"/>
      <c r="J231" s="429"/>
      <c r="K231" s="429"/>
      <c r="L231" s="429"/>
      <c r="M231" s="429"/>
      <c r="N231" s="429"/>
      <c r="O231" s="429"/>
      <c r="P231" s="429"/>
      <c r="Q231" s="429"/>
      <c r="R231" s="429"/>
      <c r="S231" s="429"/>
      <c r="T231" s="496">
        <v>0</v>
      </c>
      <c r="U231" s="429"/>
      <c r="V231" s="491"/>
      <c r="W231" s="494"/>
      <c r="X231" s="419"/>
    </row>
    <row r="232" spans="1:24" ht="15.75" x14ac:dyDescent="0.25">
      <c r="A232" s="358"/>
      <c r="B232" s="515" t="s">
        <v>216</v>
      </c>
      <c r="C232" s="368"/>
      <c r="D232" s="368"/>
      <c r="E232" s="368"/>
      <c r="F232" s="369"/>
      <c r="G232" s="314"/>
      <c r="H232" s="314"/>
      <c r="I232" s="314"/>
      <c r="J232" s="314"/>
      <c r="K232" s="314"/>
      <c r="L232" s="314"/>
      <c r="M232" s="314"/>
      <c r="N232" s="314"/>
      <c r="O232" s="314"/>
      <c r="P232" s="314"/>
      <c r="Q232" s="314"/>
      <c r="R232" s="314"/>
      <c r="S232" s="286"/>
      <c r="T232" s="371"/>
      <c r="U232" s="314"/>
      <c r="V232" s="364"/>
      <c r="W232" s="367"/>
      <c r="X232" s="5"/>
    </row>
    <row r="233" spans="1:24" s="420" customFormat="1" ht="15.75" x14ac:dyDescent="0.25">
      <c r="A233" s="488"/>
      <c r="B233" s="429" t="s">
        <v>282</v>
      </c>
      <c r="C233" s="452"/>
      <c r="D233" s="452"/>
      <c r="E233" s="452"/>
      <c r="F233" s="495"/>
      <c r="G233" s="429"/>
      <c r="H233" s="429"/>
      <c r="I233" s="429"/>
      <c r="J233" s="429"/>
      <c r="K233" s="429"/>
      <c r="L233" s="429"/>
      <c r="M233" s="429"/>
      <c r="N233" s="429"/>
      <c r="O233" s="429"/>
      <c r="P233" s="429"/>
      <c r="Q233" s="429"/>
      <c r="R233" s="429"/>
      <c r="S233" s="436">
        <v>5</v>
      </c>
      <c r="T233" s="490">
        <v>681</v>
      </c>
      <c r="U233" s="429"/>
      <c r="V233" s="491"/>
      <c r="W233" s="494"/>
      <c r="X233" s="419"/>
    </row>
    <row r="234" spans="1:24" s="420" customFormat="1" ht="15.75" x14ac:dyDescent="0.25">
      <c r="A234" s="488"/>
      <c r="B234" s="429" t="s">
        <v>217</v>
      </c>
      <c r="C234" s="452"/>
      <c r="D234" s="452"/>
      <c r="E234" s="452"/>
      <c r="F234" s="495"/>
      <c r="G234" s="429"/>
      <c r="H234" s="429"/>
      <c r="I234" s="429"/>
      <c r="J234" s="429"/>
      <c r="K234" s="429"/>
      <c r="L234" s="429"/>
      <c r="M234" s="429"/>
      <c r="N234" s="429"/>
      <c r="O234" s="429"/>
      <c r="P234" s="429"/>
      <c r="Q234" s="429"/>
      <c r="R234" s="429"/>
      <c r="S234" s="429"/>
      <c r="T234" s="496">
        <v>2.82</v>
      </c>
      <c r="U234" s="429"/>
      <c r="V234" s="491"/>
      <c r="W234" s="494"/>
      <c r="X234" s="419"/>
    </row>
    <row r="235" spans="1:24" ht="15.75" x14ac:dyDescent="0.25">
      <c r="A235" s="358"/>
      <c r="B235" s="366"/>
      <c r="C235" s="368"/>
      <c r="D235" s="368"/>
      <c r="E235" s="368"/>
      <c r="F235" s="369"/>
      <c r="G235" s="314"/>
      <c r="H235" s="314"/>
      <c r="I235" s="314"/>
      <c r="J235" s="314"/>
      <c r="K235" s="314"/>
      <c r="L235" s="314"/>
      <c r="M235" s="314"/>
      <c r="N235" s="314"/>
      <c r="O235" s="314"/>
      <c r="P235" s="314"/>
      <c r="Q235" s="314"/>
      <c r="R235" s="314"/>
      <c r="S235" s="286"/>
      <c r="T235" s="371"/>
      <c r="U235" s="314"/>
      <c r="V235" s="364"/>
      <c r="W235" s="367"/>
      <c r="X235" s="5"/>
    </row>
    <row r="236" spans="1:24" ht="15.75" x14ac:dyDescent="0.25">
      <c r="A236" s="358"/>
      <c r="B236" s="366"/>
      <c r="C236" s="368"/>
      <c r="D236" s="368"/>
      <c r="E236" s="368"/>
      <c r="F236" s="369"/>
      <c r="G236" s="314"/>
      <c r="H236" s="314"/>
      <c r="I236" s="314"/>
      <c r="J236" s="314"/>
      <c r="K236" s="314"/>
      <c r="L236" s="314"/>
      <c r="M236" s="314"/>
      <c r="N236" s="314"/>
      <c r="O236" s="314"/>
      <c r="P236" s="314"/>
      <c r="Q236" s="314"/>
      <c r="R236" s="314"/>
      <c r="S236" s="314"/>
      <c r="T236" s="372"/>
      <c r="U236" s="314"/>
      <c r="V236" s="364"/>
      <c r="W236" s="367"/>
      <c r="X236" s="5"/>
    </row>
    <row r="237" spans="1:24" ht="18.75" x14ac:dyDescent="0.3">
      <c r="A237" s="358"/>
      <c r="B237" s="534" t="s">
        <v>168</v>
      </c>
      <c r="C237" s="368"/>
      <c r="D237" s="368"/>
      <c r="E237" s="368"/>
      <c r="F237" s="369"/>
      <c r="G237" s="314"/>
      <c r="H237" s="314"/>
      <c r="I237" s="314"/>
      <c r="J237" s="314"/>
      <c r="K237" s="314"/>
      <c r="L237" s="314"/>
      <c r="M237" s="314"/>
      <c r="N237" s="314"/>
      <c r="O237" s="314"/>
      <c r="P237" s="535" t="s">
        <v>341</v>
      </c>
      <c r="Q237" s="314"/>
      <c r="R237" s="314"/>
      <c r="S237" s="314"/>
      <c r="T237" s="372"/>
      <c r="U237" s="314"/>
      <c r="V237" s="364"/>
      <c r="W237" s="367"/>
      <c r="X237" s="5"/>
    </row>
    <row r="238" spans="1:24" ht="15.75" x14ac:dyDescent="0.25">
      <c r="A238" s="353"/>
      <c r="B238" s="348"/>
      <c r="C238" s="354"/>
      <c r="D238" s="354"/>
      <c r="E238" s="354"/>
      <c r="F238" s="355"/>
      <c r="G238" s="212"/>
      <c r="H238" s="212"/>
      <c r="I238" s="212"/>
      <c r="J238" s="212"/>
      <c r="K238" s="212"/>
      <c r="L238" s="212"/>
      <c r="M238" s="212"/>
      <c r="N238" s="212"/>
      <c r="O238" s="212"/>
      <c r="P238" s="212"/>
      <c r="Q238" s="212"/>
      <c r="R238" s="212"/>
      <c r="S238" s="212"/>
      <c r="T238" s="356"/>
      <c r="U238" s="212"/>
      <c r="V238" s="349"/>
      <c r="W238" s="357"/>
      <c r="X238" s="5"/>
    </row>
    <row r="239" spans="1:24" ht="15.75" x14ac:dyDescent="0.25">
      <c r="A239" s="536"/>
      <c r="B239" s="547" t="s">
        <v>297</v>
      </c>
      <c r="C239" s="548"/>
      <c r="D239" s="548"/>
      <c r="E239" s="548"/>
      <c r="F239" s="563"/>
      <c r="G239" s="548"/>
      <c r="H239" s="548"/>
      <c r="I239" s="548"/>
      <c r="J239" s="548"/>
      <c r="K239" s="548"/>
      <c r="L239" s="548"/>
      <c r="M239" s="548"/>
      <c r="N239" s="548"/>
      <c r="O239" s="548"/>
      <c r="P239" s="548"/>
      <c r="Q239" s="548"/>
      <c r="R239" s="563" t="s">
        <v>102</v>
      </c>
      <c r="S239" s="548" t="s">
        <v>103</v>
      </c>
      <c r="T239" s="563" t="s">
        <v>109</v>
      </c>
      <c r="U239" s="548" t="s">
        <v>103</v>
      </c>
      <c r="V239" s="540"/>
      <c r="W239" s="566"/>
      <c r="X239" s="5"/>
    </row>
    <row r="240" spans="1:24" s="420" customFormat="1" ht="15.75" x14ac:dyDescent="0.25">
      <c r="A240" s="416"/>
      <c r="B240" s="478" t="s">
        <v>88</v>
      </c>
      <c r="C240" s="564"/>
      <c r="D240" s="564"/>
      <c r="E240" s="564"/>
      <c r="F240" s="462"/>
      <c r="G240" s="564"/>
      <c r="H240" s="564"/>
      <c r="I240" s="564"/>
      <c r="J240" s="564"/>
      <c r="K240" s="564"/>
      <c r="L240" s="564"/>
      <c r="M240" s="564"/>
      <c r="N240" s="564"/>
      <c r="O240" s="564"/>
      <c r="P240" s="564"/>
      <c r="Q240" s="564"/>
      <c r="R240" s="478">
        <f t="shared" ref="R240:R247" si="1">+R252+R264+R276</f>
        <v>4536</v>
      </c>
      <c r="S240" s="500">
        <f t="shared" ref="S240:S247" si="2">R240/$R$249</f>
        <v>0.99648506151142358</v>
      </c>
      <c r="T240" s="499">
        <f t="shared" ref="T240:T247" si="3">+T252+T264+T276</f>
        <v>622957</v>
      </c>
      <c r="U240" s="500">
        <f t="shared" ref="U240:U247" si="4">T240/$T$249</f>
        <v>0.99678542512712687</v>
      </c>
      <c r="V240" s="561"/>
      <c r="W240" s="565"/>
      <c r="X240" s="419"/>
    </row>
    <row r="241" spans="1:25" s="420" customFormat="1" ht="15.75" x14ac:dyDescent="0.25">
      <c r="A241" s="428"/>
      <c r="B241" s="472" t="s">
        <v>89</v>
      </c>
      <c r="C241" s="497"/>
      <c r="D241" s="497"/>
      <c r="E241" s="497"/>
      <c r="F241" s="429"/>
      <c r="G241" s="498"/>
      <c r="H241" s="497"/>
      <c r="I241" s="497"/>
      <c r="J241" s="497"/>
      <c r="K241" s="497"/>
      <c r="L241" s="497"/>
      <c r="M241" s="497"/>
      <c r="N241" s="497"/>
      <c r="O241" s="497"/>
      <c r="P241" s="497"/>
      <c r="Q241" s="497"/>
      <c r="R241" s="472">
        <f t="shared" si="1"/>
        <v>10</v>
      </c>
      <c r="S241" s="498">
        <f t="shared" si="2"/>
        <v>2.1968365553602814E-3</v>
      </c>
      <c r="T241" s="473">
        <f t="shared" si="3"/>
        <v>889</v>
      </c>
      <c r="U241" s="498">
        <f t="shared" si="4"/>
        <v>1.4224773827696228E-3</v>
      </c>
      <c r="V241" s="491"/>
      <c r="W241" s="494"/>
      <c r="X241" s="419"/>
      <c r="Y241" s="477"/>
    </row>
    <row r="242" spans="1:25" s="420" customFormat="1" ht="15.75" x14ac:dyDescent="0.25">
      <c r="A242" s="428"/>
      <c r="B242" s="472" t="s">
        <v>90</v>
      </c>
      <c r="C242" s="497"/>
      <c r="D242" s="497"/>
      <c r="E242" s="497"/>
      <c r="F242" s="429"/>
      <c r="G242" s="498"/>
      <c r="H242" s="497"/>
      <c r="I242" s="497"/>
      <c r="J242" s="497"/>
      <c r="K242" s="497"/>
      <c r="L242" s="497"/>
      <c r="M242" s="497"/>
      <c r="N242" s="497"/>
      <c r="O242" s="497"/>
      <c r="P242" s="497"/>
      <c r="Q242" s="497"/>
      <c r="R242" s="472">
        <f t="shared" si="1"/>
        <v>1</v>
      </c>
      <c r="S242" s="498">
        <f t="shared" si="2"/>
        <v>2.1968365553602811E-4</v>
      </c>
      <c r="T242" s="473">
        <f t="shared" si="3"/>
        <v>89</v>
      </c>
      <c r="U242" s="498">
        <f t="shared" si="4"/>
        <v>1.4240774698143579E-4</v>
      </c>
      <c r="V242" s="491"/>
      <c r="W242" s="494"/>
      <c r="X242" s="419"/>
    </row>
    <row r="243" spans="1:25" s="420" customFormat="1" ht="15.75" x14ac:dyDescent="0.25">
      <c r="A243" s="428"/>
      <c r="B243" s="472" t="s">
        <v>156</v>
      </c>
      <c r="C243" s="497"/>
      <c r="D243" s="497"/>
      <c r="E243" s="497"/>
      <c r="F243" s="429"/>
      <c r="G243" s="498"/>
      <c r="H243" s="497"/>
      <c r="I243" s="497"/>
      <c r="J243" s="497"/>
      <c r="K243" s="497"/>
      <c r="L243" s="497"/>
      <c r="M243" s="497"/>
      <c r="N243" s="497"/>
      <c r="O243" s="497"/>
      <c r="P243" s="497"/>
      <c r="Q243" s="497"/>
      <c r="R243" s="472">
        <f t="shared" si="1"/>
        <v>1</v>
      </c>
      <c r="S243" s="498">
        <f t="shared" si="2"/>
        <v>2.1968365553602811E-4</v>
      </c>
      <c r="T243" s="473">
        <f t="shared" si="3"/>
        <v>95</v>
      </c>
      <c r="U243" s="498">
        <f t="shared" si="4"/>
        <v>1.5200826924984719E-4</v>
      </c>
      <c r="V243" s="491"/>
      <c r="W243" s="494"/>
      <c r="X243" s="419"/>
      <c r="Y243" s="477"/>
    </row>
    <row r="244" spans="1:25" s="420" customFormat="1" ht="15.75" x14ac:dyDescent="0.25">
      <c r="A244" s="428"/>
      <c r="B244" s="472" t="s">
        <v>157</v>
      </c>
      <c r="C244" s="497"/>
      <c r="D244" s="497"/>
      <c r="E244" s="497"/>
      <c r="F244" s="429"/>
      <c r="G244" s="498"/>
      <c r="H244" s="497"/>
      <c r="I244" s="497"/>
      <c r="J244" s="497"/>
      <c r="K244" s="497"/>
      <c r="L244" s="497"/>
      <c r="M244" s="497"/>
      <c r="N244" s="497"/>
      <c r="O244" s="497"/>
      <c r="P244" s="497"/>
      <c r="Q244" s="497"/>
      <c r="R244" s="472">
        <f t="shared" si="1"/>
        <v>2</v>
      </c>
      <c r="S244" s="498">
        <f t="shared" si="2"/>
        <v>4.3936731107205621E-4</v>
      </c>
      <c r="T244" s="473">
        <f t="shared" si="3"/>
        <v>244</v>
      </c>
      <c r="U244" s="498">
        <f t="shared" si="4"/>
        <v>3.9042123891539702E-4</v>
      </c>
      <c r="V244" s="491"/>
      <c r="W244" s="494"/>
      <c r="X244" s="419"/>
    </row>
    <row r="245" spans="1:25" s="420" customFormat="1" ht="15.75" x14ac:dyDescent="0.25">
      <c r="A245" s="428"/>
      <c r="B245" s="472" t="s">
        <v>158</v>
      </c>
      <c r="C245" s="497"/>
      <c r="D245" s="497"/>
      <c r="E245" s="497"/>
      <c r="F245" s="429"/>
      <c r="G245" s="498"/>
      <c r="H245" s="497"/>
      <c r="I245" s="497"/>
      <c r="J245" s="497"/>
      <c r="K245" s="497"/>
      <c r="L245" s="497"/>
      <c r="M245" s="497"/>
      <c r="N245" s="497"/>
      <c r="O245" s="497"/>
      <c r="P245" s="497"/>
      <c r="Q245" s="497"/>
      <c r="R245" s="472">
        <f t="shared" si="1"/>
        <v>0</v>
      </c>
      <c r="S245" s="498">
        <f t="shared" si="2"/>
        <v>0</v>
      </c>
      <c r="T245" s="473">
        <f t="shared" si="3"/>
        <v>0</v>
      </c>
      <c r="U245" s="498">
        <f t="shared" si="4"/>
        <v>0</v>
      </c>
      <c r="V245" s="491"/>
      <c r="W245" s="494"/>
      <c r="X245" s="419"/>
      <c r="Y245" s="477"/>
    </row>
    <row r="246" spans="1:25" s="420" customFormat="1" ht="15.75" x14ac:dyDescent="0.25">
      <c r="A246" s="428"/>
      <c r="B246" s="472" t="s">
        <v>159</v>
      </c>
      <c r="C246" s="497"/>
      <c r="D246" s="497"/>
      <c r="E246" s="497"/>
      <c r="F246" s="429"/>
      <c r="G246" s="498"/>
      <c r="H246" s="497"/>
      <c r="I246" s="497"/>
      <c r="J246" s="497"/>
      <c r="K246" s="497"/>
      <c r="L246" s="497"/>
      <c r="M246" s="497"/>
      <c r="N246" s="497"/>
      <c r="O246" s="497"/>
      <c r="P246" s="497"/>
      <c r="Q246" s="497"/>
      <c r="R246" s="472">
        <f t="shared" si="1"/>
        <v>2</v>
      </c>
      <c r="S246" s="498">
        <f t="shared" si="2"/>
        <v>4.3936731107205621E-4</v>
      </c>
      <c r="T246" s="473">
        <f t="shared" si="3"/>
        <v>692</v>
      </c>
      <c r="U246" s="498">
        <f t="shared" si="4"/>
        <v>1.1072602349567816E-3</v>
      </c>
      <c r="V246" s="491"/>
      <c r="W246" s="494"/>
      <c r="X246" s="419"/>
    </row>
    <row r="247" spans="1:25" s="420" customFormat="1" ht="15.75" x14ac:dyDescent="0.25">
      <c r="A247" s="428"/>
      <c r="B247" s="472" t="s">
        <v>160</v>
      </c>
      <c r="C247" s="497"/>
      <c r="D247" s="497"/>
      <c r="E247" s="497"/>
      <c r="F247" s="429"/>
      <c r="G247" s="498"/>
      <c r="H247" s="497"/>
      <c r="I247" s="497"/>
      <c r="J247" s="497"/>
      <c r="K247" s="497"/>
      <c r="L247" s="497"/>
      <c r="M247" s="497"/>
      <c r="N247" s="497"/>
      <c r="O247" s="497"/>
      <c r="P247" s="497"/>
      <c r="Q247" s="497"/>
      <c r="R247" s="478">
        <f t="shared" si="1"/>
        <v>0</v>
      </c>
      <c r="S247" s="498">
        <f t="shared" si="2"/>
        <v>0</v>
      </c>
      <c r="T247" s="499">
        <f t="shared" si="3"/>
        <v>0</v>
      </c>
      <c r="U247" s="500">
        <f t="shared" si="4"/>
        <v>0</v>
      </c>
      <c r="V247" s="491"/>
      <c r="W247" s="494"/>
      <c r="X247" s="419"/>
      <c r="Y247" s="477"/>
    </row>
    <row r="248" spans="1:25" s="420" customFormat="1" ht="15.75" x14ac:dyDescent="0.25">
      <c r="A248" s="428"/>
      <c r="B248" s="472"/>
      <c r="C248" s="497"/>
      <c r="D248" s="497"/>
      <c r="E248" s="497"/>
      <c r="F248" s="429"/>
      <c r="G248" s="498"/>
      <c r="H248" s="497"/>
      <c r="I248" s="497"/>
      <c r="J248" s="497"/>
      <c r="K248" s="497"/>
      <c r="L248" s="497"/>
      <c r="M248" s="497"/>
      <c r="N248" s="497"/>
      <c r="O248" s="497"/>
      <c r="P248" s="497"/>
      <c r="Q248" s="497"/>
      <c r="R248" s="472"/>
      <c r="S248" s="498"/>
      <c r="T248" s="473"/>
      <c r="U248" s="498"/>
      <c r="V248" s="491"/>
      <c r="W248" s="494"/>
      <c r="X248" s="419"/>
    </row>
    <row r="249" spans="1:25" s="420" customFormat="1" ht="15.75" x14ac:dyDescent="0.25">
      <c r="A249" s="428"/>
      <c r="B249" s="429"/>
      <c r="C249" s="429"/>
      <c r="D249" s="429"/>
      <c r="E249" s="429"/>
      <c r="F249" s="429"/>
      <c r="G249" s="429"/>
      <c r="H249" s="501"/>
      <c r="I249" s="501"/>
      <c r="J249" s="501"/>
      <c r="K249" s="501"/>
      <c r="L249" s="501"/>
      <c r="M249" s="501"/>
      <c r="N249" s="501"/>
      <c r="O249" s="501"/>
      <c r="P249" s="501"/>
      <c r="Q249" s="501"/>
      <c r="R249" s="472">
        <f>SUM(R240:R248)</f>
        <v>4552</v>
      </c>
      <c r="S249" s="498">
        <f>SUM(S240:S248)</f>
        <v>1</v>
      </c>
      <c r="T249" s="473">
        <f>SUM(T240:T248)</f>
        <v>624966</v>
      </c>
      <c r="U249" s="498">
        <f>SUM(U240:U248)</f>
        <v>1</v>
      </c>
      <c r="V249" s="429"/>
      <c r="W249" s="432"/>
      <c r="X249" s="419"/>
    </row>
    <row r="250" spans="1:25" ht="15.75" x14ac:dyDescent="0.25">
      <c r="A250" s="181"/>
      <c r="B250" s="212"/>
      <c r="C250" s="212"/>
      <c r="D250" s="212"/>
      <c r="E250" s="212"/>
      <c r="F250" s="212"/>
      <c r="G250" s="212"/>
      <c r="H250" s="375"/>
      <c r="I250" s="375"/>
      <c r="J250" s="375"/>
      <c r="K250" s="375"/>
      <c r="L250" s="375"/>
      <c r="M250" s="375"/>
      <c r="N250" s="375"/>
      <c r="O250" s="375"/>
      <c r="P250" s="375"/>
      <c r="Q250" s="375"/>
      <c r="R250" s="335"/>
      <c r="S250" s="376"/>
      <c r="T250" s="377"/>
      <c r="U250" s="376"/>
      <c r="V250" s="212"/>
      <c r="W250" s="212"/>
      <c r="X250" s="5"/>
    </row>
    <row r="251" spans="1:25" ht="15.75" x14ac:dyDescent="0.25">
      <c r="A251" s="536"/>
      <c r="B251" s="547" t="s">
        <v>162</v>
      </c>
      <c r="C251" s="548"/>
      <c r="D251" s="548"/>
      <c r="E251" s="548"/>
      <c r="F251" s="563"/>
      <c r="G251" s="548"/>
      <c r="H251" s="548"/>
      <c r="I251" s="548"/>
      <c r="J251" s="548"/>
      <c r="K251" s="548"/>
      <c r="L251" s="548"/>
      <c r="M251" s="548"/>
      <c r="N251" s="548"/>
      <c r="O251" s="548"/>
      <c r="P251" s="548"/>
      <c r="Q251" s="548"/>
      <c r="R251" s="563" t="s">
        <v>102</v>
      </c>
      <c r="S251" s="548" t="s">
        <v>103</v>
      </c>
      <c r="T251" s="563" t="s">
        <v>109</v>
      </c>
      <c r="U251" s="548" t="s">
        <v>103</v>
      </c>
      <c r="V251" s="540"/>
      <c r="W251" s="566"/>
      <c r="X251" s="5"/>
    </row>
    <row r="252" spans="1:25" s="420" customFormat="1" ht="15.75" x14ac:dyDescent="0.25">
      <c r="A252" s="416"/>
      <c r="B252" s="478" t="s">
        <v>88</v>
      </c>
      <c r="C252" s="564"/>
      <c r="D252" s="564"/>
      <c r="E252" s="564"/>
      <c r="F252" s="462"/>
      <c r="G252" s="564"/>
      <c r="H252" s="564"/>
      <c r="I252" s="564"/>
      <c r="J252" s="564"/>
      <c r="K252" s="564"/>
      <c r="L252" s="564"/>
      <c r="M252" s="564"/>
      <c r="N252" s="564"/>
      <c r="O252" s="564"/>
      <c r="P252" s="564"/>
      <c r="Q252" s="564"/>
      <c r="R252" s="478">
        <v>4477</v>
      </c>
      <c r="S252" s="500">
        <f>R252/$R$261</f>
        <v>0.99799375835934012</v>
      </c>
      <c r="T252" s="499">
        <v>615013</v>
      </c>
      <c r="U252" s="500">
        <f t="shared" ref="U252:U259" si="5">T252/$T$261</f>
        <v>0.99863117352108288</v>
      </c>
      <c r="V252" s="561"/>
      <c r="W252" s="565"/>
      <c r="X252" s="419"/>
    </row>
    <row r="253" spans="1:25" s="420" customFormat="1" ht="15.75" x14ac:dyDescent="0.25">
      <c r="A253" s="428"/>
      <c r="B253" s="472" t="s">
        <v>89</v>
      </c>
      <c r="C253" s="497"/>
      <c r="D253" s="497"/>
      <c r="E253" s="497"/>
      <c r="F253" s="429"/>
      <c r="G253" s="498"/>
      <c r="H253" s="497"/>
      <c r="I253" s="497"/>
      <c r="J253" s="497"/>
      <c r="K253" s="497"/>
      <c r="L253" s="497"/>
      <c r="M253" s="497"/>
      <c r="N253" s="497"/>
      <c r="O253" s="497"/>
      <c r="P253" s="497"/>
      <c r="Q253" s="497"/>
      <c r="R253" s="472">
        <v>8</v>
      </c>
      <c r="S253" s="498">
        <f t="shared" ref="S253:S259" si="6">R253/$R$261</f>
        <v>1.7833259028087382E-3</v>
      </c>
      <c r="T253" s="473">
        <v>754</v>
      </c>
      <c r="U253" s="498">
        <f t="shared" si="5"/>
        <v>1.2243121768725157E-3</v>
      </c>
      <c r="V253" s="491"/>
      <c r="W253" s="494"/>
      <c r="X253" s="419"/>
      <c r="Y253" s="477"/>
    </row>
    <row r="254" spans="1:25" s="420" customFormat="1" ht="15.75" x14ac:dyDescent="0.25">
      <c r="A254" s="428"/>
      <c r="B254" s="472" t="s">
        <v>90</v>
      </c>
      <c r="C254" s="497"/>
      <c r="D254" s="497"/>
      <c r="E254" s="497"/>
      <c r="F254" s="429"/>
      <c r="G254" s="498"/>
      <c r="H254" s="497"/>
      <c r="I254" s="497"/>
      <c r="J254" s="497"/>
      <c r="K254" s="497"/>
      <c r="L254" s="497"/>
      <c r="M254" s="497"/>
      <c r="N254" s="497"/>
      <c r="O254" s="497"/>
      <c r="P254" s="497"/>
      <c r="Q254" s="497"/>
      <c r="R254" s="472">
        <v>1</v>
      </c>
      <c r="S254" s="498">
        <f t="shared" si="6"/>
        <v>2.2291573785109228E-4</v>
      </c>
      <c r="T254" s="473">
        <v>89</v>
      </c>
      <c r="U254" s="498">
        <f t="shared" si="5"/>
        <v>1.4451430204463382E-4</v>
      </c>
      <c r="V254" s="491"/>
      <c r="W254" s="494"/>
      <c r="X254" s="419"/>
    </row>
    <row r="255" spans="1:25" s="420" customFormat="1" ht="15.75" x14ac:dyDescent="0.25">
      <c r="A255" s="428"/>
      <c r="B255" s="472" t="s">
        <v>156</v>
      </c>
      <c r="C255" s="497"/>
      <c r="D255" s="497"/>
      <c r="E255" s="497"/>
      <c r="F255" s="429"/>
      <c r="G255" s="498"/>
      <c r="H255" s="497"/>
      <c r="I255" s="497"/>
      <c r="J255" s="497"/>
      <c r="K255" s="497"/>
      <c r="L255" s="497"/>
      <c r="M255" s="497"/>
      <c r="N255" s="497"/>
      <c r="O255" s="497"/>
      <c r="P255" s="497"/>
      <c r="Q255" s="497"/>
      <c r="R255" s="472">
        <v>0</v>
      </c>
      <c r="S255" s="498">
        <f t="shared" si="6"/>
        <v>0</v>
      </c>
      <c r="T255" s="473">
        <v>0</v>
      </c>
      <c r="U255" s="498">
        <f t="shared" si="5"/>
        <v>0</v>
      </c>
      <c r="V255" s="491"/>
      <c r="W255" s="494"/>
      <c r="X255" s="419"/>
      <c r="Y255" s="477"/>
    </row>
    <row r="256" spans="1:25" s="420" customFormat="1" ht="15.75" x14ac:dyDescent="0.25">
      <c r="A256" s="428"/>
      <c r="B256" s="472" t="s">
        <v>157</v>
      </c>
      <c r="C256" s="497"/>
      <c r="D256" s="497"/>
      <c r="E256" s="497"/>
      <c r="F256" s="429"/>
      <c r="G256" s="498"/>
      <c r="H256" s="497"/>
      <c r="I256" s="497"/>
      <c r="J256" s="497"/>
      <c r="K256" s="497"/>
      <c r="L256" s="497"/>
      <c r="M256" s="497"/>
      <c r="N256" s="497"/>
      <c r="O256" s="497"/>
      <c r="P256" s="497"/>
      <c r="Q256" s="497"/>
      <c r="R256" s="472">
        <v>0</v>
      </c>
      <c r="S256" s="498">
        <f t="shared" si="6"/>
        <v>0</v>
      </c>
      <c r="T256" s="473">
        <v>0</v>
      </c>
      <c r="U256" s="498">
        <f t="shared" si="5"/>
        <v>0</v>
      </c>
      <c r="V256" s="491"/>
      <c r="W256" s="494"/>
      <c r="X256" s="419"/>
    </row>
    <row r="257" spans="1:25" s="420" customFormat="1" ht="15.75" x14ac:dyDescent="0.25">
      <c r="A257" s="428"/>
      <c r="B257" s="472" t="s">
        <v>158</v>
      </c>
      <c r="C257" s="497"/>
      <c r="D257" s="497"/>
      <c r="E257" s="497"/>
      <c r="F257" s="429"/>
      <c r="G257" s="498"/>
      <c r="H257" s="497"/>
      <c r="I257" s="497"/>
      <c r="J257" s="497"/>
      <c r="K257" s="497"/>
      <c r="L257" s="497"/>
      <c r="M257" s="497"/>
      <c r="N257" s="497"/>
      <c r="O257" s="497"/>
      <c r="P257" s="497"/>
      <c r="Q257" s="497"/>
      <c r="R257" s="472">
        <v>0</v>
      </c>
      <c r="S257" s="498">
        <f t="shared" si="6"/>
        <v>0</v>
      </c>
      <c r="T257" s="473">
        <v>0</v>
      </c>
      <c r="U257" s="498">
        <f t="shared" si="5"/>
        <v>0</v>
      </c>
      <c r="V257" s="491"/>
      <c r="W257" s="494"/>
      <c r="X257" s="419"/>
      <c r="Y257" s="477"/>
    </row>
    <row r="258" spans="1:25" s="420" customFormat="1" ht="15.75" x14ac:dyDescent="0.25">
      <c r="A258" s="428"/>
      <c r="B258" s="472" t="s">
        <v>159</v>
      </c>
      <c r="C258" s="497"/>
      <c r="D258" s="497"/>
      <c r="E258" s="497"/>
      <c r="F258" s="429"/>
      <c r="G258" s="498"/>
      <c r="H258" s="497"/>
      <c r="I258" s="497"/>
      <c r="J258" s="497"/>
      <c r="K258" s="497"/>
      <c r="L258" s="497"/>
      <c r="M258" s="497"/>
      <c r="N258" s="497"/>
      <c r="O258" s="497"/>
      <c r="P258" s="497"/>
      <c r="Q258" s="497"/>
      <c r="R258" s="472">
        <v>0</v>
      </c>
      <c r="S258" s="498">
        <f t="shared" si="6"/>
        <v>0</v>
      </c>
      <c r="T258" s="473">
        <v>0</v>
      </c>
      <c r="U258" s="498">
        <f t="shared" si="5"/>
        <v>0</v>
      </c>
      <c r="V258" s="491"/>
      <c r="W258" s="494"/>
      <c r="X258" s="419"/>
    </row>
    <row r="259" spans="1:25" s="420" customFormat="1" ht="15.75" x14ac:dyDescent="0.25">
      <c r="A259" s="428"/>
      <c r="B259" s="472" t="s">
        <v>160</v>
      </c>
      <c r="C259" s="497"/>
      <c r="D259" s="497"/>
      <c r="E259" s="497"/>
      <c r="F259" s="429"/>
      <c r="G259" s="498"/>
      <c r="H259" s="497"/>
      <c r="I259" s="497"/>
      <c r="J259" s="497"/>
      <c r="K259" s="497"/>
      <c r="L259" s="497"/>
      <c r="M259" s="497"/>
      <c r="N259" s="497"/>
      <c r="O259" s="497"/>
      <c r="P259" s="497"/>
      <c r="Q259" s="497"/>
      <c r="R259" s="472">
        <v>0</v>
      </c>
      <c r="S259" s="498">
        <f t="shared" si="6"/>
        <v>0</v>
      </c>
      <c r="T259" s="473">
        <v>0</v>
      </c>
      <c r="U259" s="498">
        <f t="shared" si="5"/>
        <v>0</v>
      </c>
      <c r="V259" s="491"/>
      <c r="W259" s="494"/>
      <c r="X259" s="419"/>
      <c r="Y259" s="477"/>
    </row>
    <row r="260" spans="1:25" s="420" customFormat="1" ht="15.75" x14ac:dyDescent="0.25">
      <c r="A260" s="428"/>
      <c r="B260" s="472"/>
      <c r="C260" s="497"/>
      <c r="D260" s="497"/>
      <c r="E260" s="497"/>
      <c r="F260" s="429"/>
      <c r="G260" s="498"/>
      <c r="H260" s="497"/>
      <c r="I260" s="497"/>
      <c r="J260" s="497"/>
      <c r="K260" s="497"/>
      <c r="L260" s="497"/>
      <c r="M260" s="497"/>
      <c r="N260" s="497"/>
      <c r="O260" s="497"/>
      <c r="P260" s="497"/>
      <c r="Q260" s="497"/>
      <c r="R260" s="472"/>
      <c r="S260" s="498"/>
      <c r="T260" s="473"/>
      <c r="U260" s="498"/>
      <c r="V260" s="491"/>
      <c r="W260" s="494"/>
      <c r="X260" s="419"/>
    </row>
    <row r="261" spans="1:25" s="420" customFormat="1" ht="15.75" x14ac:dyDescent="0.25">
      <c r="A261" s="428"/>
      <c r="B261" s="429"/>
      <c r="C261" s="429"/>
      <c r="D261" s="429"/>
      <c r="E261" s="429"/>
      <c r="F261" s="429"/>
      <c r="G261" s="429"/>
      <c r="H261" s="501"/>
      <c r="I261" s="501"/>
      <c r="J261" s="501"/>
      <c r="K261" s="501"/>
      <c r="L261" s="501"/>
      <c r="M261" s="501"/>
      <c r="N261" s="501"/>
      <c r="O261" s="501"/>
      <c r="P261" s="501"/>
      <c r="Q261" s="501"/>
      <c r="R261" s="472">
        <f>SUM(R252:R260)</f>
        <v>4486</v>
      </c>
      <c r="S261" s="498">
        <f>SUM(S252:S260)</f>
        <v>0.99999999999999989</v>
      </c>
      <c r="T261" s="473">
        <f>SUM(T252:T260)</f>
        <v>615856</v>
      </c>
      <c r="U261" s="498">
        <f>SUM(U252:U260)</f>
        <v>1</v>
      </c>
      <c r="V261" s="429"/>
      <c r="W261" s="432"/>
      <c r="X261" s="419"/>
    </row>
    <row r="262" spans="1:25" ht="15.75" x14ac:dyDescent="0.25">
      <c r="A262" s="181"/>
      <c r="B262" s="212"/>
      <c r="C262" s="212"/>
      <c r="D262" s="212"/>
      <c r="E262" s="212"/>
      <c r="F262" s="212"/>
      <c r="G262" s="212"/>
      <c r="H262" s="375"/>
      <c r="I262" s="375"/>
      <c r="J262" s="375"/>
      <c r="K262" s="375"/>
      <c r="L262" s="375"/>
      <c r="M262" s="375"/>
      <c r="N262" s="375"/>
      <c r="O262" s="375"/>
      <c r="P262" s="375"/>
      <c r="Q262" s="375"/>
      <c r="R262" s="335"/>
      <c r="S262" s="376"/>
      <c r="T262" s="377"/>
      <c r="U262" s="376"/>
      <c r="V262" s="212"/>
      <c r="W262" s="212"/>
      <c r="X262" s="5"/>
    </row>
    <row r="263" spans="1:25" ht="15.75" x14ac:dyDescent="0.25">
      <c r="A263" s="536"/>
      <c r="B263" s="547" t="s">
        <v>236</v>
      </c>
      <c r="C263" s="548"/>
      <c r="D263" s="548"/>
      <c r="E263" s="548"/>
      <c r="F263" s="563"/>
      <c r="G263" s="548"/>
      <c r="H263" s="548"/>
      <c r="I263" s="548"/>
      <c r="J263" s="548"/>
      <c r="K263" s="548"/>
      <c r="L263" s="548"/>
      <c r="M263" s="548"/>
      <c r="N263" s="548"/>
      <c r="O263" s="548"/>
      <c r="P263" s="548"/>
      <c r="Q263" s="548"/>
      <c r="R263" s="563" t="s">
        <v>102</v>
      </c>
      <c r="S263" s="548" t="s">
        <v>103</v>
      </c>
      <c r="T263" s="563" t="s">
        <v>109</v>
      </c>
      <c r="U263" s="548" t="s">
        <v>103</v>
      </c>
      <c r="V263" s="540"/>
      <c r="W263" s="544"/>
      <c r="X263" s="5"/>
    </row>
    <row r="264" spans="1:25" s="420" customFormat="1" ht="15.75" x14ac:dyDescent="0.25">
      <c r="A264" s="416"/>
      <c r="B264" s="478" t="s">
        <v>88</v>
      </c>
      <c r="C264" s="564"/>
      <c r="D264" s="564"/>
      <c r="E264" s="564"/>
      <c r="F264" s="462"/>
      <c r="G264" s="564"/>
      <c r="H264" s="564"/>
      <c r="I264" s="564"/>
      <c r="J264" s="564"/>
      <c r="K264" s="564"/>
      <c r="L264" s="564"/>
      <c r="M264" s="564"/>
      <c r="N264" s="564"/>
      <c r="O264" s="564"/>
      <c r="P264" s="564"/>
      <c r="Q264" s="564"/>
      <c r="R264" s="478">
        <v>59</v>
      </c>
      <c r="S264" s="500">
        <f t="shared" ref="S264:S270" si="7">R264/$R$273</f>
        <v>0.90769230769230769</v>
      </c>
      <c r="T264" s="499">
        <v>7944</v>
      </c>
      <c r="U264" s="500">
        <f t="shared" ref="U264:U271" si="8">T264/$T$273</f>
        <v>0.87779005524861875</v>
      </c>
      <c r="V264" s="462"/>
      <c r="W264" s="462"/>
      <c r="X264" s="419"/>
    </row>
    <row r="265" spans="1:25" s="420" customFormat="1" ht="15.75" x14ac:dyDescent="0.25">
      <c r="A265" s="428"/>
      <c r="B265" s="472" t="s">
        <v>89</v>
      </c>
      <c r="C265" s="497"/>
      <c r="D265" s="497"/>
      <c r="E265" s="497"/>
      <c r="F265" s="429"/>
      <c r="G265" s="498"/>
      <c r="H265" s="497"/>
      <c r="I265" s="497"/>
      <c r="J265" s="497"/>
      <c r="K265" s="497"/>
      <c r="L265" s="497"/>
      <c r="M265" s="497"/>
      <c r="N265" s="497"/>
      <c r="O265" s="497"/>
      <c r="P265" s="497"/>
      <c r="Q265" s="497"/>
      <c r="R265" s="472">
        <v>2</v>
      </c>
      <c r="S265" s="498">
        <f t="shared" si="7"/>
        <v>3.0769230769230771E-2</v>
      </c>
      <c r="T265" s="473">
        <v>135</v>
      </c>
      <c r="U265" s="498">
        <f t="shared" si="8"/>
        <v>1.4917127071823204E-2</v>
      </c>
      <c r="V265" s="429"/>
      <c r="W265" s="432"/>
      <c r="X265" s="419"/>
    </row>
    <row r="266" spans="1:25" s="420" customFormat="1" ht="15.75" x14ac:dyDescent="0.25">
      <c r="A266" s="428"/>
      <c r="B266" s="472" t="s">
        <v>90</v>
      </c>
      <c r="C266" s="497"/>
      <c r="D266" s="497"/>
      <c r="E266" s="497"/>
      <c r="F266" s="429"/>
      <c r="G266" s="498"/>
      <c r="H266" s="497"/>
      <c r="I266" s="497"/>
      <c r="J266" s="497"/>
      <c r="K266" s="497"/>
      <c r="L266" s="497"/>
      <c r="M266" s="497"/>
      <c r="N266" s="497"/>
      <c r="O266" s="497"/>
      <c r="P266" s="497"/>
      <c r="Q266" s="497"/>
      <c r="R266" s="472">
        <v>0</v>
      </c>
      <c r="S266" s="498">
        <f t="shared" si="7"/>
        <v>0</v>
      </c>
      <c r="T266" s="473">
        <v>0</v>
      </c>
      <c r="U266" s="498">
        <f t="shared" si="8"/>
        <v>0</v>
      </c>
      <c r="V266" s="429"/>
      <c r="W266" s="432"/>
      <c r="X266" s="419"/>
    </row>
    <row r="267" spans="1:25" s="420" customFormat="1" ht="15.75" x14ac:dyDescent="0.25">
      <c r="A267" s="428"/>
      <c r="B267" s="472" t="s">
        <v>156</v>
      </c>
      <c r="C267" s="497"/>
      <c r="D267" s="497"/>
      <c r="E267" s="497"/>
      <c r="F267" s="429"/>
      <c r="G267" s="498"/>
      <c r="H267" s="497"/>
      <c r="I267" s="497"/>
      <c r="J267" s="497"/>
      <c r="K267" s="497"/>
      <c r="L267" s="497"/>
      <c r="M267" s="497"/>
      <c r="N267" s="497"/>
      <c r="O267" s="497"/>
      <c r="P267" s="497"/>
      <c r="Q267" s="497"/>
      <c r="R267" s="472">
        <v>1</v>
      </c>
      <c r="S267" s="498">
        <f t="shared" si="7"/>
        <v>1.5384615384615385E-2</v>
      </c>
      <c r="T267" s="473">
        <v>95</v>
      </c>
      <c r="U267" s="498">
        <f t="shared" si="8"/>
        <v>1.0497237569060774E-2</v>
      </c>
      <c r="V267" s="429"/>
      <c r="W267" s="432"/>
      <c r="X267" s="419"/>
    </row>
    <row r="268" spans="1:25" s="420" customFormat="1" ht="15.75" x14ac:dyDescent="0.25">
      <c r="A268" s="428"/>
      <c r="B268" s="472" t="s">
        <v>157</v>
      </c>
      <c r="C268" s="497"/>
      <c r="D268" s="497"/>
      <c r="E268" s="497"/>
      <c r="F268" s="429"/>
      <c r="G268" s="498"/>
      <c r="H268" s="497"/>
      <c r="I268" s="497"/>
      <c r="J268" s="497"/>
      <c r="K268" s="497"/>
      <c r="L268" s="497"/>
      <c r="M268" s="497"/>
      <c r="N268" s="497"/>
      <c r="O268" s="497"/>
      <c r="P268" s="497"/>
      <c r="Q268" s="497"/>
      <c r="R268" s="472">
        <v>2</v>
      </c>
      <c r="S268" s="498">
        <f t="shared" si="7"/>
        <v>3.0769230769230771E-2</v>
      </c>
      <c r="T268" s="473">
        <v>244</v>
      </c>
      <c r="U268" s="498">
        <f t="shared" si="8"/>
        <v>2.696132596685083E-2</v>
      </c>
      <c r="V268" s="429"/>
      <c r="W268" s="432"/>
      <c r="X268" s="419"/>
    </row>
    <row r="269" spans="1:25" s="420" customFormat="1" ht="15.75" x14ac:dyDescent="0.25">
      <c r="A269" s="428"/>
      <c r="B269" s="472" t="s">
        <v>158</v>
      </c>
      <c r="C269" s="497"/>
      <c r="D269" s="497"/>
      <c r="E269" s="497"/>
      <c r="F269" s="429"/>
      <c r="G269" s="498"/>
      <c r="H269" s="497"/>
      <c r="I269" s="497"/>
      <c r="J269" s="497"/>
      <c r="K269" s="497"/>
      <c r="L269" s="497"/>
      <c r="M269" s="497"/>
      <c r="N269" s="497"/>
      <c r="O269" s="497"/>
      <c r="P269" s="497"/>
      <c r="Q269" s="497"/>
      <c r="R269" s="472">
        <v>0</v>
      </c>
      <c r="S269" s="498">
        <f t="shared" si="7"/>
        <v>0</v>
      </c>
      <c r="T269" s="473">
        <v>0</v>
      </c>
      <c r="U269" s="498">
        <f t="shared" si="8"/>
        <v>0</v>
      </c>
      <c r="V269" s="429"/>
      <c r="W269" s="432"/>
      <c r="X269" s="419"/>
    </row>
    <row r="270" spans="1:25" s="420" customFormat="1" ht="15.75" x14ac:dyDescent="0.25">
      <c r="A270" s="428"/>
      <c r="B270" s="472" t="s">
        <v>159</v>
      </c>
      <c r="C270" s="497"/>
      <c r="D270" s="497"/>
      <c r="E270" s="497"/>
      <c r="F270" s="429"/>
      <c r="G270" s="498"/>
      <c r="H270" s="497"/>
      <c r="I270" s="497"/>
      <c r="J270" s="497"/>
      <c r="K270" s="497"/>
      <c r="L270" s="497"/>
      <c r="M270" s="497"/>
      <c r="N270" s="497"/>
      <c r="O270" s="497"/>
      <c r="P270" s="497"/>
      <c r="Q270" s="497"/>
      <c r="R270" s="472">
        <v>1</v>
      </c>
      <c r="S270" s="498">
        <f t="shared" si="7"/>
        <v>1.5384615384615385E-2</v>
      </c>
      <c r="T270" s="473">
        <v>632</v>
      </c>
      <c r="U270" s="498">
        <f t="shared" si="8"/>
        <v>6.9834254143646413E-2</v>
      </c>
      <c r="V270" s="429"/>
      <c r="W270" s="432"/>
      <c r="X270" s="419"/>
    </row>
    <row r="271" spans="1:25" s="420" customFormat="1" ht="15.75" x14ac:dyDescent="0.25">
      <c r="A271" s="428"/>
      <c r="B271" s="472" t="s">
        <v>160</v>
      </c>
      <c r="C271" s="497"/>
      <c r="D271" s="497"/>
      <c r="E271" s="497"/>
      <c r="F271" s="429"/>
      <c r="G271" s="498"/>
      <c r="H271" s="497"/>
      <c r="I271" s="497"/>
      <c r="J271" s="497"/>
      <c r="K271" s="497"/>
      <c r="L271" s="497"/>
      <c r="M271" s="497"/>
      <c r="N271" s="497"/>
      <c r="O271" s="497"/>
      <c r="P271" s="497"/>
      <c r="Q271" s="497"/>
      <c r="R271" s="472">
        <v>0</v>
      </c>
      <c r="S271" s="498">
        <f>R271/$R$273</f>
        <v>0</v>
      </c>
      <c r="T271" s="473">
        <v>0</v>
      </c>
      <c r="U271" s="498">
        <f t="shared" si="8"/>
        <v>0</v>
      </c>
      <c r="V271" s="429"/>
      <c r="W271" s="432"/>
      <c r="X271" s="419"/>
    </row>
    <row r="272" spans="1:25" s="420" customFormat="1" ht="15.75" x14ac:dyDescent="0.25">
      <c r="A272" s="428"/>
      <c r="B272" s="472"/>
      <c r="C272" s="497"/>
      <c r="D272" s="497"/>
      <c r="E272" s="497"/>
      <c r="F272" s="429"/>
      <c r="G272" s="498"/>
      <c r="H272" s="497"/>
      <c r="I272" s="497"/>
      <c r="J272" s="497"/>
      <c r="K272" s="497"/>
      <c r="L272" s="497"/>
      <c r="M272" s="497"/>
      <c r="N272" s="497"/>
      <c r="O272" s="497"/>
      <c r="P272" s="497"/>
      <c r="Q272" s="497"/>
      <c r="R272" s="472"/>
      <c r="S272" s="498"/>
      <c r="T272" s="473"/>
      <c r="U272" s="498"/>
      <c r="V272" s="429"/>
      <c r="W272" s="432"/>
      <c r="X272" s="419"/>
    </row>
    <row r="273" spans="1:24" s="420" customFormat="1" ht="15.75" x14ac:dyDescent="0.25">
      <c r="A273" s="428"/>
      <c r="B273" s="429"/>
      <c r="C273" s="429"/>
      <c r="D273" s="429"/>
      <c r="E273" s="429"/>
      <c r="F273" s="429"/>
      <c r="G273" s="429"/>
      <c r="H273" s="501"/>
      <c r="I273" s="501"/>
      <c r="J273" s="501"/>
      <c r="K273" s="501"/>
      <c r="L273" s="501"/>
      <c r="M273" s="501"/>
      <c r="N273" s="501"/>
      <c r="O273" s="501"/>
      <c r="P273" s="501"/>
      <c r="Q273" s="501"/>
      <c r="R273" s="472">
        <f>SUM(R264:R272)</f>
        <v>65</v>
      </c>
      <c r="S273" s="498">
        <f>SUM(S264:S272)</f>
        <v>1</v>
      </c>
      <c r="T273" s="473">
        <f>SUM(T264:T272)</f>
        <v>9050</v>
      </c>
      <c r="U273" s="498">
        <f>SUM(U264:U272)</f>
        <v>1</v>
      </c>
      <c r="V273" s="429"/>
      <c r="W273" s="432"/>
      <c r="X273" s="419"/>
    </row>
    <row r="274" spans="1:24" ht="15.75" x14ac:dyDescent="0.25">
      <c r="A274" s="181"/>
      <c r="B274" s="212"/>
      <c r="C274" s="212"/>
      <c r="D274" s="212"/>
      <c r="E274" s="212"/>
      <c r="F274" s="212"/>
      <c r="G274" s="212"/>
      <c r="H274" s="375"/>
      <c r="I274" s="375"/>
      <c r="J274" s="375"/>
      <c r="K274" s="375"/>
      <c r="L274" s="375"/>
      <c r="M274" s="375"/>
      <c r="N274" s="375"/>
      <c r="O274" s="375"/>
      <c r="P274" s="375"/>
      <c r="Q274" s="375"/>
      <c r="R274" s="335"/>
      <c r="S274" s="376"/>
      <c r="T274" s="377"/>
      <c r="U274" s="376"/>
      <c r="V274" s="212"/>
      <c r="W274" s="212"/>
      <c r="X274" s="5"/>
    </row>
    <row r="275" spans="1:24" ht="15.75" x14ac:dyDescent="0.25">
      <c r="A275" s="536"/>
      <c r="B275" s="547" t="s">
        <v>163</v>
      </c>
      <c r="C275" s="540"/>
      <c r="D275" s="540"/>
      <c r="E275" s="540"/>
      <c r="F275" s="540"/>
      <c r="G275" s="540"/>
      <c r="H275" s="567"/>
      <c r="I275" s="567"/>
      <c r="J275" s="567"/>
      <c r="K275" s="567"/>
      <c r="L275" s="567"/>
      <c r="M275" s="567"/>
      <c r="N275" s="567"/>
      <c r="O275" s="567"/>
      <c r="P275" s="567"/>
      <c r="Q275" s="567"/>
      <c r="R275" s="563" t="s">
        <v>102</v>
      </c>
      <c r="S275" s="548" t="s">
        <v>103</v>
      </c>
      <c r="T275" s="563" t="s">
        <v>109</v>
      </c>
      <c r="U275" s="548" t="s">
        <v>103</v>
      </c>
      <c r="V275" s="540"/>
      <c r="W275" s="544"/>
      <c r="X275" s="5"/>
    </row>
    <row r="276" spans="1:24" s="420" customFormat="1" ht="15.75" x14ac:dyDescent="0.25">
      <c r="A276" s="416"/>
      <c r="B276" s="478" t="s">
        <v>88</v>
      </c>
      <c r="C276" s="462"/>
      <c r="D276" s="462"/>
      <c r="E276" s="462"/>
      <c r="F276" s="462"/>
      <c r="G276" s="462"/>
      <c r="H276" s="504"/>
      <c r="I276" s="504"/>
      <c r="J276" s="504"/>
      <c r="K276" s="504"/>
      <c r="L276" s="504"/>
      <c r="M276" s="504"/>
      <c r="N276" s="504"/>
      <c r="O276" s="504"/>
      <c r="P276" s="504"/>
      <c r="Q276" s="504"/>
      <c r="R276" s="478">
        <v>0</v>
      </c>
      <c r="S276" s="500">
        <v>0</v>
      </c>
      <c r="T276" s="499">
        <v>0</v>
      </c>
      <c r="U276" s="500">
        <v>0</v>
      </c>
      <c r="V276" s="462"/>
      <c r="W276" s="462"/>
      <c r="X276" s="419"/>
    </row>
    <row r="277" spans="1:24" s="420" customFormat="1" ht="15.75" x14ac:dyDescent="0.25">
      <c r="A277" s="428"/>
      <c r="B277" s="472" t="s">
        <v>89</v>
      </c>
      <c r="C277" s="429"/>
      <c r="D277" s="429"/>
      <c r="E277" s="429"/>
      <c r="F277" s="429"/>
      <c r="G277" s="429"/>
      <c r="H277" s="501"/>
      <c r="I277" s="501"/>
      <c r="J277" s="501"/>
      <c r="K277" s="501"/>
      <c r="L277" s="501"/>
      <c r="M277" s="501"/>
      <c r="N277" s="501"/>
      <c r="O277" s="501"/>
      <c r="P277" s="501"/>
      <c r="Q277" s="501"/>
      <c r="R277" s="472">
        <v>0</v>
      </c>
      <c r="S277" s="498">
        <v>0</v>
      </c>
      <c r="T277" s="473">
        <v>0</v>
      </c>
      <c r="U277" s="498">
        <v>0</v>
      </c>
      <c r="V277" s="429"/>
      <c r="W277" s="432"/>
      <c r="X277" s="419"/>
    </row>
    <row r="278" spans="1:24" s="420" customFormat="1" ht="15.75" x14ac:dyDescent="0.25">
      <c r="A278" s="428"/>
      <c r="B278" s="472" t="s">
        <v>90</v>
      </c>
      <c r="C278" s="429"/>
      <c r="D278" s="429"/>
      <c r="E278" s="429"/>
      <c r="F278" s="429"/>
      <c r="G278" s="429"/>
      <c r="H278" s="501"/>
      <c r="I278" s="501"/>
      <c r="J278" s="501"/>
      <c r="K278" s="501"/>
      <c r="L278" s="501"/>
      <c r="M278" s="501"/>
      <c r="N278" s="501"/>
      <c r="O278" s="501"/>
      <c r="P278" s="501"/>
      <c r="Q278" s="501"/>
      <c r="R278" s="472">
        <v>0</v>
      </c>
      <c r="S278" s="498">
        <v>0</v>
      </c>
      <c r="T278" s="473">
        <v>0</v>
      </c>
      <c r="U278" s="498">
        <v>0</v>
      </c>
      <c r="V278" s="429"/>
      <c r="W278" s="432"/>
      <c r="X278" s="419"/>
    </row>
    <row r="279" spans="1:24" s="420" customFormat="1" ht="15.75" x14ac:dyDescent="0.25">
      <c r="A279" s="428"/>
      <c r="B279" s="472" t="s">
        <v>156</v>
      </c>
      <c r="C279" s="429"/>
      <c r="D279" s="429"/>
      <c r="E279" s="429"/>
      <c r="F279" s="429"/>
      <c r="G279" s="429"/>
      <c r="H279" s="501"/>
      <c r="I279" s="501"/>
      <c r="J279" s="501"/>
      <c r="K279" s="501"/>
      <c r="L279" s="501"/>
      <c r="M279" s="501"/>
      <c r="N279" s="501"/>
      <c r="O279" s="501"/>
      <c r="P279" s="501"/>
      <c r="Q279" s="501"/>
      <c r="R279" s="472">
        <v>0</v>
      </c>
      <c r="S279" s="498">
        <v>0</v>
      </c>
      <c r="T279" s="473">
        <v>0</v>
      </c>
      <c r="U279" s="498">
        <v>0</v>
      </c>
      <c r="V279" s="429"/>
      <c r="W279" s="432"/>
      <c r="X279" s="419"/>
    </row>
    <row r="280" spans="1:24" s="420" customFormat="1" ht="15.75" x14ac:dyDescent="0.25">
      <c r="A280" s="428"/>
      <c r="B280" s="472" t="s">
        <v>157</v>
      </c>
      <c r="C280" s="429"/>
      <c r="D280" s="429"/>
      <c r="E280" s="429"/>
      <c r="F280" s="429"/>
      <c r="G280" s="429"/>
      <c r="H280" s="501"/>
      <c r="I280" s="501"/>
      <c r="J280" s="501"/>
      <c r="K280" s="501"/>
      <c r="L280" s="501"/>
      <c r="M280" s="501"/>
      <c r="N280" s="501"/>
      <c r="O280" s="501"/>
      <c r="P280" s="501"/>
      <c r="Q280" s="501"/>
      <c r="R280" s="472">
        <v>0</v>
      </c>
      <c r="S280" s="498">
        <v>0</v>
      </c>
      <c r="T280" s="473">
        <v>0</v>
      </c>
      <c r="U280" s="498">
        <v>0</v>
      </c>
      <c r="V280" s="429"/>
      <c r="W280" s="432"/>
      <c r="X280" s="419"/>
    </row>
    <row r="281" spans="1:24" s="420" customFormat="1" ht="15.75" x14ac:dyDescent="0.25">
      <c r="A281" s="428"/>
      <c r="B281" s="472" t="s">
        <v>158</v>
      </c>
      <c r="C281" s="429"/>
      <c r="D281" s="429"/>
      <c r="E281" s="429"/>
      <c r="F281" s="429"/>
      <c r="G281" s="429"/>
      <c r="H281" s="501"/>
      <c r="I281" s="501"/>
      <c r="J281" s="501"/>
      <c r="K281" s="501"/>
      <c r="L281" s="501"/>
      <c r="M281" s="501"/>
      <c r="N281" s="501"/>
      <c r="O281" s="501"/>
      <c r="P281" s="501"/>
      <c r="Q281" s="501"/>
      <c r="R281" s="472">
        <v>0</v>
      </c>
      <c r="S281" s="498">
        <v>0</v>
      </c>
      <c r="T281" s="473">
        <v>0</v>
      </c>
      <c r="U281" s="498">
        <v>0</v>
      </c>
      <c r="V281" s="429"/>
      <c r="W281" s="432"/>
      <c r="X281" s="419"/>
    </row>
    <row r="282" spans="1:24" s="420" customFormat="1" ht="15.75" x14ac:dyDescent="0.25">
      <c r="A282" s="428"/>
      <c r="B282" s="472" t="s">
        <v>159</v>
      </c>
      <c r="C282" s="429"/>
      <c r="D282" s="429"/>
      <c r="E282" s="429"/>
      <c r="F282" s="429"/>
      <c r="G282" s="429"/>
      <c r="H282" s="501"/>
      <c r="I282" s="501"/>
      <c r="J282" s="501"/>
      <c r="K282" s="501"/>
      <c r="L282" s="501"/>
      <c r="M282" s="501"/>
      <c r="N282" s="501"/>
      <c r="O282" s="501"/>
      <c r="P282" s="501"/>
      <c r="Q282" s="501"/>
      <c r="R282" s="472">
        <v>1</v>
      </c>
      <c r="S282" s="498">
        <v>1</v>
      </c>
      <c r="T282" s="473">
        <v>60</v>
      </c>
      <c r="U282" s="498">
        <v>1</v>
      </c>
      <c r="V282" s="429"/>
      <c r="W282" s="432"/>
      <c r="X282" s="419"/>
    </row>
    <row r="283" spans="1:24" s="420" customFormat="1" ht="15.75" x14ac:dyDescent="0.25">
      <c r="A283" s="428"/>
      <c r="B283" s="472" t="s">
        <v>160</v>
      </c>
      <c r="C283" s="429"/>
      <c r="D283" s="429"/>
      <c r="E283" s="429"/>
      <c r="F283" s="429"/>
      <c r="G283" s="429"/>
      <c r="H283" s="501"/>
      <c r="I283" s="501"/>
      <c r="J283" s="501"/>
      <c r="K283" s="501"/>
      <c r="L283" s="501"/>
      <c r="M283" s="501"/>
      <c r="N283" s="501"/>
      <c r="O283" s="501"/>
      <c r="P283" s="501"/>
      <c r="Q283" s="501"/>
      <c r="R283" s="472">
        <v>0</v>
      </c>
      <c r="S283" s="498">
        <v>0</v>
      </c>
      <c r="T283" s="473">
        <v>0</v>
      </c>
      <c r="U283" s="498">
        <v>0</v>
      </c>
      <c r="V283" s="429"/>
      <c r="W283" s="432"/>
      <c r="X283" s="419"/>
    </row>
    <row r="284" spans="1:24" s="420" customFormat="1" ht="15.75" x14ac:dyDescent="0.25">
      <c r="A284" s="428"/>
      <c r="B284" s="472"/>
      <c r="C284" s="429"/>
      <c r="D284" s="429"/>
      <c r="E284" s="429"/>
      <c r="F284" s="429"/>
      <c r="G284" s="429"/>
      <c r="H284" s="501"/>
      <c r="I284" s="501"/>
      <c r="J284" s="501"/>
      <c r="K284" s="501"/>
      <c r="L284" s="501"/>
      <c r="M284" s="501"/>
      <c r="N284" s="501"/>
      <c r="O284" s="501"/>
      <c r="P284" s="501"/>
      <c r="Q284" s="501"/>
      <c r="R284" s="472"/>
      <c r="S284" s="498"/>
      <c r="T284" s="473"/>
      <c r="U284" s="498"/>
      <c r="V284" s="429"/>
      <c r="W284" s="432"/>
      <c r="X284" s="419"/>
    </row>
    <row r="285" spans="1:24" s="420" customFormat="1" ht="15.75" x14ac:dyDescent="0.25">
      <c r="A285" s="428"/>
      <c r="B285" s="429" t="s">
        <v>114</v>
      </c>
      <c r="C285" s="429"/>
      <c r="D285" s="429"/>
      <c r="E285" s="429"/>
      <c r="F285" s="429"/>
      <c r="G285" s="429"/>
      <c r="H285" s="501"/>
      <c r="I285" s="501"/>
      <c r="J285" s="501"/>
      <c r="K285" s="501"/>
      <c r="L285" s="501"/>
      <c r="M285" s="501"/>
      <c r="N285" s="501"/>
      <c r="O285" s="501"/>
      <c r="P285" s="501"/>
      <c r="Q285" s="501"/>
      <c r="R285" s="472">
        <f>SUM(R276:R283)</f>
        <v>1</v>
      </c>
      <c r="S285" s="498">
        <f>SUM(S276:S283)</f>
        <v>1</v>
      </c>
      <c r="T285" s="473">
        <f>SUM(T276:T283)</f>
        <v>60</v>
      </c>
      <c r="U285" s="498">
        <f>SUM(U276:U283)</f>
        <v>1</v>
      </c>
      <c r="V285" s="429"/>
      <c r="W285" s="432"/>
      <c r="X285" s="419"/>
    </row>
    <row r="286" spans="1:24" s="420" customFormat="1" ht="15.75" x14ac:dyDescent="0.25">
      <c r="A286" s="428"/>
      <c r="B286" s="429"/>
      <c r="C286" s="429"/>
      <c r="D286" s="429"/>
      <c r="E286" s="429"/>
      <c r="F286" s="429"/>
      <c r="G286" s="429"/>
      <c r="H286" s="501"/>
      <c r="I286" s="501"/>
      <c r="J286" s="501"/>
      <c r="K286" s="501"/>
      <c r="L286" s="501"/>
      <c r="M286" s="501"/>
      <c r="N286" s="501"/>
      <c r="O286" s="501"/>
      <c r="P286" s="501"/>
      <c r="Q286" s="501"/>
      <c r="R286" s="472"/>
      <c r="S286" s="498"/>
      <c r="T286" s="473"/>
      <c r="U286" s="498"/>
      <c r="V286" s="429"/>
      <c r="W286" s="432"/>
      <c r="X286" s="419"/>
    </row>
    <row r="287" spans="1:24" s="420" customFormat="1" ht="15.75" x14ac:dyDescent="0.25">
      <c r="A287" s="428"/>
      <c r="B287" s="435" t="s">
        <v>164</v>
      </c>
      <c r="C287" s="429"/>
      <c r="D287" s="429"/>
      <c r="E287" s="429"/>
      <c r="F287" s="429"/>
      <c r="G287" s="429"/>
      <c r="H287" s="501"/>
      <c r="I287" s="501"/>
      <c r="J287" s="501"/>
      <c r="K287" s="501"/>
      <c r="L287" s="501"/>
      <c r="M287" s="501"/>
      <c r="N287" s="501"/>
      <c r="O287" s="501"/>
      <c r="P287" s="501"/>
      <c r="Q287" s="501"/>
      <c r="R287" s="502">
        <f>R285+R273+R261</f>
        <v>4552</v>
      </c>
      <c r="S287" s="498"/>
      <c r="T287" s="503">
        <f>+T285+T273+T261</f>
        <v>624966</v>
      </c>
      <c r="U287" s="498"/>
      <c r="V287" s="429"/>
      <c r="W287" s="432"/>
      <c r="X287" s="419"/>
    </row>
    <row r="288" spans="1:24" s="420" customFormat="1" ht="15.75" x14ac:dyDescent="0.25">
      <c r="A288" s="416"/>
      <c r="B288" s="462"/>
      <c r="C288" s="462"/>
      <c r="D288" s="462"/>
      <c r="E288" s="462"/>
      <c r="F288" s="462"/>
      <c r="G288" s="462"/>
      <c r="H288" s="504"/>
      <c r="I288" s="504"/>
      <c r="J288" s="504"/>
      <c r="K288" s="504"/>
      <c r="L288" s="504"/>
      <c r="M288" s="504"/>
      <c r="N288" s="504"/>
      <c r="O288" s="504"/>
      <c r="P288" s="504"/>
      <c r="Q288" s="504"/>
      <c r="R288" s="504"/>
      <c r="S288" s="504"/>
      <c r="T288" s="499"/>
      <c r="U288" s="504"/>
      <c r="V288" s="462"/>
      <c r="W288" s="462"/>
      <c r="X288" s="419"/>
    </row>
    <row r="289" spans="1:24" s="420" customFormat="1" ht="15.75" x14ac:dyDescent="0.25">
      <c r="A289" s="416"/>
      <c r="B289" s="417"/>
      <c r="C289" s="417"/>
      <c r="D289" s="417"/>
      <c r="E289" s="417"/>
      <c r="F289" s="417"/>
      <c r="G289" s="417"/>
      <c r="H289" s="505"/>
      <c r="I289" s="505"/>
      <c r="J289" s="505"/>
      <c r="K289" s="505"/>
      <c r="L289" s="505"/>
      <c r="M289" s="505"/>
      <c r="N289" s="505"/>
      <c r="O289" s="505"/>
      <c r="P289" s="505"/>
      <c r="Q289" s="505"/>
      <c r="R289" s="505"/>
      <c r="S289" s="505"/>
      <c r="T289" s="506"/>
      <c r="U289" s="505"/>
      <c r="V289" s="417"/>
      <c r="W289" s="417"/>
      <c r="X289" s="419"/>
    </row>
    <row r="290" spans="1:24" s="420" customFormat="1" ht="15.75" x14ac:dyDescent="0.25">
      <c r="A290" s="507"/>
      <c r="B290" s="415" t="s">
        <v>91</v>
      </c>
      <c r="C290" s="417"/>
      <c r="D290" s="417"/>
      <c r="E290" s="417"/>
      <c r="F290" s="423" t="s">
        <v>97</v>
      </c>
      <c r="G290" s="417"/>
      <c r="H290" s="415" t="s">
        <v>99</v>
      </c>
      <c r="I290" s="415"/>
      <c r="J290" s="415"/>
      <c r="K290" s="427"/>
      <c r="L290" s="427"/>
      <c r="M290" s="427"/>
      <c r="N290" s="427"/>
      <c r="O290" s="427"/>
      <c r="P290" s="427"/>
      <c r="Q290" s="427"/>
      <c r="R290" s="427"/>
      <c r="S290" s="427"/>
      <c r="T290" s="427"/>
      <c r="U290" s="427"/>
      <c r="V290" s="427"/>
      <c r="W290" s="427"/>
      <c r="X290" s="419"/>
    </row>
    <row r="291" spans="1:24" s="420" customFormat="1" ht="15.75" x14ac:dyDescent="0.25">
      <c r="A291" s="507"/>
      <c r="B291" s="427"/>
      <c r="C291" s="417"/>
      <c r="D291" s="417"/>
      <c r="E291" s="417"/>
      <c r="F291" s="417"/>
      <c r="G291" s="417"/>
      <c r="H291" s="417"/>
      <c r="I291" s="417"/>
      <c r="J291" s="417"/>
      <c r="K291" s="427"/>
      <c r="L291" s="427"/>
      <c r="M291" s="427"/>
      <c r="N291" s="427"/>
      <c r="O291" s="427"/>
      <c r="P291" s="427"/>
      <c r="Q291" s="427"/>
      <c r="R291" s="427"/>
      <c r="S291" s="427"/>
      <c r="T291" s="427"/>
      <c r="U291" s="427"/>
      <c r="V291" s="427"/>
      <c r="W291" s="427"/>
      <c r="X291" s="419"/>
    </row>
    <row r="292" spans="1:24" s="420" customFormat="1" ht="15.75" x14ac:dyDescent="0.25">
      <c r="A292" s="507"/>
      <c r="B292" s="415" t="s">
        <v>319</v>
      </c>
      <c r="C292" s="415"/>
      <c r="D292" s="415"/>
      <c r="E292" s="415"/>
      <c r="F292" s="508" t="s">
        <v>266</v>
      </c>
      <c r="G292" s="415"/>
      <c r="H292" s="415" t="s">
        <v>267</v>
      </c>
      <c r="I292" s="415"/>
      <c r="J292" s="415"/>
      <c r="K292" s="427"/>
      <c r="L292" s="427"/>
      <c r="M292" s="427"/>
      <c r="N292" s="427"/>
      <c r="O292" s="427"/>
      <c r="P292" s="427"/>
      <c r="Q292" s="427"/>
      <c r="R292" s="427"/>
      <c r="S292" s="427"/>
      <c r="T292" s="427"/>
      <c r="U292" s="427"/>
      <c r="V292" s="427"/>
      <c r="W292" s="427"/>
      <c r="X292" s="419"/>
    </row>
    <row r="293" spans="1:24" s="420" customFormat="1" ht="15.75" x14ac:dyDescent="0.25">
      <c r="A293" s="507"/>
      <c r="B293" s="415" t="s">
        <v>320</v>
      </c>
      <c r="C293" s="415"/>
      <c r="D293" s="415"/>
      <c r="E293" s="415"/>
      <c r="F293" s="508" t="s">
        <v>147</v>
      </c>
      <c r="G293" s="415"/>
      <c r="H293" s="415" t="s">
        <v>153</v>
      </c>
      <c r="I293" s="415"/>
      <c r="J293" s="415"/>
      <c r="K293" s="427"/>
      <c r="L293" s="427"/>
      <c r="M293" s="427"/>
      <c r="N293" s="427"/>
      <c r="O293" s="427"/>
      <c r="P293" s="427"/>
      <c r="Q293" s="427"/>
      <c r="R293" s="427"/>
      <c r="S293" s="427"/>
      <c r="T293" s="427"/>
      <c r="U293" s="427"/>
      <c r="V293" s="427"/>
      <c r="W293" s="427"/>
      <c r="X293" s="419"/>
    </row>
    <row r="294" spans="1:24" s="420" customFormat="1" ht="15.75" x14ac:dyDescent="0.25">
      <c r="A294" s="507"/>
      <c r="B294" s="415"/>
      <c r="C294" s="415"/>
      <c r="D294" s="415"/>
      <c r="E294" s="415"/>
      <c r="F294" s="415"/>
      <c r="G294" s="509"/>
      <c r="H294" s="427"/>
      <c r="I294" s="427"/>
      <c r="J294" s="427"/>
      <c r="K294" s="427"/>
      <c r="L294" s="427"/>
      <c r="M294" s="427"/>
      <c r="N294" s="427"/>
      <c r="O294" s="427"/>
      <c r="P294" s="427"/>
      <c r="Q294" s="427"/>
      <c r="R294" s="427"/>
      <c r="S294" s="427"/>
      <c r="T294" s="427"/>
      <c r="U294" s="427"/>
      <c r="V294" s="427"/>
      <c r="W294" s="427"/>
      <c r="X294" s="419"/>
    </row>
    <row r="295" spans="1:24" s="420" customFormat="1" ht="15.75" x14ac:dyDescent="0.25">
      <c r="A295" s="507"/>
      <c r="B295" s="415"/>
      <c r="C295" s="415"/>
      <c r="D295" s="415"/>
      <c r="E295" s="415"/>
      <c r="F295" s="415"/>
      <c r="G295" s="509"/>
      <c r="H295" s="427"/>
      <c r="I295" s="427"/>
      <c r="J295" s="427"/>
      <c r="K295" s="427"/>
      <c r="L295" s="427"/>
      <c r="M295" s="427"/>
      <c r="N295" s="427"/>
      <c r="O295" s="427"/>
      <c r="P295" s="427"/>
      <c r="Q295" s="427"/>
      <c r="R295" s="427"/>
      <c r="S295" s="427"/>
      <c r="T295" s="427"/>
      <c r="U295" s="427"/>
      <c r="V295" s="427"/>
      <c r="W295" s="427"/>
      <c r="X295" s="419"/>
    </row>
    <row r="296" spans="1:24" s="420" customFormat="1" ht="19.5" thickBot="1" x14ac:dyDescent="0.35">
      <c r="A296" s="507"/>
      <c r="B296" s="510" t="str">
        <f>B201</f>
        <v>PM15 INVESTOR REPORT QUARTER ENDING FEBRUARY 2018</v>
      </c>
      <c r="C296" s="415"/>
      <c r="D296" s="415"/>
      <c r="E296" s="415"/>
      <c r="F296" s="415"/>
      <c r="G296" s="509"/>
      <c r="H296" s="427"/>
      <c r="I296" s="427"/>
      <c r="J296" s="427"/>
      <c r="K296" s="427"/>
      <c r="L296" s="427"/>
      <c r="M296" s="427"/>
      <c r="N296" s="427"/>
      <c r="O296" s="427"/>
      <c r="P296" s="427"/>
      <c r="Q296" s="427"/>
      <c r="R296" s="427"/>
      <c r="S296" s="427"/>
      <c r="T296" s="427"/>
      <c r="U296" s="427"/>
      <c r="V296" s="427"/>
      <c r="W296" s="427"/>
      <c r="X296" s="419"/>
    </row>
    <row r="297" spans="1:24" x14ac:dyDescent="0.2">
      <c r="A297" s="100"/>
      <c r="B297" s="100"/>
      <c r="C297" s="100"/>
      <c r="D297" s="100"/>
      <c r="E297" s="100"/>
      <c r="F297" s="100"/>
      <c r="G297" s="100"/>
      <c r="H297" s="100"/>
      <c r="I297" s="100"/>
      <c r="J297" s="100"/>
      <c r="K297" s="100"/>
      <c r="L297" s="100"/>
      <c r="M297" s="100"/>
      <c r="N297" s="100"/>
      <c r="O297" s="100"/>
      <c r="P297" s="100"/>
      <c r="Q297" s="100"/>
      <c r="R297" s="100"/>
      <c r="S297" s="100"/>
      <c r="T297" s="100"/>
      <c r="U297" s="100"/>
      <c r="V297" s="100"/>
      <c r="W297" s="100"/>
    </row>
  </sheetData>
  <hyperlinks>
    <hyperlink ref="I9" r:id="rId1" xr:uid="{00000000-0004-0000-2900-000000000000}"/>
    <hyperlink ref="P237" r:id="rId2" xr:uid="{00000000-0004-0000-29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5" max="14" man="1"/>
    <brk id="201" max="14" man="1"/>
  </rowBreaks>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4"/>
  </sheetPr>
  <dimension ref="A1:IV297"/>
  <sheetViews>
    <sheetView showGridLines="0" showOutlineSymbols="0" zoomScale="70" zoomScaleNormal="70" workbookViewId="0"/>
  </sheetViews>
  <sheetFormatPr defaultColWidth="9.6640625" defaultRowHeight="15" x14ac:dyDescent="0.2"/>
  <cols>
    <col min="1" max="1" width="4" style="1" customWidth="1"/>
    <col min="2" max="2" width="71.21875" style="1" customWidth="1"/>
    <col min="3" max="3" width="2.21875" style="1" customWidth="1"/>
    <col min="4" max="4" width="19.33203125" style="1" customWidth="1"/>
    <col min="5" max="5" width="2.21875" style="1" customWidth="1"/>
    <col min="6" max="6" width="25.109375" style="1" customWidth="1"/>
    <col min="7" max="7" width="2.21875" style="1" customWidth="1"/>
    <col min="8" max="8" width="16.21875" style="1" customWidth="1"/>
    <col min="9" max="9" width="2.88671875" style="1" customWidth="1"/>
    <col min="10" max="10" width="16.21875" style="1" customWidth="1"/>
    <col min="11" max="11" width="2.21875" style="1" customWidth="1"/>
    <col min="12" max="12" width="17.88671875" style="1" customWidth="1"/>
    <col min="13" max="13" width="2.33203125" style="1" customWidth="1"/>
    <col min="14" max="14" width="14.88671875" style="1" customWidth="1"/>
    <col min="15" max="15" width="2.33203125" style="1" customWidth="1"/>
    <col min="16" max="16" width="15.5546875" style="1" customWidth="1"/>
    <col min="17" max="17" width="2.21875" style="1" customWidth="1"/>
    <col min="18" max="18" width="15.5546875" style="1" customWidth="1"/>
    <col min="19" max="20" width="12.6640625" style="1" customWidth="1"/>
    <col min="21" max="21" width="7.77734375" style="1" customWidth="1"/>
    <col min="22" max="22" width="14.6640625" style="1" customWidth="1"/>
    <col min="23" max="23" width="11.77734375" style="1" customWidth="1"/>
    <col min="24" max="16384" width="9.6640625" style="1"/>
  </cols>
  <sheetData>
    <row r="1" spans="1:24" ht="20.25" x14ac:dyDescent="0.3">
      <c r="A1" s="179"/>
      <c r="B1" s="413" t="s">
        <v>237</v>
      </c>
      <c r="C1" s="180"/>
      <c r="D1" s="180"/>
      <c r="E1" s="180"/>
      <c r="F1" s="180"/>
      <c r="G1" s="180"/>
      <c r="H1" s="180"/>
      <c r="I1" s="180"/>
      <c r="J1" s="180"/>
      <c r="K1" s="180"/>
      <c r="L1" s="180"/>
      <c r="M1" s="180"/>
      <c r="N1" s="180"/>
      <c r="O1" s="180"/>
      <c r="P1" s="180"/>
      <c r="Q1" s="180"/>
      <c r="R1" s="180"/>
      <c r="S1" s="180"/>
      <c r="T1" s="180"/>
      <c r="U1" s="180"/>
      <c r="V1" s="180"/>
      <c r="W1" s="180"/>
      <c r="X1" s="5"/>
    </row>
    <row r="2" spans="1:24" ht="15.75" x14ac:dyDescent="0.25">
      <c r="A2" s="181"/>
      <c r="B2" s="182"/>
      <c r="C2" s="183"/>
      <c r="D2" s="183"/>
      <c r="E2" s="183"/>
      <c r="F2" s="183"/>
      <c r="G2" s="183"/>
      <c r="H2" s="183"/>
      <c r="I2" s="183"/>
      <c r="J2" s="183"/>
      <c r="K2" s="183"/>
      <c r="L2" s="183"/>
      <c r="M2" s="183"/>
      <c r="N2" s="183"/>
      <c r="O2" s="183"/>
      <c r="P2" s="183"/>
      <c r="Q2" s="183"/>
      <c r="R2" s="183"/>
      <c r="S2" s="183"/>
      <c r="T2" s="183"/>
      <c r="U2" s="183"/>
      <c r="V2" s="183"/>
      <c r="W2" s="183"/>
      <c r="X2" s="5"/>
    </row>
    <row r="3" spans="1:24" ht="15.75" x14ac:dyDescent="0.25">
      <c r="A3" s="184"/>
      <c r="B3" s="511" t="s">
        <v>238</v>
      </c>
      <c r="C3" s="183"/>
      <c r="D3" s="183"/>
      <c r="E3" s="183"/>
      <c r="F3" s="183"/>
      <c r="G3" s="183"/>
      <c r="H3" s="183"/>
      <c r="I3" s="183"/>
      <c r="J3" s="183"/>
      <c r="K3" s="183"/>
      <c r="L3" s="183"/>
      <c r="M3" s="183"/>
      <c r="N3" s="183"/>
      <c r="O3" s="183"/>
      <c r="P3" s="183"/>
      <c r="Q3" s="183"/>
      <c r="R3" s="183"/>
      <c r="S3" s="183"/>
      <c r="T3" s="183"/>
      <c r="U3" s="183"/>
      <c r="V3" s="183"/>
      <c r="W3" s="183"/>
      <c r="X3" s="5"/>
    </row>
    <row r="4" spans="1:24" ht="15.75" x14ac:dyDescent="0.25">
      <c r="A4" s="181"/>
      <c r="B4" s="182"/>
      <c r="C4" s="183"/>
      <c r="D4" s="183"/>
      <c r="E4" s="183"/>
      <c r="F4" s="183"/>
      <c r="G4" s="183"/>
      <c r="H4" s="183"/>
      <c r="I4" s="183"/>
      <c r="J4" s="183"/>
      <c r="K4" s="183"/>
      <c r="L4" s="183"/>
      <c r="M4" s="183"/>
      <c r="N4" s="183"/>
      <c r="O4" s="183"/>
      <c r="P4" s="183"/>
      <c r="Q4" s="183"/>
      <c r="R4" s="183"/>
      <c r="S4" s="183"/>
      <c r="T4" s="183"/>
      <c r="U4" s="183"/>
      <c r="V4" s="183"/>
      <c r="W4" s="183"/>
      <c r="X4" s="5"/>
    </row>
    <row r="5" spans="1:24" ht="15.75" x14ac:dyDescent="0.25">
      <c r="A5" s="181"/>
      <c r="B5" s="414" t="s">
        <v>137</v>
      </c>
      <c r="C5" s="183"/>
      <c r="D5" s="183"/>
      <c r="E5" s="183"/>
      <c r="F5" s="183"/>
      <c r="G5" s="183"/>
      <c r="H5" s="183"/>
      <c r="I5" s="183"/>
      <c r="J5" s="183"/>
      <c r="K5" s="183"/>
      <c r="L5" s="183"/>
      <c r="M5" s="183"/>
      <c r="N5" s="183"/>
      <c r="O5" s="183"/>
      <c r="P5" s="183"/>
      <c r="Q5" s="183"/>
      <c r="R5" s="183"/>
      <c r="S5" s="183"/>
      <c r="T5" s="183"/>
      <c r="U5" s="183"/>
      <c r="V5" s="183"/>
      <c r="W5" s="183"/>
      <c r="X5" s="5"/>
    </row>
    <row r="6" spans="1:24" ht="15.75" x14ac:dyDescent="0.25">
      <c r="A6" s="181"/>
      <c r="B6" s="414" t="s">
        <v>139</v>
      </c>
      <c r="C6" s="183"/>
      <c r="D6" s="183"/>
      <c r="E6" s="183"/>
      <c r="F6" s="183"/>
      <c r="G6" s="183"/>
      <c r="H6" s="183"/>
      <c r="I6" s="183"/>
      <c r="J6" s="183"/>
      <c r="K6" s="183"/>
      <c r="L6" s="183"/>
      <c r="M6" s="183"/>
      <c r="N6" s="183"/>
      <c r="O6" s="183"/>
      <c r="P6" s="183"/>
      <c r="Q6" s="183"/>
      <c r="R6" s="183"/>
      <c r="S6" s="183"/>
      <c r="T6" s="183"/>
      <c r="U6" s="183"/>
      <c r="V6" s="183"/>
      <c r="W6" s="183"/>
      <c r="X6" s="5"/>
    </row>
    <row r="7" spans="1:24" ht="15.75" x14ac:dyDescent="0.25">
      <c r="A7" s="181"/>
      <c r="B7" s="414" t="s">
        <v>138</v>
      </c>
      <c r="C7" s="183"/>
      <c r="D7" s="183"/>
      <c r="E7" s="183"/>
      <c r="F7" s="183"/>
      <c r="G7" s="183"/>
      <c r="H7" s="183"/>
      <c r="I7" s="183"/>
      <c r="J7" s="183"/>
      <c r="K7" s="183"/>
      <c r="L7" s="183"/>
      <c r="M7" s="183"/>
      <c r="N7" s="183"/>
      <c r="O7" s="183"/>
      <c r="P7" s="183"/>
      <c r="Q7" s="183"/>
      <c r="R7" s="183"/>
      <c r="S7" s="183"/>
      <c r="T7" s="183"/>
      <c r="U7" s="183"/>
      <c r="V7" s="183"/>
      <c r="W7" s="183"/>
      <c r="X7" s="5"/>
    </row>
    <row r="8" spans="1:24" ht="15.75" x14ac:dyDescent="0.25">
      <c r="A8" s="181"/>
      <c r="B8" s="186"/>
      <c r="C8" s="183"/>
      <c r="D8" s="183"/>
      <c r="E8" s="183"/>
      <c r="F8" s="183"/>
      <c r="G8" s="183"/>
      <c r="H8" s="183"/>
      <c r="I8" s="183"/>
      <c r="J8" s="183"/>
      <c r="K8" s="183"/>
      <c r="L8" s="183"/>
      <c r="M8" s="183"/>
      <c r="N8" s="183"/>
      <c r="O8" s="183"/>
      <c r="P8" s="183"/>
      <c r="Q8" s="183"/>
      <c r="R8" s="183"/>
      <c r="S8" s="183"/>
      <c r="T8" s="183"/>
      <c r="U8" s="183"/>
      <c r="V8" s="183"/>
      <c r="W8" s="183"/>
      <c r="X8" s="5"/>
    </row>
    <row r="9" spans="1:24" ht="18.75" x14ac:dyDescent="0.3">
      <c r="A9" s="181"/>
      <c r="B9" s="512" t="s">
        <v>166</v>
      </c>
      <c r="C9" s="183"/>
      <c r="D9" s="183"/>
      <c r="E9" s="183"/>
      <c r="F9" s="183"/>
      <c r="G9" s="183"/>
      <c r="H9" s="183"/>
      <c r="I9" s="513" t="s">
        <v>341</v>
      </c>
      <c r="J9" s="183"/>
      <c r="K9" s="183"/>
      <c r="L9" s="188"/>
      <c r="M9" s="183"/>
      <c r="N9" s="188"/>
      <c r="O9" s="183"/>
      <c r="P9" s="183"/>
      <c r="Q9" s="183"/>
      <c r="R9" s="183"/>
      <c r="S9" s="183"/>
      <c r="T9" s="183"/>
      <c r="U9" s="183"/>
      <c r="V9" s="183"/>
      <c r="W9" s="183"/>
      <c r="X9" s="5"/>
    </row>
    <row r="10" spans="1:24" ht="15.75" x14ac:dyDescent="0.25">
      <c r="A10" s="181"/>
      <c r="B10" s="186"/>
      <c r="C10" s="189"/>
      <c r="D10" s="189"/>
      <c r="E10" s="189"/>
      <c r="F10" s="183"/>
      <c r="G10" s="183"/>
      <c r="H10" s="183"/>
      <c r="I10" s="183"/>
      <c r="J10" s="183"/>
      <c r="K10" s="183"/>
      <c r="L10" s="183"/>
      <c r="M10" s="183"/>
      <c r="N10" s="183"/>
      <c r="O10" s="183"/>
      <c r="P10" s="183"/>
      <c r="Q10" s="183"/>
      <c r="R10" s="183"/>
      <c r="S10" s="183"/>
      <c r="T10" s="183"/>
      <c r="U10" s="183"/>
      <c r="V10" s="183"/>
      <c r="W10" s="183"/>
      <c r="X10" s="5"/>
    </row>
    <row r="11" spans="1:24" ht="15.75" x14ac:dyDescent="0.25">
      <c r="A11" s="181"/>
      <c r="B11" s="415" t="s">
        <v>0</v>
      </c>
      <c r="C11" s="183"/>
      <c r="D11" s="183"/>
      <c r="E11" s="183"/>
      <c r="F11" s="183"/>
      <c r="G11" s="183"/>
      <c r="H11" s="183"/>
      <c r="I11" s="183"/>
      <c r="J11" s="183"/>
      <c r="K11" s="183"/>
      <c r="L11" s="183"/>
      <c r="M11" s="183"/>
      <c r="N11" s="183"/>
      <c r="O11" s="183"/>
      <c r="P11" s="183"/>
      <c r="Q11" s="183"/>
      <c r="R11" s="183"/>
      <c r="S11" s="183"/>
      <c r="T11" s="183"/>
      <c r="U11" s="183"/>
      <c r="V11" s="183"/>
      <c r="W11" s="183"/>
      <c r="X11" s="5"/>
    </row>
    <row r="12" spans="1:24" ht="16.5" thickBot="1" x14ac:dyDescent="0.3">
      <c r="A12" s="181"/>
      <c r="B12" s="189"/>
      <c r="C12" s="183"/>
      <c r="D12" s="183"/>
      <c r="E12" s="183"/>
      <c r="F12" s="183"/>
      <c r="G12" s="183"/>
      <c r="H12" s="183"/>
      <c r="I12" s="183"/>
      <c r="J12" s="183"/>
      <c r="K12" s="183"/>
      <c r="L12" s="183"/>
      <c r="M12" s="183"/>
      <c r="N12" s="183"/>
      <c r="O12" s="183"/>
      <c r="P12" s="183"/>
      <c r="Q12" s="183"/>
      <c r="R12" s="183"/>
      <c r="S12" s="183"/>
      <c r="T12" s="183"/>
      <c r="U12" s="183"/>
      <c r="V12" s="183"/>
      <c r="W12" s="183"/>
      <c r="X12" s="5"/>
    </row>
    <row r="13" spans="1:24" ht="15.75" x14ac:dyDescent="0.25">
      <c r="A13" s="179"/>
      <c r="B13" s="180"/>
      <c r="C13" s="180"/>
      <c r="D13" s="180"/>
      <c r="E13" s="180"/>
      <c r="F13" s="180"/>
      <c r="G13" s="180"/>
      <c r="H13" s="180"/>
      <c r="I13" s="180"/>
      <c r="J13" s="180"/>
      <c r="K13" s="180"/>
      <c r="L13" s="180"/>
      <c r="M13" s="180"/>
      <c r="N13" s="180"/>
      <c r="O13" s="180"/>
      <c r="P13" s="180"/>
      <c r="Q13" s="180"/>
      <c r="R13" s="180"/>
      <c r="S13" s="180"/>
      <c r="T13" s="180"/>
      <c r="U13" s="180"/>
      <c r="V13" s="180"/>
      <c r="W13" s="180"/>
      <c r="X13" s="5"/>
    </row>
    <row r="14" spans="1:24" s="420" customFormat="1" ht="15.75" x14ac:dyDescent="0.25">
      <c r="A14" s="416"/>
      <c r="B14" s="415" t="s">
        <v>1</v>
      </c>
      <c r="C14" s="417"/>
      <c r="D14" s="417"/>
      <c r="E14" s="417"/>
      <c r="F14" s="417"/>
      <c r="G14" s="417"/>
      <c r="H14" s="417"/>
      <c r="I14" s="417"/>
      <c r="J14" s="417"/>
      <c r="K14" s="417"/>
      <c r="L14" s="417"/>
      <c r="M14" s="417"/>
      <c r="N14" s="417"/>
      <c r="O14" s="417"/>
      <c r="P14" s="417"/>
      <c r="Q14" s="417"/>
      <c r="R14" s="417"/>
      <c r="S14" s="417"/>
      <c r="T14" s="417"/>
      <c r="U14" s="417"/>
      <c r="V14" s="418" t="s">
        <v>239</v>
      </c>
      <c r="W14" s="417"/>
      <c r="X14" s="419"/>
    </row>
    <row r="15" spans="1:24" s="420" customFormat="1" ht="15.75" x14ac:dyDescent="0.25">
      <c r="A15" s="416"/>
      <c r="B15" s="415" t="s">
        <v>2</v>
      </c>
      <c r="C15" s="417"/>
      <c r="D15" s="417"/>
      <c r="E15" s="417"/>
      <c r="F15" s="417"/>
      <c r="G15" s="417"/>
      <c r="H15" s="421"/>
      <c r="I15" s="421"/>
      <c r="J15" s="421"/>
      <c r="K15" s="421"/>
      <c r="L15" s="421"/>
      <c r="M15" s="421"/>
      <c r="N15" s="421"/>
      <c r="O15" s="421"/>
      <c r="P15" s="421"/>
      <c r="Q15" s="421"/>
      <c r="R15" s="421" t="s">
        <v>104</v>
      </c>
      <c r="S15" s="422">
        <v>0.47189999999999999</v>
      </c>
      <c r="T15" s="423" t="s">
        <v>140</v>
      </c>
      <c r="U15" s="422">
        <v>0.52810000000000001</v>
      </c>
      <c r="V15" s="418"/>
      <c r="W15" s="417"/>
      <c r="X15" s="419"/>
    </row>
    <row r="16" spans="1:24" s="420" customFormat="1" ht="15.75" x14ac:dyDescent="0.25">
      <c r="A16" s="416"/>
      <c r="B16" s="415" t="s">
        <v>3</v>
      </c>
      <c r="C16" s="417"/>
      <c r="D16" s="417"/>
      <c r="E16" s="417"/>
      <c r="F16" s="417"/>
      <c r="G16" s="417"/>
      <c r="H16" s="421"/>
      <c r="I16" s="421"/>
      <c r="J16" s="421"/>
      <c r="K16" s="421"/>
      <c r="L16" s="421"/>
      <c r="M16" s="421"/>
      <c r="N16" s="421"/>
      <c r="O16" s="421"/>
      <c r="P16" s="421"/>
      <c r="Q16" s="421"/>
      <c r="R16" s="421" t="s">
        <v>104</v>
      </c>
      <c r="S16" s="422">
        <v>0.57140000000000002</v>
      </c>
      <c r="T16" s="423" t="s">
        <v>140</v>
      </c>
      <c r="U16" s="422">
        <v>0.42859999999999998</v>
      </c>
      <c r="V16" s="418"/>
      <c r="W16" s="417"/>
      <c r="X16" s="419"/>
    </row>
    <row r="17" spans="1:24" s="420" customFormat="1" ht="15.75" x14ac:dyDescent="0.25">
      <c r="A17" s="416"/>
      <c r="B17" s="415" t="s">
        <v>4</v>
      </c>
      <c r="C17" s="417"/>
      <c r="D17" s="417"/>
      <c r="E17" s="417"/>
      <c r="F17" s="417"/>
      <c r="G17" s="417"/>
      <c r="H17" s="417"/>
      <c r="I17" s="417"/>
      <c r="J17" s="417"/>
      <c r="K17" s="417"/>
      <c r="L17" s="417"/>
      <c r="M17" s="417"/>
      <c r="N17" s="417"/>
      <c r="O17" s="417"/>
      <c r="P17" s="417"/>
      <c r="Q17" s="417"/>
      <c r="R17" s="417"/>
      <c r="S17" s="417"/>
      <c r="T17" s="417"/>
      <c r="U17" s="417"/>
      <c r="V17" s="424">
        <v>39282</v>
      </c>
      <c r="W17" s="417"/>
      <c r="X17" s="419"/>
    </row>
    <row r="18" spans="1:24" s="420" customFormat="1" ht="15.75" x14ac:dyDescent="0.25">
      <c r="A18" s="416"/>
      <c r="B18" s="415" t="s">
        <v>5</v>
      </c>
      <c r="C18" s="417"/>
      <c r="D18" s="417"/>
      <c r="E18" s="417"/>
      <c r="F18" s="417"/>
      <c r="G18" s="417"/>
      <c r="H18" s="417"/>
      <c r="I18" s="417"/>
      <c r="J18" s="417"/>
      <c r="K18" s="417"/>
      <c r="L18" s="417"/>
      <c r="M18" s="417"/>
      <c r="N18" s="417"/>
      <c r="O18" s="417"/>
      <c r="P18" s="417"/>
      <c r="Q18" s="417"/>
      <c r="R18" s="417"/>
      <c r="S18" s="417"/>
      <c r="T18" s="417"/>
      <c r="U18" s="417"/>
      <c r="V18" s="424">
        <v>43272</v>
      </c>
      <c r="W18" s="417"/>
      <c r="X18" s="419"/>
    </row>
    <row r="19" spans="1:24" s="420" customFormat="1" ht="15.75" x14ac:dyDescent="0.25">
      <c r="A19" s="416"/>
      <c r="B19" s="417"/>
      <c r="C19" s="417"/>
      <c r="D19" s="417"/>
      <c r="E19" s="417"/>
      <c r="F19" s="417"/>
      <c r="G19" s="417"/>
      <c r="H19" s="417"/>
      <c r="I19" s="417"/>
      <c r="J19" s="417"/>
      <c r="K19" s="417"/>
      <c r="L19" s="417"/>
      <c r="M19" s="417"/>
      <c r="N19" s="417"/>
      <c r="O19" s="417"/>
      <c r="P19" s="417"/>
      <c r="Q19" s="417"/>
      <c r="R19" s="417"/>
      <c r="S19" s="417"/>
      <c r="T19" s="417"/>
      <c r="U19" s="417"/>
      <c r="V19" s="425"/>
      <c r="W19" s="417"/>
      <c r="X19" s="419"/>
    </row>
    <row r="20" spans="1:24" s="420" customFormat="1" ht="15.75" x14ac:dyDescent="0.25">
      <c r="A20" s="416"/>
      <c r="B20" s="426" t="s">
        <v>6</v>
      </c>
      <c r="C20" s="417"/>
      <c r="D20" s="417"/>
      <c r="E20" s="417"/>
      <c r="F20" s="417"/>
      <c r="G20" s="417"/>
      <c r="H20" s="417"/>
      <c r="I20" s="417"/>
      <c r="J20" s="417"/>
      <c r="K20" s="417"/>
      <c r="L20" s="417"/>
      <c r="M20" s="417"/>
      <c r="N20" s="417"/>
      <c r="O20" s="417"/>
      <c r="P20" s="417"/>
      <c r="Q20" s="417"/>
      <c r="R20" s="417"/>
      <c r="S20" s="417"/>
      <c r="T20" s="425" t="s">
        <v>105</v>
      </c>
      <c r="U20" s="417"/>
      <c r="V20" s="427"/>
      <c r="W20" s="417"/>
      <c r="X20" s="419"/>
    </row>
    <row r="21" spans="1:24" ht="15.75" x14ac:dyDescent="0.25">
      <c r="A21" s="181"/>
      <c r="B21" s="183"/>
      <c r="C21" s="183"/>
      <c r="D21" s="183"/>
      <c r="E21" s="183"/>
      <c r="F21" s="183"/>
      <c r="G21" s="183"/>
      <c r="H21" s="183"/>
      <c r="I21" s="183"/>
      <c r="J21" s="183"/>
      <c r="K21" s="183"/>
      <c r="L21" s="183"/>
      <c r="M21" s="183"/>
      <c r="N21" s="183"/>
      <c r="O21" s="183"/>
      <c r="P21" s="183"/>
      <c r="Q21" s="183"/>
      <c r="R21" s="183"/>
      <c r="S21" s="183"/>
      <c r="T21" s="183"/>
      <c r="U21" s="183"/>
      <c r="V21" s="192"/>
      <c r="W21" s="183"/>
      <c r="X21" s="5"/>
    </row>
    <row r="22" spans="1:24" ht="15.75" x14ac:dyDescent="0.25">
      <c r="A22" s="536"/>
      <c r="B22" s="540"/>
      <c r="C22" s="541"/>
      <c r="D22" s="541" t="s">
        <v>177</v>
      </c>
      <c r="E22" s="541"/>
      <c r="F22" s="541" t="s">
        <v>178</v>
      </c>
      <c r="G22" s="541"/>
      <c r="H22" s="541" t="s">
        <v>179</v>
      </c>
      <c r="I22" s="541"/>
      <c r="J22" s="541" t="s">
        <v>219</v>
      </c>
      <c r="K22" s="541"/>
      <c r="L22" s="541" t="s">
        <v>180</v>
      </c>
      <c r="M22" s="541"/>
      <c r="N22" s="541" t="s">
        <v>181</v>
      </c>
      <c r="O22" s="541"/>
      <c r="P22" s="541" t="s">
        <v>182</v>
      </c>
      <c r="Q22" s="541"/>
      <c r="R22" s="541"/>
      <c r="S22" s="542"/>
      <c r="T22" s="542"/>
      <c r="U22" s="543"/>
      <c r="V22" s="543"/>
      <c r="W22" s="544"/>
      <c r="X22" s="5"/>
    </row>
    <row r="23" spans="1:24" s="420" customFormat="1" ht="15.75" x14ac:dyDescent="0.25">
      <c r="A23" s="416"/>
      <c r="B23" s="462" t="s">
        <v>7</v>
      </c>
      <c r="C23" s="538"/>
      <c r="D23" s="538" t="s">
        <v>212</v>
      </c>
      <c r="E23" s="538"/>
      <c r="F23" s="538" t="s">
        <v>141</v>
      </c>
      <c r="G23" s="538"/>
      <c r="H23" s="538" t="s">
        <v>141</v>
      </c>
      <c r="I23" s="538"/>
      <c r="J23" s="538" t="s">
        <v>141</v>
      </c>
      <c r="K23" s="538"/>
      <c r="L23" s="538" t="s">
        <v>183</v>
      </c>
      <c r="M23" s="538"/>
      <c r="N23" s="538" t="s">
        <v>183</v>
      </c>
      <c r="O23" s="538"/>
      <c r="P23" s="538" t="s">
        <v>142</v>
      </c>
      <c r="Q23" s="538"/>
      <c r="R23" s="538"/>
      <c r="S23" s="538"/>
      <c r="T23" s="538"/>
      <c r="U23" s="539"/>
      <c r="V23" s="539"/>
      <c r="W23" s="462"/>
      <c r="X23" s="419"/>
    </row>
    <row r="24" spans="1:24" s="420" customFormat="1" ht="15.75" x14ac:dyDescent="0.25">
      <c r="A24" s="428"/>
      <c r="B24" s="429" t="s">
        <v>8</v>
      </c>
      <c r="C24" s="430"/>
      <c r="D24" s="430" t="s">
        <v>213</v>
      </c>
      <c r="E24" s="430"/>
      <c r="F24" s="430" t="s">
        <v>143</v>
      </c>
      <c r="G24" s="430"/>
      <c r="H24" s="430" t="s">
        <v>143</v>
      </c>
      <c r="I24" s="430"/>
      <c r="J24" s="430" t="s">
        <v>143</v>
      </c>
      <c r="K24" s="430"/>
      <c r="L24" s="430" t="s">
        <v>165</v>
      </c>
      <c r="M24" s="430"/>
      <c r="N24" s="430" t="s">
        <v>165</v>
      </c>
      <c r="O24" s="430"/>
      <c r="P24" s="430" t="s">
        <v>144</v>
      </c>
      <c r="Q24" s="430"/>
      <c r="R24" s="430"/>
      <c r="S24" s="430"/>
      <c r="T24" s="430"/>
      <c r="U24" s="431"/>
      <c r="V24" s="431"/>
      <c r="W24" s="432"/>
      <c r="X24" s="419"/>
    </row>
    <row r="25" spans="1:24" s="420" customFormat="1" ht="15.75" x14ac:dyDescent="0.25">
      <c r="A25" s="433"/>
      <c r="B25" s="429" t="s">
        <v>190</v>
      </c>
      <c r="C25" s="434"/>
      <c r="D25" s="430" t="s">
        <v>214</v>
      </c>
      <c r="E25" s="430"/>
      <c r="F25" s="430" t="s">
        <v>143</v>
      </c>
      <c r="G25" s="430"/>
      <c r="H25" s="430" t="s">
        <v>143</v>
      </c>
      <c r="I25" s="430"/>
      <c r="J25" s="430" t="s">
        <v>143</v>
      </c>
      <c r="K25" s="430"/>
      <c r="L25" s="430" t="s">
        <v>165</v>
      </c>
      <c r="M25" s="430"/>
      <c r="N25" s="430" t="s">
        <v>165</v>
      </c>
      <c r="O25" s="430"/>
      <c r="P25" s="430" t="s">
        <v>144</v>
      </c>
      <c r="Q25" s="430"/>
      <c r="R25" s="430"/>
      <c r="S25" s="434"/>
      <c r="T25" s="430"/>
      <c r="U25" s="431"/>
      <c r="V25" s="431"/>
      <c r="W25" s="432"/>
      <c r="X25" s="419"/>
    </row>
    <row r="26" spans="1:24" s="420" customFormat="1" ht="15.75" x14ac:dyDescent="0.25">
      <c r="A26" s="433"/>
      <c r="B26" s="435" t="s">
        <v>9</v>
      </c>
      <c r="C26" s="434"/>
      <c r="D26" s="434" t="s">
        <v>141</v>
      </c>
      <c r="E26" s="434"/>
      <c r="F26" s="434" t="s">
        <v>141</v>
      </c>
      <c r="G26" s="434"/>
      <c r="H26" s="434" t="s">
        <v>141</v>
      </c>
      <c r="I26" s="434"/>
      <c r="J26" s="434" t="s">
        <v>141</v>
      </c>
      <c r="K26" s="434"/>
      <c r="L26" s="434" t="s">
        <v>183</v>
      </c>
      <c r="M26" s="434"/>
      <c r="N26" s="434" t="s">
        <v>183</v>
      </c>
      <c r="O26" s="434"/>
      <c r="P26" s="434" t="s">
        <v>142</v>
      </c>
      <c r="Q26" s="434"/>
      <c r="R26" s="434"/>
      <c r="S26" s="434"/>
      <c r="T26" s="430"/>
      <c r="U26" s="431"/>
      <c r="V26" s="431"/>
      <c r="W26" s="432"/>
      <c r="X26" s="419"/>
    </row>
    <row r="27" spans="1:24" s="420" customFormat="1" ht="15.75" x14ac:dyDescent="0.25">
      <c r="A27" s="428"/>
      <c r="B27" s="435" t="s">
        <v>191</v>
      </c>
      <c r="C27" s="430"/>
      <c r="D27" s="434" t="s">
        <v>143</v>
      </c>
      <c r="E27" s="434"/>
      <c r="F27" s="434" t="s">
        <v>143</v>
      </c>
      <c r="G27" s="434"/>
      <c r="H27" s="434" t="s">
        <v>143</v>
      </c>
      <c r="I27" s="434"/>
      <c r="J27" s="434" t="s">
        <v>143</v>
      </c>
      <c r="K27" s="434"/>
      <c r="L27" s="434" t="s">
        <v>165</v>
      </c>
      <c r="M27" s="434"/>
      <c r="N27" s="434" t="s">
        <v>165</v>
      </c>
      <c r="O27" s="434"/>
      <c r="P27" s="434" t="s">
        <v>330</v>
      </c>
      <c r="Q27" s="434"/>
      <c r="R27" s="434"/>
      <c r="S27" s="430"/>
      <c r="T27" s="436"/>
      <c r="U27" s="431"/>
      <c r="V27" s="431"/>
      <c r="W27" s="432"/>
      <c r="X27" s="419"/>
    </row>
    <row r="28" spans="1:24" s="420" customFormat="1" ht="15.75" x14ac:dyDescent="0.25">
      <c r="A28" s="428"/>
      <c r="B28" s="435" t="s">
        <v>192</v>
      </c>
      <c r="C28" s="430"/>
      <c r="D28" s="434" t="s">
        <v>143</v>
      </c>
      <c r="E28" s="434"/>
      <c r="F28" s="434" t="s">
        <v>143</v>
      </c>
      <c r="G28" s="434"/>
      <c r="H28" s="434" t="s">
        <v>143</v>
      </c>
      <c r="I28" s="434"/>
      <c r="J28" s="434" t="s">
        <v>143</v>
      </c>
      <c r="K28" s="434"/>
      <c r="L28" s="434" t="s">
        <v>143</v>
      </c>
      <c r="M28" s="434"/>
      <c r="N28" s="434" t="s">
        <v>143</v>
      </c>
      <c r="O28" s="434"/>
      <c r="P28" s="434" t="s">
        <v>330</v>
      </c>
      <c r="Q28" s="434"/>
      <c r="R28" s="434"/>
      <c r="S28" s="430"/>
      <c r="T28" s="436"/>
      <c r="U28" s="431"/>
      <c r="V28" s="431"/>
      <c r="W28" s="432"/>
      <c r="X28" s="419"/>
    </row>
    <row r="29" spans="1:24" s="420" customFormat="1" ht="15.75" x14ac:dyDescent="0.25">
      <c r="A29" s="428"/>
      <c r="B29" s="429" t="s">
        <v>10</v>
      </c>
      <c r="C29" s="437"/>
      <c r="D29" s="430" t="s">
        <v>242</v>
      </c>
      <c r="E29" s="430"/>
      <c r="F29" s="436" t="s">
        <v>244</v>
      </c>
      <c r="G29" s="430"/>
      <c r="H29" s="430" t="s">
        <v>245</v>
      </c>
      <c r="I29" s="430"/>
      <c r="J29" s="430" t="s">
        <v>247</v>
      </c>
      <c r="K29" s="430"/>
      <c r="L29" s="430" t="s">
        <v>248</v>
      </c>
      <c r="M29" s="430"/>
      <c r="N29" s="430" t="s">
        <v>249</v>
      </c>
      <c r="O29" s="430"/>
      <c r="P29" s="430" t="s">
        <v>250</v>
      </c>
      <c r="Q29" s="430"/>
      <c r="R29" s="430"/>
      <c r="S29" s="438"/>
      <c r="T29" s="438"/>
      <c r="U29" s="439"/>
      <c r="V29" s="438"/>
      <c r="W29" s="440"/>
      <c r="X29" s="419"/>
    </row>
    <row r="30" spans="1:24" s="420" customFormat="1" ht="15.75" x14ac:dyDescent="0.25">
      <c r="A30" s="428"/>
      <c r="B30" s="429" t="s">
        <v>10</v>
      </c>
      <c r="C30" s="437"/>
      <c r="D30" s="430" t="s">
        <v>243</v>
      </c>
      <c r="E30" s="430"/>
      <c r="F30" s="436" t="s">
        <v>118</v>
      </c>
      <c r="G30" s="430"/>
      <c r="H30" s="430" t="s">
        <v>118</v>
      </c>
      <c r="I30" s="430"/>
      <c r="J30" s="430" t="s">
        <v>246</v>
      </c>
      <c r="K30" s="430"/>
      <c r="L30" s="430" t="s">
        <v>118</v>
      </c>
      <c r="M30" s="430"/>
      <c r="N30" s="430" t="s">
        <v>118</v>
      </c>
      <c r="O30" s="430"/>
      <c r="P30" s="430" t="s">
        <v>118</v>
      </c>
      <c r="Q30" s="430"/>
      <c r="R30" s="430"/>
      <c r="S30" s="438"/>
      <c r="T30" s="438"/>
      <c r="U30" s="439"/>
      <c r="V30" s="438"/>
      <c r="W30" s="440"/>
      <c r="X30" s="419"/>
    </row>
    <row r="31" spans="1:24" s="420" customFormat="1" ht="15.75" x14ac:dyDescent="0.25">
      <c r="A31" s="433"/>
      <c r="B31" s="429" t="s">
        <v>133</v>
      </c>
      <c r="C31" s="441"/>
      <c r="D31" s="442">
        <v>1000000</v>
      </c>
      <c r="E31" s="437"/>
      <c r="F31" s="438">
        <v>209500</v>
      </c>
      <c r="G31" s="438"/>
      <c r="H31" s="443">
        <v>110000</v>
      </c>
      <c r="I31" s="443"/>
      <c r="J31" s="442">
        <v>150000</v>
      </c>
      <c r="K31" s="438"/>
      <c r="L31" s="438">
        <v>17000</v>
      </c>
      <c r="M31" s="438"/>
      <c r="N31" s="443">
        <v>85500</v>
      </c>
      <c r="O31" s="438"/>
      <c r="P31" s="443">
        <v>110500</v>
      </c>
      <c r="Q31" s="438"/>
      <c r="R31" s="443"/>
      <c r="S31" s="444"/>
      <c r="T31" s="444"/>
      <c r="U31" s="445"/>
      <c r="V31" s="444"/>
      <c r="W31" s="440"/>
      <c r="X31" s="419"/>
    </row>
    <row r="32" spans="1:24" s="420" customFormat="1" ht="15.75" x14ac:dyDescent="0.25">
      <c r="A32" s="428"/>
      <c r="B32" s="429" t="s">
        <v>132</v>
      </c>
      <c r="C32" s="437"/>
      <c r="D32" s="442">
        <f>D31*D38</f>
        <v>558006.1</v>
      </c>
      <c r="E32" s="437"/>
      <c r="F32" s="438">
        <f>F31*F38</f>
        <v>116902.71789999999</v>
      </c>
      <c r="G32" s="438"/>
      <c r="H32" s="443">
        <f>H31*H38</f>
        <v>61381.869999999995</v>
      </c>
      <c r="I32" s="443"/>
      <c r="J32" s="442">
        <f>J31*J38</f>
        <v>83700.914999999994</v>
      </c>
      <c r="K32" s="438"/>
      <c r="L32" s="438">
        <f>L31*L38</f>
        <v>17000</v>
      </c>
      <c r="M32" s="438"/>
      <c r="N32" s="443">
        <f>N31*N38</f>
        <v>85500</v>
      </c>
      <c r="O32" s="438"/>
      <c r="P32" s="443">
        <f>P31*P38</f>
        <v>110500</v>
      </c>
      <c r="Q32" s="438"/>
      <c r="R32" s="443"/>
      <c r="S32" s="438"/>
      <c r="T32" s="438"/>
      <c r="U32" s="439"/>
      <c r="V32" s="438"/>
      <c r="W32" s="440"/>
      <c r="X32" s="419"/>
    </row>
    <row r="33" spans="1:27" s="420" customFormat="1" ht="15.75" x14ac:dyDescent="0.25">
      <c r="A33" s="428"/>
      <c r="B33" s="435" t="s">
        <v>134</v>
      </c>
      <c r="C33" s="437"/>
      <c r="D33" s="446">
        <f>D37*D31</f>
        <v>545847.4</v>
      </c>
      <c r="E33" s="441"/>
      <c r="F33" s="444">
        <f>F37*F31</f>
        <v>114355.4912</v>
      </c>
      <c r="G33" s="444"/>
      <c r="H33" s="447">
        <f>H31*H37</f>
        <v>60044.445999999996</v>
      </c>
      <c r="I33" s="447"/>
      <c r="J33" s="446">
        <f>J37*J31</f>
        <v>81877.11</v>
      </c>
      <c r="K33" s="444"/>
      <c r="L33" s="444">
        <f>L31*L37</f>
        <v>17000</v>
      </c>
      <c r="M33" s="444"/>
      <c r="N33" s="447">
        <f>N31*N37</f>
        <v>85500</v>
      </c>
      <c r="O33" s="444"/>
      <c r="P33" s="447">
        <f>P31*P37</f>
        <v>110500</v>
      </c>
      <c r="Q33" s="444"/>
      <c r="R33" s="447"/>
      <c r="S33" s="438"/>
      <c r="T33" s="438"/>
      <c r="U33" s="439"/>
      <c r="V33" s="438"/>
      <c r="W33" s="440"/>
      <c r="X33" s="419"/>
    </row>
    <row r="34" spans="1:27" s="420" customFormat="1" ht="15.75" x14ac:dyDescent="0.25">
      <c r="A34" s="433"/>
      <c r="B34" s="429" t="s">
        <v>286</v>
      </c>
      <c r="C34" s="441"/>
      <c r="D34" s="438">
        <v>492951</v>
      </c>
      <c r="E34" s="437"/>
      <c r="F34" s="438">
        <v>209500</v>
      </c>
      <c r="G34" s="438"/>
      <c r="H34" s="438">
        <v>74677</v>
      </c>
      <c r="I34" s="438"/>
      <c r="J34" s="438">
        <v>73943</v>
      </c>
      <c r="K34" s="438"/>
      <c r="L34" s="438">
        <v>17000</v>
      </c>
      <c r="M34" s="438"/>
      <c r="N34" s="438">
        <v>58045</v>
      </c>
      <c r="O34" s="438"/>
      <c r="P34" s="438">
        <v>75017</v>
      </c>
      <c r="Q34" s="438"/>
      <c r="R34" s="438"/>
      <c r="S34" s="444"/>
      <c r="T34" s="444"/>
      <c r="U34" s="445"/>
      <c r="V34" s="438">
        <f>SUM(C34:R34)</f>
        <v>1001133</v>
      </c>
      <c r="W34" s="440"/>
      <c r="X34" s="419"/>
    </row>
    <row r="35" spans="1:27" s="420" customFormat="1" ht="15.75" x14ac:dyDescent="0.25">
      <c r="A35" s="433"/>
      <c r="B35" s="429" t="s">
        <v>287</v>
      </c>
      <c r="C35" s="441"/>
      <c r="D35" s="438">
        <f>D34*D38</f>
        <v>275069.66500109999</v>
      </c>
      <c r="E35" s="437"/>
      <c r="F35" s="438">
        <f>F34*F38</f>
        <v>116902.71789999999</v>
      </c>
      <c r="G35" s="438"/>
      <c r="H35" s="438">
        <f>H34*H38</f>
        <v>41671.035509000001</v>
      </c>
      <c r="I35" s="438"/>
      <c r="J35" s="438">
        <f>J34*J38</f>
        <v>41260.645052299995</v>
      </c>
      <c r="K35" s="438"/>
      <c r="L35" s="438">
        <f>L34*L38</f>
        <v>17000</v>
      </c>
      <c r="M35" s="438"/>
      <c r="N35" s="438">
        <f>N34*N38</f>
        <v>58045</v>
      </c>
      <c r="O35" s="438"/>
      <c r="P35" s="438">
        <f>P34*P38</f>
        <v>75017</v>
      </c>
      <c r="Q35" s="438"/>
      <c r="R35" s="438"/>
      <c r="S35" s="438"/>
      <c r="T35" s="438"/>
      <c r="U35" s="439"/>
      <c r="V35" s="438">
        <f>SUM(C35:R35)</f>
        <v>624966.06346239999</v>
      </c>
      <c r="W35" s="440"/>
      <c r="X35" s="419"/>
    </row>
    <row r="36" spans="1:27" s="420" customFormat="1" ht="15.75" x14ac:dyDescent="0.25">
      <c r="A36" s="433"/>
      <c r="B36" s="435" t="s">
        <v>288</v>
      </c>
      <c r="C36" s="441"/>
      <c r="D36" s="444">
        <f>D34*D37</f>
        <v>269076.02167739999</v>
      </c>
      <c r="E36" s="441"/>
      <c r="F36" s="444">
        <f>F34*F37</f>
        <v>114355.4912</v>
      </c>
      <c r="G36" s="444"/>
      <c r="H36" s="444">
        <f>H34*H37</f>
        <v>40763.082672199998</v>
      </c>
      <c r="I36" s="444"/>
      <c r="J36" s="444">
        <f>J34*J37</f>
        <v>40361.594298199998</v>
      </c>
      <c r="K36" s="444"/>
      <c r="L36" s="444">
        <f>L34*L37</f>
        <v>17000</v>
      </c>
      <c r="M36" s="444"/>
      <c r="N36" s="444">
        <f>N34*N37</f>
        <v>58045</v>
      </c>
      <c r="O36" s="444"/>
      <c r="P36" s="444">
        <f>P34*P37</f>
        <v>75017</v>
      </c>
      <c r="Q36" s="444"/>
      <c r="R36" s="444"/>
      <c r="S36" s="448"/>
      <c r="T36" s="448"/>
      <c r="U36" s="439"/>
      <c r="V36" s="444">
        <f>SUM(C36:R36)</f>
        <v>614618.18984779995</v>
      </c>
      <c r="W36" s="440"/>
      <c r="X36" s="419"/>
    </row>
    <row r="37" spans="1:27" s="522" customFormat="1" ht="15.75" x14ac:dyDescent="0.25">
      <c r="A37" s="514"/>
      <c r="B37" s="515" t="s">
        <v>130</v>
      </c>
      <c r="C37" s="516"/>
      <c r="D37" s="517">
        <v>0.54584739999999998</v>
      </c>
      <c r="E37" s="517"/>
      <c r="F37" s="517">
        <v>0.54584960000000005</v>
      </c>
      <c r="G37" s="517"/>
      <c r="H37" s="517">
        <v>0.54585859999999997</v>
      </c>
      <c r="I37" s="517"/>
      <c r="J37" s="517">
        <v>0.54584739999999998</v>
      </c>
      <c r="K37" s="517"/>
      <c r="L37" s="517">
        <v>1</v>
      </c>
      <c r="M37" s="517"/>
      <c r="N37" s="517">
        <v>1</v>
      </c>
      <c r="O37" s="517"/>
      <c r="P37" s="517">
        <v>1</v>
      </c>
      <c r="Q37" s="517"/>
      <c r="R37" s="517"/>
      <c r="S37" s="518"/>
      <c r="T37" s="518"/>
      <c r="U37" s="519"/>
      <c r="V37" s="519"/>
      <c r="W37" s="520"/>
      <c r="X37" s="521"/>
    </row>
    <row r="38" spans="1:27" s="522" customFormat="1" ht="15.75" x14ac:dyDescent="0.25">
      <c r="A38" s="514"/>
      <c r="B38" s="515" t="s">
        <v>131</v>
      </c>
      <c r="C38" s="516"/>
      <c r="D38" s="517">
        <v>0.55800609999999995</v>
      </c>
      <c r="E38" s="517"/>
      <c r="F38" s="517">
        <v>0.55800819999999995</v>
      </c>
      <c r="G38" s="517"/>
      <c r="H38" s="517">
        <v>0.55801699999999999</v>
      </c>
      <c r="I38" s="517"/>
      <c r="J38" s="517">
        <v>0.55800609999999995</v>
      </c>
      <c r="K38" s="517"/>
      <c r="L38" s="517">
        <v>1</v>
      </c>
      <c r="M38" s="517"/>
      <c r="N38" s="517">
        <v>1</v>
      </c>
      <c r="O38" s="517"/>
      <c r="P38" s="517">
        <v>1</v>
      </c>
      <c r="Q38" s="517"/>
      <c r="R38" s="517"/>
      <c r="S38" s="523"/>
      <c r="T38" s="524"/>
      <c r="U38" s="519"/>
      <c r="V38" s="523"/>
      <c r="W38" s="520"/>
      <c r="X38" s="521"/>
    </row>
    <row r="39" spans="1:27" s="522" customFormat="1" ht="15.75" x14ac:dyDescent="0.25">
      <c r="A39" s="514"/>
      <c r="B39" s="516" t="s">
        <v>11</v>
      </c>
      <c r="C39" s="516"/>
      <c r="D39" s="518" t="s">
        <v>304</v>
      </c>
      <c r="E39" s="516"/>
      <c r="F39" s="518" t="s">
        <v>256</v>
      </c>
      <c r="G39" s="518"/>
      <c r="H39" s="518" t="s">
        <v>257</v>
      </c>
      <c r="I39" s="518"/>
      <c r="J39" s="518" t="s">
        <v>258</v>
      </c>
      <c r="K39" s="518"/>
      <c r="L39" s="518" t="s">
        <v>259</v>
      </c>
      <c r="M39" s="518"/>
      <c r="N39" s="518" t="s">
        <v>259</v>
      </c>
      <c r="O39" s="518"/>
      <c r="P39" s="518" t="s">
        <v>260</v>
      </c>
      <c r="Q39" s="518"/>
      <c r="R39" s="518"/>
      <c r="S39" s="523"/>
      <c r="T39" s="524"/>
      <c r="U39" s="519"/>
      <c r="V39" s="519"/>
      <c r="W39" s="520"/>
      <c r="X39" s="521"/>
    </row>
    <row r="40" spans="1:27" s="420" customFormat="1" ht="15.75" x14ac:dyDescent="0.25">
      <c r="A40" s="428"/>
      <c r="B40" s="429" t="s">
        <v>12</v>
      </c>
      <c r="C40" s="429"/>
      <c r="D40" s="450">
        <v>2.0987100000000002E-2</v>
      </c>
      <c r="E40" s="429"/>
      <c r="F40" s="450">
        <v>8.6590999999999994E-3</v>
      </c>
      <c r="G40" s="449"/>
      <c r="H40" s="450">
        <v>0</v>
      </c>
      <c r="I40" s="450"/>
      <c r="J40" s="450">
        <v>2.3445000000000001E-2</v>
      </c>
      <c r="K40" s="449"/>
      <c r="L40" s="450">
        <v>1.14591E-2</v>
      </c>
      <c r="M40" s="449"/>
      <c r="N40" s="450">
        <v>2.1299999999999999E-3</v>
      </c>
      <c r="O40" s="449"/>
      <c r="P40" s="450">
        <v>7.7299999999999999E-3</v>
      </c>
      <c r="Q40" s="449"/>
      <c r="R40" s="450"/>
      <c r="S40" s="449"/>
      <c r="T40" s="450"/>
      <c r="U40" s="431"/>
      <c r="V40" s="436"/>
      <c r="W40" s="432"/>
      <c r="X40" s="419"/>
      <c r="AA40" s="420" t="s">
        <v>193</v>
      </c>
    </row>
    <row r="41" spans="1:27" s="420" customFormat="1" ht="15.75" x14ac:dyDescent="0.25">
      <c r="A41" s="428"/>
      <c r="B41" s="429" t="s">
        <v>13</v>
      </c>
      <c r="C41" s="429"/>
      <c r="D41" s="450">
        <v>1.7675E-2</v>
      </c>
      <c r="E41" s="429"/>
      <c r="F41" s="450">
        <v>7.7619000000000004E-3</v>
      </c>
      <c r="G41" s="449"/>
      <c r="H41" s="450">
        <v>0</v>
      </c>
      <c r="I41" s="450"/>
      <c r="J41" s="450">
        <v>1.8084900000000001E-2</v>
      </c>
      <c r="K41" s="449"/>
      <c r="L41" s="450">
        <v>1.0561900000000001E-2</v>
      </c>
      <c r="M41" s="449"/>
      <c r="N41" s="450">
        <v>2.1099999999999999E-3</v>
      </c>
      <c r="O41" s="449"/>
      <c r="P41" s="450">
        <v>7.7099999999999998E-3</v>
      </c>
      <c r="Q41" s="449"/>
      <c r="R41" s="450"/>
      <c r="S41" s="449"/>
      <c r="T41" s="450"/>
      <c r="U41" s="431"/>
      <c r="V41" s="449" t="s">
        <v>193</v>
      </c>
      <c r="W41" s="432"/>
      <c r="X41" s="419"/>
    </row>
    <row r="42" spans="1:27" s="420" customFormat="1" ht="15.75" x14ac:dyDescent="0.25">
      <c r="A42" s="428"/>
      <c r="B42" s="429" t="s">
        <v>289</v>
      </c>
      <c r="C42" s="429"/>
      <c r="D42" s="436" t="s">
        <v>311</v>
      </c>
      <c r="E42" s="429"/>
      <c r="F42" s="436" t="s">
        <v>256</v>
      </c>
      <c r="G42" s="436"/>
      <c r="H42" s="436" t="s">
        <v>261</v>
      </c>
      <c r="I42" s="436"/>
      <c r="J42" s="436" t="s">
        <v>261</v>
      </c>
      <c r="K42" s="436"/>
      <c r="L42" s="436" t="s">
        <v>259</v>
      </c>
      <c r="M42" s="436"/>
      <c r="N42" s="436" t="s">
        <v>263</v>
      </c>
      <c r="O42" s="436"/>
      <c r="P42" s="436" t="s">
        <v>264</v>
      </c>
      <c r="Q42" s="436"/>
      <c r="R42" s="436"/>
      <c r="S42" s="449"/>
      <c r="T42" s="450"/>
      <c r="U42" s="431"/>
      <c r="V42" s="431"/>
      <c r="W42" s="432"/>
      <c r="X42" s="419"/>
    </row>
    <row r="43" spans="1:27" s="420" customFormat="1" ht="15.75" x14ac:dyDescent="0.25">
      <c r="A43" s="428"/>
      <c r="B43" s="429" t="s">
        <v>290</v>
      </c>
      <c r="C43" s="451"/>
      <c r="D43" s="450">
        <v>8.0560000000000007E-3</v>
      </c>
      <c r="E43" s="450"/>
      <c r="F43" s="450">
        <f>+F40</f>
        <v>8.6590999999999994E-3</v>
      </c>
      <c r="G43" s="450"/>
      <c r="H43" s="450">
        <v>8.8091000000000003E-3</v>
      </c>
      <c r="I43" s="450"/>
      <c r="J43" s="450">
        <v>8.8391000000000008E-3</v>
      </c>
      <c r="K43" s="450"/>
      <c r="L43" s="450">
        <f>+L40</f>
        <v>1.14591E-2</v>
      </c>
      <c r="M43" s="450"/>
      <c r="N43" s="450">
        <v>1.21931E-2</v>
      </c>
      <c r="O43" s="450"/>
      <c r="P43" s="450">
        <v>1.8353100000000001E-2</v>
      </c>
      <c r="Q43" s="449"/>
      <c r="R43" s="450"/>
      <c r="S43" s="436"/>
      <c r="T43" s="436"/>
      <c r="U43" s="431"/>
      <c r="V43" s="449">
        <f>SUMPRODUCT(D43:R43,D35:R35)/V35</f>
        <v>9.9835381301088041E-3</v>
      </c>
      <c r="W43" s="432"/>
      <c r="X43" s="419"/>
    </row>
    <row r="44" spans="1:27" s="420" customFormat="1" ht="15.75" x14ac:dyDescent="0.25">
      <c r="A44" s="428"/>
      <c r="B44" s="429" t="s">
        <v>291</v>
      </c>
      <c r="C44" s="451"/>
      <c r="D44" s="450">
        <v>7.1587999999999999E-3</v>
      </c>
      <c r="E44" s="450"/>
      <c r="F44" s="450">
        <f>+F41</f>
        <v>7.7619000000000004E-3</v>
      </c>
      <c r="G44" s="450"/>
      <c r="H44" s="450">
        <v>7.9118999999999995E-3</v>
      </c>
      <c r="I44" s="450"/>
      <c r="J44" s="450">
        <v>7.9419E-3</v>
      </c>
      <c r="K44" s="450"/>
      <c r="L44" s="450">
        <f>+L41</f>
        <v>1.0561900000000001E-2</v>
      </c>
      <c r="M44" s="450"/>
      <c r="N44" s="450">
        <v>1.1295899999999999E-2</v>
      </c>
      <c r="O44" s="450"/>
      <c r="P44" s="450">
        <v>1.74559E-2</v>
      </c>
      <c r="Q44" s="449"/>
      <c r="R44" s="450"/>
      <c r="S44" s="436"/>
      <c r="T44" s="436"/>
      <c r="U44" s="431"/>
      <c r="V44" s="431"/>
      <c r="W44" s="432"/>
      <c r="X44" s="419"/>
    </row>
    <row r="45" spans="1:27" s="420" customFormat="1" ht="15.75" x14ac:dyDescent="0.25">
      <c r="A45" s="428"/>
      <c r="B45" s="429" t="s">
        <v>14</v>
      </c>
      <c r="C45" s="429"/>
      <c r="D45" s="451">
        <v>40709</v>
      </c>
      <c r="E45" s="451"/>
      <c r="F45" s="451">
        <v>40709</v>
      </c>
      <c r="G45" s="451"/>
      <c r="H45" s="451">
        <v>40709</v>
      </c>
      <c r="I45" s="451"/>
      <c r="J45" s="451">
        <v>40709</v>
      </c>
      <c r="K45" s="451"/>
      <c r="L45" s="451">
        <v>40709</v>
      </c>
      <c r="M45" s="451"/>
      <c r="N45" s="451">
        <v>40709</v>
      </c>
      <c r="O45" s="451"/>
      <c r="P45" s="451">
        <v>40709</v>
      </c>
      <c r="Q45" s="451"/>
      <c r="R45" s="451"/>
      <c r="S45" s="436"/>
      <c r="T45" s="436"/>
      <c r="U45" s="431"/>
      <c r="V45" s="431"/>
      <c r="W45" s="432"/>
      <c r="X45" s="419"/>
    </row>
    <row r="46" spans="1:27" s="420" customFormat="1" ht="15.75" x14ac:dyDescent="0.25">
      <c r="A46" s="428"/>
      <c r="B46" s="429" t="s">
        <v>15</v>
      </c>
      <c r="C46" s="429"/>
      <c r="D46" s="451">
        <v>41075</v>
      </c>
      <c r="E46" s="451"/>
      <c r="F46" s="451">
        <v>41075</v>
      </c>
      <c r="G46" s="451"/>
      <c r="H46" s="451">
        <v>41075</v>
      </c>
      <c r="I46" s="451"/>
      <c r="J46" s="451">
        <v>41075</v>
      </c>
      <c r="K46" s="436"/>
      <c r="L46" s="451">
        <v>41075</v>
      </c>
      <c r="M46" s="436"/>
      <c r="N46" s="451">
        <v>41075</v>
      </c>
      <c r="O46" s="436"/>
      <c r="P46" s="451">
        <v>41075</v>
      </c>
      <c r="Q46" s="436"/>
      <c r="R46" s="451"/>
      <c r="S46" s="436"/>
      <c r="T46" s="436"/>
      <c r="U46" s="431"/>
      <c r="V46" s="431"/>
      <c r="W46" s="432"/>
      <c r="X46" s="419"/>
    </row>
    <row r="47" spans="1:27" s="420" customFormat="1" ht="15.75" x14ac:dyDescent="0.25">
      <c r="A47" s="428"/>
      <c r="B47" s="429" t="s">
        <v>119</v>
      </c>
      <c r="C47" s="429"/>
      <c r="D47" s="436" t="s">
        <v>304</v>
      </c>
      <c r="E47" s="429"/>
      <c r="F47" s="436" t="s">
        <v>256</v>
      </c>
      <c r="G47" s="436"/>
      <c r="H47" s="436" t="s">
        <v>257</v>
      </c>
      <c r="I47" s="436"/>
      <c r="J47" s="436" t="s">
        <v>258</v>
      </c>
      <c r="K47" s="436"/>
      <c r="L47" s="436" t="s">
        <v>259</v>
      </c>
      <c r="M47" s="436"/>
      <c r="N47" s="436" t="s">
        <v>259</v>
      </c>
      <c r="O47" s="436"/>
      <c r="P47" s="436" t="s">
        <v>260</v>
      </c>
      <c r="Q47" s="436"/>
      <c r="R47" s="436"/>
      <c r="S47" s="452"/>
      <c r="T47" s="452"/>
      <c r="U47" s="452"/>
      <c r="V47" s="452"/>
      <c r="W47" s="432"/>
      <c r="X47" s="419"/>
    </row>
    <row r="48" spans="1:27" s="420" customFormat="1" ht="15.75" x14ac:dyDescent="0.25">
      <c r="A48" s="428"/>
      <c r="B48" s="429" t="s">
        <v>292</v>
      </c>
      <c r="C48" s="429"/>
      <c r="D48" s="436" t="s">
        <v>311</v>
      </c>
      <c r="E48" s="429"/>
      <c r="F48" s="436" t="s">
        <v>256</v>
      </c>
      <c r="G48" s="436"/>
      <c r="H48" s="436" t="s">
        <v>261</v>
      </c>
      <c r="I48" s="436"/>
      <c r="J48" s="436" t="s">
        <v>261</v>
      </c>
      <c r="K48" s="436"/>
      <c r="L48" s="436" t="s">
        <v>259</v>
      </c>
      <c r="M48" s="436"/>
      <c r="N48" s="436" t="s">
        <v>263</v>
      </c>
      <c r="O48" s="436"/>
      <c r="P48" s="436" t="s">
        <v>264</v>
      </c>
      <c r="Q48" s="436"/>
      <c r="R48" s="436"/>
      <c r="S48" s="429"/>
      <c r="T48" s="429"/>
      <c r="U48" s="429"/>
      <c r="V48" s="449"/>
      <c r="W48" s="432"/>
      <c r="X48" s="419"/>
    </row>
    <row r="49" spans="1:25" s="420" customFormat="1" ht="15.75" x14ac:dyDescent="0.25">
      <c r="A49" s="428"/>
      <c r="B49" s="429"/>
      <c r="C49" s="429"/>
      <c r="D49" s="436"/>
      <c r="E49" s="429"/>
      <c r="F49" s="436"/>
      <c r="G49" s="436"/>
      <c r="H49" s="436"/>
      <c r="I49" s="436"/>
      <c r="J49" s="436"/>
      <c r="K49" s="436"/>
      <c r="L49" s="436"/>
      <c r="M49" s="436"/>
      <c r="N49" s="436"/>
      <c r="O49" s="436"/>
      <c r="P49" s="436"/>
      <c r="Q49" s="436"/>
      <c r="R49" s="436"/>
      <c r="S49" s="429"/>
      <c r="T49" s="429"/>
      <c r="U49" s="429"/>
      <c r="V49" s="449" t="s">
        <v>193</v>
      </c>
      <c r="W49" s="432"/>
      <c r="X49" s="419"/>
    </row>
    <row r="50" spans="1:25" s="420" customFormat="1" ht="15.75" x14ac:dyDescent="0.25">
      <c r="A50" s="428"/>
      <c r="B50" s="429" t="s">
        <v>169</v>
      </c>
      <c r="C50" s="429"/>
      <c r="D50" s="436"/>
      <c r="E50" s="429"/>
      <c r="F50" s="436"/>
      <c r="G50" s="436"/>
      <c r="H50" s="436"/>
      <c r="I50" s="436"/>
      <c r="J50" s="436"/>
      <c r="K50" s="436"/>
      <c r="L50" s="436"/>
      <c r="M50" s="436"/>
      <c r="N50" s="436"/>
      <c r="O50" s="436"/>
      <c r="P50" s="436"/>
      <c r="Q50" s="436"/>
      <c r="R50" s="436"/>
      <c r="S50" s="429"/>
      <c r="T50" s="429"/>
      <c r="U50" s="429"/>
      <c r="V50" s="449">
        <f>SUM(L34:R34)/SUM(D34:J34)</f>
        <v>0.17632136449250416</v>
      </c>
      <c r="W50" s="432"/>
      <c r="X50" s="419"/>
    </row>
    <row r="51" spans="1:25" s="420" customFormat="1" ht="15.75" x14ac:dyDescent="0.25">
      <c r="A51" s="428"/>
      <c r="B51" s="429" t="s">
        <v>170</v>
      </c>
      <c r="C51" s="429"/>
      <c r="D51" s="429"/>
      <c r="E51" s="429"/>
      <c r="F51" s="453"/>
      <c r="G51" s="429"/>
      <c r="H51" s="429"/>
      <c r="I51" s="429"/>
      <c r="J51" s="429"/>
      <c r="K51" s="429"/>
      <c r="L51" s="429"/>
      <c r="M51" s="429"/>
      <c r="N51" s="429"/>
      <c r="O51" s="429"/>
      <c r="P51" s="429"/>
      <c r="Q51" s="429"/>
      <c r="R51" s="429"/>
      <c r="S51" s="429"/>
      <c r="T51" s="429"/>
      <c r="U51" s="429"/>
      <c r="V51" s="449">
        <f>SUM(L36:R36)/SUM(D36:J36)</f>
        <v>0.32302228079054118</v>
      </c>
      <c r="W51" s="432"/>
      <c r="X51" s="419"/>
    </row>
    <row r="52" spans="1:25" s="420" customFormat="1" ht="15.75" x14ac:dyDescent="0.25">
      <c r="A52" s="428"/>
      <c r="B52" s="429" t="s">
        <v>171</v>
      </c>
      <c r="C52" s="429"/>
      <c r="D52" s="429"/>
      <c r="E52" s="429"/>
      <c r="F52" s="429"/>
      <c r="G52" s="429"/>
      <c r="H52" s="429"/>
      <c r="I52" s="429"/>
      <c r="J52" s="429"/>
      <c r="K52" s="429"/>
      <c r="L52" s="429"/>
      <c r="M52" s="429"/>
      <c r="N52" s="429"/>
      <c r="O52" s="429"/>
      <c r="P52" s="429"/>
      <c r="Q52" s="429"/>
      <c r="R52" s="429"/>
      <c r="S52" s="429"/>
      <c r="T52" s="436"/>
      <c r="U52" s="436"/>
      <c r="V52" s="438" t="s">
        <v>268</v>
      </c>
      <c r="W52" s="432"/>
      <c r="X52" s="419"/>
    </row>
    <row r="53" spans="1:25" s="420" customFormat="1" ht="15.75" x14ac:dyDescent="0.25">
      <c r="A53" s="428"/>
      <c r="B53" s="429"/>
      <c r="C53" s="429"/>
      <c r="D53" s="429"/>
      <c r="E53" s="429"/>
      <c r="F53" s="429"/>
      <c r="G53" s="429"/>
      <c r="H53" s="429"/>
      <c r="I53" s="429"/>
      <c r="J53" s="429"/>
      <c r="K53" s="429"/>
      <c r="L53" s="429"/>
      <c r="M53" s="429"/>
      <c r="N53" s="429"/>
      <c r="O53" s="429"/>
      <c r="P53" s="429"/>
      <c r="Q53" s="429"/>
      <c r="R53" s="429"/>
      <c r="S53" s="429"/>
      <c r="T53" s="429"/>
      <c r="U53" s="429"/>
      <c r="V53" s="454"/>
      <c r="W53" s="432"/>
      <c r="X53" s="419"/>
    </row>
    <row r="54" spans="1:25" s="420" customFormat="1" ht="15.75" x14ac:dyDescent="0.25">
      <c r="A54" s="428"/>
      <c r="B54" s="429" t="s">
        <v>202</v>
      </c>
      <c r="C54" s="429"/>
      <c r="D54" s="429"/>
      <c r="E54" s="429"/>
      <c r="F54" s="429"/>
      <c r="G54" s="429"/>
      <c r="H54" s="429"/>
      <c r="I54" s="429"/>
      <c r="J54" s="429"/>
      <c r="K54" s="429"/>
      <c r="L54" s="429"/>
      <c r="M54" s="429"/>
      <c r="N54" s="429"/>
      <c r="O54" s="429"/>
      <c r="P54" s="429"/>
      <c r="Q54" s="429"/>
      <c r="R54" s="429"/>
      <c r="S54" s="429"/>
      <c r="T54" s="429"/>
      <c r="U54" s="429"/>
      <c r="V54" s="448" t="s">
        <v>203</v>
      </c>
      <c r="W54" s="432"/>
      <c r="X54" s="419"/>
    </row>
    <row r="55" spans="1:25" s="420" customFormat="1" ht="15.75" x14ac:dyDescent="0.25">
      <c r="A55" s="428"/>
      <c r="B55" s="429" t="s">
        <v>270</v>
      </c>
      <c r="C55" s="429"/>
      <c r="D55" s="429"/>
      <c r="E55" s="429"/>
      <c r="F55" s="429"/>
      <c r="G55" s="429"/>
      <c r="H55" s="429"/>
      <c r="I55" s="429"/>
      <c r="J55" s="429"/>
      <c r="K55" s="429"/>
      <c r="L55" s="429"/>
      <c r="M55" s="429"/>
      <c r="N55" s="429"/>
      <c r="O55" s="429"/>
      <c r="P55" s="429"/>
      <c r="Q55" s="429"/>
      <c r="R55" s="429"/>
      <c r="S55" s="429"/>
      <c r="T55" s="436"/>
      <c r="U55" s="436"/>
      <c r="V55" s="455" t="s">
        <v>111</v>
      </c>
      <c r="W55" s="432"/>
      <c r="X55" s="419"/>
    </row>
    <row r="56" spans="1:25" s="420" customFormat="1" ht="15.75" x14ac:dyDescent="0.25">
      <c r="A56" s="428"/>
      <c r="B56" s="435" t="s">
        <v>201</v>
      </c>
      <c r="C56" s="435"/>
      <c r="D56" s="435"/>
      <c r="E56" s="435"/>
      <c r="F56" s="435"/>
      <c r="G56" s="435"/>
      <c r="H56" s="435"/>
      <c r="I56" s="435"/>
      <c r="J56" s="435"/>
      <c r="K56" s="435"/>
      <c r="L56" s="435"/>
      <c r="M56" s="435"/>
      <c r="N56" s="435"/>
      <c r="O56" s="435"/>
      <c r="P56" s="435"/>
      <c r="Q56" s="435"/>
      <c r="R56" s="435"/>
      <c r="S56" s="435"/>
      <c r="T56" s="456"/>
      <c r="U56" s="456"/>
      <c r="V56" s="457">
        <v>43266</v>
      </c>
      <c r="W56" s="432"/>
      <c r="X56" s="419"/>
    </row>
    <row r="57" spans="1:25" s="420" customFormat="1" ht="15.75" x14ac:dyDescent="0.25">
      <c r="A57" s="428"/>
      <c r="B57" s="429" t="s">
        <v>121</v>
      </c>
      <c r="C57" s="429"/>
      <c r="D57" s="429"/>
      <c r="E57" s="429"/>
      <c r="F57" s="429"/>
      <c r="G57" s="429"/>
      <c r="H57" s="458"/>
      <c r="I57" s="458"/>
      <c r="J57" s="458"/>
      <c r="K57" s="458"/>
      <c r="L57" s="458"/>
      <c r="M57" s="458"/>
      <c r="N57" s="458"/>
      <c r="O57" s="458"/>
      <c r="P57" s="458"/>
      <c r="Q57" s="458"/>
      <c r="R57" s="429">
        <f>+V57-T57+1</f>
        <v>90</v>
      </c>
      <c r="S57" s="458"/>
      <c r="T57" s="459">
        <v>43084</v>
      </c>
      <c r="U57" s="460"/>
      <c r="V57" s="459">
        <v>43173</v>
      </c>
      <c r="W57" s="432"/>
      <c r="X57" s="419"/>
    </row>
    <row r="58" spans="1:25" s="420" customFormat="1" ht="15.75" x14ac:dyDescent="0.25">
      <c r="A58" s="428"/>
      <c r="B58" s="429" t="s">
        <v>122</v>
      </c>
      <c r="C58" s="429"/>
      <c r="D58" s="429"/>
      <c r="E58" s="429"/>
      <c r="F58" s="429"/>
      <c r="G58" s="429"/>
      <c r="H58" s="429"/>
      <c r="I58" s="429"/>
      <c r="J58" s="429"/>
      <c r="K58" s="429"/>
      <c r="L58" s="429"/>
      <c r="M58" s="429"/>
      <c r="N58" s="429"/>
      <c r="O58" s="429"/>
      <c r="P58" s="429"/>
      <c r="Q58" s="429"/>
      <c r="R58" s="429">
        <f>+V58-T58+1</f>
        <v>92</v>
      </c>
      <c r="S58" s="429"/>
      <c r="T58" s="459">
        <v>43174</v>
      </c>
      <c r="U58" s="460"/>
      <c r="V58" s="459">
        <v>43265</v>
      </c>
      <c r="W58" s="432"/>
      <c r="X58" s="419"/>
    </row>
    <row r="59" spans="1:25" s="420" customFormat="1" ht="15.75" x14ac:dyDescent="0.25">
      <c r="A59" s="428"/>
      <c r="B59" s="429" t="s">
        <v>223</v>
      </c>
      <c r="C59" s="429"/>
      <c r="D59" s="429"/>
      <c r="E59" s="429"/>
      <c r="F59" s="429"/>
      <c r="G59" s="429"/>
      <c r="H59" s="429"/>
      <c r="I59" s="429"/>
      <c r="J59" s="429"/>
      <c r="K59" s="429"/>
      <c r="L59" s="429"/>
      <c r="M59" s="429"/>
      <c r="N59" s="429"/>
      <c r="O59" s="429"/>
      <c r="P59" s="429"/>
      <c r="Q59" s="429"/>
      <c r="R59" s="429"/>
      <c r="S59" s="429"/>
      <c r="T59" s="459"/>
      <c r="U59" s="460"/>
      <c r="V59" s="459" t="s">
        <v>120</v>
      </c>
      <c r="W59" s="432"/>
      <c r="X59" s="419"/>
    </row>
    <row r="60" spans="1:25" s="420" customFormat="1" ht="15.75" x14ac:dyDescent="0.25">
      <c r="A60" s="428"/>
      <c r="B60" s="429" t="s">
        <v>271</v>
      </c>
      <c r="C60" s="429"/>
      <c r="D60" s="429"/>
      <c r="E60" s="429"/>
      <c r="F60" s="429"/>
      <c r="G60" s="429"/>
      <c r="H60" s="429"/>
      <c r="I60" s="429"/>
      <c r="J60" s="429"/>
      <c r="K60" s="429"/>
      <c r="L60" s="429"/>
      <c r="M60" s="429"/>
      <c r="N60" s="429"/>
      <c r="O60" s="429"/>
      <c r="P60" s="429"/>
      <c r="Q60" s="429"/>
      <c r="R60" s="429"/>
      <c r="S60" s="429"/>
      <c r="T60" s="459"/>
      <c r="U60" s="460"/>
      <c r="V60" s="459" t="s">
        <v>154</v>
      </c>
      <c r="W60" s="432"/>
      <c r="X60" s="419"/>
      <c r="Y60" s="461"/>
    </row>
    <row r="61" spans="1:25" s="420" customFormat="1" ht="15.75" x14ac:dyDescent="0.25">
      <c r="A61" s="428"/>
      <c r="B61" s="429" t="s">
        <v>16</v>
      </c>
      <c r="C61" s="429"/>
      <c r="D61" s="429"/>
      <c r="E61" s="429"/>
      <c r="F61" s="429"/>
      <c r="G61" s="429"/>
      <c r="H61" s="429"/>
      <c r="I61" s="429"/>
      <c r="J61" s="429"/>
      <c r="K61" s="429"/>
      <c r="L61" s="429"/>
      <c r="M61" s="429"/>
      <c r="N61" s="429"/>
      <c r="O61" s="429"/>
      <c r="P61" s="429"/>
      <c r="Q61" s="429"/>
      <c r="R61" s="429"/>
      <c r="S61" s="429"/>
      <c r="T61" s="459"/>
      <c r="U61" s="460"/>
      <c r="V61" s="459">
        <v>43252</v>
      </c>
      <c r="W61" s="432"/>
      <c r="X61" s="419"/>
    </row>
    <row r="62" spans="1:25" s="420" customFormat="1" ht="15.75" x14ac:dyDescent="0.25">
      <c r="A62" s="416"/>
      <c r="B62" s="462"/>
      <c r="C62" s="462"/>
      <c r="D62" s="462"/>
      <c r="E62" s="462"/>
      <c r="F62" s="462"/>
      <c r="G62" s="462"/>
      <c r="H62" s="462"/>
      <c r="I62" s="462"/>
      <c r="J62" s="462"/>
      <c r="K62" s="462"/>
      <c r="L62" s="462"/>
      <c r="M62" s="462"/>
      <c r="N62" s="462"/>
      <c r="O62" s="462"/>
      <c r="P62" s="462"/>
      <c r="Q62" s="462"/>
      <c r="R62" s="462"/>
      <c r="S62" s="462"/>
      <c r="T62" s="463"/>
      <c r="U62" s="464"/>
      <c r="V62" s="463"/>
      <c r="W62" s="462"/>
      <c r="X62" s="419"/>
    </row>
    <row r="63" spans="1:25" s="420" customFormat="1" ht="15.75" x14ac:dyDescent="0.25">
      <c r="A63" s="416"/>
      <c r="B63" s="417"/>
      <c r="C63" s="417"/>
      <c r="D63" s="417"/>
      <c r="E63" s="417"/>
      <c r="F63" s="417"/>
      <c r="G63" s="417"/>
      <c r="H63" s="417"/>
      <c r="I63" s="417"/>
      <c r="J63" s="417"/>
      <c r="K63" s="417"/>
      <c r="L63" s="417"/>
      <c r="M63" s="417"/>
      <c r="N63" s="417"/>
      <c r="O63" s="417"/>
      <c r="P63" s="417"/>
      <c r="Q63" s="417"/>
      <c r="R63" s="417"/>
      <c r="S63" s="417"/>
      <c r="T63" s="465"/>
      <c r="U63" s="466"/>
      <c r="V63" s="465"/>
      <c r="W63" s="417"/>
      <c r="X63" s="419"/>
    </row>
    <row r="64" spans="1:25" s="420" customFormat="1" ht="19.5" thickBot="1" x14ac:dyDescent="0.35">
      <c r="A64" s="467"/>
      <c r="B64" s="468" t="s">
        <v>344</v>
      </c>
      <c r="C64" s="469"/>
      <c r="D64" s="469"/>
      <c r="E64" s="469"/>
      <c r="F64" s="469"/>
      <c r="G64" s="469"/>
      <c r="H64" s="469"/>
      <c r="I64" s="469"/>
      <c r="J64" s="469"/>
      <c r="K64" s="469"/>
      <c r="L64" s="469"/>
      <c r="M64" s="469"/>
      <c r="N64" s="469"/>
      <c r="O64" s="469"/>
      <c r="P64" s="469"/>
      <c r="Q64" s="469"/>
      <c r="R64" s="469"/>
      <c r="S64" s="469"/>
      <c r="T64" s="469"/>
      <c r="U64" s="469"/>
      <c r="V64" s="470"/>
      <c r="W64" s="471"/>
      <c r="X64" s="419"/>
    </row>
    <row r="65" spans="1:24" ht="15.75" x14ac:dyDescent="0.25">
      <c r="A65" s="536"/>
      <c r="B65" s="545" t="s">
        <v>17</v>
      </c>
      <c r="C65" s="537"/>
      <c r="D65" s="537"/>
      <c r="E65" s="537"/>
      <c r="F65" s="537"/>
      <c r="G65" s="537"/>
      <c r="H65" s="537"/>
      <c r="I65" s="537"/>
      <c r="J65" s="537"/>
      <c r="K65" s="537"/>
      <c r="L65" s="537"/>
      <c r="M65" s="537"/>
      <c r="N65" s="537"/>
      <c r="O65" s="537"/>
      <c r="P65" s="537"/>
      <c r="Q65" s="537"/>
      <c r="R65" s="537"/>
      <c r="S65" s="537"/>
      <c r="T65" s="537"/>
      <c r="U65" s="537"/>
      <c r="V65" s="546"/>
      <c r="W65" s="537"/>
      <c r="X65" s="5"/>
    </row>
    <row r="66" spans="1:24" ht="15.75" x14ac:dyDescent="0.25">
      <c r="A66" s="181"/>
      <c r="B66" s="189"/>
      <c r="C66" s="183"/>
      <c r="D66" s="183"/>
      <c r="E66" s="183"/>
      <c r="F66" s="183"/>
      <c r="G66" s="183"/>
      <c r="H66" s="183"/>
      <c r="I66" s="183"/>
      <c r="J66" s="183"/>
      <c r="K66" s="183"/>
      <c r="L66" s="183"/>
      <c r="M66" s="183"/>
      <c r="N66" s="183"/>
      <c r="O66" s="183"/>
      <c r="P66" s="183"/>
      <c r="Q66" s="183"/>
      <c r="R66" s="183"/>
      <c r="S66" s="183"/>
      <c r="T66" s="183"/>
      <c r="U66" s="183"/>
      <c r="V66" s="202"/>
      <c r="W66" s="183"/>
      <c r="X66" s="5"/>
    </row>
    <row r="67" spans="1:24" s="522" customFormat="1" ht="47.25" x14ac:dyDescent="0.25">
      <c r="A67" s="525"/>
      <c r="B67" s="526" t="s">
        <v>18</v>
      </c>
      <c r="C67" s="527"/>
      <c r="D67" s="527"/>
      <c r="E67" s="527"/>
      <c r="F67" s="527"/>
      <c r="G67" s="527"/>
      <c r="H67" s="527"/>
      <c r="I67" s="527"/>
      <c r="J67" s="527"/>
      <c r="K67" s="527"/>
      <c r="L67" s="527" t="s">
        <v>94</v>
      </c>
      <c r="M67" s="527"/>
      <c r="N67" s="527" t="s">
        <v>96</v>
      </c>
      <c r="O67" s="527"/>
      <c r="P67" s="527" t="s">
        <v>98</v>
      </c>
      <c r="Q67" s="527"/>
      <c r="R67" s="527" t="s">
        <v>100</v>
      </c>
      <c r="S67" s="527"/>
      <c r="T67" s="527" t="s">
        <v>106</v>
      </c>
      <c r="U67" s="527"/>
      <c r="V67" s="528" t="s">
        <v>112</v>
      </c>
      <c r="W67" s="529"/>
      <c r="X67" s="521"/>
    </row>
    <row r="68" spans="1:24" s="420" customFormat="1" ht="15.75" x14ac:dyDescent="0.25">
      <c r="A68" s="428"/>
      <c r="B68" s="429" t="s">
        <v>19</v>
      </c>
      <c r="C68" s="472"/>
      <c r="D68" s="472"/>
      <c r="E68" s="472"/>
      <c r="F68" s="472"/>
      <c r="G68" s="472"/>
      <c r="H68" s="472"/>
      <c r="I68" s="472"/>
      <c r="J68" s="472"/>
      <c r="K68" s="472"/>
      <c r="L68" s="472">
        <v>812446</v>
      </c>
      <c r="M68" s="472"/>
      <c r="N68" s="473">
        <v>624966</v>
      </c>
      <c r="O68" s="472"/>
      <c r="P68" s="472">
        <f>10348+50</f>
        <v>10398</v>
      </c>
      <c r="Q68" s="472"/>
      <c r="R68" s="472">
        <v>50</v>
      </c>
      <c r="S68" s="472"/>
      <c r="T68" s="472">
        <v>0</v>
      </c>
      <c r="U68" s="472"/>
      <c r="V68" s="473">
        <f>+N68-P68+R68-T68</f>
        <v>614618</v>
      </c>
      <c r="W68" s="432"/>
      <c r="X68" s="419"/>
    </row>
    <row r="69" spans="1:24" s="420" customFormat="1" ht="15.75" x14ac:dyDescent="0.25">
      <c r="A69" s="428"/>
      <c r="B69" s="429" t="s">
        <v>20</v>
      </c>
      <c r="C69" s="472"/>
      <c r="D69" s="472"/>
      <c r="E69" s="472"/>
      <c r="F69" s="472"/>
      <c r="G69" s="472"/>
      <c r="H69" s="472"/>
      <c r="I69" s="472"/>
      <c r="J69" s="472"/>
      <c r="K69" s="472"/>
      <c r="L69" s="472">
        <v>0</v>
      </c>
      <c r="M69" s="472"/>
      <c r="N69" s="473">
        <v>0</v>
      </c>
      <c r="O69" s="472"/>
      <c r="P69" s="472">
        <v>0</v>
      </c>
      <c r="Q69" s="472"/>
      <c r="R69" s="472">
        <v>0</v>
      </c>
      <c r="S69" s="472"/>
      <c r="T69" s="472">
        <v>0</v>
      </c>
      <c r="U69" s="472"/>
      <c r="V69" s="473">
        <f>+L69-P69</f>
        <v>0</v>
      </c>
      <c r="W69" s="432"/>
      <c r="X69" s="419"/>
    </row>
    <row r="70" spans="1:24" s="420" customFormat="1" ht="15.75" x14ac:dyDescent="0.25">
      <c r="A70" s="428"/>
      <c r="B70" s="429"/>
      <c r="C70" s="472"/>
      <c r="D70" s="472"/>
      <c r="E70" s="472"/>
      <c r="F70" s="472"/>
      <c r="G70" s="472"/>
      <c r="H70" s="472"/>
      <c r="I70" s="472"/>
      <c r="J70" s="472"/>
      <c r="K70" s="472"/>
      <c r="L70" s="472"/>
      <c r="M70" s="472"/>
      <c r="N70" s="473"/>
      <c r="O70" s="472"/>
      <c r="P70" s="472"/>
      <c r="Q70" s="472"/>
      <c r="R70" s="472"/>
      <c r="S70" s="472"/>
      <c r="T70" s="472"/>
      <c r="U70" s="472"/>
      <c r="V70" s="473"/>
      <c r="W70" s="432"/>
      <c r="X70" s="419"/>
    </row>
    <row r="71" spans="1:24" s="420" customFormat="1" ht="15.75" x14ac:dyDescent="0.25">
      <c r="A71" s="428"/>
      <c r="B71" s="429" t="s">
        <v>21</v>
      </c>
      <c r="C71" s="472"/>
      <c r="D71" s="472"/>
      <c r="E71" s="472"/>
      <c r="F71" s="472"/>
      <c r="G71" s="472"/>
      <c r="H71" s="472"/>
      <c r="I71" s="472"/>
      <c r="J71" s="472"/>
      <c r="K71" s="472"/>
      <c r="L71" s="472">
        <f>SUM(L68:L70)</f>
        <v>812446</v>
      </c>
      <c r="M71" s="472"/>
      <c r="N71" s="472">
        <f>N68+N69</f>
        <v>624966</v>
      </c>
      <c r="O71" s="472"/>
      <c r="P71" s="472">
        <f>SUM(P68:P70)</f>
        <v>10398</v>
      </c>
      <c r="Q71" s="472"/>
      <c r="R71" s="472">
        <f>SUM(R68:R70)</f>
        <v>50</v>
      </c>
      <c r="S71" s="472"/>
      <c r="T71" s="472">
        <f>SUM(T68:T70)</f>
        <v>0</v>
      </c>
      <c r="U71" s="472"/>
      <c r="V71" s="472">
        <f>SUM(V68:V70)</f>
        <v>614618</v>
      </c>
      <c r="W71" s="432"/>
      <c r="X71" s="419"/>
    </row>
    <row r="72" spans="1:24" ht="15.75" x14ac:dyDescent="0.25">
      <c r="A72" s="181"/>
      <c r="B72" s="212"/>
      <c r="C72" s="335"/>
      <c r="D72" s="335"/>
      <c r="E72" s="335"/>
      <c r="F72" s="335"/>
      <c r="G72" s="335"/>
      <c r="H72" s="335"/>
      <c r="I72" s="335"/>
      <c r="J72" s="335"/>
      <c r="K72" s="335"/>
      <c r="L72" s="335"/>
      <c r="M72" s="335"/>
      <c r="N72" s="335"/>
      <c r="O72" s="335"/>
      <c r="P72" s="335"/>
      <c r="Q72" s="335"/>
      <c r="R72" s="335"/>
      <c r="S72" s="335"/>
      <c r="T72" s="335"/>
      <c r="U72" s="335"/>
      <c r="V72" s="336"/>
      <c r="W72" s="212"/>
      <c r="X72" s="5"/>
    </row>
    <row r="73" spans="1:24" ht="15.75" x14ac:dyDescent="0.25">
      <c r="A73" s="181"/>
      <c r="B73" s="511" t="s">
        <v>22</v>
      </c>
      <c r="C73" s="207"/>
      <c r="D73" s="207"/>
      <c r="E73" s="207"/>
      <c r="F73" s="207"/>
      <c r="G73" s="207"/>
      <c r="H73" s="207"/>
      <c r="I73" s="207"/>
      <c r="J73" s="207"/>
      <c r="K73" s="207"/>
      <c r="L73" s="207"/>
      <c r="M73" s="207"/>
      <c r="N73" s="207"/>
      <c r="O73" s="207"/>
      <c r="P73" s="207"/>
      <c r="Q73" s="207"/>
      <c r="R73" s="207"/>
      <c r="S73" s="207"/>
      <c r="T73" s="207"/>
      <c r="U73" s="207"/>
      <c r="V73" s="208"/>
      <c r="W73" s="183"/>
      <c r="X73" s="5"/>
    </row>
    <row r="74" spans="1:24" ht="15.75" x14ac:dyDescent="0.25">
      <c r="A74" s="181"/>
      <c r="B74" s="183"/>
      <c r="C74" s="207"/>
      <c r="D74" s="207"/>
      <c r="E74" s="207"/>
      <c r="F74" s="207"/>
      <c r="G74" s="207"/>
      <c r="H74" s="207"/>
      <c r="I74" s="207"/>
      <c r="J74" s="207"/>
      <c r="K74" s="207"/>
      <c r="L74" s="207"/>
      <c r="M74" s="207"/>
      <c r="N74" s="207"/>
      <c r="O74" s="207"/>
      <c r="P74" s="207"/>
      <c r="Q74" s="207"/>
      <c r="R74" s="207"/>
      <c r="S74" s="207"/>
      <c r="T74" s="207"/>
      <c r="U74" s="207"/>
      <c r="V74" s="208"/>
      <c r="W74" s="183"/>
      <c r="X74" s="5"/>
    </row>
    <row r="75" spans="1:24" s="420" customFormat="1" ht="15.75" x14ac:dyDescent="0.25">
      <c r="A75" s="428"/>
      <c r="B75" s="429" t="s">
        <v>19</v>
      </c>
      <c r="C75" s="472"/>
      <c r="D75" s="472"/>
      <c r="E75" s="472"/>
      <c r="F75" s="472"/>
      <c r="G75" s="472"/>
      <c r="H75" s="472"/>
      <c r="I75" s="472"/>
      <c r="J75" s="472"/>
      <c r="K75" s="472"/>
      <c r="L75" s="472"/>
      <c r="M75" s="472"/>
      <c r="N75" s="472"/>
      <c r="O75" s="472"/>
      <c r="P75" s="472"/>
      <c r="Q75" s="472"/>
      <c r="R75" s="472"/>
      <c r="S75" s="472"/>
      <c r="T75" s="472"/>
      <c r="U75" s="472"/>
      <c r="V75" s="472"/>
      <c r="W75" s="432"/>
      <c r="X75" s="419"/>
    </row>
    <row r="76" spans="1:24" s="420" customFormat="1" ht="15.75" x14ac:dyDescent="0.25">
      <c r="A76" s="428"/>
      <c r="B76" s="429" t="s">
        <v>20</v>
      </c>
      <c r="C76" s="472"/>
      <c r="D76" s="472"/>
      <c r="E76" s="472"/>
      <c r="F76" s="472"/>
      <c r="G76" s="472"/>
      <c r="H76" s="472"/>
      <c r="I76" s="472"/>
      <c r="J76" s="472"/>
      <c r="K76" s="472"/>
      <c r="L76" s="472"/>
      <c r="M76" s="472"/>
      <c r="N76" s="472"/>
      <c r="O76" s="472"/>
      <c r="P76" s="472"/>
      <c r="Q76" s="472"/>
      <c r="R76" s="472"/>
      <c r="S76" s="472"/>
      <c r="T76" s="472"/>
      <c r="U76" s="472"/>
      <c r="V76" s="472"/>
      <c r="W76" s="432"/>
      <c r="X76" s="419"/>
    </row>
    <row r="77" spans="1:24" s="420" customFormat="1" ht="15.75" x14ac:dyDescent="0.25">
      <c r="A77" s="428"/>
      <c r="B77" s="429"/>
      <c r="C77" s="472"/>
      <c r="D77" s="472"/>
      <c r="E77" s="472"/>
      <c r="F77" s="472"/>
      <c r="G77" s="472"/>
      <c r="H77" s="472"/>
      <c r="I77" s="472"/>
      <c r="J77" s="472"/>
      <c r="K77" s="472"/>
      <c r="L77" s="472"/>
      <c r="M77" s="472"/>
      <c r="N77" s="472"/>
      <c r="O77" s="472"/>
      <c r="P77" s="472"/>
      <c r="Q77" s="472"/>
      <c r="R77" s="472"/>
      <c r="S77" s="472"/>
      <c r="T77" s="472"/>
      <c r="U77" s="472"/>
      <c r="V77" s="472"/>
      <c r="W77" s="432"/>
      <c r="X77" s="419"/>
    </row>
    <row r="78" spans="1:24" s="420" customFormat="1" ht="15.75" x14ac:dyDescent="0.25">
      <c r="A78" s="428"/>
      <c r="B78" s="429" t="s">
        <v>21</v>
      </c>
      <c r="C78" s="472"/>
      <c r="D78" s="472"/>
      <c r="E78" s="472"/>
      <c r="F78" s="472"/>
      <c r="G78" s="472"/>
      <c r="H78" s="472"/>
      <c r="I78" s="472"/>
      <c r="J78" s="472"/>
      <c r="K78" s="472"/>
      <c r="L78" s="472"/>
      <c r="M78" s="472"/>
      <c r="N78" s="472"/>
      <c r="O78" s="472"/>
      <c r="P78" s="472"/>
      <c r="Q78" s="472"/>
      <c r="R78" s="472"/>
      <c r="S78" s="472"/>
      <c r="T78" s="472"/>
      <c r="U78" s="472"/>
      <c r="V78" s="472"/>
      <c r="W78" s="432"/>
      <c r="X78" s="419"/>
    </row>
    <row r="79" spans="1:24" s="420" customFormat="1" ht="15.75" x14ac:dyDescent="0.25">
      <c r="A79" s="428"/>
      <c r="B79" s="429"/>
      <c r="C79" s="472"/>
      <c r="D79" s="472"/>
      <c r="E79" s="472"/>
      <c r="F79" s="472"/>
      <c r="G79" s="472"/>
      <c r="H79" s="472"/>
      <c r="I79" s="472"/>
      <c r="J79" s="472"/>
      <c r="K79" s="472"/>
      <c r="L79" s="472"/>
      <c r="M79" s="472"/>
      <c r="N79" s="472"/>
      <c r="O79" s="472"/>
      <c r="P79" s="472"/>
      <c r="Q79" s="472"/>
      <c r="R79" s="472"/>
      <c r="S79" s="472"/>
      <c r="T79" s="472"/>
      <c r="U79" s="472"/>
      <c r="V79" s="472"/>
      <c r="W79" s="432"/>
      <c r="X79" s="419"/>
    </row>
    <row r="80" spans="1:24" s="420" customFormat="1" ht="15.75" x14ac:dyDescent="0.25">
      <c r="A80" s="428"/>
      <c r="B80" s="429" t="s">
        <v>23</v>
      </c>
      <c r="C80" s="472"/>
      <c r="D80" s="472"/>
      <c r="E80" s="472"/>
      <c r="F80" s="472"/>
      <c r="G80" s="472"/>
      <c r="H80" s="472"/>
      <c r="I80" s="472"/>
      <c r="J80" s="472"/>
      <c r="K80" s="472"/>
      <c r="L80" s="472">
        <v>0</v>
      </c>
      <c r="M80" s="472"/>
      <c r="N80" s="472">
        <v>0</v>
      </c>
      <c r="O80" s="472"/>
      <c r="P80" s="472"/>
      <c r="Q80" s="472"/>
      <c r="R80" s="472"/>
      <c r="S80" s="472"/>
      <c r="T80" s="472"/>
      <c r="U80" s="472"/>
      <c r="V80" s="473">
        <v>0</v>
      </c>
      <c r="W80" s="432"/>
      <c r="X80" s="419"/>
    </row>
    <row r="81" spans="1:24" s="420" customFormat="1" ht="15.75" x14ac:dyDescent="0.25">
      <c r="A81" s="428"/>
      <c r="B81" s="429" t="s">
        <v>117</v>
      </c>
      <c r="C81" s="472"/>
      <c r="D81" s="472"/>
      <c r="E81" s="472"/>
      <c r="F81" s="472"/>
      <c r="G81" s="472"/>
      <c r="H81" s="472"/>
      <c r="I81" s="472"/>
      <c r="J81" s="472"/>
      <c r="K81" s="472"/>
      <c r="L81" s="472">
        <v>188687</v>
      </c>
      <c r="M81" s="472"/>
      <c r="N81" s="472">
        <v>0</v>
      </c>
      <c r="O81" s="472"/>
      <c r="P81" s="472">
        <v>0</v>
      </c>
      <c r="Q81" s="472"/>
      <c r="R81" s="472"/>
      <c r="S81" s="472"/>
      <c r="T81" s="472"/>
      <c r="U81" s="472"/>
      <c r="V81" s="472">
        <f>SUM(N81:R81)</f>
        <v>0</v>
      </c>
      <c r="W81" s="432"/>
      <c r="X81" s="419"/>
    </row>
    <row r="82" spans="1:24" s="420" customFormat="1" ht="15.75" x14ac:dyDescent="0.25">
      <c r="A82" s="428"/>
      <c r="B82" s="429" t="s">
        <v>146</v>
      </c>
      <c r="C82" s="472"/>
      <c r="D82" s="472"/>
      <c r="E82" s="472"/>
      <c r="F82" s="472"/>
      <c r="G82" s="472"/>
      <c r="H82" s="472"/>
      <c r="I82" s="472"/>
      <c r="J82" s="472"/>
      <c r="K82" s="472"/>
      <c r="L82" s="472">
        <v>0</v>
      </c>
      <c r="M82" s="472"/>
      <c r="N82" s="472">
        <v>0</v>
      </c>
      <c r="O82" s="472"/>
      <c r="P82" s="472">
        <v>0</v>
      </c>
      <c r="Q82" s="472"/>
      <c r="R82" s="472"/>
      <c r="S82" s="472"/>
      <c r="T82" s="472"/>
      <c r="U82" s="472"/>
      <c r="V82" s="472">
        <f>+N82+P82</f>
        <v>0</v>
      </c>
      <c r="W82" s="432"/>
      <c r="X82" s="419"/>
    </row>
    <row r="83" spans="1:24" s="420" customFormat="1" ht="15.75" x14ac:dyDescent="0.25">
      <c r="A83" s="428"/>
      <c r="B83" s="429" t="s">
        <v>25</v>
      </c>
      <c r="C83" s="472"/>
      <c r="D83" s="472"/>
      <c r="E83" s="472"/>
      <c r="F83" s="472"/>
      <c r="G83" s="472"/>
      <c r="H83" s="472"/>
      <c r="I83" s="472"/>
      <c r="J83" s="472"/>
      <c r="K83" s="472"/>
      <c r="L83" s="472">
        <v>0</v>
      </c>
      <c r="M83" s="472"/>
      <c r="N83" s="472">
        <v>0</v>
      </c>
      <c r="O83" s="472"/>
      <c r="P83" s="472"/>
      <c r="Q83" s="472"/>
      <c r="R83" s="472"/>
      <c r="S83" s="472"/>
      <c r="T83" s="472"/>
      <c r="U83" s="472"/>
      <c r="V83" s="472">
        <v>0</v>
      </c>
      <c r="W83" s="432"/>
      <c r="X83" s="419"/>
    </row>
    <row r="84" spans="1:24" s="420" customFormat="1" ht="15.75" x14ac:dyDescent="0.25">
      <c r="A84" s="428"/>
      <c r="B84" s="429" t="s">
        <v>26</v>
      </c>
      <c r="C84" s="472"/>
      <c r="D84" s="472"/>
      <c r="E84" s="472"/>
      <c r="F84" s="472"/>
      <c r="G84" s="472"/>
      <c r="H84" s="472"/>
      <c r="I84" s="472"/>
      <c r="J84" s="472"/>
      <c r="K84" s="472"/>
      <c r="L84" s="472">
        <f>SUM(L71:L83)</f>
        <v>1001133</v>
      </c>
      <c r="M84" s="472"/>
      <c r="N84" s="472">
        <f>SUM(N71:N83)</f>
        <v>624966</v>
      </c>
      <c r="O84" s="472"/>
      <c r="P84" s="472"/>
      <c r="Q84" s="472"/>
      <c r="R84" s="472"/>
      <c r="S84" s="472"/>
      <c r="T84" s="472"/>
      <c r="U84" s="472"/>
      <c r="V84" s="472">
        <f>SUM(V71:V83)</f>
        <v>614618</v>
      </c>
      <c r="W84" s="432"/>
      <c r="X84" s="419"/>
    </row>
    <row r="85" spans="1:24" ht="15.75" x14ac:dyDescent="0.25">
      <c r="A85" s="181"/>
      <c r="B85" s="212"/>
      <c r="C85" s="335"/>
      <c r="D85" s="335"/>
      <c r="E85" s="335"/>
      <c r="F85" s="335"/>
      <c r="G85" s="335"/>
      <c r="H85" s="335"/>
      <c r="I85" s="335"/>
      <c r="J85" s="335"/>
      <c r="K85" s="335"/>
      <c r="L85" s="335"/>
      <c r="M85" s="335"/>
      <c r="N85" s="335"/>
      <c r="O85" s="335"/>
      <c r="P85" s="335"/>
      <c r="Q85" s="335"/>
      <c r="R85" s="335"/>
      <c r="S85" s="335"/>
      <c r="T85" s="335"/>
      <c r="U85" s="335"/>
      <c r="V85" s="336"/>
      <c r="W85" s="212"/>
      <c r="X85" s="5"/>
    </row>
    <row r="86" spans="1:24" ht="15.75" x14ac:dyDescent="0.25">
      <c r="A86" s="181"/>
      <c r="B86" s="183"/>
      <c r="C86" s="183"/>
      <c r="D86" s="183"/>
      <c r="E86" s="183"/>
      <c r="F86" s="183"/>
      <c r="G86" s="183"/>
      <c r="H86" s="183"/>
      <c r="I86" s="183"/>
      <c r="J86" s="183"/>
      <c r="K86" s="183"/>
      <c r="L86" s="183"/>
      <c r="M86" s="183"/>
      <c r="N86" s="183"/>
      <c r="O86" s="183"/>
      <c r="P86" s="183"/>
      <c r="Q86" s="183"/>
      <c r="R86" s="183"/>
      <c r="S86" s="183"/>
      <c r="T86" s="183"/>
      <c r="U86" s="183"/>
      <c r="V86" s="183"/>
      <c r="W86" s="183"/>
      <c r="X86" s="5"/>
    </row>
    <row r="87" spans="1:24" ht="15.75" x14ac:dyDescent="0.25">
      <c r="A87" s="536"/>
      <c r="B87" s="547" t="s">
        <v>27</v>
      </c>
      <c r="C87" s="547"/>
      <c r="D87" s="547"/>
      <c r="E87" s="547"/>
      <c r="F87" s="547"/>
      <c r="G87" s="547"/>
      <c r="H87" s="548"/>
      <c r="I87" s="548"/>
      <c r="J87" s="548"/>
      <c r="K87" s="548"/>
      <c r="L87" s="549" t="s">
        <v>95</v>
      </c>
      <c r="M87" s="548"/>
      <c r="N87" s="550">
        <f>+T202</f>
        <v>43251</v>
      </c>
      <c r="O87" s="548"/>
      <c r="P87" s="548"/>
      <c r="Q87" s="548"/>
      <c r="R87" s="548"/>
      <c r="S87" s="548"/>
      <c r="T87" s="548" t="s">
        <v>107</v>
      </c>
      <c r="U87" s="548"/>
      <c r="V87" s="548" t="s">
        <v>113</v>
      </c>
      <c r="W87" s="544"/>
      <c r="X87" s="5"/>
    </row>
    <row r="88" spans="1:24" s="420" customFormat="1" ht="15.75" x14ac:dyDescent="0.25">
      <c r="A88" s="416"/>
      <c r="B88" s="462" t="s">
        <v>28</v>
      </c>
      <c r="C88" s="462"/>
      <c r="D88" s="462"/>
      <c r="E88" s="462"/>
      <c r="F88" s="462"/>
      <c r="G88" s="462"/>
      <c r="H88" s="462"/>
      <c r="I88" s="462"/>
      <c r="J88" s="462"/>
      <c r="K88" s="462"/>
      <c r="L88" s="462"/>
      <c r="M88" s="462"/>
      <c r="N88" s="462"/>
      <c r="O88" s="462"/>
      <c r="P88" s="462"/>
      <c r="Q88" s="462"/>
      <c r="R88" s="462"/>
      <c r="S88" s="462"/>
      <c r="T88" s="478">
        <v>0</v>
      </c>
      <c r="U88" s="462"/>
      <c r="V88" s="499">
        <v>0</v>
      </c>
      <c r="W88" s="462"/>
      <c r="X88" s="419"/>
    </row>
    <row r="89" spans="1:24" s="420" customFormat="1" ht="15.75" x14ac:dyDescent="0.25">
      <c r="A89" s="428"/>
      <c r="B89" s="429" t="s">
        <v>29</v>
      </c>
      <c r="C89" s="429"/>
      <c r="D89" s="429"/>
      <c r="E89" s="429"/>
      <c r="F89" s="429"/>
      <c r="G89" s="429"/>
      <c r="H89" s="452"/>
      <c r="I89" s="452"/>
      <c r="J89" s="452"/>
      <c r="K89" s="474"/>
      <c r="L89" s="452"/>
      <c r="M89" s="429"/>
      <c r="N89" s="475"/>
      <c r="O89" s="429"/>
      <c r="P89" s="429"/>
      <c r="Q89" s="429"/>
      <c r="R89" s="429"/>
      <c r="S89" s="429"/>
      <c r="T89" s="472">
        <f>10398+23</f>
        <v>10421</v>
      </c>
      <c r="U89" s="429"/>
      <c r="V89" s="473"/>
      <c r="W89" s="432"/>
      <c r="X89" s="419"/>
    </row>
    <row r="90" spans="1:24" s="420" customFormat="1" ht="15.75" x14ac:dyDescent="0.25">
      <c r="A90" s="428"/>
      <c r="B90" s="429" t="s">
        <v>215</v>
      </c>
      <c r="C90" s="429"/>
      <c r="D90" s="429"/>
      <c r="E90" s="429"/>
      <c r="F90" s="429"/>
      <c r="G90" s="429"/>
      <c r="H90" s="452"/>
      <c r="I90" s="452"/>
      <c r="J90" s="452"/>
      <c r="K90" s="474"/>
      <c r="L90" s="452"/>
      <c r="M90" s="429"/>
      <c r="N90" s="475"/>
      <c r="O90" s="429"/>
      <c r="P90" s="429"/>
      <c r="Q90" s="429"/>
      <c r="R90" s="429"/>
      <c r="S90" s="429"/>
      <c r="T90" s="472"/>
      <c r="U90" s="429"/>
      <c r="V90" s="473">
        <f>2880+2828-474-1060</f>
        <v>4174</v>
      </c>
      <c r="W90" s="432"/>
      <c r="X90" s="419"/>
    </row>
    <row r="91" spans="1:24" s="420" customFormat="1" ht="15.75" x14ac:dyDescent="0.25">
      <c r="A91" s="428"/>
      <c r="B91" s="429" t="s">
        <v>210</v>
      </c>
      <c r="C91" s="429"/>
      <c r="D91" s="429"/>
      <c r="E91" s="429"/>
      <c r="F91" s="429"/>
      <c r="G91" s="429"/>
      <c r="H91" s="452"/>
      <c r="I91" s="452"/>
      <c r="J91" s="452"/>
      <c r="K91" s="474"/>
      <c r="L91" s="452"/>
      <c r="M91" s="429"/>
      <c r="N91" s="475"/>
      <c r="O91" s="429"/>
      <c r="P91" s="429"/>
      <c r="Q91" s="429"/>
      <c r="R91" s="429"/>
      <c r="S91" s="429"/>
      <c r="T91" s="472"/>
      <c r="U91" s="429"/>
      <c r="V91" s="473">
        <f>16+17</f>
        <v>33</v>
      </c>
      <c r="W91" s="432"/>
      <c r="X91" s="419"/>
    </row>
    <row r="92" spans="1:24" s="420" customFormat="1" ht="15.75" x14ac:dyDescent="0.25">
      <c r="A92" s="428"/>
      <c r="B92" s="429" t="s">
        <v>211</v>
      </c>
      <c r="C92" s="429"/>
      <c r="D92" s="429"/>
      <c r="E92" s="429"/>
      <c r="F92" s="429"/>
      <c r="G92" s="429"/>
      <c r="H92" s="452"/>
      <c r="I92" s="452"/>
      <c r="J92" s="452"/>
      <c r="K92" s="474"/>
      <c r="L92" s="452"/>
      <c r="M92" s="429"/>
      <c r="N92" s="475"/>
      <c r="O92" s="429"/>
      <c r="P92" s="429"/>
      <c r="Q92" s="429"/>
      <c r="R92" s="429"/>
      <c r="S92" s="429"/>
      <c r="T92" s="472"/>
      <c r="U92" s="429"/>
      <c r="V92" s="473">
        <v>29</v>
      </c>
      <c r="W92" s="432"/>
      <c r="X92" s="419"/>
    </row>
    <row r="93" spans="1:24" s="420" customFormat="1" ht="15.75" x14ac:dyDescent="0.25">
      <c r="A93" s="428"/>
      <c r="B93" s="429" t="s">
        <v>233</v>
      </c>
      <c r="C93" s="429"/>
      <c r="D93" s="429"/>
      <c r="E93" s="429"/>
      <c r="F93" s="429"/>
      <c r="G93" s="429"/>
      <c r="H93" s="452"/>
      <c r="I93" s="452"/>
      <c r="J93" s="452"/>
      <c r="K93" s="474"/>
      <c r="L93" s="452"/>
      <c r="M93" s="429"/>
      <c r="N93" s="475"/>
      <c r="O93" s="429"/>
      <c r="P93" s="429"/>
      <c r="Q93" s="429"/>
      <c r="R93" s="429"/>
      <c r="S93" s="429"/>
      <c r="T93" s="472"/>
      <c r="U93" s="429"/>
      <c r="V93" s="473">
        <v>0</v>
      </c>
      <c r="W93" s="432"/>
      <c r="X93" s="419"/>
    </row>
    <row r="94" spans="1:24" s="420" customFormat="1" ht="15.75" x14ac:dyDescent="0.25">
      <c r="A94" s="428"/>
      <c r="B94" s="429" t="s">
        <v>235</v>
      </c>
      <c r="C94" s="429"/>
      <c r="D94" s="429"/>
      <c r="E94" s="429"/>
      <c r="F94" s="429"/>
      <c r="G94" s="429"/>
      <c r="H94" s="452"/>
      <c r="I94" s="452"/>
      <c r="J94" s="452"/>
      <c r="K94" s="474"/>
      <c r="L94" s="452"/>
      <c r="M94" s="429"/>
      <c r="N94" s="475"/>
      <c r="O94" s="429"/>
      <c r="P94" s="429"/>
      <c r="Q94" s="429"/>
      <c r="R94" s="429"/>
      <c r="S94" s="429"/>
      <c r="T94" s="472"/>
      <c r="U94" s="429"/>
      <c r="V94" s="473">
        <v>0</v>
      </c>
      <c r="W94" s="432"/>
      <c r="X94" s="419"/>
    </row>
    <row r="95" spans="1:24" s="420" customFormat="1" ht="15.75" x14ac:dyDescent="0.25">
      <c r="A95" s="428"/>
      <c r="B95" s="429" t="s">
        <v>135</v>
      </c>
      <c r="C95" s="429"/>
      <c r="D95" s="429"/>
      <c r="E95" s="429"/>
      <c r="F95" s="429"/>
      <c r="G95" s="429"/>
      <c r="H95" s="429"/>
      <c r="I95" s="429"/>
      <c r="J95" s="429"/>
      <c r="K95" s="429"/>
      <c r="L95" s="429"/>
      <c r="M95" s="429"/>
      <c r="N95" s="429"/>
      <c r="O95" s="429"/>
      <c r="P95" s="429"/>
      <c r="Q95" s="429"/>
      <c r="R95" s="429"/>
      <c r="S95" s="429"/>
      <c r="T95" s="472"/>
      <c r="U95" s="429"/>
      <c r="V95" s="473">
        <v>0</v>
      </c>
      <c r="W95" s="432"/>
      <c r="X95" s="419"/>
    </row>
    <row r="96" spans="1:24" s="420" customFormat="1" ht="15.75" x14ac:dyDescent="0.25">
      <c r="A96" s="428"/>
      <c r="B96" s="429" t="s">
        <v>272</v>
      </c>
      <c r="C96" s="429"/>
      <c r="D96" s="429"/>
      <c r="E96" s="429"/>
      <c r="F96" s="429"/>
      <c r="G96" s="429"/>
      <c r="H96" s="429"/>
      <c r="I96" s="429"/>
      <c r="J96" s="429"/>
      <c r="K96" s="429"/>
      <c r="L96" s="429"/>
      <c r="M96" s="429"/>
      <c r="N96" s="429"/>
      <c r="O96" s="429"/>
      <c r="P96" s="429"/>
      <c r="Q96" s="429"/>
      <c r="R96" s="429"/>
      <c r="S96" s="429"/>
      <c r="T96" s="472"/>
      <c r="U96" s="429"/>
      <c r="V96" s="473">
        <v>0</v>
      </c>
      <c r="W96" s="432"/>
      <c r="X96" s="419"/>
    </row>
    <row r="97" spans="1:25" s="420" customFormat="1" ht="15.75" x14ac:dyDescent="0.25">
      <c r="A97" s="428"/>
      <c r="B97" s="429" t="s">
        <v>30</v>
      </c>
      <c r="C97" s="429"/>
      <c r="D97" s="429"/>
      <c r="E97" s="429"/>
      <c r="F97" s="429"/>
      <c r="G97" s="429"/>
      <c r="H97" s="429"/>
      <c r="I97" s="429"/>
      <c r="J97" s="429"/>
      <c r="K97" s="429"/>
      <c r="L97" s="429"/>
      <c r="M97" s="429"/>
      <c r="N97" s="429"/>
      <c r="O97" s="429"/>
      <c r="P97" s="429"/>
      <c r="Q97" s="429"/>
      <c r="R97" s="429"/>
      <c r="S97" s="429"/>
      <c r="T97" s="472">
        <f>SUM(T88:T96)</f>
        <v>10421</v>
      </c>
      <c r="U97" s="429"/>
      <c r="V97" s="472">
        <f>SUM(V88:V96)</f>
        <v>4236</v>
      </c>
      <c r="W97" s="432"/>
      <c r="X97" s="419"/>
    </row>
    <row r="98" spans="1:25" s="420" customFormat="1" ht="15.75" x14ac:dyDescent="0.25">
      <c r="A98" s="428"/>
      <c r="B98" s="429" t="s">
        <v>161</v>
      </c>
      <c r="C98" s="429"/>
      <c r="D98" s="429"/>
      <c r="E98" s="429"/>
      <c r="F98" s="429"/>
      <c r="G98" s="429"/>
      <c r="H98" s="429"/>
      <c r="I98" s="429"/>
      <c r="J98" s="429"/>
      <c r="K98" s="429"/>
      <c r="L98" s="429"/>
      <c r="M98" s="429"/>
      <c r="N98" s="429"/>
      <c r="O98" s="429"/>
      <c r="P98" s="429"/>
      <c r="Q98" s="429"/>
      <c r="R98" s="429"/>
      <c r="S98" s="429"/>
      <c r="T98" s="472">
        <f>-V98</f>
        <v>0</v>
      </c>
      <c r="U98" s="429"/>
      <c r="V98" s="472">
        <v>0</v>
      </c>
      <c r="W98" s="432"/>
      <c r="X98" s="419"/>
    </row>
    <row r="99" spans="1:25" s="420" customFormat="1" ht="15.75" x14ac:dyDescent="0.25">
      <c r="A99" s="428"/>
      <c r="B99" s="429" t="s">
        <v>31</v>
      </c>
      <c r="C99" s="429"/>
      <c r="D99" s="429"/>
      <c r="E99" s="429"/>
      <c r="F99" s="429"/>
      <c r="G99" s="429"/>
      <c r="H99" s="429"/>
      <c r="I99" s="429"/>
      <c r="J99" s="429"/>
      <c r="K99" s="429"/>
      <c r="L99" s="429"/>
      <c r="M99" s="429"/>
      <c r="N99" s="429"/>
      <c r="O99" s="429"/>
      <c r="P99" s="429"/>
      <c r="Q99" s="429"/>
      <c r="R99" s="429"/>
      <c r="S99" s="429"/>
      <c r="T99" s="472">
        <f>-V99</f>
        <v>0</v>
      </c>
      <c r="U99" s="429"/>
      <c r="V99" s="473">
        <v>0</v>
      </c>
      <c r="W99" s="432"/>
      <c r="X99" s="419"/>
    </row>
    <row r="100" spans="1:25" s="420" customFormat="1" ht="15.75" x14ac:dyDescent="0.25">
      <c r="A100" s="428"/>
      <c r="B100" s="429" t="s">
        <v>274</v>
      </c>
      <c r="C100" s="429"/>
      <c r="D100" s="429"/>
      <c r="E100" s="429"/>
      <c r="F100" s="429"/>
      <c r="G100" s="429"/>
      <c r="H100" s="429"/>
      <c r="I100" s="429"/>
      <c r="J100" s="429"/>
      <c r="K100" s="429"/>
      <c r="L100" s="429"/>
      <c r="M100" s="429"/>
      <c r="N100" s="429"/>
      <c r="O100" s="429"/>
      <c r="P100" s="429"/>
      <c r="Q100" s="429"/>
      <c r="R100" s="429"/>
      <c r="S100" s="429"/>
      <c r="T100" s="472"/>
      <c r="U100" s="429"/>
      <c r="V100" s="473">
        <v>-258</v>
      </c>
      <c r="W100" s="432"/>
      <c r="X100" s="419"/>
    </row>
    <row r="101" spans="1:25" s="420" customFormat="1" ht="15.75" x14ac:dyDescent="0.25">
      <c r="A101" s="428"/>
      <c r="B101" s="429" t="s">
        <v>32</v>
      </c>
      <c r="C101" s="429"/>
      <c r="D101" s="429"/>
      <c r="E101" s="429"/>
      <c r="F101" s="429"/>
      <c r="G101" s="429"/>
      <c r="H101" s="429"/>
      <c r="I101" s="429"/>
      <c r="J101" s="429"/>
      <c r="K101" s="429"/>
      <c r="L101" s="429"/>
      <c r="M101" s="429"/>
      <c r="N101" s="429"/>
      <c r="O101" s="429"/>
      <c r="P101" s="429"/>
      <c r="Q101" s="429"/>
      <c r="R101" s="429"/>
      <c r="S101" s="429"/>
      <c r="T101" s="472">
        <f>T97+T99+T98</f>
        <v>10421</v>
      </c>
      <c r="U101" s="429"/>
      <c r="V101" s="472">
        <f>V97+V99+V98+V100</f>
        <v>3978</v>
      </c>
      <c r="W101" s="432"/>
      <c r="X101" s="419"/>
    </row>
    <row r="102" spans="1:25" ht="15.75" x14ac:dyDescent="0.25">
      <c r="A102" s="285"/>
      <c r="B102" s="530" t="s">
        <v>33</v>
      </c>
      <c r="C102" s="314"/>
      <c r="D102" s="314"/>
      <c r="E102" s="314"/>
      <c r="F102" s="314"/>
      <c r="G102" s="314"/>
      <c r="H102" s="314"/>
      <c r="I102" s="314"/>
      <c r="J102" s="314"/>
      <c r="K102" s="314"/>
      <c r="L102" s="314"/>
      <c r="M102" s="314"/>
      <c r="N102" s="314"/>
      <c r="O102" s="314"/>
      <c r="P102" s="314"/>
      <c r="Q102" s="314"/>
      <c r="R102" s="314"/>
      <c r="S102" s="314"/>
      <c r="T102" s="337"/>
      <c r="U102" s="286"/>
      <c r="V102" s="338"/>
      <c r="W102" s="318"/>
      <c r="X102" s="5"/>
    </row>
    <row r="103" spans="1:25" s="420" customFormat="1" ht="15.75" x14ac:dyDescent="0.25">
      <c r="A103" s="428">
        <v>1</v>
      </c>
      <c r="B103" s="429" t="s">
        <v>34</v>
      </c>
      <c r="C103" s="429"/>
      <c r="D103" s="429"/>
      <c r="E103" s="429"/>
      <c r="F103" s="429"/>
      <c r="G103" s="429"/>
      <c r="H103" s="429"/>
      <c r="I103" s="429"/>
      <c r="J103" s="429"/>
      <c r="K103" s="429"/>
      <c r="L103" s="429"/>
      <c r="M103" s="429"/>
      <c r="N103" s="429"/>
      <c r="O103" s="429"/>
      <c r="P103" s="429"/>
      <c r="Q103" s="429"/>
      <c r="R103" s="429"/>
      <c r="S103" s="429"/>
      <c r="T103" s="429"/>
      <c r="U103" s="429"/>
      <c r="V103" s="473">
        <v>0</v>
      </c>
      <c r="W103" s="432"/>
      <c r="X103" s="419"/>
    </row>
    <row r="104" spans="1:25" s="420" customFormat="1" ht="15.75" x14ac:dyDescent="0.25">
      <c r="A104" s="428">
        <f>+A103+1</f>
        <v>2</v>
      </c>
      <c r="B104" s="429" t="s">
        <v>314</v>
      </c>
      <c r="C104" s="429"/>
      <c r="D104" s="429"/>
      <c r="E104" s="429"/>
      <c r="F104" s="429"/>
      <c r="G104" s="429"/>
      <c r="H104" s="429"/>
      <c r="I104" s="429"/>
      <c r="J104" s="429"/>
      <c r="K104" s="429"/>
      <c r="L104" s="429"/>
      <c r="M104" s="429"/>
      <c r="N104" s="429"/>
      <c r="O104" s="429"/>
      <c r="P104" s="429"/>
      <c r="Q104" s="429"/>
      <c r="R104" s="429"/>
      <c r="S104" s="429"/>
      <c r="T104" s="429"/>
      <c r="U104" s="429"/>
      <c r="V104" s="473">
        <v>-2</v>
      </c>
      <c r="W104" s="432"/>
      <c r="X104" s="419"/>
    </row>
    <row r="105" spans="1:25" s="420" customFormat="1" ht="15.75" x14ac:dyDescent="0.25">
      <c r="A105" s="428">
        <f>+A104+1</f>
        <v>3</v>
      </c>
      <c r="B105" s="476" t="s">
        <v>316</v>
      </c>
      <c r="C105" s="429"/>
      <c r="D105" s="429"/>
      <c r="E105" s="429"/>
      <c r="F105" s="429"/>
      <c r="G105" s="429"/>
      <c r="H105" s="429"/>
      <c r="I105" s="429"/>
      <c r="J105" s="429"/>
      <c r="K105" s="429"/>
      <c r="L105" s="429"/>
      <c r="M105" s="429"/>
      <c r="N105" s="429"/>
      <c r="O105" s="429"/>
      <c r="P105" s="429"/>
      <c r="Q105" s="429"/>
      <c r="R105" s="429"/>
      <c r="S105" s="429"/>
      <c r="T105" s="429"/>
      <c r="U105" s="429"/>
      <c r="V105" s="473">
        <f>-240-82-8</f>
        <v>-330</v>
      </c>
      <c r="W105" s="432"/>
      <c r="X105" s="419"/>
    </row>
    <row r="106" spans="1:25" s="420" customFormat="1" ht="15.75" x14ac:dyDescent="0.25">
      <c r="A106" s="428" t="s">
        <v>127</v>
      </c>
      <c r="B106" s="429" t="s">
        <v>116</v>
      </c>
      <c r="C106" s="429"/>
      <c r="D106" s="429"/>
      <c r="E106" s="429"/>
      <c r="F106" s="429"/>
      <c r="G106" s="429"/>
      <c r="H106" s="429"/>
      <c r="I106" s="429"/>
      <c r="J106" s="429"/>
      <c r="K106" s="429"/>
      <c r="L106" s="429"/>
      <c r="M106" s="429"/>
      <c r="N106" s="429"/>
      <c r="O106" s="429"/>
      <c r="P106" s="429"/>
      <c r="Q106" s="429"/>
      <c r="R106" s="429"/>
      <c r="S106" s="429"/>
      <c r="T106" s="429"/>
      <c r="U106" s="429"/>
      <c r="V106" s="473">
        <v>0</v>
      </c>
      <c r="W106" s="432"/>
      <c r="X106" s="419"/>
    </row>
    <row r="107" spans="1:25" s="420" customFormat="1" ht="15.75" x14ac:dyDescent="0.25">
      <c r="A107" s="428" t="s">
        <v>128</v>
      </c>
      <c r="B107" s="429" t="s">
        <v>220</v>
      </c>
      <c r="C107" s="429"/>
      <c r="D107" s="429"/>
      <c r="E107" s="429"/>
      <c r="F107" s="429"/>
      <c r="G107" s="429"/>
      <c r="H107" s="429"/>
      <c r="I107" s="429"/>
      <c r="J107" s="429"/>
      <c r="K107" s="429"/>
      <c r="L107" s="429"/>
      <c r="M107" s="429"/>
      <c r="N107" s="429"/>
      <c r="O107" s="429"/>
      <c r="P107" s="429"/>
      <c r="Q107" s="429"/>
      <c r="R107" s="429"/>
      <c r="S107" s="429"/>
      <c r="T107" s="429"/>
      <c r="U107" s="429"/>
      <c r="V107" s="473">
        <f>-998+255</f>
        <v>-743</v>
      </c>
      <c r="W107" s="432"/>
      <c r="X107" s="419"/>
      <c r="Y107" s="477"/>
    </row>
    <row r="108" spans="1:25" s="420" customFormat="1" ht="15.75" x14ac:dyDescent="0.25">
      <c r="A108" s="428" t="s">
        <v>150</v>
      </c>
      <c r="B108" s="429" t="s">
        <v>184</v>
      </c>
      <c r="C108" s="429"/>
      <c r="D108" s="429"/>
      <c r="E108" s="429"/>
      <c r="F108" s="429"/>
      <c r="G108" s="429"/>
      <c r="H108" s="429"/>
      <c r="I108" s="429"/>
      <c r="J108" s="429"/>
      <c r="K108" s="429"/>
      <c r="L108" s="429"/>
      <c r="M108" s="429"/>
      <c r="N108" s="429"/>
      <c r="O108" s="429"/>
      <c r="P108" s="429"/>
      <c r="Q108" s="429"/>
      <c r="R108" s="429"/>
      <c r="S108" s="429"/>
      <c r="T108" s="429"/>
      <c r="U108" s="429"/>
      <c r="V108" s="473">
        <v>-255</v>
      </c>
      <c r="W108" s="432"/>
      <c r="X108" s="419"/>
      <c r="Y108" s="477"/>
    </row>
    <row r="109" spans="1:25" s="420" customFormat="1" ht="15.75" x14ac:dyDescent="0.25">
      <c r="A109" s="428" t="s">
        <v>205</v>
      </c>
      <c r="B109" s="429" t="s">
        <v>185</v>
      </c>
      <c r="C109" s="429"/>
      <c r="D109" s="429"/>
      <c r="E109" s="429"/>
      <c r="F109" s="429"/>
      <c r="G109" s="429"/>
      <c r="H109" s="429"/>
      <c r="I109" s="429"/>
      <c r="J109" s="429"/>
      <c r="K109" s="429"/>
      <c r="L109" s="429"/>
      <c r="M109" s="429"/>
      <c r="N109" s="429"/>
      <c r="O109" s="429"/>
      <c r="P109" s="429"/>
      <c r="Q109" s="429"/>
      <c r="R109" s="429"/>
      <c r="S109" s="429"/>
      <c r="T109" s="429"/>
      <c r="U109" s="429"/>
      <c r="V109" s="473">
        <v>-178</v>
      </c>
      <c r="W109" s="432"/>
      <c r="X109" s="419"/>
      <c r="Y109" s="477"/>
    </row>
    <row r="110" spans="1:25" s="420" customFormat="1" ht="15.75" x14ac:dyDescent="0.25">
      <c r="A110" s="428" t="s">
        <v>206</v>
      </c>
      <c r="B110" s="429" t="s">
        <v>186</v>
      </c>
      <c r="C110" s="429"/>
      <c r="D110" s="429"/>
      <c r="E110" s="429"/>
      <c r="F110" s="429"/>
      <c r="G110" s="429"/>
      <c r="H110" s="429"/>
      <c r="I110" s="429"/>
      <c r="J110" s="429"/>
      <c r="K110" s="429"/>
      <c r="L110" s="429"/>
      <c r="M110" s="429"/>
      <c r="N110" s="429"/>
      <c r="O110" s="429"/>
      <c r="P110" s="429"/>
      <c r="Q110" s="429"/>
      <c r="R110" s="429"/>
      <c r="S110" s="429"/>
      <c r="T110" s="429"/>
      <c r="U110" s="429"/>
      <c r="V110" s="473">
        <v>-49</v>
      </c>
      <c r="W110" s="432"/>
      <c r="X110" s="419"/>
      <c r="Y110" s="477"/>
    </row>
    <row r="111" spans="1:25" s="420" customFormat="1" ht="15.75" x14ac:dyDescent="0.25">
      <c r="A111" s="428">
        <v>6</v>
      </c>
      <c r="B111" s="429" t="s">
        <v>196</v>
      </c>
      <c r="C111" s="429"/>
      <c r="D111" s="429"/>
      <c r="E111" s="429"/>
      <c r="F111" s="429"/>
      <c r="G111" s="429"/>
      <c r="H111" s="429"/>
      <c r="I111" s="429"/>
      <c r="J111" s="429"/>
      <c r="K111" s="429"/>
      <c r="L111" s="429"/>
      <c r="M111" s="429"/>
      <c r="N111" s="429"/>
      <c r="O111" s="429"/>
      <c r="P111" s="429"/>
      <c r="Q111" s="429"/>
      <c r="R111" s="429"/>
      <c r="S111" s="429"/>
      <c r="T111" s="429"/>
      <c r="U111" s="429"/>
      <c r="V111" s="473">
        <v>-347</v>
      </c>
      <c r="W111" s="432"/>
      <c r="X111" s="419"/>
      <c r="Y111" s="477"/>
    </row>
    <row r="112" spans="1:25" s="420" customFormat="1" ht="15.75" x14ac:dyDescent="0.25">
      <c r="A112" s="428">
        <v>7</v>
      </c>
      <c r="B112" s="476" t="s">
        <v>315</v>
      </c>
      <c r="C112" s="429"/>
      <c r="D112" s="429"/>
      <c r="E112" s="429"/>
      <c r="F112" s="429"/>
      <c r="G112" s="429"/>
      <c r="H112" s="429"/>
      <c r="I112" s="429"/>
      <c r="J112" s="429"/>
      <c r="K112" s="429"/>
      <c r="L112" s="429"/>
      <c r="M112" s="429"/>
      <c r="N112" s="429"/>
      <c r="O112" s="429"/>
      <c r="P112" s="429"/>
      <c r="Q112" s="429"/>
      <c r="R112" s="429"/>
      <c r="S112" s="429"/>
      <c r="T112" s="429"/>
      <c r="U112" s="429"/>
      <c r="V112" s="473">
        <v>0</v>
      </c>
      <c r="W112" s="432"/>
      <c r="X112" s="419"/>
      <c r="Y112" s="477"/>
    </row>
    <row r="113" spans="1:24" s="420" customFormat="1" ht="15.75" x14ac:dyDescent="0.25">
      <c r="A113" s="428">
        <v>8</v>
      </c>
      <c r="B113" s="429" t="s">
        <v>35</v>
      </c>
      <c r="C113" s="429"/>
      <c r="D113" s="429"/>
      <c r="E113" s="429"/>
      <c r="F113" s="429"/>
      <c r="G113" s="429"/>
      <c r="H113" s="429"/>
      <c r="I113" s="429"/>
      <c r="J113" s="429"/>
      <c r="K113" s="429"/>
      <c r="L113" s="429"/>
      <c r="M113" s="429"/>
      <c r="N113" s="429"/>
      <c r="O113" s="429"/>
      <c r="P113" s="429"/>
      <c r="Q113" s="429"/>
      <c r="R113" s="429"/>
      <c r="S113" s="429"/>
      <c r="T113" s="429"/>
      <c r="U113" s="429"/>
      <c r="V113" s="473">
        <v>-21</v>
      </c>
      <c r="W113" s="432"/>
      <c r="X113" s="419"/>
    </row>
    <row r="114" spans="1:24" s="420" customFormat="1" ht="15.75" x14ac:dyDescent="0.25">
      <c r="A114" s="428">
        <f t="shared" ref="A114:A119" si="0">+A113+1</f>
        <v>9</v>
      </c>
      <c r="B114" s="429" t="s">
        <v>45</v>
      </c>
      <c r="C114" s="429"/>
      <c r="D114" s="429"/>
      <c r="E114" s="429"/>
      <c r="F114" s="429"/>
      <c r="G114" s="429"/>
      <c r="H114" s="429"/>
      <c r="I114" s="429"/>
      <c r="J114" s="429"/>
      <c r="K114" s="429"/>
      <c r="L114" s="429"/>
      <c r="M114" s="429"/>
      <c r="N114" s="429"/>
      <c r="O114" s="429"/>
      <c r="P114" s="429"/>
      <c r="Q114" s="429"/>
      <c r="R114" s="429"/>
      <c r="S114" s="429"/>
      <c r="T114" s="472">
        <f>-V114</f>
        <v>-23</v>
      </c>
      <c r="U114" s="429"/>
      <c r="V114" s="473">
        <v>23</v>
      </c>
      <c r="W114" s="432"/>
      <c r="X114" s="419"/>
    </row>
    <row r="115" spans="1:24" s="420" customFormat="1" ht="15.75" x14ac:dyDescent="0.25">
      <c r="A115" s="428">
        <f t="shared" si="0"/>
        <v>10</v>
      </c>
      <c r="B115" s="429" t="s">
        <v>125</v>
      </c>
      <c r="C115" s="429"/>
      <c r="D115" s="429"/>
      <c r="E115" s="429"/>
      <c r="F115" s="429"/>
      <c r="G115" s="429"/>
      <c r="H115" s="429"/>
      <c r="I115" s="429"/>
      <c r="J115" s="429"/>
      <c r="K115" s="429"/>
      <c r="L115" s="429"/>
      <c r="M115" s="429"/>
      <c r="N115" s="429"/>
      <c r="O115" s="429"/>
      <c r="P115" s="429"/>
      <c r="Q115" s="429"/>
      <c r="R115" s="429"/>
      <c r="S115" s="429"/>
      <c r="T115" s="429"/>
      <c r="U115" s="429"/>
      <c r="V115" s="473">
        <v>0</v>
      </c>
      <c r="W115" s="432"/>
      <c r="X115" s="419"/>
    </row>
    <row r="116" spans="1:24" s="420" customFormat="1" ht="15.75" x14ac:dyDescent="0.25">
      <c r="A116" s="428">
        <f t="shared" si="0"/>
        <v>11</v>
      </c>
      <c r="B116" s="429" t="s">
        <v>225</v>
      </c>
      <c r="C116" s="429"/>
      <c r="D116" s="429"/>
      <c r="E116" s="429"/>
      <c r="F116" s="429"/>
      <c r="G116" s="429"/>
      <c r="H116" s="429"/>
      <c r="I116" s="429"/>
      <c r="J116" s="429"/>
      <c r="K116" s="429"/>
      <c r="L116" s="429"/>
      <c r="M116" s="429"/>
      <c r="N116" s="429"/>
      <c r="O116" s="429"/>
      <c r="P116" s="429"/>
      <c r="Q116" s="429"/>
      <c r="R116" s="429"/>
      <c r="S116" s="429"/>
      <c r="T116" s="429"/>
      <c r="U116" s="429"/>
      <c r="V116" s="473">
        <v>0</v>
      </c>
      <c r="W116" s="432"/>
      <c r="X116" s="419"/>
    </row>
    <row r="117" spans="1:24" s="420" customFormat="1" ht="15.75" x14ac:dyDescent="0.25">
      <c r="A117" s="428">
        <f t="shared" si="0"/>
        <v>12</v>
      </c>
      <c r="B117" s="429" t="s">
        <v>36</v>
      </c>
      <c r="C117" s="429"/>
      <c r="D117" s="429"/>
      <c r="E117" s="429"/>
      <c r="F117" s="429"/>
      <c r="G117" s="429"/>
      <c r="H117" s="429"/>
      <c r="I117" s="429"/>
      <c r="J117" s="429"/>
      <c r="K117" s="429"/>
      <c r="L117" s="429"/>
      <c r="M117" s="429"/>
      <c r="N117" s="429"/>
      <c r="O117" s="429"/>
      <c r="P117" s="429"/>
      <c r="Q117" s="429"/>
      <c r="R117" s="429"/>
      <c r="S117" s="429"/>
      <c r="T117" s="429"/>
      <c r="U117" s="429"/>
      <c r="V117" s="473">
        <v>0</v>
      </c>
      <c r="W117" s="432"/>
      <c r="X117" s="419"/>
    </row>
    <row r="118" spans="1:24" s="420" customFormat="1" ht="15.75" x14ac:dyDescent="0.25">
      <c r="A118" s="428">
        <f t="shared" si="0"/>
        <v>13</v>
      </c>
      <c r="B118" s="429" t="s">
        <v>149</v>
      </c>
      <c r="C118" s="429"/>
      <c r="D118" s="429"/>
      <c r="E118" s="429"/>
      <c r="F118" s="429"/>
      <c r="G118" s="429"/>
      <c r="H118" s="429"/>
      <c r="I118" s="429"/>
      <c r="J118" s="429"/>
      <c r="K118" s="429"/>
      <c r="L118" s="429"/>
      <c r="M118" s="429"/>
      <c r="N118" s="429"/>
      <c r="O118" s="429"/>
      <c r="P118" s="429"/>
      <c r="Q118" s="429"/>
      <c r="R118" s="429"/>
      <c r="S118" s="429"/>
      <c r="T118" s="429"/>
      <c r="U118" s="429"/>
      <c r="V118" s="473">
        <v>-240</v>
      </c>
      <c r="W118" s="432"/>
      <c r="X118" s="419"/>
    </row>
    <row r="119" spans="1:24" s="420" customFormat="1" ht="15.75" x14ac:dyDescent="0.25">
      <c r="A119" s="428">
        <f t="shared" si="0"/>
        <v>14</v>
      </c>
      <c r="B119" s="429" t="s">
        <v>126</v>
      </c>
      <c r="C119" s="429"/>
      <c r="D119" s="429"/>
      <c r="E119" s="429"/>
      <c r="F119" s="429"/>
      <c r="G119" s="429"/>
      <c r="H119" s="429"/>
      <c r="I119" s="429"/>
      <c r="J119" s="429"/>
      <c r="K119" s="429"/>
      <c r="L119" s="429"/>
      <c r="M119" s="429"/>
      <c r="N119" s="429"/>
      <c r="O119" s="429"/>
      <c r="P119" s="429"/>
      <c r="Q119" s="429"/>
      <c r="R119" s="429"/>
      <c r="S119" s="429"/>
      <c r="T119" s="429"/>
      <c r="U119" s="429"/>
      <c r="V119" s="473">
        <f>-V101-SUM(V103:V118)</f>
        <v>-1836</v>
      </c>
      <c r="W119" s="432"/>
      <c r="X119" s="419"/>
    </row>
    <row r="120" spans="1:24" ht="15.75" x14ac:dyDescent="0.25">
      <c r="A120" s="285"/>
      <c r="B120" s="530" t="s">
        <v>37</v>
      </c>
      <c r="C120" s="314"/>
      <c r="D120" s="314"/>
      <c r="E120" s="314"/>
      <c r="F120" s="314"/>
      <c r="G120" s="314"/>
      <c r="H120" s="314"/>
      <c r="I120" s="314"/>
      <c r="J120" s="314"/>
      <c r="K120" s="314"/>
      <c r="L120" s="314"/>
      <c r="M120" s="314"/>
      <c r="N120" s="314"/>
      <c r="O120" s="314"/>
      <c r="P120" s="314"/>
      <c r="Q120" s="314"/>
      <c r="R120" s="314"/>
      <c r="S120" s="314"/>
      <c r="T120" s="286"/>
      <c r="U120" s="286"/>
      <c r="V120" s="343"/>
      <c r="W120" s="318"/>
      <c r="X120" s="5"/>
    </row>
    <row r="121" spans="1:24" s="420" customFormat="1" ht="15.75" x14ac:dyDescent="0.25">
      <c r="A121" s="428"/>
      <c r="B121" s="429" t="s">
        <v>173</v>
      </c>
      <c r="C121" s="429"/>
      <c r="D121" s="429"/>
      <c r="E121" s="429"/>
      <c r="F121" s="429"/>
      <c r="G121" s="429"/>
      <c r="H121" s="429"/>
      <c r="I121" s="429"/>
      <c r="J121" s="429"/>
      <c r="K121" s="429"/>
      <c r="L121" s="429"/>
      <c r="M121" s="429"/>
      <c r="N121" s="429"/>
      <c r="O121" s="429"/>
      <c r="P121" s="429"/>
      <c r="Q121" s="429"/>
      <c r="R121" s="429"/>
      <c r="S121" s="429"/>
      <c r="T121" s="472">
        <f>-T186</f>
        <v>0</v>
      </c>
      <c r="U121" s="472"/>
      <c r="V121" s="473"/>
      <c r="W121" s="432"/>
      <c r="X121" s="419"/>
    </row>
    <row r="122" spans="1:24" s="420" customFormat="1" ht="15.75" x14ac:dyDescent="0.25">
      <c r="A122" s="428"/>
      <c r="B122" s="429" t="s">
        <v>174</v>
      </c>
      <c r="C122" s="429"/>
      <c r="D122" s="429"/>
      <c r="E122" s="429"/>
      <c r="F122" s="429"/>
      <c r="G122" s="429"/>
      <c r="H122" s="429"/>
      <c r="I122" s="429"/>
      <c r="J122" s="429"/>
      <c r="K122" s="429"/>
      <c r="L122" s="429"/>
      <c r="M122" s="429"/>
      <c r="N122" s="429"/>
      <c r="O122" s="429"/>
      <c r="P122" s="429"/>
      <c r="Q122" s="429"/>
      <c r="R122" s="429"/>
      <c r="S122" s="429"/>
      <c r="T122" s="472">
        <v>0</v>
      </c>
      <c r="U122" s="472"/>
      <c r="V122" s="473"/>
      <c r="W122" s="432"/>
      <c r="X122" s="419"/>
    </row>
    <row r="123" spans="1:24" s="420" customFormat="1" ht="15.75" x14ac:dyDescent="0.25">
      <c r="A123" s="428"/>
      <c r="B123" s="429" t="s">
        <v>38</v>
      </c>
      <c r="C123" s="429"/>
      <c r="D123" s="429"/>
      <c r="E123" s="429"/>
      <c r="F123" s="429"/>
      <c r="G123" s="429"/>
      <c r="H123" s="429"/>
      <c r="I123" s="429"/>
      <c r="J123" s="429"/>
      <c r="K123" s="429"/>
      <c r="L123" s="429"/>
      <c r="M123" s="429"/>
      <c r="N123" s="429"/>
      <c r="O123" s="429"/>
      <c r="P123" s="429"/>
      <c r="Q123" s="429"/>
      <c r="R123" s="429"/>
      <c r="S123" s="429"/>
      <c r="T123" s="472">
        <f>-S186</f>
        <v>-50</v>
      </c>
      <c r="U123" s="472"/>
      <c r="V123" s="473"/>
      <c r="W123" s="432"/>
      <c r="X123" s="419"/>
    </row>
    <row r="124" spans="1:24" s="420" customFormat="1" ht="15.75" x14ac:dyDescent="0.25">
      <c r="A124" s="428"/>
      <c r="B124" s="429" t="s">
        <v>197</v>
      </c>
      <c r="C124" s="429"/>
      <c r="D124" s="429"/>
      <c r="E124" s="429"/>
      <c r="F124" s="429"/>
      <c r="G124" s="429"/>
      <c r="H124" s="429"/>
      <c r="I124" s="429"/>
      <c r="J124" s="429"/>
      <c r="K124" s="429"/>
      <c r="L124" s="429"/>
      <c r="M124" s="429"/>
      <c r="N124" s="429"/>
      <c r="O124" s="429"/>
      <c r="P124" s="429"/>
      <c r="Q124" s="429"/>
      <c r="R124" s="429"/>
      <c r="S124" s="429"/>
      <c r="T124" s="472">
        <v>-5994</v>
      </c>
      <c r="U124" s="472"/>
      <c r="V124" s="473"/>
      <c r="W124" s="432"/>
      <c r="X124" s="419"/>
    </row>
    <row r="125" spans="1:24" s="420" customFormat="1" ht="15.75" x14ac:dyDescent="0.25">
      <c r="A125" s="428"/>
      <c r="B125" s="429" t="s">
        <v>195</v>
      </c>
      <c r="C125" s="429"/>
      <c r="D125" s="429"/>
      <c r="E125" s="429"/>
      <c r="F125" s="429"/>
      <c r="G125" s="429"/>
      <c r="H125" s="429"/>
      <c r="I125" s="429"/>
      <c r="J125" s="429"/>
      <c r="K125" s="429"/>
      <c r="L125" s="429"/>
      <c r="M125" s="429"/>
      <c r="N125" s="429"/>
      <c r="O125" s="429"/>
      <c r="P125" s="429"/>
      <c r="Q125" s="429"/>
      <c r="R125" s="429"/>
      <c r="S125" s="429"/>
      <c r="T125" s="472">
        <v>-2547</v>
      </c>
      <c r="U125" s="472"/>
      <c r="V125" s="473"/>
      <c r="W125" s="432"/>
      <c r="X125" s="419"/>
    </row>
    <row r="126" spans="1:24" s="420" customFormat="1" ht="15.75" x14ac:dyDescent="0.25">
      <c r="A126" s="428"/>
      <c r="B126" s="429" t="s">
        <v>194</v>
      </c>
      <c r="C126" s="429"/>
      <c r="D126" s="429"/>
      <c r="E126" s="429"/>
      <c r="F126" s="429"/>
      <c r="G126" s="429"/>
      <c r="H126" s="429"/>
      <c r="I126" s="429"/>
      <c r="J126" s="429"/>
      <c r="K126" s="429"/>
      <c r="L126" s="429"/>
      <c r="M126" s="429"/>
      <c r="N126" s="429"/>
      <c r="O126" s="429"/>
      <c r="P126" s="429"/>
      <c r="Q126" s="429"/>
      <c r="R126" s="429"/>
      <c r="S126" s="429"/>
      <c r="T126" s="472">
        <v>-908</v>
      </c>
      <c r="U126" s="472"/>
      <c r="V126" s="473"/>
      <c r="W126" s="432"/>
      <c r="X126" s="419"/>
    </row>
    <row r="127" spans="1:24" s="420" customFormat="1" ht="15.75" x14ac:dyDescent="0.25">
      <c r="A127" s="428"/>
      <c r="B127" s="429" t="s">
        <v>222</v>
      </c>
      <c r="C127" s="429"/>
      <c r="D127" s="429"/>
      <c r="E127" s="429"/>
      <c r="F127" s="429"/>
      <c r="G127" s="429"/>
      <c r="H127" s="429"/>
      <c r="I127" s="429"/>
      <c r="J127" s="429"/>
      <c r="K127" s="429"/>
      <c r="L127" s="429"/>
      <c r="M127" s="429"/>
      <c r="N127" s="429"/>
      <c r="O127" s="429"/>
      <c r="P127" s="429"/>
      <c r="Q127" s="429"/>
      <c r="R127" s="429"/>
      <c r="S127" s="429"/>
      <c r="T127" s="472">
        <v>-899</v>
      </c>
      <c r="U127" s="472"/>
      <c r="V127" s="473"/>
      <c r="W127" s="432"/>
      <c r="X127" s="419"/>
    </row>
    <row r="128" spans="1:24" s="420" customFormat="1" ht="15.75" x14ac:dyDescent="0.25">
      <c r="A128" s="428"/>
      <c r="B128" s="429" t="s">
        <v>189</v>
      </c>
      <c r="C128" s="429"/>
      <c r="D128" s="429"/>
      <c r="E128" s="429"/>
      <c r="F128" s="429"/>
      <c r="G128" s="429"/>
      <c r="H128" s="429"/>
      <c r="I128" s="429"/>
      <c r="J128" s="429"/>
      <c r="K128" s="429"/>
      <c r="L128" s="429"/>
      <c r="M128" s="429"/>
      <c r="N128" s="429"/>
      <c r="O128" s="429"/>
      <c r="P128" s="429"/>
      <c r="Q128" s="429"/>
      <c r="R128" s="429"/>
      <c r="S128" s="429"/>
      <c r="T128" s="472">
        <v>0</v>
      </c>
      <c r="U128" s="472"/>
      <c r="V128" s="473"/>
      <c r="W128" s="432"/>
      <c r="X128" s="419"/>
    </row>
    <row r="129" spans="1:24" s="420" customFormat="1" ht="15.75" x14ac:dyDescent="0.25">
      <c r="A129" s="428"/>
      <c r="B129" s="429" t="s">
        <v>188</v>
      </c>
      <c r="C129" s="429"/>
      <c r="D129" s="429"/>
      <c r="E129" s="429"/>
      <c r="F129" s="429"/>
      <c r="G129" s="429"/>
      <c r="H129" s="429"/>
      <c r="I129" s="429"/>
      <c r="J129" s="429"/>
      <c r="K129" s="429"/>
      <c r="L129" s="429"/>
      <c r="M129" s="429"/>
      <c r="N129" s="429"/>
      <c r="O129" s="429"/>
      <c r="P129" s="429"/>
      <c r="Q129" s="429"/>
      <c r="R129" s="429"/>
      <c r="S129" s="429"/>
      <c r="T129" s="472">
        <v>0</v>
      </c>
      <c r="U129" s="472"/>
      <c r="V129" s="473"/>
      <c r="W129" s="432"/>
      <c r="X129" s="419"/>
    </row>
    <row r="130" spans="1:24" s="420" customFormat="1" ht="15.75" x14ac:dyDescent="0.25">
      <c r="A130" s="428"/>
      <c r="B130" s="429" t="s">
        <v>187</v>
      </c>
      <c r="C130" s="429"/>
      <c r="D130" s="429"/>
      <c r="E130" s="429"/>
      <c r="F130" s="429"/>
      <c r="G130" s="429"/>
      <c r="H130" s="429"/>
      <c r="I130" s="429"/>
      <c r="J130" s="429"/>
      <c r="K130" s="429"/>
      <c r="L130" s="429"/>
      <c r="M130" s="429"/>
      <c r="N130" s="429"/>
      <c r="O130" s="429"/>
      <c r="P130" s="429"/>
      <c r="Q130" s="429"/>
      <c r="R130" s="429"/>
      <c r="S130" s="429"/>
      <c r="T130" s="472">
        <v>0</v>
      </c>
      <c r="U130" s="472"/>
      <c r="V130" s="473"/>
      <c r="W130" s="432"/>
      <c r="X130" s="419"/>
    </row>
    <row r="131" spans="1:24" s="420" customFormat="1" ht="15.75" x14ac:dyDescent="0.25">
      <c r="A131" s="428"/>
      <c r="B131" s="429" t="s">
        <v>39</v>
      </c>
      <c r="C131" s="429"/>
      <c r="D131" s="429"/>
      <c r="E131" s="429"/>
      <c r="F131" s="429"/>
      <c r="G131" s="429"/>
      <c r="H131" s="429"/>
      <c r="I131" s="429"/>
      <c r="J131" s="429"/>
      <c r="K131" s="429"/>
      <c r="L131" s="429"/>
      <c r="M131" s="429"/>
      <c r="N131" s="429"/>
      <c r="O131" s="429"/>
      <c r="P131" s="429"/>
      <c r="Q131" s="429"/>
      <c r="R131" s="429"/>
      <c r="S131" s="429"/>
      <c r="T131" s="472">
        <f>SUM(T121:T130)</f>
        <v>-10398</v>
      </c>
      <c r="U131" s="472"/>
      <c r="V131" s="472">
        <f>SUM(V102:V129)</f>
        <v>-3978</v>
      </c>
      <c r="W131" s="432"/>
      <c r="X131" s="419"/>
    </row>
    <row r="132" spans="1:24" s="420" customFormat="1" ht="15.75" x14ac:dyDescent="0.25">
      <c r="A132" s="428"/>
      <c r="B132" s="429" t="s">
        <v>40</v>
      </c>
      <c r="C132" s="429"/>
      <c r="D132" s="429"/>
      <c r="E132" s="429"/>
      <c r="F132" s="429"/>
      <c r="G132" s="429"/>
      <c r="H132" s="429"/>
      <c r="I132" s="429"/>
      <c r="J132" s="429"/>
      <c r="K132" s="429"/>
      <c r="L132" s="429"/>
      <c r="M132" s="429"/>
      <c r="N132" s="429"/>
      <c r="O132" s="429"/>
      <c r="P132" s="429"/>
      <c r="Q132" s="429"/>
      <c r="R132" s="429"/>
      <c r="S132" s="429"/>
      <c r="T132" s="472">
        <f>T101+T131+T114</f>
        <v>0</v>
      </c>
      <c r="U132" s="472"/>
      <c r="V132" s="472">
        <f>V101+V131</f>
        <v>0</v>
      </c>
      <c r="W132" s="432"/>
      <c r="X132" s="419"/>
    </row>
    <row r="133" spans="1:24" s="420" customFormat="1" ht="15.75" x14ac:dyDescent="0.25">
      <c r="A133" s="416"/>
      <c r="B133" s="462"/>
      <c r="C133" s="462"/>
      <c r="D133" s="462"/>
      <c r="E133" s="462"/>
      <c r="F133" s="462"/>
      <c r="G133" s="462"/>
      <c r="H133" s="462"/>
      <c r="I133" s="462"/>
      <c r="J133" s="462"/>
      <c r="K133" s="462"/>
      <c r="L133" s="462"/>
      <c r="M133" s="462"/>
      <c r="N133" s="462"/>
      <c r="O133" s="462"/>
      <c r="P133" s="462"/>
      <c r="Q133" s="462"/>
      <c r="R133" s="462"/>
      <c r="S133" s="462"/>
      <c r="T133" s="478"/>
      <c r="U133" s="478"/>
      <c r="V133" s="478"/>
      <c r="W133" s="462"/>
      <c r="X133" s="419"/>
    </row>
    <row r="134" spans="1:24" s="420" customFormat="1" ht="15.75" x14ac:dyDescent="0.25">
      <c r="A134" s="416"/>
      <c r="B134" s="417"/>
      <c r="C134" s="417"/>
      <c r="D134" s="417"/>
      <c r="E134" s="417"/>
      <c r="F134" s="417"/>
      <c r="G134" s="417"/>
      <c r="H134" s="417"/>
      <c r="I134" s="417"/>
      <c r="J134" s="417"/>
      <c r="K134" s="417"/>
      <c r="L134" s="417"/>
      <c r="M134" s="417"/>
      <c r="N134" s="417"/>
      <c r="O134" s="417"/>
      <c r="P134" s="417"/>
      <c r="Q134" s="417"/>
      <c r="R134" s="417"/>
      <c r="S134" s="417"/>
      <c r="T134" s="417"/>
      <c r="U134" s="417"/>
      <c r="V134" s="479"/>
      <c r="W134" s="417"/>
      <c r="X134" s="419"/>
    </row>
    <row r="135" spans="1:24" s="420" customFormat="1" ht="19.5" thickBot="1" x14ac:dyDescent="0.35">
      <c r="A135" s="467"/>
      <c r="B135" s="468" t="str">
        <f>B64</f>
        <v>PM15 INVESTOR REPORT QUARTER ENDING MAY 2018</v>
      </c>
      <c r="C135" s="469"/>
      <c r="D135" s="469"/>
      <c r="E135" s="469"/>
      <c r="F135" s="469"/>
      <c r="G135" s="469"/>
      <c r="H135" s="469"/>
      <c r="I135" s="469"/>
      <c r="J135" s="469"/>
      <c r="K135" s="469"/>
      <c r="L135" s="469"/>
      <c r="M135" s="469"/>
      <c r="N135" s="469"/>
      <c r="O135" s="469"/>
      <c r="P135" s="469"/>
      <c r="Q135" s="469"/>
      <c r="R135" s="469"/>
      <c r="S135" s="469"/>
      <c r="T135" s="469"/>
      <c r="U135" s="469"/>
      <c r="V135" s="480"/>
      <c r="W135" s="471"/>
      <c r="X135" s="419"/>
    </row>
    <row r="136" spans="1:24" ht="15.75" x14ac:dyDescent="0.25">
      <c r="A136" s="551"/>
      <c r="B136" s="552" t="s">
        <v>41</v>
      </c>
      <c r="C136" s="553"/>
      <c r="D136" s="553"/>
      <c r="E136" s="553"/>
      <c r="F136" s="553"/>
      <c r="G136" s="553"/>
      <c r="H136" s="553"/>
      <c r="I136" s="553"/>
      <c r="J136" s="553"/>
      <c r="K136" s="553"/>
      <c r="L136" s="553"/>
      <c r="M136" s="553"/>
      <c r="N136" s="553"/>
      <c r="O136" s="553"/>
      <c r="P136" s="553"/>
      <c r="Q136" s="553"/>
      <c r="R136" s="553"/>
      <c r="S136" s="553"/>
      <c r="T136" s="553"/>
      <c r="U136" s="553"/>
      <c r="V136" s="554"/>
      <c r="W136" s="553"/>
      <c r="X136" s="5"/>
    </row>
    <row r="137" spans="1:24" ht="15.75" x14ac:dyDescent="0.25">
      <c r="A137" s="181"/>
      <c r="B137" s="191"/>
      <c r="C137" s="183"/>
      <c r="D137" s="183"/>
      <c r="E137" s="183"/>
      <c r="F137" s="183"/>
      <c r="G137" s="183"/>
      <c r="H137" s="183"/>
      <c r="I137" s="183"/>
      <c r="J137" s="183"/>
      <c r="K137" s="183"/>
      <c r="L137" s="183"/>
      <c r="M137" s="183"/>
      <c r="N137" s="183"/>
      <c r="O137" s="183"/>
      <c r="P137" s="183"/>
      <c r="Q137" s="183"/>
      <c r="R137" s="183"/>
      <c r="S137" s="183"/>
      <c r="T137" s="183"/>
      <c r="U137" s="183"/>
      <c r="V137" s="202"/>
      <c r="W137" s="183"/>
      <c r="X137" s="5"/>
    </row>
    <row r="138" spans="1:24" ht="15.75" x14ac:dyDescent="0.25">
      <c r="A138" s="181"/>
      <c r="B138" s="531" t="s">
        <v>42</v>
      </c>
      <c r="C138" s="183"/>
      <c r="D138" s="183"/>
      <c r="E138" s="183"/>
      <c r="F138" s="183"/>
      <c r="G138" s="183"/>
      <c r="H138" s="183"/>
      <c r="I138" s="183"/>
      <c r="J138" s="183"/>
      <c r="K138" s="183"/>
      <c r="L138" s="183"/>
      <c r="M138" s="183"/>
      <c r="N138" s="183"/>
      <c r="O138" s="183"/>
      <c r="P138" s="183"/>
      <c r="Q138" s="183"/>
      <c r="R138" s="183"/>
      <c r="S138" s="183"/>
      <c r="T138" s="183"/>
      <c r="U138" s="183"/>
      <c r="V138" s="202"/>
      <c r="W138" s="183"/>
      <c r="X138" s="5"/>
    </row>
    <row r="139" spans="1:24" s="420" customFormat="1" ht="15.75" x14ac:dyDescent="0.25">
      <c r="A139" s="428"/>
      <c r="B139" s="429" t="s">
        <v>43</v>
      </c>
      <c r="C139" s="429"/>
      <c r="D139" s="429"/>
      <c r="E139" s="429"/>
      <c r="F139" s="429"/>
      <c r="G139" s="429"/>
      <c r="H139" s="429"/>
      <c r="I139" s="429"/>
      <c r="J139" s="429"/>
      <c r="K139" s="429"/>
      <c r="L139" s="429"/>
      <c r="M139" s="429"/>
      <c r="N139" s="429"/>
      <c r="O139" s="429"/>
      <c r="P139" s="429"/>
      <c r="Q139" s="429"/>
      <c r="R139" s="429"/>
      <c r="S139" s="429"/>
      <c r="T139" s="429"/>
      <c r="U139" s="429"/>
      <c r="V139" s="473">
        <f>+V34*0.019</f>
        <v>19021.526999999998</v>
      </c>
      <c r="W139" s="432"/>
      <c r="X139" s="419"/>
    </row>
    <row r="140" spans="1:24" s="420" customFormat="1" ht="15.75" x14ac:dyDescent="0.25">
      <c r="A140" s="428"/>
      <c r="B140" s="429" t="s">
        <v>44</v>
      </c>
      <c r="C140" s="429"/>
      <c r="D140" s="429"/>
      <c r="E140" s="429"/>
      <c r="F140" s="429"/>
      <c r="G140" s="429"/>
      <c r="H140" s="429"/>
      <c r="I140" s="429"/>
      <c r="J140" s="429"/>
      <c r="K140" s="429"/>
      <c r="L140" s="429"/>
      <c r="M140" s="429"/>
      <c r="N140" s="429"/>
      <c r="O140" s="429"/>
      <c r="P140" s="429"/>
      <c r="Q140" s="429"/>
      <c r="R140" s="429"/>
      <c r="S140" s="429"/>
      <c r="T140" s="429"/>
      <c r="U140" s="429"/>
      <c r="V140" s="473">
        <v>19022</v>
      </c>
      <c r="W140" s="432"/>
      <c r="X140" s="419"/>
    </row>
    <row r="141" spans="1:24" s="420" customFormat="1" ht="15.75" x14ac:dyDescent="0.25">
      <c r="A141" s="428"/>
      <c r="B141" s="429" t="s">
        <v>136</v>
      </c>
      <c r="C141" s="429"/>
      <c r="D141" s="429"/>
      <c r="E141" s="429"/>
      <c r="F141" s="429"/>
      <c r="G141" s="429"/>
      <c r="H141" s="429"/>
      <c r="I141" s="429"/>
      <c r="J141" s="429"/>
      <c r="K141" s="429"/>
      <c r="L141" s="429"/>
      <c r="M141" s="429"/>
      <c r="N141" s="429"/>
      <c r="O141" s="429"/>
      <c r="P141" s="429"/>
      <c r="Q141" s="429"/>
      <c r="R141" s="429"/>
      <c r="S141" s="429"/>
      <c r="T141" s="429"/>
      <c r="U141" s="429"/>
      <c r="V141" s="473"/>
      <c r="W141" s="432"/>
      <c r="X141" s="419"/>
    </row>
    <row r="142" spans="1:24" s="420" customFormat="1" ht="15.75" x14ac:dyDescent="0.25">
      <c r="A142" s="428"/>
      <c r="B142" s="429" t="s">
        <v>123</v>
      </c>
      <c r="C142" s="429"/>
      <c r="D142" s="429"/>
      <c r="E142" s="429"/>
      <c r="F142" s="429"/>
      <c r="G142" s="429"/>
      <c r="H142" s="429"/>
      <c r="I142" s="429"/>
      <c r="J142" s="429"/>
      <c r="K142" s="429"/>
      <c r="L142" s="429"/>
      <c r="M142" s="429"/>
      <c r="N142" s="429"/>
      <c r="O142" s="429"/>
      <c r="P142" s="429"/>
      <c r="Q142" s="429"/>
      <c r="R142" s="429"/>
      <c r="S142" s="429"/>
      <c r="T142" s="429"/>
      <c r="U142" s="429"/>
      <c r="V142" s="473">
        <v>0</v>
      </c>
      <c r="W142" s="432"/>
      <c r="X142" s="419"/>
    </row>
    <row r="143" spans="1:24" s="420" customFormat="1" ht="15.75" x14ac:dyDescent="0.25">
      <c r="A143" s="428"/>
      <c r="B143" s="429" t="s">
        <v>124</v>
      </c>
      <c r="C143" s="429"/>
      <c r="D143" s="429"/>
      <c r="E143" s="429"/>
      <c r="F143" s="429"/>
      <c r="G143" s="429"/>
      <c r="H143" s="429"/>
      <c r="I143" s="429"/>
      <c r="J143" s="429"/>
      <c r="K143" s="429"/>
      <c r="L143" s="429"/>
      <c r="M143" s="429"/>
      <c r="N143" s="429"/>
      <c r="O143" s="429"/>
      <c r="P143" s="429"/>
      <c r="Q143" s="429"/>
      <c r="R143" s="429"/>
      <c r="S143" s="429"/>
      <c r="T143" s="429"/>
      <c r="U143" s="429"/>
      <c r="V143" s="473">
        <v>0</v>
      </c>
      <c r="W143" s="432"/>
      <c r="X143" s="419"/>
    </row>
    <row r="144" spans="1:24" s="420" customFormat="1" ht="15.75" x14ac:dyDescent="0.25">
      <c r="A144" s="428"/>
      <c r="B144" s="429" t="s">
        <v>175</v>
      </c>
      <c r="C144" s="429"/>
      <c r="D144" s="429"/>
      <c r="E144" s="429"/>
      <c r="F144" s="429"/>
      <c r="G144" s="429"/>
      <c r="H144" s="429"/>
      <c r="I144" s="429"/>
      <c r="J144" s="429"/>
      <c r="K144" s="429"/>
      <c r="L144" s="429"/>
      <c r="M144" s="429"/>
      <c r="N144" s="429"/>
      <c r="O144" s="429"/>
      <c r="P144" s="429"/>
      <c r="Q144" s="429"/>
      <c r="R144" s="429"/>
      <c r="S144" s="429"/>
      <c r="T144" s="429"/>
      <c r="U144" s="429"/>
      <c r="V144" s="473">
        <v>0</v>
      </c>
      <c r="W144" s="432"/>
      <c r="X144" s="419"/>
    </row>
    <row r="145" spans="1:25" s="420" customFormat="1" ht="15.75" x14ac:dyDescent="0.25">
      <c r="A145" s="428"/>
      <c r="B145" s="429" t="s">
        <v>45</v>
      </c>
      <c r="C145" s="429"/>
      <c r="D145" s="429"/>
      <c r="E145" s="429"/>
      <c r="F145" s="429"/>
      <c r="G145" s="429"/>
      <c r="H145" s="429"/>
      <c r="I145" s="429"/>
      <c r="J145" s="429"/>
      <c r="K145" s="429"/>
      <c r="L145" s="429"/>
      <c r="M145" s="429"/>
      <c r="N145" s="429"/>
      <c r="O145" s="429"/>
      <c r="P145" s="429"/>
      <c r="Q145" s="429"/>
      <c r="R145" s="429"/>
      <c r="S145" s="429"/>
      <c r="T145" s="429"/>
      <c r="U145" s="429"/>
      <c r="V145" s="473">
        <v>0</v>
      </c>
      <c r="W145" s="432"/>
      <c r="X145" s="419"/>
    </row>
    <row r="146" spans="1:25" s="420" customFormat="1" ht="15.75" x14ac:dyDescent="0.25">
      <c r="A146" s="428"/>
      <c r="B146" s="429" t="s">
        <v>129</v>
      </c>
      <c r="C146" s="429"/>
      <c r="D146" s="429"/>
      <c r="E146" s="429"/>
      <c r="F146" s="429"/>
      <c r="G146" s="429"/>
      <c r="H146" s="429"/>
      <c r="I146" s="429"/>
      <c r="J146" s="429"/>
      <c r="K146" s="429"/>
      <c r="L146" s="429"/>
      <c r="M146" s="429"/>
      <c r="N146" s="429"/>
      <c r="O146" s="429"/>
      <c r="P146" s="429"/>
      <c r="Q146" s="429"/>
      <c r="R146" s="429"/>
      <c r="S146" s="429"/>
      <c r="T146" s="429"/>
      <c r="U146" s="429"/>
      <c r="V146" s="473">
        <v>0</v>
      </c>
      <c r="W146" s="432"/>
      <c r="X146" s="419"/>
    </row>
    <row r="147" spans="1:25" s="420" customFormat="1" ht="15.75" x14ac:dyDescent="0.25">
      <c r="A147" s="428"/>
      <c r="B147" s="429" t="s">
        <v>241</v>
      </c>
      <c r="C147" s="429"/>
      <c r="D147" s="429"/>
      <c r="E147" s="429"/>
      <c r="F147" s="429"/>
      <c r="G147" s="429"/>
      <c r="H147" s="429"/>
      <c r="I147" s="429"/>
      <c r="J147" s="429"/>
      <c r="K147" s="429"/>
      <c r="L147" s="429"/>
      <c r="M147" s="429"/>
      <c r="N147" s="429"/>
      <c r="O147" s="429"/>
      <c r="P147" s="429"/>
      <c r="Q147" s="429"/>
      <c r="R147" s="429"/>
      <c r="S147" s="429"/>
      <c r="T147" s="429"/>
      <c r="U147" s="429"/>
      <c r="V147" s="473">
        <v>0</v>
      </c>
      <c r="W147" s="432"/>
      <c r="X147" s="419"/>
      <c r="Y147" s="477"/>
    </row>
    <row r="148" spans="1:25" s="420" customFormat="1" ht="15.75" x14ac:dyDescent="0.25">
      <c r="A148" s="428"/>
      <c r="B148" s="429" t="s">
        <v>46</v>
      </c>
      <c r="C148" s="429"/>
      <c r="D148" s="429"/>
      <c r="E148" s="429"/>
      <c r="F148" s="429"/>
      <c r="G148" s="429"/>
      <c r="H148" s="429"/>
      <c r="I148" s="429"/>
      <c r="J148" s="429"/>
      <c r="K148" s="429"/>
      <c r="L148" s="429"/>
      <c r="M148" s="429"/>
      <c r="N148" s="429"/>
      <c r="O148" s="429"/>
      <c r="P148" s="429"/>
      <c r="Q148" s="429"/>
      <c r="R148" s="429"/>
      <c r="S148" s="429"/>
      <c r="T148" s="429"/>
      <c r="U148" s="429"/>
      <c r="V148" s="473">
        <f>SUM(V140:V147)</f>
        <v>19022</v>
      </c>
      <c r="W148" s="432"/>
      <c r="X148" s="419"/>
    </row>
    <row r="149" spans="1:25" ht="15.75" x14ac:dyDescent="0.25">
      <c r="A149" s="285"/>
      <c r="B149" s="314"/>
      <c r="C149" s="314"/>
      <c r="D149" s="314"/>
      <c r="E149" s="314"/>
      <c r="F149" s="314"/>
      <c r="G149" s="314"/>
      <c r="H149" s="314"/>
      <c r="I149" s="314"/>
      <c r="J149" s="314"/>
      <c r="K149" s="314"/>
      <c r="L149" s="314"/>
      <c r="M149" s="314"/>
      <c r="N149" s="314"/>
      <c r="O149" s="314"/>
      <c r="P149" s="314"/>
      <c r="Q149" s="314"/>
      <c r="R149" s="314"/>
      <c r="S149" s="314"/>
      <c r="T149" s="314"/>
      <c r="U149" s="314"/>
      <c r="V149" s="345"/>
      <c r="W149" s="318"/>
      <c r="X149" s="5"/>
    </row>
    <row r="150" spans="1:25" ht="15.75" x14ac:dyDescent="0.25">
      <c r="A150" s="285"/>
      <c r="B150" s="530" t="s">
        <v>269</v>
      </c>
      <c r="C150" s="314"/>
      <c r="D150" s="314"/>
      <c r="E150" s="314"/>
      <c r="F150" s="314"/>
      <c r="G150" s="314"/>
      <c r="H150" s="314"/>
      <c r="I150" s="314"/>
      <c r="J150" s="314"/>
      <c r="K150" s="314"/>
      <c r="L150" s="314"/>
      <c r="M150" s="314"/>
      <c r="N150" s="314"/>
      <c r="O150" s="314"/>
      <c r="P150" s="314"/>
      <c r="Q150" s="314"/>
      <c r="R150" s="314"/>
      <c r="S150" s="314"/>
      <c r="T150" s="314"/>
      <c r="U150" s="314"/>
      <c r="V150" s="345"/>
      <c r="W150" s="318"/>
      <c r="X150" s="5"/>
    </row>
    <row r="151" spans="1:25" s="420" customFormat="1" ht="15.75" x14ac:dyDescent="0.25">
      <c r="A151" s="428"/>
      <c r="B151" s="429" t="s">
        <v>155</v>
      </c>
      <c r="C151" s="429"/>
      <c r="D151" s="429"/>
      <c r="E151" s="429"/>
      <c r="F151" s="429"/>
      <c r="G151" s="429"/>
      <c r="H151" s="429"/>
      <c r="I151" s="429"/>
      <c r="J151" s="429"/>
      <c r="K151" s="429"/>
      <c r="L151" s="429"/>
      <c r="M151" s="429"/>
      <c r="N151" s="429"/>
      <c r="O151" s="429"/>
      <c r="P151" s="429"/>
      <c r="Q151" s="429"/>
      <c r="R151" s="429"/>
      <c r="S151" s="429"/>
      <c r="T151" s="429"/>
      <c r="U151" s="429"/>
      <c r="V151" s="473">
        <v>0</v>
      </c>
      <c r="W151" s="432"/>
      <c r="X151" s="419"/>
    </row>
    <row r="152" spans="1:25" s="420" customFormat="1" ht="15.75" x14ac:dyDescent="0.25">
      <c r="A152" s="428"/>
      <c r="B152" s="429" t="s">
        <v>172</v>
      </c>
      <c r="C152" s="429"/>
      <c r="D152" s="429"/>
      <c r="E152" s="429"/>
      <c r="F152" s="429"/>
      <c r="G152" s="429"/>
      <c r="H152" s="429"/>
      <c r="I152" s="429"/>
      <c r="J152" s="429"/>
      <c r="K152" s="429"/>
      <c r="L152" s="429"/>
      <c r="M152" s="429"/>
      <c r="N152" s="429"/>
      <c r="O152" s="429"/>
      <c r="P152" s="429"/>
      <c r="Q152" s="429"/>
      <c r="R152" s="429"/>
      <c r="S152" s="429"/>
      <c r="T152" s="429"/>
      <c r="U152" s="429"/>
      <c r="V152" s="473">
        <v>0</v>
      </c>
      <c r="W152" s="432"/>
      <c r="X152" s="419"/>
    </row>
    <row r="153" spans="1:25" s="420" customFormat="1" ht="15.75" x14ac:dyDescent="0.25">
      <c r="A153" s="428"/>
      <c r="B153" s="429" t="s">
        <v>226</v>
      </c>
      <c r="C153" s="429"/>
      <c r="D153" s="429"/>
      <c r="E153" s="429"/>
      <c r="F153" s="429"/>
      <c r="G153" s="429"/>
      <c r="H153" s="429"/>
      <c r="I153" s="429"/>
      <c r="J153" s="429"/>
      <c r="K153" s="429"/>
      <c r="L153" s="429"/>
      <c r="M153" s="429"/>
      <c r="N153" s="429"/>
      <c r="O153" s="429"/>
      <c r="P153" s="429"/>
      <c r="Q153" s="429"/>
      <c r="R153" s="429"/>
      <c r="S153" s="429"/>
      <c r="T153" s="429"/>
      <c r="U153" s="429"/>
      <c r="V153" s="473">
        <v>0</v>
      </c>
      <c r="W153" s="432"/>
      <c r="X153" s="419"/>
    </row>
    <row r="154" spans="1:25" ht="15.75" x14ac:dyDescent="0.25">
      <c r="A154" s="285"/>
      <c r="B154" s="314"/>
      <c r="C154" s="314"/>
      <c r="D154" s="314"/>
      <c r="E154" s="314"/>
      <c r="F154" s="314"/>
      <c r="G154" s="314"/>
      <c r="H154" s="314"/>
      <c r="I154" s="314"/>
      <c r="J154" s="314"/>
      <c r="K154" s="314"/>
      <c r="L154" s="314"/>
      <c r="M154" s="314"/>
      <c r="N154" s="314"/>
      <c r="O154" s="314"/>
      <c r="P154" s="314"/>
      <c r="Q154" s="314"/>
      <c r="R154" s="314"/>
      <c r="S154" s="314"/>
      <c r="T154" s="314"/>
      <c r="U154" s="314"/>
      <c r="V154" s="345"/>
      <c r="W154" s="318"/>
      <c r="X154" s="5"/>
    </row>
    <row r="155" spans="1:25" ht="15.75" x14ac:dyDescent="0.25">
      <c r="A155" s="181"/>
      <c r="B155" s="212"/>
      <c r="C155" s="212"/>
      <c r="D155" s="212"/>
      <c r="E155" s="212"/>
      <c r="F155" s="212"/>
      <c r="G155" s="212"/>
      <c r="H155" s="212"/>
      <c r="I155" s="212"/>
      <c r="J155" s="212"/>
      <c r="K155" s="212"/>
      <c r="L155" s="212"/>
      <c r="M155" s="212"/>
      <c r="N155" s="212"/>
      <c r="O155" s="212"/>
      <c r="P155" s="212"/>
      <c r="Q155" s="212"/>
      <c r="R155" s="212"/>
      <c r="S155" s="212"/>
      <c r="T155" s="212"/>
      <c r="U155" s="212"/>
      <c r="V155" s="344"/>
      <c r="W155" s="212"/>
      <c r="X155" s="5"/>
    </row>
    <row r="156" spans="1:25" ht="15.75" x14ac:dyDescent="0.25">
      <c r="A156" s="181"/>
      <c r="B156" s="531" t="s">
        <v>24</v>
      </c>
      <c r="C156" s="183"/>
      <c r="D156" s="183"/>
      <c r="E156" s="183"/>
      <c r="F156" s="183"/>
      <c r="G156" s="183"/>
      <c r="H156" s="183"/>
      <c r="I156" s="183"/>
      <c r="J156" s="183"/>
      <c r="K156" s="183"/>
      <c r="L156" s="183"/>
      <c r="M156" s="183"/>
      <c r="N156" s="183"/>
      <c r="O156" s="183"/>
      <c r="P156" s="183"/>
      <c r="Q156" s="183"/>
      <c r="R156" s="183"/>
      <c r="S156" s="183"/>
      <c r="T156" s="183"/>
      <c r="U156" s="183"/>
      <c r="V156" s="202"/>
      <c r="W156" s="183"/>
      <c r="X156" s="5"/>
    </row>
    <row r="157" spans="1:25" s="420" customFormat="1" ht="15.75" x14ac:dyDescent="0.25">
      <c r="A157" s="428"/>
      <c r="B157" s="429" t="s">
        <v>47</v>
      </c>
      <c r="C157" s="429"/>
      <c r="D157" s="429"/>
      <c r="E157" s="429"/>
      <c r="F157" s="429"/>
      <c r="G157" s="429"/>
      <c r="H157" s="429"/>
      <c r="I157" s="429"/>
      <c r="J157" s="429"/>
      <c r="K157" s="429"/>
      <c r="L157" s="429"/>
      <c r="M157" s="429"/>
      <c r="N157" s="429"/>
      <c r="O157" s="429"/>
      <c r="P157" s="429"/>
      <c r="Q157" s="429"/>
      <c r="R157" s="429"/>
      <c r="S157" s="429"/>
      <c r="T157" s="429"/>
      <c r="U157" s="429"/>
      <c r="V157" s="481" t="s">
        <v>118</v>
      </c>
      <c r="W157" s="432"/>
      <c r="X157" s="419"/>
    </row>
    <row r="158" spans="1:25" s="420" customFormat="1" ht="15.75" x14ac:dyDescent="0.25">
      <c r="A158" s="428"/>
      <c r="B158" s="429" t="s">
        <v>48</v>
      </c>
      <c r="C158" s="431"/>
      <c r="D158" s="431"/>
      <c r="E158" s="431"/>
      <c r="F158" s="431"/>
      <c r="G158" s="431"/>
      <c r="H158" s="431"/>
      <c r="I158" s="431"/>
      <c r="J158" s="431"/>
      <c r="K158" s="431"/>
      <c r="L158" s="431"/>
      <c r="M158" s="431"/>
      <c r="N158" s="431"/>
      <c r="O158" s="431"/>
      <c r="P158" s="431"/>
      <c r="Q158" s="431"/>
      <c r="R158" s="431"/>
      <c r="S158" s="431"/>
      <c r="T158" s="431"/>
      <c r="U158" s="431"/>
      <c r="V158" s="481" t="s">
        <v>118</v>
      </c>
      <c r="W158" s="432"/>
      <c r="X158" s="419"/>
    </row>
    <row r="159" spans="1:25" s="420" customFormat="1" ht="15.75" x14ac:dyDescent="0.25">
      <c r="A159" s="428"/>
      <c r="B159" s="429" t="s">
        <v>49</v>
      </c>
      <c r="C159" s="429"/>
      <c r="D159" s="429"/>
      <c r="E159" s="429"/>
      <c r="F159" s="429"/>
      <c r="G159" s="429"/>
      <c r="H159" s="429"/>
      <c r="I159" s="429"/>
      <c r="J159" s="429"/>
      <c r="K159" s="429"/>
      <c r="L159" s="429"/>
      <c r="M159" s="429"/>
      <c r="N159" s="429"/>
      <c r="O159" s="429"/>
      <c r="P159" s="429"/>
      <c r="Q159" s="429"/>
      <c r="R159" s="429"/>
      <c r="S159" s="429"/>
      <c r="T159" s="429"/>
      <c r="U159" s="429"/>
      <c r="V159" s="481" t="s">
        <v>118</v>
      </c>
      <c r="W159" s="432"/>
      <c r="X159" s="419"/>
    </row>
    <row r="160" spans="1:25" s="420" customFormat="1" ht="15.75" x14ac:dyDescent="0.25">
      <c r="A160" s="428"/>
      <c r="B160" s="429" t="s">
        <v>50</v>
      </c>
      <c r="C160" s="429"/>
      <c r="D160" s="429"/>
      <c r="E160" s="429"/>
      <c r="F160" s="429"/>
      <c r="G160" s="429"/>
      <c r="H160" s="429"/>
      <c r="I160" s="429"/>
      <c r="J160" s="429"/>
      <c r="K160" s="429"/>
      <c r="L160" s="429"/>
      <c r="M160" s="429"/>
      <c r="N160" s="429"/>
      <c r="O160" s="429"/>
      <c r="P160" s="429"/>
      <c r="Q160" s="429"/>
      <c r="R160" s="429"/>
      <c r="S160" s="429"/>
      <c r="T160" s="429"/>
      <c r="U160" s="429"/>
      <c r="V160" s="481" t="s">
        <v>118</v>
      </c>
      <c r="W160" s="432"/>
      <c r="X160" s="419"/>
    </row>
    <row r="161" spans="1:256" ht="15.75" x14ac:dyDescent="0.25">
      <c r="A161" s="181"/>
      <c r="B161" s="212"/>
      <c r="C161" s="212"/>
      <c r="D161" s="212"/>
      <c r="E161" s="212"/>
      <c r="F161" s="212"/>
      <c r="G161" s="212"/>
      <c r="H161" s="212"/>
      <c r="I161" s="212"/>
      <c r="J161" s="212"/>
      <c r="K161" s="212"/>
      <c r="L161" s="212"/>
      <c r="M161" s="212"/>
      <c r="N161" s="212"/>
      <c r="O161" s="212"/>
      <c r="P161" s="212"/>
      <c r="Q161" s="212"/>
      <c r="R161" s="212"/>
      <c r="S161" s="212"/>
      <c r="T161" s="212"/>
      <c r="U161" s="212"/>
      <c r="V161" s="344"/>
      <c r="W161" s="212"/>
      <c r="X161" s="5"/>
    </row>
    <row r="162" spans="1:256" ht="15.75" x14ac:dyDescent="0.25">
      <c r="A162" s="181"/>
      <c r="B162" s="531" t="s">
        <v>51</v>
      </c>
      <c r="C162" s="183"/>
      <c r="D162" s="183"/>
      <c r="E162" s="183"/>
      <c r="F162" s="183"/>
      <c r="G162" s="183"/>
      <c r="H162" s="183"/>
      <c r="I162" s="183"/>
      <c r="J162" s="183"/>
      <c r="K162" s="183"/>
      <c r="L162" s="183"/>
      <c r="M162" s="183"/>
      <c r="N162" s="183"/>
      <c r="O162" s="183"/>
      <c r="P162" s="183"/>
      <c r="Q162" s="183"/>
      <c r="R162" s="183"/>
      <c r="S162" s="183"/>
      <c r="T162" s="183"/>
      <c r="U162" s="183"/>
      <c r="V162" s="211"/>
      <c r="W162" s="183"/>
      <c r="X162" s="5"/>
    </row>
    <row r="163" spans="1:256" s="420" customFormat="1" ht="15.75" x14ac:dyDescent="0.25">
      <c r="A163" s="428"/>
      <c r="B163" s="429" t="s">
        <v>52</v>
      </c>
      <c r="C163" s="429"/>
      <c r="D163" s="429"/>
      <c r="E163" s="429"/>
      <c r="F163" s="429"/>
      <c r="G163" s="429"/>
      <c r="H163" s="429"/>
      <c r="I163" s="429"/>
      <c r="J163" s="429"/>
      <c r="K163" s="429"/>
      <c r="L163" s="429"/>
      <c r="M163" s="429"/>
      <c r="N163" s="429"/>
      <c r="O163" s="429"/>
      <c r="P163" s="429"/>
      <c r="Q163" s="429"/>
      <c r="R163" s="429"/>
      <c r="S163" s="429"/>
      <c r="T163" s="429"/>
      <c r="U163" s="429"/>
      <c r="V163" s="473">
        <v>0</v>
      </c>
      <c r="W163" s="432"/>
      <c r="X163" s="419"/>
    </row>
    <row r="164" spans="1:256" s="420" customFormat="1" ht="15.75" x14ac:dyDescent="0.25">
      <c r="A164" s="428"/>
      <c r="B164" s="429" t="s">
        <v>53</v>
      </c>
      <c r="C164" s="429"/>
      <c r="D164" s="429"/>
      <c r="E164" s="429"/>
      <c r="F164" s="429"/>
      <c r="G164" s="429"/>
      <c r="H164" s="429"/>
      <c r="I164" s="429"/>
      <c r="J164" s="429"/>
      <c r="K164" s="429"/>
      <c r="L164" s="429"/>
      <c r="M164" s="429"/>
      <c r="N164" s="429"/>
      <c r="O164" s="429"/>
      <c r="P164" s="429"/>
      <c r="Q164" s="429"/>
      <c r="R164" s="429"/>
      <c r="S164" s="429"/>
      <c r="T164" s="429"/>
      <c r="U164" s="429"/>
      <c r="V164" s="473">
        <v>-23</v>
      </c>
      <c r="W164" s="432"/>
      <c r="X164" s="419"/>
    </row>
    <row r="165" spans="1:256" s="420" customFormat="1" ht="15.75" x14ac:dyDescent="0.25">
      <c r="A165" s="428"/>
      <c r="B165" s="429" t="s">
        <v>54</v>
      </c>
      <c r="C165" s="429"/>
      <c r="D165" s="429"/>
      <c r="E165" s="429"/>
      <c r="F165" s="429"/>
      <c r="G165" s="429"/>
      <c r="H165" s="429"/>
      <c r="I165" s="429"/>
      <c r="J165" s="429"/>
      <c r="K165" s="429"/>
      <c r="L165" s="429"/>
      <c r="M165" s="429"/>
      <c r="N165" s="429"/>
      <c r="O165" s="429"/>
      <c r="P165" s="429"/>
      <c r="Q165" s="429"/>
      <c r="R165" s="429"/>
      <c r="S165" s="429"/>
      <c r="T165" s="429"/>
      <c r="U165" s="429"/>
      <c r="V165" s="473">
        <f>V164+V163</f>
        <v>-23</v>
      </c>
      <c r="W165" s="432"/>
      <c r="X165" s="419"/>
    </row>
    <row r="166" spans="1:256" s="420" customFormat="1" ht="15.75" x14ac:dyDescent="0.25">
      <c r="A166" s="428"/>
      <c r="B166" s="429" t="s">
        <v>303</v>
      </c>
      <c r="C166" s="429"/>
      <c r="D166" s="429"/>
      <c r="E166" s="429"/>
      <c r="F166" s="429"/>
      <c r="G166" s="429"/>
      <c r="H166" s="429"/>
      <c r="I166" s="429"/>
      <c r="J166" s="429"/>
      <c r="K166" s="429"/>
      <c r="L166" s="429"/>
      <c r="M166" s="429"/>
      <c r="N166" s="429"/>
      <c r="O166" s="429"/>
      <c r="P166" s="429"/>
      <c r="Q166" s="429"/>
      <c r="R166" s="429"/>
      <c r="S166" s="429"/>
      <c r="T166" s="429"/>
      <c r="U166" s="429"/>
      <c r="V166" s="473">
        <f>V114</f>
        <v>23</v>
      </c>
      <c r="W166" s="432"/>
      <c r="X166" s="419"/>
    </row>
    <row r="167" spans="1:256" s="420" customFormat="1" ht="15.75" x14ac:dyDescent="0.25">
      <c r="A167" s="428"/>
      <c r="B167" s="429" t="s">
        <v>55</v>
      </c>
      <c r="C167" s="429"/>
      <c r="D167" s="429"/>
      <c r="E167" s="429"/>
      <c r="F167" s="429"/>
      <c r="G167" s="429"/>
      <c r="H167" s="429"/>
      <c r="I167" s="429"/>
      <c r="J167" s="429"/>
      <c r="K167" s="429"/>
      <c r="L167" s="429"/>
      <c r="M167" s="429"/>
      <c r="N167" s="429"/>
      <c r="O167" s="429"/>
      <c r="P167" s="429"/>
      <c r="Q167" s="429"/>
      <c r="R167" s="429"/>
      <c r="S167" s="429"/>
      <c r="T167" s="429"/>
      <c r="U167" s="429"/>
      <c r="V167" s="473">
        <f>V165+V166</f>
        <v>0</v>
      </c>
      <c r="W167" s="432"/>
      <c r="X167" s="419"/>
    </row>
    <row r="168" spans="1:256" s="420" customFormat="1" ht="15.75" x14ac:dyDescent="0.25">
      <c r="A168" s="428"/>
      <c r="B168" s="429" t="s">
        <v>274</v>
      </c>
      <c r="C168" s="429"/>
      <c r="D168" s="429"/>
      <c r="E168" s="429"/>
      <c r="F168" s="429"/>
      <c r="G168" s="429"/>
      <c r="H168" s="429"/>
      <c r="I168" s="429"/>
      <c r="J168" s="429"/>
      <c r="K168" s="429"/>
      <c r="L168" s="429"/>
      <c r="M168" s="429"/>
      <c r="N168" s="429"/>
      <c r="O168" s="429"/>
      <c r="P168" s="429"/>
      <c r="Q168" s="429"/>
      <c r="R168" s="429"/>
      <c r="S168" s="429"/>
      <c r="T168" s="429"/>
      <c r="U168" s="429"/>
      <c r="V168" s="473">
        <f>-V100</f>
        <v>258</v>
      </c>
      <c r="W168" s="432"/>
      <c r="X168" s="419"/>
    </row>
    <row r="169" spans="1:256" ht="16.5" thickBot="1" x14ac:dyDescent="0.3">
      <c r="A169" s="181"/>
      <c r="B169" s="212"/>
      <c r="C169" s="212"/>
      <c r="D169" s="212"/>
      <c r="E169" s="212"/>
      <c r="F169" s="212"/>
      <c r="G169" s="212"/>
      <c r="H169" s="212"/>
      <c r="I169" s="212"/>
      <c r="J169" s="212"/>
      <c r="K169" s="212"/>
      <c r="L169" s="212"/>
      <c r="M169" s="212"/>
      <c r="N169" s="212"/>
      <c r="O169" s="212"/>
      <c r="P169" s="212"/>
      <c r="Q169" s="212"/>
      <c r="R169" s="212"/>
      <c r="S169" s="212"/>
      <c r="T169" s="212"/>
      <c r="U169" s="212"/>
      <c r="V169" s="344"/>
      <c r="W169" s="212"/>
      <c r="X169" s="5"/>
    </row>
    <row r="170" spans="1:256" ht="15.75" x14ac:dyDescent="0.25">
      <c r="A170" s="179"/>
      <c r="B170" s="180"/>
      <c r="C170" s="180"/>
      <c r="D170" s="180"/>
      <c r="E170" s="180"/>
      <c r="F170" s="180"/>
      <c r="G170" s="180"/>
      <c r="H170" s="180"/>
      <c r="I170" s="180"/>
      <c r="J170" s="180"/>
      <c r="K170" s="180"/>
      <c r="L170" s="180"/>
      <c r="M170" s="180"/>
      <c r="N170" s="180"/>
      <c r="O170" s="180"/>
      <c r="P170" s="180"/>
      <c r="Q170" s="180"/>
      <c r="R170" s="180"/>
      <c r="S170" s="180"/>
      <c r="T170" s="180"/>
      <c r="U170" s="180"/>
      <c r="V170" s="201"/>
      <c r="W170" s="180"/>
      <c r="X170" s="5"/>
    </row>
    <row r="171" spans="1:256" s="158" customFormat="1" ht="15.75" x14ac:dyDescent="0.25">
      <c r="A171" s="181"/>
      <c r="B171" s="531" t="s">
        <v>230</v>
      </c>
      <c r="C171" s="212"/>
      <c r="D171" s="212"/>
      <c r="E171" s="212"/>
      <c r="F171" s="212"/>
      <c r="G171" s="212"/>
      <c r="H171" s="212"/>
      <c r="I171" s="212"/>
      <c r="J171" s="212"/>
      <c r="K171" s="212"/>
      <c r="L171" s="212"/>
      <c r="M171" s="212"/>
      <c r="N171" s="212"/>
      <c r="O171" s="212"/>
      <c r="P171" s="212"/>
      <c r="Q171" s="212"/>
      <c r="R171" s="212"/>
      <c r="S171" s="212"/>
      <c r="T171" s="212"/>
      <c r="U171" s="212"/>
      <c r="V171" s="213"/>
      <c r="W171" s="212"/>
      <c r="X171" s="5"/>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s="482" customFormat="1" ht="15.75" x14ac:dyDescent="0.25">
      <c r="A172" s="428"/>
      <c r="B172" s="429" t="s">
        <v>231</v>
      </c>
      <c r="C172" s="429"/>
      <c r="D172" s="429"/>
      <c r="E172" s="429"/>
      <c r="F172" s="429"/>
      <c r="G172" s="429"/>
      <c r="H172" s="429"/>
      <c r="I172" s="429"/>
      <c r="J172" s="429"/>
      <c r="K172" s="429"/>
      <c r="L172" s="429"/>
      <c r="M172" s="429"/>
      <c r="N172" s="429"/>
      <c r="O172" s="429"/>
      <c r="P172" s="429"/>
      <c r="Q172" s="429"/>
      <c r="R172" s="429"/>
      <c r="S172" s="429"/>
      <c r="T172" s="429"/>
      <c r="U172" s="429"/>
      <c r="V172" s="473">
        <f>+'Aug 08'!V173</f>
        <v>0</v>
      </c>
      <c r="W172" s="432"/>
      <c r="X172" s="419"/>
      <c r="Y172" s="420"/>
      <c r="Z172" s="420"/>
      <c r="AA172" s="420"/>
      <c r="AB172" s="420"/>
      <c r="AC172" s="420"/>
      <c r="AD172" s="420"/>
      <c r="AE172" s="420"/>
      <c r="AF172" s="420"/>
      <c r="AG172" s="420"/>
      <c r="AH172" s="420"/>
      <c r="AI172" s="420"/>
      <c r="AJ172" s="420"/>
      <c r="AK172" s="420"/>
      <c r="AL172" s="420"/>
      <c r="AM172" s="420"/>
      <c r="AN172" s="420"/>
      <c r="AO172" s="420"/>
      <c r="AP172" s="420"/>
      <c r="AQ172" s="420"/>
      <c r="AR172" s="420"/>
      <c r="AS172" s="420"/>
      <c r="AT172" s="420"/>
      <c r="AU172" s="420"/>
      <c r="AV172" s="420"/>
      <c r="AW172" s="420"/>
      <c r="AX172" s="420"/>
      <c r="AY172" s="420"/>
      <c r="AZ172" s="420"/>
      <c r="BA172" s="420"/>
      <c r="BB172" s="420"/>
      <c r="BC172" s="420"/>
      <c r="BD172" s="420"/>
      <c r="BE172" s="420"/>
      <c r="BF172" s="420"/>
      <c r="BG172" s="420"/>
      <c r="BH172" s="420"/>
      <c r="BI172" s="420"/>
      <c r="BJ172" s="420"/>
      <c r="BK172" s="420"/>
      <c r="BL172" s="420"/>
      <c r="BM172" s="420"/>
      <c r="BN172" s="420"/>
      <c r="BO172" s="420"/>
      <c r="BP172" s="420"/>
      <c r="BQ172" s="420"/>
      <c r="BR172" s="420"/>
      <c r="BS172" s="420"/>
      <c r="BT172" s="420"/>
      <c r="BU172" s="420"/>
      <c r="BV172" s="420"/>
      <c r="BW172" s="420"/>
      <c r="BX172" s="420"/>
      <c r="BY172" s="420"/>
      <c r="BZ172" s="420"/>
      <c r="CA172" s="420"/>
      <c r="CB172" s="420"/>
      <c r="CC172" s="420"/>
      <c r="CD172" s="420"/>
      <c r="CE172" s="420"/>
      <c r="CF172" s="420"/>
      <c r="CG172" s="420"/>
      <c r="CH172" s="420"/>
      <c r="CI172" s="420"/>
      <c r="CJ172" s="420"/>
      <c r="CK172" s="420"/>
      <c r="CL172" s="420"/>
      <c r="CM172" s="420"/>
      <c r="CN172" s="420"/>
      <c r="CO172" s="420"/>
      <c r="CP172" s="420"/>
      <c r="CQ172" s="420"/>
      <c r="CR172" s="420"/>
      <c r="CS172" s="420"/>
      <c r="CT172" s="420"/>
      <c r="CU172" s="420"/>
      <c r="CV172" s="420"/>
      <c r="CW172" s="420"/>
      <c r="CX172" s="420"/>
      <c r="CY172" s="420"/>
      <c r="CZ172" s="420"/>
      <c r="DA172" s="420"/>
      <c r="DB172" s="420"/>
      <c r="DC172" s="420"/>
      <c r="DD172" s="420"/>
      <c r="DE172" s="420"/>
      <c r="DF172" s="420"/>
      <c r="DG172" s="420"/>
      <c r="DH172" s="420"/>
      <c r="DI172" s="420"/>
      <c r="DJ172" s="420"/>
      <c r="DK172" s="420"/>
      <c r="DL172" s="420"/>
      <c r="DM172" s="420"/>
      <c r="DN172" s="420"/>
      <c r="DO172" s="420"/>
      <c r="DP172" s="420"/>
      <c r="DQ172" s="420"/>
      <c r="DR172" s="420"/>
      <c r="DS172" s="420"/>
      <c r="DT172" s="420"/>
      <c r="DU172" s="420"/>
      <c r="DV172" s="420"/>
      <c r="DW172" s="420"/>
      <c r="DX172" s="420"/>
      <c r="DY172" s="420"/>
      <c r="DZ172" s="420"/>
      <c r="EA172" s="420"/>
      <c r="EB172" s="420"/>
      <c r="EC172" s="420"/>
      <c r="ED172" s="420"/>
      <c r="EE172" s="420"/>
      <c r="EF172" s="420"/>
      <c r="EG172" s="420"/>
      <c r="EH172" s="420"/>
      <c r="EI172" s="420"/>
      <c r="EJ172" s="420"/>
      <c r="EK172" s="420"/>
      <c r="EL172" s="420"/>
      <c r="EM172" s="420"/>
      <c r="EN172" s="420"/>
      <c r="EO172" s="420"/>
      <c r="EP172" s="420"/>
      <c r="EQ172" s="420"/>
      <c r="ER172" s="420"/>
      <c r="ES172" s="420"/>
      <c r="ET172" s="420"/>
      <c r="EU172" s="420"/>
      <c r="EV172" s="420"/>
      <c r="EW172" s="420"/>
      <c r="EX172" s="420"/>
      <c r="EY172" s="420"/>
      <c r="EZ172" s="420"/>
      <c r="FA172" s="420"/>
      <c r="FB172" s="420"/>
      <c r="FC172" s="420"/>
      <c r="FD172" s="420"/>
      <c r="FE172" s="420"/>
      <c r="FF172" s="420"/>
      <c r="FG172" s="420"/>
      <c r="FH172" s="420"/>
      <c r="FI172" s="420"/>
      <c r="FJ172" s="420"/>
      <c r="FK172" s="420"/>
      <c r="FL172" s="420"/>
      <c r="FM172" s="420"/>
      <c r="FN172" s="420"/>
      <c r="FO172" s="420"/>
      <c r="FP172" s="420"/>
      <c r="FQ172" s="420"/>
      <c r="FR172" s="420"/>
      <c r="FS172" s="420"/>
      <c r="FT172" s="420"/>
      <c r="FU172" s="420"/>
      <c r="FV172" s="420"/>
      <c r="FW172" s="420"/>
      <c r="FX172" s="420"/>
      <c r="FY172" s="420"/>
      <c r="FZ172" s="420"/>
      <c r="GA172" s="420"/>
      <c r="GB172" s="420"/>
      <c r="GC172" s="420"/>
      <c r="GD172" s="420"/>
      <c r="GE172" s="420"/>
      <c r="GF172" s="420"/>
      <c r="GG172" s="420"/>
      <c r="GH172" s="420"/>
      <c r="GI172" s="420"/>
      <c r="GJ172" s="420"/>
      <c r="GK172" s="420"/>
      <c r="GL172" s="420"/>
      <c r="GM172" s="420"/>
      <c r="GN172" s="420"/>
      <c r="GO172" s="420"/>
      <c r="GP172" s="420"/>
      <c r="GQ172" s="420"/>
      <c r="GR172" s="420"/>
      <c r="GS172" s="420"/>
      <c r="GT172" s="420"/>
      <c r="GU172" s="420"/>
      <c r="GV172" s="420"/>
      <c r="GW172" s="420"/>
      <c r="GX172" s="420"/>
      <c r="GY172" s="420"/>
      <c r="GZ172" s="420"/>
      <c r="HA172" s="420"/>
      <c r="HB172" s="420"/>
      <c r="HC172" s="420"/>
      <c r="HD172" s="420"/>
      <c r="HE172" s="420"/>
      <c r="HF172" s="420"/>
      <c r="HG172" s="420"/>
      <c r="HH172" s="420"/>
      <c r="HI172" s="420"/>
      <c r="HJ172" s="420"/>
      <c r="HK172" s="420"/>
      <c r="HL172" s="420"/>
      <c r="HM172" s="420"/>
      <c r="HN172" s="420"/>
      <c r="HO172" s="420"/>
      <c r="HP172" s="420"/>
      <c r="HQ172" s="420"/>
      <c r="HR172" s="420"/>
      <c r="HS172" s="420"/>
      <c r="HT172" s="420"/>
      <c r="HU172" s="420"/>
      <c r="HV172" s="420"/>
      <c r="HW172" s="420"/>
      <c r="HX172" s="420"/>
      <c r="HY172" s="420"/>
      <c r="HZ172" s="420"/>
      <c r="IA172" s="420"/>
      <c r="IB172" s="420"/>
      <c r="IC172" s="420"/>
      <c r="ID172" s="420"/>
      <c r="IE172" s="420"/>
      <c r="IF172" s="420"/>
      <c r="IG172" s="420"/>
      <c r="IH172" s="420"/>
      <c r="II172" s="420"/>
      <c r="IJ172" s="420"/>
      <c r="IK172" s="420"/>
      <c r="IL172" s="420"/>
      <c r="IM172" s="420"/>
      <c r="IN172" s="420"/>
      <c r="IO172" s="420"/>
      <c r="IP172" s="420"/>
      <c r="IQ172" s="420"/>
      <c r="IR172" s="420"/>
      <c r="IS172" s="420"/>
      <c r="IT172" s="420"/>
      <c r="IU172" s="420"/>
      <c r="IV172" s="420"/>
    </row>
    <row r="173" spans="1:256" s="482" customFormat="1" ht="15.75" x14ac:dyDescent="0.25">
      <c r="A173" s="428"/>
      <c r="B173" s="429" t="s">
        <v>234</v>
      </c>
      <c r="C173" s="429"/>
      <c r="D173" s="429"/>
      <c r="E173" s="429"/>
      <c r="F173" s="429"/>
      <c r="G173" s="429"/>
      <c r="H173" s="429"/>
      <c r="I173" s="429"/>
      <c r="J173" s="429"/>
      <c r="K173" s="429"/>
      <c r="L173" s="429"/>
      <c r="M173" s="429"/>
      <c r="N173" s="429"/>
      <c r="O173" s="429"/>
      <c r="P173" s="429"/>
      <c r="Q173" s="429"/>
      <c r="R173" s="429"/>
      <c r="S173" s="429"/>
      <c r="T173" s="429"/>
      <c r="U173" s="429"/>
      <c r="V173" s="473">
        <f>+V94</f>
        <v>0</v>
      </c>
      <c r="W173" s="432"/>
      <c r="X173" s="419"/>
      <c r="Y173" s="420"/>
      <c r="Z173" s="420"/>
      <c r="AA173" s="420"/>
      <c r="AB173" s="420"/>
      <c r="AC173" s="420"/>
      <c r="AD173" s="420"/>
      <c r="AE173" s="420"/>
      <c r="AF173" s="420"/>
      <c r="AG173" s="420"/>
      <c r="AH173" s="420"/>
      <c r="AI173" s="420"/>
      <c r="AJ173" s="420"/>
      <c r="AK173" s="420"/>
      <c r="AL173" s="420"/>
      <c r="AM173" s="420"/>
      <c r="AN173" s="420"/>
      <c r="AO173" s="420"/>
      <c r="AP173" s="420"/>
      <c r="AQ173" s="420"/>
      <c r="AR173" s="420"/>
      <c r="AS173" s="420"/>
      <c r="AT173" s="420"/>
      <c r="AU173" s="420"/>
      <c r="AV173" s="420"/>
      <c r="AW173" s="420"/>
      <c r="AX173" s="420"/>
      <c r="AY173" s="420"/>
      <c r="AZ173" s="420"/>
      <c r="BA173" s="420"/>
      <c r="BB173" s="420"/>
      <c r="BC173" s="420"/>
      <c r="BD173" s="420"/>
      <c r="BE173" s="420"/>
      <c r="BF173" s="420"/>
      <c r="BG173" s="420"/>
      <c r="BH173" s="420"/>
      <c r="BI173" s="420"/>
      <c r="BJ173" s="420"/>
      <c r="BK173" s="420"/>
      <c r="BL173" s="420"/>
      <c r="BM173" s="420"/>
      <c r="BN173" s="420"/>
      <c r="BO173" s="420"/>
      <c r="BP173" s="420"/>
      <c r="BQ173" s="420"/>
      <c r="BR173" s="420"/>
      <c r="BS173" s="420"/>
      <c r="BT173" s="420"/>
      <c r="BU173" s="420"/>
      <c r="BV173" s="420"/>
      <c r="BW173" s="420"/>
      <c r="BX173" s="420"/>
      <c r="BY173" s="420"/>
      <c r="BZ173" s="420"/>
      <c r="CA173" s="420"/>
      <c r="CB173" s="420"/>
      <c r="CC173" s="420"/>
      <c r="CD173" s="420"/>
      <c r="CE173" s="420"/>
      <c r="CF173" s="420"/>
      <c r="CG173" s="420"/>
      <c r="CH173" s="420"/>
      <c r="CI173" s="420"/>
      <c r="CJ173" s="420"/>
      <c r="CK173" s="420"/>
      <c r="CL173" s="420"/>
      <c r="CM173" s="420"/>
      <c r="CN173" s="420"/>
      <c r="CO173" s="420"/>
      <c r="CP173" s="420"/>
      <c r="CQ173" s="420"/>
      <c r="CR173" s="420"/>
      <c r="CS173" s="420"/>
      <c r="CT173" s="420"/>
      <c r="CU173" s="420"/>
      <c r="CV173" s="420"/>
      <c r="CW173" s="420"/>
      <c r="CX173" s="420"/>
      <c r="CY173" s="420"/>
      <c r="CZ173" s="420"/>
      <c r="DA173" s="420"/>
      <c r="DB173" s="420"/>
      <c r="DC173" s="420"/>
      <c r="DD173" s="420"/>
      <c r="DE173" s="420"/>
      <c r="DF173" s="420"/>
      <c r="DG173" s="420"/>
      <c r="DH173" s="420"/>
      <c r="DI173" s="420"/>
      <c r="DJ173" s="420"/>
      <c r="DK173" s="420"/>
      <c r="DL173" s="420"/>
      <c r="DM173" s="420"/>
      <c r="DN173" s="420"/>
      <c r="DO173" s="420"/>
      <c r="DP173" s="420"/>
      <c r="DQ173" s="420"/>
      <c r="DR173" s="420"/>
      <c r="DS173" s="420"/>
      <c r="DT173" s="420"/>
      <c r="DU173" s="420"/>
      <c r="DV173" s="420"/>
      <c r="DW173" s="420"/>
      <c r="DX173" s="420"/>
      <c r="DY173" s="420"/>
      <c r="DZ173" s="420"/>
      <c r="EA173" s="420"/>
      <c r="EB173" s="420"/>
      <c r="EC173" s="420"/>
      <c r="ED173" s="420"/>
      <c r="EE173" s="420"/>
      <c r="EF173" s="420"/>
      <c r="EG173" s="420"/>
      <c r="EH173" s="420"/>
      <c r="EI173" s="420"/>
      <c r="EJ173" s="420"/>
      <c r="EK173" s="420"/>
      <c r="EL173" s="420"/>
      <c r="EM173" s="420"/>
      <c r="EN173" s="420"/>
      <c r="EO173" s="420"/>
      <c r="EP173" s="420"/>
      <c r="EQ173" s="420"/>
      <c r="ER173" s="420"/>
      <c r="ES173" s="420"/>
      <c r="ET173" s="420"/>
      <c r="EU173" s="420"/>
      <c r="EV173" s="420"/>
      <c r="EW173" s="420"/>
      <c r="EX173" s="420"/>
      <c r="EY173" s="420"/>
      <c r="EZ173" s="420"/>
      <c r="FA173" s="420"/>
      <c r="FB173" s="420"/>
      <c r="FC173" s="420"/>
      <c r="FD173" s="420"/>
      <c r="FE173" s="420"/>
      <c r="FF173" s="420"/>
      <c r="FG173" s="420"/>
      <c r="FH173" s="420"/>
      <c r="FI173" s="420"/>
      <c r="FJ173" s="420"/>
      <c r="FK173" s="420"/>
      <c r="FL173" s="420"/>
      <c r="FM173" s="420"/>
      <c r="FN173" s="420"/>
      <c r="FO173" s="420"/>
      <c r="FP173" s="420"/>
      <c r="FQ173" s="420"/>
      <c r="FR173" s="420"/>
      <c r="FS173" s="420"/>
      <c r="FT173" s="420"/>
      <c r="FU173" s="420"/>
      <c r="FV173" s="420"/>
      <c r="FW173" s="420"/>
      <c r="FX173" s="420"/>
      <c r="FY173" s="420"/>
      <c r="FZ173" s="420"/>
      <c r="GA173" s="420"/>
      <c r="GB173" s="420"/>
      <c r="GC173" s="420"/>
      <c r="GD173" s="420"/>
      <c r="GE173" s="420"/>
      <c r="GF173" s="420"/>
      <c r="GG173" s="420"/>
      <c r="GH173" s="420"/>
      <c r="GI173" s="420"/>
      <c r="GJ173" s="420"/>
      <c r="GK173" s="420"/>
      <c r="GL173" s="420"/>
      <c r="GM173" s="420"/>
      <c r="GN173" s="420"/>
      <c r="GO173" s="420"/>
      <c r="GP173" s="420"/>
      <c r="GQ173" s="420"/>
      <c r="GR173" s="420"/>
      <c r="GS173" s="420"/>
      <c r="GT173" s="420"/>
      <c r="GU173" s="420"/>
      <c r="GV173" s="420"/>
      <c r="GW173" s="420"/>
      <c r="GX173" s="420"/>
      <c r="GY173" s="420"/>
      <c r="GZ173" s="420"/>
      <c r="HA173" s="420"/>
      <c r="HB173" s="420"/>
      <c r="HC173" s="420"/>
      <c r="HD173" s="420"/>
      <c r="HE173" s="420"/>
      <c r="HF173" s="420"/>
      <c r="HG173" s="420"/>
      <c r="HH173" s="420"/>
      <c r="HI173" s="420"/>
      <c r="HJ173" s="420"/>
      <c r="HK173" s="420"/>
      <c r="HL173" s="420"/>
      <c r="HM173" s="420"/>
      <c r="HN173" s="420"/>
      <c r="HO173" s="420"/>
      <c r="HP173" s="420"/>
      <c r="HQ173" s="420"/>
      <c r="HR173" s="420"/>
      <c r="HS173" s="420"/>
      <c r="HT173" s="420"/>
      <c r="HU173" s="420"/>
      <c r="HV173" s="420"/>
      <c r="HW173" s="420"/>
      <c r="HX173" s="420"/>
      <c r="HY173" s="420"/>
      <c r="HZ173" s="420"/>
      <c r="IA173" s="420"/>
      <c r="IB173" s="420"/>
      <c r="IC173" s="420"/>
      <c r="ID173" s="420"/>
      <c r="IE173" s="420"/>
      <c r="IF173" s="420"/>
      <c r="IG173" s="420"/>
      <c r="IH173" s="420"/>
      <c r="II173" s="420"/>
      <c r="IJ173" s="420"/>
      <c r="IK173" s="420"/>
      <c r="IL173" s="420"/>
      <c r="IM173" s="420"/>
      <c r="IN173" s="420"/>
      <c r="IO173" s="420"/>
      <c r="IP173" s="420"/>
      <c r="IQ173" s="420"/>
      <c r="IR173" s="420"/>
      <c r="IS173" s="420"/>
      <c r="IT173" s="420"/>
      <c r="IU173" s="420"/>
      <c r="IV173" s="420"/>
    </row>
    <row r="174" spans="1:256" s="482" customFormat="1" ht="15.75" x14ac:dyDescent="0.25">
      <c r="A174" s="428"/>
      <c r="B174" s="429" t="s">
        <v>232</v>
      </c>
      <c r="C174" s="429"/>
      <c r="D174" s="429"/>
      <c r="E174" s="429"/>
      <c r="F174" s="429"/>
      <c r="G174" s="429"/>
      <c r="H174" s="429"/>
      <c r="I174" s="429"/>
      <c r="J174" s="429"/>
      <c r="K174" s="429"/>
      <c r="L174" s="429"/>
      <c r="M174" s="429"/>
      <c r="N174" s="429"/>
      <c r="O174" s="429"/>
      <c r="P174" s="429"/>
      <c r="Q174" s="429"/>
      <c r="R174" s="429"/>
      <c r="S174" s="429"/>
      <c r="T174" s="429"/>
      <c r="U174" s="429"/>
      <c r="V174" s="473">
        <f>+V172-V173</f>
        <v>0</v>
      </c>
      <c r="W174" s="432"/>
      <c r="X174" s="419"/>
      <c r="Y174" s="420"/>
      <c r="Z174" s="420"/>
      <c r="AA174" s="420"/>
      <c r="AB174" s="420"/>
      <c r="AC174" s="420"/>
      <c r="AD174" s="420"/>
      <c r="AE174" s="420"/>
      <c r="AF174" s="420"/>
      <c r="AG174" s="420"/>
      <c r="AH174" s="420"/>
      <c r="AI174" s="420"/>
      <c r="AJ174" s="420"/>
      <c r="AK174" s="420"/>
      <c r="AL174" s="420"/>
      <c r="AM174" s="420"/>
      <c r="AN174" s="420"/>
      <c r="AO174" s="420"/>
      <c r="AP174" s="420"/>
      <c r="AQ174" s="420"/>
      <c r="AR174" s="420"/>
      <c r="AS174" s="420"/>
      <c r="AT174" s="420"/>
      <c r="AU174" s="420"/>
      <c r="AV174" s="420"/>
      <c r="AW174" s="420"/>
      <c r="AX174" s="420"/>
      <c r="AY174" s="420"/>
      <c r="AZ174" s="420"/>
      <c r="BA174" s="420"/>
      <c r="BB174" s="420"/>
      <c r="BC174" s="420"/>
      <c r="BD174" s="420"/>
      <c r="BE174" s="420"/>
      <c r="BF174" s="420"/>
      <c r="BG174" s="420"/>
      <c r="BH174" s="420"/>
      <c r="BI174" s="420"/>
      <c r="BJ174" s="420"/>
      <c r="BK174" s="420"/>
      <c r="BL174" s="420"/>
      <c r="BM174" s="420"/>
      <c r="BN174" s="420"/>
      <c r="BO174" s="420"/>
      <c r="BP174" s="420"/>
      <c r="BQ174" s="420"/>
      <c r="BR174" s="420"/>
      <c r="BS174" s="420"/>
      <c r="BT174" s="420"/>
      <c r="BU174" s="420"/>
      <c r="BV174" s="420"/>
      <c r="BW174" s="420"/>
      <c r="BX174" s="420"/>
      <c r="BY174" s="420"/>
      <c r="BZ174" s="420"/>
      <c r="CA174" s="420"/>
      <c r="CB174" s="420"/>
      <c r="CC174" s="420"/>
      <c r="CD174" s="420"/>
      <c r="CE174" s="420"/>
      <c r="CF174" s="420"/>
      <c r="CG174" s="420"/>
      <c r="CH174" s="420"/>
      <c r="CI174" s="420"/>
      <c r="CJ174" s="420"/>
      <c r="CK174" s="420"/>
      <c r="CL174" s="420"/>
      <c r="CM174" s="420"/>
      <c r="CN174" s="420"/>
      <c r="CO174" s="420"/>
      <c r="CP174" s="420"/>
      <c r="CQ174" s="420"/>
      <c r="CR174" s="420"/>
      <c r="CS174" s="420"/>
      <c r="CT174" s="420"/>
      <c r="CU174" s="420"/>
      <c r="CV174" s="420"/>
      <c r="CW174" s="420"/>
      <c r="CX174" s="420"/>
      <c r="CY174" s="420"/>
      <c r="CZ174" s="420"/>
      <c r="DA174" s="420"/>
      <c r="DB174" s="420"/>
      <c r="DC174" s="420"/>
      <c r="DD174" s="420"/>
      <c r="DE174" s="420"/>
      <c r="DF174" s="420"/>
      <c r="DG174" s="420"/>
      <c r="DH174" s="420"/>
      <c r="DI174" s="420"/>
      <c r="DJ174" s="420"/>
      <c r="DK174" s="420"/>
      <c r="DL174" s="420"/>
      <c r="DM174" s="420"/>
      <c r="DN174" s="420"/>
      <c r="DO174" s="420"/>
      <c r="DP174" s="420"/>
      <c r="DQ174" s="420"/>
      <c r="DR174" s="420"/>
      <c r="DS174" s="420"/>
      <c r="DT174" s="420"/>
      <c r="DU174" s="420"/>
      <c r="DV174" s="420"/>
      <c r="DW174" s="420"/>
      <c r="DX174" s="420"/>
      <c r="DY174" s="420"/>
      <c r="DZ174" s="420"/>
      <c r="EA174" s="420"/>
      <c r="EB174" s="420"/>
      <c r="EC174" s="420"/>
      <c r="ED174" s="420"/>
      <c r="EE174" s="420"/>
      <c r="EF174" s="420"/>
      <c r="EG174" s="420"/>
      <c r="EH174" s="420"/>
      <c r="EI174" s="420"/>
      <c r="EJ174" s="420"/>
      <c r="EK174" s="420"/>
      <c r="EL174" s="420"/>
      <c r="EM174" s="420"/>
      <c r="EN174" s="420"/>
      <c r="EO174" s="420"/>
      <c r="EP174" s="420"/>
      <c r="EQ174" s="420"/>
      <c r="ER174" s="420"/>
      <c r="ES174" s="420"/>
      <c r="ET174" s="420"/>
      <c r="EU174" s="420"/>
      <c r="EV174" s="420"/>
      <c r="EW174" s="420"/>
      <c r="EX174" s="420"/>
      <c r="EY174" s="420"/>
      <c r="EZ174" s="420"/>
      <c r="FA174" s="420"/>
      <c r="FB174" s="420"/>
      <c r="FC174" s="420"/>
      <c r="FD174" s="420"/>
      <c r="FE174" s="420"/>
      <c r="FF174" s="420"/>
      <c r="FG174" s="420"/>
      <c r="FH174" s="420"/>
      <c r="FI174" s="420"/>
      <c r="FJ174" s="420"/>
      <c r="FK174" s="420"/>
      <c r="FL174" s="420"/>
      <c r="FM174" s="420"/>
      <c r="FN174" s="420"/>
      <c r="FO174" s="420"/>
      <c r="FP174" s="420"/>
      <c r="FQ174" s="420"/>
      <c r="FR174" s="420"/>
      <c r="FS174" s="420"/>
      <c r="FT174" s="420"/>
      <c r="FU174" s="420"/>
      <c r="FV174" s="420"/>
      <c r="FW174" s="420"/>
      <c r="FX174" s="420"/>
      <c r="FY174" s="420"/>
      <c r="FZ174" s="420"/>
      <c r="GA174" s="420"/>
      <c r="GB174" s="420"/>
      <c r="GC174" s="420"/>
      <c r="GD174" s="420"/>
      <c r="GE174" s="420"/>
      <c r="GF174" s="420"/>
      <c r="GG174" s="420"/>
      <c r="GH174" s="420"/>
      <c r="GI174" s="420"/>
      <c r="GJ174" s="420"/>
      <c r="GK174" s="420"/>
      <c r="GL174" s="420"/>
      <c r="GM174" s="420"/>
      <c r="GN174" s="420"/>
      <c r="GO174" s="420"/>
      <c r="GP174" s="420"/>
      <c r="GQ174" s="420"/>
      <c r="GR174" s="420"/>
      <c r="GS174" s="420"/>
      <c r="GT174" s="420"/>
      <c r="GU174" s="420"/>
      <c r="GV174" s="420"/>
      <c r="GW174" s="420"/>
      <c r="GX174" s="420"/>
      <c r="GY174" s="420"/>
      <c r="GZ174" s="420"/>
      <c r="HA174" s="420"/>
      <c r="HB174" s="420"/>
      <c r="HC174" s="420"/>
      <c r="HD174" s="420"/>
      <c r="HE174" s="420"/>
      <c r="HF174" s="420"/>
      <c r="HG174" s="420"/>
      <c r="HH174" s="420"/>
      <c r="HI174" s="420"/>
      <c r="HJ174" s="420"/>
      <c r="HK174" s="420"/>
      <c r="HL174" s="420"/>
      <c r="HM174" s="420"/>
      <c r="HN174" s="420"/>
      <c r="HO174" s="420"/>
      <c r="HP174" s="420"/>
      <c r="HQ174" s="420"/>
      <c r="HR174" s="420"/>
      <c r="HS174" s="420"/>
      <c r="HT174" s="420"/>
      <c r="HU174" s="420"/>
      <c r="HV174" s="420"/>
      <c r="HW174" s="420"/>
      <c r="HX174" s="420"/>
      <c r="HY174" s="420"/>
      <c r="HZ174" s="420"/>
      <c r="IA174" s="420"/>
      <c r="IB174" s="420"/>
      <c r="IC174" s="420"/>
      <c r="ID174" s="420"/>
      <c r="IE174" s="420"/>
      <c r="IF174" s="420"/>
      <c r="IG174" s="420"/>
      <c r="IH174" s="420"/>
      <c r="II174" s="420"/>
      <c r="IJ174" s="420"/>
      <c r="IK174" s="420"/>
      <c r="IL174" s="420"/>
      <c r="IM174" s="420"/>
      <c r="IN174" s="420"/>
      <c r="IO174" s="420"/>
      <c r="IP174" s="420"/>
      <c r="IQ174" s="420"/>
      <c r="IR174" s="420"/>
      <c r="IS174" s="420"/>
      <c r="IT174" s="420"/>
      <c r="IU174" s="420"/>
      <c r="IV174" s="420"/>
    </row>
    <row r="175" spans="1:256" s="163" customFormat="1" ht="16.5" thickBot="1" x14ac:dyDescent="0.3">
      <c r="A175" s="197"/>
      <c r="B175" s="212"/>
      <c r="C175" s="212"/>
      <c r="D175" s="212"/>
      <c r="E175" s="212"/>
      <c r="F175" s="212"/>
      <c r="G175" s="212"/>
      <c r="H175" s="212"/>
      <c r="I175" s="212"/>
      <c r="J175" s="212"/>
      <c r="K175" s="212"/>
      <c r="L175" s="212"/>
      <c r="M175" s="212"/>
      <c r="N175" s="212"/>
      <c r="O175" s="212"/>
      <c r="P175" s="212"/>
      <c r="Q175" s="212"/>
      <c r="R175" s="212"/>
      <c r="S175" s="212"/>
      <c r="T175" s="212"/>
      <c r="U175" s="212"/>
      <c r="V175" s="344"/>
      <c r="W175" s="212"/>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4" customFormat="1" ht="15.75" x14ac:dyDescent="0.25">
      <c r="A176" s="179"/>
      <c r="B176" s="180"/>
      <c r="C176" s="180"/>
      <c r="D176" s="180"/>
      <c r="E176" s="180"/>
      <c r="F176" s="180"/>
      <c r="G176" s="180"/>
      <c r="H176" s="180"/>
      <c r="I176" s="180"/>
      <c r="J176" s="180"/>
      <c r="K176" s="180"/>
      <c r="L176" s="180"/>
      <c r="M176" s="180"/>
      <c r="N176" s="180"/>
      <c r="O176" s="180"/>
      <c r="P176" s="180"/>
      <c r="Q176" s="180"/>
      <c r="R176" s="180"/>
      <c r="S176" s="180"/>
      <c r="T176" s="180"/>
      <c r="U176" s="180"/>
      <c r="V176" s="201"/>
      <c r="W176" s="180"/>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4" ht="15.75" x14ac:dyDescent="0.25">
      <c r="A177" s="181"/>
      <c r="B177" s="531" t="s">
        <v>56</v>
      </c>
      <c r="C177" s="183"/>
      <c r="D177" s="183"/>
      <c r="E177" s="183"/>
      <c r="F177" s="183"/>
      <c r="G177" s="183"/>
      <c r="H177" s="183"/>
      <c r="I177" s="183"/>
      <c r="J177" s="183"/>
      <c r="K177" s="183"/>
      <c r="L177" s="183"/>
      <c r="M177" s="183"/>
      <c r="N177" s="183"/>
      <c r="O177" s="183"/>
      <c r="P177" s="183"/>
      <c r="Q177" s="183"/>
      <c r="R177" s="183"/>
      <c r="S177" s="183"/>
      <c r="T177" s="183"/>
      <c r="U177" s="183"/>
      <c r="V177" s="202"/>
      <c r="W177" s="183"/>
      <c r="X177" s="5"/>
    </row>
    <row r="178" spans="1:24" ht="15.75" x14ac:dyDescent="0.25">
      <c r="A178" s="181"/>
      <c r="B178" s="191"/>
      <c r="C178" s="183"/>
      <c r="D178" s="183"/>
      <c r="E178" s="183"/>
      <c r="F178" s="183"/>
      <c r="G178" s="183"/>
      <c r="H178" s="183"/>
      <c r="I178" s="183"/>
      <c r="J178" s="183"/>
      <c r="K178" s="183"/>
      <c r="L178" s="183"/>
      <c r="M178" s="183"/>
      <c r="N178" s="183"/>
      <c r="O178" s="183"/>
      <c r="P178" s="183"/>
      <c r="Q178" s="183"/>
      <c r="R178" s="183"/>
      <c r="S178" s="183"/>
      <c r="T178" s="183"/>
      <c r="U178" s="183"/>
      <c r="V178" s="202"/>
      <c r="W178" s="183"/>
      <c r="X178" s="5"/>
    </row>
    <row r="179" spans="1:24" s="420" customFormat="1" ht="15.75" x14ac:dyDescent="0.25">
      <c r="A179" s="428"/>
      <c r="B179" s="429" t="s">
        <v>57</v>
      </c>
      <c r="C179" s="429"/>
      <c r="D179" s="429"/>
      <c r="E179" s="429"/>
      <c r="F179" s="429"/>
      <c r="G179" s="429"/>
      <c r="H179" s="429"/>
      <c r="I179" s="429"/>
      <c r="J179" s="429"/>
      <c r="K179" s="429"/>
      <c r="L179" s="429"/>
      <c r="M179" s="429"/>
      <c r="N179" s="429"/>
      <c r="O179" s="429"/>
      <c r="P179" s="429"/>
      <c r="Q179" s="429"/>
      <c r="R179" s="429"/>
      <c r="S179" s="429"/>
      <c r="T179" s="429"/>
      <c r="U179" s="429"/>
      <c r="V179" s="473">
        <f>V71</f>
        <v>614618</v>
      </c>
      <c r="W179" s="432"/>
      <c r="X179" s="419"/>
    </row>
    <row r="180" spans="1:24" s="420" customFormat="1" ht="15.75" x14ac:dyDescent="0.25">
      <c r="A180" s="428"/>
      <c r="B180" s="429" t="s">
        <v>58</v>
      </c>
      <c r="C180" s="429"/>
      <c r="D180" s="429"/>
      <c r="E180" s="429"/>
      <c r="F180" s="429"/>
      <c r="G180" s="429"/>
      <c r="H180" s="429"/>
      <c r="I180" s="429"/>
      <c r="J180" s="429"/>
      <c r="K180" s="429"/>
      <c r="L180" s="429"/>
      <c r="M180" s="429"/>
      <c r="N180" s="429"/>
      <c r="O180" s="429"/>
      <c r="P180" s="429"/>
      <c r="Q180" s="429"/>
      <c r="R180" s="429"/>
      <c r="S180" s="429"/>
      <c r="T180" s="429"/>
      <c r="U180" s="429"/>
      <c r="V180" s="473">
        <f>V84</f>
        <v>614618</v>
      </c>
      <c r="W180" s="432"/>
      <c r="X180" s="419"/>
    </row>
    <row r="181" spans="1:24" ht="16.5" thickBot="1" x14ac:dyDescent="0.3">
      <c r="A181" s="181"/>
      <c r="B181" s="212"/>
      <c r="C181" s="212"/>
      <c r="D181" s="212"/>
      <c r="E181" s="212"/>
      <c r="F181" s="212"/>
      <c r="G181" s="212"/>
      <c r="H181" s="212"/>
      <c r="I181" s="212"/>
      <c r="J181" s="212"/>
      <c r="K181" s="212"/>
      <c r="L181" s="212"/>
      <c r="M181" s="212"/>
      <c r="N181" s="212"/>
      <c r="O181" s="212"/>
      <c r="P181" s="212"/>
      <c r="Q181" s="212"/>
      <c r="R181" s="212"/>
      <c r="S181" s="212"/>
      <c r="T181" s="212"/>
      <c r="U181" s="212"/>
      <c r="V181" s="344"/>
      <c r="W181" s="212"/>
      <c r="X181" s="5"/>
    </row>
    <row r="182" spans="1:24" ht="15.75" x14ac:dyDescent="0.25">
      <c r="A182" s="179"/>
      <c r="B182" s="180"/>
      <c r="C182" s="180"/>
      <c r="D182" s="180"/>
      <c r="E182" s="180"/>
      <c r="F182" s="180"/>
      <c r="G182" s="180"/>
      <c r="H182" s="180"/>
      <c r="I182" s="180"/>
      <c r="J182" s="180"/>
      <c r="K182" s="180"/>
      <c r="L182" s="180"/>
      <c r="M182" s="180"/>
      <c r="N182" s="180"/>
      <c r="O182" s="180"/>
      <c r="P182" s="180"/>
      <c r="Q182" s="180"/>
      <c r="R182" s="180"/>
      <c r="S182" s="180"/>
      <c r="T182" s="180"/>
      <c r="U182" s="180"/>
      <c r="V182" s="201"/>
      <c r="W182" s="180"/>
      <c r="X182" s="5"/>
    </row>
    <row r="183" spans="1:24" s="522" customFormat="1" ht="15.75" x14ac:dyDescent="0.25">
      <c r="A183" s="525"/>
      <c r="B183" s="531" t="s">
        <v>59</v>
      </c>
      <c r="C183" s="529"/>
      <c r="D183" s="529"/>
      <c r="E183" s="529"/>
      <c r="F183" s="529"/>
      <c r="G183" s="529"/>
      <c r="H183" s="532"/>
      <c r="I183" s="532"/>
      <c r="J183" s="532"/>
      <c r="K183" s="532"/>
      <c r="L183" s="532"/>
      <c r="M183" s="532"/>
      <c r="N183" s="532"/>
      <c r="O183" s="532"/>
      <c r="P183" s="532"/>
      <c r="Q183" s="532"/>
      <c r="R183" s="532"/>
      <c r="S183" s="532" t="s">
        <v>101</v>
      </c>
      <c r="T183" s="532" t="s">
        <v>176</v>
      </c>
      <c r="U183" s="511"/>
      <c r="V183" s="533" t="s">
        <v>114</v>
      </c>
      <c r="W183" s="511"/>
      <c r="X183" s="521"/>
    </row>
    <row r="184" spans="1:24" s="420" customFormat="1" ht="15.75" x14ac:dyDescent="0.25">
      <c r="A184" s="428"/>
      <c r="B184" s="429" t="s">
        <v>60</v>
      </c>
      <c r="C184" s="429"/>
      <c r="D184" s="429"/>
      <c r="E184" s="429"/>
      <c r="F184" s="429"/>
      <c r="G184" s="429"/>
      <c r="H184" s="429"/>
      <c r="I184" s="429"/>
      <c r="J184" s="429"/>
      <c r="K184" s="429"/>
      <c r="L184" s="429"/>
      <c r="M184" s="429"/>
      <c r="N184" s="429"/>
      <c r="O184" s="429"/>
      <c r="P184" s="429"/>
      <c r="Q184" s="429"/>
      <c r="R184" s="429"/>
      <c r="S184" s="473">
        <f>+V34*0.16</f>
        <v>160181.28</v>
      </c>
      <c r="T184" s="452"/>
      <c r="U184" s="429"/>
      <c r="V184" s="473"/>
      <c r="W184" s="432"/>
      <c r="X184" s="419"/>
    </row>
    <row r="185" spans="1:24" s="420" customFormat="1" ht="15.75" x14ac:dyDescent="0.25">
      <c r="A185" s="428"/>
      <c r="B185" s="429" t="s">
        <v>61</v>
      </c>
      <c r="C185" s="429"/>
      <c r="D185" s="429"/>
      <c r="E185" s="429"/>
      <c r="F185" s="429"/>
      <c r="G185" s="429"/>
      <c r="H185" s="429"/>
      <c r="I185" s="429"/>
      <c r="J185" s="429"/>
      <c r="K185" s="429"/>
      <c r="L185" s="429"/>
      <c r="M185" s="429"/>
      <c r="N185" s="429"/>
      <c r="O185" s="429"/>
      <c r="P185" s="429"/>
      <c r="Q185" s="429"/>
      <c r="R185" s="429"/>
      <c r="S185" s="473">
        <f>+'Feb 18'!S187</f>
        <v>13606</v>
      </c>
      <c r="T185" s="473">
        <f>+'Feb 18'!T187</f>
        <v>6098</v>
      </c>
      <c r="U185" s="429"/>
      <c r="V185" s="473">
        <f>S185+T185</f>
        <v>19704</v>
      </c>
      <c r="W185" s="432"/>
      <c r="X185" s="419"/>
    </row>
    <row r="186" spans="1:24" s="420" customFormat="1" ht="15.75" x14ac:dyDescent="0.25">
      <c r="A186" s="428"/>
      <c r="B186" s="429" t="s">
        <v>62</v>
      </c>
      <c r="C186" s="429"/>
      <c r="D186" s="429"/>
      <c r="E186" s="429"/>
      <c r="F186" s="429"/>
      <c r="G186" s="429"/>
      <c r="H186" s="429"/>
      <c r="I186" s="429"/>
      <c r="J186" s="429"/>
      <c r="K186" s="429"/>
      <c r="L186" s="429"/>
      <c r="M186" s="429"/>
      <c r="N186" s="429"/>
      <c r="O186" s="429"/>
      <c r="P186" s="429"/>
      <c r="Q186" s="429"/>
      <c r="R186" s="429"/>
      <c r="S186" s="472">
        <v>50</v>
      </c>
      <c r="T186" s="472">
        <v>0</v>
      </c>
      <c r="U186" s="429"/>
      <c r="V186" s="473">
        <f>S186+T186</f>
        <v>50</v>
      </c>
      <c r="W186" s="432"/>
      <c r="X186" s="419"/>
    </row>
    <row r="187" spans="1:24" s="420" customFormat="1" ht="15.75" x14ac:dyDescent="0.25">
      <c r="A187" s="428"/>
      <c r="B187" s="429" t="s">
        <v>63</v>
      </c>
      <c r="C187" s="429"/>
      <c r="D187" s="429"/>
      <c r="E187" s="429"/>
      <c r="F187" s="429"/>
      <c r="G187" s="429"/>
      <c r="H187" s="429"/>
      <c r="I187" s="429"/>
      <c r="J187" s="429"/>
      <c r="K187" s="429"/>
      <c r="L187" s="429"/>
      <c r="M187" s="429"/>
      <c r="N187" s="429"/>
      <c r="O187" s="429"/>
      <c r="P187" s="429"/>
      <c r="Q187" s="429"/>
      <c r="R187" s="429"/>
      <c r="S187" s="473">
        <f>S185+S186</f>
        <v>13656</v>
      </c>
      <c r="T187" s="473">
        <f>T186+T185</f>
        <v>6098</v>
      </c>
      <c r="U187" s="429"/>
      <c r="V187" s="473">
        <f>S187+T187</f>
        <v>19754</v>
      </c>
      <c r="W187" s="432"/>
      <c r="X187" s="419"/>
    </row>
    <row r="188" spans="1:24" s="420" customFormat="1" ht="15.75" x14ac:dyDescent="0.25">
      <c r="A188" s="428"/>
      <c r="B188" s="429" t="s">
        <v>64</v>
      </c>
      <c r="C188" s="429"/>
      <c r="D188" s="429"/>
      <c r="E188" s="429"/>
      <c r="F188" s="429"/>
      <c r="G188" s="429"/>
      <c r="H188" s="429"/>
      <c r="I188" s="429"/>
      <c r="J188" s="429"/>
      <c r="K188" s="429"/>
      <c r="L188" s="429"/>
      <c r="M188" s="429"/>
      <c r="N188" s="429"/>
      <c r="O188" s="429"/>
      <c r="P188" s="429"/>
      <c r="Q188" s="429"/>
      <c r="R188" s="429"/>
      <c r="S188" s="473">
        <f>S184-S187-T187</f>
        <v>140427.28</v>
      </c>
      <c r="T188" s="452"/>
      <c r="U188" s="429"/>
      <c r="V188" s="473"/>
      <c r="W188" s="432"/>
      <c r="X188" s="419"/>
    </row>
    <row r="189" spans="1:24" ht="16.5" thickBot="1" x14ac:dyDescent="0.3">
      <c r="A189" s="181"/>
      <c r="B189" s="212"/>
      <c r="C189" s="212"/>
      <c r="D189" s="212"/>
      <c r="E189" s="212"/>
      <c r="F189" s="212"/>
      <c r="G189" s="212"/>
      <c r="H189" s="212"/>
      <c r="I189" s="212"/>
      <c r="J189" s="212"/>
      <c r="K189" s="212"/>
      <c r="L189" s="212"/>
      <c r="M189" s="212"/>
      <c r="N189" s="212"/>
      <c r="O189" s="212"/>
      <c r="P189" s="212"/>
      <c r="Q189" s="212"/>
      <c r="R189" s="212"/>
      <c r="S189" s="212"/>
      <c r="T189" s="212"/>
      <c r="U189" s="212"/>
      <c r="V189" s="344"/>
      <c r="W189" s="212"/>
      <c r="X189" s="5"/>
    </row>
    <row r="190" spans="1:24" ht="15.75" x14ac:dyDescent="0.25">
      <c r="A190" s="179"/>
      <c r="B190" s="180"/>
      <c r="C190" s="180"/>
      <c r="D190" s="180"/>
      <c r="E190" s="180"/>
      <c r="F190" s="180"/>
      <c r="G190" s="180"/>
      <c r="H190" s="180"/>
      <c r="I190" s="180"/>
      <c r="J190" s="180"/>
      <c r="K190" s="180"/>
      <c r="L190" s="180"/>
      <c r="M190" s="180"/>
      <c r="N190" s="180"/>
      <c r="O190" s="180"/>
      <c r="P190" s="180"/>
      <c r="Q190" s="180"/>
      <c r="R190" s="180"/>
      <c r="S190" s="180"/>
      <c r="T190" s="180"/>
      <c r="U190" s="180"/>
      <c r="V190" s="201"/>
      <c r="W190" s="180"/>
      <c r="X190" s="5"/>
    </row>
    <row r="191" spans="1:24" ht="15.75" x14ac:dyDescent="0.25">
      <c r="A191" s="181"/>
      <c r="B191" s="531" t="s">
        <v>65</v>
      </c>
      <c r="C191" s="183"/>
      <c r="D191" s="183"/>
      <c r="E191" s="183"/>
      <c r="F191" s="183"/>
      <c r="G191" s="183"/>
      <c r="H191" s="183"/>
      <c r="I191" s="183"/>
      <c r="J191" s="183"/>
      <c r="K191" s="183"/>
      <c r="L191" s="183"/>
      <c r="M191" s="183"/>
      <c r="N191" s="183"/>
      <c r="O191" s="183"/>
      <c r="P191" s="183"/>
      <c r="Q191" s="183"/>
      <c r="R191" s="183"/>
      <c r="S191" s="183"/>
      <c r="T191" s="183"/>
      <c r="U191" s="183"/>
      <c r="V191" s="217"/>
      <c r="W191" s="183"/>
      <c r="X191" s="5"/>
    </row>
    <row r="192" spans="1:24" s="420" customFormat="1" ht="15.75" x14ac:dyDescent="0.25">
      <c r="A192" s="428"/>
      <c r="B192" s="429" t="s">
        <v>66</v>
      </c>
      <c r="C192" s="429"/>
      <c r="D192" s="429"/>
      <c r="E192" s="429"/>
      <c r="F192" s="429"/>
      <c r="G192" s="429"/>
      <c r="H192" s="429"/>
      <c r="I192" s="429"/>
      <c r="J192" s="429"/>
      <c r="K192" s="429"/>
      <c r="L192" s="429"/>
      <c r="M192" s="429"/>
      <c r="N192" s="429"/>
      <c r="O192" s="429"/>
      <c r="P192" s="429"/>
      <c r="Q192" s="429"/>
      <c r="R192" s="429"/>
      <c r="S192" s="429"/>
      <c r="T192" s="429"/>
      <c r="U192" s="429"/>
      <c r="V192" s="481">
        <f>(V101+V103+V104+V105+V106)/-(V107+V108)</f>
        <v>3.6533066132264529</v>
      </c>
      <c r="W192" s="432" t="s">
        <v>115</v>
      </c>
      <c r="X192" s="419"/>
    </row>
    <row r="193" spans="1:24" s="420" customFormat="1" ht="15.75" x14ac:dyDescent="0.25">
      <c r="A193" s="428"/>
      <c r="B193" s="429" t="s">
        <v>67</v>
      </c>
      <c r="C193" s="429"/>
      <c r="D193" s="429"/>
      <c r="E193" s="429"/>
      <c r="F193" s="429"/>
      <c r="G193" s="429"/>
      <c r="H193" s="429"/>
      <c r="I193" s="429"/>
      <c r="J193" s="429"/>
      <c r="K193" s="429"/>
      <c r="L193" s="429"/>
      <c r="M193" s="429"/>
      <c r="N193" s="429"/>
      <c r="O193" s="429"/>
      <c r="P193" s="429"/>
      <c r="Q193" s="429"/>
      <c r="R193" s="429"/>
      <c r="S193" s="429"/>
      <c r="T193" s="429"/>
      <c r="U193" s="429"/>
      <c r="V193" s="483">
        <v>2.19</v>
      </c>
      <c r="W193" s="432" t="s">
        <v>115</v>
      </c>
      <c r="X193" s="419"/>
    </row>
    <row r="194" spans="1:24" s="420" customFormat="1" ht="15.75" x14ac:dyDescent="0.25">
      <c r="A194" s="428"/>
      <c r="B194" s="429" t="s">
        <v>68</v>
      </c>
      <c r="C194" s="429"/>
      <c r="D194" s="429"/>
      <c r="E194" s="429"/>
      <c r="F194" s="429"/>
      <c r="G194" s="429"/>
      <c r="H194" s="429"/>
      <c r="I194" s="429"/>
      <c r="J194" s="429"/>
      <c r="K194" s="429"/>
      <c r="L194" s="429"/>
      <c r="M194" s="429"/>
      <c r="N194" s="429"/>
      <c r="O194" s="429"/>
      <c r="P194" s="429"/>
      <c r="Q194" s="429"/>
      <c r="R194" s="429"/>
      <c r="S194" s="429"/>
      <c r="T194" s="429"/>
      <c r="U194" s="429"/>
      <c r="V194" s="481">
        <f>(V101+V103+V104+V105+V106+V107+V108)/-(V109+V110)</f>
        <v>11.665198237885463</v>
      </c>
      <c r="W194" s="432" t="s">
        <v>115</v>
      </c>
      <c r="X194" s="419"/>
    </row>
    <row r="195" spans="1:24" s="420" customFormat="1" ht="15.75" x14ac:dyDescent="0.25">
      <c r="A195" s="428"/>
      <c r="B195" s="429" t="s">
        <v>69</v>
      </c>
      <c r="C195" s="429"/>
      <c r="D195" s="429"/>
      <c r="E195" s="429"/>
      <c r="F195" s="429"/>
      <c r="G195" s="429"/>
      <c r="H195" s="429"/>
      <c r="I195" s="429"/>
      <c r="J195" s="429"/>
      <c r="K195" s="429"/>
      <c r="L195" s="429"/>
      <c r="M195" s="429"/>
      <c r="N195" s="429"/>
      <c r="O195" s="429"/>
      <c r="P195" s="429"/>
      <c r="Q195" s="429"/>
      <c r="R195" s="429"/>
      <c r="S195" s="429"/>
      <c r="T195" s="429"/>
      <c r="U195" s="429"/>
      <c r="V195" s="483">
        <v>9.99</v>
      </c>
      <c r="W195" s="432" t="s">
        <v>115</v>
      </c>
      <c r="X195" s="419"/>
    </row>
    <row r="196" spans="1:24" s="420" customFormat="1" ht="15.75" x14ac:dyDescent="0.25">
      <c r="A196" s="428"/>
      <c r="B196" s="429" t="s">
        <v>198</v>
      </c>
      <c r="C196" s="429"/>
      <c r="D196" s="429"/>
      <c r="E196" s="429"/>
      <c r="F196" s="429"/>
      <c r="G196" s="429"/>
      <c r="H196" s="429"/>
      <c r="I196" s="429"/>
      <c r="J196" s="429"/>
      <c r="K196" s="429"/>
      <c r="L196" s="429"/>
      <c r="M196" s="429"/>
      <c r="N196" s="429"/>
      <c r="O196" s="429"/>
      <c r="P196" s="429"/>
      <c r="Q196" s="429"/>
      <c r="R196" s="429"/>
      <c r="S196" s="429"/>
      <c r="T196" s="429"/>
      <c r="U196" s="429"/>
      <c r="V196" s="481">
        <f>(V101+V103+V104+V105+V106+V107+V108+V109+V110)/-(V111)</f>
        <v>6.9769452449567719</v>
      </c>
      <c r="W196" s="432" t="s">
        <v>115</v>
      </c>
      <c r="X196" s="419"/>
    </row>
    <row r="197" spans="1:24" s="420" customFormat="1" ht="15.75" x14ac:dyDescent="0.25">
      <c r="A197" s="428"/>
      <c r="B197" s="429" t="s">
        <v>199</v>
      </c>
      <c r="C197" s="429"/>
      <c r="D197" s="429"/>
      <c r="E197" s="429"/>
      <c r="F197" s="429"/>
      <c r="G197" s="429"/>
      <c r="H197" s="429"/>
      <c r="I197" s="429"/>
      <c r="J197" s="429"/>
      <c r="K197" s="429"/>
      <c r="L197" s="429"/>
      <c r="M197" s="429"/>
      <c r="N197" s="429"/>
      <c r="O197" s="429"/>
      <c r="P197" s="429"/>
      <c r="Q197" s="429"/>
      <c r="R197" s="429"/>
      <c r="S197" s="429"/>
      <c r="T197" s="429"/>
      <c r="U197" s="429"/>
      <c r="V197" s="483">
        <v>7.13</v>
      </c>
      <c r="W197" s="432" t="s">
        <v>115</v>
      </c>
      <c r="X197" s="419"/>
    </row>
    <row r="198" spans="1:24" s="420" customFormat="1" ht="15.75" x14ac:dyDescent="0.25">
      <c r="A198" s="428"/>
      <c r="B198" s="429"/>
      <c r="C198" s="429"/>
      <c r="D198" s="429"/>
      <c r="E198" s="429"/>
      <c r="F198" s="429"/>
      <c r="G198" s="429"/>
      <c r="H198" s="429"/>
      <c r="I198" s="429"/>
      <c r="J198" s="429"/>
      <c r="K198" s="429"/>
      <c r="L198" s="429"/>
      <c r="M198" s="429"/>
      <c r="N198" s="429"/>
      <c r="O198" s="429"/>
      <c r="P198" s="429"/>
      <c r="Q198" s="429"/>
      <c r="R198" s="429"/>
      <c r="S198" s="429"/>
      <c r="T198" s="429"/>
      <c r="U198" s="429"/>
      <c r="V198" s="429"/>
      <c r="W198" s="432"/>
      <c r="X198" s="419"/>
    </row>
    <row r="199" spans="1:24" s="420" customFormat="1" ht="15.75" x14ac:dyDescent="0.25">
      <c r="A199" s="416"/>
      <c r="B199" s="462"/>
      <c r="C199" s="462"/>
      <c r="D199" s="462"/>
      <c r="E199" s="462"/>
      <c r="F199" s="462"/>
      <c r="G199" s="462"/>
      <c r="H199" s="462"/>
      <c r="I199" s="462"/>
      <c r="J199" s="462"/>
      <c r="K199" s="462"/>
      <c r="L199" s="462"/>
      <c r="M199" s="462"/>
      <c r="N199" s="462"/>
      <c r="O199" s="462"/>
      <c r="P199" s="462"/>
      <c r="Q199" s="462"/>
      <c r="R199" s="462"/>
      <c r="S199" s="462"/>
      <c r="T199" s="462"/>
      <c r="U199" s="462"/>
      <c r="V199" s="462"/>
      <c r="W199" s="462"/>
      <c r="X199" s="419"/>
    </row>
    <row r="200" spans="1:24" s="420" customFormat="1" ht="15.75" x14ac:dyDescent="0.25">
      <c r="A200" s="416"/>
      <c r="B200" s="417"/>
      <c r="C200" s="417"/>
      <c r="D200" s="417"/>
      <c r="E200" s="417"/>
      <c r="F200" s="417"/>
      <c r="G200" s="417"/>
      <c r="H200" s="417"/>
      <c r="I200" s="417"/>
      <c r="J200" s="417"/>
      <c r="K200" s="417"/>
      <c r="L200" s="417"/>
      <c r="M200" s="417"/>
      <c r="N200" s="417"/>
      <c r="O200" s="417"/>
      <c r="P200" s="417"/>
      <c r="Q200" s="417"/>
      <c r="R200" s="417"/>
      <c r="S200" s="417"/>
      <c r="T200" s="417"/>
      <c r="U200" s="417"/>
      <c r="V200" s="417"/>
      <c r="W200" s="417"/>
      <c r="X200" s="419"/>
    </row>
    <row r="201" spans="1:24" s="420" customFormat="1" ht="19.5" thickBot="1" x14ac:dyDescent="0.35">
      <c r="A201" s="467"/>
      <c r="B201" s="468" t="str">
        <f>B135</f>
        <v>PM15 INVESTOR REPORT QUARTER ENDING MAY 2018</v>
      </c>
      <c r="C201" s="484"/>
      <c r="D201" s="484"/>
      <c r="E201" s="484"/>
      <c r="F201" s="484"/>
      <c r="G201" s="484"/>
      <c r="H201" s="484"/>
      <c r="I201" s="484"/>
      <c r="J201" s="484"/>
      <c r="K201" s="484"/>
      <c r="L201" s="484"/>
      <c r="M201" s="484"/>
      <c r="N201" s="484"/>
      <c r="O201" s="484"/>
      <c r="P201" s="484"/>
      <c r="Q201" s="484"/>
      <c r="R201" s="484"/>
      <c r="S201" s="484"/>
      <c r="T201" s="484"/>
      <c r="U201" s="484"/>
      <c r="V201" s="484"/>
      <c r="W201" s="485"/>
      <c r="X201" s="419"/>
    </row>
    <row r="202" spans="1:24" ht="15.75" x14ac:dyDescent="0.25">
      <c r="A202" s="551"/>
      <c r="B202" s="552" t="s">
        <v>70</v>
      </c>
      <c r="C202" s="555"/>
      <c r="D202" s="555"/>
      <c r="E202" s="555"/>
      <c r="F202" s="555"/>
      <c r="G202" s="556"/>
      <c r="H202" s="556"/>
      <c r="I202" s="556"/>
      <c r="J202" s="556"/>
      <c r="K202" s="556"/>
      <c r="L202" s="556"/>
      <c r="M202" s="556"/>
      <c r="N202" s="556"/>
      <c r="O202" s="556"/>
      <c r="P202" s="556"/>
      <c r="Q202" s="556"/>
      <c r="R202" s="556"/>
      <c r="S202" s="556"/>
      <c r="T202" s="556">
        <v>43251</v>
      </c>
      <c r="U202" s="553"/>
      <c r="V202" s="553"/>
      <c r="W202" s="553"/>
      <c r="X202" s="5"/>
    </row>
    <row r="203" spans="1:24" ht="15.75" x14ac:dyDescent="0.25">
      <c r="A203" s="218"/>
      <c r="B203" s="219"/>
      <c r="C203" s="220"/>
      <c r="D203" s="220"/>
      <c r="E203" s="220"/>
      <c r="F203" s="220"/>
      <c r="G203" s="221"/>
      <c r="H203" s="221"/>
      <c r="I203" s="221"/>
      <c r="J203" s="221"/>
      <c r="K203" s="221"/>
      <c r="L203" s="221"/>
      <c r="M203" s="221"/>
      <c r="N203" s="221"/>
      <c r="O203" s="221"/>
      <c r="P203" s="221"/>
      <c r="Q203" s="221"/>
      <c r="R203" s="221"/>
      <c r="S203" s="221"/>
      <c r="T203" s="221"/>
      <c r="U203" s="183"/>
      <c r="V203" s="183"/>
      <c r="W203" s="183"/>
      <c r="X203" s="5"/>
    </row>
    <row r="204" spans="1:24" s="420" customFormat="1" ht="15.75" x14ac:dyDescent="0.25">
      <c r="A204" s="428"/>
      <c r="B204" s="429" t="s">
        <v>71</v>
      </c>
      <c r="C204" s="486"/>
      <c r="D204" s="486"/>
      <c r="E204" s="486"/>
      <c r="F204" s="486"/>
      <c r="G204" s="456"/>
      <c r="H204" s="456"/>
      <c r="I204" s="456"/>
      <c r="J204" s="456"/>
      <c r="K204" s="456"/>
      <c r="L204" s="456"/>
      <c r="M204" s="456"/>
      <c r="N204" s="456"/>
      <c r="O204" s="456"/>
      <c r="P204" s="456"/>
      <c r="Q204" s="456"/>
      <c r="R204" s="456"/>
      <c r="S204" s="456"/>
      <c r="T204" s="449">
        <v>5.3830000000000003E-2</v>
      </c>
      <c r="U204" s="429"/>
      <c r="V204" s="429"/>
      <c r="W204" s="432"/>
      <c r="X204" s="419"/>
    </row>
    <row r="205" spans="1:24" s="420" customFormat="1" ht="15.75" x14ac:dyDescent="0.25">
      <c r="A205" s="428"/>
      <c r="B205" s="429" t="s">
        <v>151</v>
      </c>
      <c r="C205" s="486"/>
      <c r="D205" s="486"/>
      <c r="E205" s="486"/>
      <c r="F205" s="486"/>
      <c r="G205" s="456"/>
      <c r="H205" s="456"/>
      <c r="I205" s="456"/>
      <c r="J205" s="456"/>
      <c r="K205" s="456"/>
      <c r="L205" s="456"/>
      <c r="M205" s="456"/>
      <c r="N205" s="456"/>
      <c r="O205" s="456"/>
      <c r="P205" s="456"/>
      <c r="Q205" s="456"/>
      <c r="R205" s="456"/>
      <c r="S205" s="456"/>
      <c r="T205" s="449">
        <v>6.25E-2</v>
      </c>
      <c r="U205" s="429"/>
      <c r="V205" s="429"/>
      <c r="W205" s="432"/>
      <c r="X205" s="419"/>
    </row>
    <row r="206" spans="1:24" s="420" customFormat="1" ht="15.75" x14ac:dyDescent="0.25">
      <c r="A206" s="428"/>
      <c r="B206" s="429" t="s">
        <v>72</v>
      </c>
      <c r="C206" s="486"/>
      <c r="D206" s="486"/>
      <c r="E206" s="486"/>
      <c r="F206" s="486"/>
      <c r="G206" s="456"/>
      <c r="H206" s="456"/>
      <c r="I206" s="456"/>
      <c r="J206" s="456"/>
      <c r="K206" s="456"/>
      <c r="L206" s="456"/>
      <c r="M206" s="456"/>
      <c r="N206" s="456"/>
      <c r="O206" s="456"/>
      <c r="P206" s="456"/>
      <c r="Q206" s="456"/>
      <c r="R206" s="456"/>
      <c r="S206" s="456"/>
      <c r="T206" s="449">
        <f>T204-T205</f>
        <v>-8.6699999999999972E-3</v>
      </c>
      <c r="U206" s="429"/>
      <c r="V206" s="429"/>
      <c r="W206" s="432"/>
      <c r="X206" s="419"/>
    </row>
    <row r="207" spans="1:24" s="420" customFormat="1" ht="15.75" x14ac:dyDescent="0.25">
      <c r="A207" s="428"/>
      <c r="B207" s="429" t="s">
        <v>73</v>
      </c>
      <c r="C207" s="486"/>
      <c r="D207" s="486"/>
      <c r="E207" s="486"/>
      <c r="F207" s="486"/>
      <c r="G207" s="456"/>
      <c r="H207" s="456"/>
      <c r="I207" s="456"/>
      <c r="J207" s="456"/>
      <c r="K207" s="456"/>
      <c r="L207" s="456"/>
      <c r="M207" s="456"/>
      <c r="N207" s="456"/>
      <c r="O207" s="456"/>
      <c r="P207" s="456"/>
      <c r="Q207" s="456"/>
      <c r="R207" s="456"/>
      <c r="S207" s="456"/>
      <c r="T207" s="449">
        <v>2.647E-2</v>
      </c>
      <c r="U207" s="429"/>
      <c r="V207" s="429"/>
      <c r="W207" s="432"/>
      <c r="X207" s="419"/>
    </row>
    <row r="208" spans="1:24" s="420" customFormat="1" ht="15.75" x14ac:dyDescent="0.25">
      <c r="A208" s="428"/>
      <c r="B208" s="429" t="s">
        <v>218</v>
      </c>
      <c r="C208" s="486"/>
      <c r="D208" s="486"/>
      <c r="E208" s="486"/>
      <c r="F208" s="486"/>
      <c r="G208" s="456"/>
      <c r="H208" s="456"/>
      <c r="I208" s="456"/>
      <c r="J208" s="456"/>
      <c r="K208" s="456"/>
      <c r="L208" s="456"/>
      <c r="M208" s="456"/>
      <c r="N208" s="456"/>
      <c r="O208" s="456"/>
      <c r="P208" s="456"/>
      <c r="Q208" s="456"/>
      <c r="R208" s="456"/>
      <c r="S208" s="456"/>
      <c r="T208" s="449">
        <f>V43</f>
        <v>9.9835381301088041E-3</v>
      </c>
      <c r="U208" s="429"/>
      <c r="V208" s="429"/>
      <c r="W208" s="432"/>
      <c r="X208" s="419"/>
    </row>
    <row r="209" spans="1:24" s="420" customFormat="1" ht="15.75" x14ac:dyDescent="0.25">
      <c r="A209" s="428"/>
      <c r="B209" s="429" t="s">
        <v>74</v>
      </c>
      <c r="C209" s="486"/>
      <c r="D209" s="486"/>
      <c r="E209" s="486"/>
      <c r="F209" s="486"/>
      <c r="G209" s="456"/>
      <c r="H209" s="456"/>
      <c r="I209" s="456"/>
      <c r="J209" s="456"/>
      <c r="K209" s="456"/>
      <c r="L209" s="456"/>
      <c r="M209" s="456"/>
      <c r="N209" s="456"/>
      <c r="O209" s="456"/>
      <c r="P209" s="456"/>
      <c r="Q209" s="456"/>
      <c r="R209" s="456"/>
      <c r="S209" s="456"/>
      <c r="T209" s="449">
        <f>T207-T208</f>
        <v>1.6486461869891195E-2</v>
      </c>
      <c r="U209" s="429"/>
      <c r="V209" s="429"/>
      <c r="W209" s="432"/>
      <c r="X209" s="419"/>
    </row>
    <row r="210" spans="1:24" s="420" customFormat="1" ht="15.75" x14ac:dyDescent="0.25">
      <c r="A210" s="428"/>
      <c r="B210" s="429" t="s">
        <v>227</v>
      </c>
      <c r="C210" s="486"/>
      <c r="D210" s="486"/>
      <c r="E210" s="486"/>
      <c r="F210" s="486"/>
      <c r="G210" s="456"/>
      <c r="H210" s="456"/>
      <c r="I210" s="456"/>
      <c r="J210" s="456"/>
      <c r="K210" s="456"/>
      <c r="L210" s="456"/>
      <c r="M210" s="456"/>
      <c r="N210" s="456"/>
      <c r="O210" s="456"/>
      <c r="P210" s="456"/>
      <c r="Q210" s="456"/>
      <c r="R210" s="456"/>
      <c r="S210" s="456"/>
      <c r="T210" s="449">
        <f>V101/N71</f>
        <v>6.3651462639567596E-3</v>
      </c>
      <c r="U210" s="429"/>
      <c r="V210" s="429"/>
      <c r="W210" s="432"/>
      <c r="X210" s="419"/>
    </row>
    <row r="211" spans="1:24" s="420" customFormat="1" ht="15.75" x14ac:dyDescent="0.25">
      <c r="A211" s="428"/>
      <c r="B211" s="429" t="s">
        <v>207</v>
      </c>
      <c r="C211" s="486"/>
      <c r="D211" s="486"/>
      <c r="E211" s="486"/>
      <c r="F211" s="486"/>
      <c r="G211" s="456"/>
      <c r="H211" s="456"/>
      <c r="I211" s="456"/>
      <c r="J211" s="456"/>
      <c r="K211" s="456"/>
      <c r="L211" s="456"/>
      <c r="M211" s="456"/>
      <c r="N211" s="456"/>
      <c r="O211" s="456"/>
      <c r="P211" s="456"/>
      <c r="Q211" s="456"/>
      <c r="R211" s="456"/>
      <c r="S211" s="456"/>
      <c r="T211" s="487">
        <v>51105</v>
      </c>
      <c r="U211" s="429"/>
      <c r="V211" s="429"/>
      <c r="W211" s="432"/>
      <c r="X211" s="419"/>
    </row>
    <row r="212" spans="1:24" s="420" customFormat="1" ht="15.75" x14ac:dyDescent="0.25">
      <c r="A212" s="428"/>
      <c r="B212" s="429" t="s">
        <v>208</v>
      </c>
      <c r="C212" s="486"/>
      <c r="D212" s="486"/>
      <c r="E212" s="486"/>
      <c r="F212" s="486"/>
      <c r="G212" s="456"/>
      <c r="H212" s="456"/>
      <c r="I212" s="456"/>
      <c r="J212" s="456"/>
      <c r="K212" s="456"/>
      <c r="L212" s="456"/>
      <c r="M212" s="456"/>
      <c r="N212" s="456"/>
      <c r="O212" s="456"/>
      <c r="P212" s="456"/>
      <c r="Q212" s="456"/>
      <c r="R212" s="456"/>
      <c r="S212" s="456"/>
      <c r="T212" s="487">
        <v>51105</v>
      </c>
      <c r="U212" s="429"/>
      <c r="V212" s="429"/>
      <c r="W212" s="432"/>
      <c r="X212" s="419"/>
    </row>
    <row r="213" spans="1:24" s="420" customFormat="1" ht="15.75" x14ac:dyDescent="0.25">
      <c r="A213" s="428"/>
      <c r="B213" s="429" t="s">
        <v>209</v>
      </c>
      <c r="C213" s="486"/>
      <c r="D213" s="486"/>
      <c r="E213" s="486"/>
      <c r="F213" s="486"/>
      <c r="G213" s="456"/>
      <c r="H213" s="456"/>
      <c r="I213" s="456"/>
      <c r="J213" s="456"/>
      <c r="K213" s="456"/>
      <c r="L213" s="456"/>
      <c r="M213" s="456"/>
      <c r="N213" s="456"/>
      <c r="O213" s="456"/>
      <c r="P213" s="456"/>
      <c r="Q213" s="456"/>
      <c r="R213" s="456"/>
      <c r="S213" s="456"/>
      <c r="T213" s="487">
        <v>51105</v>
      </c>
      <c r="U213" s="429"/>
      <c r="V213" s="429"/>
      <c r="W213" s="432"/>
      <c r="X213" s="419"/>
    </row>
    <row r="214" spans="1:24" s="420" customFormat="1" ht="15.75" x14ac:dyDescent="0.25">
      <c r="A214" s="428"/>
      <c r="B214" s="429" t="s">
        <v>75</v>
      </c>
      <c r="C214" s="486"/>
      <c r="D214" s="486"/>
      <c r="E214" s="486"/>
      <c r="F214" s="486"/>
      <c r="G214" s="456"/>
      <c r="H214" s="456"/>
      <c r="I214" s="456"/>
      <c r="J214" s="456"/>
      <c r="K214" s="456"/>
      <c r="L214" s="456"/>
      <c r="M214" s="456"/>
      <c r="N214" s="456"/>
      <c r="O214" s="456"/>
      <c r="P214" s="456"/>
      <c r="Q214" s="456"/>
      <c r="R214" s="456"/>
      <c r="S214" s="456"/>
      <c r="T214" s="454">
        <v>21.06</v>
      </c>
      <c r="U214" s="429" t="s">
        <v>110</v>
      </c>
      <c r="V214" s="429"/>
      <c r="W214" s="432"/>
      <c r="X214" s="419"/>
    </row>
    <row r="215" spans="1:24" s="420" customFormat="1" ht="15.75" x14ac:dyDescent="0.25">
      <c r="A215" s="428"/>
      <c r="B215" s="429" t="s">
        <v>76</v>
      </c>
      <c r="C215" s="486"/>
      <c r="D215" s="486"/>
      <c r="E215" s="486"/>
      <c r="F215" s="486"/>
      <c r="G215" s="456"/>
      <c r="H215" s="456"/>
      <c r="I215" s="456"/>
      <c r="J215" s="456"/>
      <c r="K215" s="456"/>
      <c r="L215" s="456"/>
      <c r="M215" s="456"/>
      <c r="N215" s="456"/>
      <c r="O215" s="456"/>
      <c r="P215" s="456"/>
      <c r="Q215" s="456"/>
      <c r="R215" s="456"/>
      <c r="S215" s="456"/>
      <c r="T215" s="454">
        <v>11.04</v>
      </c>
      <c r="U215" s="429" t="s">
        <v>110</v>
      </c>
      <c r="V215" s="429"/>
      <c r="W215" s="432"/>
      <c r="X215" s="419"/>
    </row>
    <row r="216" spans="1:24" s="420" customFormat="1" ht="15.75" x14ac:dyDescent="0.25">
      <c r="A216" s="428"/>
      <c r="B216" s="429" t="s">
        <v>77</v>
      </c>
      <c r="C216" s="486"/>
      <c r="D216" s="486"/>
      <c r="E216" s="486"/>
      <c r="F216" s="486"/>
      <c r="G216" s="456"/>
      <c r="H216" s="456"/>
      <c r="I216" s="456"/>
      <c r="J216" s="456"/>
      <c r="K216" s="456"/>
      <c r="L216" s="456"/>
      <c r="M216" s="456"/>
      <c r="N216" s="456"/>
      <c r="O216" s="456"/>
      <c r="P216" s="456"/>
      <c r="Q216" s="456"/>
      <c r="R216" s="456"/>
      <c r="S216" s="456"/>
      <c r="T216" s="449">
        <f>+P68/N68</f>
        <v>1.663770509115696E-2</v>
      </c>
      <c r="U216" s="429"/>
      <c r="V216" s="429"/>
      <c r="W216" s="432"/>
      <c r="X216" s="419"/>
    </row>
    <row r="217" spans="1:24" s="420" customFormat="1" ht="15.75" x14ac:dyDescent="0.25">
      <c r="A217" s="428"/>
      <c r="B217" s="429" t="s">
        <v>78</v>
      </c>
      <c r="C217" s="486"/>
      <c r="D217" s="486"/>
      <c r="E217" s="486"/>
      <c r="F217" s="486"/>
      <c r="G217" s="456"/>
      <c r="H217" s="456"/>
      <c r="I217" s="456"/>
      <c r="J217" s="456"/>
      <c r="K217" s="456"/>
      <c r="L217" s="456"/>
      <c r="M217" s="456"/>
      <c r="N217" s="456"/>
      <c r="O217" s="456"/>
      <c r="P217" s="456"/>
      <c r="Q217" s="456"/>
      <c r="R217" s="456"/>
      <c r="S217" s="456"/>
      <c r="T217" s="449">
        <v>4.5400000000000003E-2</v>
      </c>
      <c r="U217" s="429"/>
      <c r="V217" s="429"/>
      <c r="W217" s="432"/>
      <c r="X217" s="419"/>
    </row>
    <row r="218" spans="1:24" ht="15.75" x14ac:dyDescent="0.25">
      <c r="A218" s="218"/>
      <c r="B218" s="348"/>
      <c r="C218" s="348"/>
      <c r="D218" s="348"/>
      <c r="E218" s="348"/>
      <c r="F218" s="348"/>
      <c r="G218" s="212"/>
      <c r="H218" s="212"/>
      <c r="I218" s="212"/>
      <c r="J218" s="212"/>
      <c r="K218" s="212"/>
      <c r="L218" s="212"/>
      <c r="M218" s="212"/>
      <c r="N218" s="212"/>
      <c r="O218" s="212"/>
      <c r="P218" s="212"/>
      <c r="Q218" s="212"/>
      <c r="R218" s="212"/>
      <c r="S218" s="212"/>
      <c r="T218" s="344"/>
      <c r="U218" s="212"/>
      <c r="V218" s="349"/>
      <c r="W218" s="212"/>
      <c r="X218" s="5"/>
    </row>
    <row r="219" spans="1:24" ht="15.75" x14ac:dyDescent="0.25">
      <c r="A219" s="557"/>
      <c r="B219" s="547" t="s">
        <v>79</v>
      </c>
      <c r="C219" s="548"/>
      <c r="D219" s="548"/>
      <c r="E219" s="548"/>
      <c r="F219" s="563"/>
      <c r="G219" s="548"/>
      <c r="H219" s="548"/>
      <c r="I219" s="548"/>
      <c r="J219" s="548"/>
      <c r="K219" s="548"/>
      <c r="L219" s="548"/>
      <c r="M219" s="548"/>
      <c r="N219" s="548"/>
      <c r="O219" s="548"/>
      <c r="P219" s="548"/>
      <c r="Q219" s="548"/>
      <c r="R219" s="548"/>
      <c r="S219" s="548" t="s">
        <v>102</v>
      </c>
      <c r="T219" s="563" t="s">
        <v>108</v>
      </c>
      <c r="U219" s="540"/>
      <c r="V219" s="540"/>
      <c r="W219" s="544"/>
      <c r="X219" s="5"/>
    </row>
    <row r="220" spans="1:24" s="420" customFormat="1" ht="15.75" x14ac:dyDescent="0.25">
      <c r="A220" s="558"/>
      <c r="B220" s="462" t="s">
        <v>80</v>
      </c>
      <c r="C220" s="478"/>
      <c r="D220" s="478"/>
      <c r="E220" s="478"/>
      <c r="F220" s="462"/>
      <c r="G220" s="462"/>
      <c r="H220" s="559"/>
      <c r="I220" s="559"/>
      <c r="J220" s="559"/>
      <c r="K220" s="559"/>
      <c r="L220" s="559"/>
      <c r="M220" s="559"/>
      <c r="N220" s="559"/>
      <c r="O220" s="559"/>
      <c r="P220" s="559"/>
      <c r="Q220" s="559"/>
      <c r="R220" s="559"/>
      <c r="S220" s="559">
        <v>3</v>
      </c>
      <c r="T220" s="560">
        <v>824</v>
      </c>
      <c r="U220" s="462"/>
      <c r="V220" s="561"/>
      <c r="W220" s="562"/>
      <c r="X220" s="419"/>
    </row>
    <row r="221" spans="1:24" s="420" customFormat="1" ht="15.75" x14ac:dyDescent="0.25">
      <c r="A221" s="488"/>
      <c r="B221" s="429" t="s">
        <v>145</v>
      </c>
      <c r="C221" s="472"/>
      <c r="D221" s="472"/>
      <c r="E221" s="472"/>
      <c r="F221" s="429"/>
      <c r="G221" s="429"/>
      <c r="H221" s="436"/>
      <c r="I221" s="436"/>
      <c r="J221" s="436"/>
      <c r="K221" s="436"/>
      <c r="L221" s="436"/>
      <c r="M221" s="436"/>
      <c r="N221" s="436"/>
      <c r="O221" s="436"/>
      <c r="P221" s="436"/>
      <c r="Q221" s="436"/>
      <c r="R221" s="436"/>
      <c r="S221" s="489">
        <f>+R273</f>
        <v>67</v>
      </c>
      <c r="T221" s="490">
        <f>+T273</f>
        <v>9353</v>
      </c>
      <c r="U221" s="429"/>
      <c r="V221" s="491"/>
      <c r="W221" s="492"/>
      <c r="X221" s="419"/>
    </row>
    <row r="222" spans="1:24" s="420" customFormat="1" ht="15.75" x14ac:dyDescent="0.25">
      <c r="A222" s="488"/>
      <c r="B222" s="429" t="s">
        <v>81</v>
      </c>
      <c r="C222" s="472"/>
      <c r="D222" s="472"/>
      <c r="E222" s="472"/>
      <c r="F222" s="429"/>
      <c r="G222" s="429"/>
      <c r="H222" s="436"/>
      <c r="I222" s="436"/>
      <c r="J222" s="436"/>
      <c r="K222" s="436"/>
      <c r="L222" s="436"/>
      <c r="M222" s="436"/>
      <c r="N222" s="436"/>
      <c r="O222" s="436"/>
      <c r="P222" s="436"/>
      <c r="Q222" s="436"/>
      <c r="R222" s="436"/>
      <c r="S222" s="489">
        <f>+R285</f>
        <v>1</v>
      </c>
      <c r="T222" s="490">
        <f>+T285</f>
        <v>60</v>
      </c>
      <c r="U222" s="429"/>
      <c r="V222" s="491"/>
      <c r="W222" s="492"/>
      <c r="X222" s="419"/>
    </row>
    <row r="223" spans="1:24" ht="15.75" x14ac:dyDescent="0.25">
      <c r="A223" s="358"/>
      <c r="B223" s="515" t="s">
        <v>82</v>
      </c>
      <c r="C223" s="363"/>
      <c r="D223" s="363"/>
      <c r="E223" s="363"/>
      <c r="F223" s="314"/>
      <c r="G223" s="314"/>
      <c r="H223" s="314"/>
      <c r="I223" s="314"/>
      <c r="J223" s="314"/>
      <c r="K223" s="314"/>
      <c r="L223" s="314"/>
      <c r="M223" s="314"/>
      <c r="N223" s="314"/>
      <c r="O223" s="314"/>
      <c r="P223" s="314"/>
      <c r="Q223" s="314"/>
      <c r="R223" s="314"/>
      <c r="S223" s="286"/>
      <c r="T223" s="490">
        <v>0</v>
      </c>
      <c r="U223" s="314"/>
      <c r="V223" s="364"/>
      <c r="W223" s="362"/>
      <c r="X223" s="5"/>
    </row>
    <row r="224" spans="1:24" ht="15.75" x14ac:dyDescent="0.25">
      <c r="A224" s="358"/>
      <c r="B224" s="515" t="s">
        <v>228</v>
      </c>
      <c r="C224" s="363"/>
      <c r="D224" s="363"/>
      <c r="E224" s="363"/>
      <c r="F224" s="314"/>
      <c r="G224" s="314"/>
      <c r="H224" s="314"/>
      <c r="I224" s="314"/>
      <c r="J224" s="314"/>
      <c r="K224" s="314"/>
      <c r="L224" s="314"/>
      <c r="M224" s="314"/>
      <c r="N224" s="314"/>
      <c r="O224" s="314"/>
      <c r="P224" s="314"/>
      <c r="Q224" s="314"/>
      <c r="R224" s="314"/>
      <c r="S224" s="286"/>
      <c r="T224" s="490">
        <f>+N81</f>
        <v>0</v>
      </c>
      <c r="U224" s="314"/>
      <c r="V224" s="364"/>
      <c r="W224" s="362"/>
      <c r="X224" s="5"/>
    </row>
    <row r="225" spans="1:24" ht="15.75" x14ac:dyDescent="0.25">
      <c r="A225" s="365"/>
      <c r="B225" s="515" t="s">
        <v>83</v>
      </c>
      <c r="C225" s="366"/>
      <c r="D225" s="366"/>
      <c r="E225" s="366"/>
      <c r="F225" s="366"/>
      <c r="G225" s="314"/>
      <c r="H225" s="314"/>
      <c r="I225" s="314"/>
      <c r="J225" s="314"/>
      <c r="K225" s="314"/>
      <c r="L225" s="314"/>
      <c r="M225" s="314"/>
      <c r="N225" s="314"/>
      <c r="O225" s="314"/>
      <c r="P225" s="314"/>
      <c r="Q225" s="314"/>
      <c r="R225" s="314"/>
      <c r="S225" s="286"/>
      <c r="T225" s="360"/>
      <c r="U225" s="314"/>
      <c r="V225" s="364"/>
      <c r="W225" s="367"/>
      <c r="X225" s="5"/>
    </row>
    <row r="226" spans="1:24" s="420" customFormat="1" ht="15.75" x14ac:dyDescent="0.25">
      <c r="A226" s="493"/>
      <c r="B226" s="429" t="s">
        <v>84</v>
      </c>
      <c r="C226" s="429"/>
      <c r="D226" s="429"/>
      <c r="E226" s="429"/>
      <c r="F226" s="429"/>
      <c r="G226" s="429"/>
      <c r="H226" s="429"/>
      <c r="I226" s="429"/>
      <c r="J226" s="429"/>
      <c r="K226" s="429"/>
      <c r="L226" s="429"/>
      <c r="M226" s="429"/>
      <c r="N226" s="429"/>
      <c r="O226" s="429"/>
      <c r="P226" s="429"/>
      <c r="Q226" s="429"/>
      <c r="R226" s="429"/>
      <c r="S226" s="436"/>
      <c r="T226" s="490">
        <f>V164</f>
        <v>-23</v>
      </c>
      <c r="U226" s="429"/>
      <c r="V226" s="491"/>
      <c r="W226" s="494"/>
      <c r="X226" s="419"/>
    </row>
    <row r="227" spans="1:24" s="420" customFormat="1" ht="15.75" x14ac:dyDescent="0.25">
      <c r="A227" s="488"/>
      <c r="B227" s="429" t="s">
        <v>85</v>
      </c>
      <c r="C227" s="472"/>
      <c r="D227" s="472"/>
      <c r="E227" s="472"/>
      <c r="F227" s="472"/>
      <c r="G227" s="429"/>
      <c r="H227" s="429"/>
      <c r="I227" s="429"/>
      <c r="J227" s="429"/>
      <c r="K227" s="429"/>
      <c r="L227" s="429"/>
      <c r="M227" s="429"/>
      <c r="N227" s="429"/>
      <c r="O227" s="429"/>
      <c r="P227" s="429"/>
      <c r="Q227" s="429"/>
      <c r="R227" s="429"/>
      <c r="S227" s="436"/>
      <c r="T227" s="490">
        <f>'Feb 18'!T227+T226</f>
        <v>8964</v>
      </c>
      <c r="U227" s="429"/>
      <c r="V227" s="491"/>
      <c r="W227" s="494"/>
      <c r="X227" s="419"/>
    </row>
    <row r="228" spans="1:24" ht="15.75" x14ac:dyDescent="0.25">
      <c r="A228" s="365"/>
      <c r="B228" s="515" t="s">
        <v>285</v>
      </c>
      <c r="C228" s="366"/>
      <c r="D228" s="366"/>
      <c r="E228" s="366"/>
      <c r="F228" s="366"/>
      <c r="G228" s="314"/>
      <c r="H228" s="314"/>
      <c r="I228" s="314"/>
      <c r="J228" s="314"/>
      <c r="K228" s="314"/>
      <c r="L228" s="314"/>
      <c r="M228" s="314"/>
      <c r="N228" s="314"/>
      <c r="O228" s="314"/>
      <c r="P228" s="314"/>
      <c r="Q228" s="314"/>
      <c r="R228" s="314"/>
      <c r="S228" s="296"/>
      <c r="T228" s="360"/>
      <c r="U228" s="314"/>
      <c r="V228" s="364"/>
      <c r="W228" s="367"/>
      <c r="X228" s="5"/>
    </row>
    <row r="229" spans="1:24" s="420" customFormat="1" ht="15.75" x14ac:dyDescent="0.25">
      <c r="A229" s="493"/>
      <c r="B229" s="429" t="s">
        <v>282</v>
      </c>
      <c r="C229" s="429"/>
      <c r="D229" s="429"/>
      <c r="E229" s="429"/>
      <c r="F229" s="429"/>
      <c r="G229" s="429"/>
      <c r="H229" s="429"/>
      <c r="I229" s="429"/>
      <c r="J229" s="429"/>
      <c r="K229" s="429"/>
      <c r="L229" s="429"/>
      <c r="M229" s="429"/>
      <c r="N229" s="429"/>
      <c r="O229" s="429"/>
      <c r="P229" s="429"/>
      <c r="Q229" s="429"/>
      <c r="R229" s="429"/>
      <c r="S229" s="436">
        <v>0</v>
      </c>
      <c r="T229" s="490">
        <v>0</v>
      </c>
      <c r="U229" s="429"/>
      <c r="V229" s="491"/>
      <c r="W229" s="494"/>
      <c r="X229" s="419"/>
    </row>
    <row r="230" spans="1:24" s="420" customFormat="1" ht="15.75" x14ac:dyDescent="0.25">
      <c r="A230" s="488"/>
      <c r="B230" s="429" t="s">
        <v>86</v>
      </c>
      <c r="C230" s="452"/>
      <c r="D230" s="452"/>
      <c r="E230" s="452"/>
      <c r="F230" s="495"/>
      <c r="G230" s="429"/>
      <c r="H230" s="429"/>
      <c r="I230" s="429"/>
      <c r="J230" s="429"/>
      <c r="K230" s="429"/>
      <c r="L230" s="429"/>
      <c r="M230" s="429"/>
      <c r="N230" s="429"/>
      <c r="O230" s="429"/>
      <c r="P230" s="429"/>
      <c r="Q230" s="429"/>
      <c r="R230" s="429"/>
      <c r="S230" s="429"/>
      <c r="T230" s="496">
        <v>0</v>
      </c>
      <c r="U230" s="429"/>
      <c r="V230" s="491"/>
      <c r="W230" s="494"/>
      <c r="X230" s="419"/>
    </row>
    <row r="231" spans="1:24" s="420" customFormat="1" ht="15.75" x14ac:dyDescent="0.25">
      <c r="A231" s="488"/>
      <c r="B231" s="429" t="s">
        <v>87</v>
      </c>
      <c r="C231" s="452"/>
      <c r="D231" s="452"/>
      <c r="E231" s="452"/>
      <c r="F231" s="495"/>
      <c r="G231" s="429"/>
      <c r="H231" s="429"/>
      <c r="I231" s="429"/>
      <c r="J231" s="429"/>
      <c r="K231" s="429"/>
      <c r="L231" s="429"/>
      <c r="M231" s="429"/>
      <c r="N231" s="429"/>
      <c r="O231" s="429"/>
      <c r="P231" s="429"/>
      <c r="Q231" s="429"/>
      <c r="R231" s="429"/>
      <c r="S231" s="429"/>
      <c r="T231" s="496">
        <v>0</v>
      </c>
      <c r="U231" s="429"/>
      <c r="V231" s="491"/>
      <c r="W231" s="494"/>
      <c r="X231" s="419"/>
    </row>
    <row r="232" spans="1:24" ht="15.75" x14ac:dyDescent="0.25">
      <c r="A232" s="358"/>
      <c r="B232" s="515" t="s">
        <v>216</v>
      </c>
      <c r="C232" s="368"/>
      <c r="D232" s="368"/>
      <c r="E232" s="368"/>
      <c r="F232" s="369"/>
      <c r="G232" s="314"/>
      <c r="H232" s="314"/>
      <c r="I232" s="314"/>
      <c r="J232" s="314"/>
      <c r="K232" s="314"/>
      <c r="L232" s="314"/>
      <c r="M232" s="314"/>
      <c r="N232" s="314"/>
      <c r="O232" s="314"/>
      <c r="P232" s="314"/>
      <c r="Q232" s="314"/>
      <c r="R232" s="314"/>
      <c r="S232" s="286"/>
      <c r="T232" s="371"/>
      <c r="U232" s="314"/>
      <c r="V232" s="364"/>
      <c r="W232" s="367"/>
      <c r="X232" s="5"/>
    </row>
    <row r="233" spans="1:24" s="420" customFormat="1" ht="15.75" x14ac:dyDescent="0.25">
      <c r="A233" s="488"/>
      <c r="B233" s="429" t="s">
        <v>282</v>
      </c>
      <c r="C233" s="452"/>
      <c r="D233" s="452"/>
      <c r="E233" s="452"/>
      <c r="F233" s="495"/>
      <c r="G233" s="429"/>
      <c r="H233" s="429"/>
      <c r="I233" s="429"/>
      <c r="J233" s="429"/>
      <c r="K233" s="429"/>
      <c r="L233" s="429"/>
      <c r="M233" s="429"/>
      <c r="N233" s="429"/>
      <c r="O233" s="429"/>
      <c r="P233" s="429"/>
      <c r="Q233" s="429"/>
      <c r="R233" s="429"/>
      <c r="S233" s="436">
        <v>0</v>
      </c>
      <c r="T233" s="490">
        <v>0</v>
      </c>
      <c r="U233" s="429"/>
      <c r="V233" s="491"/>
      <c r="W233" s="494"/>
      <c r="X233" s="419"/>
    </row>
    <row r="234" spans="1:24" s="420" customFormat="1" ht="15.75" x14ac:dyDescent="0.25">
      <c r="A234" s="488"/>
      <c r="B234" s="429" t="s">
        <v>217</v>
      </c>
      <c r="C234" s="452"/>
      <c r="D234" s="452"/>
      <c r="E234" s="452"/>
      <c r="F234" s="495"/>
      <c r="G234" s="429"/>
      <c r="H234" s="429"/>
      <c r="I234" s="429"/>
      <c r="J234" s="429"/>
      <c r="K234" s="429"/>
      <c r="L234" s="429"/>
      <c r="M234" s="429"/>
      <c r="N234" s="429"/>
      <c r="O234" s="429"/>
      <c r="P234" s="429"/>
      <c r="Q234" s="429"/>
      <c r="R234" s="429"/>
      <c r="S234" s="429"/>
      <c r="T234" s="496">
        <v>0</v>
      </c>
      <c r="U234" s="429"/>
      <c r="V234" s="491"/>
      <c r="W234" s="494"/>
      <c r="X234" s="419"/>
    </row>
    <row r="235" spans="1:24" ht="15.75" x14ac:dyDescent="0.25">
      <c r="A235" s="358"/>
      <c r="B235" s="366"/>
      <c r="C235" s="368"/>
      <c r="D235" s="368"/>
      <c r="E235" s="368"/>
      <c r="F235" s="369"/>
      <c r="G235" s="314"/>
      <c r="H235" s="314"/>
      <c r="I235" s="314"/>
      <c r="J235" s="314"/>
      <c r="K235" s="314"/>
      <c r="L235" s="314"/>
      <c r="M235" s="314"/>
      <c r="N235" s="314"/>
      <c r="O235" s="314"/>
      <c r="P235" s="314"/>
      <c r="Q235" s="314"/>
      <c r="R235" s="314"/>
      <c r="S235" s="286"/>
      <c r="T235" s="371"/>
      <c r="U235" s="314"/>
      <c r="V235" s="364"/>
      <c r="W235" s="367"/>
      <c r="X235" s="5"/>
    </row>
    <row r="236" spans="1:24" ht="15.75" x14ac:dyDescent="0.25">
      <c r="A236" s="358"/>
      <c r="B236" s="366"/>
      <c r="C236" s="368"/>
      <c r="D236" s="368"/>
      <c r="E236" s="368"/>
      <c r="F236" s="369"/>
      <c r="G236" s="314"/>
      <c r="H236" s="314"/>
      <c r="I236" s="314"/>
      <c r="J236" s="314"/>
      <c r="K236" s="314"/>
      <c r="L236" s="314"/>
      <c r="M236" s="314"/>
      <c r="N236" s="314"/>
      <c r="O236" s="314"/>
      <c r="P236" s="314"/>
      <c r="Q236" s="314"/>
      <c r="R236" s="314"/>
      <c r="S236" s="314"/>
      <c r="T236" s="372"/>
      <c r="U236" s="314"/>
      <c r="V236" s="364"/>
      <c r="W236" s="367"/>
      <c r="X236" s="5"/>
    </row>
    <row r="237" spans="1:24" ht="18.75" x14ac:dyDescent="0.3">
      <c r="A237" s="358"/>
      <c r="B237" s="534" t="s">
        <v>168</v>
      </c>
      <c r="C237" s="368"/>
      <c r="D237" s="368"/>
      <c r="E237" s="368"/>
      <c r="F237" s="369"/>
      <c r="G237" s="314"/>
      <c r="H237" s="314"/>
      <c r="I237" s="314"/>
      <c r="J237" s="314"/>
      <c r="K237" s="314"/>
      <c r="L237" s="314"/>
      <c r="M237" s="314"/>
      <c r="N237" s="314"/>
      <c r="O237" s="314"/>
      <c r="P237" s="535" t="s">
        <v>341</v>
      </c>
      <c r="Q237" s="314"/>
      <c r="R237" s="314"/>
      <c r="S237" s="314"/>
      <c r="T237" s="372"/>
      <c r="U237" s="314"/>
      <c r="V237" s="364"/>
      <c r="W237" s="367"/>
      <c r="X237" s="5"/>
    </row>
    <row r="238" spans="1:24" ht="15.75" x14ac:dyDescent="0.25">
      <c r="A238" s="353"/>
      <c r="B238" s="348"/>
      <c r="C238" s="354"/>
      <c r="D238" s="354"/>
      <c r="E238" s="354"/>
      <c r="F238" s="355"/>
      <c r="G238" s="212"/>
      <c r="H238" s="212"/>
      <c r="I238" s="212"/>
      <c r="J238" s="212"/>
      <c r="K238" s="212"/>
      <c r="L238" s="212"/>
      <c r="M238" s="212"/>
      <c r="N238" s="212"/>
      <c r="O238" s="212"/>
      <c r="P238" s="212"/>
      <c r="Q238" s="212"/>
      <c r="R238" s="212"/>
      <c r="S238" s="212"/>
      <c r="T238" s="356"/>
      <c r="U238" s="212"/>
      <c r="V238" s="349"/>
      <c r="W238" s="357"/>
      <c r="X238" s="5"/>
    </row>
    <row r="239" spans="1:24" ht="15.75" x14ac:dyDescent="0.25">
      <c r="A239" s="536"/>
      <c r="B239" s="547" t="s">
        <v>297</v>
      </c>
      <c r="C239" s="548"/>
      <c r="D239" s="548"/>
      <c r="E239" s="548"/>
      <c r="F239" s="563"/>
      <c r="G239" s="548"/>
      <c r="H239" s="548"/>
      <c r="I239" s="548"/>
      <c r="J239" s="548"/>
      <c r="K239" s="548"/>
      <c r="L239" s="548"/>
      <c r="M239" s="548"/>
      <c r="N239" s="548"/>
      <c r="O239" s="548"/>
      <c r="P239" s="548"/>
      <c r="Q239" s="548"/>
      <c r="R239" s="563" t="s">
        <v>102</v>
      </c>
      <c r="S239" s="548" t="s">
        <v>103</v>
      </c>
      <c r="T239" s="563" t="s">
        <v>109</v>
      </c>
      <c r="U239" s="548" t="s">
        <v>103</v>
      </c>
      <c r="V239" s="540"/>
      <c r="W239" s="566"/>
      <c r="X239" s="5"/>
    </row>
    <row r="240" spans="1:24" s="420" customFormat="1" ht="15.75" x14ac:dyDescent="0.25">
      <c r="A240" s="416"/>
      <c r="B240" s="478" t="s">
        <v>88</v>
      </c>
      <c r="C240" s="564"/>
      <c r="D240" s="564"/>
      <c r="E240" s="564"/>
      <c r="F240" s="462"/>
      <c r="G240" s="564"/>
      <c r="H240" s="564"/>
      <c r="I240" s="564"/>
      <c r="J240" s="564"/>
      <c r="K240" s="564"/>
      <c r="L240" s="564"/>
      <c r="M240" s="564"/>
      <c r="N240" s="564"/>
      <c r="O240" s="564"/>
      <c r="P240" s="564"/>
      <c r="Q240" s="564"/>
      <c r="R240" s="478">
        <f t="shared" ref="R240:R247" si="1">+R252+R264+R276</f>
        <v>4457</v>
      </c>
      <c r="S240" s="500">
        <f t="shared" ref="S240:S247" si="2">R240/$R$249</f>
        <v>0.99353544360231827</v>
      </c>
      <c r="T240" s="499">
        <f t="shared" ref="T240:T247" si="3">+T252+T264+T276</f>
        <v>611201</v>
      </c>
      <c r="U240" s="500">
        <f t="shared" ref="U240:U247" si="4">T240/$T$249</f>
        <v>0.99444044918957797</v>
      </c>
      <c r="V240" s="561"/>
      <c r="W240" s="565"/>
      <c r="X240" s="419"/>
    </row>
    <row r="241" spans="1:25" s="420" customFormat="1" ht="15.75" x14ac:dyDescent="0.25">
      <c r="A241" s="428"/>
      <c r="B241" s="472" t="s">
        <v>89</v>
      </c>
      <c r="C241" s="497"/>
      <c r="D241" s="497"/>
      <c r="E241" s="497"/>
      <c r="F241" s="429"/>
      <c r="G241" s="498"/>
      <c r="H241" s="497"/>
      <c r="I241" s="497"/>
      <c r="J241" s="497"/>
      <c r="K241" s="497"/>
      <c r="L241" s="497"/>
      <c r="M241" s="497"/>
      <c r="N241" s="497"/>
      <c r="O241" s="497"/>
      <c r="P241" s="497"/>
      <c r="Q241" s="497"/>
      <c r="R241" s="472">
        <f t="shared" si="1"/>
        <v>21</v>
      </c>
      <c r="S241" s="498">
        <f t="shared" si="2"/>
        <v>4.6812304948729384E-3</v>
      </c>
      <c r="T241" s="473">
        <f t="shared" si="3"/>
        <v>2057</v>
      </c>
      <c r="U241" s="498">
        <f t="shared" si="4"/>
        <v>3.3467942689605575E-3</v>
      </c>
      <c r="V241" s="491"/>
      <c r="W241" s="494"/>
      <c r="X241" s="419"/>
      <c r="Y241" s="477"/>
    </row>
    <row r="242" spans="1:25" s="420" customFormat="1" ht="15.75" x14ac:dyDescent="0.25">
      <c r="A242" s="428"/>
      <c r="B242" s="472" t="s">
        <v>90</v>
      </c>
      <c r="C242" s="497"/>
      <c r="D242" s="497"/>
      <c r="E242" s="497"/>
      <c r="F242" s="429"/>
      <c r="G242" s="498"/>
      <c r="H242" s="497"/>
      <c r="I242" s="497"/>
      <c r="J242" s="497"/>
      <c r="K242" s="497"/>
      <c r="L242" s="497"/>
      <c r="M242" s="497"/>
      <c r="N242" s="497"/>
      <c r="O242" s="497"/>
      <c r="P242" s="497"/>
      <c r="Q242" s="497"/>
      <c r="R242" s="472">
        <f t="shared" si="1"/>
        <v>3</v>
      </c>
      <c r="S242" s="498">
        <f t="shared" si="2"/>
        <v>6.6874721355327687E-4</v>
      </c>
      <c r="T242" s="473">
        <f t="shared" si="3"/>
        <v>410</v>
      </c>
      <c r="U242" s="498">
        <f t="shared" si="4"/>
        <v>6.6708101617590115E-4</v>
      </c>
      <c r="V242" s="491"/>
      <c r="W242" s="494"/>
      <c r="X242" s="419"/>
    </row>
    <row r="243" spans="1:25" s="420" customFormat="1" ht="15.75" x14ac:dyDescent="0.25">
      <c r="A243" s="428"/>
      <c r="B243" s="472" t="s">
        <v>156</v>
      </c>
      <c r="C243" s="497"/>
      <c r="D243" s="497"/>
      <c r="E243" s="497"/>
      <c r="F243" s="429"/>
      <c r="G243" s="498"/>
      <c r="H243" s="497"/>
      <c r="I243" s="497"/>
      <c r="J243" s="497"/>
      <c r="K243" s="497"/>
      <c r="L243" s="497"/>
      <c r="M243" s="497"/>
      <c r="N243" s="497"/>
      <c r="O243" s="497"/>
      <c r="P243" s="497"/>
      <c r="Q243" s="497"/>
      <c r="R243" s="472">
        <f t="shared" si="1"/>
        <v>1</v>
      </c>
      <c r="S243" s="498">
        <f t="shared" si="2"/>
        <v>2.2291573785109228E-4</v>
      </c>
      <c r="T243" s="473">
        <f t="shared" si="3"/>
        <v>97</v>
      </c>
      <c r="U243" s="498">
        <f t="shared" si="4"/>
        <v>1.5782160626600587E-4</v>
      </c>
      <c r="V243" s="491"/>
      <c r="W243" s="494"/>
      <c r="X243" s="419"/>
      <c r="Y243" s="477"/>
    </row>
    <row r="244" spans="1:25" s="420" customFormat="1" ht="15.75" x14ac:dyDescent="0.25">
      <c r="A244" s="428"/>
      <c r="B244" s="472" t="s">
        <v>157</v>
      </c>
      <c r="C244" s="497"/>
      <c r="D244" s="497"/>
      <c r="E244" s="497"/>
      <c r="F244" s="429"/>
      <c r="G244" s="498"/>
      <c r="H244" s="497"/>
      <c r="I244" s="497"/>
      <c r="J244" s="497"/>
      <c r="K244" s="497"/>
      <c r="L244" s="497"/>
      <c r="M244" s="497"/>
      <c r="N244" s="497"/>
      <c r="O244" s="497"/>
      <c r="P244" s="497"/>
      <c r="Q244" s="497"/>
      <c r="R244" s="472">
        <f t="shared" si="1"/>
        <v>1</v>
      </c>
      <c r="S244" s="498">
        <f t="shared" si="2"/>
        <v>2.2291573785109228E-4</v>
      </c>
      <c r="T244" s="473">
        <f t="shared" si="3"/>
        <v>66</v>
      </c>
      <c r="U244" s="498">
        <f t="shared" si="4"/>
        <v>1.0738377333563286E-4</v>
      </c>
      <c r="V244" s="491"/>
      <c r="W244" s="494"/>
      <c r="X244" s="419"/>
    </row>
    <row r="245" spans="1:25" s="420" customFormat="1" ht="15.75" x14ac:dyDescent="0.25">
      <c r="A245" s="428"/>
      <c r="B245" s="472" t="s">
        <v>158</v>
      </c>
      <c r="C245" s="497"/>
      <c r="D245" s="497"/>
      <c r="E245" s="497"/>
      <c r="F245" s="429"/>
      <c r="G245" s="498"/>
      <c r="H245" s="497"/>
      <c r="I245" s="497"/>
      <c r="J245" s="497"/>
      <c r="K245" s="497"/>
      <c r="L245" s="497"/>
      <c r="M245" s="497"/>
      <c r="N245" s="497"/>
      <c r="O245" s="497"/>
      <c r="P245" s="497"/>
      <c r="Q245" s="497"/>
      <c r="R245" s="472">
        <f t="shared" si="1"/>
        <v>0</v>
      </c>
      <c r="S245" s="498">
        <f t="shared" si="2"/>
        <v>0</v>
      </c>
      <c r="T245" s="473">
        <f t="shared" si="3"/>
        <v>0</v>
      </c>
      <c r="U245" s="498">
        <f t="shared" si="4"/>
        <v>0</v>
      </c>
      <c r="V245" s="491"/>
      <c r="W245" s="494"/>
      <c r="X245" s="419"/>
      <c r="Y245" s="477"/>
    </row>
    <row r="246" spans="1:25" s="420" customFormat="1" ht="15.75" x14ac:dyDescent="0.25">
      <c r="A246" s="428"/>
      <c r="B246" s="472" t="s">
        <v>159</v>
      </c>
      <c r="C246" s="497"/>
      <c r="D246" s="497"/>
      <c r="E246" s="497"/>
      <c r="F246" s="429"/>
      <c r="G246" s="498"/>
      <c r="H246" s="497"/>
      <c r="I246" s="497"/>
      <c r="J246" s="497"/>
      <c r="K246" s="497"/>
      <c r="L246" s="497"/>
      <c r="M246" s="497"/>
      <c r="N246" s="497"/>
      <c r="O246" s="497"/>
      <c r="P246" s="497"/>
      <c r="Q246" s="497"/>
      <c r="R246" s="472">
        <f t="shared" si="1"/>
        <v>3</v>
      </c>
      <c r="S246" s="498">
        <f t="shared" si="2"/>
        <v>6.6874721355327687E-4</v>
      </c>
      <c r="T246" s="473">
        <f t="shared" si="3"/>
        <v>787</v>
      </c>
      <c r="U246" s="498">
        <f t="shared" si="4"/>
        <v>1.2804701456839858E-3</v>
      </c>
      <c r="V246" s="491"/>
      <c r="W246" s="494"/>
      <c r="X246" s="419"/>
    </row>
    <row r="247" spans="1:25" s="420" customFormat="1" ht="15.75" x14ac:dyDescent="0.25">
      <c r="A247" s="428"/>
      <c r="B247" s="472" t="s">
        <v>160</v>
      </c>
      <c r="C247" s="497"/>
      <c r="D247" s="497"/>
      <c r="E247" s="497"/>
      <c r="F247" s="429"/>
      <c r="G247" s="498"/>
      <c r="H247" s="497"/>
      <c r="I247" s="497"/>
      <c r="J247" s="497"/>
      <c r="K247" s="497"/>
      <c r="L247" s="497"/>
      <c r="M247" s="497"/>
      <c r="N247" s="497"/>
      <c r="O247" s="497"/>
      <c r="P247" s="497"/>
      <c r="Q247" s="497"/>
      <c r="R247" s="478">
        <f t="shared" si="1"/>
        <v>0</v>
      </c>
      <c r="S247" s="498">
        <f t="shared" si="2"/>
        <v>0</v>
      </c>
      <c r="T247" s="499">
        <f t="shared" si="3"/>
        <v>0</v>
      </c>
      <c r="U247" s="500">
        <f t="shared" si="4"/>
        <v>0</v>
      </c>
      <c r="V247" s="491"/>
      <c r="W247" s="494"/>
      <c r="X247" s="419"/>
      <c r="Y247" s="477"/>
    </row>
    <row r="248" spans="1:25" s="420" customFormat="1" ht="15.75" x14ac:dyDescent="0.25">
      <c r="A248" s="428"/>
      <c r="B248" s="472"/>
      <c r="C248" s="497"/>
      <c r="D248" s="497"/>
      <c r="E248" s="497"/>
      <c r="F248" s="429"/>
      <c r="G248" s="498"/>
      <c r="H248" s="497"/>
      <c r="I248" s="497"/>
      <c r="J248" s="497"/>
      <c r="K248" s="497"/>
      <c r="L248" s="497"/>
      <c r="M248" s="497"/>
      <c r="N248" s="497"/>
      <c r="O248" s="497"/>
      <c r="P248" s="497"/>
      <c r="Q248" s="497"/>
      <c r="R248" s="472"/>
      <c r="S248" s="498"/>
      <c r="T248" s="473"/>
      <c r="U248" s="498"/>
      <c r="V248" s="491"/>
      <c r="W248" s="494"/>
      <c r="X248" s="419"/>
    </row>
    <row r="249" spans="1:25" s="420" customFormat="1" ht="15.75" x14ac:dyDescent="0.25">
      <c r="A249" s="428"/>
      <c r="B249" s="429"/>
      <c r="C249" s="429"/>
      <c r="D249" s="429"/>
      <c r="E249" s="429"/>
      <c r="F249" s="429"/>
      <c r="G249" s="429"/>
      <c r="H249" s="501"/>
      <c r="I249" s="501"/>
      <c r="J249" s="501"/>
      <c r="K249" s="501"/>
      <c r="L249" s="501"/>
      <c r="M249" s="501"/>
      <c r="N249" s="501"/>
      <c r="O249" s="501"/>
      <c r="P249" s="501"/>
      <c r="Q249" s="501"/>
      <c r="R249" s="472">
        <f>SUM(R240:R248)</f>
        <v>4486</v>
      </c>
      <c r="S249" s="498">
        <f>SUM(S240:S248)</f>
        <v>0.99999999999999978</v>
      </c>
      <c r="T249" s="473">
        <f>SUM(T240:T248)</f>
        <v>614618</v>
      </c>
      <c r="U249" s="498">
        <f>SUM(U240:U248)</f>
        <v>1</v>
      </c>
      <c r="V249" s="429"/>
      <c r="W249" s="432"/>
      <c r="X249" s="419"/>
    </row>
    <row r="250" spans="1:25" ht="15.75" x14ac:dyDescent="0.25">
      <c r="A250" s="181"/>
      <c r="B250" s="212"/>
      <c r="C250" s="212"/>
      <c r="D250" s="212"/>
      <c r="E250" s="212"/>
      <c r="F250" s="212"/>
      <c r="G250" s="212"/>
      <c r="H250" s="375"/>
      <c r="I250" s="375"/>
      <c r="J250" s="375"/>
      <c r="K250" s="375"/>
      <c r="L250" s="375"/>
      <c r="M250" s="375"/>
      <c r="N250" s="375"/>
      <c r="O250" s="375"/>
      <c r="P250" s="375"/>
      <c r="Q250" s="375"/>
      <c r="R250" s="335"/>
      <c r="S250" s="376"/>
      <c r="T250" s="377"/>
      <c r="U250" s="376"/>
      <c r="V250" s="212"/>
      <c r="W250" s="212"/>
      <c r="X250" s="5"/>
    </row>
    <row r="251" spans="1:25" ht="15.75" x14ac:dyDescent="0.25">
      <c r="A251" s="536"/>
      <c r="B251" s="547" t="s">
        <v>162</v>
      </c>
      <c r="C251" s="548"/>
      <c r="D251" s="548"/>
      <c r="E251" s="548"/>
      <c r="F251" s="563"/>
      <c r="G251" s="548"/>
      <c r="H251" s="548"/>
      <c r="I251" s="548"/>
      <c r="J251" s="548"/>
      <c r="K251" s="548"/>
      <c r="L251" s="548"/>
      <c r="M251" s="548"/>
      <c r="N251" s="548"/>
      <c r="O251" s="548"/>
      <c r="P251" s="548"/>
      <c r="Q251" s="548"/>
      <c r="R251" s="563" t="s">
        <v>102</v>
      </c>
      <c r="S251" s="548" t="s">
        <v>103</v>
      </c>
      <c r="T251" s="563" t="s">
        <v>109</v>
      </c>
      <c r="U251" s="548" t="s">
        <v>103</v>
      </c>
      <c r="V251" s="540"/>
      <c r="W251" s="566"/>
      <c r="X251" s="5"/>
    </row>
    <row r="252" spans="1:25" s="420" customFormat="1" ht="15.75" x14ac:dyDescent="0.25">
      <c r="A252" s="416"/>
      <c r="B252" s="478" t="s">
        <v>88</v>
      </c>
      <c r="C252" s="564"/>
      <c r="D252" s="564"/>
      <c r="E252" s="564"/>
      <c r="F252" s="462"/>
      <c r="G252" s="564"/>
      <c r="H252" s="564"/>
      <c r="I252" s="564"/>
      <c r="J252" s="564"/>
      <c r="K252" s="564"/>
      <c r="L252" s="564"/>
      <c r="M252" s="564"/>
      <c r="N252" s="564"/>
      <c r="O252" s="564"/>
      <c r="P252" s="564"/>
      <c r="Q252" s="564"/>
      <c r="R252" s="478">
        <v>4396</v>
      </c>
      <c r="S252" s="500">
        <f>R252/$R$261</f>
        <v>0.99502037120869169</v>
      </c>
      <c r="T252" s="499">
        <v>603061</v>
      </c>
      <c r="U252" s="500">
        <f t="shared" ref="U252:U259" si="5">T252/$T$261</f>
        <v>0.99645739873266082</v>
      </c>
      <c r="V252" s="561"/>
      <c r="W252" s="565"/>
      <c r="X252" s="419"/>
    </row>
    <row r="253" spans="1:25" s="420" customFormat="1" ht="15.75" x14ac:dyDescent="0.25">
      <c r="A253" s="428"/>
      <c r="B253" s="472" t="s">
        <v>89</v>
      </c>
      <c r="C253" s="497"/>
      <c r="D253" s="497"/>
      <c r="E253" s="497"/>
      <c r="F253" s="429"/>
      <c r="G253" s="498"/>
      <c r="H253" s="497"/>
      <c r="I253" s="497"/>
      <c r="J253" s="497"/>
      <c r="K253" s="497"/>
      <c r="L253" s="497"/>
      <c r="M253" s="497"/>
      <c r="N253" s="497"/>
      <c r="O253" s="497"/>
      <c r="P253" s="497"/>
      <c r="Q253" s="497"/>
      <c r="R253" s="472">
        <v>20</v>
      </c>
      <c r="S253" s="498">
        <f t="shared" ref="S253:S259" si="6">R253/$R$261</f>
        <v>4.5269352648257127E-3</v>
      </c>
      <c r="T253" s="473">
        <v>1941</v>
      </c>
      <c r="U253" s="498">
        <f t="shared" si="5"/>
        <v>3.2071777331647952E-3</v>
      </c>
      <c r="V253" s="491"/>
      <c r="W253" s="494"/>
      <c r="X253" s="419"/>
      <c r="Y253" s="477"/>
    </row>
    <row r="254" spans="1:25" s="420" customFormat="1" ht="15.75" x14ac:dyDescent="0.25">
      <c r="A254" s="428"/>
      <c r="B254" s="472" t="s">
        <v>90</v>
      </c>
      <c r="C254" s="497"/>
      <c r="D254" s="497"/>
      <c r="E254" s="497"/>
      <c r="F254" s="429"/>
      <c r="G254" s="498"/>
      <c r="H254" s="497"/>
      <c r="I254" s="497"/>
      <c r="J254" s="497"/>
      <c r="K254" s="497"/>
      <c r="L254" s="497"/>
      <c r="M254" s="497"/>
      <c r="N254" s="497"/>
      <c r="O254" s="497"/>
      <c r="P254" s="497"/>
      <c r="Q254" s="497"/>
      <c r="R254" s="472">
        <v>2</v>
      </c>
      <c r="S254" s="498">
        <f t="shared" si="6"/>
        <v>4.526935264825713E-4</v>
      </c>
      <c r="T254" s="473">
        <v>203</v>
      </c>
      <c r="U254" s="498">
        <f t="shared" si="5"/>
        <v>3.3542353417437065E-4</v>
      </c>
      <c r="V254" s="491"/>
      <c r="W254" s="494"/>
      <c r="X254" s="419"/>
    </row>
    <row r="255" spans="1:25" s="420" customFormat="1" ht="15.75" x14ac:dyDescent="0.25">
      <c r="A255" s="428"/>
      <c r="B255" s="472" t="s">
        <v>156</v>
      </c>
      <c r="C255" s="497"/>
      <c r="D255" s="497"/>
      <c r="E255" s="497"/>
      <c r="F255" s="429"/>
      <c r="G255" s="498"/>
      <c r="H255" s="497"/>
      <c r="I255" s="497"/>
      <c r="J255" s="497"/>
      <c r="K255" s="497"/>
      <c r="L255" s="497"/>
      <c r="M255" s="497"/>
      <c r="N255" s="497"/>
      <c r="O255" s="497"/>
      <c r="P255" s="497"/>
      <c r="Q255" s="497"/>
      <c r="R255" s="472">
        <v>0</v>
      </c>
      <c r="S255" s="498">
        <f t="shared" si="6"/>
        <v>0</v>
      </c>
      <c r="T255" s="473">
        <v>0</v>
      </c>
      <c r="U255" s="498">
        <f t="shared" si="5"/>
        <v>0</v>
      </c>
      <c r="V255" s="491"/>
      <c r="W255" s="494"/>
      <c r="X255" s="419"/>
      <c r="Y255" s="477"/>
    </row>
    <row r="256" spans="1:25" s="420" customFormat="1" ht="15.75" x14ac:dyDescent="0.25">
      <c r="A256" s="428"/>
      <c r="B256" s="472" t="s">
        <v>157</v>
      </c>
      <c r="C256" s="497"/>
      <c r="D256" s="497"/>
      <c r="E256" s="497"/>
      <c r="F256" s="429"/>
      <c r="G256" s="498"/>
      <c r="H256" s="497"/>
      <c r="I256" s="497"/>
      <c r="J256" s="497"/>
      <c r="K256" s="497"/>
      <c r="L256" s="497"/>
      <c r="M256" s="497"/>
      <c r="N256" s="497"/>
      <c r="O256" s="497"/>
      <c r="P256" s="497"/>
      <c r="Q256" s="497"/>
      <c r="R256" s="472">
        <v>0</v>
      </c>
      <c r="S256" s="498">
        <f t="shared" si="6"/>
        <v>0</v>
      </c>
      <c r="T256" s="473">
        <v>0</v>
      </c>
      <c r="U256" s="498">
        <f t="shared" si="5"/>
        <v>0</v>
      </c>
      <c r="V256" s="491"/>
      <c r="W256" s="494"/>
      <c r="X256" s="419"/>
    </row>
    <row r="257" spans="1:25" s="420" customFormat="1" ht="15.75" x14ac:dyDescent="0.25">
      <c r="A257" s="428"/>
      <c r="B257" s="472" t="s">
        <v>158</v>
      </c>
      <c r="C257" s="497"/>
      <c r="D257" s="497"/>
      <c r="E257" s="497"/>
      <c r="F257" s="429"/>
      <c r="G257" s="498"/>
      <c r="H257" s="497"/>
      <c r="I257" s="497"/>
      <c r="J257" s="497"/>
      <c r="K257" s="497"/>
      <c r="L257" s="497"/>
      <c r="M257" s="497"/>
      <c r="N257" s="497"/>
      <c r="O257" s="497"/>
      <c r="P257" s="497"/>
      <c r="Q257" s="497"/>
      <c r="R257" s="472">
        <v>0</v>
      </c>
      <c r="S257" s="498">
        <f t="shared" si="6"/>
        <v>0</v>
      </c>
      <c r="T257" s="473">
        <v>0</v>
      </c>
      <c r="U257" s="498">
        <f t="shared" si="5"/>
        <v>0</v>
      </c>
      <c r="V257" s="491"/>
      <c r="W257" s="494"/>
      <c r="X257" s="419"/>
      <c r="Y257" s="477"/>
    </row>
    <row r="258" spans="1:25" s="420" customFormat="1" ht="15.75" x14ac:dyDescent="0.25">
      <c r="A258" s="428"/>
      <c r="B258" s="472" t="s">
        <v>159</v>
      </c>
      <c r="C258" s="497"/>
      <c r="D258" s="497"/>
      <c r="E258" s="497"/>
      <c r="F258" s="429"/>
      <c r="G258" s="498"/>
      <c r="H258" s="497"/>
      <c r="I258" s="497"/>
      <c r="J258" s="497"/>
      <c r="K258" s="497"/>
      <c r="L258" s="497"/>
      <c r="M258" s="497"/>
      <c r="N258" s="497"/>
      <c r="O258" s="497"/>
      <c r="P258" s="497"/>
      <c r="Q258" s="497"/>
      <c r="R258" s="472">
        <v>0</v>
      </c>
      <c r="S258" s="498">
        <f t="shared" si="6"/>
        <v>0</v>
      </c>
      <c r="T258" s="473">
        <v>0</v>
      </c>
      <c r="U258" s="498">
        <f t="shared" si="5"/>
        <v>0</v>
      </c>
      <c r="V258" s="491"/>
      <c r="W258" s="494"/>
      <c r="X258" s="419"/>
    </row>
    <row r="259" spans="1:25" s="420" customFormat="1" ht="15.75" x14ac:dyDescent="0.25">
      <c r="A259" s="428"/>
      <c r="B259" s="472" t="s">
        <v>160</v>
      </c>
      <c r="C259" s="497"/>
      <c r="D259" s="497"/>
      <c r="E259" s="497"/>
      <c r="F259" s="429"/>
      <c r="G259" s="498"/>
      <c r="H259" s="497"/>
      <c r="I259" s="497"/>
      <c r="J259" s="497"/>
      <c r="K259" s="497"/>
      <c r="L259" s="497"/>
      <c r="M259" s="497"/>
      <c r="N259" s="497"/>
      <c r="O259" s="497"/>
      <c r="P259" s="497"/>
      <c r="Q259" s="497"/>
      <c r="R259" s="472">
        <v>0</v>
      </c>
      <c r="S259" s="498">
        <f t="shared" si="6"/>
        <v>0</v>
      </c>
      <c r="T259" s="473">
        <v>0</v>
      </c>
      <c r="U259" s="498">
        <f t="shared" si="5"/>
        <v>0</v>
      </c>
      <c r="V259" s="491"/>
      <c r="W259" s="494"/>
      <c r="X259" s="419"/>
      <c r="Y259" s="477"/>
    </row>
    <row r="260" spans="1:25" s="420" customFormat="1" ht="15.75" x14ac:dyDescent="0.25">
      <c r="A260" s="428"/>
      <c r="B260" s="472"/>
      <c r="C260" s="497"/>
      <c r="D260" s="497"/>
      <c r="E260" s="497"/>
      <c r="F260" s="429"/>
      <c r="G260" s="498"/>
      <c r="H260" s="497"/>
      <c r="I260" s="497"/>
      <c r="J260" s="497"/>
      <c r="K260" s="497"/>
      <c r="L260" s="497"/>
      <c r="M260" s="497"/>
      <c r="N260" s="497"/>
      <c r="O260" s="497"/>
      <c r="P260" s="497"/>
      <c r="Q260" s="497"/>
      <c r="R260" s="472"/>
      <c r="S260" s="498"/>
      <c r="T260" s="473"/>
      <c r="U260" s="498"/>
      <c r="V260" s="491"/>
      <c r="W260" s="494"/>
      <c r="X260" s="419"/>
    </row>
    <row r="261" spans="1:25" s="420" customFormat="1" ht="15.75" x14ac:dyDescent="0.25">
      <c r="A261" s="428"/>
      <c r="B261" s="429"/>
      <c r="C261" s="429"/>
      <c r="D261" s="429"/>
      <c r="E261" s="429"/>
      <c r="F261" s="429"/>
      <c r="G261" s="429"/>
      <c r="H261" s="501"/>
      <c r="I261" s="501"/>
      <c r="J261" s="501"/>
      <c r="K261" s="501"/>
      <c r="L261" s="501"/>
      <c r="M261" s="501"/>
      <c r="N261" s="501"/>
      <c r="O261" s="501"/>
      <c r="P261" s="501"/>
      <c r="Q261" s="501"/>
      <c r="R261" s="472">
        <f>SUM(R252:R260)</f>
        <v>4418</v>
      </c>
      <c r="S261" s="498">
        <f>SUM(S252:S260)</f>
        <v>1</v>
      </c>
      <c r="T261" s="473">
        <f>SUM(T252:T260)</f>
        <v>605205</v>
      </c>
      <c r="U261" s="498">
        <f>SUM(U252:U260)</f>
        <v>1</v>
      </c>
      <c r="V261" s="429"/>
      <c r="W261" s="432"/>
      <c r="X261" s="419"/>
    </row>
    <row r="262" spans="1:25" ht="15.75" x14ac:dyDescent="0.25">
      <c r="A262" s="181"/>
      <c r="B262" s="212"/>
      <c r="C262" s="212"/>
      <c r="D262" s="212"/>
      <c r="E262" s="212"/>
      <c r="F262" s="212"/>
      <c r="G262" s="212"/>
      <c r="H262" s="375"/>
      <c r="I262" s="375"/>
      <c r="J262" s="375"/>
      <c r="K262" s="375"/>
      <c r="L262" s="375"/>
      <c r="M262" s="375"/>
      <c r="N262" s="375"/>
      <c r="O262" s="375"/>
      <c r="P262" s="375"/>
      <c r="Q262" s="375"/>
      <c r="R262" s="335"/>
      <c r="S262" s="376"/>
      <c r="T262" s="377"/>
      <c r="U262" s="376"/>
      <c r="V262" s="212"/>
      <c r="W262" s="212"/>
      <c r="X262" s="5"/>
    </row>
    <row r="263" spans="1:25" ht="15.75" x14ac:dyDescent="0.25">
      <c r="A263" s="536"/>
      <c r="B263" s="547" t="s">
        <v>236</v>
      </c>
      <c r="C263" s="548"/>
      <c r="D263" s="548"/>
      <c r="E263" s="548"/>
      <c r="F263" s="563"/>
      <c r="G263" s="548"/>
      <c r="H263" s="548"/>
      <c r="I263" s="548"/>
      <c r="J263" s="548"/>
      <c r="K263" s="548"/>
      <c r="L263" s="548"/>
      <c r="M263" s="548"/>
      <c r="N263" s="548"/>
      <c r="O263" s="548"/>
      <c r="P263" s="548"/>
      <c r="Q263" s="548"/>
      <c r="R263" s="563" t="s">
        <v>102</v>
      </c>
      <c r="S263" s="548" t="s">
        <v>103</v>
      </c>
      <c r="T263" s="563" t="s">
        <v>109</v>
      </c>
      <c r="U263" s="548" t="s">
        <v>103</v>
      </c>
      <c r="V263" s="540"/>
      <c r="W263" s="544"/>
      <c r="X263" s="5"/>
    </row>
    <row r="264" spans="1:25" s="420" customFormat="1" ht="15.75" x14ac:dyDescent="0.25">
      <c r="A264" s="416"/>
      <c r="B264" s="478" t="s">
        <v>88</v>
      </c>
      <c r="C264" s="564"/>
      <c r="D264" s="564"/>
      <c r="E264" s="564"/>
      <c r="F264" s="462"/>
      <c r="G264" s="564"/>
      <c r="H264" s="564"/>
      <c r="I264" s="564"/>
      <c r="J264" s="564"/>
      <c r="K264" s="564"/>
      <c r="L264" s="564"/>
      <c r="M264" s="564"/>
      <c r="N264" s="564"/>
      <c r="O264" s="564"/>
      <c r="P264" s="564"/>
      <c r="Q264" s="564"/>
      <c r="R264" s="478">
        <v>61</v>
      </c>
      <c r="S264" s="500">
        <f t="shared" ref="S264:S270" si="7">R264/$R$273</f>
        <v>0.91044776119402981</v>
      </c>
      <c r="T264" s="499">
        <v>8140</v>
      </c>
      <c r="U264" s="500">
        <f t="shared" ref="U264:U271" si="8">T264/$T$273</f>
        <v>0.87030899176734733</v>
      </c>
      <c r="V264" s="462"/>
      <c r="W264" s="462"/>
      <c r="X264" s="419"/>
    </row>
    <row r="265" spans="1:25" s="420" customFormat="1" ht="15.75" x14ac:dyDescent="0.25">
      <c r="A265" s="428"/>
      <c r="B265" s="472" t="s">
        <v>89</v>
      </c>
      <c r="C265" s="497"/>
      <c r="D265" s="497"/>
      <c r="E265" s="497"/>
      <c r="F265" s="429"/>
      <c r="G265" s="498"/>
      <c r="H265" s="497"/>
      <c r="I265" s="497"/>
      <c r="J265" s="497"/>
      <c r="K265" s="497"/>
      <c r="L265" s="497"/>
      <c r="M265" s="497"/>
      <c r="N265" s="497"/>
      <c r="O265" s="497"/>
      <c r="P265" s="497"/>
      <c r="Q265" s="497"/>
      <c r="R265" s="472">
        <v>1</v>
      </c>
      <c r="S265" s="498">
        <f t="shared" si="7"/>
        <v>1.4925373134328358E-2</v>
      </c>
      <c r="T265" s="473">
        <v>116</v>
      </c>
      <c r="U265" s="498">
        <f t="shared" si="8"/>
        <v>1.2402437720517481E-2</v>
      </c>
      <c r="V265" s="429"/>
      <c r="W265" s="432"/>
      <c r="X265" s="419"/>
    </row>
    <row r="266" spans="1:25" s="420" customFormat="1" ht="15.75" x14ac:dyDescent="0.25">
      <c r="A266" s="428"/>
      <c r="B266" s="472" t="s">
        <v>90</v>
      </c>
      <c r="C266" s="497"/>
      <c r="D266" s="497"/>
      <c r="E266" s="497"/>
      <c r="F266" s="429"/>
      <c r="G266" s="498"/>
      <c r="H266" s="497"/>
      <c r="I266" s="497"/>
      <c r="J266" s="497"/>
      <c r="K266" s="497"/>
      <c r="L266" s="497"/>
      <c r="M266" s="497"/>
      <c r="N266" s="497"/>
      <c r="O266" s="497"/>
      <c r="P266" s="497"/>
      <c r="Q266" s="497"/>
      <c r="R266" s="472">
        <v>1</v>
      </c>
      <c r="S266" s="498">
        <f t="shared" si="7"/>
        <v>1.4925373134328358E-2</v>
      </c>
      <c r="T266" s="473">
        <v>207</v>
      </c>
      <c r="U266" s="498">
        <f t="shared" si="8"/>
        <v>2.2131936277130334E-2</v>
      </c>
      <c r="V266" s="429"/>
      <c r="W266" s="432"/>
      <c r="X266" s="419"/>
    </row>
    <row r="267" spans="1:25" s="420" customFormat="1" ht="15.75" x14ac:dyDescent="0.25">
      <c r="A267" s="428"/>
      <c r="B267" s="472" t="s">
        <v>156</v>
      </c>
      <c r="C267" s="497"/>
      <c r="D267" s="497"/>
      <c r="E267" s="497"/>
      <c r="F267" s="429"/>
      <c r="G267" s="498"/>
      <c r="H267" s="497"/>
      <c r="I267" s="497"/>
      <c r="J267" s="497"/>
      <c r="K267" s="497"/>
      <c r="L267" s="497"/>
      <c r="M267" s="497"/>
      <c r="N267" s="497"/>
      <c r="O267" s="497"/>
      <c r="P267" s="497"/>
      <c r="Q267" s="497"/>
      <c r="R267" s="472">
        <v>1</v>
      </c>
      <c r="S267" s="498">
        <f t="shared" si="7"/>
        <v>1.4925373134328358E-2</v>
      </c>
      <c r="T267" s="473">
        <v>97</v>
      </c>
      <c r="U267" s="498">
        <f t="shared" si="8"/>
        <v>1.0371003955949962E-2</v>
      </c>
      <c r="V267" s="429"/>
      <c r="W267" s="432"/>
      <c r="X267" s="419"/>
    </row>
    <row r="268" spans="1:25" s="420" customFormat="1" ht="15.75" x14ac:dyDescent="0.25">
      <c r="A268" s="428"/>
      <c r="B268" s="472" t="s">
        <v>157</v>
      </c>
      <c r="C268" s="497"/>
      <c r="D268" s="497"/>
      <c r="E268" s="497"/>
      <c r="F268" s="429"/>
      <c r="G268" s="498"/>
      <c r="H268" s="497"/>
      <c r="I268" s="497"/>
      <c r="J268" s="497"/>
      <c r="K268" s="497"/>
      <c r="L268" s="497"/>
      <c r="M268" s="497"/>
      <c r="N268" s="497"/>
      <c r="O268" s="497"/>
      <c r="P268" s="497"/>
      <c r="Q268" s="497"/>
      <c r="R268" s="472">
        <v>1</v>
      </c>
      <c r="S268" s="498">
        <f t="shared" si="7"/>
        <v>1.4925373134328358E-2</v>
      </c>
      <c r="T268" s="473">
        <v>66</v>
      </c>
      <c r="U268" s="498">
        <f t="shared" si="8"/>
        <v>7.0565593927082223E-3</v>
      </c>
      <c r="V268" s="429"/>
      <c r="W268" s="432"/>
      <c r="X268" s="419"/>
    </row>
    <row r="269" spans="1:25" s="420" customFormat="1" ht="15.75" x14ac:dyDescent="0.25">
      <c r="A269" s="428"/>
      <c r="B269" s="472" t="s">
        <v>158</v>
      </c>
      <c r="C269" s="497"/>
      <c r="D269" s="497"/>
      <c r="E269" s="497"/>
      <c r="F269" s="429"/>
      <c r="G269" s="498"/>
      <c r="H269" s="497"/>
      <c r="I269" s="497"/>
      <c r="J269" s="497"/>
      <c r="K269" s="497"/>
      <c r="L269" s="497"/>
      <c r="M269" s="497"/>
      <c r="N269" s="497"/>
      <c r="O269" s="497"/>
      <c r="P269" s="497"/>
      <c r="Q269" s="497"/>
      <c r="R269" s="472">
        <v>0</v>
      </c>
      <c r="S269" s="498">
        <f t="shared" si="7"/>
        <v>0</v>
      </c>
      <c r="T269" s="473">
        <v>0</v>
      </c>
      <c r="U269" s="498">
        <f t="shared" si="8"/>
        <v>0</v>
      </c>
      <c r="V269" s="429"/>
      <c r="W269" s="432"/>
      <c r="X269" s="419"/>
    </row>
    <row r="270" spans="1:25" s="420" customFormat="1" ht="15.75" x14ac:dyDescent="0.25">
      <c r="A270" s="428"/>
      <c r="B270" s="472" t="s">
        <v>159</v>
      </c>
      <c r="C270" s="497"/>
      <c r="D270" s="497"/>
      <c r="E270" s="497"/>
      <c r="F270" s="429"/>
      <c r="G270" s="498"/>
      <c r="H270" s="497"/>
      <c r="I270" s="497"/>
      <c r="J270" s="497"/>
      <c r="K270" s="497"/>
      <c r="L270" s="497"/>
      <c r="M270" s="497"/>
      <c r="N270" s="497"/>
      <c r="O270" s="497"/>
      <c r="P270" s="497"/>
      <c r="Q270" s="497"/>
      <c r="R270" s="472">
        <v>2</v>
      </c>
      <c r="S270" s="498">
        <f t="shared" si="7"/>
        <v>2.9850746268656716E-2</v>
      </c>
      <c r="T270" s="473">
        <v>727</v>
      </c>
      <c r="U270" s="498">
        <f t="shared" si="8"/>
        <v>7.7729070886346632E-2</v>
      </c>
      <c r="V270" s="429"/>
      <c r="W270" s="432"/>
      <c r="X270" s="419"/>
    </row>
    <row r="271" spans="1:25" s="420" customFormat="1" ht="15.75" x14ac:dyDescent="0.25">
      <c r="A271" s="428"/>
      <c r="B271" s="472" t="s">
        <v>160</v>
      </c>
      <c r="C271" s="497"/>
      <c r="D271" s="497"/>
      <c r="E271" s="497"/>
      <c r="F271" s="429"/>
      <c r="G271" s="498"/>
      <c r="H271" s="497"/>
      <c r="I271" s="497"/>
      <c r="J271" s="497"/>
      <c r="K271" s="497"/>
      <c r="L271" s="497"/>
      <c r="M271" s="497"/>
      <c r="N271" s="497"/>
      <c r="O271" s="497"/>
      <c r="P271" s="497"/>
      <c r="Q271" s="497"/>
      <c r="R271" s="472">
        <v>0</v>
      </c>
      <c r="S271" s="498">
        <f>R271/$R$273</f>
        <v>0</v>
      </c>
      <c r="T271" s="473">
        <v>0</v>
      </c>
      <c r="U271" s="498">
        <f t="shared" si="8"/>
        <v>0</v>
      </c>
      <c r="V271" s="429"/>
      <c r="W271" s="432"/>
      <c r="X271" s="419"/>
    </row>
    <row r="272" spans="1:25" s="420" customFormat="1" ht="15.75" x14ac:dyDescent="0.25">
      <c r="A272" s="428"/>
      <c r="B272" s="472"/>
      <c r="C272" s="497"/>
      <c r="D272" s="497"/>
      <c r="E272" s="497"/>
      <c r="F272" s="429"/>
      <c r="G272" s="498"/>
      <c r="H272" s="497"/>
      <c r="I272" s="497"/>
      <c r="J272" s="497"/>
      <c r="K272" s="497"/>
      <c r="L272" s="497"/>
      <c r="M272" s="497"/>
      <c r="N272" s="497"/>
      <c r="O272" s="497"/>
      <c r="P272" s="497"/>
      <c r="Q272" s="497"/>
      <c r="R272" s="472"/>
      <c r="S272" s="498"/>
      <c r="T272" s="473"/>
      <c r="U272" s="498"/>
      <c r="V272" s="429"/>
      <c r="W272" s="432"/>
      <c r="X272" s="419"/>
    </row>
    <row r="273" spans="1:24" s="420" customFormat="1" ht="15.75" x14ac:dyDescent="0.25">
      <c r="A273" s="428"/>
      <c r="B273" s="429"/>
      <c r="C273" s="429"/>
      <c r="D273" s="429"/>
      <c r="E273" s="429"/>
      <c r="F273" s="429"/>
      <c r="G273" s="429"/>
      <c r="H273" s="501"/>
      <c r="I273" s="501"/>
      <c r="J273" s="501"/>
      <c r="K273" s="501"/>
      <c r="L273" s="501"/>
      <c r="M273" s="501"/>
      <c r="N273" s="501"/>
      <c r="O273" s="501"/>
      <c r="P273" s="501"/>
      <c r="Q273" s="501"/>
      <c r="R273" s="472">
        <f>SUM(R264:R272)</f>
        <v>67</v>
      </c>
      <c r="S273" s="498">
        <f>SUM(S264:S272)</f>
        <v>1.0000000000000002</v>
      </c>
      <c r="T273" s="473">
        <f>SUM(T264:T272)</f>
        <v>9353</v>
      </c>
      <c r="U273" s="498">
        <f>SUM(U264:U272)</f>
        <v>0.99999999999999989</v>
      </c>
      <c r="V273" s="429"/>
      <c r="W273" s="432"/>
      <c r="X273" s="419"/>
    </row>
    <row r="274" spans="1:24" ht="15.75" x14ac:dyDescent="0.25">
      <c r="A274" s="181"/>
      <c r="B274" s="212"/>
      <c r="C274" s="212"/>
      <c r="D274" s="212"/>
      <c r="E274" s="212"/>
      <c r="F274" s="212"/>
      <c r="G274" s="212"/>
      <c r="H274" s="375"/>
      <c r="I274" s="375"/>
      <c r="J274" s="375"/>
      <c r="K274" s="375"/>
      <c r="L274" s="375"/>
      <c r="M274" s="375"/>
      <c r="N274" s="375"/>
      <c r="O274" s="375"/>
      <c r="P274" s="375"/>
      <c r="Q274" s="375"/>
      <c r="R274" s="335"/>
      <c r="S274" s="376"/>
      <c r="T274" s="377"/>
      <c r="U274" s="376"/>
      <c r="V274" s="212"/>
      <c r="W274" s="212"/>
      <c r="X274" s="5"/>
    </row>
    <row r="275" spans="1:24" ht="15.75" x14ac:dyDescent="0.25">
      <c r="A275" s="536"/>
      <c r="B275" s="547" t="s">
        <v>163</v>
      </c>
      <c r="C275" s="540"/>
      <c r="D275" s="540"/>
      <c r="E275" s="540"/>
      <c r="F275" s="540"/>
      <c r="G275" s="540"/>
      <c r="H275" s="567"/>
      <c r="I275" s="567"/>
      <c r="J275" s="567"/>
      <c r="K275" s="567"/>
      <c r="L275" s="567"/>
      <c r="M275" s="567"/>
      <c r="N275" s="567"/>
      <c r="O275" s="567"/>
      <c r="P275" s="567"/>
      <c r="Q275" s="567"/>
      <c r="R275" s="563" t="s">
        <v>102</v>
      </c>
      <c r="S275" s="548" t="s">
        <v>103</v>
      </c>
      <c r="T275" s="563" t="s">
        <v>109</v>
      </c>
      <c r="U275" s="548" t="s">
        <v>103</v>
      </c>
      <c r="V275" s="540"/>
      <c r="W275" s="544"/>
      <c r="X275" s="5"/>
    </row>
    <row r="276" spans="1:24" s="420" customFormat="1" ht="15.75" x14ac:dyDescent="0.25">
      <c r="A276" s="416"/>
      <c r="B276" s="478" t="s">
        <v>88</v>
      </c>
      <c r="C276" s="462"/>
      <c r="D276" s="462"/>
      <c r="E276" s="462"/>
      <c r="F276" s="462"/>
      <c r="G276" s="462"/>
      <c r="H276" s="504"/>
      <c r="I276" s="504"/>
      <c r="J276" s="504"/>
      <c r="K276" s="504"/>
      <c r="L276" s="504"/>
      <c r="M276" s="504"/>
      <c r="N276" s="504"/>
      <c r="O276" s="504"/>
      <c r="P276" s="504"/>
      <c r="Q276" s="504"/>
      <c r="R276" s="478">
        <v>0</v>
      </c>
      <c r="S276" s="500">
        <v>0</v>
      </c>
      <c r="T276" s="499">
        <v>0</v>
      </c>
      <c r="U276" s="500">
        <v>0</v>
      </c>
      <c r="V276" s="462"/>
      <c r="W276" s="462"/>
      <c r="X276" s="419"/>
    </row>
    <row r="277" spans="1:24" s="420" customFormat="1" ht="15.75" x14ac:dyDescent="0.25">
      <c r="A277" s="428"/>
      <c r="B277" s="472" t="s">
        <v>89</v>
      </c>
      <c r="C277" s="429"/>
      <c r="D277" s="429"/>
      <c r="E277" s="429"/>
      <c r="F277" s="429"/>
      <c r="G277" s="429"/>
      <c r="H277" s="501"/>
      <c r="I277" s="501"/>
      <c r="J277" s="501"/>
      <c r="K277" s="501"/>
      <c r="L277" s="501"/>
      <c r="M277" s="501"/>
      <c r="N277" s="501"/>
      <c r="O277" s="501"/>
      <c r="P277" s="501"/>
      <c r="Q277" s="501"/>
      <c r="R277" s="472">
        <v>0</v>
      </c>
      <c r="S277" s="498">
        <v>0</v>
      </c>
      <c r="T277" s="473">
        <v>0</v>
      </c>
      <c r="U277" s="498">
        <v>0</v>
      </c>
      <c r="V277" s="429"/>
      <c r="W277" s="432"/>
      <c r="X277" s="419"/>
    </row>
    <row r="278" spans="1:24" s="420" customFormat="1" ht="15.75" x14ac:dyDescent="0.25">
      <c r="A278" s="428"/>
      <c r="B278" s="472" t="s">
        <v>90</v>
      </c>
      <c r="C278" s="429"/>
      <c r="D278" s="429"/>
      <c r="E278" s="429"/>
      <c r="F278" s="429"/>
      <c r="G278" s="429"/>
      <c r="H278" s="501"/>
      <c r="I278" s="501"/>
      <c r="J278" s="501"/>
      <c r="K278" s="501"/>
      <c r="L278" s="501"/>
      <c r="M278" s="501"/>
      <c r="N278" s="501"/>
      <c r="O278" s="501"/>
      <c r="P278" s="501"/>
      <c r="Q278" s="501"/>
      <c r="R278" s="472">
        <v>0</v>
      </c>
      <c r="S278" s="498">
        <v>0</v>
      </c>
      <c r="T278" s="473">
        <v>0</v>
      </c>
      <c r="U278" s="498">
        <v>0</v>
      </c>
      <c r="V278" s="429"/>
      <c r="W278" s="432"/>
      <c r="X278" s="419"/>
    </row>
    <row r="279" spans="1:24" s="420" customFormat="1" ht="15.75" x14ac:dyDescent="0.25">
      <c r="A279" s="428"/>
      <c r="B279" s="472" t="s">
        <v>156</v>
      </c>
      <c r="C279" s="429"/>
      <c r="D279" s="429"/>
      <c r="E279" s="429"/>
      <c r="F279" s="429"/>
      <c r="G279" s="429"/>
      <c r="H279" s="501"/>
      <c r="I279" s="501"/>
      <c r="J279" s="501"/>
      <c r="K279" s="501"/>
      <c r="L279" s="501"/>
      <c r="M279" s="501"/>
      <c r="N279" s="501"/>
      <c r="O279" s="501"/>
      <c r="P279" s="501"/>
      <c r="Q279" s="501"/>
      <c r="R279" s="472">
        <v>0</v>
      </c>
      <c r="S279" s="498">
        <v>0</v>
      </c>
      <c r="T279" s="473">
        <v>0</v>
      </c>
      <c r="U279" s="498">
        <v>0</v>
      </c>
      <c r="V279" s="429"/>
      <c r="W279" s="432"/>
      <c r="X279" s="419"/>
    </row>
    <row r="280" spans="1:24" s="420" customFormat="1" ht="15.75" x14ac:dyDescent="0.25">
      <c r="A280" s="428"/>
      <c r="B280" s="472" t="s">
        <v>157</v>
      </c>
      <c r="C280" s="429"/>
      <c r="D280" s="429"/>
      <c r="E280" s="429"/>
      <c r="F280" s="429"/>
      <c r="G280" s="429"/>
      <c r="H280" s="501"/>
      <c r="I280" s="501"/>
      <c r="J280" s="501"/>
      <c r="K280" s="501"/>
      <c r="L280" s="501"/>
      <c r="M280" s="501"/>
      <c r="N280" s="501"/>
      <c r="O280" s="501"/>
      <c r="P280" s="501"/>
      <c r="Q280" s="501"/>
      <c r="R280" s="472">
        <v>0</v>
      </c>
      <c r="S280" s="498">
        <v>0</v>
      </c>
      <c r="T280" s="473">
        <v>0</v>
      </c>
      <c r="U280" s="498">
        <v>0</v>
      </c>
      <c r="V280" s="429"/>
      <c r="W280" s="432"/>
      <c r="X280" s="419"/>
    </row>
    <row r="281" spans="1:24" s="420" customFormat="1" ht="15.75" x14ac:dyDescent="0.25">
      <c r="A281" s="428"/>
      <c r="B281" s="472" t="s">
        <v>158</v>
      </c>
      <c r="C281" s="429"/>
      <c r="D281" s="429"/>
      <c r="E281" s="429"/>
      <c r="F281" s="429"/>
      <c r="G281" s="429"/>
      <c r="H281" s="501"/>
      <c r="I281" s="501"/>
      <c r="J281" s="501"/>
      <c r="K281" s="501"/>
      <c r="L281" s="501"/>
      <c r="M281" s="501"/>
      <c r="N281" s="501"/>
      <c r="O281" s="501"/>
      <c r="P281" s="501"/>
      <c r="Q281" s="501"/>
      <c r="R281" s="472">
        <v>0</v>
      </c>
      <c r="S281" s="498">
        <v>0</v>
      </c>
      <c r="T281" s="473">
        <v>0</v>
      </c>
      <c r="U281" s="498">
        <v>0</v>
      </c>
      <c r="V281" s="429"/>
      <c r="W281" s="432"/>
      <c r="X281" s="419"/>
    </row>
    <row r="282" spans="1:24" s="420" customFormat="1" ht="15.75" x14ac:dyDescent="0.25">
      <c r="A282" s="428"/>
      <c r="B282" s="472" t="s">
        <v>159</v>
      </c>
      <c r="C282" s="429"/>
      <c r="D282" s="429"/>
      <c r="E282" s="429"/>
      <c r="F282" s="429"/>
      <c r="G282" s="429"/>
      <c r="H282" s="501"/>
      <c r="I282" s="501"/>
      <c r="J282" s="501"/>
      <c r="K282" s="501"/>
      <c r="L282" s="501"/>
      <c r="M282" s="501"/>
      <c r="N282" s="501"/>
      <c r="O282" s="501"/>
      <c r="P282" s="501"/>
      <c r="Q282" s="501"/>
      <c r="R282" s="472">
        <v>1</v>
      </c>
      <c r="S282" s="498">
        <v>1</v>
      </c>
      <c r="T282" s="473">
        <v>60</v>
      </c>
      <c r="U282" s="498">
        <v>1</v>
      </c>
      <c r="V282" s="429"/>
      <c r="W282" s="432"/>
      <c r="X282" s="419"/>
    </row>
    <row r="283" spans="1:24" s="420" customFormat="1" ht="15.75" x14ac:dyDescent="0.25">
      <c r="A283" s="428"/>
      <c r="B283" s="472" t="s">
        <v>160</v>
      </c>
      <c r="C283" s="429"/>
      <c r="D283" s="429"/>
      <c r="E283" s="429"/>
      <c r="F283" s="429"/>
      <c r="G283" s="429"/>
      <c r="H283" s="501"/>
      <c r="I283" s="501"/>
      <c r="J283" s="501"/>
      <c r="K283" s="501"/>
      <c r="L283" s="501"/>
      <c r="M283" s="501"/>
      <c r="N283" s="501"/>
      <c r="O283" s="501"/>
      <c r="P283" s="501"/>
      <c r="Q283" s="501"/>
      <c r="R283" s="472">
        <v>0</v>
      </c>
      <c r="S283" s="498">
        <v>0</v>
      </c>
      <c r="T283" s="473">
        <v>0</v>
      </c>
      <c r="U283" s="498">
        <v>0</v>
      </c>
      <c r="V283" s="429"/>
      <c r="W283" s="432"/>
      <c r="X283" s="419"/>
    </row>
    <row r="284" spans="1:24" s="420" customFormat="1" ht="15.75" x14ac:dyDescent="0.25">
      <c r="A284" s="428"/>
      <c r="B284" s="472"/>
      <c r="C284" s="429"/>
      <c r="D284" s="429"/>
      <c r="E284" s="429"/>
      <c r="F284" s="429"/>
      <c r="G284" s="429"/>
      <c r="H284" s="501"/>
      <c r="I284" s="501"/>
      <c r="J284" s="501"/>
      <c r="K284" s="501"/>
      <c r="L284" s="501"/>
      <c r="M284" s="501"/>
      <c r="N284" s="501"/>
      <c r="O284" s="501"/>
      <c r="P284" s="501"/>
      <c r="Q284" s="501"/>
      <c r="R284" s="472"/>
      <c r="S284" s="498"/>
      <c r="T284" s="473"/>
      <c r="U284" s="498"/>
      <c r="V284" s="429"/>
      <c r="W284" s="432"/>
      <c r="X284" s="419"/>
    </row>
    <row r="285" spans="1:24" s="420" customFormat="1" ht="15.75" x14ac:dyDescent="0.25">
      <c r="A285" s="428"/>
      <c r="B285" s="429" t="s">
        <v>114</v>
      </c>
      <c r="C285" s="429"/>
      <c r="D285" s="429"/>
      <c r="E285" s="429"/>
      <c r="F285" s="429"/>
      <c r="G285" s="429"/>
      <c r="H285" s="501"/>
      <c r="I285" s="501"/>
      <c r="J285" s="501"/>
      <c r="K285" s="501"/>
      <c r="L285" s="501"/>
      <c r="M285" s="501"/>
      <c r="N285" s="501"/>
      <c r="O285" s="501"/>
      <c r="P285" s="501"/>
      <c r="Q285" s="501"/>
      <c r="R285" s="472">
        <f>SUM(R276:R283)</f>
        <v>1</v>
      </c>
      <c r="S285" s="498">
        <f>SUM(S276:S283)</f>
        <v>1</v>
      </c>
      <c r="T285" s="473">
        <f>SUM(T276:T283)</f>
        <v>60</v>
      </c>
      <c r="U285" s="498">
        <f>SUM(U276:U283)</f>
        <v>1</v>
      </c>
      <c r="V285" s="429"/>
      <c r="W285" s="432"/>
      <c r="X285" s="419"/>
    </row>
    <row r="286" spans="1:24" s="420" customFormat="1" ht="15.75" x14ac:dyDescent="0.25">
      <c r="A286" s="428"/>
      <c r="B286" s="429"/>
      <c r="C286" s="429"/>
      <c r="D286" s="429"/>
      <c r="E286" s="429"/>
      <c r="F286" s="429"/>
      <c r="G286" s="429"/>
      <c r="H286" s="501"/>
      <c r="I286" s="501"/>
      <c r="J286" s="501"/>
      <c r="K286" s="501"/>
      <c r="L286" s="501"/>
      <c r="M286" s="501"/>
      <c r="N286" s="501"/>
      <c r="O286" s="501"/>
      <c r="P286" s="501"/>
      <c r="Q286" s="501"/>
      <c r="R286" s="472"/>
      <c r="S286" s="498"/>
      <c r="T286" s="473"/>
      <c r="U286" s="498"/>
      <c r="V286" s="429"/>
      <c r="W286" s="432"/>
      <c r="X286" s="419"/>
    </row>
    <row r="287" spans="1:24" s="420" customFormat="1" ht="15.75" x14ac:dyDescent="0.25">
      <c r="A287" s="428"/>
      <c r="B287" s="435" t="s">
        <v>164</v>
      </c>
      <c r="C287" s="429"/>
      <c r="D287" s="429"/>
      <c r="E287" s="429"/>
      <c r="F287" s="429"/>
      <c r="G287" s="429"/>
      <c r="H287" s="501"/>
      <c r="I287" s="501"/>
      <c r="J287" s="501"/>
      <c r="K287" s="501"/>
      <c r="L287" s="501"/>
      <c r="M287" s="501"/>
      <c r="N287" s="501"/>
      <c r="O287" s="501"/>
      <c r="P287" s="501"/>
      <c r="Q287" s="501"/>
      <c r="R287" s="502">
        <f>R285+R273+R261</f>
        <v>4486</v>
      </c>
      <c r="S287" s="498"/>
      <c r="T287" s="503">
        <f>+T285+T273+T261</f>
        <v>614618</v>
      </c>
      <c r="U287" s="498"/>
      <c r="V287" s="429"/>
      <c r="W287" s="432"/>
      <c r="X287" s="419"/>
    </row>
    <row r="288" spans="1:24" s="420" customFormat="1" ht="15.75" x14ac:dyDescent="0.25">
      <c r="A288" s="416"/>
      <c r="B288" s="462"/>
      <c r="C288" s="462"/>
      <c r="D288" s="462"/>
      <c r="E288" s="462"/>
      <c r="F288" s="462"/>
      <c r="G288" s="462"/>
      <c r="H288" s="504"/>
      <c r="I288" s="504"/>
      <c r="J288" s="504"/>
      <c r="K288" s="504"/>
      <c r="L288" s="504"/>
      <c r="M288" s="504"/>
      <c r="N288" s="504"/>
      <c r="O288" s="504"/>
      <c r="P288" s="504"/>
      <c r="Q288" s="504"/>
      <c r="R288" s="504"/>
      <c r="S288" s="504"/>
      <c r="T288" s="499"/>
      <c r="U288" s="504"/>
      <c r="V288" s="462"/>
      <c r="W288" s="462"/>
      <c r="X288" s="419"/>
    </row>
    <row r="289" spans="1:24" s="420" customFormat="1" ht="15.75" x14ac:dyDescent="0.25">
      <c r="A289" s="416"/>
      <c r="B289" s="417"/>
      <c r="C289" s="417"/>
      <c r="D289" s="417"/>
      <c r="E289" s="417"/>
      <c r="F289" s="417"/>
      <c r="G289" s="417"/>
      <c r="H289" s="505"/>
      <c r="I289" s="505"/>
      <c r="J289" s="505"/>
      <c r="K289" s="505"/>
      <c r="L289" s="505"/>
      <c r="M289" s="505"/>
      <c r="N289" s="505"/>
      <c r="O289" s="505"/>
      <c r="P289" s="505"/>
      <c r="Q289" s="505"/>
      <c r="R289" s="505"/>
      <c r="S289" s="505"/>
      <c r="T289" s="506"/>
      <c r="U289" s="505"/>
      <c r="V289" s="417"/>
      <c r="W289" s="417"/>
      <c r="X289" s="419"/>
    </row>
    <row r="290" spans="1:24" s="420" customFormat="1" ht="15.75" x14ac:dyDescent="0.25">
      <c r="A290" s="507"/>
      <c r="B290" s="415" t="s">
        <v>91</v>
      </c>
      <c r="C290" s="417"/>
      <c r="D290" s="417"/>
      <c r="E290" s="417"/>
      <c r="F290" s="423" t="s">
        <v>97</v>
      </c>
      <c r="G290" s="417"/>
      <c r="H290" s="415" t="s">
        <v>99</v>
      </c>
      <c r="I290" s="415"/>
      <c r="J290" s="415"/>
      <c r="K290" s="427"/>
      <c r="L290" s="427"/>
      <c r="M290" s="427"/>
      <c r="N290" s="427"/>
      <c r="O290" s="427"/>
      <c r="P290" s="427"/>
      <c r="Q290" s="427"/>
      <c r="R290" s="427"/>
      <c r="S290" s="427"/>
      <c r="T290" s="427"/>
      <c r="U290" s="427"/>
      <c r="V290" s="427"/>
      <c r="W290" s="427"/>
      <c r="X290" s="419"/>
    </row>
    <row r="291" spans="1:24" s="420" customFormat="1" ht="15.75" x14ac:dyDescent="0.25">
      <c r="A291" s="507"/>
      <c r="B291" s="427"/>
      <c r="C291" s="417"/>
      <c r="D291" s="417"/>
      <c r="E291" s="417"/>
      <c r="F291" s="417"/>
      <c r="G291" s="417"/>
      <c r="H291" s="417"/>
      <c r="I291" s="417"/>
      <c r="J291" s="417"/>
      <c r="K291" s="427"/>
      <c r="L291" s="427"/>
      <c r="M291" s="427"/>
      <c r="N291" s="427"/>
      <c r="O291" s="427"/>
      <c r="P291" s="427"/>
      <c r="Q291" s="427"/>
      <c r="R291" s="427"/>
      <c r="S291" s="427"/>
      <c r="T291" s="427"/>
      <c r="U291" s="427"/>
      <c r="V291" s="427"/>
      <c r="W291" s="427"/>
      <c r="X291" s="419"/>
    </row>
    <row r="292" spans="1:24" s="420" customFormat="1" ht="15.75" x14ac:dyDescent="0.25">
      <c r="A292" s="507"/>
      <c r="B292" s="415" t="s">
        <v>319</v>
      </c>
      <c r="C292" s="415"/>
      <c r="D292" s="415"/>
      <c r="E292" s="415"/>
      <c r="F292" s="508" t="s">
        <v>266</v>
      </c>
      <c r="G292" s="415"/>
      <c r="H292" s="415" t="s">
        <v>267</v>
      </c>
      <c r="I292" s="415"/>
      <c r="J292" s="415"/>
      <c r="K292" s="427"/>
      <c r="L292" s="427"/>
      <c r="M292" s="427"/>
      <c r="N292" s="427"/>
      <c r="O292" s="427"/>
      <c r="P292" s="427"/>
      <c r="Q292" s="427"/>
      <c r="R292" s="427"/>
      <c r="S292" s="427"/>
      <c r="T292" s="427"/>
      <c r="U292" s="427"/>
      <c r="V292" s="427"/>
      <c r="W292" s="427"/>
      <c r="X292" s="419"/>
    </row>
    <row r="293" spans="1:24" s="420" customFormat="1" ht="15.75" x14ac:dyDescent="0.25">
      <c r="A293" s="507"/>
      <c r="B293" s="415" t="s">
        <v>320</v>
      </c>
      <c r="C293" s="415"/>
      <c r="D293" s="415"/>
      <c r="E293" s="415"/>
      <c r="F293" s="508" t="s">
        <v>147</v>
      </c>
      <c r="G293" s="415"/>
      <c r="H293" s="415" t="s">
        <v>153</v>
      </c>
      <c r="I293" s="415"/>
      <c r="J293" s="415"/>
      <c r="K293" s="427"/>
      <c r="L293" s="427"/>
      <c r="M293" s="427"/>
      <c r="N293" s="427"/>
      <c r="O293" s="427"/>
      <c r="P293" s="427"/>
      <c r="Q293" s="427"/>
      <c r="R293" s="427"/>
      <c r="S293" s="427"/>
      <c r="T293" s="427"/>
      <c r="U293" s="427"/>
      <c r="V293" s="427"/>
      <c r="W293" s="427"/>
      <c r="X293" s="419"/>
    </row>
    <row r="294" spans="1:24" s="420" customFormat="1" ht="15.75" x14ac:dyDescent="0.25">
      <c r="A294" s="507"/>
      <c r="B294" s="415"/>
      <c r="C294" s="415"/>
      <c r="D294" s="415"/>
      <c r="E294" s="415"/>
      <c r="F294" s="415"/>
      <c r="G294" s="509"/>
      <c r="H294" s="427"/>
      <c r="I294" s="427"/>
      <c r="J294" s="427"/>
      <c r="K294" s="427"/>
      <c r="L294" s="427"/>
      <c r="M294" s="427"/>
      <c r="N294" s="427"/>
      <c r="O294" s="427"/>
      <c r="P294" s="427"/>
      <c r="Q294" s="427"/>
      <c r="R294" s="427"/>
      <c r="S294" s="427"/>
      <c r="T294" s="427"/>
      <c r="U294" s="427"/>
      <c r="V294" s="427"/>
      <c r="W294" s="427"/>
      <c r="X294" s="419"/>
    </row>
    <row r="295" spans="1:24" s="420" customFormat="1" ht="15.75" x14ac:dyDescent="0.25">
      <c r="A295" s="507"/>
      <c r="B295" s="415"/>
      <c r="C295" s="415"/>
      <c r="D295" s="415"/>
      <c r="E295" s="415"/>
      <c r="F295" s="415"/>
      <c r="G295" s="509"/>
      <c r="H295" s="427"/>
      <c r="I295" s="427"/>
      <c r="J295" s="427"/>
      <c r="K295" s="427"/>
      <c r="L295" s="427"/>
      <c r="M295" s="427"/>
      <c r="N295" s="427"/>
      <c r="O295" s="427"/>
      <c r="P295" s="427"/>
      <c r="Q295" s="427"/>
      <c r="R295" s="427"/>
      <c r="S295" s="427"/>
      <c r="T295" s="427"/>
      <c r="U295" s="427"/>
      <c r="V295" s="427"/>
      <c r="W295" s="427"/>
      <c r="X295" s="419"/>
    </row>
    <row r="296" spans="1:24" s="420" customFormat="1" ht="19.5" thickBot="1" x14ac:dyDescent="0.35">
      <c r="A296" s="507"/>
      <c r="B296" s="510" t="str">
        <f>B201</f>
        <v>PM15 INVESTOR REPORT QUARTER ENDING MAY 2018</v>
      </c>
      <c r="C296" s="415"/>
      <c r="D296" s="415"/>
      <c r="E296" s="415"/>
      <c r="F296" s="415"/>
      <c r="G296" s="509"/>
      <c r="H296" s="427"/>
      <c r="I296" s="427"/>
      <c r="J296" s="427"/>
      <c r="K296" s="427"/>
      <c r="L296" s="427"/>
      <c r="M296" s="427"/>
      <c r="N296" s="427"/>
      <c r="O296" s="427"/>
      <c r="P296" s="427"/>
      <c r="Q296" s="427"/>
      <c r="R296" s="427"/>
      <c r="S296" s="427"/>
      <c r="T296" s="427"/>
      <c r="U296" s="427"/>
      <c r="V296" s="427"/>
      <c r="W296" s="427"/>
      <c r="X296" s="419"/>
    </row>
    <row r="297" spans="1:24" x14ac:dyDescent="0.2">
      <c r="A297" s="100"/>
      <c r="B297" s="100"/>
      <c r="C297" s="100"/>
      <c r="D297" s="100"/>
      <c r="E297" s="100"/>
      <c r="F297" s="100"/>
      <c r="G297" s="100"/>
      <c r="H297" s="100"/>
      <c r="I297" s="100"/>
      <c r="J297" s="100"/>
      <c r="K297" s="100"/>
      <c r="L297" s="100"/>
      <c r="M297" s="100"/>
      <c r="N297" s="100"/>
      <c r="O297" s="100"/>
      <c r="P297" s="100"/>
      <c r="Q297" s="100"/>
      <c r="R297" s="100"/>
      <c r="S297" s="100"/>
      <c r="T297" s="100"/>
      <c r="U297" s="100"/>
      <c r="V297" s="100"/>
      <c r="W297" s="100"/>
    </row>
  </sheetData>
  <hyperlinks>
    <hyperlink ref="I9" r:id="rId1" xr:uid="{00000000-0004-0000-2A00-000000000000}"/>
    <hyperlink ref="P237" r:id="rId2" xr:uid="{00000000-0004-0000-2A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5" max="14" man="1"/>
    <brk id="201" max="14" man="1"/>
  </rowBreaks>
  <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6"/>
  </sheetPr>
  <dimension ref="A1:IV297"/>
  <sheetViews>
    <sheetView showGridLines="0" showOutlineSymbols="0" zoomScale="70" zoomScaleNormal="70" workbookViewId="0"/>
  </sheetViews>
  <sheetFormatPr defaultColWidth="9.6640625" defaultRowHeight="15" x14ac:dyDescent="0.2"/>
  <cols>
    <col min="1" max="1" width="4" style="1" customWidth="1"/>
    <col min="2" max="2" width="71.21875" style="1" customWidth="1"/>
    <col min="3" max="3" width="2.21875" style="1" customWidth="1"/>
    <col min="4" max="4" width="19.33203125" style="1" customWidth="1"/>
    <col min="5" max="5" width="2.21875" style="1" customWidth="1"/>
    <col min="6" max="6" width="25.109375" style="1" customWidth="1"/>
    <col min="7" max="7" width="2.21875" style="1" customWidth="1"/>
    <col min="8" max="8" width="16.21875" style="1" customWidth="1"/>
    <col min="9" max="9" width="2.88671875" style="1" customWidth="1"/>
    <col min="10" max="10" width="16.21875" style="1" customWidth="1"/>
    <col min="11" max="11" width="2.21875" style="1" customWidth="1"/>
    <col min="12" max="12" width="17.88671875" style="1" customWidth="1"/>
    <col min="13" max="13" width="2.33203125" style="1" customWidth="1"/>
    <col min="14" max="14" width="14.88671875" style="1" customWidth="1"/>
    <col min="15" max="15" width="2.33203125" style="1" customWidth="1"/>
    <col min="16" max="16" width="15.5546875" style="1" customWidth="1"/>
    <col min="17" max="17" width="2.21875" style="1" customWidth="1"/>
    <col min="18" max="18" width="15.5546875" style="1" customWidth="1"/>
    <col min="19" max="20" width="12.6640625" style="1" customWidth="1"/>
    <col min="21" max="21" width="7.77734375" style="1" customWidth="1"/>
    <col min="22" max="22" width="14.6640625" style="1" customWidth="1"/>
    <col min="23" max="23" width="11.77734375" style="1" customWidth="1"/>
    <col min="24" max="16384" width="9.6640625" style="1"/>
  </cols>
  <sheetData>
    <row r="1" spans="1:24" ht="20.25" x14ac:dyDescent="0.3">
      <c r="A1" s="179"/>
      <c r="B1" s="413" t="s">
        <v>237</v>
      </c>
      <c r="C1" s="180"/>
      <c r="D1" s="180"/>
      <c r="E1" s="180"/>
      <c r="F1" s="180"/>
      <c r="G1" s="180"/>
      <c r="H1" s="180"/>
      <c r="I1" s="180"/>
      <c r="J1" s="180"/>
      <c r="K1" s="180"/>
      <c r="L1" s="180"/>
      <c r="M1" s="180"/>
      <c r="N1" s="180"/>
      <c r="O1" s="180"/>
      <c r="P1" s="180"/>
      <c r="Q1" s="180"/>
      <c r="R1" s="180"/>
      <c r="S1" s="180"/>
      <c r="T1" s="180"/>
      <c r="U1" s="180"/>
      <c r="V1" s="180"/>
      <c r="W1" s="180"/>
      <c r="X1" s="5"/>
    </row>
    <row r="2" spans="1:24" ht="15.75" x14ac:dyDescent="0.25">
      <c r="A2" s="181"/>
      <c r="B2" s="182"/>
      <c r="C2" s="183"/>
      <c r="D2" s="183"/>
      <c r="E2" s="183"/>
      <c r="F2" s="183"/>
      <c r="G2" s="183"/>
      <c r="H2" s="183"/>
      <c r="I2" s="183"/>
      <c r="J2" s="183"/>
      <c r="K2" s="183"/>
      <c r="L2" s="183"/>
      <c r="M2" s="183"/>
      <c r="N2" s="183"/>
      <c r="O2" s="183"/>
      <c r="P2" s="183"/>
      <c r="Q2" s="183"/>
      <c r="R2" s="183"/>
      <c r="S2" s="183"/>
      <c r="T2" s="183"/>
      <c r="U2" s="183"/>
      <c r="V2" s="183"/>
      <c r="W2" s="183"/>
      <c r="X2" s="5"/>
    </row>
    <row r="3" spans="1:24" ht="15.75" x14ac:dyDescent="0.25">
      <c r="A3" s="184"/>
      <c r="B3" s="511" t="s">
        <v>238</v>
      </c>
      <c r="C3" s="183"/>
      <c r="D3" s="183"/>
      <c r="E3" s="183"/>
      <c r="F3" s="183"/>
      <c r="G3" s="183"/>
      <c r="H3" s="183"/>
      <c r="I3" s="183"/>
      <c r="J3" s="183"/>
      <c r="K3" s="183"/>
      <c r="L3" s="183"/>
      <c r="M3" s="183"/>
      <c r="N3" s="183"/>
      <c r="O3" s="183"/>
      <c r="P3" s="183"/>
      <c r="Q3" s="183"/>
      <c r="R3" s="183"/>
      <c r="S3" s="183"/>
      <c r="T3" s="183"/>
      <c r="U3" s="183"/>
      <c r="V3" s="183"/>
      <c r="W3" s="183"/>
      <c r="X3" s="5"/>
    </row>
    <row r="4" spans="1:24" ht="15.75" x14ac:dyDescent="0.25">
      <c r="A4" s="181"/>
      <c r="B4" s="182"/>
      <c r="C4" s="183"/>
      <c r="D4" s="183"/>
      <c r="E4" s="183"/>
      <c r="F4" s="183"/>
      <c r="G4" s="183"/>
      <c r="H4" s="183"/>
      <c r="I4" s="183"/>
      <c r="J4" s="183"/>
      <c r="K4" s="183"/>
      <c r="L4" s="183"/>
      <c r="M4" s="183"/>
      <c r="N4" s="183"/>
      <c r="O4" s="183"/>
      <c r="P4" s="183"/>
      <c r="Q4" s="183"/>
      <c r="R4" s="183"/>
      <c r="S4" s="183"/>
      <c r="T4" s="183"/>
      <c r="U4" s="183"/>
      <c r="V4" s="183"/>
      <c r="W4" s="183"/>
      <c r="X4" s="5"/>
    </row>
    <row r="5" spans="1:24" ht="15.75" x14ac:dyDescent="0.25">
      <c r="A5" s="181"/>
      <c r="B5" s="414" t="s">
        <v>137</v>
      </c>
      <c r="C5" s="183"/>
      <c r="D5" s="183"/>
      <c r="E5" s="183"/>
      <c r="F5" s="183"/>
      <c r="G5" s="183"/>
      <c r="H5" s="183"/>
      <c r="I5" s="183"/>
      <c r="J5" s="183"/>
      <c r="K5" s="183"/>
      <c r="L5" s="183"/>
      <c r="M5" s="183"/>
      <c r="N5" s="183"/>
      <c r="O5" s="183"/>
      <c r="P5" s="183"/>
      <c r="Q5" s="183"/>
      <c r="R5" s="183"/>
      <c r="S5" s="183"/>
      <c r="T5" s="183"/>
      <c r="U5" s="183"/>
      <c r="V5" s="183"/>
      <c r="W5" s="183"/>
      <c r="X5" s="5"/>
    </row>
    <row r="6" spans="1:24" ht="15.75" x14ac:dyDescent="0.25">
      <c r="A6" s="181"/>
      <c r="B6" s="414" t="s">
        <v>139</v>
      </c>
      <c r="C6" s="183"/>
      <c r="D6" s="183"/>
      <c r="E6" s="183"/>
      <c r="F6" s="183"/>
      <c r="G6" s="183"/>
      <c r="H6" s="183"/>
      <c r="I6" s="183"/>
      <c r="J6" s="183"/>
      <c r="K6" s="183"/>
      <c r="L6" s="183"/>
      <c r="M6" s="183"/>
      <c r="N6" s="183"/>
      <c r="O6" s="183"/>
      <c r="P6" s="183"/>
      <c r="Q6" s="183"/>
      <c r="R6" s="183"/>
      <c r="S6" s="183"/>
      <c r="T6" s="183"/>
      <c r="U6" s="183"/>
      <c r="V6" s="183"/>
      <c r="W6" s="183"/>
      <c r="X6" s="5"/>
    </row>
    <row r="7" spans="1:24" ht="15.75" x14ac:dyDescent="0.25">
      <c r="A7" s="181"/>
      <c r="B7" s="414" t="s">
        <v>138</v>
      </c>
      <c r="C7" s="183"/>
      <c r="D7" s="183"/>
      <c r="E7" s="183"/>
      <c r="F7" s="183"/>
      <c r="G7" s="183"/>
      <c r="H7" s="183"/>
      <c r="I7" s="183"/>
      <c r="J7" s="183"/>
      <c r="K7" s="183"/>
      <c r="L7" s="183"/>
      <c r="M7" s="183"/>
      <c r="N7" s="183"/>
      <c r="O7" s="183"/>
      <c r="P7" s="183"/>
      <c r="Q7" s="183"/>
      <c r="R7" s="183"/>
      <c r="S7" s="183"/>
      <c r="T7" s="183"/>
      <c r="U7" s="183"/>
      <c r="V7" s="183"/>
      <c r="W7" s="183"/>
      <c r="X7" s="5"/>
    </row>
    <row r="8" spans="1:24" ht="15.75" x14ac:dyDescent="0.25">
      <c r="A8" s="181"/>
      <c r="B8" s="186"/>
      <c r="C8" s="183"/>
      <c r="D8" s="183"/>
      <c r="E8" s="183"/>
      <c r="F8" s="183"/>
      <c r="G8" s="183"/>
      <c r="H8" s="183"/>
      <c r="I8" s="183"/>
      <c r="J8" s="183"/>
      <c r="K8" s="183"/>
      <c r="L8" s="183"/>
      <c r="M8" s="183"/>
      <c r="N8" s="183"/>
      <c r="O8" s="183"/>
      <c r="P8" s="183"/>
      <c r="Q8" s="183"/>
      <c r="R8" s="183"/>
      <c r="S8" s="183"/>
      <c r="T8" s="183"/>
      <c r="U8" s="183"/>
      <c r="V8" s="183"/>
      <c r="W8" s="183"/>
      <c r="X8" s="5"/>
    </row>
    <row r="9" spans="1:24" ht="18.75" x14ac:dyDescent="0.3">
      <c r="A9" s="181"/>
      <c r="B9" s="512" t="s">
        <v>166</v>
      </c>
      <c r="C9" s="183"/>
      <c r="D9" s="183"/>
      <c r="E9" s="183"/>
      <c r="F9" s="183"/>
      <c r="G9" s="183"/>
      <c r="H9" s="183"/>
      <c r="I9" s="513" t="s">
        <v>341</v>
      </c>
      <c r="J9" s="183"/>
      <c r="K9" s="183"/>
      <c r="L9" s="188"/>
      <c r="M9" s="183"/>
      <c r="N9" s="188"/>
      <c r="O9" s="183"/>
      <c r="P9" s="183"/>
      <c r="Q9" s="183"/>
      <c r="R9" s="183"/>
      <c r="S9" s="183"/>
      <c r="T9" s="183"/>
      <c r="U9" s="183"/>
      <c r="V9" s="183"/>
      <c r="W9" s="183"/>
      <c r="X9" s="5"/>
    </row>
    <row r="10" spans="1:24" ht="15.75" x14ac:dyDescent="0.25">
      <c r="A10" s="181"/>
      <c r="B10" s="186"/>
      <c r="C10" s="189"/>
      <c r="D10" s="189"/>
      <c r="E10" s="189"/>
      <c r="F10" s="183"/>
      <c r="G10" s="183"/>
      <c r="H10" s="183"/>
      <c r="I10" s="183"/>
      <c r="J10" s="183"/>
      <c r="K10" s="183"/>
      <c r="L10" s="183"/>
      <c r="M10" s="183"/>
      <c r="N10" s="183"/>
      <c r="O10" s="183"/>
      <c r="P10" s="183"/>
      <c r="Q10" s="183"/>
      <c r="R10" s="183"/>
      <c r="S10" s="183"/>
      <c r="T10" s="183"/>
      <c r="U10" s="183"/>
      <c r="V10" s="183"/>
      <c r="W10" s="183"/>
      <c r="X10" s="5"/>
    </row>
    <row r="11" spans="1:24" ht="15.75" x14ac:dyDescent="0.25">
      <c r="A11" s="181"/>
      <c r="B11" s="415" t="s">
        <v>0</v>
      </c>
      <c r="C11" s="183"/>
      <c r="D11" s="183"/>
      <c r="E11" s="183"/>
      <c r="F11" s="183"/>
      <c r="G11" s="183"/>
      <c r="H11" s="183"/>
      <c r="I11" s="183"/>
      <c r="J11" s="183"/>
      <c r="K11" s="183"/>
      <c r="L11" s="183"/>
      <c r="M11" s="183"/>
      <c r="N11" s="183"/>
      <c r="O11" s="183"/>
      <c r="P11" s="183"/>
      <c r="Q11" s="183"/>
      <c r="R11" s="183"/>
      <c r="S11" s="183"/>
      <c r="T11" s="183"/>
      <c r="U11" s="183"/>
      <c r="V11" s="183"/>
      <c r="W11" s="183"/>
      <c r="X11" s="5"/>
    </row>
    <row r="12" spans="1:24" ht="16.5" thickBot="1" x14ac:dyDescent="0.3">
      <c r="A12" s="181"/>
      <c r="B12" s="189"/>
      <c r="C12" s="183"/>
      <c r="D12" s="183"/>
      <c r="E12" s="183"/>
      <c r="F12" s="183"/>
      <c r="G12" s="183"/>
      <c r="H12" s="183"/>
      <c r="I12" s="183"/>
      <c r="J12" s="183"/>
      <c r="K12" s="183"/>
      <c r="L12" s="183"/>
      <c r="M12" s="183"/>
      <c r="N12" s="183"/>
      <c r="O12" s="183"/>
      <c r="P12" s="183"/>
      <c r="Q12" s="183"/>
      <c r="R12" s="183"/>
      <c r="S12" s="183"/>
      <c r="T12" s="183"/>
      <c r="U12" s="183"/>
      <c r="V12" s="183"/>
      <c r="W12" s="183"/>
      <c r="X12" s="5"/>
    </row>
    <row r="13" spans="1:24" ht="15.75" x14ac:dyDescent="0.25">
      <c r="A13" s="179"/>
      <c r="B13" s="180"/>
      <c r="C13" s="180"/>
      <c r="D13" s="180"/>
      <c r="E13" s="180"/>
      <c r="F13" s="180"/>
      <c r="G13" s="180"/>
      <c r="H13" s="180"/>
      <c r="I13" s="180"/>
      <c r="J13" s="180"/>
      <c r="K13" s="180"/>
      <c r="L13" s="180"/>
      <c r="M13" s="180"/>
      <c r="N13" s="180"/>
      <c r="O13" s="180"/>
      <c r="P13" s="180"/>
      <c r="Q13" s="180"/>
      <c r="R13" s="180"/>
      <c r="S13" s="180"/>
      <c r="T13" s="180"/>
      <c r="U13" s="180"/>
      <c r="V13" s="180"/>
      <c r="W13" s="180"/>
      <c r="X13" s="5"/>
    </row>
    <row r="14" spans="1:24" s="420" customFormat="1" ht="15.75" x14ac:dyDescent="0.25">
      <c r="A14" s="416"/>
      <c r="B14" s="415" t="s">
        <v>1</v>
      </c>
      <c r="C14" s="417"/>
      <c r="D14" s="417"/>
      <c r="E14" s="417"/>
      <c r="F14" s="417"/>
      <c r="G14" s="417"/>
      <c r="H14" s="417"/>
      <c r="I14" s="417"/>
      <c r="J14" s="417"/>
      <c r="K14" s="417"/>
      <c r="L14" s="417"/>
      <c r="M14" s="417"/>
      <c r="N14" s="417"/>
      <c r="O14" s="417"/>
      <c r="P14" s="417"/>
      <c r="Q14" s="417"/>
      <c r="R14" s="417"/>
      <c r="S14" s="417"/>
      <c r="T14" s="417"/>
      <c r="U14" s="417"/>
      <c r="V14" s="418" t="s">
        <v>239</v>
      </c>
      <c r="W14" s="417"/>
      <c r="X14" s="419"/>
    </row>
    <row r="15" spans="1:24" s="420" customFormat="1" ht="15.75" x14ac:dyDescent="0.25">
      <c r="A15" s="416"/>
      <c r="B15" s="415" t="s">
        <v>2</v>
      </c>
      <c r="C15" s="417"/>
      <c r="D15" s="417"/>
      <c r="E15" s="417"/>
      <c r="F15" s="417"/>
      <c r="G15" s="417"/>
      <c r="H15" s="421"/>
      <c r="I15" s="421"/>
      <c r="J15" s="421"/>
      <c r="K15" s="421"/>
      <c r="L15" s="421"/>
      <c r="M15" s="421"/>
      <c r="N15" s="421"/>
      <c r="O15" s="421"/>
      <c r="P15" s="421"/>
      <c r="Q15" s="421"/>
      <c r="R15" s="421" t="s">
        <v>104</v>
      </c>
      <c r="S15" s="422">
        <v>0.47189999999999999</v>
      </c>
      <c r="T15" s="423" t="s">
        <v>140</v>
      </c>
      <c r="U15" s="422">
        <v>0.52810000000000001</v>
      </c>
      <c r="V15" s="418"/>
      <c r="W15" s="417"/>
      <c r="X15" s="419"/>
    </row>
    <row r="16" spans="1:24" s="420" customFormat="1" ht="15.75" x14ac:dyDescent="0.25">
      <c r="A16" s="416"/>
      <c r="B16" s="415" t="s">
        <v>3</v>
      </c>
      <c r="C16" s="417"/>
      <c r="D16" s="417"/>
      <c r="E16" s="417"/>
      <c r="F16" s="417"/>
      <c r="G16" s="417"/>
      <c r="H16" s="421"/>
      <c r="I16" s="421"/>
      <c r="J16" s="421"/>
      <c r="K16" s="421"/>
      <c r="L16" s="421"/>
      <c r="M16" s="421"/>
      <c r="N16" s="421"/>
      <c r="O16" s="421"/>
      <c r="P16" s="421"/>
      <c r="Q16" s="421"/>
      <c r="R16" s="421" t="s">
        <v>104</v>
      </c>
      <c r="S16" s="422">
        <v>0.5736</v>
      </c>
      <c r="T16" s="423" t="s">
        <v>140</v>
      </c>
      <c r="U16" s="422">
        <v>0.4264</v>
      </c>
      <c r="V16" s="418"/>
      <c r="W16" s="417"/>
      <c r="X16" s="419"/>
    </row>
    <row r="17" spans="1:24" s="420" customFormat="1" ht="15.75" x14ac:dyDescent="0.25">
      <c r="A17" s="416"/>
      <c r="B17" s="415" t="s">
        <v>4</v>
      </c>
      <c r="C17" s="417"/>
      <c r="D17" s="417"/>
      <c r="E17" s="417"/>
      <c r="F17" s="417"/>
      <c r="G17" s="417"/>
      <c r="H17" s="417"/>
      <c r="I17" s="417"/>
      <c r="J17" s="417"/>
      <c r="K17" s="417"/>
      <c r="L17" s="417"/>
      <c r="M17" s="417"/>
      <c r="N17" s="417"/>
      <c r="O17" s="417"/>
      <c r="P17" s="417"/>
      <c r="Q17" s="417"/>
      <c r="R17" s="417"/>
      <c r="S17" s="417"/>
      <c r="T17" s="417"/>
      <c r="U17" s="417"/>
      <c r="V17" s="424">
        <v>39282</v>
      </c>
      <c r="W17" s="417"/>
      <c r="X17" s="419"/>
    </row>
    <row r="18" spans="1:24" s="420" customFormat="1" ht="15.75" x14ac:dyDescent="0.25">
      <c r="A18" s="416"/>
      <c r="B18" s="415" t="s">
        <v>5</v>
      </c>
      <c r="C18" s="417"/>
      <c r="D18" s="417"/>
      <c r="E18" s="417"/>
      <c r="F18" s="417"/>
      <c r="G18" s="417"/>
      <c r="H18" s="417"/>
      <c r="I18" s="417"/>
      <c r="J18" s="417"/>
      <c r="K18" s="417"/>
      <c r="L18" s="417"/>
      <c r="M18" s="417"/>
      <c r="N18" s="417"/>
      <c r="O18" s="417"/>
      <c r="P18" s="417"/>
      <c r="Q18" s="417"/>
      <c r="R18" s="417"/>
      <c r="S18" s="417"/>
      <c r="T18" s="417"/>
      <c r="U18" s="417"/>
      <c r="V18" s="424">
        <v>43364</v>
      </c>
      <c r="W18" s="417"/>
      <c r="X18" s="419"/>
    </row>
    <row r="19" spans="1:24" s="420" customFormat="1" ht="15.75" x14ac:dyDescent="0.25">
      <c r="A19" s="416"/>
      <c r="B19" s="417"/>
      <c r="C19" s="417"/>
      <c r="D19" s="417"/>
      <c r="E19" s="417"/>
      <c r="F19" s="417"/>
      <c r="G19" s="417"/>
      <c r="H19" s="417"/>
      <c r="I19" s="417"/>
      <c r="J19" s="417"/>
      <c r="K19" s="417"/>
      <c r="L19" s="417"/>
      <c r="M19" s="417"/>
      <c r="N19" s="417"/>
      <c r="O19" s="417"/>
      <c r="P19" s="417"/>
      <c r="Q19" s="417"/>
      <c r="R19" s="417"/>
      <c r="S19" s="417"/>
      <c r="T19" s="417"/>
      <c r="U19" s="417"/>
      <c r="V19" s="425"/>
      <c r="W19" s="417"/>
      <c r="X19" s="419"/>
    </row>
    <row r="20" spans="1:24" s="420" customFormat="1" ht="15.75" x14ac:dyDescent="0.25">
      <c r="A20" s="416"/>
      <c r="B20" s="426" t="s">
        <v>6</v>
      </c>
      <c r="C20" s="417"/>
      <c r="D20" s="417"/>
      <c r="E20" s="417"/>
      <c r="F20" s="417"/>
      <c r="G20" s="417"/>
      <c r="H20" s="417"/>
      <c r="I20" s="417"/>
      <c r="J20" s="417"/>
      <c r="K20" s="417"/>
      <c r="L20" s="417"/>
      <c r="M20" s="417"/>
      <c r="N20" s="417"/>
      <c r="O20" s="417"/>
      <c r="P20" s="417"/>
      <c r="Q20" s="417"/>
      <c r="R20" s="417"/>
      <c r="S20" s="417"/>
      <c r="T20" s="425" t="s">
        <v>105</v>
      </c>
      <c r="U20" s="417"/>
      <c r="V20" s="427"/>
      <c r="W20" s="417"/>
      <c r="X20" s="419"/>
    </row>
    <row r="21" spans="1:24" ht="15.75" x14ac:dyDescent="0.25">
      <c r="A21" s="181"/>
      <c r="B21" s="183"/>
      <c r="C21" s="183"/>
      <c r="D21" s="183"/>
      <c r="E21" s="183"/>
      <c r="F21" s="183"/>
      <c r="G21" s="183"/>
      <c r="H21" s="183"/>
      <c r="I21" s="183"/>
      <c r="J21" s="183"/>
      <c r="K21" s="183"/>
      <c r="L21" s="183"/>
      <c r="M21" s="183"/>
      <c r="N21" s="183"/>
      <c r="O21" s="183"/>
      <c r="P21" s="183"/>
      <c r="Q21" s="183"/>
      <c r="R21" s="183"/>
      <c r="S21" s="183"/>
      <c r="T21" s="183"/>
      <c r="U21" s="183"/>
      <c r="V21" s="192"/>
      <c r="W21" s="183"/>
      <c r="X21" s="5"/>
    </row>
    <row r="22" spans="1:24" ht="15.75" x14ac:dyDescent="0.25">
      <c r="A22" s="536"/>
      <c r="B22" s="540"/>
      <c r="C22" s="541"/>
      <c r="D22" s="541" t="s">
        <v>177</v>
      </c>
      <c r="E22" s="541"/>
      <c r="F22" s="541" t="s">
        <v>178</v>
      </c>
      <c r="G22" s="541"/>
      <c r="H22" s="541" t="s">
        <v>179</v>
      </c>
      <c r="I22" s="541"/>
      <c r="J22" s="541" t="s">
        <v>219</v>
      </c>
      <c r="K22" s="541"/>
      <c r="L22" s="541" t="s">
        <v>180</v>
      </c>
      <c r="M22" s="541"/>
      <c r="N22" s="541" t="s">
        <v>181</v>
      </c>
      <c r="O22" s="541"/>
      <c r="P22" s="541" t="s">
        <v>182</v>
      </c>
      <c r="Q22" s="541"/>
      <c r="R22" s="541"/>
      <c r="S22" s="542"/>
      <c r="T22" s="542"/>
      <c r="U22" s="543"/>
      <c r="V22" s="543"/>
      <c r="W22" s="544"/>
      <c r="X22" s="5"/>
    </row>
    <row r="23" spans="1:24" s="420" customFormat="1" ht="15.75" x14ac:dyDescent="0.25">
      <c r="A23" s="416"/>
      <c r="B23" s="462" t="s">
        <v>7</v>
      </c>
      <c r="C23" s="538"/>
      <c r="D23" s="538" t="s">
        <v>212</v>
      </c>
      <c r="E23" s="538"/>
      <c r="F23" s="538" t="s">
        <v>141</v>
      </c>
      <c r="G23" s="538"/>
      <c r="H23" s="538" t="s">
        <v>141</v>
      </c>
      <c r="I23" s="538"/>
      <c r="J23" s="538" t="s">
        <v>141</v>
      </c>
      <c r="K23" s="538"/>
      <c r="L23" s="538" t="s">
        <v>183</v>
      </c>
      <c r="M23" s="538"/>
      <c r="N23" s="538" t="s">
        <v>183</v>
      </c>
      <c r="O23" s="538"/>
      <c r="P23" s="538" t="s">
        <v>142</v>
      </c>
      <c r="Q23" s="538"/>
      <c r="R23" s="538"/>
      <c r="S23" s="538"/>
      <c r="T23" s="538"/>
      <c r="U23" s="539"/>
      <c r="V23" s="539"/>
      <c r="W23" s="462"/>
      <c r="X23" s="419"/>
    </row>
    <row r="24" spans="1:24" s="420" customFormat="1" ht="15.75" x14ac:dyDescent="0.25">
      <c r="A24" s="428"/>
      <c r="B24" s="429" t="s">
        <v>8</v>
      </c>
      <c r="C24" s="430"/>
      <c r="D24" s="430" t="s">
        <v>213</v>
      </c>
      <c r="E24" s="430"/>
      <c r="F24" s="430" t="s">
        <v>143</v>
      </c>
      <c r="G24" s="430"/>
      <c r="H24" s="430" t="s">
        <v>143</v>
      </c>
      <c r="I24" s="430"/>
      <c r="J24" s="430" t="s">
        <v>143</v>
      </c>
      <c r="K24" s="430"/>
      <c r="L24" s="430" t="s">
        <v>165</v>
      </c>
      <c r="M24" s="430"/>
      <c r="N24" s="430" t="s">
        <v>165</v>
      </c>
      <c r="O24" s="430"/>
      <c r="P24" s="430" t="s">
        <v>144</v>
      </c>
      <c r="Q24" s="430"/>
      <c r="R24" s="430"/>
      <c r="S24" s="430"/>
      <c r="T24" s="430"/>
      <c r="U24" s="431"/>
      <c r="V24" s="431"/>
      <c r="W24" s="432"/>
      <c r="X24" s="419"/>
    </row>
    <row r="25" spans="1:24" s="420" customFormat="1" ht="15.75" x14ac:dyDescent="0.25">
      <c r="A25" s="433"/>
      <c r="B25" s="429" t="s">
        <v>190</v>
      </c>
      <c r="C25" s="434"/>
      <c r="D25" s="430" t="s">
        <v>214</v>
      </c>
      <c r="E25" s="430"/>
      <c r="F25" s="430" t="s">
        <v>143</v>
      </c>
      <c r="G25" s="430"/>
      <c r="H25" s="430" t="s">
        <v>143</v>
      </c>
      <c r="I25" s="430"/>
      <c r="J25" s="430" t="s">
        <v>143</v>
      </c>
      <c r="K25" s="430"/>
      <c r="L25" s="430" t="s">
        <v>165</v>
      </c>
      <c r="M25" s="430"/>
      <c r="N25" s="430" t="s">
        <v>165</v>
      </c>
      <c r="O25" s="430"/>
      <c r="P25" s="430" t="s">
        <v>144</v>
      </c>
      <c r="Q25" s="430"/>
      <c r="R25" s="430"/>
      <c r="S25" s="434"/>
      <c r="T25" s="430"/>
      <c r="U25" s="431"/>
      <c r="V25" s="431"/>
      <c r="W25" s="432"/>
      <c r="X25" s="419"/>
    </row>
    <row r="26" spans="1:24" s="420" customFormat="1" ht="15.75" x14ac:dyDescent="0.25">
      <c r="A26" s="433"/>
      <c r="B26" s="435" t="s">
        <v>9</v>
      </c>
      <c r="C26" s="434"/>
      <c r="D26" s="434" t="s">
        <v>141</v>
      </c>
      <c r="E26" s="434"/>
      <c r="F26" s="434" t="s">
        <v>141</v>
      </c>
      <c r="G26" s="434"/>
      <c r="H26" s="434" t="s">
        <v>141</v>
      </c>
      <c r="I26" s="434"/>
      <c r="J26" s="434" t="s">
        <v>141</v>
      </c>
      <c r="K26" s="434"/>
      <c r="L26" s="434" t="s">
        <v>183</v>
      </c>
      <c r="M26" s="434"/>
      <c r="N26" s="434" t="s">
        <v>183</v>
      </c>
      <c r="O26" s="434"/>
      <c r="P26" s="434" t="s">
        <v>142</v>
      </c>
      <c r="Q26" s="434"/>
      <c r="R26" s="434"/>
      <c r="S26" s="434"/>
      <c r="T26" s="430"/>
      <c r="U26" s="431"/>
      <c r="V26" s="431"/>
      <c r="W26" s="432"/>
      <c r="X26" s="419"/>
    </row>
    <row r="27" spans="1:24" s="420" customFormat="1" ht="15.75" x14ac:dyDescent="0.25">
      <c r="A27" s="428"/>
      <c r="B27" s="435" t="s">
        <v>191</v>
      </c>
      <c r="C27" s="430"/>
      <c r="D27" s="434" t="s">
        <v>143</v>
      </c>
      <c r="E27" s="434"/>
      <c r="F27" s="434" t="s">
        <v>143</v>
      </c>
      <c r="G27" s="434"/>
      <c r="H27" s="434" t="s">
        <v>143</v>
      </c>
      <c r="I27" s="434"/>
      <c r="J27" s="434" t="s">
        <v>143</v>
      </c>
      <c r="K27" s="434"/>
      <c r="L27" s="434" t="s">
        <v>165</v>
      </c>
      <c r="M27" s="434"/>
      <c r="N27" s="434" t="s">
        <v>165</v>
      </c>
      <c r="O27" s="434"/>
      <c r="P27" s="434" t="s">
        <v>330</v>
      </c>
      <c r="Q27" s="434"/>
      <c r="R27" s="434"/>
      <c r="S27" s="430"/>
      <c r="T27" s="436"/>
      <c r="U27" s="431"/>
      <c r="V27" s="431"/>
      <c r="W27" s="432"/>
      <c r="X27" s="419"/>
    </row>
    <row r="28" spans="1:24" s="420" customFormat="1" ht="15.75" x14ac:dyDescent="0.25">
      <c r="A28" s="428"/>
      <c r="B28" s="435" t="s">
        <v>192</v>
      </c>
      <c r="C28" s="430"/>
      <c r="D28" s="434" t="s">
        <v>143</v>
      </c>
      <c r="E28" s="434"/>
      <c r="F28" s="434" t="s">
        <v>143</v>
      </c>
      <c r="G28" s="434"/>
      <c r="H28" s="434" t="s">
        <v>143</v>
      </c>
      <c r="I28" s="434"/>
      <c r="J28" s="434" t="s">
        <v>143</v>
      </c>
      <c r="K28" s="434"/>
      <c r="L28" s="434" t="s">
        <v>143</v>
      </c>
      <c r="M28" s="434"/>
      <c r="N28" s="434" t="s">
        <v>143</v>
      </c>
      <c r="O28" s="434"/>
      <c r="P28" s="434" t="s">
        <v>330</v>
      </c>
      <c r="Q28" s="434"/>
      <c r="R28" s="434"/>
      <c r="S28" s="430"/>
      <c r="T28" s="436"/>
      <c r="U28" s="431"/>
      <c r="V28" s="431"/>
      <c r="W28" s="432"/>
      <c r="X28" s="419"/>
    </row>
    <row r="29" spans="1:24" s="420" customFormat="1" ht="15.75" x14ac:dyDescent="0.25">
      <c r="A29" s="428"/>
      <c r="B29" s="429" t="s">
        <v>10</v>
      </c>
      <c r="C29" s="437"/>
      <c r="D29" s="430" t="s">
        <v>242</v>
      </c>
      <c r="E29" s="430"/>
      <c r="F29" s="436" t="s">
        <v>244</v>
      </c>
      <c r="G29" s="430"/>
      <c r="H29" s="430" t="s">
        <v>245</v>
      </c>
      <c r="I29" s="430"/>
      <c r="J29" s="430" t="s">
        <v>247</v>
      </c>
      <c r="K29" s="430"/>
      <c r="L29" s="430" t="s">
        <v>248</v>
      </c>
      <c r="M29" s="430"/>
      <c r="N29" s="430" t="s">
        <v>249</v>
      </c>
      <c r="O29" s="430"/>
      <c r="P29" s="430" t="s">
        <v>250</v>
      </c>
      <c r="Q29" s="430"/>
      <c r="R29" s="430"/>
      <c r="S29" s="438"/>
      <c r="T29" s="438"/>
      <c r="U29" s="439"/>
      <c r="V29" s="438"/>
      <c r="W29" s="440"/>
      <c r="X29" s="419"/>
    </row>
    <row r="30" spans="1:24" s="420" customFormat="1" ht="15.75" x14ac:dyDescent="0.25">
      <c r="A30" s="428"/>
      <c r="B30" s="429" t="s">
        <v>10</v>
      </c>
      <c r="C30" s="437"/>
      <c r="D30" s="430" t="s">
        <v>243</v>
      </c>
      <c r="E30" s="430"/>
      <c r="F30" s="436" t="s">
        <v>118</v>
      </c>
      <c r="G30" s="430"/>
      <c r="H30" s="430" t="s">
        <v>118</v>
      </c>
      <c r="I30" s="430"/>
      <c r="J30" s="430" t="s">
        <v>246</v>
      </c>
      <c r="K30" s="430"/>
      <c r="L30" s="430" t="s">
        <v>118</v>
      </c>
      <c r="M30" s="430"/>
      <c r="N30" s="430" t="s">
        <v>118</v>
      </c>
      <c r="O30" s="430"/>
      <c r="P30" s="430" t="s">
        <v>118</v>
      </c>
      <c r="Q30" s="430"/>
      <c r="R30" s="430"/>
      <c r="S30" s="438"/>
      <c r="T30" s="438"/>
      <c r="U30" s="439"/>
      <c r="V30" s="438"/>
      <c r="W30" s="440"/>
      <c r="X30" s="419"/>
    </row>
    <row r="31" spans="1:24" s="420" customFormat="1" ht="15.75" x14ac:dyDescent="0.25">
      <c r="A31" s="433"/>
      <c r="B31" s="429" t="s">
        <v>133</v>
      </c>
      <c r="C31" s="441"/>
      <c r="D31" s="442">
        <v>1000000</v>
      </c>
      <c r="E31" s="437"/>
      <c r="F31" s="438">
        <v>209500</v>
      </c>
      <c r="G31" s="438"/>
      <c r="H31" s="443">
        <v>110000</v>
      </c>
      <c r="I31" s="443"/>
      <c r="J31" s="442">
        <v>150000</v>
      </c>
      <c r="K31" s="438"/>
      <c r="L31" s="438">
        <v>17000</v>
      </c>
      <c r="M31" s="438"/>
      <c r="N31" s="443">
        <v>85500</v>
      </c>
      <c r="O31" s="438"/>
      <c r="P31" s="443">
        <v>110500</v>
      </c>
      <c r="Q31" s="438"/>
      <c r="R31" s="443"/>
      <c r="S31" s="444"/>
      <c r="T31" s="444"/>
      <c r="U31" s="445"/>
      <c r="V31" s="444"/>
      <c r="W31" s="440"/>
      <c r="X31" s="419"/>
    </row>
    <row r="32" spans="1:24" s="420" customFormat="1" ht="15.75" x14ac:dyDescent="0.25">
      <c r="A32" s="428"/>
      <c r="B32" s="429" t="s">
        <v>132</v>
      </c>
      <c r="C32" s="437"/>
      <c r="D32" s="442">
        <f>D31*D38</f>
        <v>545847.4</v>
      </c>
      <c r="E32" s="437"/>
      <c r="F32" s="438">
        <f>F31*F38</f>
        <v>114355.4912</v>
      </c>
      <c r="G32" s="438"/>
      <c r="H32" s="443">
        <f>H31*H38</f>
        <v>60044.445999999996</v>
      </c>
      <c r="I32" s="443"/>
      <c r="J32" s="442">
        <f>J31*J38</f>
        <v>81877.11</v>
      </c>
      <c r="K32" s="438"/>
      <c r="L32" s="438">
        <f>L31*L38</f>
        <v>17000</v>
      </c>
      <c r="M32" s="438"/>
      <c r="N32" s="443">
        <f>N31*N38</f>
        <v>85500</v>
      </c>
      <c r="O32" s="438"/>
      <c r="P32" s="443">
        <f>P31*P38</f>
        <v>110500</v>
      </c>
      <c r="Q32" s="438"/>
      <c r="R32" s="443"/>
      <c r="S32" s="438"/>
      <c r="T32" s="438"/>
      <c r="U32" s="439"/>
      <c r="V32" s="438"/>
      <c r="W32" s="440"/>
      <c r="X32" s="419"/>
    </row>
    <row r="33" spans="1:27" s="420" customFormat="1" ht="15.75" x14ac:dyDescent="0.25">
      <c r="A33" s="428"/>
      <c r="B33" s="435" t="s">
        <v>134</v>
      </c>
      <c r="C33" s="437"/>
      <c r="D33" s="446">
        <f>D37*D31</f>
        <v>531489.19999999995</v>
      </c>
      <c r="E33" s="441"/>
      <c r="F33" s="444">
        <f>F37*F31</f>
        <v>111347.44829999999</v>
      </c>
      <c r="G33" s="444"/>
      <c r="H33" s="447">
        <f>H31*H37</f>
        <v>58465.087999999996</v>
      </c>
      <c r="I33" s="447"/>
      <c r="J33" s="446">
        <f>J37*J31</f>
        <v>79723.38</v>
      </c>
      <c r="K33" s="444"/>
      <c r="L33" s="444">
        <f>L31*L37</f>
        <v>17000</v>
      </c>
      <c r="M33" s="444"/>
      <c r="N33" s="447">
        <f>N31*N37</f>
        <v>85500</v>
      </c>
      <c r="O33" s="444"/>
      <c r="P33" s="447">
        <f>P31*P37</f>
        <v>110500</v>
      </c>
      <c r="Q33" s="444"/>
      <c r="R33" s="447"/>
      <c r="S33" s="438"/>
      <c r="T33" s="438"/>
      <c r="U33" s="439"/>
      <c r="V33" s="438"/>
      <c r="W33" s="440"/>
      <c r="X33" s="419"/>
    </row>
    <row r="34" spans="1:27" s="420" customFormat="1" ht="15.75" x14ac:dyDescent="0.25">
      <c r="A34" s="433"/>
      <c r="B34" s="429" t="s">
        <v>286</v>
      </c>
      <c r="C34" s="441"/>
      <c r="D34" s="438">
        <v>492951</v>
      </c>
      <c r="E34" s="437"/>
      <c r="F34" s="438">
        <v>209500</v>
      </c>
      <c r="G34" s="438"/>
      <c r="H34" s="438">
        <v>74677</v>
      </c>
      <c r="I34" s="438"/>
      <c r="J34" s="438">
        <v>73943</v>
      </c>
      <c r="K34" s="438"/>
      <c r="L34" s="438">
        <v>17000</v>
      </c>
      <c r="M34" s="438"/>
      <c r="N34" s="438">
        <v>58045</v>
      </c>
      <c r="O34" s="438"/>
      <c r="P34" s="438">
        <v>75017</v>
      </c>
      <c r="Q34" s="438"/>
      <c r="R34" s="438"/>
      <c r="S34" s="444"/>
      <c r="T34" s="444"/>
      <c r="U34" s="445"/>
      <c r="V34" s="438">
        <f>SUM(C34:R34)</f>
        <v>1001133</v>
      </c>
      <c r="W34" s="440"/>
      <c r="X34" s="419"/>
    </row>
    <row r="35" spans="1:27" s="420" customFormat="1" ht="15.75" x14ac:dyDescent="0.25">
      <c r="A35" s="433"/>
      <c r="B35" s="429" t="s">
        <v>287</v>
      </c>
      <c r="C35" s="441"/>
      <c r="D35" s="438">
        <f>D34*D38</f>
        <v>269076.02167739999</v>
      </c>
      <c r="E35" s="437"/>
      <c r="F35" s="438">
        <f>F34*F38</f>
        <v>114355.4912</v>
      </c>
      <c r="G35" s="438"/>
      <c r="H35" s="438">
        <f>H34*H38</f>
        <v>40763.082672199998</v>
      </c>
      <c r="I35" s="438"/>
      <c r="J35" s="438">
        <f>J34*J38</f>
        <v>40361.594298199998</v>
      </c>
      <c r="K35" s="438"/>
      <c r="L35" s="438">
        <f>L34*L38</f>
        <v>17000</v>
      </c>
      <c r="M35" s="438"/>
      <c r="N35" s="438">
        <f>N34*N38</f>
        <v>58045</v>
      </c>
      <c r="O35" s="438"/>
      <c r="P35" s="438">
        <f>P34*P38</f>
        <v>75017</v>
      </c>
      <c r="Q35" s="438"/>
      <c r="R35" s="438"/>
      <c r="S35" s="438"/>
      <c r="T35" s="438"/>
      <c r="U35" s="439"/>
      <c r="V35" s="438">
        <f>SUM(C35:R35)</f>
        <v>614618.18984779995</v>
      </c>
      <c r="W35" s="440"/>
      <c r="X35" s="419"/>
    </row>
    <row r="36" spans="1:27" s="420" customFormat="1" ht="15.75" x14ac:dyDescent="0.25">
      <c r="A36" s="433"/>
      <c r="B36" s="435" t="s">
        <v>288</v>
      </c>
      <c r="C36" s="441"/>
      <c r="D36" s="444">
        <f>D34*D37</f>
        <v>261998.1326292</v>
      </c>
      <c r="E36" s="441"/>
      <c r="F36" s="444">
        <f>F34*F37</f>
        <v>111347.44829999999</v>
      </c>
      <c r="G36" s="444"/>
      <c r="H36" s="444">
        <f>H34*H37</f>
        <v>39690.885241600001</v>
      </c>
      <c r="I36" s="444"/>
      <c r="J36" s="444">
        <f>J34*J37</f>
        <v>39299.9059156</v>
      </c>
      <c r="K36" s="444"/>
      <c r="L36" s="444">
        <f>L34*L37</f>
        <v>17000</v>
      </c>
      <c r="M36" s="444"/>
      <c r="N36" s="444">
        <f>N34*N37</f>
        <v>58045</v>
      </c>
      <c r="O36" s="444"/>
      <c r="P36" s="444">
        <f>P34*P37</f>
        <v>75017</v>
      </c>
      <c r="Q36" s="444"/>
      <c r="R36" s="444"/>
      <c r="S36" s="448"/>
      <c r="T36" s="448"/>
      <c r="U36" s="439"/>
      <c r="V36" s="444">
        <f>SUM(C36:R36)</f>
        <v>602398.37208639993</v>
      </c>
      <c r="W36" s="440"/>
      <c r="X36" s="419"/>
    </row>
    <row r="37" spans="1:27" s="522" customFormat="1" ht="15.75" x14ac:dyDescent="0.25">
      <c r="A37" s="514"/>
      <c r="B37" s="515" t="s">
        <v>130</v>
      </c>
      <c r="C37" s="516"/>
      <c r="D37" s="517">
        <v>0.53148919999999999</v>
      </c>
      <c r="E37" s="517"/>
      <c r="F37" s="517">
        <v>0.53149139999999995</v>
      </c>
      <c r="G37" s="517"/>
      <c r="H37" s="517">
        <v>0.5315008</v>
      </c>
      <c r="I37" s="517"/>
      <c r="J37" s="517">
        <v>0.53148919999999999</v>
      </c>
      <c r="K37" s="517"/>
      <c r="L37" s="517">
        <v>1</v>
      </c>
      <c r="M37" s="517"/>
      <c r="N37" s="517">
        <v>1</v>
      </c>
      <c r="O37" s="517"/>
      <c r="P37" s="517">
        <v>1</v>
      </c>
      <c r="Q37" s="517"/>
      <c r="R37" s="517"/>
      <c r="S37" s="518"/>
      <c r="T37" s="518"/>
      <c r="U37" s="519"/>
      <c r="V37" s="519"/>
      <c r="W37" s="520"/>
      <c r="X37" s="521"/>
    </row>
    <row r="38" spans="1:27" s="522" customFormat="1" ht="15.75" x14ac:dyDescent="0.25">
      <c r="A38" s="514"/>
      <c r="B38" s="515" t="s">
        <v>131</v>
      </c>
      <c r="C38" s="516"/>
      <c r="D38" s="517">
        <v>0.54584739999999998</v>
      </c>
      <c r="E38" s="517"/>
      <c r="F38" s="517">
        <v>0.54584960000000005</v>
      </c>
      <c r="G38" s="517"/>
      <c r="H38" s="517">
        <v>0.54585859999999997</v>
      </c>
      <c r="I38" s="517"/>
      <c r="J38" s="517">
        <v>0.54584739999999998</v>
      </c>
      <c r="K38" s="517"/>
      <c r="L38" s="517">
        <v>1</v>
      </c>
      <c r="M38" s="517"/>
      <c r="N38" s="517">
        <v>1</v>
      </c>
      <c r="O38" s="517"/>
      <c r="P38" s="517">
        <v>1</v>
      </c>
      <c r="Q38" s="517"/>
      <c r="R38" s="517"/>
      <c r="S38" s="523"/>
      <c r="T38" s="524"/>
      <c r="U38" s="519"/>
      <c r="V38" s="523"/>
      <c r="W38" s="520"/>
      <c r="X38" s="521"/>
    </row>
    <row r="39" spans="1:27" s="522" customFormat="1" ht="15.75" x14ac:dyDescent="0.25">
      <c r="A39" s="514"/>
      <c r="B39" s="516" t="s">
        <v>11</v>
      </c>
      <c r="C39" s="516"/>
      <c r="D39" s="518" t="s">
        <v>304</v>
      </c>
      <c r="E39" s="516"/>
      <c r="F39" s="518" t="s">
        <v>256</v>
      </c>
      <c r="G39" s="518"/>
      <c r="H39" s="518" t="s">
        <v>257</v>
      </c>
      <c r="I39" s="518"/>
      <c r="J39" s="518" t="s">
        <v>258</v>
      </c>
      <c r="K39" s="518"/>
      <c r="L39" s="518" t="s">
        <v>259</v>
      </c>
      <c r="M39" s="518"/>
      <c r="N39" s="518" t="s">
        <v>259</v>
      </c>
      <c r="O39" s="518"/>
      <c r="P39" s="518" t="s">
        <v>260</v>
      </c>
      <c r="Q39" s="518"/>
      <c r="R39" s="518"/>
      <c r="S39" s="523"/>
      <c r="T39" s="524"/>
      <c r="U39" s="519"/>
      <c r="V39" s="519"/>
      <c r="W39" s="520"/>
      <c r="X39" s="521"/>
    </row>
    <row r="40" spans="1:27" s="420" customFormat="1" ht="15.75" x14ac:dyDescent="0.25">
      <c r="A40" s="428"/>
      <c r="B40" s="429" t="s">
        <v>12</v>
      </c>
      <c r="C40" s="429"/>
      <c r="D40" s="450">
        <v>2.24269E-2</v>
      </c>
      <c r="E40" s="429"/>
      <c r="F40" s="450">
        <v>8.9075000000000005E-3</v>
      </c>
      <c r="G40" s="449"/>
      <c r="H40" s="450">
        <v>0</v>
      </c>
      <c r="I40" s="450"/>
      <c r="J40" s="450">
        <v>2.5606299999999999E-2</v>
      </c>
      <c r="K40" s="449"/>
      <c r="L40" s="450">
        <v>1.1707499999999999E-2</v>
      </c>
      <c r="M40" s="449"/>
      <c r="N40" s="450">
        <v>2.1900000000000001E-3</v>
      </c>
      <c r="O40" s="449"/>
      <c r="P40" s="450">
        <v>7.79E-3</v>
      </c>
      <c r="Q40" s="449"/>
      <c r="R40" s="450"/>
      <c r="S40" s="449"/>
      <c r="T40" s="450"/>
      <c r="U40" s="431"/>
      <c r="V40" s="436"/>
      <c r="W40" s="432"/>
      <c r="X40" s="419"/>
      <c r="AA40" s="420" t="s">
        <v>193</v>
      </c>
    </row>
    <row r="41" spans="1:27" s="420" customFormat="1" ht="15.75" x14ac:dyDescent="0.25">
      <c r="A41" s="428"/>
      <c r="B41" s="429" t="s">
        <v>13</v>
      </c>
      <c r="C41" s="429"/>
      <c r="D41" s="450">
        <v>2.0987100000000002E-2</v>
      </c>
      <c r="E41" s="429"/>
      <c r="F41" s="450">
        <v>8.6590999999999994E-3</v>
      </c>
      <c r="G41" s="449"/>
      <c r="H41" s="450">
        <v>0</v>
      </c>
      <c r="I41" s="450"/>
      <c r="J41" s="450">
        <v>2.3445000000000001E-2</v>
      </c>
      <c r="K41" s="449"/>
      <c r="L41" s="450">
        <v>1.14591E-2</v>
      </c>
      <c r="M41" s="449"/>
      <c r="N41" s="450">
        <v>2.1299999999999999E-3</v>
      </c>
      <c r="O41" s="449"/>
      <c r="P41" s="450">
        <v>7.7299999999999999E-3</v>
      </c>
      <c r="Q41" s="449"/>
      <c r="R41" s="450"/>
      <c r="S41" s="449"/>
      <c r="T41" s="450"/>
      <c r="U41" s="431"/>
      <c r="V41" s="449" t="s">
        <v>193</v>
      </c>
      <c r="W41" s="432"/>
      <c r="X41" s="419"/>
    </row>
    <row r="42" spans="1:27" s="420" customFormat="1" ht="15.75" x14ac:dyDescent="0.25">
      <c r="A42" s="428"/>
      <c r="B42" s="429" t="s">
        <v>289</v>
      </c>
      <c r="C42" s="429"/>
      <c r="D42" s="436" t="s">
        <v>311</v>
      </c>
      <c r="E42" s="429"/>
      <c r="F42" s="436" t="s">
        <v>256</v>
      </c>
      <c r="G42" s="436"/>
      <c r="H42" s="436" t="s">
        <v>261</v>
      </c>
      <c r="I42" s="436"/>
      <c r="J42" s="436" t="s">
        <v>261</v>
      </c>
      <c r="K42" s="436"/>
      <c r="L42" s="436" t="s">
        <v>259</v>
      </c>
      <c r="M42" s="436"/>
      <c r="N42" s="436" t="s">
        <v>263</v>
      </c>
      <c r="O42" s="436"/>
      <c r="P42" s="436" t="s">
        <v>264</v>
      </c>
      <c r="Q42" s="436"/>
      <c r="R42" s="436"/>
      <c r="S42" s="449"/>
      <c r="T42" s="450"/>
      <c r="U42" s="431"/>
      <c r="V42" s="431"/>
      <c r="W42" s="432"/>
      <c r="X42" s="419"/>
    </row>
    <row r="43" spans="1:27" s="420" customFormat="1" ht="15.75" x14ac:dyDescent="0.25">
      <c r="A43" s="428"/>
      <c r="B43" s="429" t="s">
        <v>290</v>
      </c>
      <c r="C43" s="451"/>
      <c r="D43" s="450">
        <v>8.3044E-3</v>
      </c>
      <c r="E43" s="450"/>
      <c r="F43" s="450">
        <f>+F40</f>
        <v>8.9075000000000005E-3</v>
      </c>
      <c r="G43" s="450"/>
      <c r="H43" s="450">
        <v>9.0574999999999996E-3</v>
      </c>
      <c r="I43" s="450"/>
      <c r="J43" s="450">
        <v>9.0875000000000001E-3</v>
      </c>
      <c r="K43" s="450"/>
      <c r="L43" s="450">
        <f>+L40</f>
        <v>1.1707499999999999E-2</v>
      </c>
      <c r="M43" s="450"/>
      <c r="N43" s="450">
        <v>1.2441499999999999E-2</v>
      </c>
      <c r="O43" s="450"/>
      <c r="P43" s="450">
        <v>1.86015E-2</v>
      </c>
      <c r="Q43" s="449"/>
      <c r="R43" s="450"/>
      <c r="S43" s="436"/>
      <c r="T43" s="436"/>
      <c r="U43" s="431"/>
      <c r="V43" s="449">
        <f>SUMPRODUCT(D43:R43,D35:R35)/V35</f>
        <v>1.0259633149373046E-2</v>
      </c>
      <c r="W43" s="432"/>
      <c r="X43" s="419"/>
    </row>
    <row r="44" spans="1:27" s="420" customFormat="1" ht="15.75" x14ac:dyDescent="0.25">
      <c r="A44" s="428"/>
      <c r="B44" s="429" t="s">
        <v>291</v>
      </c>
      <c r="C44" s="451"/>
      <c r="D44" s="450">
        <v>8.0560000000000007E-3</v>
      </c>
      <c r="E44" s="450"/>
      <c r="F44" s="450">
        <f>+F41</f>
        <v>8.6590999999999994E-3</v>
      </c>
      <c r="G44" s="450"/>
      <c r="H44" s="450">
        <v>8.8091000000000003E-3</v>
      </c>
      <c r="I44" s="450"/>
      <c r="J44" s="450">
        <v>8.8391000000000008E-3</v>
      </c>
      <c r="K44" s="450"/>
      <c r="L44" s="450">
        <f>+L41</f>
        <v>1.14591E-2</v>
      </c>
      <c r="M44" s="450"/>
      <c r="N44" s="450">
        <v>1.21931E-2</v>
      </c>
      <c r="O44" s="450"/>
      <c r="P44" s="450">
        <v>1.8353100000000001E-2</v>
      </c>
      <c r="Q44" s="449"/>
      <c r="R44" s="450"/>
      <c r="S44" s="436"/>
      <c r="T44" s="436"/>
      <c r="U44" s="431"/>
      <c r="V44" s="431"/>
      <c r="W44" s="432"/>
      <c r="X44" s="419"/>
    </row>
    <row r="45" spans="1:27" s="420" customFormat="1" ht="15.75" x14ac:dyDescent="0.25">
      <c r="A45" s="428"/>
      <c r="B45" s="429" t="s">
        <v>14</v>
      </c>
      <c r="C45" s="429"/>
      <c r="D45" s="451">
        <v>40709</v>
      </c>
      <c r="E45" s="451"/>
      <c r="F45" s="451">
        <v>40709</v>
      </c>
      <c r="G45" s="451"/>
      <c r="H45" s="451">
        <v>40709</v>
      </c>
      <c r="I45" s="451"/>
      <c r="J45" s="451">
        <v>40709</v>
      </c>
      <c r="K45" s="451"/>
      <c r="L45" s="451">
        <v>40709</v>
      </c>
      <c r="M45" s="451"/>
      <c r="N45" s="451">
        <v>40709</v>
      </c>
      <c r="O45" s="451"/>
      <c r="P45" s="451">
        <v>40709</v>
      </c>
      <c r="Q45" s="451"/>
      <c r="R45" s="451"/>
      <c r="S45" s="436"/>
      <c r="T45" s="436"/>
      <c r="U45" s="431"/>
      <c r="V45" s="431"/>
      <c r="W45" s="432"/>
      <c r="X45" s="419"/>
    </row>
    <row r="46" spans="1:27" s="420" customFormat="1" ht="15.75" x14ac:dyDescent="0.25">
      <c r="A46" s="428"/>
      <c r="B46" s="429" t="s">
        <v>15</v>
      </c>
      <c r="C46" s="429"/>
      <c r="D46" s="451">
        <v>41075</v>
      </c>
      <c r="E46" s="451"/>
      <c r="F46" s="451">
        <v>41075</v>
      </c>
      <c r="G46" s="451"/>
      <c r="H46" s="451">
        <v>41075</v>
      </c>
      <c r="I46" s="451"/>
      <c r="J46" s="451">
        <v>41075</v>
      </c>
      <c r="K46" s="436"/>
      <c r="L46" s="451">
        <v>41075</v>
      </c>
      <c r="M46" s="436"/>
      <c r="N46" s="451">
        <v>41075</v>
      </c>
      <c r="O46" s="436"/>
      <c r="P46" s="451">
        <v>41075</v>
      </c>
      <c r="Q46" s="436"/>
      <c r="R46" s="451"/>
      <c r="S46" s="436"/>
      <c r="T46" s="436"/>
      <c r="U46" s="431"/>
      <c r="V46" s="431"/>
      <c r="W46" s="432"/>
      <c r="X46" s="419"/>
    </row>
    <row r="47" spans="1:27" s="420" customFormat="1" ht="15.75" x14ac:dyDescent="0.25">
      <c r="A47" s="428"/>
      <c r="B47" s="429" t="s">
        <v>119</v>
      </c>
      <c r="C47" s="429"/>
      <c r="D47" s="436" t="s">
        <v>304</v>
      </c>
      <c r="E47" s="429"/>
      <c r="F47" s="436" t="s">
        <v>256</v>
      </c>
      <c r="G47" s="436"/>
      <c r="H47" s="436" t="s">
        <v>257</v>
      </c>
      <c r="I47" s="436"/>
      <c r="J47" s="436" t="s">
        <v>258</v>
      </c>
      <c r="K47" s="436"/>
      <c r="L47" s="436" t="s">
        <v>259</v>
      </c>
      <c r="M47" s="436"/>
      <c r="N47" s="436" t="s">
        <v>259</v>
      </c>
      <c r="O47" s="436"/>
      <c r="P47" s="436" t="s">
        <v>260</v>
      </c>
      <c r="Q47" s="436"/>
      <c r="R47" s="436"/>
      <c r="S47" s="452"/>
      <c r="T47" s="452"/>
      <c r="U47" s="452"/>
      <c r="V47" s="452"/>
      <c r="W47" s="432"/>
      <c r="X47" s="419"/>
    </row>
    <row r="48" spans="1:27" s="420" customFormat="1" ht="15.75" x14ac:dyDescent="0.25">
      <c r="A48" s="428"/>
      <c r="B48" s="429" t="s">
        <v>292</v>
      </c>
      <c r="C48" s="429"/>
      <c r="D48" s="436" t="s">
        <v>311</v>
      </c>
      <c r="E48" s="429"/>
      <c r="F48" s="436" t="s">
        <v>256</v>
      </c>
      <c r="G48" s="436"/>
      <c r="H48" s="436" t="s">
        <v>261</v>
      </c>
      <c r="I48" s="436"/>
      <c r="J48" s="436" t="s">
        <v>261</v>
      </c>
      <c r="K48" s="436"/>
      <c r="L48" s="436" t="s">
        <v>259</v>
      </c>
      <c r="M48" s="436"/>
      <c r="N48" s="436" t="s">
        <v>263</v>
      </c>
      <c r="O48" s="436"/>
      <c r="P48" s="436" t="s">
        <v>264</v>
      </c>
      <c r="Q48" s="436"/>
      <c r="R48" s="436"/>
      <c r="S48" s="429"/>
      <c r="T48" s="429"/>
      <c r="U48" s="429"/>
      <c r="V48" s="449"/>
      <c r="W48" s="432"/>
      <c r="X48" s="419"/>
    </row>
    <row r="49" spans="1:25" s="420" customFormat="1" ht="15.75" x14ac:dyDescent="0.25">
      <c r="A49" s="428"/>
      <c r="B49" s="429"/>
      <c r="C49" s="429"/>
      <c r="D49" s="436"/>
      <c r="E49" s="429"/>
      <c r="F49" s="436"/>
      <c r="G49" s="436"/>
      <c r="H49" s="436"/>
      <c r="I49" s="436"/>
      <c r="J49" s="436"/>
      <c r="K49" s="436"/>
      <c r="L49" s="436"/>
      <c r="M49" s="436"/>
      <c r="N49" s="436"/>
      <c r="O49" s="436"/>
      <c r="P49" s="436"/>
      <c r="Q49" s="436"/>
      <c r="R49" s="436"/>
      <c r="S49" s="429"/>
      <c r="T49" s="429"/>
      <c r="U49" s="429"/>
      <c r="V49" s="449" t="s">
        <v>193</v>
      </c>
      <c r="W49" s="432"/>
      <c r="X49" s="419"/>
    </row>
    <row r="50" spans="1:25" s="420" customFormat="1" ht="15.75" x14ac:dyDescent="0.25">
      <c r="A50" s="428"/>
      <c r="B50" s="429" t="s">
        <v>169</v>
      </c>
      <c r="C50" s="429"/>
      <c r="D50" s="436"/>
      <c r="E50" s="429"/>
      <c r="F50" s="436"/>
      <c r="G50" s="436"/>
      <c r="H50" s="436"/>
      <c r="I50" s="436"/>
      <c r="J50" s="436"/>
      <c r="K50" s="436"/>
      <c r="L50" s="436"/>
      <c r="M50" s="436"/>
      <c r="N50" s="436"/>
      <c r="O50" s="436"/>
      <c r="P50" s="436"/>
      <c r="Q50" s="436"/>
      <c r="R50" s="436"/>
      <c r="S50" s="429"/>
      <c r="T50" s="429"/>
      <c r="U50" s="429"/>
      <c r="V50" s="449">
        <f>SUM(L34:R34)/SUM(D34:J34)</f>
        <v>0.17632136449250416</v>
      </c>
      <c r="W50" s="432"/>
      <c r="X50" s="419"/>
    </row>
    <row r="51" spans="1:25" s="420" customFormat="1" ht="15.75" x14ac:dyDescent="0.25">
      <c r="A51" s="428"/>
      <c r="B51" s="429" t="s">
        <v>170</v>
      </c>
      <c r="C51" s="429"/>
      <c r="D51" s="429"/>
      <c r="E51" s="429"/>
      <c r="F51" s="453"/>
      <c r="G51" s="429"/>
      <c r="H51" s="429"/>
      <c r="I51" s="429"/>
      <c r="J51" s="429"/>
      <c r="K51" s="429"/>
      <c r="L51" s="429"/>
      <c r="M51" s="429"/>
      <c r="N51" s="429"/>
      <c r="O51" s="429"/>
      <c r="P51" s="429"/>
      <c r="Q51" s="429"/>
      <c r="R51" s="429"/>
      <c r="S51" s="429"/>
      <c r="T51" s="429"/>
      <c r="U51" s="429"/>
      <c r="V51" s="449">
        <f>SUM(L36:R36)/SUM(D36:J36)</f>
        <v>0.33174869247820937</v>
      </c>
      <c r="W51" s="432"/>
      <c r="X51" s="419"/>
    </row>
    <row r="52" spans="1:25" s="420" customFormat="1" ht="15.75" x14ac:dyDescent="0.25">
      <c r="A52" s="428"/>
      <c r="B52" s="429" t="s">
        <v>171</v>
      </c>
      <c r="C52" s="429"/>
      <c r="D52" s="429"/>
      <c r="E52" s="429"/>
      <c r="F52" s="429"/>
      <c r="G52" s="429"/>
      <c r="H52" s="429"/>
      <c r="I52" s="429"/>
      <c r="J52" s="429"/>
      <c r="K52" s="429"/>
      <c r="L52" s="429"/>
      <c r="M52" s="429"/>
      <c r="N52" s="429"/>
      <c r="O52" s="429"/>
      <c r="P52" s="429"/>
      <c r="Q52" s="429"/>
      <c r="R52" s="429"/>
      <c r="S52" s="429"/>
      <c r="T52" s="436"/>
      <c r="U52" s="436"/>
      <c r="V52" s="438" t="s">
        <v>268</v>
      </c>
      <c r="W52" s="432"/>
      <c r="X52" s="419"/>
    </row>
    <row r="53" spans="1:25" s="420" customFormat="1" ht="15.75" x14ac:dyDescent="0.25">
      <c r="A53" s="428"/>
      <c r="B53" s="429"/>
      <c r="C53" s="429"/>
      <c r="D53" s="429"/>
      <c r="E53" s="429"/>
      <c r="F53" s="429"/>
      <c r="G53" s="429"/>
      <c r="H53" s="429"/>
      <c r="I53" s="429"/>
      <c r="J53" s="429"/>
      <c r="K53" s="429"/>
      <c r="L53" s="429"/>
      <c r="M53" s="429"/>
      <c r="N53" s="429"/>
      <c r="O53" s="429"/>
      <c r="P53" s="429"/>
      <c r="Q53" s="429"/>
      <c r="R53" s="429"/>
      <c r="S53" s="429"/>
      <c r="T53" s="429"/>
      <c r="U53" s="429"/>
      <c r="V53" s="454"/>
      <c r="W53" s="432"/>
      <c r="X53" s="419"/>
    </row>
    <row r="54" spans="1:25" s="420" customFormat="1" ht="15.75" x14ac:dyDescent="0.25">
      <c r="A54" s="428"/>
      <c r="B54" s="429" t="s">
        <v>202</v>
      </c>
      <c r="C54" s="429"/>
      <c r="D54" s="429"/>
      <c r="E54" s="429"/>
      <c r="F54" s="429"/>
      <c r="G54" s="429"/>
      <c r="H54" s="429"/>
      <c r="I54" s="429"/>
      <c r="J54" s="429"/>
      <c r="K54" s="429"/>
      <c r="L54" s="429"/>
      <c r="M54" s="429"/>
      <c r="N54" s="429"/>
      <c r="O54" s="429"/>
      <c r="P54" s="429"/>
      <c r="Q54" s="429"/>
      <c r="R54" s="429"/>
      <c r="S54" s="429"/>
      <c r="T54" s="429"/>
      <c r="U54" s="429"/>
      <c r="V54" s="448" t="s">
        <v>203</v>
      </c>
      <c r="W54" s="432"/>
      <c r="X54" s="419"/>
    </row>
    <row r="55" spans="1:25" s="420" customFormat="1" ht="15.75" x14ac:dyDescent="0.25">
      <c r="A55" s="428"/>
      <c r="B55" s="429" t="s">
        <v>270</v>
      </c>
      <c r="C55" s="429"/>
      <c r="D55" s="429"/>
      <c r="E55" s="429"/>
      <c r="F55" s="429"/>
      <c r="G55" s="429"/>
      <c r="H55" s="429"/>
      <c r="I55" s="429"/>
      <c r="J55" s="429"/>
      <c r="K55" s="429"/>
      <c r="L55" s="429"/>
      <c r="M55" s="429"/>
      <c r="N55" s="429"/>
      <c r="O55" s="429"/>
      <c r="P55" s="429"/>
      <c r="Q55" s="429"/>
      <c r="R55" s="429"/>
      <c r="S55" s="429"/>
      <c r="T55" s="436"/>
      <c r="U55" s="436"/>
      <c r="V55" s="455" t="s">
        <v>111</v>
      </c>
      <c r="W55" s="432"/>
      <c r="X55" s="419"/>
    </row>
    <row r="56" spans="1:25" s="420" customFormat="1" ht="15.75" x14ac:dyDescent="0.25">
      <c r="A56" s="428"/>
      <c r="B56" s="435" t="s">
        <v>201</v>
      </c>
      <c r="C56" s="435"/>
      <c r="D56" s="435"/>
      <c r="E56" s="435"/>
      <c r="F56" s="435"/>
      <c r="G56" s="435"/>
      <c r="H56" s="435"/>
      <c r="I56" s="435"/>
      <c r="J56" s="435"/>
      <c r="K56" s="435"/>
      <c r="L56" s="435"/>
      <c r="M56" s="435"/>
      <c r="N56" s="435"/>
      <c r="O56" s="435"/>
      <c r="P56" s="435"/>
      <c r="Q56" s="435"/>
      <c r="R56" s="435"/>
      <c r="S56" s="435"/>
      <c r="T56" s="456"/>
      <c r="U56" s="456"/>
      <c r="V56" s="457">
        <v>43360</v>
      </c>
      <c r="W56" s="432"/>
      <c r="X56" s="419"/>
    </row>
    <row r="57" spans="1:25" s="420" customFormat="1" ht="15.75" x14ac:dyDescent="0.25">
      <c r="A57" s="428"/>
      <c r="B57" s="429" t="s">
        <v>121</v>
      </c>
      <c r="C57" s="429"/>
      <c r="D57" s="429"/>
      <c r="E57" s="429"/>
      <c r="F57" s="429"/>
      <c r="G57" s="429"/>
      <c r="H57" s="458"/>
      <c r="I57" s="458"/>
      <c r="J57" s="458"/>
      <c r="K57" s="458"/>
      <c r="L57" s="458"/>
      <c r="M57" s="458"/>
      <c r="N57" s="458"/>
      <c r="O57" s="458"/>
      <c r="P57" s="458"/>
      <c r="Q57" s="458"/>
      <c r="R57" s="429">
        <f>+V57-T57+1</f>
        <v>92</v>
      </c>
      <c r="S57" s="458"/>
      <c r="T57" s="459">
        <v>43174</v>
      </c>
      <c r="U57" s="460"/>
      <c r="V57" s="459">
        <v>43265</v>
      </c>
      <c r="W57" s="432"/>
      <c r="X57" s="419"/>
    </row>
    <row r="58" spans="1:25" s="420" customFormat="1" ht="15.75" x14ac:dyDescent="0.25">
      <c r="A58" s="428"/>
      <c r="B58" s="429" t="s">
        <v>122</v>
      </c>
      <c r="C58" s="429"/>
      <c r="D58" s="429"/>
      <c r="E58" s="429"/>
      <c r="F58" s="429"/>
      <c r="G58" s="429"/>
      <c r="H58" s="429"/>
      <c r="I58" s="429"/>
      <c r="J58" s="429"/>
      <c r="K58" s="429"/>
      <c r="L58" s="429"/>
      <c r="M58" s="429"/>
      <c r="N58" s="429"/>
      <c r="O58" s="429"/>
      <c r="P58" s="429"/>
      <c r="Q58" s="429"/>
      <c r="R58" s="429">
        <f>+V58-T58+1</f>
        <v>94</v>
      </c>
      <c r="S58" s="429"/>
      <c r="T58" s="459">
        <v>43266</v>
      </c>
      <c r="U58" s="460"/>
      <c r="V58" s="459">
        <v>43359</v>
      </c>
      <c r="W58" s="432"/>
      <c r="X58" s="419"/>
    </row>
    <row r="59" spans="1:25" s="420" customFormat="1" ht="15.75" x14ac:dyDescent="0.25">
      <c r="A59" s="428"/>
      <c r="B59" s="429" t="s">
        <v>223</v>
      </c>
      <c r="C59" s="429"/>
      <c r="D59" s="429"/>
      <c r="E59" s="429"/>
      <c r="F59" s="429"/>
      <c r="G59" s="429"/>
      <c r="H59" s="429"/>
      <c r="I59" s="429"/>
      <c r="J59" s="429"/>
      <c r="K59" s="429"/>
      <c r="L59" s="429"/>
      <c r="M59" s="429"/>
      <c r="N59" s="429"/>
      <c r="O59" s="429"/>
      <c r="P59" s="429"/>
      <c r="Q59" s="429"/>
      <c r="R59" s="429"/>
      <c r="S59" s="429"/>
      <c r="T59" s="459"/>
      <c r="U59" s="460"/>
      <c r="V59" s="459" t="s">
        <v>120</v>
      </c>
      <c r="W59" s="432"/>
      <c r="X59" s="419"/>
    </row>
    <row r="60" spans="1:25" s="420" customFormat="1" ht="15.75" x14ac:dyDescent="0.25">
      <c r="A60" s="428"/>
      <c r="B60" s="429" t="s">
        <v>271</v>
      </c>
      <c r="C60" s="429"/>
      <c r="D60" s="429"/>
      <c r="E60" s="429"/>
      <c r="F60" s="429"/>
      <c r="G60" s="429"/>
      <c r="H60" s="429"/>
      <c r="I60" s="429"/>
      <c r="J60" s="429"/>
      <c r="K60" s="429"/>
      <c r="L60" s="429"/>
      <c r="M60" s="429"/>
      <c r="N60" s="429"/>
      <c r="O60" s="429"/>
      <c r="P60" s="429"/>
      <c r="Q60" s="429"/>
      <c r="R60" s="429"/>
      <c r="S60" s="429"/>
      <c r="T60" s="459"/>
      <c r="U60" s="460"/>
      <c r="V60" s="459" t="s">
        <v>154</v>
      </c>
      <c r="W60" s="432"/>
      <c r="X60" s="419"/>
      <c r="Y60" s="461"/>
    </row>
    <row r="61" spans="1:25" s="420" customFormat="1" ht="15.75" x14ac:dyDescent="0.25">
      <c r="A61" s="428"/>
      <c r="B61" s="429" t="s">
        <v>16</v>
      </c>
      <c r="C61" s="429"/>
      <c r="D61" s="429"/>
      <c r="E61" s="429"/>
      <c r="F61" s="429"/>
      <c r="G61" s="429"/>
      <c r="H61" s="429"/>
      <c r="I61" s="429"/>
      <c r="J61" s="429"/>
      <c r="K61" s="429"/>
      <c r="L61" s="429"/>
      <c r="M61" s="429"/>
      <c r="N61" s="429"/>
      <c r="O61" s="429"/>
      <c r="P61" s="429"/>
      <c r="Q61" s="429"/>
      <c r="R61" s="429"/>
      <c r="S61" s="429"/>
      <c r="T61" s="459"/>
      <c r="U61" s="460"/>
      <c r="V61" s="459">
        <v>43346</v>
      </c>
      <c r="W61" s="432"/>
      <c r="X61" s="419"/>
    </row>
    <row r="62" spans="1:25" s="420" customFormat="1" ht="15.75" x14ac:dyDescent="0.25">
      <c r="A62" s="416"/>
      <c r="B62" s="462"/>
      <c r="C62" s="462"/>
      <c r="D62" s="462"/>
      <c r="E62" s="462"/>
      <c r="F62" s="462"/>
      <c r="G62" s="462"/>
      <c r="H62" s="462"/>
      <c r="I62" s="462"/>
      <c r="J62" s="462"/>
      <c r="K62" s="462"/>
      <c r="L62" s="462"/>
      <c r="M62" s="462"/>
      <c r="N62" s="462"/>
      <c r="O62" s="462"/>
      <c r="P62" s="462"/>
      <c r="Q62" s="462"/>
      <c r="R62" s="462"/>
      <c r="S62" s="462"/>
      <c r="T62" s="463"/>
      <c r="U62" s="464"/>
      <c r="V62" s="463"/>
      <c r="W62" s="462"/>
      <c r="X62" s="419"/>
    </row>
    <row r="63" spans="1:25" s="420" customFormat="1" ht="15.75" x14ac:dyDescent="0.25">
      <c r="A63" s="416"/>
      <c r="B63" s="417"/>
      <c r="C63" s="417"/>
      <c r="D63" s="417"/>
      <c r="E63" s="417"/>
      <c r="F63" s="417"/>
      <c r="G63" s="417"/>
      <c r="H63" s="417"/>
      <c r="I63" s="417"/>
      <c r="J63" s="417"/>
      <c r="K63" s="417"/>
      <c r="L63" s="417"/>
      <c r="M63" s="417"/>
      <c r="N63" s="417"/>
      <c r="O63" s="417"/>
      <c r="P63" s="417"/>
      <c r="Q63" s="417"/>
      <c r="R63" s="417"/>
      <c r="S63" s="417"/>
      <c r="T63" s="465"/>
      <c r="U63" s="466"/>
      <c r="V63" s="465"/>
      <c r="W63" s="417"/>
      <c r="X63" s="419"/>
    </row>
    <row r="64" spans="1:25" s="420" customFormat="1" ht="19.5" thickBot="1" x14ac:dyDescent="0.35">
      <c r="A64" s="467"/>
      <c r="B64" s="468" t="s">
        <v>345</v>
      </c>
      <c r="C64" s="469"/>
      <c r="D64" s="469"/>
      <c r="E64" s="469"/>
      <c r="F64" s="469"/>
      <c r="G64" s="469"/>
      <c r="H64" s="469"/>
      <c r="I64" s="469"/>
      <c r="J64" s="469"/>
      <c r="K64" s="469"/>
      <c r="L64" s="469"/>
      <c r="M64" s="469"/>
      <c r="N64" s="469"/>
      <c r="O64" s="469"/>
      <c r="P64" s="469"/>
      <c r="Q64" s="469"/>
      <c r="R64" s="469"/>
      <c r="S64" s="469"/>
      <c r="T64" s="469"/>
      <c r="U64" s="469"/>
      <c r="V64" s="470"/>
      <c r="W64" s="471"/>
      <c r="X64" s="419"/>
    </row>
    <row r="65" spans="1:24" ht="15.75" x14ac:dyDescent="0.25">
      <c r="A65" s="536"/>
      <c r="B65" s="545" t="s">
        <v>17</v>
      </c>
      <c r="C65" s="537"/>
      <c r="D65" s="537"/>
      <c r="E65" s="537"/>
      <c r="F65" s="537"/>
      <c r="G65" s="537"/>
      <c r="H65" s="537"/>
      <c r="I65" s="537"/>
      <c r="J65" s="537"/>
      <c r="K65" s="537"/>
      <c r="L65" s="537"/>
      <c r="M65" s="537"/>
      <c r="N65" s="537"/>
      <c r="O65" s="537"/>
      <c r="P65" s="537"/>
      <c r="Q65" s="537"/>
      <c r="R65" s="537"/>
      <c r="S65" s="537"/>
      <c r="T65" s="537"/>
      <c r="U65" s="537"/>
      <c r="V65" s="546"/>
      <c r="W65" s="537"/>
      <c r="X65" s="5"/>
    </row>
    <row r="66" spans="1:24" ht="15.75" x14ac:dyDescent="0.25">
      <c r="A66" s="181"/>
      <c r="B66" s="189"/>
      <c r="C66" s="183"/>
      <c r="D66" s="183"/>
      <c r="E66" s="183"/>
      <c r="F66" s="183"/>
      <c r="G66" s="183"/>
      <c r="H66" s="183"/>
      <c r="I66" s="183"/>
      <c r="J66" s="183"/>
      <c r="K66" s="183"/>
      <c r="L66" s="183"/>
      <c r="M66" s="183"/>
      <c r="N66" s="183"/>
      <c r="O66" s="183"/>
      <c r="P66" s="183"/>
      <c r="Q66" s="183"/>
      <c r="R66" s="183"/>
      <c r="S66" s="183"/>
      <c r="T66" s="183"/>
      <c r="U66" s="183"/>
      <c r="V66" s="202"/>
      <c r="W66" s="183"/>
      <c r="X66" s="5"/>
    </row>
    <row r="67" spans="1:24" s="522" customFormat="1" ht="47.25" x14ac:dyDescent="0.25">
      <c r="A67" s="525"/>
      <c r="B67" s="526" t="s">
        <v>18</v>
      </c>
      <c r="C67" s="527"/>
      <c r="D67" s="527"/>
      <c r="E67" s="527"/>
      <c r="F67" s="527"/>
      <c r="G67" s="527"/>
      <c r="H67" s="527"/>
      <c r="I67" s="527"/>
      <c r="J67" s="527"/>
      <c r="K67" s="527"/>
      <c r="L67" s="527" t="s">
        <v>94</v>
      </c>
      <c r="M67" s="527"/>
      <c r="N67" s="527" t="s">
        <v>96</v>
      </c>
      <c r="O67" s="527"/>
      <c r="P67" s="527" t="s">
        <v>98</v>
      </c>
      <c r="Q67" s="527"/>
      <c r="R67" s="527" t="s">
        <v>100</v>
      </c>
      <c r="S67" s="527"/>
      <c r="T67" s="527" t="s">
        <v>106</v>
      </c>
      <c r="U67" s="527"/>
      <c r="V67" s="528" t="s">
        <v>112</v>
      </c>
      <c r="W67" s="529"/>
      <c r="X67" s="521"/>
    </row>
    <row r="68" spans="1:24" s="420" customFormat="1" ht="15.75" x14ac:dyDescent="0.25">
      <c r="A68" s="428"/>
      <c r="B68" s="429" t="s">
        <v>19</v>
      </c>
      <c r="C68" s="472"/>
      <c r="D68" s="472"/>
      <c r="E68" s="472"/>
      <c r="F68" s="472"/>
      <c r="G68" s="472"/>
      <c r="H68" s="472"/>
      <c r="I68" s="472"/>
      <c r="J68" s="472"/>
      <c r="K68" s="472"/>
      <c r="L68" s="472">
        <v>812446</v>
      </c>
      <c r="M68" s="472"/>
      <c r="N68" s="473">
        <v>614618</v>
      </c>
      <c r="O68" s="472"/>
      <c r="P68" s="472">
        <f>12220+442+7</f>
        <v>12669</v>
      </c>
      <c r="Q68" s="472"/>
      <c r="R68" s="472">
        <f>442+7</f>
        <v>449</v>
      </c>
      <c r="S68" s="472"/>
      <c r="T68" s="472">
        <v>0</v>
      </c>
      <c r="U68" s="472"/>
      <c r="V68" s="473">
        <f>+N68-P68+R68-T68</f>
        <v>602398</v>
      </c>
      <c r="W68" s="432"/>
      <c r="X68" s="419"/>
    </row>
    <row r="69" spans="1:24" s="420" customFormat="1" ht="15.75" x14ac:dyDescent="0.25">
      <c r="A69" s="428"/>
      <c r="B69" s="429" t="s">
        <v>20</v>
      </c>
      <c r="C69" s="472"/>
      <c r="D69" s="472"/>
      <c r="E69" s="472"/>
      <c r="F69" s="472"/>
      <c r="G69" s="472"/>
      <c r="H69" s="472"/>
      <c r="I69" s="472"/>
      <c r="J69" s="472"/>
      <c r="K69" s="472"/>
      <c r="L69" s="472">
        <v>0</v>
      </c>
      <c r="M69" s="472"/>
      <c r="N69" s="473">
        <v>0</v>
      </c>
      <c r="O69" s="472"/>
      <c r="P69" s="472">
        <v>0</v>
      </c>
      <c r="Q69" s="472"/>
      <c r="R69" s="472">
        <v>0</v>
      </c>
      <c r="S69" s="472"/>
      <c r="T69" s="472">
        <v>0</v>
      </c>
      <c r="U69" s="472"/>
      <c r="V69" s="473">
        <f>+L69-P69</f>
        <v>0</v>
      </c>
      <c r="W69" s="432"/>
      <c r="X69" s="419"/>
    </row>
    <row r="70" spans="1:24" s="420" customFormat="1" ht="15.75" x14ac:dyDescent="0.25">
      <c r="A70" s="428"/>
      <c r="B70" s="429"/>
      <c r="C70" s="472"/>
      <c r="D70" s="472"/>
      <c r="E70" s="472"/>
      <c r="F70" s="472"/>
      <c r="G70" s="472"/>
      <c r="H70" s="472"/>
      <c r="I70" s="472"/>
      <c r="J70" s="472"/>
      <c r="K70" s="472"/>
      <c r="L70" s="472"/>
      <c r="M70" s="472"/>
      <c r="N70" s="473"/>
      <c r="O70" s="472"/>
      <c r="P70" s="472"/>
      <c r="Q70" s="472"/>
      <c r="R70" s="472"/>
      <c r="S70" s="472"/>
      <c r="T70" s="472"/>
      <c r="U70" s="472"/>
      <c r="V70" s="473"/>
      <c r="W70" s="432"/>
      <c r="X70" s="419"/>
    </row>
    <row r="71" spans="1:24" s="420" customFormat="1" ht="15.75" x14ac:dyDescent="0.25">
      <c r="A71" s="428"/>
      <c r="B71" s="429" t="s">
        <v>21</v>
      </c>
      <c r="C71" s="472"/>
      <c r="D71" s="472"/>
      <c r="E71" s="472"/>
      <c r="F71" s="472"/>
      <c r="G71" s="472"/>
      <c r="H71" s="472"/>
      <c r="I71" s="472"/>
      <c r="J71" s="472"/>
      <c r="K71" s="472"/>
      <c r="L71" s="472">
        <f>SUM(L68:L70)</f>
        <v>812446</v>
      </c>
      <c r="M71" s="472"/>
      <c r="N71" s="472">
        <f>N68+N69</f>
        <v>614618</v>
      </c>
      <c r="O71" s="472"/>
      <c r="P71" s="472">
        <f>SUM(P68:P70)</f>
        <v>12669</v>
      </c>
      <c r="Q71" s="472"/>
      <c r="R71" s="472">
        <f>SUM(R68:R70)</f>
        <v>449</v>
      </c>
      <c r="S71" s="472"/>
      <c r="T71" s="472">
        <f>SUM(T68:T70)</f>
        <v>0</v>
      </c>
      <c r="U71" s="472"/>
      <c r="V71" s="472">
        <f>SUM(V68:V70)</f>
        <v>602398</v>
      </c>
      <c r="W71" s="432"/>
      <c r="X71" s="419"/>
    </row>
    <row r="72" spans="1:24" ht="15.75" x14ac:dyDescent="0.25">
      <c r="A72" s="181"/>
      <c r="B72" s="212"/>
      <c r="C72" s="335"/>
      <c r="D72" s="335"/>
      <c r="E72" s="335"/>
      <c r="F72" s="335"/>
      <c r="G72" s="335"/>
      <c r="H72" s="335"/>
      <c r="I72" s="335"/>
      <c r="J72" s="335"/>
      <c r="K72" s="335"/>
      <c r="L72" s="335"/>
      <c r="M72" s="335"/>
      <c r="N72" s="335"/>
      <c r="O72" s="335"/>
      <c r="P72" s="335"/>
      <c r="Q72" s="335"/>
      <c r="R72" s="335"/>
      <c r="S72" s="335"/>
      <c r="T72" s="335"/>
      <c r="U72" s="335"/>
      <c r="V72" s="336"/>
      <c r="W72" s="212"/>
      <c r="X72" s="5"/>
    </row>
    <row r="73" spans="1:24" ht="15.75" x14ac:dyDescent="0.25">
      <c r="A73" s="181"/>
      <c r="B73" s="511" t="s">
        <v>22</v>
      </c>
      <c r="C73" s="207"/>
      <c r="D73" s="207"/>
      <c r="E73" s="207"/>
      <c r="F73" s="207"/>
      <c r="G73" s="207"/>
      <c r="H73" s="207"/>
      <c r="I73" s="207"/>
      <c r="J73" s="207"/>
      <c r="K73" s="207"/>
      <c r="L73" s="207"/>
      <c r="M73" s="207"/>
      <c r="N73" s="207"/>
      <c r="O73" s="207"/>
      <c r="P73" s="207"/>
      <c r="Q73" s="207"/>
      <c r="R73" s="207"/>
      <c r="S73" s="207"/>
      <c r="T73" s="207"/>
      <c r="U73" s="207"/>
      <c r="V73" s="208"/>
      <c r="W73" s="183"/>
      <c r="X73" s="5"/>
    </row>
    <row r="74" spans="1:24" ht="15.75" x14ac:dyDescent="0.25">
      <c r="A74" s="181"/>
      <c r="B74" s="183"/>
      <c r="C74" s="207"/>
      <c r="D74" s="207"/>
      <c r="E74" s="207"/>
      <c r="F74" s="207"/>
      <c r="G74" s="207"/>
      <c r="H74" s="207"/>
      <c r="I74" s="207"/>
      <c r="J74" s="207"/>
      <c r="K74" s="207"/>
      <c r="L74" s="207"/>
      <c r="M74" s="207"/>
      <c r="N74" s="207"/>
      <c r="O74" s="207"/>
      <c r="P74" s="207"/>
      <c r="Q74" s="207"/>
      <c r="R74" s="207"/>
      <c r="S74" s="207"/>
      <c r="T74" s="207"/>
      <c r="U74" s="207"/>
      <c r="V74" s="208"/>
      <c r="W74" s="183"/>
      <c r="X74" s="5"/>
    </row>
    <row r="75" spans="1:24" s="420" customFormat="1" ht="15.75" x14ac:dyDescent="0.25">
      <c r="A75" s="428"/>
      <c r="B75" s="429" t="s">
        <v>19</v>
      </c>
      <c r="C75" s="472"/>
      <c r="D75" s="472"/>
      <c r="E75" s="472"/>
      <c r="F75" s="472"/>
      <c r="G75" s="472"/>
      <c r="H75" s="472"/>
      <c r="I75" s="472"/>
      <c r="J75" s="472"/>
      <c r="K75" s="472"/>
      <c r="L75" s="472"/>
      <c r="M75" s="472"/>
      <c r="N75" s="472"/>
      <c r="O75" s="472"/>
      <c r="P75" s="472"/>
      <c r="Q75" s="472"/>
      <c r="R75" s="472"/>
      <c r="S75" s="472"/>
      <c r="T75" s="472"/>
      <c r="U75" s="472"/>
      <c r="V75" s="472"/>
      <c r="W75" s="432"/>
      <c r="X75" s="419"/>
    </row>
    <row r="76" spans="1:24" s="420" customFormat="1" ht="15.75" x14ac:dyDescent="0.25">
      <c r="A76" s="428"/>
      <c r="B76" s="429" t="s">
        <v>20</v>
      </c>
      <c r="C76" s="472"/>
      <c r="D76" s="472"/>
      <c r="E76" s="472"/>
      <c r="F76" s="472"/>
      <c r="G76" s="472"/>
      <c r="H76" s="472"/>
      <c r="I76" s="472"/>
      <c r="J76" s="472"/>
      <c r="K76" s="472"/>
      <c r="L76" s="472"/>
      <c r="M76" s="472"/>
      <c r="N76" s="472"/>
      <c r="O76" s="472"/>
      <c r="P76" s="472"/>
      <c r="Q76" s="472"/>
      <c r="R76" s="472"/>
      <c r="S76" s="472"/>
      <c r="T76" s="472"/>
      <c r="U76" s="472"/>
      <c r="V76" s="472"/>
      <c r="W76" s="432"/>
      <c r="X76" s="419"/>
    </row>
    <row r="77" spans="1:24" s="420" customFormat="1" ht="15.75" x14ac:dyDescent="0.25">
      <c r="A77" s="428"/>
      <c r="B77" s="429"/>
      <c r="C77" s="472"/>
      <c r="D77" s="472"/>
      <c r="E77" s="472"/>
      <c r="F77" s="472"/>
      <c r="G77" s="472"/>
      <c r="H77" s="472"/>
      <c r="I77" s="472"/>
      <c r="J77" s="472"/>
      <c r="K77" s="472"/>
      <c r="L77" s="472"/>
      <c r="M77" s="472"/>
      <c r="N77" s="472"/>
      <c r="O77" s="472"/>
      <c r="P77" s="472"/>
      <c r="Q77" s="472"/>
      <c r="R77" s="472"/>
      <c r="S77" s="472"/>
      <c r="T77" s="472"/>
      <c r="U77" s="472"/>
      <c r="V77" s="472"/>
      <c r="W77" s="432"/>
      <c r="X77" s="419"/>
    </row>
    <row r="78" spans="1:24" s="420" customFormat="1" ht="15.75" x14ac:dyDescent="0.25">
      <c r="A78" s="428"/>
      <c r="B78" s="429" t="s">
        <v>21</v>
      </c>
      <c r="C78" s="472"/>
      <c r="D78" s="472"/>
      <c r="E78" s="472"/>
      <c r="F78" s="472"/>
      <c r="G78" s="472"/>
      <c r="H78" s="472"/>
      <c r="I78" s="472"/>
      <c r="J78" s="472"/>
      <c r="K78" s="472"/>
      <c r="L78" s="472"/>
      <c r="M78" s="472"/>
      <c r="N78" s="472"/>
      <c r="O78" s="472"/>
      <c r="P78" s="472"/>
      <c r="Q78" s="472"/>
      <c r="R78" s="472"/>
      <c r="S78" s="472"/>
      <c r="T78" s="472"/>
      <c r="U78" s="472"/>
      <c r="V78" s="472"/>
      <c r="W78" s="432"/>
      <c r="X78" s="419"/>
    </row>
    <row r="79" spans="1:24" s="420" customFormat="1" ht="15.75" x14ac:dyDescent="0.25">
      <c r="A79" s="428"/>
      <c r="B79" s="429"/>
      <c r="C79" s="472"/>
      <c r="D79" s="472"/>
      <c r="E79" s="472"/>
      <c r="F79" s="472"/>
      <c r="G79" s="472"/>
      <c r="H79" s="472"/>
      <c r="I79" s="472"/>
      <c r="J79" s="472"/>
      <c r="K79" s="472"/>
      <c r="L79" s="472"/>
      <c r="M79" s="472"/>
      <c r="N79" s="472"/>
      <c r="O79" s="472"/>
      <c r="P79" s="472"/>
      <c r="Q79" s="472"/>
      <c r="R79" s="472"/>
      <c r="S79" s="472"/>
      <c r="T79" s="472"/>
      <c r="U79" s="472"/>
      <c r="V79" s="472"/>
      <c r="W79" s="432"/>
      <c r="X79" s="419"/>
    </row>
    <row r="80" spans="1:24" s="420" customFormat="1" ht="15.75" x14ac:dyDescent="0.25">
      <c r="A80" s="428"/>
      <c r="B80" s="429" t="s">
        <v>23</v>
      </c>
      <c r="C80" s="472"/>
      <c r="D80" s="472"/>
      <c r="E80" s="472"/>
      <c r="F80" s="472"/>
      <c r="G80" s="472"/>
      <c r="H80" s="472"/>
      <c r="I80" s="472"/>
      <c r="J80" s="472"/>
      <c r="K80" s="472"/>
      <c r="L80" s="472">
        <v>0</v>
      </c>
      <c r="M80" s="472"/>
      <c r="N80" s="472">
        <v>0</v>
      </c>
      <c r="O80" s="472"/>
      <c r="P80" s="472"/>
      <c r="Q80" s="472"/>
      <c r="R80" s="472"/>
      <c r="S80" s="472"/>
      <c r="T80" s="472"/>
      <c r="U80" s="472"/>
      <c r="V80" s="473">
        <v>0</v>
      </c>
      <c r="W80" s="432"/>
      <c r="X80" s="419"/>
    </row>
    <row r="81" spans="1:24" s="420" customFormat="1" ht="15.75" x14ac:dyDescent="0.25">
      <c r="A81" s="428"/>
      <c r="B81" s="429" t="s">
        <v>117</v>
      </c>
      <c r="C81" s="472"/>
      <c r="D81" s="472"/>
      <c r="E81" s="472"/>
      <c r="F81" s="472"/>
      <c r="G81" s="472"/>
      <c r="H81" s="472"/>
      <c r="I81" s="472"/>
      <c r="J81" s="472"/>
      <c r="K81" s="472"/>
      <c r="L81" s="472">
        <v>188687</v>
      </c>
      <c r="M81" s="472"/>
      <c r="N81" s="472">
        <v>0</v>
      </c>
      <c r="O81" s="472"/>
      <c r="P81" s="472">
        <v>0</v>
      </c>
      <c r="Q81" s="472"/>
      <c r="R81" s="472"/>
      <c r="S81" s="472"/>
      <c r="T81" s="472"/>
      <c r="U81" s="472"/>
      <c r="V81" s="472">
        <f>SUM(N81:R81)</f>
        <v>0</v>
      </c>
      <c r="W81" s="432"/>
      <c r="X81" s="419"/>
    </row>
    <row r="82" spans="1:24" s="420" customFormat="1" ht="15.75" x14ac:dyDescent="0.25">
      <c r="A82" s="428"/>
      <c r="B82" s="429" t="s">
        <v>146</v>
      </c>
      <c r="C82" s="472"/>
      <c r="D82" s="472"/>
      <c r="E82" s="472"/>
      <c r="F82" s="472"/>
      <c r="G82" s="472"/>
      <c r="H82" s="472"/>
      <c r="I82" s="472"/>
      <c r="J82" s="472"/>
      <c r="K82" s="472"/>
      <c r="L82" s="472">
        <v>0</v>
      </c>
      <c r="M82" s="472"/>
      <c r="N82" s="472">
        <v>0</v>
      </c>
      <c r="O82" s="472"/>
      <c r="P82" s="472">
        <v>0</v>
      </c>
      <c r="Q82" s="472"/>
      <c r="R82" s="472"/>
      <c r="S82" s="472"/>
      <c r="T82" s="472"/>
      <c r="U82" s="472"/>
      <c r="V82" s="472">
        <f>+N82+P82</f>
        <v>0</v>
      </c>
      <c r="W82" s="432"/>
      <c r="X82" s="419"/>
    </row>
    <row r="83" spans="1:24" s="420" customFormat="1" ht="15.75" x14ac:dyDescent="0.25">
      <c r="A83" s="428"/>
      <c r="B83" s="429" t="s">
        <v>25</v>
      </c>
      <c r="C83" s="472"/>
      <c r="D83" s="472"/>
      <c r="E83" s="472"/>
      <c r="F83" s="472"/>
      <c r="G83" s="472"/>
      <c r="H83" s="472"/>
      <c r="I83" s="472"/>
      <c r="J83" s="472"/>
      <c r="K83" s="472"/>
      <c r="L83" s="472">
        <v>0</v>
      </c>
      <c r="M83" s="472"/>
      <c r="N83" s="472">
        <v>0</v>
      </c>
      <c r="O83" s="472"/>
      <c r="P83" s="472"/>
      <c r="Q83" s="472"/>
      <c r="R83" s="472"/>
      <c r="S83" s="472"/>
      <c r="T83" s="472"/>
      <c r="U83" s="472"/>
      <c r="V83" s="472">
        <v>0</v>
      </c>
      <c r="W83" s="432"/>
      <c r="X83" s="419"/>
    </row>
    <row r="84" spans="1:24" s="420" customFormat="1" ht="15.75" x14ac:dyDescent="0.25">
      <c r="A84" s="428"/>
      <c r="B84" s="429" t="s">
        <v>26</v>
      </c>
      <c r="C84" s="472"/>
      <c r="D84" s="472"/>
      <c r="E84" s="472"/>
      <c r="F84" s="472"/>
      <c r="G84" s="472"/>
      <c r="H84" s="472"/>
      <c r="I84" s="472"/>
      <c r="J84" s="472"/>
      <c r="K84" s="472"/>
      <c r="L84" s="472">
        <f>SUM(L71:L83)</f>
        <v>1001133</v>
      </c>
      <c r="M84" s="472"/>
      <c r="N84" s="472">
        <f>SUM(N71:N83)</f>
        <v>614618</v>
      </c>
      <c r="O84" s="472"/>
      <c r="P84" s="472"/>
      <c r="Q84" s="472"/>
      <c r="R84" s="472"/>
      <c r="S84" s="472"/>
      <c r="T84" s="472"/>
      <c r="U84" s="472"/>
      <c r="V84" s="472">
        <f>SUM(V71:V83)</f>
        <v>602398</v>
      </c>
      <c r="W84" s="432"/>
      <c r="X84" s="419"/>
    </row>
    <row r="85" spans="1:24" ht="15.75" x14ac:dyDescent="0.25">
      <c r="A85" s="181"/>
      <c r="B85" s="212"/>
      <c r="C85" s="335"/>
      <c r="D85" s="335"/>
      <c r="E85" s="335"/>
      <c r="F85" s="335"/>
      <c r="G85" s="335"/>
      <c r="H85" s="335"/>
      <c r="I85" s="335"/>
      <c r="J85" s="335"/>
      <c r="K85" s="335"/>
      <c r="L85" s="335"/>
      <c r="M85" s="335"/>
      <c r="N85" s="335"/>
      <c r="O85" s="335"/>
      <c r="P85" s="335"/>
      <c r="Q85" s="335"/>
      <c r="R85" s="335"/>
      <c r="S85" s="335"/>
      <c r="T85" s="335"/>
      <c r="U85" s="335"/>
      <c r="V85" s="336"/>
      <c r="W85" s="212"/>
      <c r="X85" s="5"/>
    </row>
    <row r="86" spans="1:24" ht="15.75" x14ac:dyDescent="0.25">
      <c r="A86" s="181"/>
      <c r="B86" s="183"/>
      <c r="C86" s="183"/>
      <c r="D86" s="183"/>
      <c r="E86" s="183"/>
      <c r="F86" s="183"/>
      <c r="G86" s="183"/>
      <c r="H86" s="183"/>
      <c r="I86" s="183"/>
      <c r="J86" s="183"/>
      <c r="K86" s="183"/>
      <c r="L86" s="183"/>
      <c r="M86" s="183"/>
      <c r="N86" s="183"/>
      <c r="O86" s="183"/>
      <c r="P86" s="183"/>
      <c r="Q86" s="183"/>
      <c r="R86" s="183"/>
      <c r="S86" s="183"/>
      <c r="T86" s="183"/>
      <c r="U86" s="183"/>
      <c r="V86" s="183"/>
      <c r="W86" s="183"/>
      <c r="X86" s="5"/>
    </row>
    <row r="87" spans="1:24" ht="15.75" x14ac:dyDescent="0.25">
      <c r="A87" s="536"/>
      <c r="B87" s="547" t="s">
        <v>27</v>
      </c>
      <c r="C87" s="547"/>
      <c r="D87" s="547"/>
      <c r="E87" s="547"/>
      <c r="F87" s="547"/>
      <c r="G87" s="547"/>
      <c r="H87" s="548"/>
      <c r="I87" s="548"/>
      <c r="J87" s="548"/>
      <c r="K87" s="548"/>
      <c r="L87" s="549" t="s">
        <v>95</v>
      </c>
      <c r="M87" s="548"/>
      <c r="N87" s="550">
        <f>+T202</f>
        <v>43343</v>
      </c>
      <c r="O87" s="548"/>
      <c r="P87" s="548"/>
      <c r="Q87" s="548"/>
      <c r="R87" s="548"/>
      <c r="S87" s="548"/>
      <c r="T87" s="548" t="s">
        <v>107</v>
      </c>
      <c r="U87" s="548"/>
      <c r="V87" s="548" t="s">
        <v>113</v>
      </c>
      <c r="W87" s="544"/>
      <c r="X87" s="5"/>
    </row>
    <row r="88" spans="1:24" s="420" customFormat="1" ht="15.75" x14ac:dyDescent="0.25">
      <c r="A88" s="416"/>
      <c r="B88" s="462" t="s">
        <v>28</v>
      </c>
      <c r="C88" s="462"/>
      <c r="D88" s="462"/>
      <c r="E88" s="462"/>
      <c r="F88" s="462"/>
      <c r="G88" s="462"/>
      <c r="H88" s="462"/>
      <c r="I88" s="462"/>
      <c r="J88" s="462"/>
      <c r="K88" s="462"/>
      <c r="L88" s="462"/>
      <c r="M88" s="462"/>
      <c r="N88" s="462"/>
      <c r="O88" s="462"/>
      <c r="P88" s="462"/>
      <c r="Q88" s="462"/>
      <c r="R88" s="462"/>
      <c r="S88" s="462"/>
      <c r="T88" s="478">
        <v>0</v>
      </c>
      <c r="U88" s="462"/>
      <c r="V88" s="499">
        <v>0</v>
      </c>
      <c r="W88" s="462"/>
      <c r="X88" s="419"/>
    </row>
    <row r="89" spans="1:24" s="420" customFormat="1" ht="15.75" x14ac:dyDescent="0.25">
      <c r="A89" s="428"/>
      <c r="B89" s="429" t="s">
        <v>29</v>
      </c>
      <c r="C89" s="429"/>
      <c r="D89" s="429"/>
      <c r="E89" s="429"/>
      <c r="F89" s="429"/>
      <c r="G89" s="429"/>
      <c r="H89" s="452"/>
      <c r="I89" s="452"/>
      <c r="J89" s="452"/>
      <c r="K89" s="474"/>
      <c r="L89" s="452"/>
      <c r="M89" s="429"/>
      <c r="N89" s="475"/>
      <c r="O89" s="429"/>
      <c r="P89" s="429"/>
      <c r="Q89" s="429"/>
      <c r="R89" s="429"/>
      <c r="S89" s="429"/>
      <c r="T89" s="472">
        <f>12669-149</f>
        <v>12520</v>
      </c>
      <c r="U89" s="429"/>
      <c r="V89" s="473"/>
      <c r="W89" s="432"/>
      <c r="X89" s="419"/>
    </row>
    <row r="90" spans="1:24" s="420" customFormat="1" ht="15.75" x14ac:dyDescent="0.25">
      <c r="A90" s="428"/>
      <c r="B90" s="429" t="s">
        <v>215</v>
      </c>
      <c r="C90" s="429"/>
      <c r="D90" s="429"/>
      <c r="E90" s="429"/>
      <c r="F90" s="429"/>
      <c r="G90" s="429"/>
      <c r="H90" s="452"/>
      <c r="I90" s="452"/>
      <c r="J90" s="452"/>
      <c r="K90" s="474"/>
      <c r="L90" s="452"/>
      <c r="M90" s="429"/>
      <c r="N90" s="475"/>
      <c r="O90" s="429"/>
      <c r="P90" s="429"/>
      <c r="Q90" s="429"/>
      <c r="R90" s="429"/>
      <c r="S90" s="429"/>
      <c r="T90" s="472"/>
      <c r="U90" s="429"/>
      <c r="V90" s="473">
        <f>3184+2437-887-712</f>
        <v>4022</v>
      </c>
      <c r="W90" s="432"/>
      <c r="X90" s="419"/>
    </row>
    <row r="91" spans="1:24" s="420" customFormat="1" ht="15.75" x14ac:dyDescent="0.25">
      <c r="A91" s="428"/>
      <c r="B91" s="429" t="s">
        <v>210</v>
      </c>
      <c r="C91" s="429"/>
      <c r="D91" s="429"/>
      <c r="E91" s="429"/>
      <c r="F91" s="429"/>
      <c r="G91" s="429"/>
      <c r="H91" s="452"/>
      <c r="I91" s="452"/>
      <c r="J91" s="452"/>
      <c r="K91" s="474"/>
      <c r="L91" s="452"/>
      <c r="M91" s="429"/>
      <c r="N91" s="475"/>
      <c r="O91" s="429"/>
      <c r="P91" s="429"/>
      <c r="Q91" s="429"/>
      <c r="R91" s="429"/>
      <c r="S91" s="429"/>
      <c r="T91" s="472"/>
      <c r="U91" s="429"/>
      <c r="V91" s="473">
        <f>60+17</f>
        <v>77</v>
      </c>
      <c r="W91" s="432"/>
      <c r="X91" s="419"/>
    </row>
    <row r="92" spans="1:24" s="420" customFormat="1" ht="15.75" x14ac:dyDescent="0.25">
      <c r="A92" s="428"/>
      <c r="B92" s="429" t="s">
        <v>211</v>
      </c>
      <c r="C92" s="429"/>
      <c r="D92" s="429"/>
      <c r="E92" s="429"/>
      <c r="F92" s="429"/>
      <c r="G92" s="429"/>
      <c r="H92" s="452"/>
      <c r="I92" s="452"/>
      <c r="J92" s="452"/>
      <c r="K92" s="474"/>
      <c r="L92" s="452"/>
      <c r="M92" s="429"/>
      <c r="N92" s="475"/>
      <c r="O92" s="429"/>
      <c r="P92" s="429"/>
      <c r="Q92" s="429"/>
      <c r="R92" s="429"/>
      <c r="S92" s="429"/>
      <c r="T92" s="472"/>
      <c r="U92" s="429"/>
      <c r="V92" s="473">
        <v>38</v>
      </c>
      <c r="W92" s="432"/>
      <c r="X92" s="419"/>
    </row>
    <row r="93" spans="1:24" s="420" customFormat="1" ht="15.75" x14ac:dyDescent="0.25">
      <c r="A93" s="428"/>
      <c r="B93" s="429" t="s">
        <v>233</v>
      </c>
      <c r="C93" s="429"/>
      <c r="D93" s="429"/>
      <c r="E93" s="429"/>
      <c r="F93" s="429"/>
      <c r="G93" s="429"/>
      <c r="H93" s="452"/>
      <c r="I93" s="452"/>
      <c r="J93" s="452"/>
      <c r="K93" s="474"/>
      <c r="L93" s="452"/>
      <c r="M93" s="429"/>
      <c r="N93" s="475"/>
      <c r="O93" s="429"/>
      <c r="P93" s="429"/>
      <c r="Q93" s="429"/>
      <c r="R93" s="429"/>
      <c r="S93" s="429"/>
      <c r="T93" s="472"/>
      <c r="U93" s="429"/>
      <c r="V93" s="473">
        <v>0</v>
      </c>
      <c r="W93" s="432"/>
      <c r="X93" s="419"/>
    </row>
    <row r="94" spans="1:24" s="420" customFormat="1" ht="15.75" x14ac:dyDescent="0.25">
      <c r="A94" s="428"/>
      <c r="B94" s="429" t="s">
        <v>235</v>
      </c>
      <c r="C94" s="429"/>
      <c r="D94" s="429"/>
      <c r="E94" s="429"/>
      <c r="F94" s="429"/>
      <c r="G94" s="429"/>
      <c r="H94" s="452"/>
      <c r="I94" s="452"/>
      <c r="J94" s="452"/>
      <c r="K94" s="474"/>
      <c r="L94" s="452"/>
      <c r="M94" s="429"/>
      <c r="N94" s="475"/>
      <c r="O94" s="429"/>
      <c r="P94" s="429"/>
      <c r="Q94" s="429"/>
      <c r="R94" s="429"/>
      <c r="S94" s="429"/>
      <c r="T94" s="472"/>
      <c r="U94" s="429"/>
      <c r="V94" s="473">
        <v>0</v>
      </c>
      <c r="W94" s="432"/>
      <c r="X94" s="419"/>
    </row>
    <row r="95" spans="1:24" s="420" customFormat="1" ht="15.75" x14ac:dyDescent="0.25">
      <c r="A95" s="428"/>
      <c r="B95" s="429" t="s">
        <v>135</v>
      </c>
      <c r="C95" s="429"/>
      <c r="D95" s="429"/>
      <c r="E95" s="429"/>
      <c r="F95" s="429"/>
      <c r="G95" s="429"/>
      <c r="H95" s="429"/>
      <c r="I95" s="429"/>
      <c r="J95" s="429"/>
      <c r="K95" s="429"/>
      <c r="L95" s="429"/>
      <c r="M95" s="429"/>
      <c r="N95" s="429"/>
      <c r="O95" s="429"/>
      <c r="P95" s="429"/>
      <c r="Q95" s="429"/>
      <c r="R95" s="429"/>
      <c r="S95" s="429"/>
      <c r="T95" s="472"/>
      <c r="U95" s="429"/>
      <c r="V95" s="473">
        <v>0</v>
      </c>
      <c r="W95" s="432"/>
      <c r="X95" s="419"/>
    </row>
    <row r="96" spans="1:24" s="420" customFormat="1" ht="15.75" x14ac:dyDescent="0.25">
      <c r="A96" s="428"/>
      <c r="B96" s="429" t="s">
        <v>272</v>
      </c>
      <c r="C96" s="429"/>
      <c r="D96" s="429"/>
      <c r="E96" s="429"/>
      <c r="F96" s="429"/>
      <c r="G96" s="429"/>
      <c r="H96" s="429"/>
      <c r="I96" s="429"/>
      <c r="J96" s="429"/>
      <c r="K96" s="429"/>
      <c r="L96" s="429"/>
      <c r="M96" s="429"/>
      <c r="N96" s="429"/>
      <c r="O96" s="429"/>
      <c r="P96" s="429"/>
      <c r="Q96" s="429"/>
      <c r="R96" s="429"/>
      <c r="S96" s="429"/>
      <c r="T96" s="472"/>
      <c r="U96" s="429"/>
      <c r="V96" s="473">
        <v>0</v>
      </c>
      <c r="W96" s="432"/>
      <c r="X96" s="419"/>
    </row>
    <row r="97" spans="1:25" s="420" customFormat="1" ht="15.75" x14ac:dyDescent="0.25">
      <c r="A97" s="428"/>
      <c r="B97" s="429" t="s">
        <v>30</v>
      </c>
      <c r="C97" s="429"/>
      <c r="D97" s="429"/>
      <c r="E97" s="429"/>
      <c r="F97" s="429"/>
      <c r="G97" s="429"/>
      <c r="H97" s="429"/>
      <c r="I97" s="429"/>
      <c r="J97" s="429"/>
      <c r="K97" s="429"/>
      <c r="L97" s="429"/>
      <c r="M97" s="429"/>
      <c r="N97" s="429"/>
      <c r="O97" s="429"/>
      <c r="P97" s="429"/>
      <c r="Q97" s="429"/>
      <c r="R97" s="429"/>
      <c r="S97" s="429"/>
      <c r="T97" s="472">
        <f>SUM(T88:T96)</f>
        <v>12520</v>
      </c>
      <c r="U97" s="429"/>
      <c r="V97" s="472">
        <f>SUM(V88:V96)</f>
        <v>4137</v>
      </c>
      <c r="W97" s="432"/>
      <c r="X97" s="419"/>
    </row>
    <row r="98" spans="1:25" s="420" customFormat="1" ht="15.75" x14ac:dyDescent="0.25">
      <c r="A98" s="428"/>
      <c r="B98" s="429" t="s">
        <v>161</v>
      </c>
      <c r="C98" s="429"/>
      <c r="D98" s="429"/>
      <c r="E98" s="429"/>
      <c r="F98" s="429"/>
      <c r="G98" s="429"/>
      <c r="H98" s="429"/>
      <c r="I98" s="429"/>
      <c r="J98" s="429"/>
      <c r="K98" s="429"/>
      <c r="L98" s="429"/>
      <c r="M98" s="429"/>
      <c r="N98" s="429"/>
      <c r="O98" s="429"/>
      <c r="P98" s="429"/>
      <c r="Q98" s="429"/>
      <c r="R98" s="429"/>
      <c r="S98" s="429"/>
      <c r="T98" s="472">
        <f>-V98</f>
        <v>0</v>
      </c>
      <c r="U98" s="429"/>
      <c r="V98" s="472">
        <v>0</v>
      </c>
      <c r="W98" s="432"/>
      <c r="X98" s="419"/>
    </row>
    <row r="99" spans="1:25" s="420" customFormat="1" ht="15.75" x14ac:dyDescent="0.25">
      <c r="A99" s="428"/>
      <c r="B99" s="429" t="s">
        <v>31</v>
      </c>
      <c r="C99" s="429"/>
      <c r="D99" s="429"/>
      <c r="E99" s="429"/>
      <c r="F99" s="429"/>
      <c r="G99" s="429"/>
      <c r="H99" s="429"/>
      <c r="I99" s="429"/>
      <c r="J99" s="429"/>
      <c r="K99" s="429"/>
      <c r="L99" s="429"/>
      <c r="M99" s="429"/>
      <c r="N99" s="429"/>
      <c r="O99" s="429"/>
      <c r="P99" s="429"/>
      <c r="Q99" s="429"/>
      <c r="R99" s="429"/>
      <c r="S99" s="429"/>
      <c r="T99" s="472">
        <f>-V99</f>
        <v>0</v>
      </c>
      <c r="U99" s="429"/>
      <c r="V99" s="473">
        <v>0</v>
      </c>
      <c r="W99" s="432"/>
      <c r="X99" s="419"/>
    </row>
    <row r="100" spans="1:25" s="420" customFormat="1" ht="15.75" x14ac:dyDescent="0.25">
      <c r="A100" s="428"/>
      <c r="B100" s="429" t="s">
        <v>274</v>
      </c>
      <c r="C100" s="429"/>
      <c r="D100" s="429"/>
      <c r="E100" s="429"/>
      <c r="F100" s="429"/>
      <c r="G100" s="429"/>
      <c r="H100" s="429"/>
      <c r="I100" s="429"/>
      <c r="J100" s="429"/>
      <c r="K100" s="429"/>
      <c r="L100" s="429"/>
      <c r="M100" s="429"/>
      <c r="N100" s="429"/>
      <c r="O100" s="429"/>
      <c r="P100" s="429"/>
      <c r="Q100" s="429"/>
      <c r="R100" s="429"/>
      <c r="S100" s="429"/>
      <c r="T100" s="472"/>
      <c r="U100" s="429"/>
      <c r="V100" s="473">
        <v>10</v>
      </c>
      <c r="W100" s="432"/>
      <c r="X100" s="419"/>
    </row>
    <row r="101" spans="1:25" s="420" customFormat="1" ht="15.75" x14ac:dyDescent="0.25">
      <c r="A101" s="428"/>
      <c r="B101" s="429" t="s">
        <v>32</v>
      </c>
      <c r="C101" s="429"/>
      <c r="D101" s="429"/>
      <c r="E101" s="429"/>
      <c r="F101" s="429"/>
      <c r="G101" s="429"/>
      <c r="H101" s="429"/>
      <c r="I101" s="429"/>
      <c r="J101" s="429"/>
      <c r="K101" s="429"/>
      <c r="L101" s="429"/>
      <c r="M101" s="429"/>
      <c r="N101" s="429"/>
      <c r="O101" s="429"/>
      <c r="P101" s="429"/>
      <c r="Q101" s="429"/>
      <c r="R101" s="429"/>
      <c r="S101" s="429"/>
      <c r="T101" s="472">
        <f>T97+T99+T98</f>
        <v>12520</v>
      </c>
      <c r="U101" s="429"/>
      <c r="V101" s="472">
        <f>V97+V99+V98+V100</f>
        <v>4147</v>
      </c>
      <c r="W101" s="432"/>
      <c r="X101" s="419"/>
    </row>
    <row r="102" spans="1:25" ht="15.75" x14ac:dyDescent="0.25">
      <c r="A102" s="285"/>
      <c r="B102" s="530" t="s">
        <v>33</v>
      </c>
      <c r="C102" s="314"/>
      <c r="D102" s="314"/>
      <c r="E102" s="314"/>
      <c r="F102" s="314"/>
      <c r="G102" s="314"/>
      <c r="H102" s="314"/>
      <c r="I102" s="314"/>
      <c r="J102" s="314"/>
      <c r="K102" s="314"/>
      <c r="L102" s="314"/>
      <c r="M102" s="314"/>
      <c r="N102" s="314"/>
      <c r="O102" s="314"/>
      <c r="P102" s="314"/>
      <c r="Q102" s="314"/>
      <c r="R102" s="314"/>
      <c r="S102" s="314"/>
      <c r="T102" s="337"/>
      <c r="U102" s="286"/>
      <c r="V102" s="338"/>
      <c r="W102" s="318"/>
      <c r="X102" s="5"/>
    </row>
    <row r="103" spans="1:25" s="420" customFormat="1" ht="15.75" x14ac:dyDescent="0.25">
      <c r="A103" s="428">
        <v>1</v>
      </c>
      <c r="B103" s="429" t="s">
        <v>34</v>
      </c>
      <c r="C103" s="429"/>
      <c r="D103" s="429"/>
      <c r="E103" s="429"/>
      <c r="F103" s="429"/>
      <c r="G103" s="429"/>
      <c r="H103" s="429"/>
      <c r="I103" s="429"/>
      <c r="J103" s="429"/>
      <c r="K103" s="429"/>
      <c r="L103" s="429"/>
      <c r="M103" s="429"/>
      <c r="N103" s="429"/>
      <c r="O103" s="429"/>
      <c r="P103" s="429"/>
      <c r="Q103" s="429"/>
      <c r="R103" s="429"/>
      <c r="S103" s="429"/>
      <c r="T103" s="429"/>
      <c r="U103" s="429"/>
      <c r="V103" s="473">
        <v>0</v>
      </c>
      <c r="W103" s="432"/>
      <c r="X103" s="419"/>
    </row>
    <row r="104" spans="1:25" s="420" customFormat="1" ht="15.75" x14ac:dyDescent="0.25">
      <c r="A104" s="428">
        <f>+A103+1</f>
        <v>2</v>
      </c>
      <c r="B104" s="429" t="s">
        <v>314</v>
      </c>
      <c r="C104" s="429"/>
      <c r="D104" s="429"/>
      <c r="E104" s="429"/>
      <c r="F104" s="429"/>
      <c r="G104" s="429"/>
      <c r="H104" s="429"/>
      <c r="I104" s="429"/>
      <c r="J104" s="429"/>
      <c r="K104" s="429"/>
      <c r="L104" s="429"/>
      <c r="M104" s="429"/>
      <c r="N104" s="429"/>
      <c r="O104" s="429"/>
      <c r="P104" s="429"/>
      <c r="Q104" s="429"/>
      <c r="R104" s="429"/>
      <c r="S104" s="429"/>
      <c r="T104" s="429"/>
      <c r="U104" s="429"/>
      <c r="V104" s="473">
        <v>-2</v>
      </c>
      <c r="W104" s="432"/>
      <c r="X104" s="419"/>
    </row>
    <row r="105" spans="1:25" s="420" customFormat="1" ht="15.75" x14ac:dyDescent="0.25">
      <c r="A105" s="428">
        <f>+A104+1</f>
        <v>3</v>
      </c>
      <c r="B105" s="476" t="s">
        <v>316</v>
      </c>
      <c r="C105" s="429"/>
      <c r="D105" s="429"/>
      <c r="E105" s="429"/>
      <c r="F105" s="429"/>
      <c r="G105" s="429"/>
      <c r="H105" s="429"/>
      <c r="I105" s="429"/>
      <c r="J105" s="429"/>
      <c r="K105" s="429"/>
      <c r="L105" s="429"/>
      <c r="M105" s="429"/>
      <c r="N105" s="429"/>
      <c r="O105" s="429"/>
      <c r="P105" s="429"/>
      <c r="Q105" s="429"/>
      <c r="R105" s="429"/>
      <c r="S105" s="429"/>
      <c r="T105" s="429"/>
      <c r="U105" s="429"/>
      <c r="V105" s="473">
        <f>-236-70-8</f>
        <v>-314</v>
      </c>
      <c r="W105" s="432"/>
      <c r="X105" s="419"/>
    </row>
    <row r="106" spans="1:25" s="420" customFormat="1" ht="15.75" x14ac:dyDescent="0.25">
      <c r="A106" s="428" t="s">
        <v>127</v>
      </c>
      <c r="B106" s="429" t="s">
        <v>116</v>
      </c>
      <c r="C106" s="429"/>
      <c r="D106" s="429"/>
      <c r="E106" s="429"/>
      <c r="F106" s="429"/>
      <c r="G106" s="429"/>
      <c r="H106" s="429"/>
      <c r="I106" s="429"/>
      <c r="J106" s="429"/>
      <c r="K106" s="429"/>
      <c r="L106" s="429"/>
      <c r="M106" s="429"/>
      <c r="N106" s="429"/>
      <c r="O106" s="429"/>
      <c r="P106" s="429"/>
      <c r="Q106" s="429"/>
      <c r="R106" s="429"/>
      <c r="S106" s="429"/>
      <c r="T106" s="429"/>
      <c r="U106" s="429"/>
      <c r="V106" s="473">
        <v>0</v>
      </c>
      <c r="W106" s="432"/>
      <c r="X106" s="419"/>
    </row>
    <row r="107" spans="1:25" s="420" customFormat="1" ht="15.75" x14ac:dyDescent="0.25">
      <c r="A107" s="428" t="s">
        <v>128</v>
      </c>
      <c r="B107" s="429" t="s">
        <v>220</v>
      </c>
      <c r="C107" s="429"/>
      <c r="D107" s="429"/>
      <c r="E107" s="429"/>
      <c r="F107" s="429"/>
      <c r="G107" s="429"/>
      <c r="H107" s="429"/>
      <c r="I107" s="429"/>
      <c r="J107" s="429"/>
      <c r="K107" s="429"/>
      <c r="L107" s="429"/>
      <c r="M107" s="429"/>
      <c r="N107" s="429"/>
      <c r="O107" s="429"/>
      <c r="P107" s="429"/>
      <c r="Q107" s="429"/>
      <c r="R107" s="429"/>
      <c r="S107" s="429"/>
      <c r="T107" s="429"/>
      <c r="U107" s="429"/>
      <c r="V107" s="473">
        <f>-1027+262</f>
        <v>-765</v>
      </c>
      <c r="W107" s="432"/>
      <c r="X107" s="419"/>
      <c r="Y107" s="477"/>
    </row>
    <row r="108" spans="1:25" s="420" customFormat="1" ht="15.75" x14ac:dyDescent="0.25">
      <c r="A108" s="428" t="s">
        <v>150</v>
      </c>
      <c r="B108" s="429" t="s">
        <v>184</v>
      </c>
      <c r="C108" s="429"/>
      <c r="D108" s="429"/>
      <c r="E108" s="429"/>
      <c r="F108" s="429"/>
      <c r="G108" s="429"/>
      <c r="H108" s="429"/>
      <c r="I108" s="429"/>
      <c r="J108" s="429"/>
      <c r="K108" s="429"/>
      <c r="L108" s="429"/>
      <c r="M108" s="429"/>
      <c r="N108" s="429"/>
      <c r="O108" s="429"/>
      <c r="P108" s="429"/>
      <c r="Q108" s="429"/>
      <c r="R108" s="429"/>
      <c r="S108" s="429"/>
      <c r="T108" s="429"/>
      <c r="U108" s="429"/>
      <c r="V108" s="473">
        <v>-262</v>
      </c>
      <c r="W108" s="432"/>
      <c r="X108" s="419"/>
      <c r="Y108" s="477"/>
    </row>
    <row r="109" spans="1:25" s="420" customFormat="1" ht="15.75" x14ac:dyDescent="0.25">
      <c r="A109" s="428" t="s">
        <v>205</v>
      </c>
      <c r="B109" s="429" t="s">
        <v>185</v>
      </c>
      <c r="C109" s="429"/>
      <c r="D109" s="429"/>
      <c r="E109" s="429"/>
      <c r="F109" s="429"/>
      <c r="G109" s="429"/>
      <c r="H109" s="429"/>
      <c r="I109" s="429"/>
      <c r="J109" s="429"/>
      <c r="K109" s="429"/>
      <c r="L109" s="429"/>
      <c r="M109" s="429"/>
      <c r="N109" s="429"/>
      <c r="O109" s="429"/>
      <c r="P109" s="429"/>
      <c r="Q109" s="429"/>
      <c r="R109" s="429"/>
      <c r="S109" s="429"/>
      <c r="T109" s="429"/>
      <c r="U109" s="429"/>
      <c r="V109" s="473">
        <v>-186</v>
      </c>
      <c r="W109" s="432"/>
      <c r="X109" s="419"/>
      <c r="Y109" s="477"/>
    </row>
    <row r="110" spans="1:25" s="420" customFormat="1" ht="15.75" x14ac:dyDescent="0.25">
      <c r="A110" s="428" t="s">
        <v>206</v>
      </c>
      <c r="B110" s="429" t="s">
        <v>186</v>
      </c>
      <c r="C110" s="429"/>
      <c r="D110" s="429"/>
      <c r="E110" s="429"/>
      <c r="F110" s="429"/>
      <c r="G110" s="429"/>
      <c r="H110" s="429"/>
      <c r="I110" s="429"/>
      <c r="J110" s="429"/>
      <c r="K110" s="429"/>
      <c r="L110" s="429"/>
      <c r="M110" s="429"/>
      <c r="N110" s="429"/>
      <c r="O110" s="429"/>
      <c r="P110" s="429"/>
      <c r="Q110" s="429"/>
      <c r="R110" s="429"/>
      <c r="S110" s="429"/>
      <c r="T110" s="429"/>
      <c r="U110" s="429"/>
      <c r="V110" s="473">
        <v>-51</v>
      </c>
      <c r="W110" s="432"/>
      <c r="X110" s="419"/>
      <c r="Y110" s="477"/>
    </row>
    <row r="111" spans="1:25" s="420" customFormat="1" ht="15.75" x14ac:dyDescent="0.25">
      <c r="A111" s="428">
        <v>6</v>
      </c>
      <c r="B111" s="429" t="s">
        <v>196</v>
      </c>
      <c r="C111" s="429"/>
      <c r="D111" s="429"/>
      <c r="E111" s="429"/>
      <c r="F111" s="429"/>
      <c r="G111" s="429"/>
      <c r="H111" s="429"/>
      <c r="I111" s="429"/>
      <c r="J111" s="429"/>
      <c r="K111" s="429"/>
      <c r="L111" s="429"/>
      <c r="M111" s="429"/>
      <c r="N111" s="429"/>
      <c r="O111" s="429"/>
      <c r="P111" s="429"/>
      <c r="Q111" s="429"/>
      <c r="R111" s="429"/>
      <c r="S111" s="429"/>
      <c r="T111" s="429"/>
      <c r="U111" s="429"/>
      <c r="V111" s="473">
        <v>-359</v>
      </c>
      <c r="W111" s="432"/>
      <c r="X111" s="419"/>
      <c r="Y111" s="477"/>
    </row>
    <row r="112" spans="1:25" s="420" customFormat="1" ht="15.75" x14ac:dyDescent="0.25">
      <c r="A112" s="428">
        <v>7</v>
      </c>
      <c r="B112" s="476" t="s">
        <v>315</v>
      </c>
      <c r="C112" s="429"/>
      <c r="D112" s="429"/>
      <c r="E112" s="429"/>
      <c r="F112" s="429"/>
      <c r="G112" s="429"/>
      <c r="H112" s="429"/>
      <c r="I112" s="429"/>
      <c r="J112" s="429"/>
      <c r="K112" s="429"/>
      <c r="L112" s="429"/>
      <c r="M112" s="429"/>
      <c r="N112" s="429"/>
      <c r="O112" s="429"/>
      <c r="P112" s="429"/>
      <c r="Q112" s="429"/>
      <c r="R112" s="429"/>
      <c r="S112" s="429"/>
      <c r="T112" s="429"/>
      <c r="U112" s="429"/>
      <c r="V112" s="473">
        <v>0</v>
      </c>
      <c r="W112" s="432"/>
      <c r="X112" s="419"/>
      <c r="Y112" s="477"/>
    </row>
    <row r="113" spans="1:24" s="420" customFormat="1" ht="15.75" x14ac:dyDescent="0.25">
      <c r="A113" s="428">
        <v>8</v>
      </c>
      <c r="B113" s="429" t="s">
        <v>35</v>
      </c>
      <c r="C113" s="429"/>
      <c r="D113" s="429"/>
      <c r="E113" s="429"/>
      <c r="F113" s="429"/>
      <c r="G113" s="429"/>
      <c r="H113" s="429"/>
      <c r="I113" s="429"/>
      <c r="J113" s="429"/>
      <c r="K113" s="429"/>
      <c r="L113" s="429"/>
      <c r="M113" s="429"/>
      <c r="N113" s="429"/>
      <c r="O113" s="429"/>
      <c r="P113" s="429"/>
      <c r="Q113" s="429"/>
      <c r="R113" s="429"/>
      <c r="S113" s="429"/>
      <c r="T113" s="429"/>
      <c r="U113" s="429"/>
      <c r="V113" s="473">
        <v>-22</v>
      </c>
      <c r="W113" s="432"/>
      <c r="X113" s="419"/>
    </row>
    <row r="114" spans="1:24" s="420" customFormat="1" ht="15.75" x14ac:dyDescent="0.25">
      <c r="A114" s="428">
        <f t="shared" ref="A114:A119" si="0">+A113+1</f>
        <v>9</v>
      </c>
      <c r="B114" s="429" t="s">
        <v>45</v>
      </c>
      <c r="C114" s="429"/>
      <c r="D114" s="429"/>
      <c r="E114" s="429"/>
      <c r="F114" s="429"/>
      <c r="G114" s="429"/>
      <c r="H114" s="429"/>
      <c r="I114" s="429"/>
      <c r="J114" s="429"/>
      <c r="K114" s="429"/>
      <c r="L114" s="429"/>
      <c r="M114" s="429"/>
      <c r="N114" s="429"/>
      <c r="O114" s="429"/>
      <c r="P114" s="429"/>
      <c r="Q114" s="429"/>
      <c r="R114" s="429"/>
      <c r="S114" s="429"/>
      <c r="T114" s="472">
        <f>-V114</f>
        <v>149</v>
      </c>
      <c r="U114" s="429"/>
      <c r="V114" s="473">
        <v>-149</v>
      </c>
      <c r="W114" s="432"/>
      <c r="X114" s="419"/>
    </row>
    <row r="115" spans="1:24" s="420" customFormat="1" ht="15.75" x14ac:dyDescent="0.25">
      <c r="A115" s="428">
        <f t="shared" si="0"/>
        <v>10</v>
      </c>
      <c r="B115" s="429" t="s">
        <v>125</v>
      </c>
      <c r="C115" s="429"/>
      <c r="D115" s="429"/>
      <c r="E115" s="429"/>
      <c r="F115" s="429"/>
      <c r="G115" s="429"/>
      <c r="H115" s="429"/>
      <c r="I115" s="429"/>
      <c r="J115" s="429"/>
      <c r="K115" s="429"/>
      <c r="L115" s="429"/>
      <c r="M115" s="429"/>
      <c r="N115" s="429"/>
      <c r="O115" s="429"/>
      <c r="P115" s="429"/>
      <c r="Q115" s="429"/>
      <c r="R115" s="429"/>
      <c r="S115" s="429"/>
      <c r="T115" s="429"/>
      <c r="U115" s="429"/>
      <c r="V115" s="473">
        <v>0</v>
      </c>
      <c r="W115" s="432"/>
      <c r="X115" s="419"/>
    </row>
    <row r="116" spans="1:24" s="420" customFormat="1" ht="15.75" x14ac:dyDescent="0.25">
      <c r="A116" s="428">
        <f t="shared" si="0"/>
        <v>11</v>
      </c>
      <c r="B116" s="429" t="s">
        <v>225</v>
      </c>
      <c r="C116" s="429"/>
      <c r="D116" s="429"/>
      <c r="E116" s="429"/>
      <c r="F116" s="429"/>
      <c r="G116" s="429"/>
      <c r="H116" s="429"/>
      <c r="I116" s="429"/>
      <c r="J116" s="429"/>
      <c r="K116" s="429"/>
      <c r="L116" s="429"/>
      <c r="M116" s="429"/>
      <c r="N116" s="429"/>
      <c r="O116" s="429"/>
      <c r="P116" s="429"/>
      <c r="Q116" s="429"/>
      <c r="R116" s="429"/>
      <c r="S116" s="429"/>
      <c r="T116" s="429"/>
      <c r="U116" s="429"/>
      <c r="V116" s="473">
        <v>0</v>
      </c>
      <c r="W116" s="432"/>
      <c r="X116" s="419"/>
    </row>
    <row r="117" spans="1:24" s="420" customFormat="1" ht="15.75" x14ac:dyDescent="0.25">
      <c r="A117" s="428">
        <f t="shared" si="0"/>
        <v>12</v>
      </c>
      <c r="B117" s="429" t="s">
        <v>36</v>
      </c>
      <c r="C117" s="429"/>
      <c r="D117" s="429"/>
      <c r="E117" s="429"/>
      <c r="F117" s="429"/>
      <c r="G117" s="429"/>
      <c r="H117" s="429"/>
      <c r="I117" s="429"/>
      <c r="J117" s="429"/>
      <c r="K117" s="429"/>
      <c r="L117" s="429"/>
      <c r="M117" s="429"/>
      <c r="N117" s="429"/>
      <c r="O117" s="429"/>
      <c r="P117" s="429"/>
      <c r="Q117" s="429"/>
      <c r="R117" s="429"/>
      <c r="S117" s="429"/>
      <c r="T117" s="429"/>
      <c r="U117" s="429"/>
      <c r="V117" s="473">
        <v>0</v>
      </c>
      <c r="W117" s="432"/>
      <c r="X117" s="419"/>
    </row>
    <row r="118" spans="1:24" s="420" customFormat="1" ht="15.75" x14ac:dyDescent="0.25">
      <c r="A118" s="428">
        <f t="shared" si="0"/>
        <v>13</v>
      </c>
      <c r="B118" s="429" t="s">
        <v>149</v>
      </c>
      <c r="C118" s="429"/>
      <c r="D118" s="429"/>
      <c r="E118" s="429"/>
      <c r="F118" s="429"/>
      <c r="G118" s="429"/>
      <c r="H118" s="429"/>
      <c r="I118" s="429"/>
      <c r="J118" s="429"/>
      <c r="K118" s="429"/>
      <c r="L118" s="429"/>
      <c r="M118" s="429"/>
      <c r="N118" s="429"/>
      <c r="O118" s="429"/>
      <c r="P118" s="429"/>
      <c r="Q118" s="429"/>
      <c r="R118" s="429"/>
      <c r="S118" s="429"/>
      <c r="T118" s="429"/>
      <c r="U118" s="429"/>
      <c r="V118" s="473">
        <v>-236</v>
      </c>
      <c r="W118" s="432"/>
      <c r="X118" s="419"/>
    </row>
    <row r="119" spans="1:24" s="420" customFormat="1" ht="15.75" x14ac:dyDescent="0.25">
      <c r="A119" s="428">
        <f t="shared" si="0"/>
        <v>14</v>
      </c>
      <c r="B119" s="429" t="s">
        <v>126</v>
      </c>
      <c r="C119" s="429"/>
      <c r="D119" s="429"/>
      <c r="E119" s="429"/>
      <c r="F119" s="429"/>
      <c r="G119" s="429"/>
      <c r="H119" s="429"/>
      <c r="I119" s="429"/>
      <c r="J119" s="429"/>
      <c r="K119" s="429"/>
      <c r="L119" s="429"/>
      <c r="M119" s="429"/>
      <c r="N119" s="429"/>
      <c r="O119" s="429"/>
      <c r="P119" s="429"/>
      <c r="Q119" s="429"/>
      <c r="R119" s="429"/>
      <c r="S119" s="429"/>
      <c r="T119" s="429"/>
      <c r="U119" s="429"/>
      <c r="V119" s="473">
        <f>-V101-SUM(V103:V118)</f>
        <v>-1801</v>
      </c>
      <c r="W119" s="432"/>
      <c r="X119" s="419"/>
    </row>
    <row r="120" spans="1:24" ht="15.75" x14ac:dyDescent="0.25">
      <c r="A120" s="285"/>
      <c r="B120" s="530" t="s">
        <v>37</v>
      </c>
      <c r="C120" s="314"/>
      <c r="D120" s="314"/>
      <c r="E120" s="314"/>
      <c r="F120" s="314"/>
      <c r="G120" s="314"/>
      <c r="H120" s="314"/>
      <c r="I120" s="314"/>
      <c r="J120" s="314"/>
      <c r="K120" s="314"/>
      <c r="L120" s="314"/>
      <c r="M120" s="314"/>
      <c r="N120" s="314"/>
      <c r="O120" s="314"/>
      <c r="P120" s="314"/>
      <c r="Q120" s="314"/>
      <c r="R120" s="314"/>
      <c r="S120" s="314"/>
      <c r="T120" s="286"/>
      <c r="U120" s="286"/>
      <c r="V120" s="343"/>
      <c r="W120" s="318"/>
      <c r="X120" s="5"/>
    </row>
    <row r="121" spans="1:24" s="420" customFormat="1" ht="15.75" x14ac:dyDescent="0.25">
      <c r="A121" s="428"/>
      <c r="B121" s="429" t="s">
        <v>173</v>
      </c>
      <c r="C121" s="429"/>
      <c r="D121" s="429"/>
      <c r="E121" s="429"/>
      <c r="F121" s="429"/>
      <c r="G121" s="429"/>
      <c r="H121" s="429"/>
      <c r="I121" s="429"/>
      <c r="J121" s="429"/>
      <c r="K121" s="429"/>
      <c r="L121" s="429"/>
      <c r="M121" s="429"/>
      <c r="N121" s="429"/>
      <c r="O121" s="429"/>
      <c r="P121" s="429"/>
      <c r="Q121" s="429"/>
      <c r="R121" s="429"/>
      <c r="S121" s="429"/>
      <c r="T121" s="472">
        <f>-T186</f>
        <v>0</v>
      </c>
      <c r="U121" s="472"/>
      <c r="V121" s="473"/>
      <c r="W121" s="432"/>
      <c r="X121" s="419"/>
    </row>
    <row r="122" spans="1:24" s="420" customFormat="1" ht="15.75" x14ac:dyDescent="0.25">
      <c r="A122" s="428"/>
      <c r="B122" s="429" t="s">
        <v>174</v>
      </c>
      <c r="C122" s="429"/>
      <c r="D122" s="429"/>
      <c r="E122" s="429"/>
      <c r="F122" s="429"/>
      <c r="G122" s="429"/>
      <c r="H122" s="429"/>
      <c r="I122" s="429"/>
      <c r="J122" s="429"/>
      <c r="K122" s="429"/>
      <c r="L122" s="429"/>
      <c r="M122" s="429"/>
      <c r="N122" s="429"/>
      <c r="O122" s="429"/>
      <c r="P122" s="429"/>
      <c r="Q122" s="429"/>
      <c r="R122" s="429"/>
      <c r="S122" s="429"/>
      <c r="T122" s="472">
        <v>0</v>
      </c>
      <c r="U122" s="472"/>
      <c r="V122" s="473"/>
      <c r="W122" s="432"/>
      <c r="X122" s="419"/>
    </row>
    <row r="123" spans="1:24" s="420" customFormat="1" ht="15.75" x14ac:dyDescent="0.25">
      <c r="A123" s="428"/>
      <c r="B123" s="429" t="s">
        <v>38</v>
      </c>
      <c r="C123" s="429"/>
      <c r="D123" s="429"/>
      <c r="E123" s="429"/>
      <c r="F123" s="429"/>
      <c r="G123" s="429"/>
      <c r="H123" s="429"/>
      <c r="I123" s="429"/>
      <c r="J123" s="429"/>
      <c r="K123" s="429"/>
      <c r="L123" s="429"/>
      <c r="M123" s="429"/>
      <c r="N123" s="429"/>
      <c r="O123" s="429"/>
      <c r="P123" s="429"/>
      <c r="Q123" s="429"/>
      <c r="R123" s="429"/>
      <c r="S123" s="429"/>
      <c r="T123" s="472">
        <f>-S186</f>
        <v>-449</v>
      </c>
      <c r="U123" s="472"/>
      <c r="V123" s="473"/>
      <c r="W123" s="432"/>
      <c r="X123" s="419"/>
    </row>
    <row r="124" spans="1:24" s="420" customFormat="1" ht="15.75" x14ac:dyDescent="0.25">
      <c r="A124" s="428"/>
      <c r="B124" s="429" t="s">
        <v>197</v>
      </c>
      <c r="C124" s="429"/>
      <c r="D124" s="429"/>
      <c r="E124" s="429"/>
      <c r="F124" s="429"/>
      <c r="G124" s="429"/>
      <c r="H124" s="429"/>
      <c r="I124" s="429"/>
      <c r="J124" s="429"/>
      <c r="K124" s="429"/>
      <c r="L124" s="429"/>
      <c r="M124" s="429"/>
      <c r="N124" s="429"/>
      <c r="O124" s="429"/>
      <c r="P124" s="429"/>
      <c r="Q124" s="429"/>
      <c r="R124" s="429"/>
      <c r="S124" s="429"/>
      <c r="T124" s="472">
        <v>-7078</v>
      </c>
      <c r="U124" s="472"/>
      <c r="V124" s="473"/>
      <c r="W124" s="432"/>
      <c r="X124" s="419"/>
    </row>
    <row r="125" spans="1:24" s="420" customFormat="1" ht="15.75" x14ac:dyDescent="0.25">
      <c r="A125" s="428"/>
      <c r="B125" s="429" t="s">
        <v>195</v>
      </c>
      <c r="C125" s="429"/>
      <c r="D125" s="429"/>
      <c r="E125" s="429"/>
      <c r="F125" s="429"/>
      <c r="G125" s="429"/>
      <c r="H125" s="429"/>
      <c r="I125" s="429"/>
      <c r="J125" s="429"/>
      <c r="K125" s="429"/>
      <c r="L125" s="429"/>
      <c r="M125" s="429"/>
      <c r="N125" s="429"/>
      <c r="O125" s="429"/>
      <c r="P125" s="429"/>
      <c r="Q125" s="429"/>
      <c r="R125" s="429"/>
      <c r="S125" s="429"/>
      <c r="T125" s="472">
        <v>-3008</v>
      </c>
      <c r="U125" s="472"/>
      <c r="V125" s="473"/>
      <c r="W125" s="432"/>
      <c r="X125" s="419"/>
    </row>
    <row r="126" spans="1:24" s="420" customFormat="1" ht="15.75" x14ac:dyDescent="0.25">
      <c r="A126" s="428"/>
      <c r="B126" s="429" t="s">
        <v>194</v>
      </c>
      <c r="C126" s="429"/>
      <c r="D126" s="429"/>
      <c r="E126" s="429"/>
      <c r="F126" s="429"/>
      <c r="G126" s="429"/>
      <c r="H126" s="429"/>
      <c r="I126" s="429"/>
      <c r="J126" s="429"/>
      <c r="K126" s="429"/>
      <c r="L126" s="429"/>
      <c r="M126" s="429"/>
      <c r="N126" s="429"/>
      <c r="O126" s="429"/>
      <c r="P126" s="429"/>
      <c r="Q126" s="429"/>
      <c r="R126" s="429"/>
      <c r="S126" s="429"/>
      <c r="T126" s="472">
        <v>-1072</v>
      </c>
      <c r="U126" s="472"/>
      <c r="V126" s="473"/>
      <c r="W126" s="432"/>
      <c r="X126" s="419"/>
    </row>
    <row r="127" spans="1:24" s="420" customFormat="1" ht="15.75" x14ac:dyDescent="0.25">
      <c r="A127" s="428"/>
      <c r="B127" s="429" t="s">
        <v>222</v>
      </c>
      <c r="C127" s="429"/>
      <c r="D127" s="429"/>
      <c r="E127" s="429"/>
      <c r="F127" s="429"/>
      <c r="G127" s="429"/>
      <c r="H127" s="429"/>
      <c r="I127" s="429"/>
      <c r="J127" s="429"/>
      <c r="K127" s="429"/>
      <c r="L127" s="429"/>
      <c r="M127" s="429"/>
      <c r="N127" s="429"/>
      <c r="O127" s="429"/>
      <c r="P127" s="429"/>
      <c r="Q127" s="429"/>
      <c r="R127" s="429"/>
      <c r="S127" s="429"/>
      <c r="T127" s="472">
        <v>-1062</v>
      </c>
      <c r="U127" s="472"/>
      <c r="V127" s="473"/>
      <c r="W127" s="432"/>
      <c r="X127" s="419"/>
    </row>
    <row r="128" spans="1:24" s="420" customFormat="1" ht="15.75" x14ac:dyDescent="0.25">
      <c r="A128" s="428"/>
      <c r="B128" s="429" t="s">
        <v>189</v>
      </c>
      <c r="C128" s="429"/>
      <c r="D128" s="429"/>
      <c r="E128" s="429"/>
      <c r="F128" s="429"/>
      <c r="G128" s="429"/>
      <c r="H128" s="429"/>
      <c r="I128" s="429"/>
      <c r="J128" s="429"/>
      <c r="K128" s="429"/>
      <c r="L128" s="429"/>
      <c r="M128" s="429"/>
      <c r="N128" s="429"/>
      <c r="O128" s="429"/>
      <c r="P128" s="429"/>
      <c r="Q128" s="429"/>
      <c r="R128" s="429"/>
      <c r="S128" s="429"/>
      <c r="T128" s="472">
        <v>0</v>
      </c>
      <c r="U128" s="472"/>
      <c r="V128" s="473"/>
      <c r="W128" s="432"/>
      <c r="X128" s="419"/>
    </row>
    <row r="129" spans="1:24" s="420" customFormat="1" ht="15.75" x14ac:dyDescent="0.25">
      <c r="A129" s="428"/>
      <c r="B129" s="429" t="s">
        <v>188</v>
      </c>
      <c r="C129" s="429"/>
      <c r="D129" s="429"/>
      <c r="E129" s="429"/>
      <c r="F129" s="429"/>
      <c r="G129" s="429"/>
      <c r="H129" s="429"/>
      <c r="I129" s="429"/>
      <c r="J129" s="429"/>
      <c r="K129" s="429"/>
      <c r="L129" s="429"/>
      <c r="M129" s="429"/>
      <c r="N129" s="429"/>
      <c r="O129" s="429"/>
      <c r="P129" s="429"/>
      <c r="Q129" s="429"/>
      <c r="R129" s="429"/>
      <c r="S129" s="429"/>
      <c r="T129" s="472">
        <v>0</v>
      </c>
      <c r="U129" s="472"/>
      <c r="V129" s="473"/>
      <c r="W129" s="432"/>
      <c r="X129" s="419"/>
    </row>
    <row r="130" spans="1:24" s="420" customFormat="1" ht="15.75" x14ac:dyDescent="0.25">
      <c r="A130" s="428"/>
      <c r="B130" s="429" t="s">
        <v>187</v>
      </c>
      <c r="C130" s="429"/>
      <c r="D130" s="429"/>
      <c r="E130" s="429"/>
      <c r="F130" s="429"/>
      <c r="G130" s="429"/>
      <c r="H130" s="429"/>
      <c r="I130" s="429"/>
      <c r="J130" s="429"/>
      <c r="K130" s="429"/>
      <c r="L130" s="429"/>
      <c r="M130" s="429"/>
      <c r="N130" s="429"/>
      <c r="O130" s="429"/>
      <c r="P130" s="429"/>
      <c r="Q130" s="429"/>
      <c r="R130" s="429"/>
      <c r="S130" s="429"/>
      <c r="T130" s="472">
        <v>0</v>
      </c>
      <c r="U130" s="472"/>
      <c r="V130" s="473"/>
      <c r="W130" s="432"/>
      <c r="X130" s="419"/>
    </row>
    <row r="131" spans="1:24" s="420" customFormat="1" ht="15.75" x14ac:dyDescent="0.25">
      <c r="A131" s="428"/>
      <c r="B131" s="429" t="s">
        <v>39</v>
      </c>
      <c r="C131" s="429"/>
      <c r="D131" s="429"/>
      <c r="E131" s="429"/>
      <c r="F131" s="429"/>
      <c r="G131" s="429"/>
      <c r="H131" s="429"/>
      <c r="I131" s="429"/>
      <c r="J131" s="429"/>
      <c r="K131" s="429"/>
      <c r="L131" s="429"/>
      <c r="M131" s="429"/>
      <c r="N131" s="429"/>
      <c r="O131" s="429"/>
      <c r="P131" s="429"/>
      <c r="Q131" s="429"/>
      <c r="R131" s="429"/>
      <c r="S131" s="429"/>
      <c r="T131" s="472">
        <f>SUM(T121:T130)</f>
        <v>-12669</v>
      </c>
      <c r="U131" s="472"/>
      <c r="V131" s="472">
        <f>SUM(V102:V129)</f>
        <v>-4147</v>
      </c>
      <c r="W131" s="432"/>
      <c r="X131" s="419"/>
    </row>
    <row r="132" spans="1:24" s="420" customFormat="1" ht="15.75" x14ac:dyDescent="0.25">
      <c r="A132" s="428"/>
      <c r="B132" s="429" t="s">
        <v>40</v>
      </c>
      <c r="C132" s="429"/>
      <c r="D132" s="429"/>
      <c r="E132" s="429"/>
      <c r="F132" s="429"/>
      <c r="G132" s="429"/>
      <c r="H132" s="429"/>
      <c r="I132" s="429"/>
      <c r="J132" s="429"/>
      <c r="K132" s="429"/>
      <c r="L132" s="429"/>
      <c r="M132" s="429"/>
      <c r="N132" s="429"/>
      <c r="O132" s="429"/>
      <c r="P132" s="429"/>
      <c r="Q132" s="429"/>
      <c r="R132" s="429"/>
      <c r="S132" s="429"/>
      <c r="T132" s="472">
        <f>T101+T131+T114</f>
        <v>0</v>
      </c>
      <c r="U132" s="472"/>
      <c r="V132" s="472">
        <f>V101+V131</f>
        <v>0</v>
      </c>
      <c r="W132" s="432"/>
      <c r="X132" s="419"/>
    </row>
    <row r="133" spans="1:24" s="420" customFormat="1" ht="15.75" x14ac:dyDescent="0.25">
      <c r="A133" s="416"/>
      <c r="B133" s="462"/>
      <c r="C133" s="462"/>
      <c r="D133" s="462"/>
      <c r="E133" s="462"/>
      <c r="F133" s="462"/>
      <c r="G133" s="462"/>
      <c r="H133" s="462"/>
      <c r="I133" s="462"/>
      <c r="J133" s="462"/>
      <c r="K133" s="462"/>
      <c r="L133" s="462"/>
      <c r="M133" s="462"/>
      <c r="N133" s="462"/>
      <c r="O133" s="462"/>
      <c r="P133" s="462"/>
      <c r="Q133" s="462"/>
      <c r="R133" s="462"/>
      <c r="S133" s="462"/>
      <c r="T133" s="478"/>
      <c r="U133" s="478"/>
      <c r="V133" s="478"/>
      <c r="W133" s="462"/>
      <c r="X133" s="419"/>
    </row>
    <row r="134" spans="1:24" s="420" customFormat="1" ht="15.75" x14ac:dyDescent="0.25">
      <c r="A134" s="416"/>
      <c r="B134" s="417"/>
      <c r="C134" s="417"/>
      <c r="D134" s="417"/>
      <c r="E134" s="417"/>
      <c r="F134" s="417"/>
      <c r="G134" s="417"/>
      <c r="H134" s="417"/>
      <c r="I134" s="417"/>
      <c r="J134" s="417"/>
      <c r="K134" s="417"/>
      <c r="L134" s="417"/>
      <c r="M134" s="417"/>
      <c r="N134" s="417"/>
      <c r="O134" s="417"/>
      <c r="P134" s="417"/>
      <c r="Q134" s="417"/>
      <c r="R134" s="417"/>
      <c r="S134" s="417"/>
      <c r="T134" s="417"/>
      <c r="U134" s="417"/>
      <c r="V134" s="479"/>
      <c r="W134" s="417"/>
      <c r="X134" s="419"/>
    </row>
    <row r="135" spans="1:24" s="420" customFormat="1" ht="19.5" thickBot="1" x14ac:dyDescent="0.35">
      <c r="A135" s="467"/>
      <c r="B135" s="468" t="str">
        <f>B64</f>
        <v>PM15 INVESTOR REPORT QUARTER ENDING AUGUST 2018</v>
      </c>
      <c r="C135" s="469"/>
      <c r="D135" s="469"/>
      <c r="E135" s="469"/>
      <c r="F135" s="469"/>
      <c r="G135" s="469"/>
      <c r="H135" s="469"/>
      <c r="I135" s="469"/>
      <c r="J135" s="469"/>
      <c r="K135" s="469"/>
      <c r="L135" s="469"/>
      <c r="M135" s="469"/>
      <c r="N135" s="469"/>
      <c r="O135" s="469"/>
      <c r="P135" s="469"/>
      <c r="Q135" s="469"/>
      <c r="R135" s="469"/>
      <c r="S135" s="469"/>
      <c r="T135" s="469"/>
      <c r="U135" s="469"/>
      <c r="V135" s="480"/>
      <c r="W135" s="471"/>
      <c r="X135" s="419"/>
    </row>
    <row r="136" spans="1:24" ht="15.75" x14ac:dyDescent="0.25">
      <c r="A136" s="551"/>
      <c r="B136" s="552" t="s">
        <v>41</v>
      </c>
      <c r="C136" s="553"/>
      <c r="D136" s="553"/>
      <c r="E136" s="553"/>
      <c r="F136" s="553"/>
      <c r="G136" s="553"/>
      <c r="H136" s="553"/>
      <c r="I136" s="553"/>
      <c r="J136" s="553"/>
      <c r="K136" s="553"/>
      <c r="L136" s="553"/>
      <c r="M136" s="553"/>
      <c r="N136" s="553"/>
      <c r="O136" s="553"/>
      <c r="P136" s="553"/>
      <c r="Q136" s="553"/>
      <c r="R136" s="553"/>
      <c r="S136" s="553"/>
      <c r="T136" s="553"/>
      <c r="U136" s="553"/>
      <c r="V136" s="554"/>
      <c r="W136" s="553"/>
      <c r="X136" s="5"/>
    </row>
    <row r="137" spans="1:24" ht="15.75" x14ac:dyDescent="0.25">
      <c r="A137" s="181"/>
      <c r="B137" s="191"/>
      <c r="C137" s="183"/>
      <c r="D137" s="183"/>
      <c r="E137" s="183"/>
      <c r="F137" s="183"/>
      <c r="G137" s="183"/>
      <c r="H137" s="183"/>
      <c r="I137" s="183"/>
      <c r="J137" s="183"/>
      <c r="K137" s="183"/>
      <c r="L137" s="183"/>
      <c r="M137" s="183"/>
      <c r="N137" s="183"/>
      <c r="O137" s="183"/>
      <c r="P137" s="183"/>
      <c r="Q137" s="183"/>
      <c r="R137" s="183"/>
      <c r="S137" s="183"/>
      <c r="T137" s="183"/>
      <c r="U137" s="183"/>
      <c r="V137" s="202"/>
      <c r="W137" s="183"/>
      <c r="X137" s="5"/>
    </row>
    <row r="138" spans="1:24" ht="15.75" x14ac:dyDescent="0.25">
      <c r="A138" s="181"/>
      <c r="B138" s="531" t="s">
        <v>42</v>
      </c>
      <c r="C138" s="183"/>
      <c r="D138" s="183"/>
      <c r="E138" s="183"/>
      <c r="F138" s="183"/>
      <c r="G138" s="183"/>
      <c r="H138" s="183"/>
      <c r="I138" s="183"/>
      <c r="J138" s="183"/>
      <c r="K138" s="183"/>
      <c r="L138" s="183"/>
      <c r="M138" s="183"/>
      <c r="N138" s="183"/>
      <c r="O138" s="183"/>
      <c r="P138" s="183"/>
      <c r="Q138" s="183"/>
      <c r="R138" s="183"/>
      <c r="S138" s="183"/>
      <c r="T138" s="183"/>
      <c r="U138" s="183"/>
      <c r="V138" s="202"/>
      <c r="W138" s="183"/>
      <c r="X138" s="5"/>
    </row>
    <row r="139" spans="1:24" s="420" customFormat="1" ht="15.75" x14ac:dyDescent="0.25">
      <c r="A139" s="428"/>
      <c r="B139" s="429" t="s">
        <v>43</v>
      </c>
      <c r="C139" s="429"/>
      <c r="D139" s="429"/>
      <c r="E139" s="429"/>
      <c r="F139" s="429"/>
      <c r="G139" s="429"/>
      <c r="H139" s="429"/>
      <c r="I139" s="429"/>
      <c r="J139" s="429"/>
      <c r="K139" s="429"/>
      <c r="L139" s="429"/>
      <c r="M139" s="429"/>
      <c r="N139" s="429"/>
      <c r="O139" s="429"/>
      <c r="P139" s="429"/>
      <c r="Q139" s="429"/>
      <c r="R139" s="429"/>
      <c r="S139" s="429"/>
      <c r="T139" s="429"/>
      <c r="U139" s="429"/>
      <c r="V139" s="473">
        <f>+V34*0.019</f>
        <v>19021.526999999998</v>
      </c>
      <c r="W139" s="432"/>
      <c r="X139" s="419"/>
    </row>
    <row r="140" spans="1:24" s="420" customFormat="1" ht="15.75" x14ac:dyDescent="0.25">
      <c r="A140" s="428"/>
      <c r="B140" s="429" t="s">
        <v>44</v>
      </c>
      <c r="C140" s="429"/>
      <c r="D140" s="429"/>
      <c r="E140" s="429"/>
      <c r="F140" s="429"/>
      <c r="G140" s="429"/>
      <c r="H140" s="429"/>
      <c r="I140" s="429"/>
      <c r="J140" s="429"/>
      <c r="K140" s="429"/>
      <c r="L140" s="429"/>
      <c r="M140" s="429"/>
      <c r="N140" s="429"/>
      <c r="O140" s="429"/>
      <c r="P140" s="429"/>
      <c r="Q140" s="429"/>
      <c r="R140" s="429"/>
      <c r="S140" s="429"/>
      <c r="T140" s="429"/>
      <c r="U140" s="429"/>
      <c r="V140" s="473">
        <v>19022</v>
      </c>
      <c r="W140" s="432"/>
      <c r="X140" s="419"/>
    </row>
    <row r="141" spans="1:24" s="420" customFormat="1" ht="15.75" x14ac:dyDescent="0.25">
      <c r="A141" s="428"/>
      <c r="B141" s="429" t="s">
        <v>136</v>
      </c>
      <c r="C141" s="429"/>
      <c r="D141" s="429"/>
      <c r="E141" s="429"/>
      <c r="F141" s="429"/>
      <c r="G141" s="429"/>
      <c r="H141" s="429"/>
      <c r="I141" s="429"/>
      <c r="J141" s="429"/>
      <c r="K141" s="429"/>
      <c r="L141" s="429"/>
      <c r="M141" s="429"/>
      <c r="N141" s="429"/>
      <c r="O141" s="429"/>
      <c r="P141" s="429"/>
      <c r="Q141" s="429"/>
      <c r="R141" s="429"/>
      <c r="S141" s="429"/>
      <c r="T141" s="429"/>
      <c r="U141" s="429"/>
      <c r="V141" s="473"/>
      <c r="W141" s="432"/>
      <c r="X141" s="419"/>
    </row>
    <row r="142" spans="1:24" s="420" customFormat="1" ht="15.75" x14ac:dyDescent="0.25">
      <c r="A142" s="428"/>
      <c r="B142" s="429" t="s">
        <v>123</v>
      </c>
      <c r="C142" s="429"/>
      <c r="D142" s="429"/>
      <c r="E142" s="429"/>
      <c r="F142" s="429"/>
      <c r="G142" s="429"/>
      <c r="H142" s="429"/>
      <c r="I142" s="429"/>
      <c r="J142" s="429"/>
      <c r="K142" s="429"/>
      <c r="L142" s="429"/>
      <c r="M142" s="429"/>
      <c r="N142" s="429"/>
      <c r="O142" s="429"/>
      <c r="P142" s="429"/>
      <c r="Q142" s="429"/>
      <c r="R142" s="429"/>
      <c r="S142" s="429"/>
      <c r="T142" s="429"/>
      <c r="U142" s="429"/>
      <c r="V142" s="473">
        <v>0</v>
      </c>
      <c r="W142" s="432"/>
      <c r="X142" s="419"/>
    </row>
    <row r="143" spans="1:24" s="420" customFormat="1" ht="15.75" x14ac:dyDescent="0.25">
      <c r="A143" s="428"/>
      <c r="B143" s="429" t="s">
        <v>124</v>
      </c>
      <c r="C143" s="429"/>
      <c r="D143" s="429"/>
      <c r="E143" s="429"/>
      <c r="F143" s="429"/>
      <c r="G143" s="429"/>
      <c r="H143" s="429"/>
      <c r="I143" s="429"/>
      <c r="J143" s="429"/>
      <c r="K143" s="429"/>
      <c r="L143" s="429"/>
      <c r="M143" s="429"/>
      <c r="N143" s="429"/>
      <c r="O143" s="429"/>
      <c r="P143" s="429"/>
      <c r="Q143" s="429"/>
      <c r="R143" s="429"/>
      <c r="S143" s="429"/>
      <c r="T143" s="429"/>
      <c r="U143" s="429"/>
      <c r="V143" s="473">
        <v>0</v>
      </c>
      <c r="W143" s="432"/>
      <c r="X143" s="419"/>
    </row>
    <row r="144" spans="1:24" s="420" customFormat="1" ht="15.75" x14ac:dyDescent="0.25">
      <c r="A144" s="428"/>
      <c r="B144" s="429" t="s">
        <v>175</v>
      </c>
      <c r="C144" s="429"/>
      <c r="D144" s="429"/>
      <c r="E144" s="429"/>
      <c r="F144" s="429"/>
      <c r="G144" s="429"/>
      <c r="H144" s="429"/>
      <c r="I144" s="429"/>
      <c r="J144" s="429"/>
      <c r="K144" s="429"/>
      <c r="L144" s="429"/>
      <c r="M144" s="429"/>
      <c r="N144" s="429"/>
      <c r="O144" s="429"/>
      <c r="P144" s="429"/>
      <c r="Q144" s="429"/>
      <c r="R144" s="429"/>
      <c r="S144" s="429"/>
      <c r="T144" s="429"/>
      <c r="U144" s="429"/>
      <c r="V144" s="473">
        <v>0</v>
      </c>
      <c r="W144" s="432"/>
      <c r="X144" s="419"/>
    </row>
    <row r="145" spans="1:25" s="420" customFormat="1" ht="15.75" x14ac:dyDescent="0.25">
      <c r="A145" s="428"/>
      <c r="B145" s="429" t="s">
        <v>45</v>
      </c>
      <c r="C145" s="429"/>
      <c r="D145" s="429"/>
      <c r="E145" s="429"/>
      <c r="F145" s="429"/>
      <c r="G145" s="429"/>
      <c r="H145" s="429"/>
      <c r="I145" s="429"/>
      <c r="J145" s="429"/>
      <c r="K145" s="429"/>
      <c r="L145" s="429"/>
      <c r="M145" s="429"/>
      <c r="N145" s="429"/>
      <c r="O145" s="429"/>
      <c r="P145" s="429"/>
      <c r="Q145" s="429"/>
      <c r="R145" s="429"/>
      <c r="S145" s="429"/>
      <c r="T145" s="429"/>
      <c r="U145" s="429"/>
      <c r="V145" s="473">
        <v>0</v>
      </c>
      <c r="W145" s="432"/>
      <c r="X145" s="419"/>
    </row>
    <row r="146" spans="1:25" s="420" customFormat="1" ht="15.75" x14ac:dyDescent="0.25">
      <c r="A146" s="428"/>
      <c r="B146" s="429" t="s">
        <v>129</v>
      </c>
      <c r="C146" s="429"/>
      <c r="D146" s="429"/>
      <c r="E146" s="429"/>
      <c r="F146" s="429"/>
      <c r="G146" s="429"/>
      <c r="H146" s="429"/>
      <c r="I146" s="429"/>
      <c r="J146" s="429"/>
      <c r="K146" s="429"/>
      <c r="L146" s="429"/>
      <c r="M146" s="429"/>
      <c r="N146" s="429"/>
      <c r="O146" s="429"/>
      <c r="P146" s="429"/>
      <c r="Q146" s="429"/>
      <c r="R146" s="429"/>
      <c r="S146" s="429"/>
      <c r="T146" s="429"/>
      <c r="U146" s="429"/>
      <c r="V146" s="473">
        <v>0</v>
      </c>
      <c r="W146" s="432"/>
      <c r="X146" s="419"/>
    </row>
    <row r="147" spans="1:25" s="420" customFormat="1" ht="15.75" x14ac:dyDescent="0.25">
      <c r="A147" s="428"/>
      <c r="B147" s="429" t="s">
        <v>241</v>
      </c>
      <c r="C147" s="429"/>
      <c r="D147" s="429"/>
      <c r="E147" s="429"/>
      <c r="F147" s="429"/>
      <c r="G147" s="429"/>
      <c r="H147" s="429"/>
      <c r="I147" s="429"/>
      <c r="J147" s="429"/>
      <c r="K147" s="429"/>
      <c r="L147" s="429"/>
      <c r="M147" s="429"/>
      <c r="N147" s="429"/>
      <c r="O147" s="429"/>
      <c r="P147" s="429"/>
      <c r="Q147" s="429"/>
      <c r="R147" s="429"/>
      <c r="S147" s="429"/>
      <c r="T147" s="429"/>
      <c r="U147" s="429"/>
      <c r="V147" s="473">
        <v>0</v>
      </c>
      <c r="W147" s="432"/>
      <c r="X147" s="419"/>
      <c r="Y147" s="477"/>
    </row>
    <row r="148" spans="1:25" s="420" customFormat="1" ht="15.75" x14ac:dyDescent="0.25">
      <c r="A148" s="428"/>
      <c r="B148" s="429" t="s">
        <v>46</v>
      </c>
      <c r="C148" s="429"/>
      <c r="D148" s="429"/>
      <c r="E148" s="429"/>
      <c r="F148" s="429"/>
      <c r="G148" s="429"/>
      <c r="H148" s="429"/>
      <c r="I148" s="429"/>
      <c r="J148" s="429"/>
      <c r="K148" s="429"/>
      <c r="L148" s="429"/>
      <c r="M148" s="429"/>
      <c r="N148" s="429"/>
      <c r="O148" s="429"/>
      <c r="P148" s="429"/>
      <c r="Q148" s="429"/>
      <c r="R148" s="429"/>
      <c r="S148" s="429"/>
      <c r="T148" s="429"/>
      <c r="U148" s="429"/>
      <c r="V148" s="473">
        <f>SUM(V140:V147)</f>
        <v>19022</v>
      </c>
      <c r="W148" s="432"/>
      <c r="X148" s="419"/>
    </row>
    <row r="149" spans="1:25" ht="15.75" x14ac:dyDescent="0.25">
      <c r="A149" s="285"/>
      <c r="B149" s="314"/>
      <c r="C149" s="314"/>
      <c r="D149" s="314"/>
      <c r="E149" s="314"/>
      <c r="F149" s="314"/>
      <c r="G149" s="314"/>
      <c r="H149" s="314"/>
      <c r="I149" s="314"/>
      <c r="J149" s="314"/>
      <c r="K149" s="314"/>
      <c r="L149" s="314"/>
      <c r="M149" s="314"/>
      <c r="N149" s="314"/>
      <c r="O149" s="314"/>
      <c r="P149" s="314"/>
      <c r="Q149" s="314"/>
      <c r="R149" s="314"/>
      <c r="S149" s="314"/>
      <c r="T149" s="314"/>
      <c r="U149" s="314"/>
      <c r="V149" s="345"/>
      <c r="W149" s="318"/>
      <c r="X149" s="5"/>
    </row>
    <row r="150" spans="1:25" ht="15.75" x14ac:dyDescent="0.25">
      <c r="A150" s="285"/>
      <c r="B150" s="530" t="s">
        <v>269</v>
      </c>
      <c r="C150" s="314"/>
      <c r="D150" s="314"/>
      <c r="E150" s="314"/>
      <c r="F150" s="314"/>
      <c r="G150" s="314"/>
      <c r="H150" s="314"/>
      <c r="I150" s="314"/>
      <c r="J150" s="314"/>
      <c r="K150" s="314"/>
      <c r="L150" s="314"/>
      <c r="M150" s="314"/>
      <c r="N150" s="314"/>
      <c r="O150" s="314"/>
      <c r="P150" s="314"/>
      <c r="Q150" s="314"/>
      <c r="R150" s="314"/>
      <c r="S150" s="314"/>
      <c r="T150" s="314"/>
      <c r="U150" s="314"/>
      <c r="V150" s="345"/>
      <c r="W150" s="318"/>
      <c r="X150" s="5"/>
    </row>
    <row r="151" spans="1:25" s="420" customFormat="1" ht="15.75" x14ac:dyDescent="0.25">
      <c r="A151" s="428"/>
      <c r="B151" s="429" t="s">
        <v>155</v>
      </c>
      <c r="C151" s="429"/>
      <c r="D151" s="429"/>
      <c r="E151" s="429"/>
      <c r="F151" s="429"/>
      <c r="G151" s="429"/>
      <c r="H151" s="429"/>
      <c r="I151" s="429"/>
      <c r="J151" s="429"/>
      <c r="K151" s="429"/>
      <c r="L151" s="429"/>
      <c r="M151" s="429"/>
      <c r="N151" s="429"/>
      <c r="O151" s="429"/>
      <c r="P151" s="429"/>
      <c r="Q151" s="429"/>
      <c r="R151" s="429"/>
      <c r="S151" s="429"/>
      <c r="T151" s="429"/>
      <c r="U151" s="429"/>
      <c r="V151" s="473">
        <v>0</v>
      </c>
      <c r="W151" s="432"/>
      <c r="X151" s="419"/>
    </row>
    <row r="152" spans="1:25" s="420" customFormat="1" ht="15.75" x14ac:dyDescent="0.25">
      <c r="A152" s="428"/>
      <c r="B152" s="429" t="s">
        <v>172</v>
      </c>
      <c r="C152" s="429"/>
      <c r="D152" s="429"/>
      <c r="E152" s="429"/>
      <c r="F152" s="429"/>
      <c r="G152" s="429"/>
      <c r="H152" s="429"/>
      <c r="I152" s="429"/>
      <c r="J152" s="429"/>
      <c r="K152" s="429"/>
      <c r="L152" s="429"/>
      <c r="M152" s="429"/>
      <c r="N152" s="429"/>
      <c r="O152" s="429"/>
      <c r="P152" s="429"/>
      <c r="Q152" s="429"/>
      <c r="R152" s="429"/>
      <c r="S152" s="429"/>
      <c r="T152" s="429"/>
      <c r="U152" s="429"/>
      <c r="V152" s="473">
        <v>0</v>
      </c>
      <c r="W152" s="432"/>
      <c r="X152" s="419"/>
    </row>
    <row r="153" spans="1:25" s="420" customFormat="1" ht="15.75" x14ac:dyDescent="0.25">
      <c r="A153" s="428"/>
      <c r="B153" s="429" t="s">
        <v>226</v>
      </c>
      <c r="C153" s="429"/>
      <c r="D153" s="429"/>
      <c r="E153" s="429"/>
      <c r="F153" s="429"/>
      <c r="G153" s="429"/>
      <c r="H153" s="429"/>
      <c r="I153" s="429"/>
      <c r="J153" s="429"/>
      <c r="K153" s="429"/>
      <c r="L153" s="429"/>
      <c r="M153" s="429"/>
      <c r="N153" s="429"/>
      <c r="O153" s="429"/>
      <c r="P153" s="429"/>
      <c r="Q153" s="429"/>
      <c r="R153" s="429"/>
      <c r="S153" s="429"/>
      <c r="T153" s="429"/>
      <c r="U153" s="429"/>
      <c r="V153" s="473">
        <v>0</v>
      </c>
      <c r="W153" s="432"/>
      <c r="X153" s="419"/>
    </row>
    <row r="154" spans="1:25" ht="15.75" x14ac:dyDescent="0.25">
      <c r="A154" s="285"/>
      <c r="B154" s="314"/>
      <c r="C154" s="314"/>
      <c r="D154" s="314"/>
      <c r="E154" s="314"/>
      <c r="F154" s="314"/>
      <c r="G154" s="314"/>
      <c r="H154" s="314"/>
      <c r="I154" s="314"/>
      <c r="J154" s="314"/>
      <c r="K154" s="314"/>
      <c r="L154" s="314"/>
      <c r="M154" s="314"/>
      <c r="N154" s="314"/>
      <c r="O154" s="314"/>
      <c r="P154" s="314"/>
      <c r="Q154" s="314"/>
      <c r="R154" s="314"/>
      <c r="S154" s="314"/>
      <c r="T154" s="314"/>
      <c r="U154" s="314"/>
      <c r="V154" s="345"/>
      <c r="W154" s="318"/>
      <c r="X154" s="5"/>
    </row>
    <row r="155" spans="1:25" ht="15.75" x14ac:dyDescent="0.25">
      <c r="A155" s="181"/>
      <c r="B155" s="212"/>
      <c r="C155" s="212"/>
      <c r="D155" s="212"/>
      <c r="E155" s="212"/>
      <c r="F155" s="212"/>
      <c r="G155" s="212"/>
      <c r="H155" s="212"/>
      <c r="I155" s="212"/>
      <c r="J155" s="212"/>
      <c r="K155" s="212"/>
      <c r="L155" s="212"/>
      <c r="M155" s="212"/>
      <c r="N155" s="212"/>
      <c r="O155" s="212"/>
      <c r="P155" s="212"/>
      <c r="Q155" s="212"/>
      <c r="R155" s="212"/>
      <c r="S155" s="212"/>
      <c r="T155" s="212"/>
      <c r="U155" s="212"/>
      <c r="V155" s="344"/>
      <c r="W155" s="212"/>
      <c r="X155" s="5"/>
    </row>
    <row r="156" spans="1:25" ht="15.75" x14ac:dyDescent="0.25">
      <c r="A156" s="181"/>
      <c r="B156" s="531" t="s">
        <v>24</v>
      </c>
      <c r="C156" s="183"/>
      <c r="D156" s="183"/>
      <c r="E156" s="183"/>
      <c r="F156" s="183"/>
      <c r="G156" s="183"/>
      <c r="H156" s="183"/>
      <c r="I156" s="183"/>
      <c r="J156" s="183"/>
      <c r="K156" s="183"/>
      <c r="L156" s="183"/>
      <c r="M156" s="183"/>
      <c r="N156" s="183"/>
      <c r="O156" s="183"/>
      <c r="P156" s="183"/>
      <c r="Q156" s="183"/>
      <c r="R156" s="183"/>
      <c r="S156" s="183"/>
      <c r="T156" s="183"/>
      <c r="U156" s="183"/>
      <c r="V156" s="202"/>
      <c r="W156" s="183"/>
      <c r="X156" s="5"/>
    </row>
    <row r="157" spans="1:25" s="420" customFormat="1" ht="15.75" x14ac:dyDescent="0.25">
      <c r="A157" s="428"/>
      <c r="B157" s="429" t="s">
        <v>47</v>
      </c>
      <c r="C157" s="429"/>
      <c r="D157" s="429"/>
      <c r="E157" s="429"/>
      <c r="F157" s="429"/>
      <c r="G157" s="429"/>
      <c r="H157" s="429"/>
      <c r="I157" s="429"/>
      <c r="J157" s="429"/>
      <c r="K157" s="429"/>
      <c r="L157" s="429"/>
      <c r="M157" s="429"/>
      <c r="N157" s="429"/>
      <c r="O157" s="429"/>
      <c r="P157" s="429"/>
      <c r="Q157" s="429"/>
      <c r="R157" s="429"/>
      <c r="S157" s="429"/>
      <c r="T157" s="429"/>
      <c r="U157" s="429"/>
      <c r="V157" s="481" t="s">
        <v>118</v>
      </c>
      <c r="W157" s="432"/>
      <c r="X157" s="419"/>
    </row>
    <row r="158" spans="1:25" s="420" customFormat="1" ht="15.75" x14ac:dyDescent="0.25">
      <c r="A158" s="428"/>
      <c r="B158" s="429" t="s">
        <v>48</v>
      </c>
      <c r="C158" s="431"/>
      <c r="D158" s="431"/>
      <c r="E158" s="431"/>
      <c r="F158" s="431"/>
      <c r="G158" s="431"/>
      <c r="H158" s="431"/>
      <c r="I158" s="431"/>
      <c r="J158" s="431"/>
      <c r="K158" s="431"/>
      <c r="L158" s="431"/>
      <c r="M158" s="431"/>
      <c r="N158" s="431"/>
      <c r="O158" s="431"/>
      <c r="P158" s="431"/>
      <c r="Q158" s="431"/>
      <c r="R158" s="431"/>
      <c r="S158" s="431"/>
      <c r="T158" s="431"/>
      <c r="U158" s="431"/>
      <c r="V158" s="481" t="s">
        <v>118</v>
      </c>
      <c r="W158" s="432"/>
      <c r="X158" s="419"/>
    </row>
    <row r="159" spans="1:25" s="420" customFormat="1" ht="15.75" x14ac:dyDescent="0.25">
      <c r="A159" s="428"/>
      <c r="B159" s="429" t="s">
        <v>49</v>
      </c>
      <c r="C159" s="429"/>
      <c r="D159" s="429"/>
      <c r="E159" s="429"/>
      <c r="F159" s="429"/>
      <c r="G159" s="429"/>
      <c r="H159" s="429"/>
      <c r="I159" s="429"/>
      <c r="J159" s="429"/>
      <c r="K159" s="429"/>
      <c r="L159" s="429"/>
      <c r="M159" s="429"/>
      <c r="N159" s="429"/>
      <c r="O159" s="429"/>
      <c r="P159" s="429"/>
      <c r="Q159" s="429"/>
      <c r="R159" s="429"/>
      <c r="S159" s="429"/>
      <c r="T159" s="429"/>
      <c r="U159" s="429"/>
      <c r="V159" s="481" t="s">
        <v>118</v>
      </c>
      <c r="W159" s="432"/>
      <c r="X159" s="419"/>
    </row>
    <row r="160" spans="1:25" s="420" customFormat="1" ht="15.75" x14ac:dyDescent="0.25">
      <c r="A160" s="428"/>
      <c r="B160" s="429" t="s">
        <v>50</v>
      </c>
      <c r="C160" s="429"/>
      <c r="D160" s="429"/>
      <c r="E160" s="429"/>
      <c r="F160" s="429"/>
      <c r="G160" s="429"/>
      <c r="H160" s="429"/>
      <c r="I160" s="429"/>
      <c r="J160" s="429"/>
      <c r="K160" s="429"/>
      <c r="L160" s="429"/>
      <c r="M160" s="429"/>
      <c r="N160" s="429"/>
      <c r="O160" s="429"/>
      <c r="P160" s="429"/>
      <c r="Q160" s="429"/>
      <c r="R160" s="429"/>
      <c r="S160" s="429"/>
      <c r="T160" s="429"/>
      <c r="U160" s="429"/>
      <c r="V160" s="481" t="s">
        <v>118</v>
      </c>
      <c r="W160" s="432"/>
      <c r="X160" s="419"/>
    </row>
    <row r="161" spans="1:256" ht="15.75" x14ac:dyDescent="0.25">
      <c r="A161" s="181"/>
      <c r="B161" s="212"/>
      <c r="C161" s="212"/>
      <c r="D161" s="212"/>
      <c r="E161" s="212"/>
      <c r="F161" s="212"/>
      <c r="G161" s="212"/>
      <c r="H161" s="212"/>
      <c r="I161" s="212"/>
      <c r="J161" s="212"/>
      <c r="K161" s="212"/>
      <c r="L161" s="212"/>
      <c r="M161" s="212"/>
      <c r="N161" s="212"/>
      <c r="O161" s="212"/>
      <c r="P161" s="212"/>
      <c r="Q161" s="212"/>
      <c r="R161" s="212"/>
      <c r="S161" s="212"/>
      <c r="T161" s="212"/>
      <c r="U161" s="212"/>
      <c r="V161" s="344"/>
      <c r="W161" s="212"/>
      <c r="X161" s="5"/>
    </row>
    <row r="162" spans="1:256" ht="15.75" x14ac:dyDescent="0.25">
      <c r="A162" s="181"/>
      <c r="B162" s="531" t="s">
        <v>51</v>
      </c>
      <c r="C162" s="183"/>
      <c r="D162" s="183"/>
      <c r="E162" s="183"/>
      <c r="F162" s="183"/>
      <c r="G162" s="183"/>
      <c r="H162" s="183"/>
      <c r="I162" s="183"/>
      <c r="J162" s="183"/>
      <c r="K162" s="183"/>
      <c r="L162" s="183"/>
      <c r="M162" s="183"/>
      <c r="N162" s="183"/>
      <c r="O162" s="183"/>
      <c r="P162" s="183"/>
      <c r="Q162" s="183"/>
      <c r="R162" s="183"/>
      <c r="S162" s="183"/>
      <c r="T162" s="183"/>
      <c r="U162" s="183"/>
      <c r="V162" s="211"/>
      <c r="W162" s="183"/>
      <c r="X162" s="5"/>
    </row>
    <row r="163" spans="1:256" s="420" customFormat="1" ht="15.75" x14ac:dyDescent="0.25">
      <c r="A163" s="428"/>
      <c r="B163" s="429" t="s">
        <v>52</v>
      </c>
      <c r="C163" s="429"/>
      <c r="D163" s="429"/>
      <c r="E163" s="429"/>
      <c r="F163" s="429"/>
      <c r="G163" s="429"/>
      <c r="H163" s="429"/>
      <c r="I163" s="429"/>
      <c r="J163" s="429"/>
      <c r="K163" s="429"/>
      <c r="L163" s="429"/>
      <c r="M163" s="429"/>
      <c r="N163" s="429"/>
      <c r="O163" s="429"/>
      <c r="P163" s="429"/>
      <c r="Q163" s="429"/>
      <c r="R163" s="429"/>
      <c r="S163" s="429"/>
      <c r="T163" s="429"/>
      <c r="U163" s="429"/>
      <c r="V163" s="473">
        <v>0</v>
      </c>
      <c r="W163" s="432"/>
      <c r="X163" s="419"/>
    </row>
    <row r="164" spans="1:256" s="420" customFormat="1" ht="15.75" x14ac:dyDescent="0.25">
      <c r="A164" s="428"/>
      <c r="B164" s="429" t="s">
        <v>53</v>
      </c>
      <c r="C164" s="429"/>
      <c r="D164" s="429"/>
      <c r="E164" s="429"/>
      <c r="F164" s="429"/>
      <c r="G164" s="429"/>
      <c r="H164" s="429"/>
      <c r="I164" s="429"/>
      <c r="J164" s="429"/>
      <c r="K164" s="429"/>
      <c r="L164" s="429"/>
      <c r="M164" s="429"/>
      <c r="N164" s="429"/>
      <c r="O164" s="429"/>
      <c r="P164" s="429"/>
      <c r="Q164" s="429"/>
      <c r="R164" s="429"/>
      <c r="S164" s="429"/>
      <c r="T164" s="429"/>
      <c r="U164" s="429"/>
      <c r="V164" s="473">
        <v>149</v>
      </c>
      <c r="W164" s="432"/>
      <c r="X164" s="419"/>
    </row>
    <row r="165" spans="1:256" s="420" customFormat="1" ht="15.75" x14ac:dyDescent="0.25">
      <c r="A165" s="428"/>
      <c r="B165" s="429" t="s">
        <v>54</v>
      </c>
      <c r="C165" s="429"/>
      <c r="D165" s="429"/>
      <c r="E165" s="429"/>
      <c r="F165" s="429"/>
      <c r="G165" s="429"/>
      <c r="H165" s="429"/>
      <c r="I165" s="429"/>
      <c r="J165" s="429"/>
      <c r="K165" s="429"/>
      <c r="L165" s="429"/>
      <c r="M165" s="429"/>
      <c r="N165" s="429"/>
      <c r="O165" s="429"/>
      <c r="P165" s="429"/>
      <c r="Q165" s="429"/>
      <c r="R165" s="429"/>
      <c r="S165" s="429"/>
      <c r="T165" s="429"/>
      <c r="U165" s="429"/>
      <c r="V165" s="473">
        <f>V164+V163</f>
        <v>149</v>
      </c>
      <c r="W165" s="432"/>
      <c r="X165" s="419"/>
    </row>
    <row r="166" spans="1:256" s="420" customFormat="1" ht="15.75" x14ac:dyDescent="0.25">
      <c r="A166" s="428"/>
      <c r="B166" s="429" t="s">
        <v>303</v>
      </c>
      <c r="C166" s="429"/>
      <c r="D166" s="429"/>
      <c r="E166" s="429"/>
      <c r="F166" s="429"/>
      <c r="G166" s="429"/>
      <c r="H166" s="429"/>
      <c r="I166" s="429"/>
      <c r="J166" s="429"/>
      <c r="K166" s="429"/>
      <c r="L166" s="429"/>
      <c r="M166" s="429"/>
      <c r="N166" s="429"/>
      <c r="O166" s="429"/>
      <c r="P166" s="429"/>
      <c r="Q166" s="429"/>
      <c r="R166" s="429"/>
      <c r="S166" s="429"/>
      <c r="T166" s="429"/>
      <c r="U166" s="429"/>
      <c r="V166" s="473">
        <f>V114</f>
        <v>-149</v>
      </c>
      <c r="W166" s="432"/>
      <c r="X166" s="419"/>
    </row>
    <row r="167" spans="1:256" s="420" customFormat="1" ht="15.75" x14ac:dyDescent="0.25">
      <c r="A167" s="428"/>
      <c r="B167" s="429" t="s">
        <v>55</v>
      </c>
      <c r="C167" s="429"/>
      <c r="D167" s="429"/>
      <c r="E167" s="429"/>
      <c r="F167" s="429"/>
      <c r="G167" s="429"/>
      <c r="H167" s="429"/>
      <c r="I167" s="429"/>
      <c r="J167" s="429"/>
      <c r="K167" s="429"/>
      <c r="L167" s="429"/>
      <c r="M167" s="429"/>
      <c r="N167" s="429"/>
      <c r="O167" s="429"/>
      <c r="P167" s="429"/>
      <c r="Q167" s="429"/>
      <c r="R167" s="429"/>
      <c r="S167" s="429"/>
      <c r="T167" s="429"/>
      <c r="U167" s="429"/>
      <c r="V167" s="473">
        <f>V165+V166</f>
        <v>0</v>
      </c>
      <c r="W167" s="432"/>
      <c r="X167" s="419"/>
    </row>
    <row r="168" spans="1:256" s="420" customFormat="1" ht="15.75" x14ac:dyDescent="0.25">
      <c r="A168" s="428"/>
      <c r="B168" s="429" t="s">
        <v>274</v>
      </c>
      <c r="C168" s="429"/>
      <c r="D168" s="429"/>
      <c r="E168" s="429"/>
      <c r="F168" s="429"/>
      <c r="G168" s="429"/>
      <c r="H168" s="429"/>
      <c r="I168" s="429"/>
      <c r="J168" s="429"/>
      <c r="K168" s="429"/>
      <c r="L168" s="429"/>
      <c r="M168" s="429"/>
      <c r="N168" s="429"/>
      <c r="O168" s="429"/>
      <c r="P168" s="429"/>
      <c r="Q168" s="429"/>
      <c r="R168" s="429"/>
      <c r="S168" s="429"/>
      <c r="T168" s="429"/>
      <c r="U168" s="429"/>
      <c r="V168" s="473">
        <v>0</v>
      </c>
      <c r="W168" s="432"/>
      <c r="X168" s="419"/>
    </row>
    <row r="169" spans="1:256" ht="16.5" thickBot="1" x14ac:dyDescent="0.3">
      <c r="A169" s="181"/>
      <c r="B169" s="212"/>
      <c r="C169" s="212"/>
      <c r="D169" s="212"/>
      <c r="E169" s="212"/>
      <c r="F169" s="212"/>
      <c r="G169" s="212"/>
      <c r="H169" s="212"/>
      <c r="I169" s="212"/>
      <c r="J169" s="212"/>
      <c r="K169" s="212"/>
      <c r="L169" s="212"/>
      <c r="M169" s="212"/>
      <c r="N169" s="212"/>
      <c r="O169" s="212"/>
      <c r="P169" s="212"/>
      <c r="Q169" s="212"/>
      <c r="R169" s="212"/>
      <c r="S169" s="212"/>
      <c r="T169" s="212"/>
      <c r="U169" s="212"/>
      <c r="V169" s="344"/>
      <c r="W169" s="212"/>
      <c r="X169" s="5"/>
    </row>
    <row r="170" spans="1:256" ht="15.75" x14ac:dyDescent="0.25">
      <c r="A170" s="179"/>
      <c r="B170" s="180"/>
      <c r="C170" s="180"/>
      <c r="D170" s="180"/>
      <c r="E170" s="180"/>
      <c r="F170" s="180"/>
      <c r="G170" s="180"/>
      <c r="H170" s="180"/>
      <c r="I170" s="180"/>
      <c r="J170" s="180"/>
      <c r="K170" s="180"/>
      <c r="L170" s="180"/>
      <c r="M170" s="180"/>
      <c r="N170" s="180"/>
      <c r="O170" s="180"/>
      <c r="P170" s="180"/>
      <c r="Q170" s="180"/>
      <c r="R170" s="180"/>
      <c r="S170" s="180"/>
      <c r="T170" s="180"/>
      <c r="U170" s="180"/>
      <c r="V170" s="201"/>
      <c r="W170" s="180"/>
      <c r="X170" s="5"/>
    </row>
    <row r="171" spans="1:256" s="158" customFormat="1" ht="15.75" x14ac:dyDescent="0.25">
      <c r="A171" s="181"/>
      <c r="B171" s="531" t="s">
        <v>230</v>
      </c>
      <c r="C171" s="212"/>
      <c r="D171" s="212"/>
      <c r="E171" s="212"/>
      <c r="F171" s="212"/>
      <c r="G171" s="212"/>
      <c r="H171" s="212"/>
      <c r="I171" s="212"/>
      <c r="J171" s="212"/>
      <c r="K171" s="212"/>
      <c r="L171" s="212"/>
      <c r="M171" s="212"/>
      <c r="N171" s="212"/>
      <c r="O171" s="212"/>
      <c r="P171" s="212"/>
      <c r="Q171" s="212"/>
      <c r="R171" s="212"/>
      <c r="S171" s="212"/>
      <c r="T171" s="212"/>
      <c r="U171" s="212"/>
      <c r="V171" s="213"/>
      <c r="W171" s="212"/>
      <c r="X171" s="5"/>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s="482" customFormat="1" ht="15.75" x14ac:dyDescent="0.25">
      <c r="A172" s="428"/>
      <c r="B172" s="429" t="s">
        <v>231</v>
      </c>
      <c r="C172" s="429"/>
      <c r="D172" s="429"/>
      <c r="E172" s="429"/>
      <c r="F172" s="429"/>
      <c r="G172" s="429"/>
      <c r="H172" s="429"/>
      <c r="I172" s="429"/>
      <c r="J172" s="429"/>
      <c r="K172" s="429"/>
      <c r="L172" s="429"/>
      <c r="M172" s="429"/>
      <c r="N172" s="429"/>
      <c r="O172" s="429"/>
      <c r="P172" s="429"/>
      <c r="Q172" s="429"/>
      <c r="R172" s="429"/>
      <c r="S172" s="429"/>
      <c r="T172" s="429"/>
      <c r="U172" s="429"/>
      <c r="V172" s="473">
        <f>+'Aug 08'!V173</f>
        <v>0</v>
      </c>
      <c r="W172" s="432"/>
      <c r="X172" s="419"/>
      <c r="Y172" s="420"/>
      <c r="Z172" s="420"/>
      <c r="AA172" s="420"/>
      <c r="AB172" s="420"/>
      <c r="AC172" s="420"/>
      <c r="AD172" s="420"/>
      <c r="AE172" s="420"/>
      <c r="AF172" s="420"/>
      <c r="AG172" s="420"/>
      <c r="AH172" s="420"/>
      <c r="AI172" s="420"/>
      <c r="AJ172" s="420"/>
      <c r="AK172" s="420"/>
      <c r="AL172" s="420"/>
      <c r="AM172" s="420"/>
      <c r="AN172" s="420"/>
      <c r="AO172" s="420"/>
      <c r="AP172" s="420"/>
      <c r="AQ172" s="420"/>
      <c r="AR172" s="420"/>
      <c r="AS172" s="420"/>
      <c r="AT172" s="420"/>
      <c r="AU172" s="420"/>
      <c r="AV172" s="420"/>
      <c r="AW172" s="420"/>
      <c r="AX172" s="420"/>
      <c r="AY172" s="420"/>
      <c r="AZ172" s="420"/>
      <c r="BA172" s="420"/>
      <c r="BB172" s="420"/>
      <c r="BC172" s="420"/>
      <c r="BD172" s="420"/>
      <c r="BE172" s="420"/>
      <c r="BF172" s="420"/>
      <c r="BG172" s="420"/>
      <c r="BH172" s="420"/>
      <c r="BI172" s="420"/>
      <c r="BJ172" s="420"/>
      <c r="BK172" s="420"/>
      <c r="BL172" s="420"/>
      <c r="BM172" s="420"/>
      <c r="BN172" s="420"/>
      <c r="BO172" s="420"/>
      <c r="BP172" s="420"/>
      <c r="BQ172" s="420"/>
      <c r="BR172" s="420"/>
      <c r="BS172" s="420"/>
      <c r="BT172" s="420"/>
      <c r="BU172" s="420"/>
      <c r="BV172" s="420"/>
      <c r="BW172" s="420"/>
      <c r="BX172" s="420"/>
      <c r="BY172" s="420"/>
      <c r="BZ172" s="420"/>
      <c r="CA172" s="420"/>
      <c r="CB172" s="420"/>
      <c r="CC172" s="420"/>
      <c r="CD172" s="420"/>
      <c r="CE172" s="420"/>
      <c r="CF172" s="420"/>
      <c r="CG172" s="420"/>
      <c r="CH172" s="420"/>
      <c r="CI172" s="420"/>
      <c r="CJ172" s="420"/>
      <c r="CK172" s="420"/>
      <c r="CL172" s="420"/>
      <c r="CM172" s="420"/>
      <c r="CN172" s="420"/>
      <c r="CO172" s="420"/>
      <c r="CP172" s="420"/>
      <c r="CQ172" s="420"/>
      <c r="CR172" s="420"/>
      <c r="CS172" s="420"/>
      <c r="CT172" s="420"/>
      <c r="CU172" s="420"/>
      <c r="CV172" s="420"/>
      <c r="CW172" s="420"/>
      <c r="CX172" s="420"/>
      <c r="CY172" s="420"/>
      <c r="CZ172" s="420"/>
      <c r="DA172" s="420"/>
      <c r="DB172" s="420"/>
      <c r="DC172" s="420"/>
      <c r="DD172" s="420"/>
      <c r="DE172" s="420"/>
      <c r="DF172" s="420"/>
      <c r="DG172" s="420"/>
      <c r="DH172" s="420"/>
      <c r="DI172" s="420"/>
      <c r="DJ172" s="420"/>
      <c r="DK172" s="420"/>
      <c r="DL172" s="420"/>
      <c r="DM172" s="420"/>
      <c r="DN172" s="420"/>
      <c r="DO172" s="420"/>
      <c r="DP172" s="420"/>
      <c r="DQ172" s="420"/>
      <c r="DR172" s="420"/>
      <c r="DS172" s="420"/>
      <c r="DT172" s="420"/>
      <c r="DU172" s="420"/>
      <c r="DV172" s="420"/>
      <c r="DW172" s="420"/>
      <c r="DX172" s="420"/>
      <c r="DY172" s="420"/>
      <c r="DZ172" s="420"/>
      <c r="EA172" s="420"/>
      <c r="EB172" s="420"/>
      <c r="EC172" s="420"/>
      <c r="ED172" s="420"/>
      <c r="EE172" s="420"/>
      <c r="EF172" s="420"/>
      <c r="EG172" s="420"/>
      <c r="EH172" s="420"/>
      <c r="EI172" s="420"/>
      <c r="EJ172" s="420"/>
      <c r="EK172" s="420"/>
      <c r="EL172" s="420"/>
      <c r="EM172" s="420"/>
      <c r="EN172" s="420"/>
      <c r="EO172" s="420"/>
      <c r="EP172" s="420"/>
      <c r="EQ172" s="420"/>
      <c r="ER172" s="420"/>
      <c r="ES172" s="420"/>
      <c r="ET172" s="420"/>
      <c r="EU172" s="420"/>
      <c r="EV172" s="420"/>
      <c r="EW172" s="420"/>
      <c r="EX172" s="420"/>
      <c r="EY172" s="420"/>
      <c r="EZ172" s="420"/>
      <c r="FA172" s="420"/>
      <c r="FB172" s="420"/>
      <c r="FC172" s="420"/>
      <c r="FD172" s="420"/>
      <c r="FE172" s="420"/>
      <c r="FF172" s="420"/>
      <c r="FG172" s="420"/>
      <c r="FH172" s="420"/>
      <c r="FI172" s="420"/>
      <c r="FJ172" s="420"/>
      <c r="FK172" s="420"/>
      <c r="FL172" s="420"/>
      <c r="FM172" s="420"/>
      <c r="FN172" s="420"/>
      <c r="FO172" s="420"/>
      <c r="FP172" s="420"/>
      <c r="FQ172" s="420"/>
      <c r="FR172" s="420"/>
      <c r="FS172" s="420"/>
      <c r="FT172" s="420"/>
      <c r="FU172" s="420"/>
      <c r="FV172" s="420"/>
      <c r="FW172" s="420"/>
      <c r="FX172" s="420"/>
      <c r="FY172" s="420"/>
      <c r="FZ172" s="420"/>
      <c r="GA172" s="420"/>
      <c r="GB172" s="420"/>
      <c r="GC172" s="420"/>
      <c r="GD172" s="420"/>
      <c r="GE172" s="420"/>
      <c r="GF172" s="420"/>
      <c r="GG172" s="420"/>
      <c r="GH172" s="420"/>
      <c r="GI172" s="420"/>
      <c r="GJ172" s="420"/>
      <c r="GK172" s="420"/>
      <c r="GL172" s="420"/>
      <c r="GM172" s="420"/>
      <c r="GN172" s="420"/>
      <c r="GO172" s="420"/>
      <c r="GP172" s="420"/>
      <c r="GQ172" s="420"/>
      <c r="GR172" s="420"/>
      <c r="GS172" s="420"/>
      <c r="GT172" s="420"/>
      <c r="GU172" s="420"/>
      <c r="GV172" s="420"/>
      <c r="GW172" s="420"/>
      <c r="GX172" s="420"/>
      <c r="GY172" s="420"/>
      <c r="GZ172" s="420"/>
      <c r="HA172" s="420"/>
      <c r="HB172" s="420"/>
      <c r="HC172" s="420"/>
      <c r="HD172" s="420"/>
      <c r="HE172" s="420"/>
      <c r="HF172" s="420"/>
      <c r="HG172" s="420"/>
      <c r="HH172" s="420"/>
      <c r="HI172" s="420"/>
      <c r="HJ172" s="420"/>
      <c r="HK172" s="420"/>
      <c r="HL172" s="420"/>
      <c r="HM172" s="420"/>
      <c r="HN172" s="420"/>
      <c r="HO172" s="420"/>
      <c r="HP172" s="420"/>
      <c r="HQ172" s="420"/>
      <c r="HR172" s="420"/>
      <c r="HS172" s="420"/>
      <c r="HT172" s="420"/>
      <c r="HU172" s="420"/>
      <c r="HV172" s="420"/>
      <c r="HW172" s="420"/>
      <c r="HX172" s="420"/>
      <c r="HY172" s="420"/>
      <c r="HZ172" s="420"/>
      <c r="IA172" s="420"/>
      <c r="IB172" s="420"/>
      <c r="IC172" s="420"/>
      <c r="ID172" s="420"/>
      <c r="IE172" s="420"/>
      <c r="IF172" s="420"/>
      <c r="IG172" s="420"/>
      <c r="IH172" s="420"/>
      <c r="II172" s="420"/>
      <c r="IJ172" s="420"/>
      <c r="IK172" s="420"/>
      <c r="IL172" s="420"/>
      <c r="IM172" s="420"/>
      <c r="IN172" s="420"/>
      <c r="IO172" s="420"/>
      <c r="IP172" s="420"/>
      <c r="IQ172" s="420"/>
      <c r="IR172" s="420"/>
      <c r="IS172" s="420"/>
      <c r="IT172" s="420"/>
      <c r="IU172" s="420"/>
      <c r="IV172" s="420"/>
    </row>
    <row r="173" spans="1:256" s="482" customFormat="1" ht="15.75" x14ac:dyDescent="0.25">
      <c r="A173" s="428"/>
      <c r="B173" s="429" t="s">
        <v>234</v>
      </c>
      <c r="C173" s="429"/>
      <c r="D173" s="429"/>
      <c r="E173" s="429"/>
      <c r="F173" s="429"/>
      <c r="G173" s="429"/>
      <c r="H173" s="429"/>
      <c r="I173" s="429"/>
      <c r="J173" s="429"/>
      <c r="K173" s="429"/>
      <c r="L173" s="429"/>
      <c r="M173" s="429"/>
      <c r="N173" s="429"/>
      <c r="O173" s="429"/>
      <c r="P173" s="429"/>
      <c r="Q173" s="429"/>
      <c r="R173" s="429"/>
      <c r="S173" s="429"/>
      <c r="T173" s="429"/>
      <c r="U173" s="429"/>
      <c r="V173" s="473">
        <f>+V94</f>
        <v>0</v>
      </c>
      <c r="W173" s="432"/>
      <c r="X173" s="419"/>
      <c r="Y173" s="420"/>
      <c r="Z173" s="420"/>
      <c r="AA173" s="420"/>
      <c r="AB173" s="420"/>
      <c r="AC173" s="420"/>
      <c r="AD173" s="420"/>
      <c r="AE173" s="420"/>
      <c r="AF173" s="420"/>
      <c r="AG173" s="420"/>
      <c r="AH173" s="420"/>
      <c r="AI173" s="420"/>
      <c r="AJ173" s="420"/>
      <c r="AK173" s="420"/>
      <c r="AL173" s="420"/>
      <c r="AM173" s="420"/>
      <c r="AN173" s="420"/>
      <c r="AO173" s="420"/>
      <c r="AP173" s="420"/>
      <c r="AQ173" s="420"/>
      <c r="AR173" s="420"/>
      <c r="AS173" s="420"/>
      <c r="AT173" s="420"/>
      <c r="AU173" s="420"/>
      <c r="AV173" s="420"/>
      <c r="AW173" s="420"/>
      <c r="AX173" s="420"/>
      <c r="AY173" s="420"/>
      <c r="AZ173" s="420"/>
      <c r="BA173" s="420"/>
      <c r="BB173" s="420"/>
      <c r="BC173" s="420"/>
      <c r="BD173" s="420"/>
      <c r="BE173" s="420"/>
      <c r="BF173" s="420"/>
      <c r="BG173" s="420"/>
      <c r="BH173" s="420"/>
      <c r="BI173" s="420"/>
      <c r="BJ173" s="420"/>
      <c r="BK173" s="420"/>
      <c r="BL173" s="420"/>
      <c r="BM173" s="420"/>
      <c r="BN173" s="420"/>
      <c r="BO173" s="420"/>
      <c r="BP173" s="420"/>
      <c r="BQ173" s="420"/>
      <c r="BR173" s="420"/>
      <c r="BS173" s="420"/>
      <c r="BT173" s="420"/>
      <c r="BU173" s="420"/>
      <c r="BV173" s="420"/>
      <c r="BW173" s="420"/>
      <c r="BX173" s="420"/>
      <c r="BY173" s="420"/>
      <c r="BZ173" s="420"/>
      <c r="CA173" s="420"/>
      <c r="CB173" s="420"/>
      <c r="CC173" s="420"/>
      <c r="CD173" s="420"/>
      <c r="CE173" s="420"/>
      <c r="CF173" s="420"/>
      <c r="CG173" s="420"/>
      <c r="CH173" s="420"/>
      <c r="CI173" s="420"/>
      <c r="CJ173" s="420"/>
      <c r="CK173" s="420"/>
      <c r="CL173" s="420"/>
      <c r="CM173" s="420"/>
      <c r="CN173" s="420"/>
      <c r="CO173" s="420"/>
      <c r="CP173" s="420"/>
      <c r="CQ173" s="420"/>
      <c r="CR173" s="420"/>
      <c r="CS173" s="420"/>
      <c r="CT173" s="420"/>
      <c r="CU173" s="420"/>
      <c r="CV173" s="420"/>
      <c r="CW173" s="420"/>
      <c r="CX173" s="420"/>
      <c r="CY173" s="420"/>
      <c r="CZ173" s="420"/>
      <c r="DA173" s="420"/>
      <c r="DB173" s="420"/>
      <c r="DC173" s="420"/>
      <c r="DD173" s="420"/>
      <c r="DE173" s="420"/>
      <c r="DF173" s="420"/>
      <c r="DG173" s="420"/>
      <c r="DH173" s="420"/>
      <c r="DI173" s="420"/>
      <c r="DJ173" s="420"/>
      <c r="DK173" s="420"/>
      <c r="DL173" s="420"/>
      <c r="DM173" s="420"/>
      <c r="DN173" s="420"/>
      <c r="DO173" s="420"/>
      <c r="DP173" s="420"/>
      <c r="DQ173" s="420"/>
      <c r="DR173" s="420"/>
      <c r="DS173" s="420"/>
      <c r="DT173" s="420"/>
      <c r="DU173" s="420"/>
      <c r="DV173" s="420"/>
      <c r="DW173" s="420"/>
      <c r="DX173" s="420"/>
      <c r="DY173" s="420"/>
      <c r="DZ173" s="420"/>
      <c r="EA173" s="420"/>
      <c r="EB173" s="420"/>
      <c r="EC173" s="420"/>
      <c r="ED173" s="420"/>
      <c r="EE173" s="420"/>
      <c r="EF173" s="420"/>
      <c r="EG173" s="420"/>
      <c r="EH173" s="420"/>
      <c r="EI173" s="420"/>
      <c r="EJ173" s="420"/>
      <c r="EK173" s="420"/>
      <c r="EL173" s="420"/>
      <c r="EM173" s="420"/>
      <c r="EN173" s="420"/>
      <c r="EO173" s="420"/>
      <c r="EP173" s="420"/>
      <c r="EQ173" s="420"/>
      <c r="ER173" s="420"/>
      <c r="ES173" s="420"/>
      <c r="ET173" s="420"/>
      <c r="EU173" s="420"/>
      <c r="EV173" s="420"/>
      <c r="EW173" s="420"/>
      <c r="EX173" s="420"/>
      <c r="EY173" s="420"/>
      <c r="EZ173" s="420"/>
      <c r="FA173" s="420"/>
      <c r="FB173" s="420"/>
      <c r="FC173" s="420"/>
      <c r="FD173" s="420"/>
      <c r="FE173" s="420"/>
      <c r="FF173" s="420"/>
      <c r="FG173" s="420"/>
      <c r="FH173" s="420"/>
      <c r="FI173" s="420"/>
      <c r="FJ173" s="420"/>
      <c r="FK173" s="420"/>
      <c r="FL173" s="420"/>
      <c r="FM173" s="420"/>
      <c r="FN173" s="420"/>
      <c r="FO173" s="420"/>
      <c r="FP173" s="420"/>
      <c r="FQ173" s="420"/>
      <c r="FR173" s="420"/>
      <c r="FS173" s="420"/>
      <c r="FT173" s="420"/>
      <c r="FU173" s="420"/>
      <c r="FV173" s="420"/>
      <c r="FW173" s="420"/>
      <c r="FX173" s="420"/>
      <c r="FY173" s="420"/>
      <c r="FZ173" s="420"/>
      <c r="GA173" s="420"/>
      <c r="GB173" s="420"/>
      <c r="GC173" s="420"/>
      <c r="GD173" s="420"/>
      <c r="GE173" s="420"/>
      <c r="GF173" s="420"/>
      <c r="GG173" s="420"/>
      <c r="GH173" s="420"/>
      <c r="GI173" s="420"/>
      <c r="GJ173" s="420"/>
      <c r="GK173" s="420"/>
      <c r="GL173" s="420"/>
      <c r="GM173" s="420"/>
      <c r="GN173" s="420"/>
      <c r="GO173" s="420"/>
      <c r="GP173" s="420"/>
      <c r="GQ173" s="420"/>
      <c r="GR173" s="420"/>
      <c r="GS173" s="420"/>
      <c r="GT173" s="420"/>
      <c r="GU173" s="420"/>
      <c r="GV173" s="420"/>
      <c r="GW173" s="420"/>
      <c r="GX173" s="420"/>
      <c r="GY173" s="420"/>
      <c r="GZ173" s="420"/>
      <c r="HA173" s="420"/>
      <c r="HB173" s="420"/>
      <c r="HC173" s="420"/>
      <c r="HD173" s="420"/>
      <c r="HE173" s="420"/>
      <c r="HF173" s="420"/>
      <c r="HG173" s="420"/>
      <c r="HH173" s="420"/>
      <c r="HI173" s="420"/>
      <c r="HJ173" s="420"/>
      <c r="HK173" s="420"/>
      <c r="HL173" s="420"/>
      <c r="HM173" s="420"/>
      <c r="HN173" s="420"/>
      <c r="HO173" s="420"/>
      <c r="HP173" s="420"/>
      <c r="HQ173" s="420"/>
      <c r="HR173" s="420"/>
      <c r="HS173" s="420"/>
      <c r="HT173" s="420"/>
      <c r="HU173" s="420"/>
      <c r="HV173" s="420"/>
      <c r="HW173" s="420"/>
      <c r="HX173" s="420"/>
      <c r="HY173" s="420"/>
      <c r="HZ173" s="420"/>
      <c r="IA173" s="420"/>
      <c r="IB173" s="420"/>
      <c r="IC173" s="420"/>
      <c r="ID173" s="420"/>
      <c r="IE173" s="420"/>
      <c r="IF173" s="420"/>
      <c r="IG173" s="420"/>
      <c r="IH173" s="420"/>
      <c r="II173" s="420"/>
      <c r="IJ173" s="420"/>
      <c r="IK173" s="420"/>
      <c r="IL173" s="420"/>
      <c r="IM173" s="420"/>
      <c r="IN173" s="420"/>
      <c r="IO173" s="420"/>
      <c r="IP173" s="420"/>
      <c r="IQ173" s="420"/>
      <c r="IR173" s="420"/>
      <c r="IS173" s="420"/>
      <c r="IT173" s="420"/>
      <c r="IU173" s="420"/>
      <c r="IV173" s="420"/>
    </row>
    <row r="174" spans="1:256" s="482" customFormat="1" ht="15.75" x14ac:dyDescent="0.25">
      <c r="A174" s="428"/>
      <c r="B174" s="429" t="s">
        <v>232</v>
      </c>
      <c r="C174" s="429"/>
      <c r="D174" s="429"/>
      <c r="E174" s="429"/>
      <c r="F174" s="429"/>
      <c r="G174" s="429"/>
      <c r="H174" s="429"/>
      <c r="I174" s="429"/>
      <c r="J174" s="429"/>
      <c r="K174" s="429"/>
      <c r="L174" s="429"/>
      <c r="M174" s="429"/>
      <c r="N174" s="429"/>
      <c r="O174" s="429"/>
      <c r="P174" s="429"/>
      <c r="Q174" s="429"/>
      <c r="R174" s="429"/>
      <c r="S174" s="429"/>
      <c r="T174" s="429"/>
      <c r="U174" s="429"/>
      <c r="V174" s="473">
        <f>+V172-V173</f>
        <v>0</v>
      </c>
      <c r="W174" s="432"/>
      <c r="X174" s="419"/>
      <c r="Y174" s="420"/>
      <c r="Z174" s="420"/>
      <c r="AA174" s="420"/>
      <c r="AB174" s="420"/>
      <c r="AC174" s="420"/>
      <c r="AD174" s="420"/>
      <c r="AE174" s="420"/>
      <c r="AF174" s="420"/>
      <c r="AG174" s="420"/>
      <c r="AH174" s="420"/>
      <c r="AI174" s="420"/>
      <c r="AJ174" s="420"/>
      <c r="AK174" s="420"/>
      <c r="AL174" s="420"/>
      <c r="AM174" s="420"/>
      <c r="AN174" s="420"/>
      <c r="AO174" s="420"/>
      <c r="AP174" s="420"/>
      <c r="AQ174" s="420"/>
      <c r="AR174" s="420"/>
      <c r="AS174" s="420"/>
      <c r="AT174" s="420"/>
      <c r="AU174" s="420"/>
      <c r="AV174" s="420"/>
      <c r="AW174" s="420"/>
      <c r="AX174" s="420"/>
      <c r="AY174" s="420"/>
      <c r="AZ174" s="420"/>
      <c r="BA174" s="420"/>
      <c r="BB174" s="420"/>
      <c r="BC174" s="420"/>
      <c r="BD174" s="420"/>
      <c r="BE174" s="420"/>
      <c r="BF174" s="420"/>
      <c r="BG174" s="420"/>
      <c r="BH174" s="420"/>
      <c r="BI174" s="420"/>
      <c r="BJ174" s="420"/>
      <c r="BK174" s="420"/>
      <c r="BL174" s="420"/>
      <c r="BM174" s="420"/>
      <c r="BN174" s="420"/>
      <c r="BO174" s="420"/>
      <c r="BP174" s="420"/>
      <c r="BQ174" s="420"/>
      <c r="BR174" s="420"/>
      <c r="BS174" s="420"/>
      <c r="BT174" s="420"/>
      <c r="BU174" s="420"/>
      <c r="BV174" s="420"/>
      <c r="BW174" s="420"/>
      <c r="BX174" s="420"/>
      <c r="BY174" s="420"/>
      <c r="BZ174" s="420"/>
      <c r="CA174" s="420"/>
      <c r="CB174" s="420"/>
      <c r="CC174" s="420"/>
      <c r="CD174" s="420"/>
      <c r="CE174" s="420"/>
      <c r="CF174" s="420"/>
      <c r="CG174" s="420"/>
      <c r="CH174" s="420"/>
      <c r="CI174" s="420"/>
      <c r="CJ174" s="420"/>
      <c r="CK174" s="420"/>
      <c r="CL174" s="420"/>
      <c r="CM174" s="420"/>
      <c r="CN174" s="420"/>
      <c r="CO174" s="420"/>
      <c r="CP174" s="420"/>
      <c r="CQ174" s="420"/>
      <c r="CR174" s="420"/>
      <c r="CS174" s="420"/>
      <c r="CT174" s="420"/>
      <c r="CU174" s="420"/>
      <c r="CV174" s="420"/>
      <c r="CW174" s="420"/>
      <c r="CX174" s="420"/>
      <c r="CY174" s="420"/>
      <c r="CZ174" s="420"/>
      <c r="DA174" s="420"/>
      <c r="DB174" s="420"/>
      <c r="DC174" s="420"/>
      <c r="DD174" s="420"/>
      <c r="DE174" s="420"/>
      <c r="DF174" s="420"/>
      <c r="DG174" s="420"/>
      <c r="DH174" s="420"/>
      <c r="DI174" s="420"/>
      <c r="DJ174" s="420"/>
      <c r="DK174" s="420"/>
      <c r="DL174" s="420"/>
      <c r="DM174" s="420"/>
      <c r="DN174" s="420"/>
      <c r="DO174" s="420"/>
      <c r="DP174" s="420"/>
      <c r="DQ174" s="420"/>
      <c r="DR174" s="420"/>
      <c r="DS174" s="420"/>
      <c r="DT174" s="420"/>
      <c r="DU174" s="420"/>
      <c r="DV174" s="420"/>
      <c r="DW174" s="420"/>
      <c r="DX174" s="420"/>
      <c r="DY174" s="420"/>
      <c r="DZ174" s="420"/>
      <c r="EA174" s="420"/>
      <c r="EB174" s="420"/>
      <c r="EC174" s="420"/>
      <c r="ED174" s="420"/>
      <c r="EE174" s="420"/>
      <c r="EF174" s="420"/>
      <c r="EG174" s="420"/>
      <c r="EH174" s="420"/>
      <c r="EI174" s="420"/>
      <c r="EJ174" s="420"/>
      <c r="EK174" s="420"/>
      <c r="EL174" s="420"/>
      <c r="EM174" s="420"/>
      <c r="EN174" s="420"/>
      <c r="EO174" s="420"/>
      <c r="EP174" s="420"/>
      <c r="EQ174" s="420"/>
      <c r="ER174" s="420"/>
      <c r="ES174" s="420"/>
      <c r="ET174" s="420"/>
      <c r="EU174" s="420"/>
      <c r="EV174" s="420"/>
      <c r="EW174" s="420"/>
      <c r="EX174" s="420"/>
      <c r="EY174" s="420"/>
      <c r="EZ174" s="420"/>
      <c r="FA174" s="420"/>
      <c r="FB174" s="420"/>
      <c r="FC174" s="420"/>
      <c r="FD174" s="420"/>
      <c r="FE174" s="420"/>
      <c r="FF174" s="420"/>
      <c r="FG174" s="420"/>
      <c r="FH174" s="420"/>
      <c r="FI174" s="420"/>
      <c r="FJ174" s="420"/>
      <c r="FK174" s="420"/>
      <c r="FL174" s="420"/>
      <c r="FM174" s="420"/>
      <c r="FN174" s="420"/>
      <c r="FO174" s="420"/>
      <c r="FP174" s="420"/>
      <c r="FQ174" s="420"/>
      <c r="FR174" s="420"/>
      <c r="FS174" s="420"/>
      <c r="FT174" s="420"/>
      <c r="FU174" s="420"/>
      <c r="FV174" s="420"/>
      <c r="FW174" s="420"/>
      <c r="FX174" s="420"/>
      <c r="FY174" s="420"/>
      <c r="FZ174" s="420"/>
      <c r="GA174" s="420"/>
      <c r="GB174" s="420"/>
      <c r="GC174" s="420"/>
      <c r="GD174" s="420"/>
      <c r="GE174" s="420"/>
      <c r="GF174" s="420"/>
      <c r="GG174" s="420"/>
      <c r="GH174" s="420"/>
      <c r="GI174" s="420"/>
      <c r="GJ174" s="420"/>
      <c r="GK174" s="420"/>
      <c r="GL174" s="420"/>
      <c r="GM174" s="420"/>
      <c r="GN174" s="420"/>
      <c r="GO174" s="420"/>
      <c r="GP174" s="420"/>
      <c r="GQ174" s="420"/>
      <c r="GR174" s="420"/>
      <c r="GS174" s="420"/>
      <c r="GT174" s="420"/>
      <c r="GU174" s="420"/>
      <c r="GV174" s="420"/>
      <c r="GW174" s="420"/>
      <c r="GX174" s="420"/>
      <c r="GY174" s="420"/>
      <c r="GZ174" s="420"/>
      <c r="HA174" s="420"/>
      <c r="HB174" s="420"/>
      <c r="HC174" s="420"/>
      <c r="HD174" s="420"/>
      <c r="HE174" s="420"/>
      <c r="HF174" s="420"/>
      <c r="HG174" s="420"/>
      <c r="HH174" s="420"/>
      <c r="HI174" s="420"/>
      <c r="HJ174" s="420"/>
      <c r="HK174" s="420"/>
      <c r="HL174" s="420"/>
      <c r="HM174" s="420"/>
      <c r="HN174" s="420"/>
      <c r="HO174" s="420"/>
      <c r="HP174" s="420"/>
      <c r="HQ174" s="420"/>
      <c r="HR174" s="420"/>
      <c r="HS174" s="420"/>
      <c r="HT174" s="420"/>
      <c r="HU174" s="420"/>
      <c r="HV174" s="420"/>
      <c r="HW174" s="420"/>
      <c r="HX174" s="420"/>
      <c r="HY174" s="420"/>
      <c r="HZ174" s="420"/>
      <c r="IA174" s="420"/>
      <c r="IB174" s="420"/>
      <c r="IC174" s="420"/>
      <c r="ID174" s="420"/>
      <c r="IE174" s="420"/>
      <c r="IF174" s="420"/>
      <c r="IG174" s="420"/>
      <c r="IH174" s="420"/>
      <c r="II174" s="420"/>
      <c r="IJ174" s="420"/>
      <c r="IK174" s="420"/>
      <c r="IL174" s="420"/>
      <c r="IM174" s="420"/>
      <c r="IN174" s="420"/>
      <c r="IO174" s="420"/>
      <c r="IP174" s="420"/>
      <c r="IQ174" s="420"/>
      <c r="IR174" s="420"/>
      <c r="IS174" s="420"/>
      <c r="IT174" s="420"/>
      <c r="IU174" s="420"/>
      <c r="IV174" s="420"/>
    </row>
    <row r="175" spans="1:256" s="163" customFormat="1" ht="16.5" thickBot="1" x14ac:dyDescent="0.3">
      <c r="A175" s="197"/>
      <c r="B175" s="212"/>
      <c r="C175" s="212"/>
      <c r="D175" s="212"/>
      <c r="E175" s="212"/>
      <c r="F175" s="212"/>
      <c r="G175" s="212"/>
      <c r="H175" s="212"/>
      <c r="I175" s="212"/>
      <c r="J175" s="212"/>
      <c r="K175" s="212"/>
      <c r="L175" s="212"/>
      <c r="M175" s="212"/>
      <c r="N175" s="212"/>
      <c r="O175" s="212"/>
      <c r="P175" s="212"/>
      <c r="Q175" s="212"/>
      <c r="R175" s="212"/>
      <c r="S175" s="212"/>
      <c r="T175" s="212"/>
      <c r="U175" s="212"/>
      <c r="V175" s="344"/>
      <c r="W175" s="212"/>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4" customFormat="1" ht="15.75" x14ac:dyDescent="0.25">
      <c r="A176" s="179"/>
      <c r="B176" s="180"/>
      <c r="C176" s="180"/>
      <c r="D176" s="180"/>
      <c r="E176" s="180"/>
      <c r="F176" s="180"/>
      <c r="G176" s="180"/>
      <c r="H176" s="180"/>
      <c r="I176" s="180"/>
      <c r="J176" s="180"/>
      <c r="K176" s="180"/>
      <c r="L176" s="180"/>
      <c r="M176" s="180"/>
      <c r="N176" s="180"/>
      <c r="O176" s="180"/>
      <c r="P176" s="180"/>
      <c r="Q176" s="180"/>
      <c r="R176" s="180"/>
      <c r="S176" s="180"/>
      <c r="T176" s="180"/>
      <c r="U176" s="180"/>
      <c r="V176" s="201"/>
      <c r="W176" s="180"/>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4" ht="15.75" x14ac:dyDescent="0.25">
      <c r="A177" s="181"/>
      <c r="B177" s="531" t="s">
        <v>56</v>
      </c>
      <c r="C177" s="183"/>
      <c r="D177" s="183"/>
      <c r="E177" s="183"/>
      <c r="F177" s="183"/>
      <c r="G177" s="183"/>
      <c r="H177" s="183"/>
      <c r="I177" s="183"/>
      <c r="J177" s="183"/>
      <c r="K177" s="183"/>
      <c r="L177" s="183"/>
      <c r="M177" s="183"/>
      <c r="N177" s="183"/>
      <c r="O177" s="183"/>
      <c r="P177" s="183"/>
      <c r="Q177" s="183"/>
      <c r="R177" s="183"/>
      <c r="S177" s="183"/>
      <c r="T177" s="183"/>
      <c r="U177" s="183"/>
      <c r="V177" s="202"/>
      <c r="W177" s="183"/>
      <c r="X177" s="5"/>
    </row>
    <row r="178" spans="1:24" ht="15.75" x14ac:dyDescent="0.25">
      <c r="A178" s="181"/>
      <c r="B178" s="191"/>
      <c r="C178" s="183"/>
      <c r="D178" s="183"/>
      <c r="E178" s="183"/>
      <c r="F178" s="183"/>
      <c r="G178" s="183"/>
      <c r="H178" s="183"/>
      <c r="I178" s="183"/>
      <c r="J178" s="183"/>
      <c r="K178" s="183"/>
      <c r="L178" s="183"/>
      <c r="M178" s="183"/>
      <c r="N178" s="183"/>
      <c r="O178" s="183"/>
      <c r="P178" s="183"/>
      <c r="Q178" s="183"/>
      <c r="R178" s="183"/>
      <c r="S178" s="183"/>
      <c r="T178" s="183"/>
      <c r="U178" s="183"/>
      <c r="V178" s="202"/>
      <c r="W178" s="183"/>
      <c r="X178" s="5"/>
    </row>
    <row r="179" spans="1:24" s="420" customFormat="1" ht="15.75" x14ac:dyDescent="0.25">
      <c r="A179" s="428"/>
      <c r="B179" s="429" t="s">
        <v>57</v>
      </c>
      <c r="C179" s="429"/>
      <c r="D179" s="429"/>
      <c r="E179" s="429"/>
      <c r="F179" s="429"/>
      <c r="G179" s="429"/>
      <c r="H179" s="429"/>
      <c r="I179" s="429"/>
      <c r="J179" s="429"/>
      <c r="K179" s="429"/>
      <c r="L179" s="429"/>
      <c r="M179" s="429"/>
      <c r="N179" s="429"/>
      <c r="O179" s="429"/>
      <c r="P179" s="429"/>
      <c r="Q179" s="429"/>
      <c r="R179" s="429"/>
      <c r="S179" s="429"/>
      <c r="T179" s="429"/>
      <c r="U179" s="429"/>
      <c r="V179" s="473">
        <f>V71</f>
        <v>602398</v>
      </c>
      <c r="W179" s="432"/>
      <c r="X179" s="419"/>
    </row>
    <row r="180" spans="1:24" s="420" customFormat="1" ht="15.75" x14ac:dyDescent="0.25">
      <c r="A180" s="428"/>
      <c r="B180" s="429" t="s">
        <v>58</v>
      </c>
      <c r="C180" s="429"/>
      <c r="D180" s="429"/>
      <c r="E180" s="429"/>
      <c r="F180" s="429"/>
      <c r="G180" s="429"/>
      <c r="H180" s="429"/>
      <c r="I180" s="429"/>
      <c r="J180" s="429"/>
      <c r="K180" s="429"/>
      <c r="L180" s="429"/>
      <c r="M180" s="429"/>
      <c r="N180" s="429"/>
      <c r="O180" s="429"/>
      <c r="P180" s="429"/>
      <c r="Q180" s="429"/>
      <c r="R180" s="429"/>
      <c r="S180" s="429"/>
      <c r="T180" s="429"/>
      <c r="U180" s="429"/>
      <c r="V180" s="473">
        <f>V84</f>
        <v>602398</v>
      </c>
      <c r="W180" s="432"/>
      <c r="X180" s="419"/>
    </row>
    <row r="181" spans="1:24" ht="16.5" thickBot="1" x14ac:dyDescent="0.3">
      <c r="A181" s="181"/>
      <c r="B181" s="212"/>
      <c r="C181" s="212"/>
      <c r="D181" s="212"/>
      <c r="E181" s="212"/>
      <c r="F181" s="212"/>
      <c r="G181" s="212"/>
      <c r="H181" s="212"/>
      <c r="I181" s="212"/>
      <c r="J181" s="212"/>
      <c r="K181" s="212"/>
      <c r="L181" s="212"/>
      <c r="M181" s="212"/>
      <c r="N181" s="212"/>
      <c r="O181" s="212"/>
      <c r="P181" s="212"/>
      <c r="Q181" s="212"/>
      <c r="R181" s="212"/>
      <c r="S181" s="212"/>
      <c r="T181" s="212"/>
      <c r="U181" s="212"/>
      <c r="V181" s="344"/>
      <c r="W181" s="212"/>
      <c r="X181" s="5"/>
    </row>
    <row r="182" spans="1:24" ht="15.75" x14ac:dyDescent="0.25">
      <c r="A182" s="179"/>
      <c r="B182" s="180"/>
      <c r="C182" s="180"/>
      <c r="D182" s="180"/>
      <c r="E182" s="180"/>
      <c r="F182" s="180"/>
      <c r="G182" s="180"/>
      <c r="H182" s="180"/>
      <c r="I182" s="180"/>
      <c r="J182" s="180"/>
      <c r="K182" s="180"/>
      <c r="L182" s="180"/>
      <c r="M182" s="180"/>
      <c r="N182" s="180"/>
      <c r="O182" s="180"/>
      <c r="P182" s="180"/>
      <c r="Q182" s="180"/>
      <c r="R182" s="180"/>
      <c r="S182" s="180"/>
      <c r="T182" s="180"/>
      <c r="U182" s="180"/>
      <c r="V182" s="201"/>
      <c r="W182" s="180"/>
      <c r="X182" s="5"/>
    </row>
    <row r="183" spans="1:24" s="522" customFormat="1" ht="15.75" x14ac:dyDescent="0.25">
      <c r="A183" s="525"/>
      <c r="B183" s="531" t="s">
        <v>59</v>
      </c>
      <c r="C183" s="529"/>
      <c r="D183" s="529"/>
      <c r="E183" s="529"/>
      <c r="F183" s="529"/>
      <c r="G183" s="529"/>
      <c r="H183" s="532"/>
      <c r="I183" s="532"/>
      <c r="J183" s="532"/>
      <c r="K183" s="532"/>
      <c r="L183" s="532"/>
      <c r="M183" s="532"/>
      <c r="N183" s="532"/>
      <c r="O183" s="532"/>
      <c r="P183" s="532"/>
      <c r="Q183" s="532"/>
      <c r="R183" s="532"/>
      <c r="S183" s="532" t="s">
        <v>101</v>
      </c>
      <c r="T183" s="532" t="s">
        <v>176</v>
      </c>
      <c r="U183" s="511"/>
      <c r="V183" s="533" t="s">
        <v>114</v>
      </c>
      <c r="W183" s="511"/>
      <c r="X183" s="521"/>
    </row>
    <row r="184" spans="1:24" s="420" customFormat="1" ht="15.75" x14ac:dyDescent="0.25">
      <c r="A184" s="428"/>
      <c r="B184" s="429" t="s">
        <v>60</v>
      </c>
      <c r="C184" s="429"/>
      <c r="D184" s="429"/>
      <c r="E184" s="429"/>
      <c r="F184" s="429"/>
      <c r="G184" s="429"/>
      <c r="H184" s="429"/>
      <c r="I184" s="429"/>
      <c r="J184" s="429"/>
      <c r="K184" s="429"/>
      <c r="L184" s="429"/>
      <c r="M184" s="429"/>
      <c r="N184" s="429"/>
      <c r="O184" s="429"/>
      <c r="P184" s="429"/>
      <c r="Q184" s="429"/>
      <c r="R184" s="429"/>
      <c r="S184" s="473">
        <f>+V34*0.16</f>
        <v>160181.28</v>
      </c>
      <c r="T184" s="452"/>
      <c r="U184" s="429"/>
      <c r="V184" s="473"/>
      <c r="W184" s="432"/>
      <c r="X184" s="419"/>
    </row>
    <row r="185" spans="1:24" s="420" customFormat="1" ht="15.75" x14ac:dyDescent="0.25">
      <c r="A185" s="428"/>
      <c r="B185" s="429" t="s">
        <v>61</v>
      </c>
      <c r="C185" s="429"/>
      <c r="D185" s="429"/>
      <c r="E185" s="429"/>
      <c r="F185" s="429"/>
      <c r="G185" s="429"/>
      <c r="H185" s="429"/>
      <c r="I185" s="429"/>
      <c r="J185" s="429"/>
      <c r="K185" s="429"/>
      <c r="L185" s="429"/>
      <c r="M185" s="429"/>
      <c r="N185" s="429"/>
      <c r="O185" s="429"/>
      <c r="P185" s="429"/>
      <c r="Q185" s="429"/>
      <c r="R185" s="429"/>
      <c r="S185" s="473">
        <f>+'May 18'!S187</f>
        <v>13656</v>
      </c>
      <c r="T185" s="473">
        <f>+'May 18'!T187</f>
        <v>6098</v>
      </c>
      <c r="U185" s="429"/>
      <c r="V185" s="473">
        <f>S185+T185</f>
        <v>19754</v>
      </c>
      <c r="W185" s="432"/>
      <c r="X185" s="419"/>
    </row>
    <row r="186" spans="1:24" s="420" customFormat="1" ht="15.75" x14ac:dyDescent="0.25">
      <c r="A186" s="428"/>
      <c r="B186" s="429" t="s">
        <v>62</v>
      </c>
      <c r="C186" s="429"/>
      <c r="D186" s="429"/>
      <c r="E186" s="429"/>
      <c r="F186" s="429"/>
      <c r="G186" s="429"/>
      <c r="H186" s="429"/>
      <c r="I186" s="429"/>
      <c r="J186" s="429"/>
      <c r="K186" s="429"/>
      <c r="L186" s="429"/>
      <c r="M186" s="429"/>
      <c r="N186" s="429"/>
      <c r="O186" s="429"/>
      <c r="P186" s="429"/>
      <c r="Q186" s="429"/>
      <c r="R186" s="429"/>
      <c r="S186" s="472">
        <v>449</v>
      </c>
      <c r="T186" s="472">
        <v>0</v>
      </c>
      <c r="U186" s="429"/>
      <c r="V186" s="473">
        <f>S186+T186</f>
        <v>449</v>
      </c>
      <c r="W186" s="432"/>
      <c r="X186" s="419"/>
    </row>
    <row r="187" spans="1:24" s="420" customFormat="1" ht="15.75" x14ac:dyDescent="0.25">
      <c r="A187" s="428"/>
      <c r="B187" s="429" t="s">
        <v>63</v>
      </c>
      <c r="C187" s="429"/>
      <c r="D187" s="429"/>
      <c r="E187" s="429"/>
      <c r="F187" s="429"/>
      <c r="G187" s="429"/>
      <c r="H187" s="429"/>
      <c r="I187" s="429"/>
      <c r="J187" s="429"/>
      <c r="K187" s="429"/>
      <c r="L187" s="429"/>
      <c r="M187" s="429"/>
      <c r="N187" s="429"/>
      <c r="O187" s="429"/>
      <c r="P187" s="429"/>
      <c r="Q187" s="429"/>
      <c r="R187" s="429"/>
      <c r="S187" s="473">
        <f>S185+S186</f>
        <v>14105</v>
      </c>
      <c r="T187" s="473">
        <f>T186+T185</f>
        <v>6098</v>
      </c>
      <c r="U187" s="429"/>
      <c r="V187" s="473">
        <f>S187+T187</f>
        <v>20203</v>
      </c>
      <c r="W187" s="432"/>
      <c r="X187" s="419"/>
    </row>
    <row r="188" spans="1:24" s="420" customFormat="1" ht="15.75" x14ac:dyDescent="0.25">
      <c r="A188" s="428"/>
      <c r="B188" s="429" t="s">
        <v>64</v>
      </c>
      <c r="C188" s="429"/>
      <c r="D188" s="429"/>
      <c r="E188" s="429"/>
      <c r="F188" s="429"/>
      <c r="G188" s="429"/>
      <c r="H188" s="429"/>
      <c r="I188" s="429"/>
      <c r="J188" s="429"/>
      <c r="K188" s="429"/>
      <c r="L188" s="429"/>
      <c r="M188" s="429"/>
      <c r="N188" s="429"/>
      <c r="O188" s="429"/>
      <c r="P188" s="429"/>
      <c r="Q188" s="429"/>
      <c r="R188" s="429"/>
      <c r="S188" s="473">
        <f>S184-S187-T187</f>
        <v>139978.28</v>
      </c>
      <c r="T188" s="452"/>
      <c r="U188" s="429"/>
      <c r="V188" s="473"/>
      <c r="W188" s="432"/>
      <c r="X188" s="419"/>
    </row>
    <row r="189" spans="1:24" ht="16.5" thickBot="1" x14ac:dyDescent="0.3">
      <c r="A189" s="181"/>
      <c r="B189" s="212"/>
      <c r="C189" s="212"/>
      <c r="D189" s="212"/>
      <c r="E189" s="212"/>
      <c r="F189" s="212"/>
      <c r="G189" s="212"/>
      <c r="H189" s="212"/>
      <c r="I189" s="212"/>
      <c r="J189" s="212"/>
      <c r="K189" s="212"/>
      <c r="L189" s="212"/>
      <c r="M189" s="212"/>
      <c r="N189" s="212"/>
      <c r="O189" s="212"/>
      <c r="P189" s="212"/>
      <c r="Q189" s="212"/>
      <c r="R189" s="212"/>
      <c r="S189" s="212"/>
      <c r="T189" s="212"/>
      <c r="U189" s="212"/>
      <c r="V189" s="344"/>
      <c r="W189" s="212"/>
      <c r="X189" s="5"/>
    </row>
    <row r="190" spans="1:24" ht="15.75" x14ac:dyDescent="0.25">
      <c r="A190" s="179"/>
      <c r="B190" s="180"/>
      <c r="C190" s="180"/>
      <c r="D190" s="180"/>
      <c r="E190" s="180"/>
      <c r="F190" s="180"/>
      <c r="G190" s="180"/>
      <c r="H190" s="180"/>
      <c r="I190" s="180"/>
      <c r="J190" s="180"/>
      <c r="K190" s="180"/>
      <c r="L190" s="180"/>
      <c r="M190" s="180"/>
      <c r="N190" s="180"/>
      <c r="O190" s="180"/>
      <c r="P190" s="180"/>
      <c r="Q190" s="180"/>
      <c r="R190" s="180"/>
      <c r="S190" s="180"/>
      <c r="T190" s="180"/>
      <c r="U190" s="180"/>
      <c r="V190" s="201"/>
      <c r="W190" s="180"/>
      <c r="X190" s="5"/>
    </row>
    <row r="191" spans="1:24" ht="15.75" x14ac:dyDescent="0.25">
      <c r="A191" s="181"/>
      <c r="B191" s="531" t="s">
        <v>65</v>
      </c>
      <c r="C191" s="183"/>
      <c r="D191" s="183"/>
      <c r="E191" s="183"/>
      <c r="F191" s="183"/>
      <c r="G191" s="183"/>
      <c r="H191" s="183"/>
      <c r="I191" s="183"/>
      <c r="J191" s="183"/>
      <c r="K191" s="183"/>
      <c r="L191" s="183"/>
      <c r="M191" s="183"/>
      <c r="N191" s="183"/>
      <c r="O191" s="183"/>
      <c r="P191" s="183"/>
      <c r="Q191" s="183"/>
      <c r="R191" s="183"/>
      <c r="S191" s="183"/>
      <c r="T191" s="183"/>
      <c r="U191" s="183"/>
      <c r="V191" s="217"/>
      <c r="W191" s="183"/>
      <c r="X191" s="5"/>
    </row>
    <row r="192" spans="1:24" s="420" customFormat="1" ht="15.75" x14ac:dyDescent="0.25">
      <c r="A192" s="428"/>
      <c r="B192" s="429" t="s">
        <v>66</v>
      </c>
      <c r="C192" s="429"/>
      <c r="D192" s="429"/>
      <c r="E192" s="429"/>
      <c r="F192" s="429"/>
      <c r="G192" s="429"/>
      <c r="H192" s="429"/>
      <c r="I192" s="429"/>
      <c r="J192" s="429"/>
      <c r="K192" s="429"/>
      <c r="L192" s="429"/>
      <c r="M192" s="429"/>
      <c r="N192" s="429"/>
      <c r="O192" s="429"/>
      <c r="P192" s="429"/>
      <c r="Q192" s="429"/>
      <c r="R192" s="429"/>
      <c r="S192" s="429"/>
      <c r="T192" s="429"/>
      <c r="U192" s="429"/>
      <c r="V192" s="481">
        <f>(V101+V103+V104+V105+V106)/-(V107+V108)</f>
        <v>3.7302823758519961</v>
      </c>
      <c r="W192" s="432" t="s">
        <v>115</v>
      </c>
      <c r="X192" s="419"/>
    </row>
    <row r="193" spans="1:24" s="420" customFormat="1" ht="15.75" x14ac:dyDescent="0.25">
      <c r="A193" s="428"/>
      <c r="B193" s="429" t="s">
        <v>67</v>
      </c>
      <c r="C193" s="429"/>
      <c r="D193" s="429"/>
      <c r="E193" s="429"/>
      <c r="F193" s="429"/>
      <c r="G193" s="429"/>
      <c r="H193" s="429"/>
      <c r="I193" s="429"/>
      <c r="J193" s="429"/>
      <c r="K193" s="429"/>
      <c r="L193" s="429"/>
      <c r="M193" s="429"/>
      <c r="N193" s="429"/>
      <c r="O193" s="429"/>
      <c r="P193" s="429"/>
      <c r="Q193" s="429"/>
      <c r="R193" s="429"/>
      <c r="S193" s="429"/>
      <c r="T193" s="429"/>
      <c r="U193" s="429"/>
      <c r="V193" s="483">
        <v>2.21</v>
      </c>
      <c r="W193" s="432" t="s">
        <v>115</v>
      </c>
      <c r="X193" s="419"/>
    </row>
    <row r="194" spans="1:24" s="420" customFormat="1" ht="15.75" x14ac:dyDescent="0.25">
      <c r="A194" s="428"/>
      <c r="B194" s="429" t="s">
        <v>68</v>
      </c>
      <c r="C194" s="429"/>
      <c r="D194" s="429"/>
      <c r="E194" s="429"/>
      <c r="F194" s="429"/>
      <c r="G194" s="429"/>
      <c r="H194" s="429"/>
      <c r="I194" s="429"/>
      <c r="J194" s="429"/>
      <c r="K194" s="429"/>
      <c r="L194" s="429"/>
      <c r="M194" s="429"/>
      <c r="N194" s="429"/>
      <c r="O194" s="429"/>
      <c r="P194" s="429"/>
      <c r="Q194" s="429"/>
      <c r="R194" s="429"/>
      <c r="S194" s="429"/>
      <c r="T194" s="429"/>
      <c r="U194" s="429"/>
      <c r="V194" s="481">
        <f>(V101+V103+V104+V105+V106+V107+V108)/-(V109+V110)</f>
        <v>11.831223628691983</v>
      </c>
      <c r="W194" s="432" t="s">
        <v>115</v>
      </c>
      <c r="X194" s="419"/>
    </row>
    <row r="195" spans="1:24" s="420" customFormat="1" ht="15.75" x14ac:dyDescent="0.25">
      <c r="A195" s="428"/>
      <c r="B195" s="429" t="s">
        <v>69</v>
      </c>
      <c r="C195" s="429"/>
      <c r="D195" s="429"/>
      <c r="E195" s="429"/>
      <c r="F195" s="429"/>
      <c r="G195" s="429"/>
      <c r="H195" s="429"/>
      <c r="I195" s="429"/>
      <c r="J195" s="429"/>
      <c r="K195" s="429"/>
      <c r="L195" s="429"/>
      <c r="M195" s="429"/>
      <c r="N195" s="429"/>
      <c r="O195" s="429"/>
      <c r="P195" s="429"/>
      <c r="Q195" s="429"/>
      <c r="R195" s="429"/>
      <c r="S195" s="429"/>
      <c r="T195" s="429"/>
      <c r="U195" s="429"/>
      <c r="V195" s="483">
        <v>10.01</v>
      </c>
      <c r="W195" s="432" t="s">
        <v>115</v>
      </c>
      <c r="X195" s="419"/>
    </row>
    <row r="196" spans="1:24" s="420" customFormat="1" ht="15.75" x14ac:dyDescent="0.25">
      <c r="A196" s="428"/>
      <c r="B196" s="429" t="s">
        <v>198</v>
      </c>
      <c r="C196" s="429"/>
      <c r="D196" s="429"/>
      <c r="E196" s="429"/>
      <c r="F196" s="429"/>
      <c r="G196" s="429"/>
      <c r="H196" s="429"/>
      <c r="I196" s="429"/>
      <c r="J196" s="429"/>
      <c r="K196" s="429"/>
      <c r="L196" s="429"/>
      <c r="M196" s="429"/>
      <c r="N196" s="429"/>
      <c r="O196" s="429"/>
      <c r="P196" s="429"/>
      <c r="Q196" s="429"/>
      <c r="R196" s="429"/>
      <c r="S196" s="429"/>
      <c r="T196" s="429"/>
      <c r="U196" s="429"/>
      <c r="V196" s="481">
        <f>(V101+V103+V104+V105+V106+V107+V108+V109+V110)/-(V111)</f>
        <v>7.1504178272980505</v>
      </c>
      <c r="W196" s="432" t="s">
        <v>115</v>
      </c>
      <c r="X196" s="419"/>
    </row>
    <row r="197" spans="1:24" s="420" customFormat="1" ht="15.75" x14ac:dyDescent="0.25">
      <c r="A197" s="428"/>
      <c r="B197" s="429" t="s">
        <v>199</v>
      </c>
      <c r="C197" s="429"/>
      <c r="D197" s="429"/>
      <c r="E197" s="429"/>
      <c r="F197" s="429"/>
      <c r="G197" s="429"/>
      <c r="H197" s="429"/>
      <c r="I197" s="429"/>
      <c r="J197" s="429"/>
      <c r="K197" s="429"/>
      <c r="L197" s="429"/>
      <c r="M197" s="429"/>
      <c r="N197" s="429"/>
      <c r="O197" s="429"/>
      <c r="P197" s="429"/>
      <c r="Q197" s="429"/>
      <c r="R197" s="429"/>
      <c r="S197" s="429"/>
      <c r="T197" s="429"/>
      <c r="U197" s="429"/>
      <c r="V197" s="483">
        <v>7.13</v>
      </c>
      <c r="W197" s="432" t="s">
        <v>115</v>
      </c>
      <c r="X197" s="419"/>
    </row>
    <row r="198" spans="1:24" s="420" customFormat="1" ht="15.75" x14ac:dyDescent="0.25">
      <c r="A198" s="428"/>
      <c r="B198" s="429"/>
      <c r="C198" s="429"/>
      <c r="D198" s="429"/>
      <c r="E198" s="429"/>
      <c r="F198" s="429"/>
      <c r="G198" s="429"/>
      <c r="H198" s="429"/>
      <c r="I198" s="429"/>
      <c r="J198" s="429"/>
      <c r="K198" s="429"/>
      <c r="L198" s="429"/>
      <c r="M198" s="429"/>
      <c r="N198" s="429"/>
      <c r="O198" s="429"/>
      <c r="P198" s="429"/>
      <c r="Q198" s="429"/>
      <c r="R198" s="429"/>
      <c r="S198" s="429"/>
      <c r="T198" s="429"/>
      <c r="U198" s="429"/>
      <c r="V198" s="429"/>
      <c r="W198" s="432"/>
      <c r="X198" s="419"/>
    </row>
    <row r="199" spans="1:24" s="420" customFormat="1" ht="15.75" x14ac:dyDescent="0.25">
      <c r="A199" s="416"/>
      <c r="B199" s="462"/>
      <c r="C199" s="462"/>
      <c r="D199" s="462"/>
      <c r="E199" s="462"/>
      <c r="F199" s="462"/>
      <c r="G199" s="462"/>
      <c r="H199" s="462"/>
      <c r="I199" s="462"/>
      <c r="J199" s="462"/>
      <c r="K199" s="462"/>
      <c r="L199" s="462"/>
      <c r="M199" s="462"/>
      <c r="N199" s="462"/>
      <c r="O199" s="462"/>
      <c r="P199" s="462"/>
      <c r="Q199" s="462"/>
      <c r="R199" s="462"/>
      <c r="S199" s="462"/>
      <c r="T199" s="462"/>
      <c r="U199" s="462"/>
      <c r="V199" s="462"/>
      <c r="W199" s="462"/>
      <c r="X199" s="419"/>
    </row>
    <row r="200" spans="1:24" s="420" customFormat="1" ht="15.75" x14ac:dyDescent="0.25">
      <c r="A200" s="416"/>
      <c r="B200" s="417"/>
      <c r="C200" s="417"/>
      <c r="D200" s="417"/>
      <c r="E200" s="417"/>
      <c r="F200" s="417"/>
      <c r="G200" s="417"/>
      <c r="H200" s="417"/>
      <c r="I200" s="417"/>
      <c r="J200" s="417"/>
      <c r="K200" s="417"/>
      <c r="L200" s="417"/>
      <c r="M200" s="417"/>
      <c r="N200" s="417"/>
      <c r="O200" s="417"/>
      <c r="P200" s="417"/>
      <c r="Q200" s="417"/>
      <c r="R200" s="417"/>
      <c r="S200" s="417"/>
      <c r="T200" s="417"/>
      <c r="U200" s="417"/>
      <c r="V200" s="417"/>
      <c r="W200" s="417"/>
      <c r="X200" s="419"/>
    </row>
    <row r="201" spans="1:24" s="420" customFormat="1" ht="19.5" thickBot="1" x14ac:dyDescent="0.35">
      <c r="A201" s="467"/>
      <c r="B201" s="468" t="str">
        <f>B135</f>
        <v>PM15 INVESTOR REPORT QUARTER ENDING AUGUST 2018</v>
      </c>
      <c r="C201" s="484"/>
      <c r="D201" s="484"/>
      <c r="E201" s="484"/>
      <c r="F201" s="484"/>
      <c r="G201" s="484"/>
      <c r="H201" s="484"/>
      <c r="I201" s="484"/>
      <c r="J201" s="484"/>
      <c r="K201" s="484"/>
      <c r="L201" s="484"/>
      <c r="M201" s="484"/>
      <c r="N201" s="484"/>
      <c r="O201" s="484"/>
      <c r="P201" s="484"/>
      <c r="Q201" s="484"/>
      <c r="R201" s="484"/>
      <c r="S201" s="484"/>
      <c r="T201" s="484"/>
      <c r="U201" s="484"/>
      <c r="V201" s="484"/>
      <c r="W201" s="485"/>
      <c r="X201" s="419"/>
    </row>
    <row r="202" spans="1:24" ht="15.75" x14ac:dyDescent="0.25">
      <c r="A202" s="551"/>
      <c r="B202" s="552" t="s">
        <v>70</v>
      </c>
      <c r="C202" s="555"/>
      <c r="D202" s="555"/>
      <c r="E202" s="555"/>
      <c r="F202" s="555"/>
      <c r="G202" s="556"/>
      <c r="H202" s="556"/>
      <c r="I202" s="556"/>
      <c r="J202" s="556"/>
      <c r="K202" s="556"/>
      <c r="L202" s="556"/>
      <c r="M202" s="556"/>
      <c r="N202" s="556"/>
      <c r="O202" s="556"/>
      <c r="P202" s="556"/>
      <c r="Q202" s="556"/>
      <c r="R202" s="556"/>
      <c r="S202" s="556"/>
      <c r="T202" s="556">
        <v>43343</v>
      </c>
      <c r="U202" s="553"/>
      <c r="V202" s="553"/>
      <c r="W202" s="553"/>
      <c r="X202" s="5"/>
    </row>
    <row r="203" spans="1:24" ht="15.75" x14ac:dyDescent="0.25">
      <c r="A203" s="218"/>
      <c r="B203" s="219"/>
      <c r="C203" s="220"/>
      <c r="D203" s="220"/>
      <c r="E203" s="220"/>
      <c r="F203" s="220"/>
      <c r="G203" s="221"/>
      <c r="H203" s="221"/>
      <c r="I203" s="221"/>
      <c r="J203" s="221"/>
      <c r="K203" s="221"/>
      <c r="L203" s="221"/>
      <c r="M203" s="221"/>
      <c r="N203" s="221"/>
      <c r="O203" s="221"/>
      <c r="P203" s="221"/>
      <c r="Q203" s="221"/>
      <c r="R203" s="221"/>
      <c r="S203" s="221"/>
      <c r="T203" s="221"/>
      <c r="U203" s="183"/>
      <c r="V203" s="183"/>
      <c r="W203" s="183"/>
      <c r="X203" s="5"/>
    </row>
    <row r="204" spans="1:24" s="420" customFormat="1" ht="15.75" x14ac:dyDescent="0.25">
      <c r="A204" s="428"/>
      <c r="B204" s="429" t="s">
        <v>71</v>
      </c>
      <c r="C204" s="486"/>
      <c r="D204" s="486"/>
      <c r="E204" s="486"/>
      <c r="F204" s="486"/>
      <c r="G204" s="456"/>
      <c r="H204" s="456"/>
      <c r="I204" s="456"/>
      <c r="J204" s="456"/>
      <c r="K204" s="456"/>
      <c r="L204" s="456"/>
      <c r="M204" s="456"/>
      <c r="N204" s="456"/>
      <c r="O204" s="456"/>
      <c r="P204" s="456"/>
      <c r="Q204" s="456"/>
      <c r="R204" s="456"/>
      <c r="S204" s="456"/>
      <c r="T204" s="449">
        <v>5.3830000000000003E-2</v>
      </c>
      <c r="U204" s="429"/>
      <c r="V204" s="429"/>
      <c r="W204" s="432"/>
      <c r="X204" s="419"/>
    </row>
    <row r="205" spans="1:24" s="420" customFormat="1" ht="15.75" x14ac:dyDescent="0.25">
      <c r="A205" s="428"/>
      <c r="B205" s="429" t="s">
        <v>151</v>
      </c>
      <c r="C205" s="486"/>
      <c r="D205" s="486"/>
      <c r="E205" s="486"/>
      <c r="F205" s="486"/>
      <c r="G205" s="456"/>
      <c r="H205" s="456"/>
      <c r="I205" s="456"/>
      <c r="J205" s="456"/>
      <c r="K205" s="456"/>
      <c r="L205" s="456"/>
      <c r="M205" s="456"/>
      <c r="N205" s="456"/>
      <c r="O205" s="456"/>
      <c r="P205" s="456"/>
      <c r="Q205" s="456"/>
      <c r="R205" s="456"/>
      <c r="S205" s="456"/>
      <c r="T205" s="449">
        <v>6.25E-2</v>
      </c>
      <c r="U205" s="429"/>
      <c r="V205" s="429"/>
      <c r="W205" s="432"/>
      <c r="X205" s="419"/>
    </row>
    <row r="206" spans="1:24" s="420" customFormat="1" ht="15.75" x14ac:dyDescent="0.25">
      <c r="A206" s="428"/>
      <c r="B206" s="429" t="s">
        <v>72</v>
      </c>
      <c r="C206" s="486"/>
      <c r="D206" s="486"/>
      <c r="E206" s="486"/>
      <c r="F206" s="486"/>
      <c r="G206" s="456"/>
      <c r="H206" s="456"/>
      <c r="I206" s="456"/>
      <c r="J206" s="456"/>
      <c r="K206" s="456"/>
      <c r="L206" s="456"/>
      <c r="M206" s="456"/>
      <c r="N206" s="456"/>
      <c r="O206" s="456"/>
      <c r="P206" s="456"/>
      <c r="Q206" s="456"/>
      <c r="R206" s="456"/>
      <c r="S206" s="456"/>
      <c r="T206" s="449">
        <f>T204-T205</f>
        <v>-8.6699999999999972E-3</v>
      </c>
      <c r="U206" s="429"/>
      <c r="V206" s="429"/>
      <c r="W206" s="432"/>
      <c r="X206" s="419"/>
    </row>
    <row r="207" spans="1:24" s="420" customFormat="1" ht="15.75" x14ac:dyDescent="0.25">
      <c r="A207" s="428"/>
      <c r="B207" s="429" t="s">
        <v>73</v>
      </c>
      <c r="C207" s="486"/>
      <c r="D207" s="486"/>
      <c r="E207" s="486"/>
      <c r="F207" s="486"/>
      <c r="G207" s="456"/>
      <c r="H207" s="456"/>
      <c r="I207" s="456"/>
      <c r="J207" s="456"/>
      <c r="K207" s="456"/>
      <c r="L207" s="456"/>
      <c r="M207" s="456"/>
      <c r="N207" s="456"/>
      <c r="O207" s="456"/>
      <c r="P207" s="456"/>
      <c r="Q207" s="456"/>
      <c r="R207" s="456"/>
      <c r="S207" s="456"/>
      <c r="T207" s="449">
        <v>2.6210000000000001E-2</v>
      </c>
      <c r="U207" s="429"/>
      <c r="V207" s="429"/>
      <c r="W207" s="432"/>
      <c r="X207" s="419"/>
    </row>
    <row r="208" spans="1:24" s="420" customFormat="1" ht="15.75" x14ac:dyDescent="0.25">
      <c r="A208" s="428"/>
      <c r="B208" s="429" t="s">
        <v>218</v>
      </c>
      <c r="C208" s="486"/>
      <c r="D208" s="486"/>
      <c r="E208" s="486"/>
      <c r="F208" s="486"/>
      <c r="G208" s="456"/>
      <c r="H208" s="456"/>
      <c r="I208" s="456"/>
      <c r="J208" s="456"/>
      <c r="K208" s="456"/>
      <c r="L208" s="456"/>
      <c r="M208" s="456"/>
      <c r="N208" s="456"/>
      <c r="O208" s="456"/>
      <c r="P208" s="456"/>
      <c r="Q208" s="456"/>
      <c r="R208" s="456"/>
      <c r="S208" s="456"/>
      <c r="T208" s="449">
        <f>V43</f>
        <v>1.0259633149373046E-2</v>
      </c>
      <c r="U208" s="429"/>
      <c r="V208" s="429"/>
      <c r="W208" s="432"/>
      <c r="X208" s="419"/>
    </row>
    <row r="209" spans="1:24" s="420" customFormat="1" ht="15.75" x14ac:dyDescent="0.25">
      <c r="A209" s="428"/>
      <c r="B209" s="429" t="s">
        <v>74</v>
      </c>
      <c r="C209" s="486"/>
      <c r="D209" s="486"/>
      <c r="E209" s="486"/>
      <c r="F209" s="486"/>
      <c r="G209" s="456"/>
      <c r="H209" s="456"/>
      <c r="I209" s="456"/>
      <c r="J209" s="456"/>
      <c r="K209" s="456"/>
      <c r="L209" s="456"/>
      <c r="M209" s="456"/>
      <c r="N209" s="456"/>
      <c r="O209" s="456"/>
      <c r="P209" s="456"/>
      <c r="Q209" s="456"/>
      <c r="R209" s="456"/>
      <c r="S209" s="456"/>
      <c r="T209" s="449">
        <f>T207-T208</f>
        <v>1.5950366850626955E-2</v>
      </c>
      <c r="U209" s="429"/>
      <c r="V209" s="429"/>
      <c r="W209" s="432"/>
      <c r="X209" s="419"/>
    </row>
    <row r="210" spans="1:24" s="420" customFormat="1" ht="15.75" x14ac:dyDescent="0.25">
      <c r="A210" s="428"/>
      <c r="B210" s="429" t="s">
        <v>227</v>
      </c>
      <c r="C210" s="486"/>
      <c r="D210" s="486"/>
      <c r="E210" s="486"/>
      <c r="F210" s="486"/>
      <c r="G210" s="456"/>
      <c r="H210" s="456"/>
      <c r="I210" s="456"/>
      <c r="J210" s="456"/>
      <c r="K210" s="456"/>
      <c r="L210" s="456"/>
      <c r="M210" s="456"/>
      <c r="N210" s="456"/>
      <c r="O210" s="456"/>
      <c r="P210" s="456"/>
      <c r="Q210" s="456"/>
      <c r="R210" s="456"/>
      <c r="S210" s="456"/>
      <c r="T210" s="449">
        <f>V101/N71</f>
        <v>6.7472804245889313E-3</v>
      </c>
      <c r="U210" s="429"/>
      <c r="V210" s="429"/>
      <c r="W210" s="432"/>
      <c r="X210" s="419"/>
    </row>
    <row r="211" spans="1:24" s="420" customFormat="1" ht="15.75" x14ac:dyDescent="0.25">
      <c r="A211" s="428"/>
      <c r="B211" s="429" t="s">
        <v>207</v>
      </c>
      <c r="C211" s="486"/>
      <c r="D211" s="486"/>
      <c r="E211" s="486"/>
      <c r="F211" s="486"/>
      <c r="G211" s="456"/>
      <c r="H211" s="456"/>
      <c r="I211" s="456"/>
      <c r="J211" s="456"/>
      <c r="K211" s="456"/>
      <c r="L211" s="456"/>
      <c r="M211" s="456"/>
      <c r="N211" s="456"/>
      <c r="O211" s="456"/>
      <c r="P211" s="456"/>
      <c r="Q211" s="456"/>
      <c r="R211" s="456"/>
      <c r="S211" s="456"/>
      <c r="T211" s="487">
        <v>51105</v>
      </c>
      <c r="U211" s="429"/>
      <c r="V211" s="429"/>
      <c r="W211" s="432"/>
      <c r="X211" s="419"/>
    </row>
    <row r="212" spans="1:24" s="420" customFormat="1" ht="15.75" x14ac:dyDescent="0.25">
      <c r="A212" s="428"/>
      <c r="B212" s="429" t="s">
        <v>208</v>
      </c>
      <c r="C212" s="486"/>
      <c r="D212" s="486"/>
      <c r="E212" s="486"/>
      <c r="F212" s="486"/>
      <c r="G212" s="456"/>
      <c r="H212" s="456"/>
      <c r="I212" s="456"/>
      <c r="J212" s="456"/>
      <c r="K212" s="456"/>
      <c r="L212" s="456"/>
      <c r="M212" s="456"/>
      <c r="N212" s="456"/>
      <c r="O212" s="456"/>
      <c r="P212" s="456"/>
      <c r="Q212" s="456"/>
      <c r="R212" s="456"/>
      <c r="S212" s="456"/>
      <c r="T212" s="487">
        <v>51105</v>
      </c>
      <c r="U212" s="429"/>
      <c r="V212" s="429"/>
      <c r="W212" s="432"/>
      <c r="X212" s="419"/>
    </row>
    <row r="213" spans="1:24" s="420" customFormat="1" ht="15.75" x14ac:dyDescent="0.25">
      <c r="A213" s="428"/>
      <c r="B213" s="429" t="s">
        <v>209</v>
      </c>
      <c r="C213" s="486"/>
      <c r="D213" s="486"/>
      <c r="E213" s="486"/>
      <c r="F213" s="486"/>
      <c r="G213" s="456"/>
      <c r="H213" s="456"/>
      <c r="I213" s="456"/>
      <c r="J213" s="456"/>
      <c r="K213" s="456"/>
      <c r="L213" s="456"/>
      <c r="M213" s="456"/>
      <c r="N213" s="456"/>
      <c r="O213" s="456"/>
      <c r="P213" s="456"/>
      <c r="Q213" s="456"/>
      <c r="R213" s="456"/>
      <c r="S213" s="456"/>
      <c r="T213" s="487">
        <v>51105</v>
      </c>
      <c r="U213" s="429"/>
      <c r="V213" s="429"/>
      <c r="W213" s="432"/>
      <c r="X213" s="419"/>
    </row>
    <row r="214" spans="1:24" s="420" customFormat="1" ht="15.75" x14ac:dyDescent="0.25">
      <c r="A214" s="428"/>
      <c r="B214" s="429" t="s">
        <v>75</v>
      </c>
      <c r="C214" s="486"/>
      <c r="D214" s="486"/>
      <c r="E214" s="486"/>
      <c r="F214" s="486"/>
      <c r="G214" s="456"/>
      <c r="H214" s="456"/>
      <c r="I214" s="456"/>
      <c r="J214" s="456"/>
      <c r="K214" s="456"/>
      <c r="L214" s="456"/>
      <c r="M214" s="456"/>
      <c r="N214" s="456"/>
      <c r="O214" s="456"/>
      <c r="P214" s="456"/>
      <c r="Q214" s="456"/>
      <c r="R214" s="456"/>
      <c r="S214" s="456"/>
      <c r="T214" s="454">
        <v>21.06</v>
      </c>
      <c r="U214" s="429" t="s">
        <v>110</v>
      </c>
      <c r="V214" s="429"/>
      <c r="W214" s="432"/>
      <c r="X214" s="419"/>
    </row>
    <row r="215" spans="1:24" s="420" customFormat="1" ht="15.75" x14ac:dyDescent="0.25">
      <c r="A215" s="428"/>
      <c r="B215" s="429" t="s">
        <v>76</v>
      </c>
      <c r="C215" s="486"/>
      <c r="D215" s="486"/>
      <c r="E215" s="486"/>
      <c r="F215" s="486"/>
      <c r="G215" s="456"/>
      <c r="H215" s="456"/>
      <c r="I215" s="456"/>
      <c r="J215" s="456"/>
      <c r="K215" s="456"/>
      <c r="L215" s="456"/>
      <c r="M215" s="456"/>
      <c r="N215" s="456"/>
      <c r="O215" s="456"/>
      <c r="P215" s="456"/>
      <c r="Q215" s="456"/>
      <c r="R215" s="456"/>
      <c r="S215" s="456"/>
      <c r="T215" s="454">
        <v>10.83</v>
      </c>
      <c r="U215" s="429" t="s">
        <v>110</v>
      </c>
      <c r="V215" s="429"/>
      <c r="W215" s="432"/>
      <c r="X215" s="419"/>
    </row>
    <row r="216" spans="1:24" s="420" customFormat="1" ht="15.75" x14ac:dyDescent="0.25">
      <c r="A216" s="428"/>
      <c r="B216" s="429" t="s">
        <v>77</v>
      </c>
      <c r="C216" s="486"/>
      <c r="D216" s="486"/>
      <c r="E216" s="486"/>
      <c r="F216" s="486"/>
      <c r="G216" s="456"/>
      <c r="H216" s="456"/>
      <c r="I216" s="456"/>
      <c r="J216" s="456"/>
      <c r="K216" s="456"/>
      <c r="L216" s="456"/>
      <c r="M216" s="456"/>
      <c r="N216" s="456"/>
      <c r="O216" s="456"/>
      <c r="P216" s="456"/>
      <c r="Q216" s="456"/>
      <c r="R216" s="456"/>
      <c r="S216" s="456"/>
      <c r="T216" s="449">
        <f>+P68/N68</f>
        <v>2.0612803399835344E-2</v>
      </c>
      <c r="U216" s="429"/>
      <c r="V216" s="429"/>
      <c r="W216" s="432"/>
      <c r="X216" s="419"/>
    </row>
    <row r="217" spans="1:24" s="420" customFormat="1" ht="15.75" x14ac:dyDescent="0.25">
      <c r="A217" s="428"/>
      <c r="B217" s="429" t="s">
        <v>78</v>
      </c>
      <c r="C217" s="486"/>
      <c r="D217" s="486"/>
      <c r="E217" s="486"/>
      <c r="F217" s="486"/>
      <c r="G217" s="456"/>
      <c r="H217" s="456"/>
      <c r="I217" s="456"/>
      <c r="J217" s="456"/>
      <c r="K217" s="456"/>
      <c r="L217" s="456"/>
      <c r="M217" s="456"/>
      <c r="N217" s="456"/>
      <c r="O217" s="456"/>
      <c r="P217" s="456"/>
      <c r="Q217" s="456"/>
      <c r="R217" s="456"/>
      <c r="S217" s="456"/>
      <c r="T217" s="449">
        <v>4.6199999999999998E-2</v>
      </c>
      <c r="U217" s="429"/>
      <c r="V217" s="429"/>
      <c r="W217" s="432"/>
      <c r="X217" s="419"/>
    </row>
    <row r="218" spans="1:24" ht="15.75" x14ac:dyDescent="0.25">
      <c r="A218" s="218"/>
      <c r="B218" s="348"/>
      <c r="C218" s="348"/>
      <c r="D218" s="348"/>
      <c r="E218" s="348"/>
      <c r="F218" s="348"/>
      <c r="G218" s="212"/>
      <c r="H218" s="212"/>
      <c r="I218" s="212"/>
      <c r="J218" s="212"/>
      <c r="K218" s="212"/>
      <c r="L218" s="212"/>
      <c r="M218" s="212"/>
      <c r="N218" s="212"/>
      <c r="O218" s="212"/>
      <c r="P218" s="212"/>
      <c r="Q218" s="212"/>
      <c r="R218" s="212"/>
      <c r="S218" s="212"/>
      <c r="T218" s="344"/>
      <c r="U218" s="212"/>
      <c r="V218" s="349"/>
      <c r="W218" s="212"/>
      <c r="X218" s="5"/>
    </row>
    <row r="219" spans="1:24" ht="15.75" x14ac:dyDescent="0.25">
      <c r="A219" s="557"/>
      <c r="B219" s="547" t="s">
        <v>79</v>
      </c>
      <c r="C219" s="548"/>
      <c r="D219" s="548"/>
      <c r="E219" s="548"/>
      <c r="F219" s="563"/>
      <c r="G219" s="548"/>
      <c r="H219" s="548"/>
      <c r="I219" s="548"/>
      <c r="J219" s="548"/>
      <c r="K219" s="548"/>
      <c r="L219" s="548"/>
      <c r="M219" s="548"/>
      <c r="N219" s="548"/>
      <c r="O219" s="548"/>
      <c r="P219" s="548"/>
      <c r="Q219" s="548"/>
      <c r="R219" s="548"/>
      <c r="S219" s="548" t="s">
        <v>102</v>
      </c>
      <c r="T219" s="563" t="s">
        <v>108</v>
      </c>
      <c r="U219" s="540"/>
      <c r="V219" s="540"/>
      <c r="W219" s="544"/>
      <c r="X219" s="5"/>
    </row>
    <row r="220" spans="1:24" s="420" customFormat="1" ht="15.75" x14ac:dyDescent="0.25">
      <c r="A220" s="558"/>
      <c r="B220" s="462" t="s">
        <v>80</v>
      </c>
      <c r="C220" s="478"/>
      <c r="D220" s="478"/>
      <c r="E220" s="478"/>
      <c r="F220" s="462"/>
      <c r="G220" s="462"/>
      <c r="H220" s="559"/>
      <c r="I220" s="559"/>
      <c r="J220" s="559"/>
      <c r="K220" s="559"/>
      <c r="L220" s="559"/>
      <c r="M220" s="559"/>
      <c r="N220" s="559"/>
      <c r="O220" s="559"/>
      <c r="P220" s="559"/>
      <c r="Q220" s="559"/>
      <c r="R220" s="559"/>
      <c r="S220" s="559">
        <v>2</v>
      </c>
      <c r="T220" s="560">
        <v>681</v>
      </c>
      <c r="U220" s="462"/>
      <c r="V220" s="561"/>
      <c r="W220" s="562"/>
      <c r="X220" s="419"/>
    </row>
    <row r="221" spans="1:24" s="420" customFormat="1" ht="15.75" x14ac:dyDescent="0.25">
      <c r="A221" s="488"/>
      <c r="B221" s="429" t="s">
        <v>145</v>
      </c>
      <c r="C221" s="472"/>
      <c r="D221" s="472"/>
      <c r="E221" s="472"/>
      <c r="F221" s="429"/>
      <c r="G221" s="429"/>
      <c r="H221" s="436"/>
      <c r="I221" s="436"/>
      <c r="J221" s="436"/>
      <c r="K221" s="436"/>
      <c r="L221" s="436"/>
      <c r="M221" s="436"/>
      <c r="N221" s="436"/>
      <c r="O221" s="436"/>
      <c r="P221" s="436"/>
      <c r="Q221" s="436"/>
      <c r="R221" s="436"/>
      <c r="S221" s="489">
        <f>+R273</f>
        <v>68</v>
      </c>
      <c r="T221" s="490">
        <f>+T273</f>
        <v>9326</v>
      </c>
      <c r="U221" s="429"/>
      <c r="V221" s="491"/>
      <c r="W221" s="492"/>
      <c r="X221" s="419"/>
    </row>
    <row r="222" spans="1:24" s="420" customFormat="1" ht="15.75" x14ac:dyDescent="0.25">
      <c r="A222" s="488"/>
      <c r="B222" s="429" t="s">
        <v>81</v>
      </c>
      <c r="C222" s="472"/>
      <c r="D222" s="472"/>
      <c r="E222" s="472"/>
      <c r="F222" s="429"/>
      <c r="G222" s="429"/>
      <c r="H222" s="436"/>
      <c r="I222" s="436"/>
      <c r="J222" s="436"/>
      <c r="K222" s="436"/>
      <c r="L222" s="436"/>
      <c r="M222" s="436"/>
      <c r="N222" s="436"/>
      <c r="O222" s="436"/>
      <c r="P222" s="436"/>
      <c r="Q222" s="436"/>
      <c r="R222" s="436"/>
      <c r="S222" s="489">
        <f>+R285</f>
        <v>1</v>
      </c>
      <c r="T222" s="490">
        <f>+T285</f>
        <v>30</v>
      </c>
      <c r="U222" s="429"/>
      <c r="V222" s="491"/>
      <c r="W222" s="492"/>
      <c r="X222" s="419"/>
    </row>
    <row r="223" spans="1:24" ht="15.75" x14ac:dyDescent="0.25">
      <c r="A223" s="358"/>
      <c r="B223" s="515" t="s">
        <v>82</v>
      </c>
      <c r="C223" s="363"/>
      <c r="D223" s="363"/>
      <c r="E223" s="363"/>
      <c r="F223" s="314"/>
      <c r="G223" s="314"/>
      <c r="H223" s="314"/>
      <c r="I223" s="314"/>
      <c r="J223" s="314"/>
      <c r="K223" s="314"/>
      <c r="L223" s="314"/>
      <c r="M223" s="314"/>
      <c r="N223" s="314"/>
      <c r="O223" s="314"/>
      <c r="P223" s="314"/>
      <c r="Q223" s="314"/>
      <c r="R223" s="314"/>
      <c r="S223" s="286"/>
      <c r="T223" s="490">
        <v>0</v>
      </c>
      <c r="U223" s="314"/>
      <c r="V223" s="364"/>
      <c r="W223" s="362"/>
      <c r="X223" s="5"/>
    </row>
    <row r="224" spans="1:24" ht="15.75" x14ac:dyDescent="0.25">
      <c r="A224" s="358"/>
      <c r="B224" s="515" t="s">
        <v>228</v>
      </c>
      <c r="C224" s="363"/>
      <c r="D224" s="363"/>
      <c r="E224" s="363"/>
      <c r="F224" s="314"/>
      <c r="G224" s="314"/>
      <c r="H224" s="314"/>
      <c r="I224" s="314"/>
      <c r="J224" s="314"/>
      <c r="K224" s="314"/>
      <c r="L224" s="314"/>
      <c r="M224" s="314"/>
      <c r="N224" s="314"/>
      <c r="O224" s="314"/>
      <c r="P224" s="314"/>
      <c r="Q224" s="314"/>
      <c r="R224" s="314"/>
      <c r="S224" s="286"/>
      <c r="T224" s="490">
        <f>+N81</f>
        <v>0</v>
      </c>
      <c r="U224" s="314"/>
      <c r="V224" s="364"/>
      <c r="W224" s="362"/>
      <c r="X224" s="5"/>
    </row>
    <row r="225" spans="1:24" ht="15.75" x14ac:dyDescent="0.25">
      <c r="A225" s="365"/>
      <c r="B225" s="515" t="s">
        <v>83</v>
      </c>
      <c r="C225" s="366"/>
      <c r="D225" s="366"/>
      <c r="E225" s="366"/>
      <c r="F225" s="366"/>
      <c r="G225" s="314"/>
      <c r="H225" s="314"/>
      <c r="I225" s="314"/>
      <c r="J225" s="314"/>
      <c r="K225" s="314"/>
      <c r="L225" s="314"/>
      <c r="M225" s="314"/>
      <c r="N225" s="314"/>
      <c r="O225" s="314"/>
      <c r="P225" s="314"/>
      <c r="Q225" s="314"/>
      <c r="R225" s="314"/>
      <c r="S225" s="286"/>
      <c r="T225" s="360"/>
      <c r="U225" s="314"/>
      <c r="V225" s="364"/>
      <c r="W225" s="367"/>
      <c r="X225" s="5"/>
    </row>
    <row r="226" spans="1:24" s="420" customFormat="1" ht="15.75" x14ac:dyDescent="0.25">
      <c r="A226" s="493"/>
      <c r="B226" s="429" t="s">
        <v>84</v>
      </c>
      <c r="C226" s="429"/>
      <c r="D226" s="429"/>
      <c r="E226" s="429"/>
      <c r="F226" s="429"/>
      <c r="G226" s="429"/>
      <c r="H226" s="429"/>
      <c r="I226" s="429"/>
      <c r="J226" s="429"/>
      <c r="K226" s="429"/>
      <c r="L226" s="429"/>
      <c r="M226" s="429"/>
      <c r="N226" s="429"/>
      <c r="O226" s="429"/>
      <c r="P226" s="429"/>
      <c r="Q226" s="429"/>
      <c r="R226" s="429"/>
      <c r="S226" s="436"/>
      <c r="T226" s="490">
        <f>V164</f>
        <v>149</v>
      </c>
      <c r="U226" s="429"/>
      <c r="V226" s="491"/>
      <c r="W226" s="494"/>
      <c r="X226" s="419"/>
    </row>
    <row r="227" spans="1:24" s="420" customFormat="1" ht="15.75" x14ac:dyDescent="0.25">
      <c r="A227" s="488"/>
      <c r="B227" s="429" t="s">
        <v>85</v>
      </c>
      <c r="C227" s="472"/>
      <c r="D227" s="472"/>
      <c r="E227" s="472"/>
      <c r="F227" s="472"/>
      <c r="G227" s="429"/>
      <c r="H227" s="429"/>
      <c r="I227" s="429"/>
      <c r="J227" s="429"/>
      <c r="K227" s="429"/>
      <c r="L227" s="429"/>
      <c r="M227" s="429"/>
      <c r="N227" s="429"/>
      <c r="O227" s="429"/>
      <c r="P227" s="429"/>
      <c r="Q227" s="429"/>
      <c r="R227" s="429"/>
      <c r="S227" s="436"/>
      <c r="T227" s="490">
        <f>'May 18'!T227+T226</f>
        <v>9113</v>
      </c>
      <c r="U227" s="429"/>
      <c r="V227" s="491"/>
      <c r="W227" s="494"/>
      <c r="X227" s="419"/>
    </row>
    <row r="228" spans="1:24" ht="15.75" x14ac:dyDescent="0.25">
      <c r="A228" s="365"/>
      <c r="B228" s="515" t="s">
        <v>285</v>
      </c>
      <c r="C228" s="366"/>
      <c r="D228" s="366"/>
      <c r="E228" s="366"/>
      <c r="F228" s="366"/>
      <c r="G228" s="314"/>
      <c r="H228" s="314"/>
      <c r="I228" s="314"/>
      <c r="J228" s="314"/>
      <c r="K228" s="314"/>
      <c r="L228" s="314"/>
      <c r="M228" s="314"/>
      <c r="N228" s="314"/>
      <c r="O228" s="314"/>
      <c r="P228" s="314"/>
      <c r="Q228" s="314"/>
      <c r="R228" s="314"/>
      <c r="S228" s="296"/>
      <c r="T228" s="360"/>
      <c r="U228" s="314"/>
      <c r="V228" s="364"/>
      <c r="W228" s="367"/>
      <c r="X228" s="5"/>
    </row>
    <row r="229" spans="1:24" s="420" customFormat="1" ht="15.75" x14ac:dyDescent="0.25">
      <c r="A229" s="493"/>
      <c r="B229" s="429" t="s">
        <v>282</v>
      </c>
      <c r="C229" s="429"/>
      <c r="D229" s="429"/>
      <c r="E229" s="429"/>
      <c r="F229" s="429"/>
      <c r="G229" s="429"/>
      <c r="H229" s="429"/>
      <c r="I229" s="429"/>
      <c r="J229" s="429"/>
      <c r="K229" s="429"/>
      <c r="L229" s="429"/>
      <c r="M229" s="429"/>
      <c r="N229" s="429"/>
      <c r="O229" s="429"/>
      <c r="P229" s="429"/>
      <c r="Q229" s="429"/>
      <c r="R229" s="429"/>
      <c r="S229" s="436">
        <v>0</v>
      </c>
      <c r="T229" s="490">
        <v>0</v>
      </c>
      <c r="U229" s="429"/>
      <c r="V229" s="491"/>
      <c r="W229" s="494"/>
      <c r="X229" s="419"/>
    </row>
    <row r="230" spans="1:24" s="420" customFormat="1" ht="15.75" x14ac:dyDescent="0.25">
      <c r="A230" s="488"/>
      <c r="B230" s="429" t="s">
        <v>86</v>
      </c>
      <c r="C230" s="452"/>
      <c r="D230" s="452"/>
      <c r="E230" s="452"/>
      <c r="F230" s="495"/>
      <c r="G230" s="429"/>
      <c r="H230" s="429"/>
      <c r="I230" s="429"/>
      <c r="J230" s="429"/>
      <c r="K230" s="429"/>
      <c r="L230" s="429"/>
      <c r="M230" s="429"/>
      <c r="N230" s="429"/>
      <c r="O230" s="429"/>
      <c r="P230" s="429"/>
      <c r="Q230" s="429"/>
      <c r="R230" s="429"/>
      <c r="S230" s="429"/>
      <c r="T230" s="496">
        <v>0</v>
      </c>
      <c r="U230" s="429"/>
      <c r="V230" s="491"/>
      <c r="W230" s="494"/>
      <c r="X230" s="419"/>
    </row>
    <row r="231" spans="1:24" s="420" customFormat="1" ht="15.75" x14ac:dyDescent="0.25">
      <c r="A231" s="488"/>
      <c r="B231" s="429" t="s">
        <v>87</v>
      </c>
      <c r="C231" s="452"/>
      <c r="D231" s="452"/>
      <c r="E231" s="452"/>
      <c r="F231" s="495"/>
      <c r="G231" s="429"/>
      <c r="H231" s="429"/>
      <c r="I231" s="429"/>
      <c r="J231" s="429"/>
      <c r="K231" s="429"/>
      <c r="L231" s="429"/>
      <c r="M231" s="429"/>
      <c r="N231" s="429"/>
      <c r="O231" s="429"/>
      <c r="P231" s="429"/>
      <c r="Q231" s="429"/>
      <c r="R231" s="429"/>
      <c r="S231" s="429"/>
      <c r="T231" s="496">
        <v>0</v>
      </c>
      <c r="U231" s="429"/>
      <c r="V231" s="491"/>
      <c r="W231" s="494"/>
      <c r="X231" s="419"/>
    </row>
    <row r="232" spans="1:24" ht="15.75" x14ac:dyDescent="0.25">
      <c r="A232" s="358"/>
      <c r="B232" s="515" t="s">
        <v>216</v>
      </c>
      <c r="C232" s="368"/>
      <c r="D232" s="368"/>
      <c r="E232" s="368"/>
      <c r="F232" s="369"/>
      <c r="G232" s="314"/>
      <c r="H232" s="314"/>
      <c r="I232" s="314"/>
      <c r="J232" s="314"/>
      <c r="K232" s="314"/>
      <c r="L232" s="314"/>
      <c r="M232" s="314"/>
      <c r="N232" s="314"/>
      <c r="O232" s="314"/>
      <c r="P232" s="314"/>
      <c r="Q232" s="314"/>
      <c r="R232" s="314"/>
      <c r="S232" s="286"/>
      <c r="T232" s="371"/>
      <c r="U232" s="314"/>
      <c r="V232" s="364"/>
      <c r="W232" s="367"/>
      <c r="X232" s="5"/>
    </row>
    <row r="233" spans="1:24" s="420" customFormat="1" ht="15.75" x14ac:dyDescent="0.25">
      <c r="A233" s="488"/>
      <c r="B233" s="429" t="s">
        <v>282</v>
      </c>
      <c r="C233" s="452"/>
      <c r="D233" s="452"/>
      <c r="E233" s="452"/>
      <c r="F233" s="495"/>
      <c r="G233" s="429"/>
      <c r="H233" s="429"/>
      <c r="I233" s="429"/>
      <c r="J233" s="429"/>
      <c r="K233" s="429"/>
      <c r="L233" s="429"/>
      <c r="M233" s="429"/>
      <c r="N233" s="429"/>
      <c r="O233" s="429"/>
      <c r="P233" s="429"/>
      <c r="Q233" s="429"/>
      <c r="R233" s="429"/>
      <c r="S233" s="436">
        <v>2</v>
      </c>
      <c r="T233" s="490">
        <v>256</v>
      </c>
      <c r="U233" s="429"/>
      <c r="V233" s="491"/>
      <c r="W233" s="494"/>
      <c r="X233" s="419"/>
    </row>
    <row r="234" spans="1:24" s="420" customFormat="1" ht="15.75" x14ac:dyDescent="0.25">
      <c r="A234" s="488"/>
      <c r="B234" s="429" t="s">
        <v>217</v>
      </c>
      <c r="C234" s="452"/>
      <c r="D234" s="452"/>
      <c r="E234" s="452"/>
      <c r="F234" s="495"/>
      <c r="G234" s="429"/>
      <c r="H234" s="429"/>
      <c r="I234" s="429"/>
      <c r="J234" s="429"/>
      <c r="K234" s="429"/>
      <c r="L234" s="429"/>
      <c r="M234" s="429"/>
      <c r="N234" s="429"/>
      <c r="O234" s="429"/>
      <c r="P234" s="429"/>
      <c r="Q234" s="429"/>
      <c r="R234" s="429"/>
      <c r="S234" s="429"/>
      <c r="T234" s="496">
        <v>0</v>
      </c>
      <c r="U234" s="429"/>
      <c r="V234" s="491"/>
      <c r="W234" s="494"/>
      <c r="X234" s="419"/>
    </row>
    <row r="235" spans="1:24" ht="15.75" x14ac:dyDescent="0.25">
      <c r="A235" s="358"/>
      <c r="B235" s="366"/>
      <c r="C235" s="368"/>
      <c r="D235" s="368"/>
      <c r="E235" s="368"/>
      <c r="F235" s="369"/>
      <c r="G235" s="314"/>
      <c r="H235" s="314"/>
      <c r="I235" s="314"/>
      <c r="J235" s="314"/>
      <c r="K235" s="314"/>
      <c r="L235" s="314"/>
      <c r="M235" s="314"/>
      <c r="N235" s="314"/>
      <c r="O235" s="314"/>
      <c r="P235" s="314"/>
      <c r="Q235" s="314"/>
      <c r="R235" s="314"/>
      <c r="S235" s="286"/>
      <c r="T235" s="371"/>
      <c r="U235" s="314"/>
      <c r="V235" s="364"/>
      <c r="W235" s="367"/>
      <c r="X235" s="5"/>
    </row>
    <row r="236" spans="1:24" ht="15.75" x14ac:dyDescent="0.25">
      <c r="A236" s="358"/>
      <c r="B236" s="366"/>
      <c r="C236" s="368"/>
      <c r="D236" s="368"/>
      <c r="E236" s="368"/>
      <c r="F236" s="369"/>
      <c r="G236" s="314"/>
      <c r="H236" s="314"/>
      <c r="I236" s="314"/>
      <c r="J236" s="314"/>
      <c r="K236" s="314"/>
      <c r="L236" s="314"/>
      <c r="M236" s="314"/>
      <c r="N236" s="314"/>
      <c r="O236" s="314"/>
      <c r="P236" s="314"/>
      <c r="Q236" s="314"/>
      <c r="R236" s="314"/>
      <c r="S236" s="314"/>
      <c r="T236" s="372"/>
      <c r="U236" s="314"/>
      <c r="V236" s="364"/>
      <c r="W236" s="367"/>
      <c r="X236" s="5"/>
    </row>
    <row r="237" spans="1:24" ht="18.75" x14ac:dyDescent="0.3">
      <c r="A237" s="358"/>
      <c r="B237" s="534" t="s">
        <v>168</v>
      </c>
      <c r="C237" s="368"/>
      <c r="D237" s="368"/>
      <c r="E237" s="368"/>
      <c r="F237" s="369"/>
      <c r="G237" s="314"/>
      <c r="H237" s="314"/>
      <c r="I237" s="314"/>
      <c r="J237" s="314"/>
      <c r="K237" s="314"/>
      <c r="L237" s="314"/>
      <c r="M237" s="314"/>
      <c r="N237" s="314"/>
      <c r="O237" s="314"/>
      <c r="P237" s="535" t="s">
        <v>341</v>
      </c>
      <c r="Q237" s="314"/>
      <c r="R237" s="314"/>
      <c r="S237" s="314"/>
      <c r="T237" s="372"/>
      <c r="U237" s="314"/>
      <c r="V237" s="364"/>
      <c r="W237" s="367"/>
      <c r="X237" s="5"/>
    </row>
    <row r="238" spans="1:24" ht="15.75" x14ac:dyDescent="0.25">
      <c r="A238" s="353"/>
      <c r="B238" s="348"/>
      <c r="C238" s="354"/>
      <c r="D238" s="354"/>
      <c r="E238" s="354"/>
      <c r="F238" s="355"/>
      <c r="G238" s="212"/>
      <c r="H238" s="212"/>
      <c r="I238" s="212"/>
      <c r="J238" s="212"/>
      <c r="K238" s="212"/>
      <c r="L238" s="212"/>
      <c r="M238" s="212"/>
      <c r="N238" s="212"/>
      <c r="O238" s="212"/>
      <c r="P238" s="212"/>
      <c r="Q238" s="212"/>
      <c r="R238" s="212"/>
      <c r="S238" s="212"/>
      <c r="T238" s="356"/>
      <c r="U238" s="212"/>
      <c r="V238" s="349"/>
      <c r="W238" s="357"/>
      <c r="X238" s="5"/>
    </row>
    <row r="239" spans="1:24" ht="15.75" x14ac:dyDescent="0.25">
      <c r="A239" s="536"/>
      <c r="B239" s="547" t="s">
        <v>297</v>
      </c>
      <c r="C239" s="548"/>
      <c r="D239" s="548"/>
      <c r="E239" s="548"/>
      <c r="F239" s="563"/>
      <c r="G239" s="548"/>
      <c r="H239" s="548"/>
      <c r="I239" s="548"/>
      <c r="J239" s="548"/>
      <c r="K239" s="548"/>
      <c r="L239" s="548"/>
      <c r="M239" s="548"/>
      <c r="N239" s="548"/>
      <c r="O239" s="548"/>
      <c r="P239" s="548"/>
      <c r="Q239" s="548"/>
      <c r="R239" s="563" t="s">
        <v>102</v>
      </c>
      <c r="S239" s="548" t="s">
        <v>103</v>
      </c>
      <c r="T239" s="563" t="s">
        <v>109</v>
      </c>
      <c r="U239" s="548" t="s">
        <v>103</v>
      </c>
      <c r="V239" s="540"/>
      <c r="W239" s="566"/>
      <c r="X239" s="5"/>
    </row>
    <row r="240" spans="1:24" s="420" customFormat="1" ht="15.75" x14ac:dyDescent="0.25">
      <c r="A240" s="416"/>
      <c r="B240" s="478" t="s">
        <v>88</v>
      </c>
      <c r="C240" s="564"/>
      <c r="D240" s="564"/>
      <c r="E240" s="564"/>
      <c r="F240" s="462"/>
      <c r="G240" s="564"/>
      <c r="H240" s="564"/>
      <c r="I240" s="564"/>
      <c r="J240" s="564"/>
      <c r="K240" s="564"/>
      <c r="L240" s="564"/>
      <c r="M240" s="564"/>
      <c r="N240" s="564"/>
      <c r="O240" s="564"/>
      <c r="P240" s="564"/>
      <c r="Q240" s="564"/>
      <c r="R240" s="478">
        <f t="shared" ref="R240:R247" si="1">+R252+R264+R276</f>
        <v>4382</v>
      </c>
      <c r="S240" s="500">
        <f t="shared" ref="S240:S247" si="2">R240/$R$249</f>
        <v>0.99365079365079367</v>
      </c>
      <c r="T240" s="499">
        <f t="shared" ref="T240:T247" si="3">+T252+T264+T276</f>
        <v>598816</v>
      </c>
      <c r="U240" s="500">
        <f t="shared" ref="U240:U247" si="4">T240/$T$249</f>
        <v>0.99405376511874211</v>
      </c>
      <c r="V240" s="561"/>
      <c r="W240" s="565"/>
      <c r="X240" s="419"/>
    </row>
    <row r="241" spans="1:25" s="420" customFormat="1" ht="15.75" x14ac:dyDescent="0.25">
      <c r="A241" s="428"/>
      <c r="B241" s="472" t="s">
        <v>89</v>
      </c>
      <c r="C241" s="497"/>
      <c r="D241" s="497"/>
      <c r="E241" s="497"/>
      <c r="F241" s="429"/>
      <c r="G241" s="498"/>
      <c r="H241" s="497"/>
      <c r="I241" s="497"/>
      <c r="J241" s="497"/>
      <c r="K241" s="497"/>
      <c r="L241" s="497"/>
      <c r="M241" s="497"/>
      <c r="N241" s="497"/>
      <c r="O241" s="497"/>
      <c r="P241" s="497"/>
      <c r="Q241" s="497"/>
      <c r="R241" s="472">
        <f t="shared" si="1"/>
        <v>20</v>
      </c>
      <c r="S241" s="498">
        <f t="shared" si="2"/>
        <v>4.5351473922902496E-3</v>
      </c>
      <c r="T241" s="473">
        <f t="shared" si="3"/>
        <v>1980</v>
      </c>
      <c r="U241" s="498">
        <f t="shared" si="4"/>
        <v>3.2868635022028627E-3</v>
      </c>
      <c r="V241" s="491"/>
      <c r="W241" s="494"/>
      <c r="X241" s="419"/>
      <c r="Y241" s="477"/>
    </row>
    <row r="242" spans="1:25" s="420" customFormat="1" ht="15.75" x14ac:dyDescent="0.25">
      <c r="A242" s="428"/>
      <c r="B242" s="472" t="s">
        <v>90</v>
      </c>
      <c r="C242" s="497"/>
      <c r="D242" s="497"/>
      <c r="E242" s="497"/>
      <c r="F242" s="429"/>
      <c r="G242" s="498"/>
      <c r="H242" s="497"/>
      <c r="I242" s="497"/>
      <c r="J242" s="497"/>
      <c r="K242" s="497"/>
      <c r="L242" s="497"/>
      <c r="M242" s="497"/>
      <c r="N242" s="497"/>
      <c r="O242" s="497"/>
      <c r="P242" s="497"/>
      <c r="Q242" s="497"/>
      <c r="R242" s="472">
        <f t="shared" si="1"/>
        <v>4</v>
      </c>
      <c r="S242" s="498">
        <f t="shared" si="2"/>
        <v>9.0702947845804993E-4</v>
      </c>
      <c r="T242" s="473">
        <f t="shared" si="3"/>
        <v>700</v>
      </c>
      <c r="U242" s="498">
        <f t="shared" si="4"/>
        <v>1.1620224502737393E-3</v>
      </c>
      <c r="V242" s="491"/>
      <c r="W242" s="494"/>
      <c r="X242" s="419"/>
    </row>
    <row r="243" spans="1:25" s="420" customFormat="1" ht="15.75" x14ac:dyDescent="0.25">
      <c r="A243" s="428"/>
      <c r="B243" s="472" t="s">
        <v>156</v>
      </c>
      <c r="C243" s="497"/>
      <c r="D243" s="497"/>
      <c r="E243" s="497"/>
      <c r="F243" s="429"/>
      <c r="G243" s="498"/>
      <c r="H243" s="497"/>
      <c r="I243" s="497"/>
      <c r="J243" s="497"/>
      <c r="K243" s="497"/>
      <c r="L243" s="497"/>
      <c r="M243" s="497"/>
      <c r="N243" s="497"/>
      <c r="O243" s="497"/>
      <c r="P243" s="497"/>
      <c r="Q243" s="497"/>
      <c r="R243" s="472">
        <f t="shared" si="1"/>
        <v>2</v>
      </c>
      <c r="S243" s="498">
        <f t="shared" si="2"/>
        <v>4.5351473922902497E-4</v>
      </c>
      <c r="T243" s="473">
        <f t="shared" si="3"/>
        <v>205</v>
      </c>
      <c r="U243" s="498">
        <f t="shared" si="4"/>
        <v>3.4030657472302364E-4</v>
      </c>
      <c r="V243" s="491"/>
      <c r="W243" s="494"/>
      <c r="X243" s="419"/>
      <c r="Y243" s="477"/>
    </row>
    <row r="244" spans="1:25" s="420" customFormat="1" ht="15.75" x14ac:dyDescent="0.25">
      <c r="A244" s="428"/>
      <c r="B244" s="472" t="s">
        <v>157</v>
      </c>
      <c r="C244" s="497"/>
      <c r="D244" s="497"/>
      <c r="E244" s="497"/>
      <c r="F244" s="429"/>
      <c r="G244" s="498"/>
      <c r="H244" s="497"/>
      <c r="I244" s="497"/>
      <c r="J244" s="497"/>
      <c r="K244" s="497"/>
      <c r="L244" s="497"/>
      <c r="M244" s="497"/>
      <c r="N244" s="497"/>
      <c r="O244" s="497"/>
      <c r="P244" s="497"/>
      <c r="Q244" s="497"/>
      <c r="R244" s="472">
        <f t="shared" si="1"/>
        <v>0</v>
      </c>
      <c r="S244" s="498">
        <f t="shared" si="2"/>
        <v>0</v>
      </c>
      <c r="T244" s="473">
        <f t="shared" si="3"/>
        <v>0</v>
      </c>
      <c r="U244" s="498">
        <f t="shared" si="4"/>
        <v>0</v>
      </c>
      <c r="V244" s="491"/>
      <c r="W244" s="494"/>
      <c r="X244" s="419"/>
    </row>
    <row r="245" spans="1:25" s="420" customFormat="1" ht="15.75" x14ac:dyDescent="0.25">
      <c r="A245" s="428"/>
      <c r="B245" s="472" t="s">
        <v>158</v>
      </c>
      <c r="C245" s="497"/>
      <c r="D245" s="497"/>
      <c r="E245" s="497"/>
      <c r="F245" s="429"/>
      <c r="G245" s="498"/>
      <c r="H245" s="497"/>
      <c r="I245" s="497"/>
      <c r="J245" s="497"/>
      <c r="K245" s="497"/>
      <c r="L245" s="497"/>
      <c r="M245" s="497"/>
      <c r="N245" s="497"/>
      <c r="O245" s="497"/>
      <c r="P245" s="497"/>
      <c r="Q245" s="497"/>
      <c r="R245" s="472">
        <f t="shared" si="1"/>
        <v>0</v>
      </c>
      <c r="S245" s="498">
        <f t="shared" si="2"/>
        <v>0</v>
      </c>
      <c r="T245" s="473">
        <f t="shared" si="3"/>
        <v>0</v>
      </c>
      <c r="U245" s="498">
        <f t="shared" si="4"/>
        <v>0</v>
      </c>
      <c r="V245" s="491"/>
      <c r="W245" s="494"/>
      <c r="X245" s="419"/>
      <c r="Y245" s="477"/>
    </row>
    <row r="246" spans="1:25" s="420" customFormat="1" ht="15.75" x14ac:dyDescent="0.25">
      <c r="A246" s="428"/>
      <c r="B246" s="472" t="s">
        <v>159</v>
      </c>
      <c r="C246" s="497"/>
      <c r="D246" s="497"/>
      <c r="E246" s="497"/>
      <c r="F246" s="429"/>
      <c r="G246" s="498"/>
      <c r="H246" s="497"/>
      <c r="I246" s="497"/>
      <c r="J246" s="497"/>
      <c r="K246" s="497"/>
      <c r="L246" s="497"/>
      <c r="M246" s="497"/>
      <c r="N246" s="497"/>
      <c r="O246" s="497"/>
      <c r="P246" s="497"/>
      <c r="Q246" s="497"/>
      <c r="R246" s="472">
        <f t="shared" si="1"/>
        <v>2</v>
      </c>
      <c r="S246" s="498">
        <f t="shared" si="2"/>
        <v>4.5351473922902497E-4</v>
      </c>
      <c r="T246" s="473">
        <f t="shared" si="3"/>
        <v>697</v>
      </c>
      <c r="U246" s="498">
        <f t="shared" si="4"/>
        <v>1.1570423540582804E-3</v>
      </c>
      <c r="V246" s="491"/>
      <c r="W246" s="494"/>
      <c r="X246" s="419"/>
    </row>
    <row r="247" spans="1:25" s="420" customFormat="1" ht="15.75" x14ac:dyDescent="0.25">
      <c r="A247" s="428"/>
      <c r="B247" s="472" t="s">
        <v>160</v>
      </c>
      <c r="C247" s="497"/>
      <c r="D247" s="497"/>
      <c r="E247" s="497"/>
      <c r="F247" s="429"/>
      <c r="G247" s="498"/>
      <c r="H247" s="497"/>
      <c r="I247" s="497"/>
      <c r="J247" s="497"/>
      <c r="K247" s="497"/>
      <c r="L247" s="497"/>
      <c r="M247" s="497"/>
      <c r="N247" s="497"/>
      <c r="O247" s="497"/>
      <c r="P247" s="497"/>
      <c r="Q247" s="497"/>
      <c r="R247" s="478">
        <f t="shared" si="1"/>
        <v>0</v>
      </c>
      <c r="S247" s="498">
        <f t="shared" si="2"/>
        <v>0</v>
      </c>
      <c r="T247" s="499">
        <f t="shared" si="3"/>
        <v>0</v>
      </c>
      <c r="U247" s="500">
        <f t="shared" si="4"/>
        <v>0</v>
      </c>
      <c r="V247" s="491"/>
      <c r="W247" s="494"/>
      <c r="X247" s="419"/>
      <c r="Y247" s="477"/>
    </row>
    <row r="248" spans="1:25" s="420" customFormat="1" ht="15.75" x14ac:dyDescent="0.25">
      <c r="A248" s="428"/>
      <c r="B248" s="472"/>
      <c r="C248" s="497"/>
      <c r="D248" s="497"/>
      <c r="E248" s="497"/>
      <c r="F248" s="429"/>
      <c r="G248" s="498"/>
      <c r="H248" s="497"/>
      <c r="I248" s="497"/>
      <c r="J248" s="497"/>
      <c r="K248" s="497"/>
      <c r="L248" s="497"/>
      <c r="M248" s="497"/>
      <c r="N248" s="497"/>
      <c r="O248" s="497"/>
      <c r="P248" s="497"/>
      <c r="Q248" s="497"/>
      <c r="R248" s="472"/>
      <c r="S248" s="498"/>
      <c r="T248" s="473"/>
      <c r="U248" s="498"/>
      <c r="V248" s="491"/>
      <c r="W248" s="494"/>
      <c r="X248" s="419"/>
    </row>
    <row r="249" spans="1:25" s="420" customFormat="1" ht="15.75" x14ac:dyDescent="0.25">
      <c r="A249" s="428"/>
      <c r="B249" s="429"/>
      <c r="C249" s="429"/>
      <c r="D249" s="429"/>
      <c r="E249" s="429"/>
      <c r="F249" s="429"/>
      <c r="G249" s="429"/>
      <c r="H249" s="501"/>
      <c r="I249" s="501"/>
      <c r="J249" s="501"/>
      <c r="K249" s="501"/>
      <c r="L249" s="501"/>
      <c r="M249" s="501"/>
      <c r="N249" s="501"/>
      <c r="O249" s="501"/>
      <c r="P249" s="501"/>
      <c r="Q249" s="501"/>
      <c r="R249" s="472">
        <f>SUM(R240:R248)</f>
        <v>4410</v>
      </c>
      <c r="S249" s="498">
        <f>SUM(S240:S248)</f>
        <v>1</v>
      </c>
      <c r="T249" s="473">
        <f>SUM(T240:T248)</f>
        <v>602398</v>
      </c>
      <c r="U249" s="498">
        <f>SUM(U240:U248)</f>
        <v>1</v>
      </c>
      <c r="V249" s="429"/>
      <c r="W249" s="432"/>
      <c r="X249" s="419"/>
    </row>
    <row r="250" spans="1:25" ht="15.75" x14ac:dyDescent="0.25">
      <c r="A250" s="181"/>
      <c r="B250" s="212"/>
      <c r="C250" s="212"/>
      <c r="D250" s="212"/>
      <c r="E250" s="212"/>
      <c r="F250" s="212"/>
      <c r="G250" s="212"/>
      <c r="H250" s="375"/>
      <c r="I250" s="375"/>
      <c r="J250" s="375"/>
      <c r="K250" s="375"/>
      <c r="L250" s="375"/>
      <c r="M250" s="375"/>
      <c r="N250" s="375"/>
      <c r="O250" s="375"/>
      <c r="P250" s="375"/>
      <c r="Q250" s="375"/>
      <c r="R250" s="335"/>
      <c r="S250" s="376"/>
      <c r="T250" s="377"/>
      <c r="U250" s="376"/>
      <c r="V250" s="212"/>
      <c r="W250" s="212"/>
      <c r="X250" s="5"/>
    </row>
    <row r="251" spans="1:25" ht="15.75" x14ac:dyDescent="0.25">
      <c r="A251" s="536"/>
      <c r="B251" s="547" t="s">
        <v>162</v>
      </c>
      <c r="C251" s="548"/>
      <c r="D251" s="548"/>
      <c r="E251" s="548"/>
      <c r="F251" s="563"/>
      <c r="G251" s="548"/>
      <c r="H251" s="548"/>
      <c r="I251" s="548"/>
      <c r="J251" s="548"/>
      <c r="K251" s="548"/>
      <c r="L251" s="548"/>
      <c r="M251" s="548"/>
      <c r="N251" s="548"/>
      <c r="O251" s="548"/>
      <c r="P251" s="548"/>
      <c r="Q251" s="548"/>
      <c r="R251" s="563" t="s">
        <v>102</v>
      </c>
      <c r="S251" s="548" t="s">
        <v>103</v>
      </c>
      <c r="T251" s="563" t="s">
        <v>109</v>
      </c>
      <c r="U251" s="548" t="s">
        <v>103</v>
      </c>
      <c r="V251" s="540"/>
      <c r="W251" s="566"/>
      <c r="X251" s="5"/>
    </row>
    <row r="252" spans="1:25" s="420" customFormat="1" ht="15.75" x14ac:dyDescent="0.25">
      <c r="A252" s="416"/>
      <c r="B252" s="478" t="s">
        <v>88</v>
      </c>
      <c r="C252" s="564"/>
      <c r="D252" s="564"/>
      <c r="E252" s="564"/>
      <c r="F252" s="462"/>
      <c r="G252" s="564"/>
      <c r="H252" s="564"/>
      <c r="I252" s="564"/>
      <c r="J252" s="564"/>
      <c r="K252" s="564"/>
      <c r="L252" s="564"/>
      <c r="M252" s="564"/>
      <c r="N252" s="564"/>
      <c r="O252" s="564"/>
      <c r="P252" s="564"/>
      <c r="Q252" s="564"/>
      <c r="R252" s="478">
        <v>4321</v>
      </c>
      <c r="S252" s="500">
        <f>R252/$R$261</f>
        <v>0.99539276664363052</v>
      </c>
      <c r="T252" s="499">
        <v>590872</v>
      </c>
      <c r="U252" s="500">
        <f t="shared" ref="U252:U259" si="5">T252/$T$261</f>
        <v>0.99634089996998532</v>
      </c>
      <c r="V252" s="561"/>
      <c r="W252" s="565"/>
      <c r="X252" s="419"/>
    </row>
    <row r="253" spans="1:25" s="420" customFormat="1" ht="15.75" x14ac:dyDescent="0.25">
      <c r="A253" s="428"/>
      <c r="B253" s="472" t="s">
        <v>89</v>
      </c>
      <c r="C253" s="497"/>
      <c r="D253" s="497"/>
      <c r="E253" s="497"/>
      <c r="F253" s="429"/>
      <c r="G253" s="498"/>
      <c r="H253" s="497"/>
      <c r="I253" s="497"/>
      <c r="J253" s="497"/>
      <c r="K253" s="497"/>
      <c r="L253" s="497"/>
      <c r="M253" s="497"/>
      <c r="N253" s="497"/>
      <c r="O253" s="497"/>
      <c r="P253" s="497"/>
      <c r="Q253" s="497"/>
      <c r="R253" s="472">
        <v>18</v>
      </c>
      <c r="S253" s="498">
        <f t="shared" ref="S253:S259" si="6">R253/$R$261</f>
        <v>4.1465100207325502E-3</v>
      </c>
      <c r="T253" s="473">
        <v>1710</v>
      </c>
      <c r="U253" s="498">
        <f t="shared" si="5"/>
        <v>2.8834382725000927E-3</v>
      </c>
      <c r="V253" s="491"/>
      <c r="W253" s="494"/>
      <c r="X253" s="419"/>
      <c r="Y253" s="477"/>
    </row>
    <row r="254" spans="1:25" s="420" customFormat="1" ht="15.75" x14ac:dyDescent="0.25">
      <c r="A254" s="428"/>
      <c r="B254" s="472" t="s">
        <v>90</v>
      </c>
      <c r="C254" s="497"/>
      <c r="D254" s="497"/>
      <c r="E254" s="497"/>
      <c r="F254" s="429"/>
      <c r="G254" s="498"/>
      <c r="H254" s="497"/>
      <c r="I254" s="497"/>
      <c r="J254" s="497"/>
      <c r="K254" s="497"/>
      <c r="L254" s="497"/>
      <c r="M254" s="497"/>
      <c r="N254" s="497"/>
      <c r="O254" s="497"/>
      <c r="P254" s="497"/>
      <c r="Q254" s="497"/>
      <c r="R254" s="472">
        <v>2</v>
      </c>
      <c r="S254" s="498">
        <f t="shared" si="6"/>
        <v>4.6072333563695E-4</v>
      </c>
      <c r="T254" s="473">
        <v>460</v>
      </c>
      <c r="U254" s="498">
        <f t="shared" si="5"/>
        <v>7.7566175751464484E-4</v>
      </c>
      <c r="V254" s="491"/>
      <c r="W254" s="494"/>
      <c r="X254" s="419"/>
    </row>
    <row r="255" spans="1:25" s="420" customFormat="1" ht="15.75" x14ac:dyDescent="0.25">
      <c r="A255" s="428"/>
      <c r="B255" s="472" t="s">
        <v>156</v>
      </c>
      <c r="C255" s="497"/>
      <c r="D255" s="497"/>
      <c r="E255" s="497"/>
      <c r="F255" s="429"/>
      <c r="G255" s="498"/>
      <c r="H255" s="497"/>
      <c r="I255" s="497"/>
      <c r="J255" s="497"/>
      <c r="K255" s="497"/>
      <c r="L255" s="497"/>
      <c r="M255" s="497"/>
      <c r="N255" s="497"/>
      <c r="O255" s="497"/>
      <c r="P255" s="497"/>
      <c r="Q255" s="497"/>
      <c r="R255" s="472">
        <v>0</v>
      </c>
      <c r="S255" s="498">
        <f t="shared" si="6"/>
        <v>0</v>
      </c>
      <c r="T255" s="473">
        <v>0</v>
      </c>
      <c r="U255" s="498">
        <f t="shared" si="5"/>
        <v>0</v>
      </c>
      <c r="V255" s="491"/>
      <c r="W255" s="494"/>
      <c r="X255" s="419"/>
      <c r="Y255" s="477"/>
    </row>
    <row r="256" spans="1:25" s="420" customFormat="1" ht="15.75" x14ac:dyDescent="0.25">
      <c r="A256" s="428"/>
      <c r="B256" s="472" t="s">
        <v>157</v>
      </c>
      <c r="C256" s="497"/>
      <c r="D256" s="497"/>
      <c r="E256" s="497"/>
      <c r="F256" s="429"/>
      <c r="G256" s="498"/>
      <c r="H256" s="497"/>
      <c r="I256" s="497"/>
      <c r="J256" s="497"/>
      <c r="K256" s="497"/>
      <c r="L256" s="497"/>
      <c r="M256" s="497"/>
      <c r="N256" s="497"/>
      <c r="O256" s="497"/>
      <c r="P256" s="497"/>
      <c r="Q256" s="497"/>
      <c r="R256" s="472">
        <v>0</v>
      </c>
      <c r="S256" s="498">
        <f t="shared" si="6"/>
        <v>0</v>
      </c>
      <c r="T256" s="473">
        <v>0</v>
      </c>
      <c r="U256" s="498">
        <f t="shared" si="5"/>
        <v>0</v>
      </c>
      <c r="V256" s="491"/>
      <c r="W256" s="494"/>
      <c r="X256" s="419"/>
    </row>
    <row r="257" spans="1:25" s="420" customFormat="1" ht="15.75" x14ac:dyDescent="0.25">
      <c r="A257" s="428"/>
      <c r="B257" s="472" t="s">
        <v>158</v>
      </c>
      <c r="C257" s="497"/>
      <c r="D257" s="497"/>
      <c r="E257" s="497"/>
      <c r="F257" s="429"/>
      <c r="G257" s="498"/>
      <c r="H257" s="497"/>
      <c r="I257" s="497"/>
      <c r="J257" s="497"/>
      <c r="K257" s="497"/>
      <c r="L257" s="497"/>
      <c r="M257" s="497"/>
      <c r="N257" s="497"/>
      <c r="O257" s="497"/>
      <c r="P257" s="497"/>
      <c r="Q257" s="497"/>
      <c r="R257" s="472">
        <v>0</v>
      </c>
      <c r="S257" s="498">
        <f t="shared" si="6"/>
        <v>0</v>
      </c>
      <c r="T257" s="473">
        <v>0</v>
      </c>
      <c r="U257" s="498">
        <f t="shared" si="5"/>
        <v>0</v>
      </c>
      <c r="V257" s="491"/>
      <c r="W257" s="494"/>
      <c r="X257" s="419"/>
      <c r="Y257" s="477"/>
    </row>
    <row r="258" spans="1:25" s="420" customFormat="1" ht="15.75" x14ac:dyDescent="0.25">
      <c r="A258" s="428"/>
      <c r="B258" s="472" t="s">
        <v>159</v>
      </c>
      <c r="C258" s="497"/>
      <c r="D258" s="497"/>
      <c r="E258" s="497"/>
      <c r="F258" s="429"/>
      <c r="G258" s="498"/>
      <c r="H258" s="497"/>
      <c r="I258" s="497"/>
      <c r="J258" s="497"/>
      <c r="K258" s="497"/>
      <c r="L258" s="497"/>
      <c r="M258" s="497"/>
      <c r="N258" s="497"/>
      <c r="O258" s="497"/>
      <c r="P258" s="497"/>
      <c r="Q258" s="497"/>
      <c r="R258" s="472">
        <v>0</v>
      </c>
      <c r="S258" s="498">
        <f t="shared" si="6"/>
        <v>0</v>
      </c>
      <c r="T258" s="473">
        <v>0</v>
      </c>
      <c r="U258" s="498">
        <f t="shared" si="5"/>
        <v>0</v>
      </c>
      <c r="V258" s="491"/>
      <c r="W258" s="494"/>
      <c r="X258" s="419"/>
    </row>
    <row r="259" spans="1:25" s="420" customFormat="1" ht="15.75" x14ac:dyDescent="0.25">
      <c r="A259" s="428"/>
      <c r="B259" s="472" t="s">
        <v>160</v>
      </c>
      <c r="C259" s="497"/>
      <c r="D259" s="497"/>
      <c r="E259" s="497"/>
      <c r="F259" s="429"/>
      <c r="G259" s="498"/>
      <c r="H259" s="497"/>
      <c r="I259" s="497"/>
      <c r="J259" s="497"/>
      <c r="K259" s="497"/>
      <c r="L259" s="497"/>
      <c r="M259" s="497"/>
      <c r="N259" s="497"/>
      <c r="O259" s="497"/>
      <c r="P259" s="497"/>
      <c r="Q259" s="497"/>
      <c r="R259" s="472">
        <v>0</v>
      </c>
      <c r="S259" s="498">
        <f t="shared" si="6"/>
        <v>0</v>
      </c>
      <c r="T259" s="473">
        <v>0</v>
      </c>
      <c r="U259" s="498">
        <f t="shared" si="5"/>
        <v>0</v>
      </c>
      <c r="V259" s="491"/>
      <c r="W259" s="494"/>
      <c r="X259" s="419"/>
      <c r="Y259" s="477"/>
    </row>
    <row r="260" spans="1:25" s="420" customFormat="1" ht="15.75" x14ac:dyDescent="0.25">
      <c r="A260" s="428"/>
      <c r="B260" s="472"/>
      <c r="C260" s="497"/>
      <c r="D260" s="497"/>
      <c r="E260" s="497"/>
      <c r="F260" s="429"/>
      <c r="G260" s="498"/>
      <c r="H260" s="497"/>
      <c r="I260" s="497"/>
      <c r="J260" s="497"/>
      <c r="K260" s="497"/>
      <c r="L260" s="497"/>
      <c r="M260" s="497"/>
      <c r="N260" s="497"/>
      <c r="O260" s="497"/>
      <c r="P260" s="497"/>
      <c r="Q260" s="497"/>
      <c r="R260" s="472"/>
      <c r="S260" s="498"/>
      <c r="T260" s="473"/>
      <c r="U260" s="498"/>
      <c r="V260" s="491"/>
      <c r="W260" s="494"/>
      <c r="X260" s="419"/>
    </row>
    <row r="261" spans="1:25" s="420" customFormat="1" ht="15.75" x14ac:dyDescent="0.25">
      <c r="A261" s="428"/>
      <c r="B261" s="429"/>
      <c r="C261" s="429"/>
      <c r="D261" s="429"/>
      <c r="E261" s="429"/>
      <c r="F261" s="429"/>
      <c r="G261" s="429"/>
      <c r="H261" s="501"/>
      <c r="I261" s="501"/>
      <c r="J261" s="501"/>
      <c r="K261" s="501"/>
      <c r="L261" s="501"/>
      <c r="M261" s="501"/>
      <c r="N261" s="501"/>
      <c r="O261" s="501"/>
      <c r="P261" s="501"/>
      <c r="Q261" s="501"/>
      <c r="R261" s="472">
        <f>SUM(R252:R260)</f>
        <v>4341</v>
      </c>
      <c r="S261" s="498">
        <f>SUM(S252:S260)</f>
        <v>1</v>
      </c>
      <c r="T261" s="473">
        <f>SUM(T252:T260)</f>
        <v>593042</v>
      </c>
      <c r="U261" s="498">
        <f>SUM(U252:U260)</f>
        <v>1</v>
      </c>
      <c r="V261" s="429"/>
      <c r="W261" s="432"/>
      <c r="X261" s="419"/>
    </row>
    <row r="262" spans="1:25" ht="15.75" x14ac:dyDescent="0.25">
      <c r="A262" s="181"/>
      <c r="B262" s="212"/>
      <c r="C262" s="212"/>
      <c r="D262" s="212"/>
      <c r="E262" s="212"/>
      <c r="F262" s="212"/>
      <c r="G262" s="212"/>
      <c r="H262" s="375"/>
      <c r="I262" s="375"/>
      <c r="J262" s="375"/>
      <c r="K262" s="375"/>
      <c r="L262" s="375"/>
      <c r="M262" s="375"/>
      <c r="N262" s="375"/>
      <c r="O262" s="375"/>
      <c r="P262" s="375"/>
      <c r="Q262" s="375"/>
      <c r="R262" s="335"/>
      <c r="S262" s="376"/>
      <c r="T262" s="377"/>
      <c r="U262" s="376"/>
      <c r="V262" s="212"/>
      <c r="W262" s="212"/>
      <c r="X262" s="5"/>
    </row>
    <row r="263" spans="1:25" ht="15.75" x14ac:dyDescent="0.25">
      <c r="A263" s="536"/>
      <c r="B263" s="547" t="s">
        <v>236</v>
      </c>
      <c r="C263" s="548"/>
      <c r="D263" s="548"/>
      <c r="E263" s="548"/>
      <c r="F263" s="563"/>
      <c r="G263" s="548"/>
      <c r="H263" s="548"/>
      <c r="I263" s="548"/>
      <c r="J263" s="548"/>
      <c r="K263" s="548"/>
      <c r="L263" s="548"/>
      <c r="M263" s="548"/>
      <c r="N263" s="548"/>
      <c r="O263" s="548"/>
      <c r="P263" s="548"/>
      <c r="Q263" s="548"/>
      <c r="R263" s="563" t="s">
        <v>102</v>
      </c>
      <c r="S263" s="548" t="s">
        <v>103</v>
      </c>
      <c r="T263" s="563" t="s">
        <v>109</v>
      </c>
      <c r="U263" s="548" t="s">
        <v>103</v>
      </c>
      <c r="V263" s="540"/>
      <c r="W263" s="544"/>
      <c r="X263" s="5"/>
    </row>
    <row r="264" spans="1:25" s="420" customFormat="1" ht="15.75" x14ac:dyDescent="0.25">
      <c r="A264" s="416"/>
      <c r="B264" s="478" t="s">
        <v>88</v>
      </c>
      <c r="C264" s="564"/>
      <c r="D264" s="564"/>
      <c r="E264" s="564"/>
      <c r="F264" s="462"/>
      <c r="G264" s="564"/>
      <c r="H264" s="564"/>
      <c r="I264" s="564"/>
      <c r="J264" s="564"/>
      <c r="K264" s="564"/>
      <c r="L264" s="564"/>
      <c r="M264" s="564"/>
      <c r="N264" s="564"/>
      <c r="O264" s="564"/>
      <c r="P264" s="564"/>
      <c r="Q264" s="564"/>
      <c r="R264" s="478">
        <v>60</v>
      </c>
      <c r="S264" s="500">
        <f t="shared" ref="S264:S270" si="7">R264/$R$273</f>
        <v>0.88235294117647056</v>
      </c>
      <c r="T264" s="499">
        <v>7914</v>
      </c>
      <c r="U264" s="500">
        <f t="shared" ref="U264:U271" si="8">T264/$T$273</f>
        <v>0.84859532489813427</v>
      </c>
      <c r="V264" s="462"/>
      <c r="W264" s="462"/>
      <c r="X264" s="419"/>
    </row>
    <row r="265" spans="1:25" s="420" customFormat="1" ht="15.75" x14ac:dyDescent="0.25">
      <c r="A265" s="428"/>
      <c r="B265" s="472" t="s">
        <v>89</v>
      </c>
      <c r="C265" s="497"/>
      <c r="D265" s="497"/>
      <c r="E265" s="497"/>
      <c r="F265" s="429"/>
      <c r="G265" s="498"/>
      <c r="H265" s="497"/>
      <c r="I265" s="497"/>
      <c r="J265" s="497"/>
      <c r="K265" s="497"/>
      <c r="L265" s="497"/>
      <c r="M265" s="497"/>
      <c r="N265" s="497"/>
      <c r="O265" s="497"/>
      <c r="P265" s="497"/>
      <c r="Q265" s="497"/>
      <c r="R265" s="472">
        <v>2</v>
      </c>
      <c r="S265" s="498">
        <f t="shared" si="7"/>
        <v>2.9411764705882353E-2</v>
      </c>
      <c r="T265" s="473">
        <v>270</v>
      </c>
      <c r="U265" s="498">
        <f t="shared" si="8"/>
        <v>2.8951318893416254E-2</v>
      </c>
      <c r="V265" s="429"/>
      <c r="W265" s="432"/>
      <c r="X265" s="419"/>
    </row>
    <row r="266" spans="1:25" s="420" customFormat="1" ht="15.75" x14ac:dyDescent="0.25">
      <c r="A266" s="428"/>
      <c r="B266" s="472" t="s">
        <v>90</v>
      </c>
      <c r="C266" s="497"/>
      <c r="D266" s="497"/>
      <c r="E266" s="497"/>
      <c r="F266" s="429"/>
      <c r="G266" s="498"/>
      <c r="H266" s="497"/>
      <c r="I266" s="497"/>
      <c r="J266" s="497"/>
      <c r="K266" s="497"/>
      <c r="L266" s="497"/>
      <c r="M266" s="497"/>
      <c r="N266" s="497"/>
      <c r="O266" s="497"/>
      <c r="P266" s="497"/>
      <c r="Q266" s="497"/>
      <c r="R266" s="472">
        <v>2</v>
      </c>
      <c r="S266" s="498">
        <f t="shared" si="7"/>
        <v>2.9411764705882353E-2</v>
      </c>
      <c r="T266" s="473">
        <v>240</v>
      </c>
      <c r="U266" s="498">
        <f t="shared" si="8"/>
        <v>2.573450568303667E-2</v>
      </c>
      <c r="V266" s="429"/>
      <c r="W266" s="432"/>
      <c r="X266" s="419"/>
    </row>
    <row r="267" spans="1:25" s="420" customFormat="1" ht="15.75" x14ac:dyDescent="0.25">
      <c r="A267" s="428"/>
      <c r="B267" s="472" t="s">
        <v>156</v>
      </c>
      <c r="C267" s="497"/>
      <c r="D267" s="497"/>
      <c r="E267" s="497"/>
      <c r="F267" s="429"/>
      <c r="G267" s="498"/>
      <c r="H267" s="497"/>
      <c r="I267" s="497"/>
      <c r="J267" s="497"/>
      <c r="K267" s="497"/>
      <c r="L267" s="497"/>
      <c r="M267" s="497"/>
      <c r="N267" s="497"/>
      <c r="O267" s="497"/>
      <c r="P267" s="497"/>
      <c r="Q267" s="497"/>
      <c r="R267" s="472">
        <v>2</v>
      </c>
      <c r="S267" s="498">
        <f t="shared" si="7"/>
        <v>2.9411764705882353E-2</v>
      </c>
      <c r="T267" s="473">
        <v>205</v>
      </c>
      <c r="U267" s="498">
        <f t="shared" si="8"/>
        <v>2.1981556937593825E-2</v>
      </c>
      <c r="V267" s="429"/>
      <c r="W267" s="432"/>
      <c r="X267" s="419"/>
    </row>
    <row r="268" spans="1:25" s="420" customFormat="1" ht="15.75" x14ac:dyDescent="0.25">
      <c r="A268" s="428"/>
      <c r="B268" s="472" t="s">
        <v>157</v>
      </c>
      <c r="C268" s="497"/>
      <c r="D268" s="497"/>
      <c r="E268" s="497"/>
      <c r="F268" s="429"/>
      <c r="G268" s="498"/>
      <c r="H268" s="497"/>
      <c r="I268" s="497"/>
      <c r="J268" s="497"/>
      <c r="K268" s="497"/>
      <c r="L268" s="497"/>
      <c r="M268" s="497"/>
      <c r="N268" s="497"/>
      <c r="O268" s="497"/>
      <c r="P268" s="497"/>
      <c r="Q268" s="497"/>
      <c r="R268" s="472">
        <v>0</v>
      </c>
      <c r="S268" s="498">
        <f t="shared" si="7"/>
        <v>0</v>
      </c>
      <c r="T268" s="473">
        <v>0</v>
      </c>
      <c r="U268" s="498">
        <f t="shared" si="8"/>
        <v>0</v>
      </c>
      <c r="V268" s="429"/>
      <c r="W268" s="432"/>
      <c r="X268" s="419"/>
    </row>
    <row r="269" spans="1:25" s="420" customFormat="1" ht="15.75" x14ac:dyDescent="0.25">
      <c r="A269" s="428"/>
      <c r="B269" s="472" t="s">
        <v>158</v>
      </c>
      <c r="C269" s="497"/>
      <c r="D269" s="497"/>
      <c r="E269" s="497"/>
      <c r="F269" s="429"/>
      <c r="G269" s="498"/>
      <c r="H269" s="497"/>
      <c r="I269" s="497"/>
      <c r="J269" s="497"/>
      <c r="K269" s="497"/>
      <c r="L269" s="497"/>
      <c r="M269" s="497"/>
      <c r="N269" s="497"/>
      <c r="O269" s="497"/>
      <c r="P269" s="497"/>
      <c r="Q269" s="497"/>
      <c r="R269" s="472">
        <v>0</v>
      </c>
      <c r="S269" s="498">
        <f t="shared" si="7"/>
        <v>0</v>
      </c>
      <c r="T269" s="473">
        <v>0</v>
      </c>
      <c r="U269" s="498">
        <f t="shared" si="8"/>
        <v>0</v>
      </c>
      <c r="V269" s="429"/>
      <c r="W269" s="432"/>
      <c r="X269" s="419"/>
    </row>
    <row r="270" spans="1:25" s="420" customFormat="1" ht="15.75" x14ac:dyDescent="0.25">
      <c r="A270" s="428"/>
      <c r="B270" s="472" t="s">
        <v>159</v>
      </c>
      <c r="C270" s="497"/>
      <c r="D270" s="497"/>
      <c r="E270" s="497"/>
      <c r="F270" s="429"/>
      <c r="G270" s="498"/>
      <c r="H270" s="497"/>
      <c r="I270" s="497"/>
      <c r="J270" s="497"/>
      <c r="K270" s="497"/>
      <c r="L270" s="497"/>
      <c r="M270" s="497"/>
      <c r="N270" s="497"/>
      <c r="O270" s="497"/>
      <c r="P270" s="497"/>
      <c r="Q270" s="497"/>
      <c r="R270" s="472">
        <v>2</v>
      </c>
      <c r="S270" s="498">
        <f t="shared" si="7"/>
        <v>2.9411764705882353E-2</v>
      </c>
      <c r="T270" s="473">
        <v>697</v>
      </c>
      <c r="U270" s="498">
        <f t="shared" si="8"/>
        <v>7.4737293587818998E-2</v>
      </c>
      <c r="V270" s="429"/>
      <c r="W270" s="432"/>
      <c r="X270" s="419"/>
    </row>
    <row r="271" spans="1:25" s="420" customFormat="1" ht="15.75" x14ac:dyDescent="0.25">
      <c r="A271" s="428"/>
      <c r="B271" s="472" t="s">
        <v>160</v>
      </c>
      <c r="C271" s="497"/>
      <c r="D271" s="497"/>
      <c r="E271" s="497"/>
      <c r="F271" s="429"/>
      <c r="G271" s="498"/>
      <c r="H271" s="497"/>
      <c r="I271" s="497"/>
      <c r="J271" s="497"/>
      <c r="K271" s="497"/>
      <c r="L271" s="497"/>
      <c r="M271" s="497"/>
      <c r="N271" s="497"/>
      <c r="O271" s="497"/>
      <c r="P271" s="497"/>
      <c r="Q271" s="497"/>
      <c r="R271" s="472">
        <v>0</v>
      </c>
      <c r="S271" s="498">
        <f>R271/$R$273</f>
        <v>0</v>
      </c>
      <c r="T271" s="473">
        <v>0</v>
      </c>
      <c r="U271" s="498">
        <f t="shared" si="8"/>
        <v>0</v>
      </c>
      <c r="V271" s="429"/>
      <c r="W271" s="432"/>
      <c r="X271" s="419"/>
    </row>
    <row r="272" spans="1:25" s="420" customFormat="1" ht="15.75" x14ac:dyDescent="0.25">
      <c r="A272" s="428"/>
      <c r="B272" s="472"/>
      <c r="C272" s="497"/>
      <c r="D272" s="497"/>
      <c r="E272" s="497"/>
      <c r="F272" s="429"/>
      <c r="G272" s="498"/>
      <c r="H272" s="497"/>
      <c r="I272" s="497"/>
      <c r="J272" s="497"/>
      <c r="K272" s="497"/>
      <c r="L272" s="497"/>
      <c r="M272" s="497"/>
      <c r="N272" s="497"/>
      <c r="O272" s="497"/>
      <c r="P272" s="497"/>
      <c r="Q272" s="497"/>
      <c r="R272" s="472"/>
      <c r="S272" s="498"/>
      <c r="T272" s="473"/>
      <c r="U272" s="498"/>
      <c r="V272" s="429"/>
      <c r="W272" s="432"/>
      <c r="X272" s="419"/>
    </row>
    <row r="273" spans="1:24" s="420" customFormat="1" ht="15.75" x14ac:dyDescent="0.25">
      <c r="A273" s="428"/>
      <c r="B273" s="429"/>
      <c r="C273" s="429"/>
      <c r="D273" s="429"/>
      <c r="E273" s="429"/>
      <c r="F273" s="429"/>
      <c r="G273" s="429"/>
      <c r="H273" s="501"/>
      <c r="I273" s="501"/>
      <c r="J273" s="501"/>
      <c r="K273" s="501"/>
      <c r="L273" s="501"/>
      <c r="M273" s="501"/>
      <c r="N273" s="501"/>
      <c r="O273" s="501"/>
      <c r="P273" s="501"/>
      <c r="Q273" s="501"/>
      <c r="R273" s="472">
        <f>SUM(R264:R272)</f>
        <v>68</v>
      </c>
      <c r="S273" s="498">
        <f>SUM(S264:S272)</f>
        <v>1</v>
      </c>
      <c r="T273" s="473">
        <f>SUM(T264:T272)</f>
        <v>9326</v>
      </c>
      <c r="U273" s="498">
        <f>SUM(U264:U272)</f>
        <v>1</v>
      </c>
      <c r="V273" s="429"/>
      <c r="W273" s="432"/>
      <c r="X273" s="419"/>
    </row>
    <row r="274" spans="1:24" ht="15.75" x14ac:dyDescent="0.25">
      <c r="A274" s="181"/>
      <c r="B274" s="212"/>
      <c r="C274" s="212"/>
      <c r="D274" s="212"/>
      <c r="E274" s="212"/>
      <c r="F274" s="212"/>
      <c r="G274" s="212"/>
      <c r="H274" s="375"/>
      <c r="I274" s="375"/>
      <c r="J274" s="375"/>
      <c r="K274" s="375"/>
      <c r="L274" s="375"/>
      <c r="M274" s="375"/>
      <c r="N274" s="375"/>
      <c r="O274" s="375"/>
      <c r="P274" s="375"/>
      <c r="Q274" s="375"/>
      <c r="R274" s="335"/>
      <c r="S274" s="376"/>
      <c r="T274" s="377"/>
      <c r="U274" s="376"/>
      <c r="V274" s="212"/>
      <c r="W274" s="212"/>
      <c r="X274" s="5"/>
    </row>
    <row r="275" spans="1:24" ht="15.75" x14ac:dyDescent="0.25">
      <c r="A275" s="536"/>
      <c r="B275" s="547" t="s">
        <v>163</v>
      </c>
      <c r="C275" s="540"/>
      <c r="D275" s="540"/>
      <c r="E275" s="540"/>
      <c r="F275" s="540"/>
      <c r="G275" s="540"/>
      <c r="H275" s="567"/>
      <c r="I275" s="567"/>
      <c r="J275" s="567"/>
      <c r="K275" s="567"/>
      <c r="L275" s="567"/>
      <c r="M275" s="567"/>
      <c r="N275" s="567"/>
      <c r="O275" s="567"/>
      <c r="P275" s="567"/>
      <c r="Q275" s="567"/>
      <c r="R275" s="563" t="s">
        <v>102</v>
      </c>
      <c r="S275" s="548" t="s">
        <v>103</v>
      </c>
      <c r="T275" s="563" t="s">
        <v>109</v>
      </c>
      <c r="U275" s="548" t="s">
        <v>103</v>
      </c>
      <c r="V275" s="540"/>
      <c r="W275" s="544"/>
      <c r="X275" s="5"/>
    </row>
    <row r="276" spans="1:24" s="420" customFormat="1" ht="15.75" x14ac:dyDescent="0.25">
      <c r="A276" s="416"/>
      <c r="B276" s="478" t="s">
        <v>88</v>
      </c>
      <c r="C276" s="462"/>
      <c r="D276" s="462"/>
      <c r="E276" s="462"/>
      <c r="F276" s="462"/>
      <c r="G276" s="462"/>
      <c r="H276" s="504"/>
      <c r="I276" s="504"/>
      <c r="J276" s="504"/>
      <c r="K276" s="504"/>
      <c r="L276" s="504"/>
      <c r="M276" s="504"/>
      <c r="N276" s="504"/>
      <c r="O276" s="504"/>
      <c r="P276" s="504"/>
      <c r="Q276" s="504"/>
      <c r="R276" s="478">
        <v>1</v>
      </c>
      <c r="S276" s="500">
        <v>1</v>
      </c>
      <c r="T276" s="499">
        <v>30</v>
      </c>
      <c r="U276" s="500">
        <v>1</v>
      </c>
      <c r="V276" s="462"/>
      <c r="W276" s="462"/>
      <c r="X276" s="419"/>
    </row>
    <row r="277" spans="1:24" s="420" customFormat="1" ht="15.75" x14ac:dyDescent="0.25">
      <c r="A277" s="428"/>
      <c r="B277" s="472" t="s">
        <v>89</v>
      </c>
      <c r="C277" s="429"/>
      <c r="D277" s="429"/>
      <c r="E277" s="429"/>
      <c r="F277" s="429"/>
      <c r="G277" s="429"/>
      <c r="H277" s="501"/>
      <c r="I277" s="501"/>
      <c r="J277" s="501"/>
      <c r="K277" s="501"/>
      <c r="L277" s="501"/>
      <c r="M277" s="501"/>
      <c r="N277" s="501"/>
      <c r="O277" s="501"/>
      <c r="P277" s="501"/>
      <c r="Q277" s="501"/>
      <c r="R277" s="472">
        <v>0</v>
      </c>
      <c r="S277" s="498">
        <v>0</v>
      </c>
      <c r="T277" s="473">
        <v>0</v>
      </c>
      <c r="U277" s="498">
        <v>0</v>
      </c>
      <c r="V277" s="429"/>
      <c r="W277" s="432"/>
      <c r="X277" s="419"/>
    </row>
    <row r="278" spans="1:24" s="420" customFormat="1" ht="15.75" x14ac:dyDescent="0.25">
      <c r="A278" s="428"/>
      <c r="B278" s="472" t="s">
        <v>90</v>
      </c>
      <c r="C278" s="429"/>
      <c r="D278" s="429"/>
      <c r="E278" s="429"/>
      <c r="F278" s="429"/>
      <c r="G278" s="429"/>
      <c r="H278" s="501"/>
      <c r="I278" s="501"/>
      <c r="J278" s="501"/>
      <c r="K278" s="501"/>
      <c r="L278" s="501"/>
      <c r="M278" s="501"/>
      <c r="N278" s="501"/>
      <c r="O278" s="501"/>
      <c r="P278" s="501"/>
      <c r="Q278" s="501"/>
      <c r="R278" s="472">
        <v>0</v>
      </c>
      <c r="S278" s="498">
        <v>0</v>
      </c>
      <c r="T278" s="473">
        <v>0</v>
      </c>
      <c r="U278" s="498">
        <v>0</v>
      </c>
      <c r="V278" s="429"/>
      <c r="W278" s="432"/>
      <c r="X278" s="419"/>
    </row>
    <row r="279" spans="1:24" s="420" customFormat="1" ht="15.75" x14ac:dyDescent="0.25">
      <c r="A279" s="428"/>
      <c r="B279" s="472" t="s">
        <v>156</v>
      </c>
      <c r="C279" s="429"/>
      <c r="D279" s="429"/>
      <c r="E279" s="429"/>
      <c r="F279" s="429"/>
      <c r="G279" s="429"/>
      <c r="H279" s="501"/>
      <c r="I279" s="501"/>
      <c r="J279" s="501"/>
      <c r="K279" s="501"/>
      <c r="L279" s="501"/>
      <c r="M279" s="501"/>
      <c r="N279" s="501"/>
      <c r="O279" s="501"/>
      <c r="P279" s="501"/>
      <c r="Q279" s="501"/>
      <c r="R279" s="472">
        <v>0</v>
      </c>
      <c r="S279" s="498">
        <v>0</v>
      </c>
      <c r="T279" s="473">
        <v>0</v>
      </c>
      <c r="U279" s="498">
        <v>0</v>
      </c>
      <c r="V279" s="429"/>
      <c r="W279" s="432"/>
      <c r="X279" s="419"/>
    </row>
    <row r="280" spans="1:24" s="420" customFormat="1" ht="15.75" x14ac:dyDescent="0.25">
      <c r="A280" s="428"/>
      <c r="B280" s="472" t="s">
        <v>157</v>
      </c>
      <c r="C280" s="429"/>
      <c r="D280" s="429"/>
      <c r="E280" s="429"/>
      <c r="F280" s="429"/>
      <c r="G280" s="429"/>
      <c r="H280" s="501"/>
      <c r="I280" s="501"/>
      <c r="J280" s="501"/>
      <c r="K280" s="501"/>
      <c r="L280" s="501"/>
      <c r="M280" s="501"/>
      <c r="N280" s="501"/>
      <c r="O280" s="501"/>
      <c r="P280" s="501"/>
      <c r="Q280" s="501"/>
      <c r="R280" s="472">
        <v>0</v>
      </c>
      <c r="S280" s="498">
        <v>0</v>
      </c>
      <c r="T280" s="473">
        <v>0</v>
      </c>
      <c r="U280" s="498">
        <v>0</v>
      </c>
      <c r="V280" s="429"/>
      <c r="W280" s="432"/>
      <c r="X280" s="419"/>
    </row>
    <row r="281" spans="1:24" s="420" customFormat="1" ht="15.75" x14ac:dyDescent="0.25">
      <c r="A281" s="428"/>
      <c r="B281" s="472" t="s">
        <v>158</v>
      </c>
      <c r="C281" s="429"/>
      <c r="D281" s="429"/>
      <c r="E281" s="429"/>
      <c r="F281" s="429"/>
      <c r="G281" s="429"/>
      <c r="H281" s="501"/>
      <c r="I281" s="501"/>
      <c r="J281" s="501"/>
      <c r="K281" s="501"/>
      <c r="L281" s="501"/>
      <c r="M281" s="501"/>
      <c r="N281" s="501"/>
      <c r="O281" s="501"/>
      <c r="P281" s="501"/>
      <c r="Q281" s="501"/>
      <c r="R281" s="472">
        <v>0</v>
      </c>
      <c r="S281" s="498">
        <v>0</v>
      </c>
      <c r="T281" s="473">
        <v>0</v>
      </c>
      <c r="U281" s="498">
        <v>0</v>
      </c>
      <c r="V281" s="429"/>
      <c r="W281" s="432"/>
      <c r="X281" s="419"/>
    </row>
    <row r="282" spans="1:24" s="420" customFormat="1" ht="15.75" x14ac:dyDescent="0.25">
      <c r="A282" s="428"/>
      <c r="B282" s="472" t="s">
        <v>159</v>
      </c>
      <c r="C282" s="429"/>
      <c r="D282" s="429"/>
      <c r="E282" s="429"/>
      <c r="F282" s="429"/>
      <c r="G282" s="429"/>
      <c r="H282" s="501"/>
      <c r="I282" s="501"/>
      <c r="J282" s="501"/>
      <c r="K282" s="501"/>
      <c r="L282" s="501"/>
      <c r="M282" s="501"/>
      <c r="N282" s="501"/>
      <c r="O282" s="501"/>
      <c r="P282" s="501"/>
      <c r="Q282" s="501"/>
      <c r="R282" s="472">
        <v>0</v>
      </c>
      <c r="S282" s="498">
        <v>0</v>
      </c>
      <c r="T282" s="473">
        <v>0</v>
      </c>
      <c r="U282" s="498">
        <v>0</v>
      </c>
      <c r="V282" s="429"/>
      <c r="W282" s="432"/>
      <c r="X282" s="419"/>
    </row>
    <row r="283" spans="1:24" s="420" customFormat="1" ht="15.75" x14ac:dyDescent="0.25">
      <c r="A283" s="428"/>
      <c r="B283" s="472" t="s">
        <v>160</v>
      </c>
      <c r="C283" s="429"/>
      <c r="D283" s="429"/>
      <c r="E283" s="429"/>
      <c r="F283" s="429"/>
      <c r="G283" s="429"/>
      <c r="H283" s="501"/>
      <c r="I283" s="501"/>
      <c r="J283" s="501"/>
      <c r="K283" s="501"/>
      <c r="L283" s="501"/>
      <c r="M283" s="501"/>
      <c r="N283" s="501"/>
      <c r="O283" s="501"/>
      <c r="P283" s="501"/>
      <c r="Q283" s="501"/>
      <c r="R283" s="472">
        <v>0</v>
      </c>
      <c r="S283" s="498">
        <v>0</v>
      </c>
      <c r="T283" s="473">
        <v>0</v>
      </c>
      <c r="U283" s="498">
        <v>0</v>
      </c>
      <c r="V283" s="429"/>
      <c r="W283" s="432"/>
      <c r="X283" s="419"/>
    </row>
    <row r="284" spans="1:24" s="420" customFormat="1" ht="15.75" x14ac:dyDescent="0.25">
      <c r="A284" s="428"/>
      <c r="B284" s="472"/>
      <c r="C284" s="429"/>
      <c r="D284" s="429"/>
      <c r="E284" s="429"/>
      <c r="F284" s="429"/>
      <c r="G284" s="429"/>
      <c r="H284" s="501"/>
      <c r="I284" s="501"/>
      <c r="J284" s="501"/>
      <c r="K284" s="501"/>
      <c r="L284" s="501"/>
      <c r="M284" s="501"/>
      <c r="N284" s="501"/>
      <c r="O284" s="501"/>
      <c r="P284" s="501"/>
      <c r="Q284" s="501"/>
      <c r="R284" s="472"/>
      <c r="S284" s="498"/>
      <c r="T284" s="473"/>
      <c r="U284" s="498"/>
      <c r="V284" s="429"/>
      <c r="W284" s="432"/>
      <c r="X284" s="419"/>
    </row>
    <row r="285" spans="1:24" s="420" customFormat="1" ht="15.75" x14ac:dyDescent="0.25">
      <c r="A285" s="428"/>
      <c r="B285" s="429" t="s">
        <v>114</v>
      </c>
      <c r="C285" s="429"/>
      <c r="D285" s="429"/>
      <c r="E285" s="429"/>
      <c r="F285" s="429"/>
      <c r="G285" s="429"/>
      <c r="H285" s="501"/>
      <c r="I285" s="501"/>
      <c r="J285" s="501"/>
      <c r="K285" s="501"/>
      <c r="L285" s="501"/>
      <c r="M285" s="501"/>
      <c r="N285" s="501"/>
      <c r="O285" s="501"/>
      <c r="P285" s="501"/>
      <c r="Q285" s="501"/>
      <c r="R285" s="472">
        <f>SUM(R276:R283)</f>
        <v>1</v>
      </c>
      <c r="S285" s="498">
        <f>SUM(S276:S283)</f>
        <v>1</v>
      </c>
      <c r="T285" s="473">
        <f>SUM(T276:T283)</f>
        <v>30</v>
      </c>
      <c r="U285" s="498">
        <f>SUM(U276:U283)</f>
        <v>1</v>
      </c>
      <c r="V285" s="429"/>
      <c r="W285" s="432"/>
      <c r="X285" s="419"/>
    </row>
    <row r="286" spans="1:24" s="420" customFormat="1" ht="15.75" x14ac:dyDescent="0.25">
      <c r="A286" s="428"/>
      <c r="B286" s="429"/>
      <c r="C286" s="429"/>
      <c r="D286" s="429"/>
      <c r="E286" s="429"/>
      <c r="F286" s="429"/>
      <c r="G286" s="429"/>
      <c r="H286" s="501"/>
      <c r="I286" s="501"/>
      <c r="J286" s="501"/>
      <c r="K286" s="501"/>
      <c r="L286" s="501"/>
      <c r="M286" s="501"/>
      <c r="N286" s="501"/>
      <c r="O286" s="501"/>
      <c r="P286" s="501"/>
      <c r="Q286" s="501"/>
      <c r="R286" s="472"/>
      <c r="S286" s="498"/>
      <c r="T286" s="473"/>
      <c r="U286" s="498"/>
      <c r="V286" s="429"/>
      <c r="W286" s="432"/>
      <c r="X286" s="419"/>
    </row>
    <row r="287" spans="1:24" s="420" customFormat="1" ht="15.75" x14ac:dyDescent="0.25">
      <c r="A287" s="428"/>
      <c r="B287" s="435" t="s">
        <v>164</v>
      </c>
      <c r="C287" s="429"/>
      <c r="D287" s="429"/>
      <c r="E287" s="429"/>
      <c r="F287" s="429"/>
      <c r="G287" s="429"/>
      <c r="H287" s="501"/>
      <c r="I287" s="501"/>
      <c r="J287" s="501"/>
      <c r="K287" s="501"/>
      <c r="L287" s="501"/>
      <c r="M287" s="501"/>
      <c r="N287" s="501"/>
      <c r="O287" s="501"/>
      <c r="P287" s="501"/>
      <c r="Q287" s="501"/>
      <c r="R287" s="502">
        <f>R285+R273+R261</f>
        <v>4410</v>
      </c>
      <c r="S287" s="498"/>
      <c r="T287" s="503">
        <f>+T285+T273+T261</f>
        <v>602398</v>
      </c>
      <c r="U287" s="498"/>
      <c r="V287" s="429"/>
      <c r="W287" s="432"/>
      <c r="X287" s="419"/>
    </row>
    <row r="288" spans="1:24" s="420" customFormat="1" ht="15.75" x14ac:dyDescent="0.25">
      <c r="A288" s="416"/>
      <c r="B288" s="462"/>
      <c r="C288" s="462"/>
      <c r="D288" s="462"/>
      <c r="E288" s="462"/>
      <c r="F288" s="462"/>
      <c r="G288" s="462"/>
      <c r="H288" s="504"/>
      <c r="I288" s="504"/>
      <c r="J288" s="504"/>
      <c r="K288" s="504"/>
      <c r="L288" s="504"/>
      <c r="M288" s="504"/>
      <c r="N288" s="504"/>
      <c r="O288" s="504"/>
      <c r="P288" s="504"/>
      <c r="Q288" s="504"/>
      <c r="R288" s="504"/>
      <c r="S288" s="504"/>
      <c r="T288" s="499"/>
      <c r="U288" s="504"/>
      <c r="V288" s="462"/>
      <c r="W288" s="462"/>
      <c r="X288" s="419"/>
    </row>
    <row r="289" spans="1:24" s="420" customFormat="1" ht="15.75" x14ac:dyDescent="0.25">
      <c r="A289" s="416"/>
      <c r="B289" s="417"/>
      <c r="C289" s="417"/>
      <c r="D289" s="417"/>
      <c r="E289" s="417"/>
      <c r="F289" s="417"/>
      <c r="G289" s="417"/>
      <c r="H289" s="505"/>
      <c r="I289" s="505"/>
      <c r="J289" s="505"/>
      <c r="K289" s="505"/>
      <c r="L289" s="505"/>
      <c r="M289" s="505"/>
      <c r="N289" s="505"/>
      <c r="O289" s="505"/>
      <c r="P289" s="505"/>
      <c r="Q289" s="505"/>
      <c r="R289" s="505"/>
      <c r="S289" s="505"/>
      <c r="T289" s="506"/>
      <c r="U289" s="505"/>
      <c r="V289" s="417"/>
      <c r="W289" s="417"/>
      <c r="X289" s="419"/>
    </row>
    <row r="290" spans="1:24" s="420" customFormat="1" ht="15.75" x14ac:dyDescent="0.25">
      <c r="A290" s="507"/>
      <c r="B290" s="415" t="s">
        <v>91</v>
      </c>
      <c r="C290" s="417"/>
      <c r="D290" s="417"/>
      <c r="E290" s="417"/>
      <c r="F290" s="423" t="s">
        <v>97</v>
      </c>
      <c r="G290" s="417"/>
      <c r="H290" s="415" t="s">
        <v>99</v>
      </c>
      <c r="I290" s="415"/>
      <c r="J290" s="415"/>
      <c r="K290" s="427"/>
      <c r="L290" s="427"/>
      <c r="M290" s="427"/>
      <c r="N290" s="427"/>
      <c r="O290" s="427"/>
      <c r="P290" s="427"/>
      <c r="Q290" s="427"/>
      <c r="R290" s="427"/>
      <c r="S290" s="427"/>
      <c r="T290" s="427"/>
      <c r="U290" s="427"/>
      <c r="V290" s="427"/>
      <c r="W290" s="427"/>
      <c r="X290" s="419"/>
    </row>
    <row r="291" spans="1:24" s="420" customFormat="1" ht="15.75" x14ac:dyDescent="0.25">
      <c r="A291" s="507"/>
      <c r="B291" s="427"/>
      <c r="C291" s="417"/>
      <c r="D291" s="417"/>
      <c r="E291" s="417"/>
      <c r="F291" s="417"/>
      <c r="G291" s="417"/>
      <c r="H291" s="417"/>
      <c r="I291" s="417"/>
      <c r="J291" s="417"/>
      <c r="K291" s="427"/>
      <c r="L291" s="427"/>
      <c r="M291" s="427"/>
      <c r="N291" s="427"/>
      <c r="O291" s="427"/>
      <c r="P291" s="427"/>
      <c r="Q291" s="427"/>
      <c r="R291" s="427"/>
      <c r="S291" s="427"/>
      <c r="T291" s="427"/>
      <c r="U291" s="427"/>
      <c r="V291" s="427"/>
      <c r="W291" s="427"/>
      <c r="X291" s="419"/>
    </row>
    <row r="292" spans="1:24" s="420" customFormat="1" ht="15.75" x14ac:dyDescent="0.25">
      <c r="A292" s="507"/>
      <c r="B292" s="415" t="s">
        <v>319</v>
      </c>
      <c r="C292" s="415"/>
      <c r="D292" s="415"/>
      <c r="E292" s="415"/>
      <c r="F292" s="508" t="s">
        <v>266</v>
      </c>
      <c r="G292" s="415"/>
      <c r="H292" s="415" t="s">
        <v>267</v>
      </c>
      <c r="I292" s="415"/>
      <c r="J292" s="415"/>
      <c r="K292" s="427"/>
      <c r="L292" s="427"/>
      <c r="M292" s="427"/>
      <c r="N292" s="427"/>
      <c r="O292" s="427"/>
      <c r="P292" s="427"/>
      <c r="Q292" s="427"/>
      <c r="R292" s="427"/>
      <c r="S292" s="427"/>
      <c r="T292" s="427"/>
      <c r="U292" s="427"/>
      <c r="V292" s="427"/>
      <c r="W292" s="427"/>
      <c r="X292" s="419"/>
    </row>
    <row r="293" spans="1:24" s="420" customFormat="1" ht="15.75" x14ac:dyDescent="0.25">
      <c r="A293" s="507"/>
      <c r="B293" s="415" t="s">
        <v>320</v>
      </c>
      <c r="C293" s="415"/>
      <c r="D293" s="415"/>
      <c r="E293" s="415"/>
      <c r="F293" s="508" t="s">
        <v>147</v>
      </c>
      <c r="G293" s="415"/>
      <c r="H293" s="415" t="s">
        <v>153</v>
      </c>
      <c r="I293" s="415"/>
      <c r="J293" s="415"/>
      <c r="K293" s="427"/>
      <c r="L293" s="427"/>
      <c r="M293" s="427"/>
      <c r="N293" s="427"/>
      <c r="O293" s="427"/>
      <c r="P293" s="427"/>
      <c r="Q293" s="427"/>
      <c r="R293" s="427"/>
      <c r="S293" s="427"/>
      <c r="T293" s="427"/>
      <c r="U293" s="427"/>
      <c r="V293" s="427"/>
      <c r="W293" s="427"/>
      <c r="X293" s="419"/>
    </row>
    <row r="294" spans="1:24" s="420" customFormat="1" ht="15.75" x14ac:dyDescent="0.25">
      <c r="A294" s="507"/>
      <c r="B294" s="415"/>
      <c r="C294" s="415"/>
      <c r="D294" s="415"/>
      <c r="E294" s="415"/>
      <c r="F294" s="415"/>
      <c r="G294" s="509"/>
      <c r="H294" s="427"/>
      <c r="I294" s="427"/>
      <c r="J294" s="427"/>
      <c r="K294" s="427"/>
      <c r="L294" s="427"/>
      <c r="M294" s="427"/>
      <c r="N294" s="427"/>
      <c r="O294" s="427"/>
      <c r="P294" s="427"/>
      <c r="Q294" s="427"/>
      <c r="R294" s="427"/>
      <c r="S294" s="427"/>
      <c r="T294" s="427"/>
      <c r="U294" s="427"/>
      <c r="V294" s="427"/>
      <c r="W294" s="427"/>
      <c r="X294" s="419"/>
    </row>
    <row r="295" spans="1:24" s="420" customFormat="1" ht="15.75" x14ac:dyDescent="0.25">
      <c r="A295" s="507"/>
      <c r="B295" s="415"/>
      <c r="C295" s="415"/>
      <c r="D295" s="415"/>
      <c r="E295" s="415"/>
      <c r="F295" s="415"/>
      <c r="G295" s="509"/>
      <c r="H295" s="427"/>
      <c r="I295" s="427"/>
      <c r="J295" s="427"/>
      <c r="K295" s="427"/>
      <c r="L295" s="427"/>
      <c r="M295" s="427"/>
      <c r="N295" s="427"/>
      <c r="O295" s="427"/>
      <c r="P295" s="427"/>
      <c r="Q295" s="427"/>
      <c r="R295" s="427"/>
      <c r="S295" s="427"/>
      <c r="T295" s="427"/>
      <c r="U295" s="427"/>
      <c r="V295" s="427"/>
      <c r="W295" s="427"/>
      <c r="X295" s="419"/>
    </row>
    <row r="296" spans="1:24" s="420" customFormat="1" ht="19.5" thickBot="1" x14ac:dyDescent="0.35">
      <c r="A296" s="507"/>
      <c r="B296" s="510" t="str">
        <f>B201</f>
        <v>PM15 INVESTOR REPORT QUARTER ENDING AUGUST 2018</v>
      </c>
      <c r="C296" s="415"/>
      <c r="D296" s="415"/>
      <c r="E296" s="415"/>
      <c r="F296" s="415"/>
      <c r="G296" s="509"/>
      <c r="H296" s="427"/>
      <c r="I296" s="427"/>
      <c r="J296" s="427"/>
      <c r="K296" s="427"/>
      <c r="L296" s="427"/>
      <c r="M296" s="427"/>
      <c r="N296" s="427"/>
      <c r="O296" s="427"/>
      <c r="P296" s="427"/>
      <c r="Q296" s="427"/>
      <c r="R296" s="427"/>
      <c r="S296" s="427"/>
      <c r="T296" s="427"/>
      <c r="U296" s="427"/>
      <c r="V296" s="427"/>
      <c r="W296" s="427"/>
      <c r="X296" s="419"/>
    </row>
    <row r="297" spans="1:24" x14ac:dyDescent="0.2">
      <c r="A297" s="100"/>
      <c r="B297" s="100"/>
      <c r="C297" s="100"/>
      <c r="D297" s="100"/>
      <c r="E297" s="100"/>
      <c r="F297" s="100"/>
      <c r="G297" s="100"/>
      <c r="H297" s="100"/>
      <c r="I297" s="100"/>
      <c r="J297" s="100"/>
      <c r="K297" s="100"/>
      <c r="L297" s="100"/>
      <c r="M297" s="100"/>
      <c r="N297" s="100"/>
      <c r="O297" s="100"/>
      <c r="P297" s="100"/>
      <c r="Q297" s="100"/>
      <c r="R297" s="100"/>
      <c r="S297" s="100"/>
      <c r="T297" s="100"/>
      <c r="U297" s="100"/>
      <c r="V297" s="100"/>
      <c r="W297" s="100"/>
    </row>
  </sheetData>
  <hyperlinks>
    <hyperlink ref="I9" r:id="rId1" xr:uid="{00000000-0004-0000-2B00-000000000000}"/>
    <hyperlink ref="P237" r:id="rId2" xr:uid="{00000000-0004-0000-2B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5" max="14" man="1"/>
    <brk id="201" max="14" man="1"/>
  </rowBreaks>
  <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4"/>
  </sheetPr>
  <dimension ref="A1:IV297"/>
  <sheetViews>
    <sheetView showGridLines="0" showOutlineSymbols="0" zoomScale="70" zoomScaleNormal="70" workbookViewId="0"/>
  </sheetViews>
  <sheetFormatPr defaultColWidth="9.6640625" defaultRowHeight="15.75" x14ac:dyDescent="0.25"/>
  <cols>
    <col min="1" max="1" width="4" style="573" customWidth="1"/>
    <col min="2" max="2" width="71.21875" style="573" customWidth="1"/>
    <col min="3" max="3" width="2.21875" style="573" customWidth="1"/>
    <col min="4" max="4" width="19.33203125" style="573" customWidth="1"/>
    <col min="5" max="5" width="2.21875" style="573" customWidth="1"/>
    <col min="6" max="6" width="25.109375" style="573" customWidth="1"/>
    <col min="7" max="7" width="2.21875" style="573" customWidth="1"/>
    <col min="8" max="8" width="16.21875" style="573" customWidth="1"/>
    <col min="9" max="9" width="2.88671875" style="573" customWidth="1"/>
    <col min="10" max="10" width="16.21875" style="573" customWidth="1"/>
    <col min="11" max="11" width="2.21875" style="573" customWidth="1"/>
    <col min="12" max="12" width="17.88671875" style="573" customWidth="1"/>
    <col min="13" max="13" width="2.33203125" style="573" customWidth="1"/>
    <col min="14" max="14" width="14.88671875" style="573" customWidth="1"/>
    <col min="15" max="15" width="2.33203125" style="573" customWidth="1"/>
    <col min="16" max="16" width="15.5546875" style="573" customWidth="1"/>
    <col min="17" max="17" width="2.21875" style="573" customWidth="1"/>
    <col min="18" max="18" width="15.5546875" style="573" customWidth="1"/>
    <col min="19" max="20" width="12.6640625" style="573" customWidth="1"/>
    <col min="21" max="21" width="7.77734375" style="573" customWidth="1"/>
    <col min="22" max="22" width="14.6640625" style="573" customWidth="1"/>
    <col min="23" max="23" width="11.77734375" style="573" customWidth="1"/>
    <col min="24" max="16384" width="9.6640625" style="573"/>
  </cols>
  <sheetData>
    <row r="1" spans="1:24" ht="21" x14ac:dyDescent="0.35">
      <c r="A1" s="569"/>
      <c r="B1" s="570" t="s">
        <v>237</v>
      </c>
      <c r="C1" s="571"/>
      <c r="D1" s="571"/>
      <c r="E1" s="571"/>
      <c r="F1" s="571"/>
      <c r="G1" s="571"/>
      <c r="H1" s="571"/>
      <c r="I1" s="571"/>
      <c r="J1" s="571"/>
      <c r="K1" s="571"/>
      <c r="L1" s="571"/>
      <c r="M1" s="571"/>
      <c r="N1" s="571"/>
      <c r="O1" s="571"/>
      <c r="P1" s="571"/>
      <c r="Q1" s="571"/>
      <c r="R1" s="571"/>
      <c r="S1" s="571"/>
      <c r="T1" s="571"/>
      <c r="U1" s="571"/>
      <c r="V1" s="571"/>
      <c r="W1" s="571"/>
      <c r="X1" s="572"/>
    </row>
    <row r="2" spans="1:24" x14ac:dyDescent="0.25">
      <c r="A2" s="574"/>
      <c r="B2" s="575"/>
      <c r="C2" s="576"/>
      <c r="D2" s="576"/>
      <c r="E2" s="576"/>
      <c r="F2" s="576"/>
      <c r="G2" s="576"/>
      <c r="H2" s="576"/>
      <c r="I2" s="576"/>
      <c r="J2" s="576"/>
      <c r="K2" s="576"/>
      <c r="L2" s="576"/>
      <c r="M2" s="576"/>
      <c r="N2" s="576"/>
      <c r="O2" s="576"/>
      <c r="P2" s="576"/>
      <c r="Q2" s="576"/>
      <c r="R2" s="576"/>
      <c r="S2" s="576"/>
      <c r="T2" s="576"/>
      <c r="U2" s="576"/>
      <c r="V2" s="576"/>
      <c r="W2" s="576"/>
      <c r="X2" s="572"/>
    </row>
    <row r="3" spans="1:24" x14ac:dyDescent="0.25">
      <c r="A3" s="577"/>
      <c r="B3" s="578" t="s">
        <v>238</v>
      </c>
      <c r="C3" s="576"/>
      <c r="D3" s="576"/>
      <c r="E3" s="576"/>
      <c r="F3" s="576"/>
      <c r="G3" s="576"/>
      <c r="H3" s="576"/>
      <c r="I3" s="576"/>
      <c r="J3" s="576"/>
      <c r="K3" s="576"/>
      <c r="L3" s="576"/>
      <c r="M3" s="576"/>
      <c r="N3" s="576"/>
      <c r="O3" s="576"/>
      <c r="P3" s="576"/>
      <c r="Q3" s="576"/>
      <c r="R3" s="576"/>
      <c r="S3" s="576"/>
      <c r="T3" s="576"/>
      <c r="U3" s="576"/>
      <c r="V3" s="576"/>
      <c r="W3" s="576"/>
      <c r="X3" s="572"/>
    </row>
    <row r="4" spans="1:24" x14ac:dyDescent="0.25">
      <c r="A4" s="574"/>
      <c r="B4" s="575"/>
      <c r="C4" s="576"/>
      <c r="D4" s="576"/>
      <c r="E4" s="576"/>
      <c r="F4" s="576"/>
      <c r="G4" s="576"/>
      <c r="H4" s="576"/>
      <c r="I4" s="576"/>
      <c r="J4" s="576"/>
      <c r="K4" s="576"/>
      <c r="L4" s="576"/>
      <c r="M4" s="576"/>
      <c r="N4" s="576"/>
      <c r="O4" s="576"/>
      <c r="P4" s="576"/>
      <c r="Q4" s="576"/>
      <c r="R4" s="576"/>
      <c r="S4" s="576"/>
      <c r="T4" s="576"/>
      <c r="U4" s="576"/>
      <c r="V4" s="576"/>
      <c r="W4" s="576"/>
      <c r="X4" s="572"/>
    </row>
    <row r="5" spans="1:24" x14ac:dyDescent="0.25">
      <c r="A5" s="574"/>
      <c r="B5" s="579" t="s">
        <v>137</v>
      </c>
      <c r="C5" s="576"/>
      <c r="D5" s="576"/>
      <c r="E5" s="576"/>
      <c r="F5" s="576"/>
      <c r="G5" s="576"/>
      <c r="H5" s="576"/>
      <c r="I5" s="576"/>
      <c r="J5" s="576"/>
      <c r="K5" s="576"/>
      <c r="L5" s="576"/>
      <c r="M5" s="576"/>
      <c r="N5" s="576"/>
      <c r="O5" s="576"/>
      <c r="P5" s="576"/>
      <c r="Q5" s="576"/>
      <c r="R5" s="576"/>
      <c r="S5" s="576"/>
      <c r="T5" s="576"/>
      <c r="U5" s="576"/>
      <c r="V5" s="576"/>
      <c r="W5" s="576"/>
      <c r="X5" s="572"/>
    </row>
    <row r="6" spans="1:24" x14ac:dyDescent="0.25">
      <c r="A6" s="574"/>
      <c r="B6" s="579" t="s">
        <v>139</v>
      </c>
      <c r="C6" s="576"/>
      <c r="D6" s="576"/>
      <c r="E6" s="576"/>
      <c r="F6" s="576"/>
      <c r="G6" s="576"/>
      <c r="H6" s="576"/>
      <c r="I6" s="576"/>
      <c r="J6" s="576"/>
      <c r="K6" s="576"/>
      <c r="L6" s="576"/>
      <c r="M6" s="576"/>
      <c r="N6" s="576"/>
      <c r="O6" s="576"/>
      <c r="P6" s="576"/>
      <c r="Q6" s="576"/>
      <c r="R6" s="576"/>
      <c r="S6" s="576"/>
      <c r="T6" s="576"/>
      <c r="U6" s="576"/>
      <c r="V6" s="576"/>
      <c r="W6" s="576"/>
      <c r="X6" s="572"/>
    </row>
    <row r="7" spans="1:24" x14ac:dyDescent="0.25">
      <c r="A7" s="574"/>
      <c r="B7" s="579" t="s">
        <v>138</v>
      </c>
      <c r="C7" s="576"/>
      <c r="D7" s="576"/>
      <c r="E7" s="576"/>
      <c r="F7" s="576"/>
      <c r="G7" s="576"/>
      <c r="H7" s="576"/>
      <c r="I7" s="576"/>
      <c r="J7" s="576"/>
      <c r="K7" s="576"/>
      <c r="L7" s="576"/>
      <c r="M7" s="576"/>
      <c r="N7" s="576"/>
      <c r="O7" s="576"/>
      <c r="P7" s="576"/>
      <c r="Q7" s="576"/>
      <c r="R7" s="576"/>
      <c r="S7" s="576"/>
      <c r="T7" s="576"/>
      <c r="U7" s="576"/>
      <c r="V7" s="576"/>
      <c r="W7" s="576"/>
      <c r="X7" s="572"/>
    </row>
    <row r="8" spans="1:24" x14ac:dyDescent="0.25">
      <c r="A8" s="574"/>
      <c r="B8" s="580"/>
      <c r="C8" s="576"/>
      <c r="D8" s="576"/>
      <c r="E8" s="576"/>
      <c r="F8" s="576"/>
      <c r="G8" s="576"/>
      <c r="H8" s="576"/>
      <c r="I8" s="576"/>
      <c r="J8" s="576"/>
      <c r="K8" s="576"/>
      <c r="L8" s="576"/>
      <c r="M8" s="576"/>
      <c r="N8" s="576"/>
      <c r="O8" s="576"/>
      <c r="P8" s="576"/>
      <c r="Q8" s="576"/>
      <c r="R8" s="576"/>
      <c r="S8" s="576"/>
      <c r="T8" s="576"/>
      <c r="U8" s="576"/>
      <c r="V8" s="576"/>
      <c r="W8" s="576"/>
      <c r="X8" s="572"/>
    </row>
    <row r="9" spans="1:24" ht="18.75" x14ac:dyDescent="0.3">
      <c r="A9" s="574"/>
      <c r="B9" s="581" t="s">
        <v>166</v>
      </c>
      <c r="C9" s="576"/>
      <c r="D9" s="576"/>
      <c r="E9" s="576"/>
      <c r="F9" s="576"/>
      <c r="G9" s="576"/>
      <c r="H9" s="576"/>
      <c r="I9" s="513" t="s">
        <v>341</v>
      </c>
      <c r="J9" s="576"/>
      <c r="K9" s="576"/>
      <c r="L9" s="582"/>
      <c r="M9" s="576"/>
      <c r="N9" s="582"/>
      <c r="O9" s="576"/>
      <c r="P9" s="576"/>
      <c r="Q9" s="576"/>
      <c r="R9" s="576"/>
      <c r="S9" s="576"/>
      <c r="T9" s="576"/>
      <c r="U9" s="576"/>
      <c r="V9" s="576"/>
      <c r="W9" s="576"/>
      <c r="X9" s="572"/>
    </row>
    <row r="10" spans="1:24" x14ac:dyDescent="0.25">
      <c r="A10" s="574"/>
      <c r="B10" s="580"/>
      <c r="C10" s="583"/>
      <c r="D10" s="583"/>
      <c r="E10" s="583"/>
      <c r="F10" s="576"/>
      <c r="G10" s="576"/>
      <c r="H10" s="576"/>
      <c r="I10" s="576"/>
      <c r="J10" s="576"/>
      <c r="K10" s="576"/>
      <c r="L10" s="576"/>
      <c r="M10" s="576"/>
      <c r="N10" s="576"/>
      <c r="O10" s="576"/>
      <c r="P10" s="576"/>
      <c r="Q10" s="576"/>
      <c r="R10" s="576"/>
      <c r="S10" s="576"/>
      <c r="T10" s="576"/>
      <c r="U10" s="576"/>
      <c r="V10" s="576"/>
      <c r="W10" s="576"/>
      <c r="X10" s="572"/>
    </row>
    <row r="11" spans="1:24" x14ac:dyDescent="0.25">
      <c r="A11" s="574"/>
      <c r="B11" s="584" t="s">
        <v>0</v>
      </c>
      <c r="C11" s="576"/>
      <c r="D11" s="576"/>
      <c r="E11" s="576"/>
      <c r="F11" s="576"/>
      <c r="G11" s="576"/>
      <c r="H11" s="576"/>
      <c r="I11" s="576"/>
      <c r="J11" s="576"/>
      <c r="K11" s="576"/>
      <c r="L11" s="576"/>
      <c r="M11" s="576"/>
      <c r="N11" s="576"/>
      <c r="O11" s="576"/>
      <c r="P11" s="576"/>
      <c r="Q11" s="576"/>
      <c r="R11" s="576"/>
      <c r="S11" s="576"/>
      <c r="T11" s="576"/>
      <c r="U11" s="576"/>
      <c r="V11" s="576"/>
      <c r="W11" s="576"/>
      <c r="X11" s="572"/>
    </row>
    <row r="12" spans="1:24" ht="16.5" thickBot="1" x14ac:dyDescent="0.3">
      <c r="A12" s="574"/>
      <c r="B12" s="583"/>
      <c r="C12" s="576"/>
      <c r="D12" s="576"/>
      <c r="E12" s="576"/>
      <c r="F12" s="576"/>
      <c r="G12" s="576"/>
      <c r="H12" s="576"/>
      <c r="I12" s="576"/>
      <c r="J12" s="576"/>
      <c r="K12" s="576"/>
      <c r="L12" s="576"/>
      <c r="M12" s="576"/>
      <c r="N12" s="576"/>
      <c r="O12" s="576"/>
      <c r="P12" s="576"/>
      <c r="Q12" s="576"/>
      <c r="R12" s="576"/>
      <c r="S12" s="576"/>
      <c r="T12" s="576"/>
      <c r="U12" s="576"/>
      <c r="V12" s="576"/>
      <c r="W12" s="576"/>
      <c r="X12" s="572"/>
    </row>
    <row r="13" spans="1:24" x14ac:dyDescent="0.25">
      <c r="A13" s="569"/>
      <c r="B13" s="571"/>
      <c r="C13" s="571"/>
      <c r="D13" s="571"/>
      <c r="E13" s="571"/>
      <c r="F13" s="571"/>
      <c r="G13" s="571"/>
      <c r="H13" s="571"/>
      <c r="I13" s="571"/>
      <c r="J13" s="571"/>
      <c r="K13" s="571"/>
      <c r="L13" s="571"/>
      <c r="M13" s="571"/>
      <c r="N13" s="571"/>
      <c r="O13" s="571"/>
      <c r="P13" s="571"/>
      <c r="Q13" s="571"/>
      <c r="R13" s="571"/>
      <c r="S13" s="571"/>
      <c r="T13" s="571"/>
      <c r="U13" s="571"/>
      <c r="V13" s="571"/>
      <c r="W13" s="571"/>
      <c r="X13" s="572"/>
    </row>
    <row r="14" spans="1:24" s="589" customFormat="1" x14ac:dyDescent="0.25">
      <c r="A14" s="585"/>
      <c r="B14" s="584" t="s">
        <v>1</v>
      </c>
      <c r="C14" s="586"/>
      <c r="D14" s="586"/>
      <c r="E14" s="586"/>
      <c r="F14" s="586"/>
      <c r="G14" s="586"/>
      <c r="H14" s="586"/>
      <c r="I14" s="586"/>
      <c r="J14" s="586"/>
      <c r="K14" s="586"/>
      <c r="L14" s="586"/>
      <c r="M14" s="586"/>
      <c r="N14" s="586"/>
      <c r="O14" s="586"/>
      <c r="P14" s="586"/>
      <c r="Q14" s="586"/>
      <c r="R14" s="586"/>
      <c r="S14" s="586"/>
      <c r="T14" s="586"/>
      <c r="U14" s="586"/>
      <c r="V14" s="587" t="s">
        <v>239</v>
      </c>
      <c r="W14" s="586"/>
      <c r="X14" s="588"/>
    </row>
    <row r="15" spans="1:24" s="589" customFormat="1" x14ac:dyDescent="0.25">
      <c r="A15" s="585"/>
      <c r="B15" s="584" t="s">
        <v>2</v>
      </c>
      <c r="C15" s="586"/>
      <c r="D15" s="586"/>
      <c r="E15" s="586"/>
      <c r="F15" s="586"/>
      <c r="G15" s="586"/>
      <c r="H15" s="590"/>
      <c r="I15" s="590"/>
      <c r="J15" s="590"/>
      <c r="K15" s="590"/>
      <c r="L15" s="590"/>
      <c r="M15" s="590"/>
      <c r="N15" s="590"/>
      <c r="O15" s="590"/>
      <c r="P15" s="590"/>
      <c r="Q15" s="590"/>
      <c r="R15" s="590" t="s">
        <v>104</v>
      </c>
      <c r="S15" s="591">
        <v>0.47189999999999999</v>
      </c>
      <c r="T15" s="592" t="s">
        <v>140</v>
      </c>
      <c r="U15" s="591">
        <v>0.52810000000000001</v>
      </c>
      <c r="V15" s="587"/>
      <c r="W15" s="586"/>
      <c r="X15" s="588"/>
    </row>
    <row r="16" spans="1:24" s="589" customFormat="1" x14ac:dyDescent="0.25">
      <c r="A16" s="585"/>
      <c r="B16" s="584" t="s">
        <v>3</v>
      </c>
      <c r="C16" s="586"/>
      <c r="D16" s="586"/>
      <c r="E16" s="586"/>
      <c r="F16" s="586"/>
      <c r="G16" s="586"/>
      <c r="H16" s="590"/>
      <c r="I16" s="590"/>
      <c r="J16" s="590"/>
      <c r="K16" s="590"/>
      <c r="L16" s="590"/>
      <c r="M16" s="590"/>
      <c r="N16" s="590"/>
      <c r="O16" s="590"/>
      <c r="P16" s="590"/>
      <c r="Q16" s="590"/>
      <c r="R16" s="590" t="s">
        <v>104</v>
      </c>
      <c r="S16" s="591">
        <v>0.57740000000000002</v>
      </c>
      <c r="T16" s="592" t="s">
        <v>140</v>
      </c>
      <c r="U16" s="591">
        <v>0.42259999999999998</v>
      </c>
      <c r="V16" s="587"/>
      <c r="W16" s="586"/>
      <c r="X16" s="588"/>
    </row>
    <row r="17" spans="1:24" s="589" customFormat="1" x14ac:dyDescent="0.25">
      <c r="A17" s="585"/>
      <c r="B17" s="584" t="s">
        <v>4</v>
      </c>
      <c r="C17" s="586"/>
      <c r="D17" s="586"/>
      <c r="E17" s="586"/>
      <c r="F17" s="586"/>
      <c r="G17" s="586"/>
      <c r="H17" s="586"/>
      <c r="I17" s="586"/>
      <c r="J17" s="586"/>
      <c r="K17" s="586"/>
      <c r="L17" s="586"/>
      <c r="M17" s="586"/>
      <c r="N17" s="586"/>
      <c r="O17" s="586"/>
      <c r="P17" s="586"/>
      <c r="Q17" s="586"/>
      <c r="R17" s="586"/>
      <c r="S17" s="586"/>
      <c r="T17" s="586"/>
      <c r="U17" s="586"/>
      <c r="V17" s="593">
        <v>39282</v>
      </c>
      <c r="W17" s="586"/>
      <c r="X17" s="588"/>
    </row>
    <row r="18" spans="1:24" s="589" customFormat="1" x14ac:dyDescent="0.25">
      <c r="A18" s="585"/>
      <c r="B18" s="584" t="s">
        <v>5</v>
      </c>
      <c r="C18" s="586"/>
      <c r="D18" s="586"/>
      <c r="E18" s="586"/>
      <c r="F18" s="586"/>
      <c r="G18" s="586"/>
      <c r="H18" s="586"/>
      <c r="I18" s="586"/>
      <c r="J18" s="586"/>
      <c r="K18" s="586"/>
      <c r="L18" s="586"/>
      <c r="M18" s="586"/>
      <c r="N18" s="586"/>
      <c r="O18" s="586"/>
      <c r="P18" s="586"/>
      <c r="Q18" s="586"/>
      <c r="R18" s="586"/>
      <c r="S18" s="586"/>
      <c r="T18" s="586"/>
      <c r="U18" s="586"/>
      <c r="V18" s="593">
        <v>43454</v>
      </c>
      <c r="W18" s="586"/>
      <c r="X18" s="588"/>
    </row>
    <row r="19" spans="1:24" s="589" customFormat="1" x14ac:dyDescent="0.25">
      <c r="A19" s="585"/>
      <c r="B19" s="586"/>
      <c r="C19" s="586"/>
      <c r="D19" s="586"/>
      <c r="E19" s="586"/>
      <c r="F19" s="586"/>
      <c r="G19" s="586"/>
      <c r="H19" s="586"/>
      <c r="I19" s="586"/>
      <c r="J19" s="586"/>
      <c r="K19" s="586"/>
      <c r="L19" s="586"/>
      <c r="M19" s="586"/>
      <c r="N19" s="586"/>
      <c r="O19" s="586"/>
      <c r="P19" s="586"/>
      <c r="Q19" s="586"/>
      <c r="R19" s="586"/>
      <c r="S19" s="586"/>
      <c r="T19" s="586"/>
      <c r="U19" s="586"/>
      <c r="V19" s="594"/>
      <c r="W19" s="586"/>
      <c r="X19" s="588"/>
    </row>
    <row r="20" spans="1:24" s="589" customFormat="1" x14ac:dyDescent="0.25">
      <c r="A20" s="585"/>
      <c r="B20" s="595" t="s">
        <v>6</v>
      </c>
      <c r="C20" s="586"/>
      <c r="D20" s="586"/>
      <c r="E20" s="586"/>
      <c r="F20" s="586"/>
      <c r="G20" s="586"/>
      <c r="H20" s="586"/>
      <c r="I20" s="586"/>
      <c r="J20" s="586"/>
      <c r="K20" s="586"/>
      <c r="L20" s="586"/>
      <c r="M20" s="586"/>
      <c r="N20" s="586"/>
      <c r="O20" s="586"/>
      <c r="P20" s="586"/>
      <c r="Q20" s="586"/>
      <c r="R20" s="586"/>
      <c r="S20" s="586"/>
      <c r="T20" s="594" t="s">
        <v>105</v>
      </c>
      <c r="U20" s="586"/>
      <c r="V20" s="586"/>
      <c r="W20" s="586"/>
      <c r="X20" s="588"/>
    </row>
    <row r="21" spans="1:24" x14ac:dyDescent="0.25">
      <c r="A21" s="574"/>
      <c r="B21" s="576"/>
      <c r="C21" s="576"/>
      <c r="D21" s="576"/>
      <c r="E21" s="576"/>
      <c r="F21" s="576"/>
      <c r="G21" s="576"/>
      <c r="H21" s="576"/>
      <c r="I21" s="576"/>
      <c r="J21" s="576"/>
      <c r="K21" s="576"/>
      <c r="L21" s="576"/>
      <c r="M21" s="576"/>
      <c r="N21" s="576"/>
      <c r="O21" s="576"/>
      <c r="P21" s="576"/>
      <c r="Q21" s="576"/>
      <c r="R21" s="576"/>
      <c r="S21" s="576"/>
      <c r="T21" s="576"/>
      <c r="U21" s="576"/>
      <c r="V21" s="596"/>
      <c r="W21" s="576"/>
      <c r="X21" s="572"/>
    </row>
    <row r="22" spans="1:24" x14ac:dyDescent="0.25">
      <c r="A22" s="597"/>
      <c r="B22" s="598"/>
      <c r="C22" s="599"/>
      <c r="D22" s="599" t="s">
        <v>177</v>
      </c>
      <c r="E22" s="599"/>
      <c r="F22" s="599" t="s">
        <v>178</v>
      </c>
      <c r="G22" s="599"/>
      <c r="H22" s="599" t="s">
        <v>179</v>
      </c>
      <c r="I22" s="599"/>
      <c r="J22" s="599" t="s">
        <v>219</v>
      </c>
      <c r="K22" s="599"/>
      <c r="L22" s="599" t="s">
        <v>180</v>
      </c>
      <c r="M22" s="599"/>
      <c r="N22" s="599" t="s">
        <v>181</v>
      </c>
      <c r="O22" s="599"/>
      <c r="P22" s="599" t="s">
        <v>182</v>
      </c>
      <c r="Q22" s="599"/>
      <c r="R22" s="599"/>
      <c r="S22" s="600"/>
      <c r="T22" s="600"/>
      <c r="U22" s="598"/>
      <c r="V22" s="598"/>
      <c r="W22" s="601"/>
      <c r="X22" s="572"/>
    </row>
    <row r="23" spans="1:24" s="589" customFormat="1" x14ac:dyDescent="0.25">
      <c r="A23" s="585"/>
      <c r="B23" s="602" t="s">
        <v>7</v>
      </c>
      <c r="C23" s="603"/>
      <c r="D23" s="603" t="s">
        <v>212</v>
      </c>
      <c r="E23" s="603"/>
      <c r="F23" s="603" t="s">
        <v>141</v>
      </c>
      <c r="G23" s="603"/>
      <c r="H23" s="603" t="s">
        <v>141</v>
      </c>
      <c r="I23" s="603"/>
      <c r="J23" s="603" t="s">
        <v>141</v>
      </c>
      <c r="K23" s="603"/>
      <c r="L23" s="603" t="s">
        <v>183</v>
      </c>
      <c r="M23" s="603"/>
      <c r="N23" s="603" t="s">
        <v>183</v>
      </c>
      <c r="O23" s="603"/>
      <c r="P23" s="603" t="s">
        <v>142</v>
      </c>
      <c r="Q23" s="603"/>
      <c r="R23" s="603"/>
      <c r="S23" s="603"/>
      <c r="T23" s="603"/>
      <c r="U23" s="602"/>
      <c r="V23" s="602"/>
      <c r="W23" s="602"/>
      <c r="X23" s="588"/>
    </row>
    <row r="24" spans="1:24" s="589" customFormat="1" x14ac:dyDescent="0.25">
      <c r="A24" s="604"/>
      <c r="B24" s="605" t="s">
        <v>8</v>
      </c>
      <c r="C24" s="606"/>
      <c r="D24" s="606" t="s">
        <v>213</v>
      </c>
      <c r="E24" s="606"/>
      <c r="F24" s="606" t="s">
        <v>143</v>
      </c>
      <c r="G24" s="606"/>
      <c r="H24" s="606" t="s">
        <v>143</v>
      </c>
      <c r="I24" s="606"/>
      <c r="J24" s="606" t="s">
        <v>143</v>
      </c>
      <c r="K24" s="606"/>
      <c r="L24" s="606" t="s">
        <v>165</v>
      </c>
      <c r="M24" s="606"/>
      <c r="N24" s="606" t="s">
        <v>165</v>
      </c>
      <c r="O24" s="606"/>
      <c r="P24" s="606" t="s">
        <v>144</v>
      </c>
      <c r="Q24" s="606"/>
      <c r="R24" s="606"/>
      <c r="S24" s="606"/>
      <c r="T24" s="606"/>
      <c r="U24" s="605"/>
      <c r="V24" s="605"/>
      <c r="W24" s="607"/>
      <c r="X24" s="588"/>
    </row>
    <row r="25" spans="1:24" s="589" customFormat="1" x14ac:dyDescent="0.25">
      <c r="A25" s="608"/>
      <c r="B25" s="605" t="s">
        <v>190</v>
      </c>
      <c r="C25" s="609"/>
      <c r="D25" s="606" t="s">
        <v>214</v>
      </c>
      <c r="E25" s="606"/>
      <c r="F25" s="606" t="s">
        <v>143</v>
      </c>
      <c r="G25" s="606"/>
      <c r="H25" s="606" t="s">
        <v>143</v>
      </c>
      <c r="I25" s="606"/>
      <c r="J25" s="606" t="s">
        <v>143</v>
      </c>
      <c r="K25" s="606"/>
      <c r="L25" s="606" t="s">
        <v>165</v>
      </c>
      <c r="M25" s="606"/>
      <c r="N25" s="606" t="s">
        <v>165</v>
      </c>
      <c r="O25" s="606"/>
      <c r="P25" s="606" t="s">
        <v>144</v>
      </c>
      <c r="Q25" s="606"/>
      <c r="R25" s="606"/>
      <c r="S25" s="609"/>
      <c r="T25" s="606"/>
      <c r="U25" s="605"/>
      <c r="V25" s="605"/>
      <c r="W25" s="607"/>
      <c r="X25" s="588"/>
    </row>
    <row r="26" spans="1:24" s="589" customFormat="1" x14ac:dyDescent="0.25">
      <c r="A26" s="608"/>
      <c r="B26" s="610" t="s">
        <v>9</v>
      </c>
      <c r="C26" s="609"/>
      <c r="D26" s="609" t="s">
        <v>141</v>
      </c>
      <c r="E26" s="609"/>
      <c r="F26" s="609" t="s">
        <v>141</v>
      </c>
      <c r="G26" s="609"/>
      <c r="H26" s="609" t="s">
        <v>141</v>
      </c>
      <c r="I26" s="609"/>
      <c r="J26" s="609" t="s">
        <v>141</v>
      </c>
      <c r="K26" s="609"/>
      <c r="L26" s="609" t="s">
        <v>183</v>
      </c>
      <c r="M26" s="609"/>
      <c r="N26" s="609" t="s">
        <v>183</v>
      </c>
      <c r="O26" s="609"/>
      <c r="P26" s="609" t="s">
        <v>142</v>
      </c>
      <c r="Q26" s="609"/>
      <c r="R26" s="609"/>
      <c r="S26" s="609"/>
      <c r="T26" s="606"/>
      <c r="U26" s="605"/>
      <c r="V26" s="605"/>
      <c r="W26" s="607"/>
      <c r="X26" s="588"/>
    </row>
    <row r="27" spans="1:24" s="589" customFormat="1" x14ac:dyDescent="0.25">
      <c r="A27" s="604"/>
      <c r="B27" s="610" t="s">
        <v>191</v>
      </c>
      <c r="C27" s="606"/>
      <c r="D27" s="609" t="s">
        <v>143</v>
      </c>
      <c r="E27" s="609"/>
      <c r="F27" s="609" t="s">
        <v>143</v>
      </c>
      <c r="G27" s="609"/>
      <c r="H27" s="609" t="s">
        <v>143</v>
      </c>
      <c r="I27" s="609"/>
      <c r="J27" s="609" t="s">
        <v>143</v>
      </c>
      <c r="K27" s="609"/>
      <c r="L27" s="609" t="s">
        <v>165</v>
      </c>
      <c r="M27" s="609"/>
      <c r="N27" s="609" t="s">
        <v>165</v>
      </c>
      <c r="O27" s="609"/>
      <c r="P27" s="609" t="s">
        <v>330</v>
      </c>
      <c r="Q27" s="609"/>
      <c r="R27" s="609"/>
      <c r="S27" s="606"/>
      <c r="T27" s="611"/>
      <c r="U27" s="605"/>
      <c r="V27" s="605"/>
      <c r="W27" s="607"/>
      <c r="X27" s="588"/>
    </row>
    <row r="28" spans="1:24" s="589" customFormat="1" x14ac:dyDescent="0.25">
      <c r="A28" s="604"/>
      <c r="B28" s="610" t="s">
        <v>192</v>
      </c>
      <c r="C28" s="606"/>
      <c r="D28" s="609" t="s">
        <v>143</v>
      </c>
      <c r="E28" s="609"/>
      <c r="F28" s="609" t="s">
        <v>143</v>
      </c>
      <c r="G28" s="609"/>
      <c r="H28" s="609" t="s">
        <v>143</v>
      </c>
      <c r="I28" s="609"/>
      <c r="J28" s="609" t="s">
        <v>143</v>
      </c>
      <c r="K28" s="609"/>
      <c r="L28" s="609" t="s">
        <v>143</v>
      </c>
      <c r="M28" s="609"/>
      <c r="N28" s="609" t="s">
        <v>143</v>
      </c>
      <c r="O28" s="609"/>
      <c r="P28" s="609" t="s">
        <v>330</v>
      </c>
      <c r="Q28" s="609"/>
      <c r="R28" s="609"/>
      <c r="S28" s="606"/>
      <c r="T28" s="611"/>
      <c r="U28" s="605"/>
      <c r="V28" s="605"/>
      <c r="W28" s="607"/>
      <c r="X28" s="588"/>
    </row>
    <row r="29" spans="1:24" s="589" customFormat="1" x14ac:dyDescent="0.25">
      <c r="A29" s="604"/>
      <c r="B29" s="605" t="s">
        <v>10</v>
      </c>
      <c r="C29" s="612"/>
      <c r="D29" s="606" t="s">
        <v>242</v>
      </c>
      <c r="E29" s="606"/>
      <c r="F29" s="611" t="s">
        <v>244</v>
      </c>
      <c r="G29" s="606"/>
      <c r="H29" s="606" t="s">
        <v>245</v>
      </c>
      <c r="I29" s="606"/>
      <c r="J29" s="606" t="s">
        <v>247</v>
      </c>
      <c r="K29" s="606"/>
      <c r="L29" s="606" t="s">
        <v>248</v>
      </c>
      <c r="M29" s="606"/>
      <c r="N29" s="606" t="s">
        <v>249</v>
      </c>
      <c r="O29" s="606"/>
      <c r="P29" s="606" t="s">
        <v>250</v>
      </c>
      <c r="Q29" s="606"/>
      <c r="R29" s="606"/>
      <c r="S29" s="613"/>
      <c r="T29" s="613"/>
      <c r="U29" s="612"/>
      <c r="V29" s="613"/>
      <c r="W29" s="614"/>
      <c r="X29" s="588"/>
    </row>
    <row r="30" spans="1:24" s="589" customFormat="1" x14ac:dyDescent="0.25">
      <c r="A30" s="604"/>
      <c r="B30" s="605" t="s">
        <v>10</v>
      </c>
      <c r="C30" s="612"/>
      <c r="D30" s="606" t="s">
        <v>243</v>
      </c>
      <c r="E30" s="606"/>
      <c r="F30" s="611" t="s">
        <v>118</v>
      </c>
      <c r="G30" s="606"/>
      <c r="H30" s="606" t="s">
        <v>118</v>
      </c>
      <c r="I30" s="606"/>
      <c r="J30" s="606" t="s">
        <v>246</v>
      </c>
      <c r="K30" s="606"/>
      <c r="L30" s="606" t="s">
        <v>118</v>
      </c>
      <c r="M30" s="606"/>
      <c r="N30" s="606" t="s">
        <v>118</v>
      </c>
      <c r="O30" s="606"/>
      <c r="P30" s="606" t="s">
        <v>118</v>
      </c>
      <c r="Q30" s="606"/>
      <c r="R30" s="606"/>
      <c r="S30" s="613"/>
      <c r="T30" s="613"/>
      <c r="U30" s="612"/>
      <c r="V30" s="613"/>
      <c r="W30" s="614"/>
      <c r="X30" s="588"/>
    </row>
    <row r="31" spans="1:24" s="589" customFormat="1" x14ac:dyDescent="0.25">
      <c r="A31" s="608"/>
      <c r="B31" s="605" t="s">
        <v>133</v>
      </c>
      <c r="C31" s="615"/>
      <c r="D31" s="616">
        <v>1000000</v>
      </c>
      <c r="E31" s="612"/>
      <c r="F31" s="613">
        <v>209500</v>
      </c>
      <c r="G31" s="613"/>
      <c r="H31" s="617">
        <v>110000</v>
      </c>
      <c r="I31" s="617"/>
      <c r="J31" s="616">
        <v>150000</v>
      </c>
      <c r="K31" s="613"/>
      <c r="L31" s="613">
        <v>17000</v>
      </c>
      <c r="M31" s="613"/>
      <c r="N31" s="617">
        <v>85500</v>
      </c>
      <c r="O31" s="613"/>
      <c r="P31" s="617">
        <v>110500</v>
      </c>
      <c r="Q31" s="613"/>
      <c r="R31" s="617"/>
      <c r="S31" s="618"/>
      <c r="T31" s="618"/>
      <c r="U31" s="615"/>
      <c r="V31" s="618"/>
      <c r="W31" s="614"/>
      <c r="X31" s="588"/>
    </row>
    <row r="32" spans="1:24" s="589" customFormat="1" x14ac:dyDescent="0.25">
      <c r="A32" s="604"/>
      <c r="B32" s="605" t="s">
        <v>132</v>
      </c>
      <c r="C32" s="612"/>
      <c r="D32" s="616">
        <f>D31*D38</f>
        <v>531489.19999999995</v>
      </c>
      <c r="E32" s="612"/>
      <c r="F32" s="613">
        <f>F31*F38</f>
        <v>111347.44829999999</v>
      </c>
      <c r="G32" s="613"/>
      <c r="H32" s="617">
        <f>H31*H38</f>
        <v>58465.087999999996</v>
      </c>
      <c r="I32" s="617"/>
      <c r="J32" s="616">
        <f>J31*J38</f>
        <v>79723.38</v>
      </c>
      <c r="K32" s="613"/>
      <c r="L32" s="613">
        <f>L31*L38</f>
        <v>17000</v>
      </c>
      <c r="M32" s="613"/>
      <c r="N32" s="617">
        <f>N31*N38</f>
        <v>85500</v>
      </c>
      <c r="O32" s="613"/>
      <c r="P32" s="617">
        <f>P31*P38</f>
        <v>110500</v>
      </c>
      <c r="Q32" s="613"/>
      <c r="R32" s="617"/>
      <c r="S32" s="613"/>
      <c r="T32" s="613"/>
      <c r="U32" s="612"/>
      <c r="V32" s="613"/>
      <c r="W32" s="614"/>
      <c r="X32" s="588"/>
    </row>
    <row r="33" spans="1:27" s="589" customFormat="1" x14ac:dyDescent="0.25">
      <c r="A33" s="604"/>
      <c r="B33" s="610" t="s">
        <v>134</v>
      </c>
      <c r="C33" s="612"/>
      <c r="D33" s="619">
        <f>D37*D31</f>
        <v>519626.00000000006</v>
      </c>
      <c r="E33" s="615"/>
      <c r="F33" s="618">
        <f>F37*F31</f>
        <v>108862.1079</v>
      </c>
      <c r="G33" s="618"/>
      <c r="H33" s="620">
        <f>H31*H37</f>
        <v>57160.180000000008</v>
      </c>
      <c r="I33" s="620"/>
      <c r="J33" s="619">
        <f>J37*J31</f>
        <v>77943.900000000009</v>
      </c>
      <c r="K33" s="618"/>
      <c r="L33" s="618">
        <f>L31*L37</f>
        <v>17000</v>
      </c>
      <c r="M33" s="618"/>
      <c r="N33" s="620">
        <f>N31*N37</f>
        <v>85500</v>
      </c>
      <c r="O33" s="618"/>
      <c r="P33" s="620">
        <f>P31*P37</f>
        <v>110500</v>
      </c>
      <c r="Q33" s="618"/>
      <c r="R33" s="620"/>
      <c r="S33" s="613"/>
      <c r="T33" s="613"/>
      <c r="U33" s="612"/>
      <c r="V33" s="613"/>
      <c r="W33" s="614"/>
      <c r="X33" s="588"/>
    </row>
    <row r="34" spans="1:27" s="589" customFormat="1" x14ac:dyDescent="0.25">
      <c r="A34" s="608"/>
      <c r="B34" s="605" t="s">
        <v>286</v>
      </c>
      <c r="C34" s="615"/>
      <c r="D34" s="613">
        <v>492951</v>
      </c>
      <c r="E34" s="612"/>
      <c r="F34" s="613">
        <v>209500</v>
      </c>
      <c r="G34" s="613"/>
      <c r="H34" s="613">
        <v>74677</v>
      </c>
      <c r="I34" s="613"/>
      <c r="J34" s="613">
        <v>73943</v>
      </c>
      <c r="K34" s="613"/>
      <c r="L34" s="613">
        <v>17000</v>
      </c>
      <c r="M34" s="613"/>
      <c r="N34" s="613">
        <v>58045</v>
      </c>
      <c r="O34" s="613"/>
      <c r="P34" s="613">
        <v>75017</v>
      </c>
      <c r="Q34" s="613"/>
      <c r="R34" s="613"/>
      <c r="S34" s="618"/>
      <c r="T34" s="618"/>
      <c r="U34" s="615"/>
      <c r="V34" s="613">
        <f>SUM(C34:R34)</f>
        <v>1001133</v>
      </c>
      <c r="W34" s="614"/>
      <c r="X34" s="588"/>
    </row>
    <row r="35" spans="1:27" s="589" customFormat="1" x14ac:dyDescent="0.25">
      <c r="A35" s="608"/>
      <c r="B35" s="605" t="s">
        <v>287</v>
      </c>
      <c r="C35" s="615"/>
      <c r="D35" s="613">
        <f>D34*D38</f>
        <v>261998.1326292</v>
      </c>
      <c r="E35" s="612"/>
      <c r="F35" s="613">
        <f>F34*F38</f>
        <v>111347.44829999999</v>
      </c>
      <c r="G35" s="613"/>
      <c r="H35" s="613">
        <f>H34*H38</f>
        <v>39690.885241600001</v>
      </c>
      <c r="I35" s="613"/>
      <c r="J35" s="613">
        <f>J34*J38</f>
        <v>39299.9059156</v>
      </c>
      <c r="K35" s="613"/>
      <c r="L35" s="613">
        <f>L34*L38</f>
        <v>17000</v>
      </c>
      <c r="M35" s="613"/>
      <c r="N35" s="613">
        <f>N34*N38</f>
        <v>58045</v>
      </c>
      <c r="O35" s="613"/>
      <c r="P35" s="613">
        <f>P34*P38</f>
        <v>75017</v>
      </c>
      <c r="Q35" s="613"/>
      <c r="R35" s="613"/>
      <c r="S35" s="613"/>
      <c r="T35" s="613"/>
      <c r="U35" s="612"/>
      <c r="V35" s="613">
        <f>SUM(C35:R35)</f>
        <v>602398.37208639993</v>
      </c>
      <c r="W35" s="614"/>
      <c r="X35" s="588"/>
    </row>
    <row r="36" spans="1:27" s="589" customFormat="1" x14ac:dyDescent="0.25">
      <c r="A36" s="608"/>
      <c r="B36" s="610" t="s">
        <v>288</v>
      </c>
      <c r="C36" s="615"/>
      <c r="D36" s="618">
        <f>D34*D37</f>
        <v>256150.15632600003</v>
      </c>
      <c r="E36" s="615"/>
      <c r="F36" s="618">
        <f>F34*F37</f>
        <v>108862.1079</v>
      </c>
      <c r="G36" s="618"/>
      <c r="H36" s="618">
        <f>H34*H37</f>
        <v>38805.006926000002</v>
      </c>
      <c r="I36" s="618"/>
      <c r="J36" s="618">
        <f>J34*J37</f>
        <v>38422.705318</v>
      </c>
      <c r="K36" s="618"/>
      <c r="L36" s="618">
        <f>L34*L37</f>
        <v>17000</v>
      </c>
      <c r="M36" s="618"/>
      <c r="N36" s="618">
        <f>N34*N37</f>
        <v>58045</v>
      </c>
      <c r="O36" s="618"/>
      <c r="P36" s="618">
        <f>P34*P37</f>
        <v>75017</v>
      </c>
      <c r="Q36" s="618"/>
      <c r="R36" s="618"/>
      <c r="S36" s="621"/>
      <c r="T36" s="621"/>
      <c r="U36" s="612"/>
      <c r="V36" s="618">
        <f>SUM(C36:R36)</f>
        <v>592301.97647000011</v>
      </c>
      <c r="W36" s="614"/>
      <c r="X36" s="588"/>
    </row>
    <row r="37" spans="1:27" s="629" customFormat="1" x14ac:dyDescent="0.25">
      <c r="A37" s="622"/>
      <c r="B37" s="623" t="s">
        <v>130</v>
      </c>
      <c r="C37" s="624"/>
      <c r="D37" s="625">
        <v>0.51962600000000003</v>
      </c>
      <c r="E37" s="625"/>
      <c r="F37" s="625">
        <v>0.51962819999999998</v>
      </c>
      <c r="G37" s="625"/>
      <c r="H37" s="625">
        <v>0.51963800000000004</v>
      </c>
      <c r="I37" s="625"/>
      <c r="J37" s="625">
        <v>0.51962600000000003</v>
      </c>
      <c r="K37" s="625"/>
      <c r="L37" s="625">
        <v>1</v>
      </c>
      <c r="M37" s="625"/>
      <c r="N37" s="625">
        <v>1</v>
      </c>
      <c r="O37" s="625"/>
      <c r="P37" s="625">
        <v>1</v>
      </c>
      <c r="Q37" s="625"/>
      <c r="R37" s="625"/>
      <c r="S37" s="626"/>
      <c r="T37" s="626"/>
      <c r="U37" s="624"/>
      <c r="V37" s="624"/>
      <c r="W37" s="627"/>
      <c r="X37" s="628"/>
    </row>
    <row r="38" spans="1:27" s="629" customFormat="1" x14ac:dyDescent="0.25">
      <c r="A38" s="622"/>
      <c r="B38" s="623" t="s">
        <v>131</v>
      </c>
      <c r="C38" s="624"/>
      <c r="D38" s="625">
        <v>0.53148919999999999</v>
      </c>
      <c r="E38" s="625"/>
      <c r="F38" s="625">
        <v>0.53149139999999995</v>
      </c>
      <c r="G38" s="625"/>
      <c r="H38" s="625">
        <v>0.5315008</v>
      </c>
      <c r="I38" s="625"/>
      <c r="J38" s="625">
        <v>0.53148919999999999</v>
      </c>
      <c r="K38" s="625"/>
      <c r="L38" s="625">
        <v>1</v>
      </c>
      <c r="M38" s="625"/>
      <c r="N38" s="625">
        <v>1</v>
      </c>
      <c r="O38" s="625"/>
      <c r="P38" s="625">
        <v>1</v>
      </c>
      <c r="Q38" s="625"/>
      <c r="R38" s="625"/>
      <c r="S38" s="630"/>
      <c r="T38" s="631"/>
      <c r="U38" s="624"/>
      <c r="V38" s="630"/>
      <c r="W38" s="627"/>
      <c r="X38" s="628"/>
    </row>
    <row r="39" spans="1:27" s="629" customFormat="1" x14ac:dyDescent="0.25">
      <c r="A39" s="622"/>
      <c r="B39" s="624" t="s">
        <v>11</v>
      </c>
      <c r="C39" s="624"/>
      <c r="D39" s="626" t="s">
        <v>304</v>
      </c>
      <c r="E39" s="624"/>
      <c r="F39" s="626" t="s">
        <v>256</v>
      </c>
      <c r="G39" s="626"/>
      <c r="H39" s="626" t="s">
        <v>257</v>
      </c>
      <c r="I39" s="626"/>
      <c r="J39" s="626" t="s">
        <v>258</v>
      </c>
      <c r="K39" s="626"/>
      <c r="L39" s="626" t="s">
        <v>259</v>
      </c>
      <c r="M39" s="626"/>
      <c r="N39" s="626" t="s">
        <v>259</v>
      </c>
      <c r="O39" s="626"/>
      <c r="P39" s="626" t="s">
        <v>260</v>
      </c>
      <c r="Q39" s="626"/>
      <c r="R39" s="626"/>
      <c r="S39" s="630"/>
      <c r="T39" s="631"/>
      <c r="U39" s="624"/>
      <c r="V39" s="624"/>
      <c r="W39" s="627"/>
      <c r="X39" s="628"/>
    </row>
    <row r="40" spans="1:27" s="589" customFormat="1" x14ac:dyDescent="0.25">
      <c r="A40" s="604"/>
      <c r="B40" s="605" t="s">
        <v>12</v>
      </c>
      <c r="C40" s="605"/>
      <c r="D40" s="632">
        <v>2.4865000000000002E-2</v>
      </c>
      <c r="E40" s="605"/>
      <c r="F40" s="632">
        <v>1.05731E-2</v>
      </c>
      <c r="G40" s="633"/>
      <c r="H40" s="632">
        <v>0</v>
      </c>
      <c r="I40" s="632"/>
      <c r="J40" s="632">
        <v>2.5541299999999999E-2</v>
      </c>
      <c r="K40" s="633"/>
      <c r="L40" s="632">
        <v>1.3373100000000001E-2</v>
      </c>
      <c r="M40" s="633"/>
      <c r="N40" s="632">
        <v>2.2100000000000002E-3</v>
      </c>
      <c r="O40" s="633"/>
      <c r="P40" s="632">
        <v>7.8100000000000001E-3</v>
      </c>
      <c r="Q40" s="633"/>
      <c r="R40" s="632"/>
      <c r="S40" s="633"/>
      <c r="T40" s="632"/>
      <c r="U40" s="605"/>
      <c r="V40" s="611"/>
      <c r="W40" s="607"/>
      <c r="X40" s="588"/>
      <c r="AA40" s="589" t="s">
        <v>193</v>
      </c>
    </row>
    <row r="41" spans="1:27" s="589" customFormat="1" x14ac:dyDescent="0.25">
      <c r="A41" s="604"/>
      <c r="B41" s="605" t="s">
        <v>13</v>
      </c>
      <c r="C41" s="605"/>
      <c r="D41" s="632">
        <v>2.24269E-2</v>
      </c>
      <c r="E41" s="605"/>
      <c r="F41" s="632">
        <v>8.9075000000000005E-3</v>
      </c>
      <c r="G41" s="633"/>
      <c r="H41" s="632">
        <v>0</v>
      </c>
      <c r="I41" s="632"/>
      <c r="J41" s="632">
        <v>2.5606299999999999E-2</v>
      </c>
      <c r="K41" s="633"/>
      <c r="L41" s="632">
        <v>1.1707499999999999E-2</v>
      </c>
      <c r="M41" s="633"/>
      <c r="N41" s="632">
        <v>2.1900000000000001E-3</v>
      </c>
      <c r="O41" s="633"/>
      <c r="P41" s="632">
        <v>7.79E-3</v>
      </c>
      <c r="Q41" s="633"/>
      <c r="R41" s="632"/>
      <c r="S41" s="633"/>
      <c r="T41" s="632"/>
      <c r="U41" s="605"/>
      <c r="V41" s="633" t="s">
        <v>193</v>
      </c>
      <c r="W41" s="607"/>
      <c r="X41" s="588"/>
    </row>
    <row r="42" spans="1:27" s="589" customFormat="1" x14ac:dyDescent="0.25">
      <c r="A42" s="604"/>
      <c r="B42" s="605" t="s">
        <v>289</v>
      </c>
      <c r="C42" s="605"/>
      <c r="D42" s="611" t="s">
        <v>311</v>
      </c>
      <c r="E42" s="605"/>
      <c r="F42" s="611" t="s">
        <v>256</v>
      </c>
      <c r="G42" s="611"/>
      <c r="H42" s="611" t="s">
        <v>261</v>
      </c>
      <c r="I42" s="611"/>
      <c r="J42" s="611" t="s">
        <v>261</v>
      </c>
      <c r="K42" s="611"/>
      <c r="L42" s="611" t="s">
        <v>259</v>
      </c>
      <c r="M42" s="611"/>
      <c r="N42" s="611" t="s">
        <v>263</v>
      </c>
      <c r="O42" s="611"/>
      <c r="P42" s="611" t="s">
        <v>264</v>
      </c>
      <c r="Q42" s="611"/>
      <c r="R42" s="611"/>
      <c r="S42" s="633"/>
      <c r="T42" s="632"/>
      <c r="U42" s="605"/>
      <c r="V42" s="605"/>
      <c r="W42" s="607"/>
      <c r="X42" s="588"/>
    </row>
    <row r="43" spans="1:27" s="589" customFormat="1" x14ac:dyDescent="0.25">
      <c r="A43" s="604"/>
      <c r="B43" s="605" t="s">
        <v>290</v>
      </c>
      <c r="C43" s="634"/>
      <c r="D43" s="632">
        <v>9.9699999999999997E-3</v>
      </c>
      <c r="E43" s="632"/>
      <c r="F43" s="632">
        <f>+F40</f>
        <v>1.05731E-2</v>
      </c>
      <c r="G43" s="632"/>
      <c r="H43" s="632">
        <v>1.0723099999999999E-2</v>
      </c>
      <c r="I43" s="632"/>
      <c r="J43" s="632">
        <v>1.07531E-2</v>
      </c>
      <c r="K43" s="632"/>
      <c r="L43" s="632">
        <f>+L40</f>
        <v>1.3373100000000001E-2</v>
      </c>
      <c r="M43" s="632"/>
      <c r="N43" s="632">
        <v>1.4107099999999999E-2</v>
      </c>
      <c r="O43" s="632"/>
      <c r="P43" s="632">
        <v>2.02671E-2</v>
      </c>
      <c r="Q43" s="633"/>
      <c r="R43" s="632"/>
      <c r="S43" s="611"/>
      <c r="T43" s="611"/>
      <c r="U43" s="605"/>
      <c r="V43" s="633">
        <f>SUMPRODUCT(D43:R43,D35:R35)/V35</f>
        <v>1.1959163456928835E-2</v>
      </c>
      <c r="W43" s="607"/>
      <c r="X43" s="588"/>
    </row>
    <row r="44" spans="1:27" s="589" customFormat="1" x14ac:dyDescent="0.25">
      <c r="A44" s="604"/>
      <c r="B44" s="605" t="s">
        <v>291</v>
      </c>
      <c r="C44" s="634"/>
      <c r="D44" s="632">
        <v>8.3044E-3</v>
      </c>
      <c r="E44" s="632"/>
      <c r="F44" s="632">
        <f>+F41</f>
        <v>8.9075000000000005E-3</v>
      </c>
      <c r="G44" s="632"/>
      <c r="H44" s="632">
        <v>9.0574999999999996E-3</v>
      </c>
      <c r="I44" s="632"/>
      <c r="J44" s="632">
        <v>9.0875000000000001E-3</v>
      </c>
      <c r="K44" s="632"/>
      <c r="L44" s="632">
        <f>+L41</f>
        <v>1.1707499999999999E-2</v>
      </c>
      <c r="M44" s="632"/>
      <c r="N44" s="632">
        <v>1.2441499999999999E-2</v>
      </c>
      <c r="O44" s="632"/>
      <c r="P44" s="632">
        <v>1.86015E-2</v>
      </c>
      <c r="Q44" s="633"/>
      <c r="R44" s="632"/>
      <c r="S44" s="611"/>
      <c r="T44" s="611"/>
      <c r="U44" s="605"/>
      <c r="V44" s="605"/>
      <c r="W44" s="607"/>
      <c r="X44" s="588"/>
    </row>
    <row r="45" spans="1:27" s="589" customFormat="1" x14ac:dyDescent="0.25">
      <c r="A45" s="604"/>
      <c r="B45" s="605" t="s">
        <v>14</v>
      </c>
      <c r="C45" s="605"/>
      <c r="D45" s="634">
        <v>40709</v>
      </c>
      <c r="E45" s="634"/>
      <c r="F45" s="634">
        <v>40709</v>
      </c>
      <c r="G45" s="634"/>
      <c r="H45" s="634">
        <v>40709</v>
      </c>
      <c r="I45" s="634"/>
      <c r="J45" s="634">
        <v>40709</v>
      </c>
      <c r="K45" s="634"/>
      <c r="L45" s="634">
        <v>40709</v>
      </c>
      <c r="M45" s="634"/>
      <c r="N45" s="634">
        <v>40709</v>
      </c>
      <c r="O45" s="634"/>
      <c r="P45" s="634">
        <v>40709</v>
      </c>
      <c r="Q45" s="634"/>
      <c r="R45" s="634"/>
      <c r="S45" s="611"/>
      <c r="T45" s="611"/>
      <c r="U45" s="605"/>
      <c r="V45" s="605"/>
      <c r="W45" s="607"/>
      <c r="X45" s="588"/>
    </row>
    <row r="46" spans="1:27" s="589" customFormat="1" x14ac:dyDescent="0.25">
      <c r="A46" s="604"/>
      <c r="B46" s="605" t="s">
        <v>15</v>
      </c>
      <c r="C46" s="605"/>
      <c r="D46" s="634">
        <v>41075</v>
      </c>
      <c r="E46" s="634"/>
      <c r="F46" s="634">
        <v>41075</v>
      </c>
      <c r="G46" s="634"/>
      <c r="H46" s="634">
        <v>41075</v>
      </c>
      <c r="I46" s="634"/>
      <c r="J46" s="634">
        <v>41075</v>
      </c>
      <c r="K46" s="611"/>
      <c r="L46" s="634">
        <v>41075</v>
      </c>
      <c r="M46" s="611"/>
      <c r="N46" s="634">
        <v>41075</v>
      </c>
      <c r="O46" s="611"/>
      <c r="P46" s="634">
        <v>41075</v>
      </c>
      <c r="Q46" s="611"/>
      <c r="R46" s="634"/>
      <c r="S46" s="611"/>
      <c r="T46" s="611"/>
      <c r="U46" s="605"/>
      <c r="V46" s="605"/>
      <c r="W46" s="607"/>
      <c r="X46" s="588"/>
    </row>
    <row r="47" spans="1:27" s="589" customFormat="1" x14ac:dyDescent="0.25">
      <c r="A47" s="604"/>
      <c r="B47" s="605" t="s">
        <v>119</v>
      </c>
      <c r="C47" s="605"/>
      <c r="D47" s="611" t="s">
        <v>304</v>
      </c>
      <c r="E47" s="605"/>
      <c r="F47" s="611" t="s">
        <v>256</v>
      </c>
      <c r="G47" s="611"/>
      <c r="H47" s="611" t="s">
        <v>257</v>
      </c>
      <c r="I47" s="611"/>
      <c r="J47" s="611" t="s">
        <v>258</v>
      </c>
      <c r="K47" s="611"/>
      <c r="L47" s="611" t="s">
        <v>259</v>
      </c>
      <c r="M47" s="611"/>
      <c r="N47" s="611" t="s">
        <v>259</v>
      </c>
      <c r="O47" s="611"/>
      <c r="P47" s="611" t="s">
        <v>260</v>
      </c>
      <c r="Q47" s="611"/>
      <c r="R47" s="611"/>
      <c r="S47" s="635"/>
      <c r="T47" s="635"/>
      <c r="U47" s="635"/>
      <c r="V47" s="635"/>
      <c r="W47" s="607"/>
      <c r="X47" s="588"/>
    </row>
    <row r="48" spans="1:27" s="589" customFormat="1" x14ac:dyDescent="0.25">
      <c r="A48" s="604"/>
      <c r="B48" s="605" t="s">
        <v>292</v>
      </c>
      <c r="C48" s="605"/>
      <c r="D48" s="611" t="s">
        <v>311</v>
      </c>
      <c r="E48" s="605"/>
      <c r="F48" s="611" t="s">
        <v>256</v>
      </c>
      <c r="G48" s="611"/>
      <c r="H48" s="611" t="s">
        <v>261</v>
      </c>
      <c r="I48" s="611"/>
      <c r="J48" s="611" t="s">
        <v>261</v>
      </c>
      <c r="K48" s="611"/>
      <c r="L48" s="611" t="s">
        <v>259</v>
      </c>
      <c r="M48" s="611"/>
      <c r="N48" s="611" t="s">
        <v>263</v>
      </c>
      <c r="O48" s="611"/>
      <c r="P48" s="611" t="s">
        <v>264</v>
      </c>
      <c r="Q48" s="611"/>
      <c r="R48" s="611"/>
      <c r="S48" s="605"/>
      <c r="T48" s="605"/>
      <c r="U48" s="605"/>
      <c r="V48" s="633"/>
      <c r="W48" s="607"/>
      <c r="X48" s="588"/>
    </row>
    <row r="49" spans="1:25" s="589" customFormat="1" x14ac:dyDescent="0.25">
      <c r="A49" s="604"/>
      <c r="B49" s="605"/>
      <c r="C49" s="605"/>
      <c r="D49" s="611"/>
      <c r="E49" s="605"/>
      <c r="F49" s="611"/>
      <c r="G49" s="611"/>
      <c r="H49" s="611"/>
      <c r="I49" s="611"/>
      <c r="J49" s="611"/>
      <c r="K49" s="611"/>
      <c r="L49" s="611"/>
      <c r="M49" s="611"/>
      <c r="N49" s="611"/>
      <c r="O49" s="611"/>
      <c r="P49" s="611"/>
      <c r="Q49" s="611"/>
      <c r="R49" s="611"/>
      <c r="S49" s="605"/>
      <c r="T49" s="605"/>
      <c r="U49" s="605"/>
      <c r="V49" s="633" t="s">
        <v>193</v>
      </c>
      <c r="W49" s="607"/>
      <c r="X49" s="588"/>
    </row>
    <row r="50" spans="1:25" s="589" customFormat="1" x14ac:dyDescent="0.25">
      <c r="A50" s="604"/>
      <c r="B50" s="605" t="s">
        <v>169</v>
      </c>
      <c r="C50" s="605"/>
      <c r="D50" s="611"/>
      <c r="E50" s="605"/>
      <c r="F50" s="611"/>
      <c r="G50" s="611"/>
      <c r="H50" s="611"/>
      <c r="I50" s="611"/>
      <c r="J50" s="611"/>
      <c r="K50" s="611"/>
      <c r="L50" s="611"/>
      <c r="M50" s="611"/>
      <c r="N50" s="611"/>
      <c r="O50" s="611"/>
      <c r="P50" s="611"/>
      <c r="Q50" s="611"/>
      <c r="R50" s="611"/>
      <c r="S50" s="605"/>
      <c r="T50" s="605"/>
      <c r="U50" s="605"/>
      <c r="V50" s="633">
        <f>SUM(L34:R34)/SUM(D34:J34)</f>
        <v>0.17632136449250416</v>
      </c>
      <c r="W50" s="607"/>
      <c r="X50" s="588"/>
    </row>
    <row r="51" spans="1:25" s="589" customFormat="1" x14ac:dyDescent="0.25">
      <c r="A51" s="604"/>
      <c r="B51" s="605" t="s">
        <v>170</v>
      </c>
      <c r="C51" s="605"/>
      <c r="D51" s="605"/>
      <c r="E51" s="605"/>
      <c r="F51" s="636"/>
      <c r="G51" s="605"/>
      <c r="H51" s="605"/>
      <c r="I51" s="605"/>
      <c r="J51" s="605"/>
      <c r="K51" s="605"/>
      <c r="L51" s="605"/>
      <c r="M51" s="605"/>
      <c r="N51" s="605"/>
      <c r="O51" s="605"/>
      <c r="P51" s="605"/>
      <c r="Q51" s="605"/>
      <c r="R51" s="605"/>
      <c r="S51" s="605"/>
      <c r="T51" s="605"/>
      <c r="U51" s="605"/>
      <c r="V51" s="633">
        <f>SUM(L36:R36)/SUM(D36:J36)</f>
        <v>0.33932255785152804</v>
      </c>
      <c r="W51" s="607"/>
      <c r="X51" s="588"/>
    </row>
    <row r="52" spans="1:25" s="589" customFormat="1" x14ac:dyDescent="0.25">
      <c r="A52" s="604"/>
      <c r="B52" s="605" t="s">
        <v>171</v>
      </c>
      <c r="C52" s="605"/>
      <c r="D52" s="605"/>
      <c r="E52" s="605"/>
      <c r="F52" s="605"/>
      <c r="G52" s="605"/>
      <c r="H52" s="605"/>
      <c r="I52" s="605"/>
      <c r="J52" s="605"/>
      <c r="K52" s="605"/>
      <c r="L52" s="605"/>
      <c r="M52" s="605"/>
      <c r="N52" s="605"/>
      <c r="O52" s="605"/>
      <c r="P52" s="605"/>
      <c r="Q52" s="605"/>
      <c r="R52" s="605"/>
      <c r="S52" s="605"/>
      <c r="T52" s="611"/>
      <c r="U52" s="611"/>
      <c r="V52" s="613" t="s">
        <v>268</v>
      </c>
      <c r="W52" s="607"/>
      <c r="X52" s="588"/>
    </row>
    <row r="53" spans="1:25" s="589" customFormat="1" x14ac:dyDescent="0.25">
      <c r="A53" s="604"/>
      <c r="B53" s="605"/>
      <c r="C53" s="605"/>
      <c r="D53" s="605"/>
      <c r="E53" s="605"/>
      <c r="F53" s="605"/>
      <c r="G53" s="605"/>
      <c r="H53" s="605"/>
      <c r="I53" s="605"/>
      <c r="J53" s="605"/>
      <c r="K53" s="605"/>
      <c r="L53" s="605"/>
      <c r="M53" s="605"/>
      <c r="N53" s="605"/>
      <c r="O53" s="605"/>
      <c r="P53" s="605"/>
      <c r="Q53" s="605"/>
      <c r="R53" s="605"/>
      <c r="S53" s="605"/>
      <c r="T53" s="605"/>
      <c r="U53" s="605"/>
      <c r="V53" s="637"/>
      <c r="W53" s="607"/>
      <c r="X53" s="588"/>
    </row>
    <row r="54" spans="1:25" s="589" customFormat="1" x14ac:dyDescent="0.25">
      <c r="A54" s="604"/>
      <c r="B54" s="605" t="s">
        <v>202</v>
      </c>
      <c r="C54" s="605"/>
      <c r="D54" s="605"/>
      <c r="E54" s="605"/>
      <c r="F54" s="605"/>
      <c r="G54" s="605"/>
      <c r="H54" s="605"/>
      <c r="I54" s="605"/>
      <c r="J54" s="605"/>
      <c r="K54" s="605"/>
      <c r="L54" s="605"/>
      <c r="M54" s="605"/>
      <c r="N54" s="605"/>
      <c r="O54" s="605"/>
      <c r="P54" s="605"/>
      <c r="Q54" s="605"/>
      <c r="R54" s="605"/>
      <c r="S54" s="605"/>
      <c r="T54" s="605"/>
      <c r="U54" s="605"/>
      <c r="V54" s="621" t="s">
        <v>203</v>
      </c>
      <c r="W54" s="607"/>
      <c r="X54" s="588"/>
    </row>
    <row r="55" spans="1:25" s="589" customFormat="1" x14ac:dyDescent="0.25">
      <c r="A55" s="604"/>
      <c r="B55" s="605" t="s">
        <v>270</v>
      </c>
      <c r="C55" s="605"/>
      <c r="D55" s="605"/>
      <c r="E55" s="605"/>
      <c r="F55" s="605"/>
      <c r="G55" s="605"/>
      <c r="H55" s="605"/>
      <c r="I55" s="605"/>
      <c r="J55" s="605"/>
      <c r="K55" s="605"/>
      <c r="L55" s="605"/>
      <c r="M55" s="605"/>
      <c r="N55" s="605"/>
      <c r="O55" s="605"/>
      <c r="P55" s="605"/>
      <c r="Q55" s="605"/>
      <c r="R55" s="605"/>
      <c r="S55" s="605"/>
      <c r="T55" s="611"/>
      <c r="U55" s="611"/>
      <c r="V55" s="638" t="s">
        <v>111</v>
      </c>
      <c r="W55" s="607"/>
      <c r="X55" s="588"/>
    </row>
    <row r="56" spans="1:25" s="589" customFormat="1" x14ac:dyDescent="0.25">
      <c r="A56" s="604"/>
      <c r="B56" s="610" t="s">
        <v>201</v>
      </c>
      <c r="C56" s="610"/>
      <c r="D56" s="610"/>
      <c r="E56" s="610"/>
      <c r="F56" s="610"/>
      <c r="G56" s="610"/>
      <c r="H56" s="610"/>
      <c r="I56" s="610"/>
      <c r="J56" s="610"/>
      <c r="K56" s="610"/>
      <c r="L56" s="610"/>
      <c r="M56" s="610"/>
      <c r="N56" s="610"/>
      <c r="O56" s="610"/>
      <c r="P56" s="610"/>
      <c r="Q56" s="610"/>
      <c r="R56" s="610"/>
      <c r="S56" s="610"/>
      <c r="T56" s="639"/>
      <c r="U56" s="639"/>
      <c r="V56" s="640">
        <v>43451</v>
      </c>
      <c r="W56" s="607"/>
      <c r="X56" s="588"/>
    </row>
    <row r="57" spans="1:25" s="589" customFormat="1" x14ac:dyDescent="0.25">
      <c r="A57" s="604"/>
      <c r="B57" s="605" t="s">
        <v>121</v>
      </c>
      <c r="C57" s="605"/>
      <c r="D57" s="605"/>
      <c r="E57" s="605"/>
      <c r="F57" s="605"/>
      <c r="G57" s="605"/>
      <c r="H57" s="641"/>
      <c r="I57" s="641"/>
      <c r="J57" s="641"/>
      <c r="K57" s="641"/>
      <c r="L57" s="641"/>
      <c r="M57" s="641"/>
      <c r="N57" s="641"/>
      <c r="O57" s="641"/>
      <c r="P57" s="641"/>
      <c r="Q57" s="641"/>
      <c r="R57" s="605">
        <f>+V57-T57+1</f>
        <v>94</v>
      </c>
      <c r="S57" s="641"/>
      <c r="T57" s="642">
        <v>43266</v>
      </c>
      <c r="U57" s="643"/>
      <c r="V57" s="642">
        <v>43359</v>
      </c>
      <c r="W57" s="607"/>
      <c r="X57" s="588"/>
    </row>
    <row r="58" spans="1:25" s="589" customFormat="1" x14ac:dyDescent="0.25">
      <c r="A58" s="604"/>
      <c r="B58" s="605" t="s">
        <v>122</v>
      </c>
      <c r="C58" s="605"/>
      <c r="D58" s="605"/>
      <c r="E58" s="605"/>
      <c r="F58" s="605"/>
      <c r="G58" s="605"/>
      <c r="H58" s="605"/>
      <c r="I58" s="605"/>
      <c r="J58" s="605"/>
      <c r="K58" s="605"/>
      <c r="L58" s="605"/>
      <c r="M58" s="605"/>
      <c r="N58" s="605"/>
      <c r="O58" s="605"/>
      <c r="P58" s="605"/>
      <c r="Q58" s="605"/>
      <c r="R58" s="605">
        <f>+V58-T58+1</f>
        <v>91</v>
      </c>
      <c r="S58" s="605"/>
      <c r="T58" s="642">
        <v>43360</v>
      </c>
      <c r="U58" s="643"/>
      <c r="V58" s="642">
        <v>43450</v>
      </c>
      <c r="W58" s="607"/>
      <c r="X58" s="588"/>
    </row>
    <row r="59" spans="1:25" s="589" customFormat="1" x14ac:dyDescent="0.25">
      <c r="A59" s="604"/>
      <c r="B59" s="605" t="s">
        <v>223</v>
      </c>
      <c r="C59" s="605"/>
      <c r="D59" s="605"/>
      <c r="E59" s="605"/>
      <c r="F59" s="605"/>
      <c r="G59" s="605"/>
      <c r="H59" s="605"/>
      <c r="I59" s="605"/>
      <c r="J59" s="605"/>
      <c r="K59" s="605"/>
      <c r="L59" s="605"/>
      <c r="M59" s="605"/>
      <c r="N59" s="605"/>
      <c r="O59" s="605"/>
      <c r="P59" s="605"/>
      <c r="Q59" s="605"/>
      <c r="R59" s="605"/>
      <c r="S59" s="605"/>
      <c r="T59" s="642"/>
      <c r="U59" s="643"/>
      <c r="V59" s="642" t="s">
        <v>120</v>
      </c>
      <c r="W59" s="607"/>
      <c r="X59" s="588"/>
    </row>
    <row r="60" spans="1:25" s="589" customFormat="1" x14ac:dyDescent="0.25">
      <c r="A60" s="604"/>
      <c r="B60" s="605" t="s">
        <v>271</v>
      </c>
      <c r="C60" s="605"/>
      <c r="D60" s="605"/>
      <c r="E60" s="605"/>
      <c r="F60" s="605"/>
      <c r="G60" s="605"/>
      <c r="H60" s="605"/>
      <c r="I60" s="605"/>
      <c r="J60" s="605"/>
      <c r="K60" s="605"/>
      <c r="L60" s="605"/>
      <c r="M60" s="605"/>
      <c r="N60" s="605"/>
      <c r="O60" s="605"/>
      <c r="P60" s="605"/>
      <c r="Q60" s="605"/>
      <c r="R60" s="605"/>
      <c r="S60" s="605"/>
      <c r="T60" s="642"/>
      <c r="U60" s="643"/>
      <c r="V60" s="642" t="s">
        <v>154</v>
      </c>
      <c r="W60" s="607"/>
      <c r="X60" s="588"/>
      <c r="Y60" s="644"/>
    </row>
    <row r="61" spans="1:25" s="589" customFormat="1" x14ac:dyDescent="0.25">
      <c r="A61" s="604"/>
      <c r="B61" s="605" t="s">
        <v>16</v>
      </c>
      <c r="C61" s="605"/>
      <c r="D61" s="605"/>
      <c r="E61" s="605"/>
      <c r="F61" s="605"/>
      <c r="G61" s="605"/>
      <c r="H61" s="605"/>
      <c r="I61" s="605"/>
      <c r="J61" s="605"/>
      <c r="K61" s="605"/>
      <c r="L61" s="605"/>
      <c r="M61" s="605"/>
      <c r="N61" s="605"/>
      <c r="O61" s="605"/>
      <c r="P61" s="605"/>
      <c r="Q61" s="605"/>
      <c r="R61" s="605"/>
      <c r="S61" s="605"/>
      <c r="T61" s="642"/>
      <c r="U61" s="643"/>
      <c r="V61" s="642">
        <v>43437</v>
      </c>
      <c r="W61" s="607"/>
      <c r="X61" s="588"/>
    </row>
    <row r="62" spans="1:25" s="589" customFormat="1" x14ac:dyDescent="0.25">
      <c r="A62" s="585"/>
      <c r="B62" s="602"/>
      <c r="C62" s="602"/>
      <c r="D62" s="602"/>
      <c r="E62" s="602"/>
      <c r="F62" s="602"/>
      <c r="G62" s="602"/>
      <c r="H62" s="602"/>
      <c r="I62" s="602"/>
      <c r="J62" s="602"/>
      <c r="K62" s="602"/>
      <c r="L62" s="602"/>
      <c r="M62" s="602"/>
      <c r="N62" s="602"/>
      <c r="O62" s="602"/>
      <c r="P62" s="602"/>
      <c r="Q62" s="602"/>
      <c r="R62" s="602"/>
      <c r="S62" s="602"/>
      <c r="T62" s="645"/>
      <c r="U62" s="646"/>
      <c r="V62" s="645"/>
      <c r="W62" s="602"/>
      <c r="X62" s="588"/>
    </row>
    <row r="63" spans="1:25" s="589" customFormat="1" x14ac:dyDescent="0.25">
      <c r="A63" s="585"/>
      <c r="B63" s="586"/>
      <c r="C63" s="586"/>
      <c r="D63" s="586"/>
      <c r="E63" s="586"/>
      <c r="F63" s="586"/>
      <c r="G63" s="586"/>
      <c r="H63" s="586"/>
      <c r="I63" s="586"/>
      <c r="J63" s="586"/>
      <c r="K63" s="586"/>
      <c r="L63" s="586"/>
      <c r="M63" s="586"/>
      <c r="N63" s="586"/>
      <c r="O63" s="586"/>
      <c r="P63" s="586"/>
      <c r="Q63" s="586"/>
      <c r="R63" s="586"/>
      <c r="S63" s="586"/>
      <c r="T63" s="647"/>
      <c r="U63" s="648"/>
      <c r="V63" s="647"/>
      <c r="W63" s="586"/>
      <c r="X63" s="588"/>
    </row>
    <row r="64" spans="1:25" s="589" customFormat="1" ht="19.5" thickBot="1" x14ac:dyDescent="0.35">
      <c r="A64" s="649"/>
      <c r="B64" s="568" t="s">
        <v>346</v>
      </c>
      <c r="C64" s="650"/>
      <c r="D64" s="650"/>
      <c r="E64" s="650"/>
      <c r="F64" s="650"/>
      <c r="G64" s="650"/>
      <c r="H64" s="650"/>
      <c r="I64" s="650"/>
      <c r="J64" s="650"/>
      <c r="K64" s="650"/>
      <c r="L64" s="650"/>
      <c r="M64" s="650"/>
      <c r="N64" s="650"/>
      <c r="O64" s="650"/>
      <c r="P64" s="650"/>
      <c r="Q64" s="650"/>
      <c r="R64" s="650"/>
      <c r="S64" s="650"/>
      <c r="T64" s="650"/>
      <c r="U64" s="650"/>
      <c r="V64" s="651"/>
      <c r="W64" s="652"/>
      <c r="X64" s="588"/>
    </row>
    <row r="65" spans="1:24" x14ac:dyDescent="0.25">
      <c r="A65" s="597"/>
      <c r="B65" s="653" t="s">
        <v>17</v>
      </c>
      <c r="C65" s="654"/>
      <c r="D65" s="654"/>
      <c r="E65" s="654"/>
      <c r="F65" s="654"/>
      <c r="G65" s="654"/>
      <c r="H65" s="654"/>
      <c r="I65" s="654"/>
      <c r="J65" s="654"/>
      <c r="K65" s="654"/>
      <c r="L65" s="654"/>
      <c r="M65" s="654"/>
      <c r="N65" s="654"/>
      <c r="O65" s="654"/>
      <c r="P65" s="654"/>
      <c r="Q65" s="654"/>
      <c r="R65" s="654"/>
      <c r="S65" s="654"/>
      <c r="T65" s="654"/>
      <c r="U65" s="654"/>
      <c r="V65" s="655"/>
      <c r="W65" s="654"/>
      <c r="X65" s="572"/>
    </row>
    <row r="66" spans="1:24" x14ac:dyDescent="0.25">
      <c r="A66" s="574"/>
      <c r="B66" s="583"/>
      <c r="C66" s="576"/>
      <c r="D66" s="576"/>
      <c r="E66" s="576"/>
      <c r="F66" s="576"/>
      <c r="G66" s="576"/>
      <c r="H66" s="576"/>
      <c r="I66" s="576"/>
      <c r="J66" s="576"/>
      <c r="K66" s="576"/>
      <c r="L66" s="576"/>
      <c r="M66" s="576"/>
      <c r="N66" s="576"/>
      <c r="O66" s="576"/>
      <c r="P66" s="576"/>
      <c r="Q66" s="576"/>
      <c r="R66" s="576"/>
      <c r="S66" s="576"/>
      <c r="T66" s="576"/>
      <c r="U66" s="576"/>
      <c r="V66" s="656"/>
      <c r="W66" s="576"/>
      <c r="X66" s="572"/>
    </row>
    <row r="67" spans="1:24" s="629" customFormat="1" ht="47.25" x14ac:dyDescent="0.25">
      <c r="A67" s="657"/>
      <c r="B67" s="658" t="s">
        <v>18</v>
      </c>
      <c r="C67" s="659"/>
      <c r="D67" s="659"/>
      <c r="E67" s="659"/>
      <c r="F67" s="659"/>
      <c r="G67" s="659"/>
      <c r="H67" s="659"/>
      <c r="I67" s="659"/>
      <c r="J67" s="659"/>
      <c r="K67" s="659"/>
      <c r="L67" s="659" t="s">
        <v>94</v>
      </c>
      <c r="M67" s="659"/>
      <c r="N67" s="659" t="s">
        <v>96</v>
      </c>
      <c r="O67" s="659"/>
      <c r="P67" s="659" t="s">
        <v>98</v>
      </c>
      <c r="Q67" s="659"/>
      <c r="R67" s="659" t="s">
        <v>100</v>
      </c>
      <c r="S67" s="659"/>
      <c r="T67" s="659" t="s">
        <v>106</v>
      </c>
      <c r="U67" s="659"/>
      <c r="V67" s="660" t="s">
        <v>112</v>
      </c>
      <c r="W67" s="661"/>
      <c r="X67" s="628"/>
    </row>
    <row r="68" spans="1:24" s="589" customFormat="1" x14ac:dyDescent="0.25">
      <c r="A68" s="604"/>
      <c r="B68" s="605" t="s">
        <v>19</v>
      </c>
      <c r="C68" s="662"/>
      <c r="D68" s="662"/>
      <c r="E68" s="662"/>
      <c r="F68" s="662"/>
      <c r="G68" s="662"/>
      <c r="H68" s="662"/>
      <c r="I68" s="662"/>
      <c r="J68" s="662"/>
      <c r="K68" s="662"/>
      <c r="L68" s="662">
        <v>812446</v>
      </c>
      <c r="M68" s="662"/>
      <c r="N68" s="663">
        <v>602398</v>
      </c>
      <c r="O68" s="662"/>
      <c r="P68" s="662">
        <f>10096+58</f>
        <v>10154</v>
      </c>
      <c r="Q68" s="662"/>
      <c r="R68" s="662">
        <v>58</v>
      </c>
      <c r="S68" s="662"/>
      <c r="T68" s="662">
        <v>0</v>
      </c>
      <c r="U68" s="662"/>
      <c r="V68" s="663">
        <f>+N68-P68+R68-T68</f>
        <v>592302</v>
      </c>
      <c r="W68" s="607"/>
      <c r="X68" s="588"/>
    </row>
    <row r="69" spans="1:24" s="589" customFormat="1" x14ac:dyDescent="0.25">
      <c r="A69" s="604"/>
      <c r="B69" s="605" t="s">
        <v>20</v>
      </c>
      <c r="C69" s="662"/>
      <c r="D69" s="662"/>
      <c r="E69" s="662"/>
      <c r="F69" s="662"/>
      <c r="G69" s="662"/>
      <c r="H69" s="662"/>
      <c r="I69" s="662"/>
      <c r="J69" s="662"/>
      <c r="K69" s="662"/>
      <c r="L69" s="662">
        <v>0</v>
      </c>
      <c r="M69" s="662"/>
      <c r="N69" s="663">
        <v>0</v>
      </c>
      <c r="O69" s="662"/>
      <c r="P69" s="662">
        <v>0</v>
      </c>
      <c r="Q69" s="662"/>
      <c r="R69" s="662">
        <v>0</v>
      </c>
      <c r="S69" s="662"/>
      <c r="T69" s="662">
        <v>0</v>
      </c>
      <c r="U69" s="662"/>
      <c r="V69" s="663">
        <f>+L69-P69</f>
        <v>0</v>
      </c>
      <c r="W69" s="607"/>
      <c r="X69" s="588"/>
    </row>
    <row r="70" spans="1:24" s="589" customFormat="1" x14ac:dyDescent="0.25">
      <c r="A70" s="604"/>
      <c r="B70" s="605"/>
      <c r="C70" s="662"/>
      <c r="D70" s="662"/>
      <c r="E70" s="662"/>
      <c r="F70" s="662"/>
      <c r="G70" s="662"/>
      <c r="H70" s="662"/>
      <c r="I70" s="662"/>
      <c r="J70" s="662"/>
      <c r="K70" s="662"/>
      <c r="L70" s="662"/>
      <c r="M70" s="662"/>
      <c r="N70" s="663"/>
      <c r="O70" s="662"/>
      <c r="P70" s="662"/>
      <c r="Q70" s="662"/>
      <c r="R70" s="662"/>
      <c r="S70" s="662"/>
      <c r="T70" s="662"/>
      <c r="U70" s="662"/>
      <c r="V70" s="663"/>
      <c r="W70" s="607"/>
      <c r="X70" s="588"/>
    </row>
    <row r="71" spans="1:24" s="589" customFormat="1" x14ac:dyDescent="0.25">
      <c r="A71" s="604"/>
      <c r="B71" s="605" t="s">
        <v>21</v>
      </c>
      <c r="C71" s="662"/>
      <c r="D71" s="662"/>
      <c r="E71" s="662"/>
      <c r="F71" s="662"/>
      <c r="G71" s="662"/>
      <c r="H71" s="662"/>
      <c r="I71" s="662"/>
      <c r="J71" s="662"/>
      <c r="K71" s="662"/>
      <c r="L71" s="662">
        <f>SUM(L68:L70)</f>
        <v>812446</v>
      </c>
      <c r="M71" s="662"/>
      <c r="N71" s="662">
        <f>N68+N69</f>
        <v>602398</v>
      </c>
      <c r="O71" s="662"/>
      <c r="P71" s="662">
        <f>SUM(P68:P70)</f>
        <v>10154</v>
      </c>
      <c r="Q71" s="662"/>
      <c r="R71" s="662">
        <f>SUM(R68:R70)</f>
        <v>58</v>
      </c>
      <c r="S71" s="662"/>
      <c r="T71" s="662">
        <f>SUM(T68:T70)</f>
        <v>0</v>
      </c>
      <c r="U71" s="662"/>
      <c r="V71" s="662">
        <f>SUM(V68:V70)</f>
        <v>592302</v>
      </c>
      <c r="W71" s="607"/>
      <c r="X71" s="588"/>
    </row>
    <row r="72" spans="1:24" x14ac:dyDescent="0.25">
      <c r="A72" s="574"/>
      <c r="B72" s="664"/>
      <c r="C72" s="665"/>
      <c r="D72" s="665"/>
      <c r="E72" s="665"/>
      <c r="F72" s="665"/>
      <c r="G72" s="665"/>
      <c r="H72" s="665"/>
      <c r="I72" s="665"/>
      <c r="J72" s="665"/>
      <c r="K72" s="665"/>
      <c r="L72" s="665"/>
      <c r="M72" s="665"/>
      <c r="N72" s="665"/>
      <c r="O72" s="665"/>
      <c r="P72" s="665"/>
      <c r="Q72" s="665"/>
      <c r="R72" s="665"/>
      <c r="S72" s="665"/>
      <c r="T72" s="665"/>
      <c r="U72" s="665"/>
      <c r="V72" s="666"/>
      <c r="W72" s="664"/>
      <c r="X72" s="572"/>
    </row>
    <row r="73" spans="1:24" x14ac:dyDescent="0.25">
      <c r="A73" s="574"/>
      <c r="B73" s="578" t="s">
        <v>22</v>
      </c>
      <c r="C73" s="667"/>
      <c r="D73" s="667"/>
      <c r="E73" s="667"/>
      <c r="F73" s="667"/>
      <c r="G73" s="667"/>
      <c r="H73" s="667"/>
      <c r="I73" s="667"/>
      <c r="J73" s="667"/>
      <c r="K73" s="667"/>
      <c r="L73" s="667"/>
      <c r="M73" s="667"/>
      <c r="N73" s="667"/>
      <c r="O73" s="667"/>
      <c r="P73" s="667"/>
      <c r="Q73" s="667"/>
      <c r="R73" s="667"/>
      <c r="S73" s="667"/>
      <c r="T73" s="667"/>
      <c r="U73" s="667"/>
      <c r="V73" s="668"/>
      <c r="W73" s="576"/>
      <c r="X73" s="572"/>
    </row>
    <row r="74" spans="1:24" x14ac:dyDescent="0.25">
      <c r="A74" s="574"/>
      <c r="B74" s="576"/>
      <c r="C74" s="667"/>
      <c r="D74" s="667"/>
      <c r="E74" s="667"/>
      <c r="F74" s="667"/>
      <c r="G74" s="667"/>
      <c r="H74" s="667"/>
      <c r="I74" s="667"/>
      <c r="J74" s="667"/>
      <c r="K74" s="667"/>
      <c r="L74" s="667"/>
      <c r="M74" s="667"/>
      <c r="N74" s="667"/>
      <c r="O74" s="667"/>
      <c r="P74" s="667"/>
      <c r="Q74" s="667"/>
      <c r="R74" s="667"/>
      <c r="S74" s="667"/>
      <c r="T74" s="667"/>
      <c r="U74" s="667"/>
      <c r="V74" s="668"/>
      <c r="W74" s="576"/>
      <c r="X74" s="572"/>
    </row>
    <row r="75" spans="1:24" s="589" customFormat="1" x14ac:dyDescent="0.25">
      <c r="A75" s="604"/>
      <c r="B75" s="605" t="s">
        <v>19</v>
      </c>
      <c r="C75" s="662"/>
      <c r="D75" s="662"/>
      <c r="E75" s="662"/>
      <c r="F75" s="662"/>
      <c r="G75" s="662"/>
      <c r="H75" s="662"/>
      <c r="I75" s="662"/>
      <c r="J75" s="662"/>
      <c r="K75" s="662"/>
      <c r="L75" s="662"/>
      <c r="M75" s="662"/>
      <c r="N75" s="662"/>
      <c r="O75" s="662"/>
      <c r="P75" s="662"/>
      <c r="Q75" s="662"/>
      <c r="R75" s="662"/>
      <c r="S75" s="662"/>
      <c r="T75" s="662"/>
      <c r="U75" s="662"/>
      <c r="V75" s="662"/>
      <c r="W75" s="607"/>
      <c r="X75" s="588"/>
    </row>
    <row r="76" spans="1:24" s="589" customFormat="1" x14ac:dyDescent="0.25">
      <c r="A76" s="604"/>
      <c r="B76" s="605" t="s">
        <v>20</v>
      </c>
      <c r="C76" s="662"/>
      <c r="D76" s="662"/>
      <c r="E76" s="662"/>
      <c r="F76" s="662"/>
      <c r="G76" s="662"/>
      <c r="H76" s="662"/>
      <c r="I76" s="662"/>
      <c r="J76" s="662"/>
      <c r="K76" s="662"/>
      <c r="L76" s="662"/>
      <c r="M76" s="662"/>
      <c r="N76" s="662"/>
      <c r="O76" s="662"/>
      <c r="P76" s="662"/>
      <c r="Q76" s="662"/>
      <c r="R76" s="662"/>
      <c r="S76" s="662"/>
      <c r="T76" s="662"/>
      <c r="U76" s="662"/>
      <c r="V76" s="662"/>
      <c r="W76" s="607"/>
      <c r="X76" s="588"/>
    </row>
    <row r="77" spans="1:24" s="589" customFormat="1" x14ac:dyDescent="0.25">
      <c r="A77" s="604"/>
      <c r="B77" s="605"/>
      <c r="C77" s="662"/>
      <c r="D77" s="662"/>
      <c r="E77" s="662"/>
      <c r="F77" s="662"/>
      <c r="G77" s="662"/>
      <c r="H77" s="662"/>
      <c r="I77" s="662"/>
      <c r="J77" s="662"/>
      <c r="K77" s="662"/>
      <c r="L77" s="662"/>
      <c r="M77" s="662"/>
      <c r="N77" s="662"/>
      <c r="O77" s="662"/>
      <c r="P77" s="662"/>
      <c r="Q77" s="662"/>
      <c r="R77" s="662"/>
      <c r="S77" s="662"/>
      <c r="T77" s="662"/>
      <c r="U77" s="662"/>
      <c r="V77" s="662"/>
      <c r="W77" s="607"/>
      <c r="X77" s="588"/>
    </row>
    <row r="78" spans="1:24" s="589" customFormat="1" x14ac:dyDescent="0.25">
      <c r="A78" s="604"/>
      <c r="B78" s="605" t="s">
        <v>21</v>
      </c>
      <c r="C78" s="662"/>
      <c r="D78" s="662"/>
      <c r="E78" s="662"/>
      <c r="F78" s="662"/>
      <c r="G78" s="662"/>
      <c r="H78" s="662"/>
      <c r="I78" s="662"/>
      <c r="J78" s="662"/>
      <c r="K78" s="662"/>
      <c r="L78" s="662"/>
      <c r="M78" s="662"/>
      <c r="N78" s="662"/>
      <c r="O78" s="662"/>
      <c r="P78" s="662"/>
      <c r="Q78" s="662"/>
      <c r="R78" s="662"/>
      <c r="S78" s="662"/>
      <c r="T78" s="662"/>
      <c r="U78" s="662"/>
      <c r="V78" s="662"/>
      <c r="W78" s="607"/>
      <c r="X78" s="588"/>
    </row>
    <row r="79" spans="1:24" s="589" customFormat="1" x14ac:dyDescent="0.25">
      <c r="A79" s="604"/>
      <c r="B79" s="605"/>
      <c r="C79" s="662"/>
      <c r="D79" s="662"/>
      <c r="E79" s="662"/>
      <c r="F79" s="662"/>
      <c r="G79" s="662"/>
      <c r="H79" s="662"/>
      <c r="I79" s="662"/>
      <c r="J79" s="662"/>
      <c r="K79" s="662"/>
      <c r="L79" s="662"/>
      <c r="M79" s="662"/>
      <c r="N79" s="662"/>
      <c r="O79" s="662"/>
      <c r="P79" s="662"/>
      <c r="Q79" s="662"/>
      <c r="R79" s="662"/>
      <c r="S79" s="662"/>
      <c r="T79" s="662"/>
      <c r="U79" s="662"/>
      <c r="V79" s="662"/>
      <c r="W79" s="607"/>
      <c r="X79" s="588"/>
    </row>
    <row r="80" spans="1:24" s="589" customFormat="1" x14ac:dyDescent="0.25">
      <c r="A80" s="604"/>
      <c r="B80" s="605" t="s">
        <v>23</v>
      </c>
      <c r="C80" s="662"/>
      <c r="D80" s="662"/>
      <c r="E80" s="662"/>
      <c r="F80" s="662"/>
      <c r="G80" s="662"/>
      <c r="H80" s="662"/>
      <c r="I80" s="662"/>
      <c r="J80" s="662"/>
      <c r="K80" s="662"/>
      <c r="L80" s="662">
        <v>0</v>
      </c>
      <c r="M80" s="662"/>
      <c r="N80" s="662">
        <v>0</v>
      </c>
      <c r="O80" s="662"/>
      <c r="P80" s="662"/>
      <c r="Q80" s="662"/>
      <c r="R80" s="662"/>
      <c r="S80" s="662"/>
      <c r="T80" s="662"/>
      <c r="U80" s="662"/>
      <c r="V80" s="663">
        <v>0</v>
      </c>
      <c r="W80" s="607"/>
      <c r="X80" s="588"/>
    </row>
    <row r="81" spans="1:24" s="589" customFormat="1" x14ac:dyDescent="0.25">
      <c r="A81" s="604"/>
      <c r="B81" s="605" t="s">
        <v>117</v>
      </c>
      <c r="C81" s="662"/>
      <c r="D81" s="662"/>
      <c r="E81" s="662"/>
      <c r="F81" s="662"/>
      <c r="G81" s="662"/>
      <c r="H81" s="662"/>
      <c r="I81" s="662"/>
      <c r="J81" s="662"/>
      <c r="K81" s="662"/>
      <c r="L81" s="662">
        <v>188687</v>
      </c>
      <c r="M81" s="662"/>
      <c r="N81" s="662">
        <v>0</v>
      </c>
      <c r="O81" s="662"/>
      <c r="P81" s="662">
        <v>0</v>
      </c>
      <c r="Q81" s="662"/>
      <c r="R81" s="662"/>
      <c r="S81" s="662"/>
      <c r="T81" s="662"/>
      <c r="U81" s="662"/>
      <c r="V81" s="662">
        <f>SUM(N81:R81)</f>
        <v>0</v>
      </c>
      <c r="W81" s="607"/>
      <c r="X81" s="588"/>
    </row>
    <row r="82" spans="1:24" s="589" customFormat="1" x14ac:dyDescent="0.25">
      <c r="A82" s="604"/>
      <c r="B82" s="605" t="s">
        <v>146</v>
      </c>
      <c r="C82" s="662"/>
      <c r="D82" s="662"/>
      <c r="E82" s="662"/>
      <c r="F82" s="662"/>
      <c r="G82" s="662"/>
      <c r="H82" s="662"/>
      <c r="I82" s="662"/>
      <c r="J82" s="662"/>
      <c r="K82" s="662"/>
      <c r="L82" s="662">
        <v>0</v>
      </c>
      <c r="M82" s="662"/>
      <c r="N82" s="662">
        <v>0</v>
      </c>
      <c r="O82" s="662"/>
      <c r="P82" s="662">
        <v>0</v>
      </c>
      <c r="Q82" s="662"/>
      <c r="R82" s="662"/>
      <c r="S82" s="662"/>
      <c r="T82" s="662"/>
      <c r="U82" s="662"/>
      <c r="V82" s="662">
        <f>+N82+P82</f>
        <v>0</v>
      </c>
      <c r="W82" s="607"/>
      <c r="X82" s="588"/>
    </row>
    <row r="83" spans="1:24" s="589" customFormat="1" x14ac:dyDescent="0.25">
      <c r="A83" s="604"/>
      <c r="B83" s="605" t="s">
        <v>25</v>
      </c>
      <c r="C83" s="662"/>
      <c r="D83" s="662"/>
      <c r="E83" s="662"/>
      <c r="F83" s="662"/>
      <c r="G83" s="662"/>
      <c r="H83" s="662"/>
      <c r="I83" s="662"/>
      <c r="J83" s="662"/>
      <c r="K83" s="662"/>
      <c r="L83" s="662">
        <v>0</v>
      </c>
      <c r="M83" s="662"/>
      <c r="N83" s="662">
        <v>0</v>
      </c>
      <c r="O83" s="662"/>
      <c r="P83" s="662"/>
      <c r="Q83" s="662"/>
      <c r="R83" s="662"/>
      <c r="S83" s="662"/>
      <c r="T83" s="662"/>
      <c r="U83" s="662"/>
      <c r="V83" s="662">
        <v>0</v>
      </c>
      <c r="W83" s="607"/>
      <c r="X83" s="588"/>
    </row>
    <row r="84" spans="1:24" s="589" customFormat="1" x14ac:dyDescent="0.25">
      <c r="A84" s="604"/>
      <c r="B84" s="605" t="s">
        <v>26</v>
      </c>
      <c r="C84" s="662"/>
      <c r="D84" s="662"/>
      <c r="E84" s="662"/>
      <c r="F84" s="662"/>
      <c r="G84" s="662"/>
      <c r="H84" s="662"/>
      <c r="I84" s="662"/>
      <c r="J84" s="662"/>
      <c r="K84" s="662"/>
      <c r="L84" s="662">
        <f>SUM(L71:L83)</f>
        <v>1001133</v>
      </c>
      <c r="M84" s="662"/>
      <c r="N84" s="662">
        <f>SUM(N71:N83)</f>
        <v>602398</v>
      </c>
      <c r="O84" s="662"/>
      <c r="P84" s="662"/>
      <c r="Q84" s="662"/>
      <c r="R84" s="662"/>
      <c r="S84" s="662"/>
      <c r="T84" s="662"/>
      <c r="U84" s="662"/>
      <c r="V84" s="662">
        <f>SUM(V71:V83)</f>
        <v>592302</v>
      </c>
      <c r="W84" s="607"/>
      <c r="X84" s="588"/>
    </row>
    <row r="85" spans="1:24" x14ac:dyDescent="0.25">
      <c r="A85" s="574"/>
      <c r="B85" s="664"/>
      <c r="C85" s="665"/>
      <c r="D85" s="665"/>
      <c r="E85" s="665"/>
      <c r="F85" s="665"/>
      <c r="G85" s="665"/>
      <c r="H85" s="665"/>
      <c r="I85" s="665"/>
      <c r="J85" s="665"/>
      <c r="K85" s="665"/>
      <c r="L85" s="665"/>
      <c r="M85" s="665"/>
      <c r="N85" s="665"/>
      <c r="O85" s="665"/>
      <c r="P85" s="665"/>
      <c r="Q85" s="665"/>
      <c r="R85" s="665"/>
      <c r="S85" s="665"/>
      <c r="T85" s="665"/>
      <c r="U85" s="665"/>
      <c r="V85" s="666"/>
      <c r="W85" s="664"/>
      <c r="X85" s="572"/>
    </row>
    <row r="86" spans="1:24" x14ac:dyDescent="0.25">
      <c r="A86" s="574"/>
      <c r="B86" s="576"/>
      <c r="C86" s="576"/>
      <c r="D86" s="576"/>
      <c r="E86" s="576"/>
      <c r="F86" s="576"/>
      <c r="G86" s="576"/>
      <c r="H86" s="576"/>
      <c r="I86" s="576"/>
      <c r="J86" s="576"/>
      <c r="K86" s="576"/>
      <c r="L86" s="576"/>
      <c r="M86" s="576"/>
      <c r="N86" s="576"/>
      <c r="O86" s="576"/>
      <c r="P86" s="576"/>
      <c r="Q86" s="576"/>
      <c r="R86" s="576"/>
      <c r="S86" s="576"/>
      <c r="T86" s="576"/>
      <c r="U86" s="576"/>
      <c r="V86" s="576"/>
      <c r="W86" s="576"/>
      <c r="X86" s="572"/>
    </row>
    <row r="87" spans="1:24" x14ac:dyDescent="0.25">
      <c r="A87" s="597"/>
      <c r="B87" s="669" t="s">
        <v>27</v>
      </c>
      <c r="C87" s="669"/>
      <c r="D87" s="669"/>
      <c r="E87" s="669"/>
      <c r="F87" s="669"/>
      <c r="G87" s="669"/>
      <c r="H87" s="670"/>
      <c r="I87" s="670"/>
      <c r="J87" s="670"/>
      <c r="K87" s="670"/>
      <c r="L87" s="671" t="s">
        <v>95</v>
      </c>
      <c r="M87" s="670"/>
      <c r="N87" s="672">
        <f>+T202</f>
        <v>43434</v>
      </c>
      <c r="O87" s="670"/>
      <c r="P87" s="670"/>
      <c r="Q87" s="670"/>
      <c r="R87" s="670"/>
      <c r="S87" s="670"/>
      <c r="T87" s="670" t="s">
        <v>107</v>
      </c>
      <c r="U87" s="670"/>
      <c r="V87" s="670" t="s">
        <v>113</v>
      </c>
      <c r="W87" s="601"/>
      <c r="X87" s="572"/>
    </row>
    <row r="88" spans="1:24" s="589" customFormat="1" x14ac:dyDescent="0.25">
      <c r="A88" s="585"/>
      <c r="B88" s="602" t="s">
        <v>28</v>
      </c>
      <c r="C88" s="602"/>
      <c r="D88" s="602"/>
      <c r="E88" s="602"/>
      <c r="F88" s="602"/>
      <c r="G88" s="602"/>
      <c r="H88" s="602"/>
      <c r="I88" s="602"/>
      <c r="J88" s="602"/>
      <c r="K88" s="602"/>
      <c r="L88" s="602"/>
      <c r="M88" s="602"/>
      <c r="N88" s="602"/>
      <c r="O88" s="602"/>
      <c r="P88" s="602"/>
      <c r="Q88" s="602"/>
      <c r="R88" s="602"/>
      <c r="S88" s="602"/>
      <c r="T88" s="673">
        <v>0</v>
      </c>
      <c r="U88" s="602"/>
      <c r="V88" s="674">
        <v>0</v>
      </c>
      <c r="W88" s="602"/>
      <c r="X88" s="588"/>
    </row>
    <row r="89" spans="1:24" s="589" customFormat="1" x14ac:dyDescent="0.25">
      <c r="A89" s="604"/>
      <c r="B89" s="605" t="s">
        <v>29</v>
      </c>
      <c r="C89" s="605"/>
      <c r="D89" s="605"/>
      <c r="E89" s="605"/>
      <c r="F89" s="605"/>
      <c r="G89" s="605"/>
      <c r="H89" s="635"/>
      <c r="I89" s="635"/>
      <c r="J89" s="635"/>
      <c r="K89" s="675"/>
      <c r="L89" s="635"/>
      <c r="M89" s="605"/>
      <c r="N89" s="676"/>
      <c r="O89" s="605"/>
      <c r="P89" s="605"/>
      <c r="Q89" s="605"/>
      <c r="R89" s="605"/>
      <c r="S89" s="605"/>
      <c r="T89" s="662">
        <f>10154-88</f>
        <v>10066</v>
      </c>
      <c r="U89" s="605"/>
      <c r="V89" s="663"/>
      <c r="W89" s="607"/>
      <c r="X89" s="588"/>
    </row>
    <row r="90" spans="1:24" s="589" customFormat="1" x14ac:dyDescent="0.25">
      <c r="A90" s="604"/>
      <c r="B90" s="605" t="s">
        <v>215</v>
      </c>
      <c r="C90" s="605"/>
      <c r="D90" s="605"/>
      <c r="E90" s="605"/>
      <c r="F90" s="605"/>
      <c r="G90" s="605"/>
      <c r="H90" s="635"/>
      <c r="I90" s="635"/>
      <c r="J90" s="635"/>
      <c r="K90" s="675"/>
      <c r="L90" s="635"/>
      <c r="M90" s="605"/>
      <c r="N90" s="676"/>
      <c r="O90" s="605"/>
      <c r="P90" s="605"/>
      <c r="Q90" s="605"/>
      <c r="R90" s="605"/>
      <c r="S90" s="605"/>
      <c r="T90" s="662"/>
      <c r="U90" s="605"/>
      <c r="V90" s="663">
        <f>2982+2398-560-619</f>
        <v>4201</v>
      </c>
      <c r="W90" s="607"/>
      <c r="X90" s="588"/>
    </row>
    <row r="91" spans="1:24" s="589" customFormat="1" x14ac:dyDescent="0.25">
      <c r="A91" s="604"/>
      <c r="B91" s="605" t="s">
        <v>210</v>
      </c>
      <c r="C91" s="605"/>
      <c r="D91" s="605"/>
      <c r="E91" s="605"/>
      <c r="F91" s="605"/>
      <c r="G91" s="605"/>
      <c r="H91" s="635"/>
      <c r="I91" s="635"/>
      <c r="J91" s="635"/>
      <c r="K91" s="675"/>
      <c r="L91" s="635"/>
      <c r="M91" s="605"/>
      <c r="N91" s="676"/>
      <c r="O91" s="605"/>
      <c r="P91" s="605"/>
      <c r="Q91" s="605"/>
      <c r="R91" s="605"/>
      <c r="S91" s="605"/>
      <c r="T91" s="662"/>
      <c r="U91" s="605"/>
      <c r="V91" s="663">
        <f>31+25</f>
        <v>56</v>
      </c>
      <c r="W91" s="607"/>
      <c r="X91" s="588"/>
    </row>
    <row r="92" spans="1:24" s="589" customFormat="1" x14ac:dyDescent="0.25">
      <c r="A92" s="604"/>
      <c r="B92" s="605" t="s">
        <v>211</v>
      </c>
      <c r="C92" s="605"/>
      <c r="D92" s="605"/>
      <c r="E92" s="605"/>
      <c r="F92" s="605"/>
      <c r="G92" s="605"/>
      <c r="H92" s="635"/>
      <c r="I92" s="635"/>
      <c r="J92" s="635"/>
      <c r="K92" s="675"/>
      <c r="L92" s="635"/>
      <c r="M92" s="605"/>
      <c r="N92" s="676"/>
      <c r="O92" s="605"/>
      <c r="P92" s="605"/>
      <c r="Q92" s="605"/>
      <c r="R92" s="605"/>
      <c r="S92" s="605"/>
      <c r="T92" s="662"/>
      <c r="U92" s="605"/>
      <c r="V92" s="663">
        <v>45</v>
      </c>
      <c r="W92" s="607"/>
      <c r="X92" s="588"/>
    </row>
    <row r="93" spans="1:24" s="589" customFormat="1" x14ac:dyDescent="0.25">
      <c r="A93" s="604"/>
      <c r="B93" s="605" t="s">
        <v>233</v>
      </c>
      <c r="C93" s="605"/>
      <c r="D93" s="605"/>
      <c r="E93" s="605"/>
      <c r="F93" s="605"/>
      <c r="G93" s="605"/>
      <c r="H93" s="635"/>
      <c r="I93" s="635"/>
      <c r="J93" s="635"/>
      <c r="K93" s="675"/>
      <c r="L93" s="635"/>
      <c r="M93" s="605"/>
      <c r="N93" s="676"/>
      <c r="O93" s="605"/>
      <c r="P93" s="605"/>
      <c r="Q93" s="605"/>
      <c r="R93" s="605"/>
      <c r="S93" s="605"/>
      <c r="T93" s="662"/>
      <c r="U93" s="605"/>
      <c r="V93" s="663">
        <v>0</v>
      </c>
      <c r="W93" s="607"/>
      <c r="X93" s="588"/>
    </row>
    <row r="94" spans="1:24" s="589" customFormat="1" x14ac:dyDescent="0.25">
      <c r="A94" s="604"/>
      <c r="B94" s="605" t="s">
        <v>235</v>
      </c>
      <c r="C94" s="605"/>
      <c r="D94" s="605"/>
      <c r="E94" s="605"/>
      <c r="F94" s="605"/>
      <c r="G94" s="605"/>
      <c r="H94" s="635"/>
      <c r="I94" s="635"/>
      <c r="J94" s="635"/>
      <c r="K94" s="675"/>
      <c r="L94" s="635"/>
      <c r="M94" s="605"/>
      <c r="N94" s="676"/>
      <c r="O94" s="605"/>
      <c r="P94" s="605"/>
      <c r="Q94" s="605"/>
      <c r="R94" s="605"/>
      <c r="S94" s="605"/>
      <c r="T94" s="662"/>
      <c r="U94" s="605"/>
      <c r="V94" s="663">
        <v>0</v>
      </c>
      <c r="W94" s="607"/>
      <c r="X94" s="588"/>
    </row>
    <row r="95" spans="1:24" s="589" customFormat="1" x14ac:dyDescent="0.25">
      <c r="A95" s="604"/>
      <c r="B95" s="605" t="s">
        <v>135</v>
      </c>
      <c r="C95" s="605"/>
      <c r="D95" s="605"/>
      <c r="E95" s="605"/>
      <c r="F95" s="605"/>
      <c r="G95" s="605"/>
      <c r="H95" s="605"/>
      <c r="I95" s="605"/>
      <c r="J95" s="605"/>
      <c r="K95" s="605"/>
      <c r="L95" s="605"/>
      <c r="M95" s="605"/>
      <c r="N95" s="605"/>
      <c r="O95" s="605"/>
      <c r="P95" s="605"/>
      <c r="Q95" s="605"/>
      <c r="R95" s="605"/>
      <c r="S95" s="605"/>
      <c r="T95" s="662"/>
      <c r="U95" s="605"/>
      <c r="V95" s="663">
        <v>0</v>
      </c>
      <c r="W95" s="607"/>
      <c r="X95" s="588"/>
    </row>
    <row r="96" spans="1:24" s="589" customFormat="1" x14ac:dyDescent="0.25">
      <c r="A96" s="604"/>
      <c r="B96" s="605" t="s">
        <v>272</v>
      </c>
      <c r="C96" s="605"/>
      <c r="D96" s="605"/>
      <c r="E96" s="605"/>
      <c r="F96" s="605"/>
      <c r="G96" s="605"/>
      <c r="H96" s="605"/>
      <c r="I96" s="605"/>
      <c r="J96" s="605"/>
      <c r="K96" s="605"/>
      <c r="L96" s="605"/>
      <c r="M96" s="605"/>
      <c r="N96" s="605"/>
      <c r="O96" s="605"/>
      <c r="P96" s="605"/>
      <c r="Q96" s="605"/>
      <c r="R96" s="605"/>
      <c r="S96" s="605"/>
      <c r="T96" s="662"/>
      <c r="U96" s="605"/>
      <c r="V96" s="663">
        <v>0</v>
      </c>
      <c r="W96" s="607"/>
      <c r="X96" s="588"/>
    </row>
    <row r="97" spans="1:25" s="589" customFormat="1" x14ac:dyDescent="0.25">
      <c r="A97" s="604"/>
      <c r="B97" s="605" t="s">
        <v>30</v>
      </c>
      <c r="C97" s="605"/>
      <c r="D97" s="605"/>
      <c r="E97" s="605"/>
      <c r="F97" s="605"/>
      <c r="G97" s="605"/>
      <c r="H97" s="605"/>
      <c r="I97" s="605"/>
      <c r="J97" s="605"/>
      <c r="K97" s="605"/>
      <c r="L97" s="605"/>
      <c r="M97" s="605"/>
      <c r="N97" s="605"/>
      <c r="O97" s="605"/>
      <c r="P97" s="605"/>
      <c r="Q97" s="605"/>
      <c r="R97" s="605"/>
      <c r="S97" s="605"/>
      <c r="T97" s="662">
        <f>SUM(T88:T96)</f>
        <v>10066</v>
      </c>
      <c r="U97" s="605"/>
      <c r="V97" s="662">
        <f>SUM(V88:V96)</f>
        <v>4302</v>
      </c>
      <c r="W97" s="607"/>
      <c r="X97" s="588"/>
    </row>
    <row r="98" spans="1:25" s="589" customFormat="1" x14ac:dyDescent="0.25">
      <c r="A98" s="604"/>
      <c r="B98" s="605" t="s">
        <v>161</v>
      </c>
      <c r="C98" s="605"/>
      <c r="D98" s="605"/>
      <c r="E98" s="605"/>
      <c r="F98" s="605"/>
      <c r="G98" s="605"/>
      <c r="H98" s="605"/>
      <c r="I98" s="605"/>
      <c r="J98" s="605"/>
      <c r="K98" s="605"/>
      <c r="L98" s="605"/>
      <c r="M98" s="605"/>
      <c r="N98" s="605"/>
      <c r="O98" s="605"/>
      <c r="P98" s="605"/>
      <c r="Q98" s="605"/>
      <c r="R98" s="605"/>
      <c r="S98" s="605"/>
      <c r="T98" s="662">
        <f>-V98</f>
        <v>0</v>
      </c>
      <c r="U98" s="605"/>
      <c r="V98" s="662">
        <v>0</v>
      </c>
      <c r="W98" s="607"/>
      <c r="X98" s="588"/>
    </row>
    <row r="99" spans="1:25" s="589" customFormat="1" x14ac:dyDescent="0.25">
      <c r="A99" s="604"/>
      <c r="B99" s="605" t="s">
        <v>31</v>
      </c>
      <c r="C99" s="605"/>
      <c r="D99" s="605"/>
      <c r="E99" s="605"/>
      <c r="F99" s="605"/>
      <c r="G99" s="605"/>
      <c r="H99" s="605"/>
      <c r="I99" s="605"/>
      <c r="J99" s="605"/>
      <c r="K99" s="605"/>
      <c r="L99" s="605"/>
      <c r="M99" s="605"/>
      <c r="N99" s="605"/>
      <c r="O99" s="605"/>
      <c r="P99" s="605"/>
      <c r="Q99" s="605"/>
      <c r="R99" s="605"/>
      <c r="S99" s="605"/>
      <c r="T99" s="662">
        <f>-V99</f>
        <v>0</v>
      </c>
      <c r="U99" s="605"/>
      <c r="V99" s="663">
        <v>0</v>
      </c>
      <c r="W99" s="607"/>
      <c r="X99" s="588"/>
    </row>
    <row r="100" spans="1:25" s="589" customFormat="1" x14ac:dyDescent="0.25">
      <c r="A100" s="604"/>
      <c r="B100" s="605" t="s">
        <v>274</v>
      </c>
      <c r="C100" s="605"/>
      <c r="D100" s="605"/>
      <c r="E100" s="605"/>
      <c r="F100" s="605"/>
      <c r="G100" s="605"/>
      <c r="H100" s="605"/>
      <c r="I100" s="605"/>
      <c r="J100" s="605"/>
      <c r="K100" s="605"/>
      <c r="L100" s="605"/>
      <c r="M100" s="605"/>
      <c r="N100" s="605"/>
      <c r="O100" s="605"/>
      <c r="P100" s="605"/>
      <c r="Q100" s="605"/>
      <c r="R100" s="605"/>
      <c r="S100" s="605"/>
      <c r="T100" s="662"/>
      <c r="U100" s="605"/>
      <c r="V100" s="663">
        <v>-124</v>
      </c>
      <c r="W100" s="607"/>
      <c r="X100" s="588"/>
    </row>
    <row r="101" spans="1:25" s="589" customFormat="1" x14ac:dyDescent="0.25">
      <c r="A101" s="604"/>
      <c r="B101" s="605" t="s">
        <v>32</v>
      </c>
      <c r="C101" s="605"/>
      <c r="D101" s="605"/>
      <c r="E101" s="605"/>
      <c r="F101" s="605"/>
      <c r="G101" s="605"/>
      <c r="H101" s="605"/>
      <c r="I101" s="605"/>
      <c r="J101" s="605"/>
      <c r="K101" s="605"/>
      <c r="L101" s="605"/>
      <c r="M101" s="605"/>
      <c r="N101" s="605"/>
      <c r="O101" s="605"/>
      <c r="P101" s="605"/>
      <c r="Q101" s="605"/>
      <c r="R101" s="605"/>
      <c r="S101" s="605"/>
      <c r="T101" s="662">
        <f>T97+T99+T98</f>
        <v>10066</v>
      </c>
      <c r="U101" s="605"/>
      <c r="V101" s="662">
        <f>V97+V99+V98+V100</f>
        <v>4178</v>
      </c>
      <c r="W101" s="607"/>
      <c r="X101" s="588"/>
    </row>
    <row r="102" spans="1:25" x14ac:dyDescent="0.25">
      <c r="A102" s="677"/>
      <c r="B102" s="678" t="s">
        <v>33</v>
      </c>
      <c r="C102" s="679"/>
      <c r="D102" s="679"/>
      <c r="E102" s="679"/>
      <c r="F102" s="679"/>
      <c r="G102" s="679"/>
      <c r="H102" s="679"/>
      <c r="I102" s="679"/>
      <c r="J102" s="679"/>
      <c r="K102" s="679"/>
      <c r="L102" s="679"/>
      <c r="M102" s="679"/>
      <c r="N102" s="679"/>
      <c r="O102" s="679"/>
      <c r="P102" s="679"/>
      <c r="Q102" s="679"/>
      <c r="R102" s="679"/>
      <c r="S102" s="679"/>
      <c r="T102" s="680"/>
      <c r="U102" s="681"/>
      <c r="V102" s="682"/>
      <c r="W102" s="683"/>
      <c r="X102" s="572"/>
    </row>
    <row r="103" spans="1:25" s="589" customFormat="1" x14ac:dyDescent="0.25">
      <c r="A103" s="604">
        <v>1</v>
      </c>
      <c r="B103" s="605" t="s">
        <v>34</v>
      </c>
      <c r="C103" s="605"/>
      <c r="D103" s="605"/>
      <c r="E103" s="605"/>
      <c r="F103" s="605"/>
      <c r="G103" s="605"/>
      <c r="H103" s="605"/>
      <c r="I103" s="605"/>
      <c r="J103" s="605"/>
      <c r="K103" s="605"/>
      <c r="L103" s="605"/>
      <c r="M103" s="605"/>
      <c r="N103" s="605"/>
      <c r="O103" s="605"/>
      <c r="P103" s="605"/>
      <c r="Q103" s="605"/>
      <c r="R103" s="605"/>
      <c r="S103" s="605"/>
      <c r="T103" s="605"/>
      <c r="U103" s="605"/>
      <c r="V103" s="663">
        <v>0</v>
      </c>
      <c r="W103" s="607"/>
      <c r="X103" s="588"/>
    </row>
    <row r="104" spans="1:25" s="589" customFormat="1" x14ac:dyDescent="0.25">
      <c r="A104" s="604">
        <f>+A103+1</f>
        <v>2</v>
      </c>
      <c r="B104" s="605" t="s">
        <v>314</v>
      </c>
      <c r="C104" s="605"/>
      <c r="D104" s="605"/>
      <c r="E104" s="605"/>
      <c r="F104" s="605"/>
      <c r="G104" s="605"/>
      <c r="H104" s="605"/>
      <c r="I104" s="605"/>
      <c r="J104" s="605"/>
      <c r="K104" s="605"/>
      <c r="L104" s="605"/>
      <c r="M104" s="605"/>
      <c r="N104" s="605"/>
      <c r="O104" s="605"/>
      <c r="P104" s="605"/>
      <c r="Q104" s="605"/>
      <c r="R104" s="605"/>
      <c r="S104" s="605"/>
      <c r="T104" s="605"/>
      <c r="U104" s="605"/>
      <c r="V104" s="663">
        <v>-2</v>
      </c>
      <c r="W104" s="607"/>
      <c r="X104" s="588"/>
    </row>
    <row r="105" spans="1:25" s="589" customFormat="1" x14ac:dyDescent="0.25">
      <c r="A105" s="604">
        <f>+A104+1</f>
        <v>3</v>
      </c>
      <c r="B105" s="684" t="s">
        <v>316</v>
      </c>
      <c r="C105" s="605"/>
      <c r="D105" s="605"/>
      <c r="E105" s="605"/>
      <c r="F105" s="605"/>
      <c r="G105" s="605"/>
      <c r="H105" s="605"/>
      <c r="I105" s="605"/>
      <c r="J105" s="605"/>
      <c r="K105" s="605"/>
      <c r="L105" s="605"/>
      <c r="M105" s="605"/>
      <c r="N105" s="605"/>
      <c r="O105" s="605"/>
      <c r="P105" s="605"/>
      <c r="Q105" s="605"/>
      <c r="R105" s="605"/>
      <c r="S105" s="605"/>
      <c r="T105" s="605"/>
      <c r="U105" s="605"/>
      <c r="V105" s="663">
        <f>-229-86-8</f>
        <v>-323</v>
      </c>
      <c r="W105" s="607"/>
      <c r="X105" s="588"/>
    </row>
    <row r="106" spans="1:25" s="589" customFormat="1" x14ac:dyDescent="0.25">
      <c r="A106" s="604" t="s">
        <v>127</v>
      </c>
      <c r="B106" s="605" t="s">
        <v>116</v>
      </c>
      <c r="C106" s="605"/>
      <c r="D106" s="605"/>
      <c r="E106" s="605"/>
      <c r="F106" s="605"/>
      <c r="G106" s="605"/>
      <c r="H106" s="605"/>
      <c r="I106" s="605"/>
      <c r="J106" s="605"/>
      <c r="K106" s="605"/>
      <c r="L106" s="605"/>
      <c r="M106" s="605"/>
      <c r="N106" s="605"/>
      <c r="O106" s="605"/>
      <c r="P106" s="605"/>
      <c r="Q106" s="605"/>
      <c r="R106" s="605"/>
      <c r="S106" s="605"/>
      <c r="T106" s="605"/>
      <c r="U106" s="605"/>
      <c r="V106" s="663">
        <v>0</v>
      </c>
      <c r="W106" s="607"/>
      <c r="X106" s="588"/>
    </row>
    <row r="107" spans="1:25" s="589" customFormat="1" x14ac:dyDescent="0.25">
      <c r="A107" s="604" t="s">
        <v>128</v>
      </c>
      <c r="B107" s="605" t="s">
        <v>220</v>
      </c>
      <c r="C107" s="605"/>
      <c r="D107" s="605"/>
      <c r="E107" s="605"/>
      <c r="F107" s="605"/>
      <c r="G107" s="605"/>
      <c r="H107" s="605"/>
      <c r="I107" s="605"/>
      <c r="J107" s="605"/>
      <c r="K107" s="605"/>
      <c r="L107" s="605"/>
      <c r="M107" s="605"/>
      <c r="N107" s="605"/>
      <c r="O107" s="605"/>
      <c r="P107" s="605"/>
      <c r="Q107" s="605"/>
      <c r="R107" s="605"/>
      <c r="S107" s="605"/>
      <c r="T107" s="605"/>
      <c r="U107" s="605"/>
      <c r="V107" s="663">
        <f>-1156+293</f>
        <v>-863</v>
      </c>
      <c r="W107" s="607"/>
      <c r="X107" s="588"/>
      <c r="Y107" s="685"/>
    </row>
    <row r="108" spans="1:25" s="589" customFormat="1" x14ac:dyDescent="0.25">
      <c r="A108" s="604" t="s">
        <v>150</v>
      </c>
      <c r="B108" s="605" t="s">
        <v>184</v>
      </c>
      <c r="C108" s="605"/>
      <c r="D108" s="605"/>
      <c r="E108" s="605"/>
      <c r="F108" s="605"/>
      <c r="G108" s="605"/>
      <c r="H108" s="605"/>
      <c r="I108" s="605"/>
      <c r="J108" s="605"/>
      <c r="K108" s="605"/>
      <c r="L108" s="605"/>
      <c r="M108" s="605"/>
      <c r="N108" s="605"/>
      <c r="O108" s="605"/>
      <c r="P108" s="605"/>
      <c r="Q108" s="605"/>
      <c r="R108" s="605"/>
      <c r="S108" s="605"/>
      <c r="T108" s="605"/>
      <c r="U108" s="605"/>
      <c r="V108" s="663">
        <v>-293</v>
      </c>
      <c r="W108" s="607"/>
      <c r="X108" s="588"/>
      <c r="Y108" s="685"/>
    </row>
    <row r="109" spans="1:25" s="589" customFormat="1" x14ac:dyDescent="0.25">
      <c r="A109" s="604" t="s">
        <v>205</v>
      </c>
      <c r="B109" s="605" t="s">
        <v>185</v>
      </c>
      <c r="C109" s="605"/>
      <c r="D109" s="605"/>
      <c r="E109" s="605"/>
      <c r="F109" s="605"/>
      <c r="G109" s="605"/>
      <c r="H109" s="605"/>
      <c r="I109" s="605"/>
      <c r="J109" s="605"/>
      <c r="K109" s="605"/>
      <c r="L109" s="605"/>
      <c r="M109" s="605"/>
      <c r="N109" s="605"/>
      <c r="O109" s="605"/>
      <c r="P109" s="605"/>
      <c r="Q109" s="605"/>
      <c r="R109" s="605"/>
      <c r="S109" s="605"/>
      <c r="T109" s="605"/>
      <c r="U109" s="605"/>
      <c r="V109" s="663">
        <v>-204</v>
      </c>
      <c r="W109" s="607"/>
      <c r="X109" s="588"/>
      <c r="Y109" s="685"/>
    </row>
    <row r="110" spans="1:25" s="589" customFormat="1" x14ac:dyDescent="0.25">
      <c r="A110" s="604" t="s">
        <v>206</v>
      </c>
      <c r="B110" s="605" t="s">
        <v>186</v>
      </c>
      <c r="C110" s="605"/>
      <c r="D110" s="605"/>
      <c r="E110" s="605"/>
      <c r="F110" s="605"/>
      <c r="G110" s="605"/>
      <c r="H110" s="605"/>
      <c r="I110" s="605"/>
      <c r="J110" s="605"/>
      <c r="K110" s="605"/>
      <c r="L110" s="605"/>
      <c r="M110" s="605"/>
      <c r="N110" s="605"/>
      <c r="O110" s="605"/>
      <c r="P110" s="605"/>
      <c r="Q110" s="605"/>
      <c r="R110" s="605"/>
      <c r="S110" s="605"/>
      <c r="T110" s="605"/>
      <c r="U110" s="605"/>
      <c r="V110" s="663">
        <v>-57</v>
      </c>
      <c r="W110" s="607"/>
      <c r="X110" s="588"/>
      <c r="Y110" s="685"/>
    </row>
    <row r="111" spans="1:25" s="589" customFormat="1" x14ac:dyDescent="0.25">
      <c r="A111" s="604">
        <v>6</v>
      </c>
      <c r="B111" s="605" t="s">
        <v>196</v>
      </c>
      <c r="C111" s="605"/>
      <c r="D111" s="605"/>
      <c r="E111" s="605"/>
      <c r="F111" s="605"/>
      <c r="G111" s="605"/>
      <c r="H111" s="605"/>
      <c r="I111" s="605"/>
      <c r="J111" s="605"/>
      <c r="K111" s="605"/>
      <c r="L111" s="605"/>
      <c r="M111" s="605"/>
      <c r="N111" s="605"/>
      <c r="O111" s="605"/>
      <c r="P111" s="605"/>
      <c r="Q111" s="605"/>
      <c r="R111" s="605"/>
      <c r="S111" s="605"/>
      <c r="T111" s="605"/>
      <c r="U111" s="605"/>
      <c r="V111" s="663">
        <v>-379</v>
      </c>
      <c r="W111" s="607"/>
      <c r="X111" s="588"/>
      <c r="Y111" s="685"/>
    </row>
    <row r="112" spans="1:25" s="589" customFormat="1" x14ac:dyDescent="0.25">
      <c r="A112" s="604">
        <v>7</v>
      </c>
      <c r="B112" s="684" t="s">
        <v>315</v>
      </c>
      <c r="C112" s="605"/>
      <c r="D112" s="605"/>
      <c r="E112" s="605"/>
      <c r="F112" s="605"/>
      <c r="G112" s="605"/>
      <c r="H112" s="605"/>
      <c r="I112" s="605"/>
      <c r="J112" s="605"/>
      <c r="K112" s="605"/>
      <c r="L112" s="605"/>
      <c r="M112" s="605"/>
      <c r="N112" s="605"/>
      <c r="O112" s="605"/>
      <c r="P112" s="605"/>
      <c r="Q112" s="605"/>
      <c r="R112" s="605"/>
      <c r="S112" s="605"/>
      <c r="T112" s="605"/>
      <c r="U112" s="605"/>
      <c r="V112" s="663">
        <v>0</v>
      </c>
      <c r="W112" s="607"/>
      <c r="X112" s="588"/>
      <c r="Y112" s="685"/>
    </row>
    <row r="113" spans="1:24" s="589" customFormat="1" x14ac:dyDescent="0.25">
      <c r="A113" s="604">
        <v>8</v>
      </c>
      <c r="B113" s="605" t="s">
        <v>35</v>
      </c>
      <c r="C113" s="605"/>
      <c r="D113" s="605"/>
      <c r="E113" s="605"/>
      <c r="F113" s="605"/>
      <c r="G113" s="605"/>
      <c r="H113" s="605"/>
      <c r="I113" s="605"/>
      <c r="J113" s="605"/>
      <c r="K113" s="605"/>
      <c r="L113" s="605"/>
      <c r="M113" s="605"/>
      <c r="N113" s="605"/>
      <c r="O113" s="605"/>
      <c r="P113" s="605"/>
      <c r="Q113" s="605"/>
      <c r="R113" s="605"/>
      <c r="S113" s="605"/>
      <c r="T113" s="605"/>
      <c r="U113" s="605"/>
      <c r="V113" s="663">
        <v>-19</v>
      </c>
      <c r="W113" s="607"/>
      <c r="X113" s="588"/>
    </row>
    <row r="114" spans="1:24" s="589" customFormat="1" x14ac:dyDescent="0.25">
      <c r="A114" s="604">
        <f t="shared" ref="A114:A119" si="0">+A113+1</f>
        <v>9</v>
      </c>
      <c r="B114" s="605" t="s">
        <v>45</v>
      </c>
      <c r="C114" s="605"/>
      <c r="D114" s="605"/>
      <c r="E114" s="605"/>
      <c r="F114" s="605"/>
      <c r="G114" s="605"/>
      <c r="H114" s="605"/>
      <c r="I114" s="605"/>
      <c r="J114" s="605"/>
      <c r="K114" s="605"/>
      <c r="L114" s="605"/>
      <c r="M114" s="605"/>
      <c r="N114" s="605"/>
      <c r="O114" s="605"/>
      <c r="P114" s="605"/>
      <c r="Q114" s="605"/>
      <c r="R114" s="605"/>
      <c r="S114" s="605"/>
      <c r="T114" s="662">
        <f>-V114</f>
        <v>88</v>
      </c>
      <c r="U114" s="605"/>
      <c r="V114" s="663">
        <v>-88</v>
      </c>
      <c r="W114" s="607"/>
      <c r="X114" s="588"/>
    </row>
    <row r="115" spans="1:24" s="589" customFormat="1" x14ac:dyDescent="0.25">
      <c r="A115" s="604">
        <f t="shared" si="0"/>
        <v>10</v>
      </c>
      <c r="B115" s="605" t="s">
        <v>125</v>
      </c>
      <c r="C115" s="605"/>
      <c r="D115" s="605"/>
      <c r="E115" s="605"/>
      <c r="F115" s="605"/>
      <c r="G115" s="605"/>
      <c r="H115" s="605"/>
      <c r="I115" s="605"/>
      <c r="J115" s="605"/>
      <c r="K115" s="605"/>
      <c r="L115" s="605"/>
      <c r="M115" s="605"/>
      <c r="N115" s="605"/>
      <c r="O115" s="605"/>
      <c r="P115" s="605"/>
      <c r="Q115" s="605"/>
      <c r="R115" s="605"/>
      <c r="S115" s="605"/>
      <c r="T115" s="605"/>
      <c r="U115" s="605"/>
      <c r="V115" s="663">
        <v>0</v>
      </c>
      <c r="W115" s="607"/>
      <c r="X115" s="588"/>
    </row>
    <row r="116" spans="1:24" s="589" customFormat="1" x14ac:dyDescent="0.25">
      <c r="A116" s="604">
        <f t="shared" si="0"/>
        <v>11</v>
      </c>
      <c r="B116" s="605" t="s">
        <v>225</v>
      </c>
      <c r="C116" s="605"/>
      <c r="D116" s="605"/>
      <c r="E116" s="605"/>
      <c r="F116" s="605"/>
      <c r="G116" s="605"/>
      <c r="H116" s="605"/>
      <c r="I116" s="605"/>
      <c r="J116" s="605"/>
      <c r="K116" s="605"/>
      <c r="L116" s="605"/>
      <c r="M116" s="605"/>
      <c r="N116" s="605"/>
      <c r="O116" s="605"/>
      <c r="P116" s="605"/>
      <c r="Q116" s="605"/>
      <c r="R116" s="605"/>
      <c r="S116" s="605"/>
      <c r="T116" s="605"/>
      <c r="U116" s="605"/>
      <c r="V116" s="663">
        <v>0</v>
      </c>
      <c r="W116" s="607"/>
      <c r="X116" s="588"/>
    </row>
    <row r="117" spans="1:24" s="589" customFormat="1" x14ac:dyDescent="0.25">
      <c r="A117" s="604">
        <f t="shared" si="0"/>
        <v>12</v>
      </c>
      <c r="B117" s="605" t="s">
        <v>36</v>
      </c>
      <c r="C117" s="605"/>
      <c r="D117" s="605"/>
      <c r="E117" s="605"/>
      <c r="F117" s="605"/>
      <c r="G117" s="605"/>
      <c r="H117" s="605"/>
      <c r="I117" s="605"/>
      <c r="J117" s="605"/>
      <c r="K117" s="605"/>
      <c r="L117" s="605"/>
      <c r="M117" s="605"/>
      <c r="N117" s="605"/>
      <c r="O117" s="605"/>
      <c r="P117" s="605"/>
      <c r="Q117" s="605"/>
      <c r="R117" s="605"/>
      <c r="S117" s="605"/>
      <c r="T117" s="605"/>
      <c r="U117" s="605"/>
      <c r="V117" s="663">
        <v>0</v>
      </c>
      <c r="W117" s="607"/>
      <c r="X117" s="588"/>
    </row>
    <row r="118" spans="1:24" s="589" customFormat="1" x14ac:dyDescent="0.25">
      <c r="A118" s="604">
        <f t="shared" si="0"/>
        <v>13</v>
      </c>
      <c r="B118" s="605" t="s">
        <v>149</v>
      </c>
      <c r="C118" s="605"/>
      <c r="D118" s="605"/>
      <c r="E118" s="605"/>
      <c r="F118" s="605"/>
      <c r="G118" s="605"/>
      <c r="H118" s="605"/>
      <c r="I118" s="605"/>
      <c r="J118" s="605"/>
      <c r="K118" s="605"/>
      <c r="L118" s="605"/>
      <c r="M118" s="605"/>
      <c r="N118" s="605"/>
      <c r="O118" s="605"/>
      <c r="P118" s="605"/>
      <c r="Q118" s="605"/>
      <c r="R118" s="605"/>
      <c r="S118" s="605"/>
      <c r="T118" s="605"/>
      <c r="U118" s="605"/>
      <c r="V118" s="663">
        <v>-229</v>
      </c>
      <c r="W118" s="607"/>
      <c r="X118" s="588"/>
    </row>
    <row r="119" spans="1:24" s="589" customFormat="1" x14ac:dyDescent="0.25">
      <c r="A119" s="604">
        <f t="shared" si="0"/>
        <v>14</v>
      </c>
      <c r="B119" s="605" t="s">
        <v>126</v>
      </c>
      <c r="C119" s="605"/>
      <c r="D119" s="605"/>
      <c r="E119" s="605"/>
      <c r="F119" s="605"/>
      <c r="G119" s="605"/>
      <c r="H119" s="605"/>
      <c r="I119" s="605"/>
      <c r="J119" s="605"/>
      <c r="K119" s="605"/>
      <c r="L119" s="605"/>
      <c r="M119" s="605"/>
      <c r="N119" s="605"/>
      <c r="O119" s="605"/>
      <c r="P119" s="605"/>
      <c r="Q119" s="605"/>
      <c r="R119" s="605"/>
      <c r="S119" s="605"/>
      <c r="T119" s="605"/>
      <c r="U119" s="605"/>
      <c r="V119" s="663">
        <f>-V101-SUM(V103:V118)</f>
        <v>-1721</v>
      </c>
      <c r="W119" s="607"/>
      <c r="X119" s="588"/>
    </row>
    <row r="120" spans="1:24" x14ac:dyDescent="0.25">
      <c r="A120" s="677"/>
      <c r="B120" s="678" t="s">
        <v>37</v>
      </c>
      <c r="C120" s="679"/>
      <c r="D120" s="679"/>
      <c r="E120" s="679"/>
      <c r="F120" s="679"/>
      <c r="G120" s="679"/>
      <c r="H120" s="679"/>
      <c r="I120" s="679"/>
      <c r="J120" s="679"/>
      <c r="K120" s="679"/>
      <c r="L120" s="679"/>
      <c r="M120" s="679"/>
      <c r="N120" s="679"/>
      <c r="O120" s="679"/>
      <c r="P120" s="679"/>
      <c r="Q120" s="679"/>
      <c r="R120" s="679"/>
      <c r="S120" s="679"/>
      <c r="T120" s="681"/>
      <c r="U120" s="681"/>
      <c r="V120" s="686"/>
      <c r="W120" s="683"/>
      <c r="X120" s="572"/>
    </row>
    <row r="121" spans="1:24" s="589" customFormat="1" x14ac:dyDescent="0.25">
      <c r="A121" s="604"/>
      <c r="B121" s="605" t="s">
        <v>173</v>
      </c>
      <c r="C121" s="605"/>
      <c r="D121" s="605"/>
      <c r="E121" s="605"/>
      <c r="F121" s="605"/>
      <c r="G121" s="605"/>
      <c r="H121" s="605"/>
      <c r="I121" s="605"/>
      <c r="J121" s="605"/>
      <c r="K121" s="605"/>
      <c r="L121" s="605"/>
      <c r="M121" s="605"/>
      <c r="N121" s="605"/>
      <c r="O121" s="605"/>
      <c r="P121" s="605"/>
      <c r="Q121" s="605"/>
      <c r="R121" s="605"/>
      <c r="S121" s="605"/>
      <c r="T121" s="662">
        <f>-T186</f>
        <v>0</v>
      </c>
      <c r="U121" s="662"/>
      <c r="V121" s="663"/>
      <c r="W121" s="607"/>
      <c r="X121" s="588"/>
    </row>
    <row r="122" spans="1:24" s="589" customFormat="1" x14ac:dyDescent="0.25">
      <c r="A122" s="604"/>
      <c r="B122" s="605" t="s">
        <v>174</v>
      </c>
      <c r="C122" s="605"/>
      <c r="D122" s="605"/>
      <c r="E122" s="605"/>
      <c r="F122" s="605"/>
      <c r="G122" s="605"/>
      <c r="H122" s="605"/>
      <c r="I122" s="605"/>
      <c r="J122" s="605"/>
      <c r="K122" s="605"/>
      <c r="L122" s="605"/>
      <c r="M122" s="605"/>
      <c r="N122" s="605"/>
      <c r="O122" s="605"/>
      <c r="P122" s="605"/>
      <c r="Q122" s="605"/>
      <c r="R122" s="605"/>
      <c r="S122" s="605"/>
      <c r="T122" s="662">
        <v>0</v>
      </c>
      <c r="U122" s="662"/>
      <c r="V122" s="663"/>
      <c r="W122" s="607"/>
      <c r="X122" s="588"/>
    </row>
    <row r="123" spans="1:24" s="589" customFormat="1" x14ac:dyDescent="0.25">
      <c r="A123" s="604"/>
      <c r="B123" s="605" t="s">
        <v>38</v>
      </c>
      <c r="C123" s="605"/>
      <c r="D123" s="605"/>
      <c r="E123" s="605"/>
      <c r="F123" s="605"/>
      <c r="G123" s="605"/>
      <c r="H123" s="605"/>
      <c r="I123" s="605"/>
      <c r="J123" s="605"/>
      <c r="K123" s="605"/>
      <c r="L123" s="605"/>
      <c r="M123" s="605"/>
      <c r="N123" s="605"/>
      <c r="O123" s="605"/>
      <c r="P123" s="605"/>
      <c r="Q123" s="605"/>
      <c r="R123" s="605"/>
      <c r="S123" s="605"/>
      <c r="T123" s="662">
        <f>-S186</f>
        <v>-58</v>
      </c>
      <c r="U123" s="662"/>
      <c r="V123" s="663"/>
      <c r="W123" s="607"/>
      <c r="X123" s="588"/>
    </row>
    <row r="124" spans="1:24" s="589" customFormat="1" x14ac:dyDescent="0.25">
      <c r="A124" s="604"/>
      <c r="B124" s="605" t="s">
        <v>197</v>
      </c>
      <c r="C124" s="605"/>
      <c r="D124" s="605"/>
      <c r="E124" s="605"/>
      <c r="F124" s="605"/>
      <c r="G124" s="605"/>
      <c r="H124" s="605"/>
      <c r="I124" s="605"/>
      <c r="J124" s="605"/>
      <c r="K124" s="605"/>
      <c r="L124" s="605"/>
      <c r="M124" s="605"/>
      <c r="N124" s="605"/>
      <c r="O124" s="605"/>
      <c r="P124" s="605"/>
      <c r="Q124" s="605"/>
      <c r="R124" s="605"/>
      <c r="S124" s="605"/>
      <c r="T124" s="662">
        <v>-5848</v>
      </c>
      <c r="U124" s="662"/>
      <c r="V124" s="663"/>
      <c r="W124" s="607"/>
      <c r="X124" s="588"/>
    </row>
    <row r="125" spans="1:24" s="589" customFormat="1" x14ac:dyDescent="0.25">
      <c r="A125" s="604"/>
      <c r="B125" s="605" t="s">
        <v>195</v>
      </c>
      <c r="C125" s="605"/>
      <c r="D125" s="605"/>
      <c r="E125" s="605"/>
      <c r="F125" s="605"/>
      <c r="G125" s="605"/>
      <c r="H125" s="605"/>
      <c r="I125" s="605"/>
      <c r="J125" s="605"/>
      <c r="K125" s="605"/>
      <c r="L125" s="605"/>
      <c r="M125" s="605"/>
      <c r="N125" s="605"/>
      <c r="O125" s="605"/>
      <c r="P125" s="605"/>
      <c r="Q125" s="605"/>
      <c r="R125" s="605"/>
      <c r="S125" s="605"/>
      <c r="T125" s="662">
        <v>-2485</v>
      </c>
      <c r="U125" s="662"/>
      <c r="V125" s="663"/>
      <c r="W125" s="607"/>
      <c r="X125" s="588"/>
    </row>
    <row r="126" spans="1:24" s="589" customFormat="1" x14ac:dyDescent="0.25">
      <c r="A126" s="604"/>
      <c r="B126" s="605" t="s">
        <v>194</v>
      </c>
      <c r="C126" s="605"/>
      <c r="D126" s="605"/>
      <c r="E126" s="605"/>
      <c r="F126" s="605"/>
      <c r="G126" s="605"/>
      <c r="H126" s="605"/>
      <c r="I126" s="605"/>
      <c r="J126" s="605"/>
      <c r="K126" s="605"/>
      <c r="L126" s="605"/>
      <c r="M126" s="605"/>
      <c r="N126" s="605"/>
      <c r="O126" s="605"/>
      <c r="P126" s="605"/>
      <c r="Q126" s="605"/>
      <c r="R126" s="605"/>
      <c r="S126" s="605"/>
      <c r="T126" s="662">
        <v>-886</v>
      </c>
      <c r="U126" s="662"/>
      <c r="V126" s="663"/>
      <c r="W126" s="607"/>
      <c r="X126" s="588"/>
    </row>
    <row r="127" spans="1:24" s="589" customFormat="1" x14ac:dyDescent="0.25">
      <c r="A127" s="604"/>
      <c r="B127" s="605" t="s">
        <v>222</v>
      </c>
      <c r="C127" s="605"/>
      <c r="D127" s="605"/>
      <c r="E127" s="605"/>
      <c r="F127" s="605"/>
      <c r="G127" s="605"/>
      <c r="H127" s="605"/>
      <c r="I127" s="605"/>
      <c r="J127" s="605"/>
      <c r="K127" s="605"/>
      <c r="L127" s="605"/>
      <c r="M127" s="605"/>
      <c r="N127" s="605"/>
      <c r="O127" s="605"/>
      <c r="P127" s="605"/>
      <c r="Q127" s="605"/>
      <c r="R127" s="605"/>
      <c r="S127" s="605"/>
      <c r="T127" s="662">
        <v>-877</v>
      </c>
      <c r="U127" s="662"/>
      <c r="V127" s="663"/>
      <c r="W127" s="607"/>
      <c r="X127" s="588"/>
    </row>
    <row r="128" spans="1:24" s="589" customFormat="1" x14ac:dyDescent="0.25">
      <c r="A128" s="604"/>
      <c r="B128" s="605" t="s">
        <v>189</v>
      </c>
      <c r="C128" s="605"/>
      <c r="D128" s="605"/>
      <c r="E128" s="605"/>
      <c r="F128" s="605"/>
      <c r="G128" s="605"/>
      <c r="H128" s="605"/>
      <c r="I128" s="605"/>
      <c r="J128" s="605"/>
      <c r="K128" s="605"/>
      <c r="L128" s="605"/>
      <c r="M128" s="605"/>
      <c r="N128" s="605"/>
      <c r="O128" s="605"/>
      <c r="P128" s="605"/>
      <c r="Q128" s="605"/>
      <c r="R128" s="605"/>
      <c r="S128" s="605"/>
      <c r="T128" s="662">
        <v>0</v>
      </c>
      <c r="U128" s="662"/>
      <c r="V128" s="663"/>
      <c r="W128" s="607"/>
      <c r="X128" s="588"/>
    </row>
    <row r="129" spans="1:24" s="589" customFormat="1" x14ac:dyDescent="0.25">
      <c r="A129" s="604"/>
      <c r="B129" s="605" t="s">
        <v>188</v>
      </c>
      <c r="C129" s="605"/>
      <c r="D129" s="605"/>
      <c r="E129" s="605"/>
      <c r="F129" s="605"/>
      <c r="G129" s="605"/>
      <c r="H129" s="605"/>
      <c r="I129" s="605"/>
      <c r="J129" s="605"/>
      <c r="K129" s="605"/>
      <c r="L129" s="605"/>
      <c r="M129" s="605"/>
      <c r="N129" s="605"/>
      <c r="O129" s="605"/>
      <c r="P129" s="605"/>
      <c r="Q129" s="605"/>
      <c r="R129" s="605"/>
      <c r="S129" s="605"/>
      <c r="T129" s="662">
        <v>0</v>
      </c>
      <c r="U129" s="662"/>
      <c r="V129" s="663"/>
      <c r="W129" s="607"/>
      <c r="X129" s="588"/>
    </row>
    <row r="130" spans="1:24" s="589" customFormat="1" x14ac:dyDescent="0.25">
      <c r="A130" s="604"/>
      <c r="B130" s="605" t="s">
        <v>187</v>
      </c>
      <c r="C130" s="605"/>
      <c r="D130" s="605"/>
      <c r="E130" s="605"/>
      <c r="F130" s="605"/>
      <c r="G130" s="605"/>
      <c r="H130" s="605"/>
      <c r="I130" s="605"/>
      <c r="J130" s="605"/>
      <c r="K130" s="605"/>
      <c r="L130" s="605"/>
      <c r="M130" s="605"/>
      <c r="N130" s="605"/>
      <c r="O130" s="605"/>
      <c r="P130" s="605"/>
      <c r="Q130" s="605"/>
      <c r="R130" s="605"/>
      <c r="S130" s="605"/>
      <c r="T130" s="662">
        <v>0</v>
      </c>
      <c r="U130" s="662"/>
      <c r="V130" s="663"/>
      <c r="W130" s="607"/>
      <c r="X130" s="588"/>
    </row>
    <row r="131" spans="1:24" s="589" customFormat="1" x14ac:dyDescent="0.25">
      <c r="A131" s="604"/>
      <c r="B131" s="605" t="s">
        <v>39</v>
      </c>
      <c r="C131" s="605"/>
      <c r="D131" s="605"/>
      <c r="E131" s="605"/>
      <c r="F131" s="605"/>
      <c r="G131" s="605"/>
      <c r="H131" s="605"/>
      <c r="I131" s="605"/>
      <c r="J131" s="605"/>
      <c r="K131" s="605"/>
      <c r="L131" s="605"/>
      <c r="M131" s="605"/>
      <c r="N131" s="605"/>
      <c r="O131" s="605"/>
      <c r="P131" s="605"/>
      <c r="Q131" s="605"/>
      <c r="R131" s="605"/>
      <c r="S131" s="605"/>
      <c r="T131" s="662">
        <f>SUM(T121:T130)</f>
        <v>-10154</v>
      </c>
      <c r="U131" s="662"/>
      <c r="V131" s="662">
        <f>SUM(V102:V129)</f>
        <v>-4178</v>
      </c>
      <c r="W131" s="607"/>
      <c r="X131" s="588"/>
    </row>
    <row r="132" spans="1:24" s="589" customFormat="1" x14ac:dyDescent="0.25">
      <c r="A132" s="604"/>
      <c r="B132" s="605" t="s">
        <v>40</v>
      </c>
      <c r="C132" s="605"/>
      <c r="D132" s="605"/>
      <c r="E132" s="605"/>
      <c r="F132" s="605"/>
      <c r="G132" s="605"/>
      <c r="H132" s="605"/>
      <c r="I132" s="605"/>
      <c r="J132" s="605"/>
      <c r="K132" s="605"/>
      <c r="L132" s="605"/>
      <c r="M132" s="605"/>
      <c r="N132" s="605"/>
      <c r="O132" s="605"/>
      <c r="P132" s="605"/>
      <c r="Q132" s="605"/>
      <c r="R132" s="605"/>
      <c r="S132" s="605"/>
      <c r="T132" s="662">
        <f>T101+T131+T114</f>
        <v>0</v>
      </c>
      <c r="U132" s="662"/>
      <c r="V132" s="662">
        <f>V101+V131</f>
        <v>0</v>
      </c>
      <c r="W132" s="607"/>
      <c r="X132" s="588"/>
    </row>
    <row r="133" spans="1:24" s="589" customFormat="1" x14ac:dyDescent="0.25">
      <c r="A133" s="585"/>
      <c r="B133" s="602"/>
      <c r="C133" s="602"/>
      <c r="D133" s="602"/>
      <c r="E133" s="602"/>
      <c r="F133" s="602"/>
      <c r="G133" s="602"/>
      <c r="H133" s="602"/>
      <c r="I133" s="602"/>
      <c r="J133" s="602"/>
      <c r="K133" s="602"/>
      <c r="L133" s="602"/>
      <c r="M133" s="602"/>
      <c r="N133" s="602"/>
      <c r="O133" s="602"/>
      <c r="P133" s="602"/>
      <c r="Q133" s="602"/>
      <c r="R133" s="602"/>
      <c r="S133" s="602"/>
      <c r="T133" s="673"/>
      <c r="U133" s="673"/>
      <c r="V133" s="673"/>
      <c r="W133" s="602"/>
      <c r="X133" s="588"/>
    </row>
    <row r="134" spans="1:24" s="589" customFormat="1" x14ac:dyDescent="0.25">
      <c r="A134" s="585"/>
      <c r="B134" s="586"/>
      <c r="C134" s="586"/>
      <c r="D134" s="586"/>
      <c r="E134" s="586"/>
      <c r="F134" s="586"/>
      <c r="G134" s="586"/>
      <c r="H134" s="586"/>
      <c r="I134" s="586"/>
      <c r="J134" s="586"/>
      <c r="K134" s="586"/>
      <c r="L134" s="586"/>
      <c r="M134" s="586"/>
      <c r="N134" s="586"/>
      <c r="O134" s="586"/>
      <c r="P134" s="586"/>
      <c r="Q134" s="586"/>
      <c r="R134" s="586"/>
      <c r="S134" s="586"/>
      <c r="T134" s="586"/>
      <c r="U134" s="586"/>
      <c r="V134" s="687"/>
      <c r="W134" s="586"/>
      <c r="X134" s="588"/>
    </row>
    <row r="135" spans="1:24" s="589" customFormat="1" ht="19.5" thickBot="1" x14ac:dyDescent="0.35">
      <c r="A135" s="649"/>
      <c r="B135" s="568" t="str">
        <f>B64</f>
        <v>PM15 INVESTOR REPORT QUARTER ENDING NOVEMBER 2018</v>
      </c>
      <c r="C135" s="650"/>
      <c r="D135" s="650"/>
      <c r="E135" s="650"/>
      <c r="F135" s="650"/>
      <c r="G135" s="650"/>
      <c r="H135" s="650"/>
      <c r="I135" s="650"/>
      <c r="J135" s="650"/>
      <c r="K135" s="650"/>
      <c r="L135" s="650"/>
      <c r="M135" s="650"/>
      <c r="N135" s="650"/>
      <c r="O135" s="650"/>
      <c r="P135" s="650"/>
      <c r="Q135" s="650"/>
      <c r="R135" s="650"/>
      <c r="S135" s="650"/>
      <c r="T135" s="650"/>
      <c r="U135" s="650"/>
      <c r="V135" s="688"/>
      <c r="W135" s="652"/>
      <c r="X135" s="588"/>
    </row>
    <row r="136" spans="1:24" x14ac:dyDescent="0.25">
      <c r="A136" s="689"/>
      <c r="B136" s="690" t="s">
        <v>41</v>
      </c>
      <c r="C136" s="691"/>
      <c r="D136" s="691"/>
      <c r="E136" s="691"/>
      <c r="F136" s="691"/>
      <c r="G136" s="691"/>
      <c r="H136" s="691"/>
      <c r="I136" s="691"/>
      <c r="J136" s="691"/>
      <c r="K136" s="691"/>
      <c r="L136" s="691"/>
      <c r="M136" s="691"/>
      <c r="N136" s="691"/>
      <c r="O136" s="691"/>
      <c r="P136" s="691"/>
      <c r="Q136" s="691"/>
      <c r="R136" s="691"/>
      <c r="S136" s="691"/>
      <c r="T136" s="691"/>
      <c r="U136" s="691"/>
      <c r="V136" s="692"/>
      <c r="W136" s="691"/>
      <c r="X136" s="572"/>
    </row>
    <row r="137" spans="1:24" x14ac:dyDescent="0.25">
      <c r="A137" s="574"/>
      <c r="B137" s="693"/>
      <c r="C137" s="576"/>
      <c r="D137" s="576"/>
      <c r="E137" s="576"/>
      <c r="F137" s="576"/>
      <c r="G137" s="576"/>
      <c r="H137" s="576"/>
      <c r="I137" s="576"/>
      <c r="J137" s="576"/>
      <c r="K137" s="576"/>
      <c r="L137" s="576"/>
      <c r="M137" s="576"/>
      <c r="N137" s="576"/>
      <c r="O137" s="576"/>
      <c r="P137" s="576"/>
      <c r="Q137" s="576"/>
      <c r="R137" s="576"/>
      <c r="S137" s="576"/>
      <c r="T137" s="576"/>
      <c r="U137" s="576"/>
      <c r="V137" s="656"/>
      <c r="W137" s="576"/>
      <c r="X137" s="572"/>
    </row>
    <row r="138" spans="1:24" x14ac:dyDescent="0.25">
      <c r="A138" s="574"/>
      <c r="B138" s="694" t="s">
        <v>42</v>
      </c>
      <c r="C138" s="576"/>
      <c r="D138" s="576"/>
      <c r="E138" s="576"/>
      <c r="F138" s="576"/>
      <c r="G138" s="576"/>
      <c r="H138" s="576"/>
      <c r="I138" s="576"/>
      <c r="J138" s="576"/>
      <c r="K138" s="576"/>
      <c r="L138" s="576"/>
      <c r="M138" s="576"/>
      <c r="N138" s="576"/>
      <c r="O138" s="576"/>
      <c r="P138" s="576"/>
      <c r="Q138" s="576"/>
      <c r="R138" s="576"/>
      <c r="S138" s="576"/>
      <c r="T138" s="576"/>
      <c r="U138" s="576"/>
      <c r="V138" s="656"/>
      <c r="W138" s="576"/>
      <c r="X138" s="572"/>
    </row>
    <row r="139" spans="1:24" s="589" customFormat="1" x14ac:dyDescent="0.25">
      <c r="A139" s="604"/>
      <c r="B139" s="605" t="s">
        <v>43</v>
      </c>
      <c r="C139" s="605"/>
      <c r="D139" s="605"/>
      <c r="E139" s="605"/>
      <c r="F139" s="605"/>
      <c r="G139" s="605"/>
      <c r="H139" s="605"/>
      <c r="I139" s="605"/>
      <c r="J139" s="605"/>
      <c r="K139" s="605"/>
      <c r="L139" s="605"/>
      <c r="M139" s="605"/>
      <c r="N139" s="605"/>
      <c r="O139" s="605"/>
      <c r="P139" s="605"/>
      <c r="Q139" s="605"/>
      <c r="R139" s="605"/>
      <c r="S139" s="605"/>
      <c r="T139" s="605"/>
      <c r="U139" s="605"/>
      <c r="V139" s="663">
        <f>+V34*0.019</f>
        <v>19021.526999999998</v>
      </c>
      <c r="W139" s="607"/>
      <c r="X139" s="588"/>
    </row>
    <row r="140" spans="1:24" s="589" customFormat="1" x14ac:dyDescent="0.25">
      <c r="A140" s="604"/>
      <c r="B140" s="605" t="s">
        <v>44</v>
      </c>
      <c r="C140" s="605"/>
      <c r="D140" s="605"/>
      <c r="E140" s="605"/>
      <c r="F140" s="605"/>
      <c r="G140" s="605"/>
      <c r="H140" s="605"/>
      <c r="I140" s="605"/>
      <c r="J140" s="605"/>
      <c r="K140" s="605"/>
      <c r="L140" s="605"/>
      <c r="M140" s="605"/>
      <c r="N140" s="605"/>
      <c r="O140" s="605"/>
      <c r="P140" s="605"/>
      <c r="Q140" s="605"/>
      <c r="R140" s="605"/>
      <c r="S140" s="605"/>
      <c r="T140" s="605"/>
      <c r="U140" s="605"/>
      <c r="V140" s="663">
        <v>19022</v>
      </c>
      <c r="W140" s="607"/>
      <c r="X140" s="588"/>
    </row>
    <row r="141" spans="1:24" s="589" customFormat="1" x14ac:dyDescent="0.25">
      <c r="A141" s="604"/>
      <c r="B141" s="605" t="s">
        <v>136</v>
      </c>
      <c r="C141" s="605"/>
      <c r="D141" s="605"/>
      <c r="E141" s="605"/>
      <c r="F141" s="605"/>
      <c r="G141" s="605"/>
      <c r="H141" s="605"/>
      <c r="I141" s="605"/>
      <c r="J141" s="605"/>
      <c r="K141" s="605"/>
      <c r="L141" s="605"/>
      <c r="M141" s="605"/>
      <c r="N141" s="605"/>
      <c r="O141" s="605"/>
      <c r="P141" s="605"/>
      <c r="Q141" s="605"/>
      <c r="R141" s="605"/>
      <c r="S141" s="605"/>
      <c r="T141" s="605"/>
      <c r="U141" s="605"/>
      <c r="V141" s="663"/>
      <c r="W141" s="607"/>
      <c r="X141" s="588"/>
    </row>
    <row r="142" spans="1:24" s="589" customFormat="1" x14ac:dyDescent="0.25">
      <c r="A142" s="604"/>
      <c r="B142" s="605" t="s">
        <v>123</v>
      </c>
      <c r="C142" s="605"/>
      <c r="D142" s="605"/>
      <c r="E142" s="605"/>
      <c r="F142" s="605"/>
      <c r="G142" s="605"/>
      <c r="H142" s="605"/>
      <c r="I142" s="605"/>
      <c r="J142" s="605"/>
      <c r="K142" s="605"/>
      <c r="L142" s="605"/>
      <c r="M142" s="605"/>
      <c r="N142" s="605"/>
      <c r="O142" s="605"/>
      <c r="P142" s="605"/>
      <c r="Q142" s="605"/>
      <c r="R142" s="605"/>
      <c r="S142" s="605"/>
      <c r="T142" s="605"/>
      <c r="U142" s="605"/>
      <c r="V142" s="663">
        <v>0</v>
      </c>
      <c r="W142" s="607"/>
      <c r="X142" s="588"/>
    </row>
    <row r="143" spans="1:24" s="589" customFormat="1" x14ac:dyDescent="0.25">
      <c r="A143" s="604"/>
      <c r="B143" s="605" t="s">
        <v>124</v>
      </c>
      <c r="C143" s="605"/>
      <c r="D143" s="605"/>
      <c r="E143" s="605"/>
      <c r="F143" s="605"/>
      <c r="G143" s="605"/>
      <c r="H143" s="605"/>
      <c r="I143" s="605"/>
      <c r="J143" s="605"/>
      <c r="K143" s="605"/>
      <c r="L143" s="605"/>
      <c r="M143" s="605"/>
      <c r="N143" s="605"/>
      <c r="O143" s="605"/>
      <c r="P143" s="605"/>
      <c r="Q143" s="605"/>
      <c r="R143" s="605"/>
      <c r="S143" s="605"/>
      <c r="T143" s="605"/>
      <c r="U143" s="605"/>
      <c r="V143" s="663">
        <v>0</v>
      </c>
      <c r="W143" s="607"/>
      <c r="X143" s="588"/>
    </row>
    <row r="144" spans="1:24" s="589" customFormat="1" x14ac:dyDescent="0.25">
      <c r="A144" s="604"/>
      <c r="B144" s="605" t="s">
        <v>175</v>
      </c>
      <c r="C144" s="605"/>
      <c r="D144" s="605"/>
      <c r="E144" s="605"/>
      <c r="F144" s="605"/>
      <c r="G144" s="605"/>
      <c r="H144" s="605"/>
      <c r="I144" s="605"/>
      <c r="J144" s="605"/>
      <c r="K144" s="605"/>
      <c r="L144" s="605"/>
      <c r="M144" s="605"/>
      <c r="N144" s="605"/>
      <c r="O144" s="605"/>
      <c r="P144" s="605"/>
      <c r="Q144" s="605"/>
      <c r="R144" s="605"/>
      <c r="S144" s="605"/>
      <c r="T144" s="605"/>
      <c r="U144" s="605"/>
      <c r="V144" s="663">
        <v>0</v>
      </c>
      <c r="W144" s="607"/>
      <c r="X144" s="588"/>
    </row>
    <row r="145" spans="1:25" s="589" customFormat="1" x14ac:dyDescent="0.25">
      <c r="A145" s="604"/>
      <c r="B145" s="605" t="s">
        <v>45</v>
      </c>
      <c r="C145" s="605"/>
      <c r="D145" s="605"/>
      <c r="E145" s="605"/>
      <c r="F145" s="605"/>
      <c r="G145" s="605"/>
      <c r="H145" s="605"/>
      <c r="I145" s="605"/>
      <c r="J145" s="605"/>
      <c r="K145" s="605"/>
      <c r="L145" s="605"/>
      <c r="M145" s="605"/>
      <c r="N145" s="605"/>
      <c r="O145" s="605"/>
      <c r="P145" s="605"/>
      <c r="Q145" s="605"/>
      <c r="R145" s="605"/>
      <c r="S145" s="605"/>
      <c r="T145" s="605"/>
      <c r="U145" s="605"/>
      <c r="V145" s="663">
        <v>0</v>
      </c>
      <c r="W145" s="607"/>
      <c r="X145" s="588"/>
    </row>
    <row r="146" spans="1:25" s="589" customFormat="1" x14ac:dyDescent="0.25">
      <c r="A146" s="604"/>
      <c r="B146" s="605" t="s">
        <v>129</v>
      </c>
      <c r="C146" s="605"/>
      <c r="D146" s="605"/>
      <c r="E146" s="605"/>
      <c r="F146" s="605"/>
      <c r="G146" s="605"/>
      <c r="H146" s="605"/>
      <c r="I146" s="605"/>
      <c r="J146" s="605"/>
      <c r="K146" s="605"/>
      <c r="L146" s="605"/>
      <c r="M146" s="605"/>
      <c r="N146" s="605"/>
      <c r="O146" s="605"/>
      <c r="P146" s="605"/>
      <c r="Q146" s="605"/>
      <c r="R146" s="605"/>
      <c r="S146" s="605"/>
      <c r="T146" s="605"/>
      <c r="U146" s="605"/>
      <c r="V146" s="663">
        <v>0</v>
      </c>
      <c r="W146" s="607"/>
      <c r="X146" s="588"/>
    </row>
    <row r="147" spans="1:25" s="589" customFormat="1" x14ac:dyDescent="0.25">
      <c r="A147" s="604"/>
      <c r="B147" s="605" t="s">
        <v>241</v>
      </c>
      <c r="C147" s="605"/>
      <c r="D147" s="605"/>
      <c r="E147" s="605"/>
      <c r="F147" s="605"/>
      <c r="G147" s="605"/>
      <c r="H147" s="605"/>
      <c r="I147" s="605"/>
      <c r="J147" s="605"/>
      <c r="K147" s="605"/>
      <c r="L147" s="605"/>
      <c r="M147" s="605"/>
      <c r="N147" s="605"/>
      <c r="O147" s="605"/>
      <c r="P147" s="605"/>
      <c r="Q147" s="605"/>
      <c r="R147" s="605"/>
      <c r="S147" s="605"/>
      <c r="T147" s="605"/>
      <c r="U147" s="605"/>
      <c r="V147" s="663">
        <v>0</v>
      </c>
      <c r="W147" s="607"/>
      <c r="X147" s="588"/>
      <c r="Y147" s="685"/>
    </row>
    <row r="148" spans="1:25" s="589" customFormat="1" x14ac:dyDescent="0.25">
      <c r="A148" s="604"/>
      <c r="B148" s="605" t="s">
        <v>46</v>
      </c>
      <c r="C148" s="605"/>
      <c r="D148" s="605"/>
      <c r="E148" s="605"/>
      <c r="F148" s="605"/>
      <c r="G148" s="605"/>
      <c r="H148" s="605"/>
      <c r="I148" s="605"/>
      <c r="J148" s="605"/>
      <c r="K148" s="605"/>
      <c r="L148" s="605"/>
      <c r="M148" s="605"/>
      <c r="N148" s="605"/>
      <c r="O148" s="605"/>
      <c r="P148" s="605"/>
      <c r="Q148" s="605"/>
      <c r="R148" s="605"/>
      <c r="S148" s="605"/>
      <c r="T148" s="605"/>
      <c r="U148" s="605"/>
      <c r="V148" s="663">
        <f>SUM(V140:V147)</f>
        <v>19022</v>
      </c>
      <c r="W148" s="607"/>
      <c r="X148" s="588"/>
    </row>
    <row r="149" spans="1:25" x14ac:dyDescent="0.25">
      <c r="A149" s="677"/>
      <c r="B149" s="679"/>
      <c r="C149" s="679"/>
      <c r="D149" s="679"/>
      <c r="E149" s="679"/>
      <c r="F149" s="679"/>
      <c r="G149" s="679"/>
      <c r="H149" s="679"/>
      <c r="I149" s="679"/>
      <c r="J149" s="679"/>
      <c r="K149" s="679"/>
      <c r="L149" s="679"/>
      <c r="M149" s="679"/>
      <c r="N149" s="679"/>
      <c r="O149" s="679"/>
      <c r="P149" s="679"/>
      <c r="Q149" s="679"/>
      <c r="R149" s="679"/>
      <c r="S149" s="679"/>
      <c r="T149" s="679"/>
      <c r="U149" s="679"/>
      <c r="V149" s="695"/>
      <c r="W149" s="683"/>
      <c r="X149" s="572"/>
    </row>
    <row r="150" spans="1:25" x14ac:dyDescent="0.25">
      <c r="A150" s="677"/>
      <c r="B150" s="678" t="s">
        <v>269</v>
      </c>
      <c r="C150" s="679"/>
      <c r="D150" s="679"/>
      <c r="E150" s="679"/>
      <c r="F150" s="679"/>
      <c r="G150" s="679"/>
      <c r="H150" s="679"/>
      <c r="I150" s="679"/>
      <c r="J150" s="679"/>
      <c r="K150" s="679"/>
      <c r="L150" s="679"/>
      <c r="M150" s="679"/>
      <c r="N150" s="679"/>
      <c r="O150" s="679"/>
      <c r="P150" s="679"/>
      <c r="Q150" s="679"/>
      <c r="R150" s="679"/>
      <c r="S150" s="679"/>
      <c r="T150" s="679"/>
      <c r="U150" s="679"/>
      <c r="V150" s="695"/>
      <c r="W150" s="683"/>
      <c r="X150" s="572"/>
    </row>
    <row r="151" spans="1:25" s="589" customFormat="1" x14ac:dyDescent="0.25">
      <c r="A151" s="604"/>
      <c r="B151" s="605" t="s">
        <v>155</v>
      </c>
      <c r="C151" s="605"/>
      <c r="D151" s="605"/>
      <c r="E151" s="605"/>
      <c r="F151" s="605"/>
      <c r="G151" s="605"/>
      <c r="H151" s="605"/>
      <c r="I151" s="605"/>
      <c r="J151" s="605"/>
      <c r="K151" s="605"/>
      <c r="L151" s="605"/>
      <c r="M151" s="605"/>
      <c r="N151" s="605"/>
      <c r="O151" s="605"/>
      <c r="P151" s="605"/>
      <c r="Q151" s="605"/>
      <c r="R151" s="605"/>
      <c r="S151" s="605"/>
      <c r="T151" s="605"/>
      <c r="U151" s="605"/>
      <c r="V151" s="663">
        <v>0</v>
      </c>
      <c r="W151" s="607"/>
      <c r="X151" s="588"/>
    </row>
    <row r="152" spans="1:25" s="589" customFormat="1" x14ac:dyDescent="0.25">
      <c r="A152" s="604"/>
      <c r="B152" s="605" t="s">
        <v>172</v>
      </c>
      <c r="C152" s="605"/>
      <c r="D152" s="605"/>
      <c r="E152" s="605"/>
      <c r="F152" s="605"/>
      <c r="G152" s="605"/>
      <c r="H152" s="605"/>
      <c r="I152" s="605"/>
      <c r="J152" s="605"/>
      <c r="K152" s="605"/>
      <c r="L152" s="605"/>
      <c r="M152" s="605"/>
      <c r="N152" s="605"/>
      <c r="O152" s="605"/>
      <c r="P152" s="605"/>
      <c r="Q152" s="605"/>
      <c r="R152" s="605"/>
      <c r="S152" s="605"/>
      <c r="T152" s="605"/>
      <c r="U152" s="605"/>
      <c r="V152" s="663">
        <v>0</v>
      </c>
      <c r="W152" s="607"/>
      <c r="X152" s="588"/>
    </row>
    <row r="153" spans="1:25" s="589" customFormat="1" x14ac:dyDescent="0.25">
      <c r="A153" s="604"/>
      <c r="B153" s="605" t="s">
        <v>226</v>
      </c>
      <c r="C153" s="605"/>
      <c r="D153" s="605"/>
      <c r="E153" s="605"/>
      <c r="F153" s="605"/>
      <c r="G153" s="605"/>
      <c r="H153" s="605"/>
      <c r="I153" s="605"/>
      <c r="J153" s="605"/>
      <c r="K153" s="605"/>
      <c r="L153" s="605"/>
      <c r="M153" s="605"/>
      <c r="N153" s="605"/>
      <c r="O153" s="605"/>
      <c r="P153" s="605"/>
      <c r="Q153" s="605"/>
      <c r="R153" s="605"/>
      <c r="S153" s="605"/>
      <c r="T153" s="605"/>
      <c r="U153" s="605"/>
      <c r="V153" s="663">
        <v>0</v>
      </c>
      <c r="W153" s="607"/>
      <c r="X153" s="588"/>
    </row>
    <row r="154" spans="1:25" x14ac:dyDescent="0.25">
      <c r="A154" s="677"/>
      <c r="B154" s="679"/>
      <c r="C154" s="679"/>
      <c r="D154" s="679"/>
      <c r="E154" s="679"/>
      <c r="F154" s="679"/>
      <c r="G154" s="679"/>
      <c r="H154" s="679"/>
      <c r="I154" s="679"/>
      <c r="J154" s="679"/>
      <c r="K154" s="679"/>
      <c r="L154" s="679"/>
      <c r="M154" s="679"/>
      <c r="N154" s="679"/>
      <c r="O154" s="679"/>
      <c r="P154" s="679"/>
      <c r="Q154" s="679"/>
      <c r="R154" s="679"/>
      <c r="S154" s="679"/>
      <c r="T154" s="679"/>
      <c r="U154" s="679"/>
      <c r="V154" s="695"/>
      <c r="W154" s="683"/>
      <c r="X154" s="572"/>
    </row>
    <row r="155" spans="1:25" x14ac:dyDescent="0.25">
      <c r="A155" s="574"/>
      <c r="B155" s="664"/>
      <c r="C155" s="664"/>
      <c r="D155" s="664"/>
      <c r="E155" s="664"/>
      <c r="F155" s="664"/>
      <c r="G155" s="664"/>
      <c r="H155" s="664"/>
      <c r="I155" s="664"/>
      <c r="J155" s="664"/>
      <c r="K155" s="664"/>
      <c r="L155" s="664"/>
      <c r="M155" s="664"/>
      <c r="N155" s="664"/>
      <c r="O155" s="664"/>
      <c r="P155" s="664"/>
      <c r="Q155" s="664"/>
      <c r="R155" s="664"/>
      <c r="S155" s="664"/>
      <c r="T155" s="664"/>
      <c r="U155" s="664"/>
      <c r="V155" s="696"/>
      <c r="W155" s="664"/>
      <c r="X155" s="572"/>
    </row>
    <row r="156" spans="1:25" x14ac:dyDescent="0.25">
      <c r="A156" s="574"/>
      <c r="B156" s="694" t="s">
        <v>24</v>
      </c>
      <c r="C156" s="576"/>
      <c r="D156" s="576"/>
      <c r="E156" s="576"/>
      <c r="F156" s="576"/>
      <c r="G156" s="576"/>
      <c r="H156" s="576"/>
      <c r="I156" s="576"/>
      <c r="J156" s="576"/>
      <c r="K156" s="576"/>
      <c r="L156" s="576"/>
      <c r="M156" s="576"/>
      <c r="N156" s="576"/>
      <c r="O156" s="576"/>
      <c r="P156" s="576"/>
      <c r="Q156" s="576"/>
      <c r="R156" s="576"/>
      <c r="S156" s="576"/>
      <c r="T156" s="576"/>
      <c r="U156" s="576"/>
      <c r="V156" s="656"/>
      <c r="W156" s="576"/>
      <c r="X156" s="572"/>
    </row>
    <row r="157" spans="1:25" s="589" customFormat="1" x14ac:dyDescent="0.25">
      <c r="A157" s="604"/>
      <c r="B157" s="605" t="s">
        <v>47</v>
      </c>
      <c r="C157" s="605"/>
      <c r="D157" s="605"/>
      <c r="E157" s="605"/>
      <c r="F157" s="605"/>
      <c r="G157" s="605"/>
      <c r="H157" s="605"/>
      <c r="I157" s="605"/>
      <c r="J157" s="605"/>
      <c r="K157" s="605"/>
      <c r="L157" s="605"/>
      <c r="M157" s="605"/>
      <c r="N157" s="605"/>
      <c r="O157" s="605"/>
      <c r="P157" s="605"/>
      <c r="Q157" s="605"/>
      <c r="R157" s="605"/>
      <c r="S157" s="605"/>
      <c r="T157" s="605"/>
      <c r="U157" s="605"/>
      <c r="V157" s="697" t="s">
        <v>118</v>
      </c>
      <c r="W157" s="607"/>
      <c r="X157" s="588"/>
    </row>
    <row r="158" spans="1:25" s="589" customFormat="1" x14ac:dyDescent="0.25">
      <c r="A158" s="604"/>
      <c r="B158" s="605" t="s">
        <v>48</v>
      </c>
      <c r="C158" s="605"/>
      <c r="D158" s="605"/>
      <c r="E158" s="605"/>
      <c r="F158" s="605"/>
      <c r="G158" s="605"/>
      <c r="H158" s="605"/>
      <c r="I158" s="605"/>
      <c r="J158" s="605"/>
      <c r="K158" s="605"/>
      <c r="L158" s="605"/>
      <c r="M158" s="605"/>
      <c r="N158" s="605"/>
      <c r="O158" s="605"/>
      <c r="P158" s="605"/>
      <c r="Q158" s="605"/>
      <c r="R158" s="605"/>
      <c r="S158" s="605"/>
      <c r="T158" s="605"/>
      <c r="U158" s="605"/>
      <c r="V158" s="697" t="s">
        <v>118</v>
      </c>
      <c r="W158" s="607"/>
      <c r="X158" s="588"/>
    </row>
    <row r="159" spans="1:25" s="589" customFormat="1" x14ac:dyDescent="0.25">
      <c r="A159" s="604"/>
      <c r="B159" s="605" t="s">
        <v>49</v>
      </c>
      <c r="C159" s="605"/>
      <c r="D159" s="605"/>
      <c r="E159" s="605"/>
      <c r="F159" s="605"/>
      <c r="G159" s="605"/>
      <c r="H159" s="605"/>
      <c r="I159" s="605"/>
      <c r="J159" s="605"/>
      <c r="K159" s="605"/>
      <c r="L159" s="605"/>
      <c r="M159" s="605"/>
      <c r="N159" s="605"/>
      <c r="O159" s="605"/>
      <c r="P159" s="605"/>
      <c r="Q159" s="605"/>
      <c r="R159" s="605"/>
      <c r="S159" s="605"/>
      <c r="T159" s="605"/>
      <c r="U159" s="605"/>
      <c r="V159" s="697" t="s">
        <v>118</v>
      </c>
      <c r="W159" s="607"/>
      <c r="X159" s="588"/>
    </row>
    <row r="160" spans="1:25" s="589" customFormat="1" x14ac:dyDescent="0.25">
      <c r="A160" s="604"/>
      <c r="B160" s="605" t="s">
        <v>50</v>
      </c>
      <c r="C160" s="605"/>
      <c r="D160" s="605"/>
      <c r="E160" s="605"/>
      <c r="F160" s="605"/>
      <c r="G160" s="605"/>
      <c r="H160" s="605"/>
      <c r="I160" s="605"/>
      <c r="J160" s="605"/>
      <c r="K160" s="605"/>
      <c r="L160" s="605"/>
      <c r="M160" s="605"/>
      <c r="N160" s="605"/>
      <c r="O160" s="605"/>
      <c r="P160" s="605"/>
      <c r="Q160" s="605"/>
      <c r="R160" s="605"/>
      <c r="S160" s="605"/>
      <c r="T160" s="605"/>
      <c r="U160" s="605"/>
      <c r="V160" s="697" t="s">
        <v>118</v>
      </c>
      <c r="W160" s="607"/>
      <c r="X160" s="588"/>
    </row>
    <row r="161" spans="1:256" x14ac:dyDescent="0.25">
      <c r="A161" s="574"/>
      <c r="B161" s="664"/>
      <c r="C161" s="664"/>
      <c r="D161" s="664"/>
      <c r="E161" s="664"/>
      <c r="F161" s="664"/>
      <c r="G161" s="664"/>
      <c r="H161" s="664"/>
      <c r="I161" s="664"/>
      <c r="J161" s="664"/>
      <c r="K161" s="664"/>
      <c r="L161" s="664"/>
      <c r="M161" s="664"/>
      <c r="N161" s="664"/>
      <c r="O161" s="664"/>
      <c r="P161" s="664"/>
      <c r="Q161" s="664"/>
      <c r="R161" s="664"/>
      <c r="S161" s="664"/>
      <c r="T161" s="664"/>
      <c r="U161" s="664"/>
      <c r="V161" s="696"/>
      <c r="W161" s="664"/>
      <c r="X161" s="572"/>
    </row>
    <row r="162" spans="1:256" x14ac:dyDescent="0.25">
      <c r="A162" s="574"/>
      <c r="B162" s="694" t="s">
        <v>51</v>
      </c>
      <c r="C162" s="576"/>
      <c r="D162" s="576"/>
      <c r="E162" s="576"/>
      <c r="F162" s="576"/>
      <c r="G162" s="576"/>
      <c r="H162" s="576"/>
      <c r="I162" s="576"/>
      <c r="J162" s="576"/>
      <c r="K162" s="576"/>
      <c r="L162" s="576"/>
      <c r="M162" s="576"/>
      <c r="N162" s="576"/>
      <c r="O162" s="576"/>
      <c r="P162" s="576"/>
      <c r="Q162" s="576"/>
      <c r="R162" s="576"/>
      <c r="S162" s="576"/>
      <c r="T162" s="576"/>
      <c r="U162" s="576"/>
      <c r="V162" s="698"/>
      <c r="W162" s="576"/>
      <c r="X162" s="572"/>
    </row>
    <row r="163" spans="1:256" s="589" customFormat="1" x14ac:dyDescent="0.25">
      <c r="A163" s="604"/>
      <c r="B163" s="605" t="s">
        <v>52</v>
      </c>
      <c r="C163" s="605"/>
      <c r="D163" s="605"/>
      <c r="E163" s="605"/>
      <c r="F163" s="605"/>
      <c r="G163" s="605"/>
      <c r="H163" s="605"/>
      <c r="I163" s="605"/>
      <c r="J163" s="605"/>
      <c r="K163" s="605"/>
      <c r="L163" s="605"/>
      <c r="M163" s="605"/>
      <c r="N163" s="605"/>
      <c r="O163" s="605"/>
      <c r="P163" s="605"/>
      <c r="Q163" s="605"/>
      <c r="R163" s="605"/>
      <c r="S163" s="605"/>
      <c r="T163" s="605"/>
      <c r="U163" s="605"/>
      <c r="V163" s="663">
        <v>0</v>
      </c>
      <c r="W163" s="607"/>
      <c r="X163" s="588"/>
    </row>
    <row r="164" spans="1:256" s="589" customFormat="1" x14ac:dyDescent="0.25">
      <c r="A164" s="604"/>
      <c r="B164" s="605" t="s">
        <v>53</v>
      </c>
      <c r="C164" s="605"/>
      <c r="D164" s="605"/>
      <c r="E164" s="605"/>
      <c r="F164" s="605"/>
      <c r="G164" s="605"/>
      <c r="H164" s="605"/>
      <c r="I164" s="605"/>
      <c r="J164" s="605"/>
      <c r="K164" s="605"/>
      <c r="L164" s="605"/>
      <c r="M164" s="605"/>
      <c r="N164" s="605"/>
      <c r="O164" s="605"/>
      <c r="P164" s="605"/>
      <c r="Q164" s="605"/>
      <c r="R164" s="605"/>
      <c r="S164" s="605"/>
      <c r="T164" s="605"/>
      <c r="U164" s="605"/>
      <c r="V164" s="663">
        <v>88</v>
      </c>
      <c r="W164" s="607"/>
      <c r="X164" s="588"/>
    </row>
    <row r="165" spans="1:256" s="589" customFormat="1" x14ac:dyDescent="0.25">
      <c r="A165" s="604"/>
      <c r="B165" s="605" t="s">
        <v>54</v>
      </c>
      <c r="C165" s="605"/>
      <c r="D165" s="605"/>
      <c r="E165" s="605"/>
      <c r="F165" s="605"/>
      <c r="G165" s="605"/>
      <c r="H165" s="605"/>
      <c r="I165" s="605"/>
      <c r="J165" s="605"/>
      <c r="K165" s="605"/>
      <c r="L165" s="605"/>
      <c r="M165" s="605"/>
      <c r="N165" s="605"/>
      <c r="O165" s="605"/>
      <c r="P165" s="605"/>
      <c r="Q165" s="605"/>
      <c r="R165" s="605"/>
      <c r="S165" s="605"/>
      <c r="T165" s="605"/>
      <c r="U165" s="605"/>
      <c r="V165" s="663">
        <f>V164+V163</f>
        <v>88</v>
      </c>
      <c r="W165" s="607"/>
      <c r="X165" s="588"/>
    </row>
    <row r="166" spans="1:256" s="589" customFormat="1" x14ac:dyDescent="0.25">
      <c r="A166" s="604"/>
      <c r="B166" s="605" t="s">
        <v>303</v>
      </c>
      <c r="C166" s="605"/>
      <c r="D166" s="605"/>
      <c r="E166" s="605"/>
      <c r="F166" s="605"/>
      <c r="G166" s="605"/>
      <c r="H166" s="605"/>
      <c r="I166" s="605"/>
      <c r="J166" s="605"/>
      <c r="K166" s="605"/>
      <c r="L166" s="605"/>
      <c r="M166" s="605"/>
      <c r="N166" s="605"/>
      <c r="O166" s="605"/>
      <c r="P166" s="605"/>
      <c r="Q166" s="605"/>
      <c r="R166" s="605"/>
      <c r="S166" s="605"/>
      <c r="T166" s="605"/>
      <c r="U166" s="605"/>
      <c r="V166" s="663">
        <f>V114</f>
        <v>-88</v>
      </c>
      <c r="W166" s="607"/>
      <c r="X166" s="588"/>
    </row>
    <row r="167" spans="1:256" s="589" customFormat="1" x14ac:dyDescent="0.25">
      <c r="A167" s="604"/>
      <c r="B167" s="605" t="s">
        <v>55</v>
      </c>
      <c r="C167" s="605"/>
      <c r="D167" s="605"/>
      <c r="E167" s="605"/>
      <c r="F167" s="605"/>
      <c r="G167" s="605"/>
      <c r="H167" s="605"/>
      <c r="I167" s="605"/>
      <c r="J167" s="605"/>
      <c r="K167" s="605"/>
      <c r="L167" s="605"/>
      <c r="M167" s="605"/>
      <c r="N167" s="605"/>
      <c r="O167" s="605"/>
      <c r="P167" s="605"/>
      <c r="Q167" s="605"/>
      <c r="R167" s="605"/>
      <c r="S167" s="605"/>
      <c r="T167" s="605"/>
      <c r="U167" s="605"/>
      <c r="V167" s="663">
        <f>V165+V166</f>
        <v>0</v>
      </c>
      <c r="W167" s="607"/>
      <c r="X167" s="588"/>
    </row>
    <row r="168" spans="1:256" s="589" customFormat="1" x14ac:dyDescent="0.25">
      <c r="A168" s="604"/>
      <c r="B168" s="605" t="s">
        <v>274</v>
      </c>
      <c r="C168" s="605"/>
      <c r="D168" s="605"/>
      <c r="E168" s="605"/>
      <c r="F168" s="605"/>
      <c r="G168" s="605"/>
      <c r="H168" s="605"/>
      <c r="I168" s="605"/>
      <c r="J168" s="605"/>
      <c r="K168" s="605"/>
      <c r="L168" s="605"/>
      <c r="M168" s="605"/>
      <c r="N168" s="605"/>
      <c r="O168" s="605"/>
      <c r="P168" s="605"/>
      <c r="Q168" s="605"/>
      <c r="R168" s="605"/>
      <c r="S168" s="605"/>
      <c r="T168" s="605"/>
      <c r="U168" s="605"/>
      <c r="V168" s="663">
        <v>0</v>
      </c>
      <c r="W168" s="607"/>
      <c r="X168" s="588"/>
    </row>
    <row r="169" spans="1:256" ht="16.5" thickBot="1" x14ac:dyDescent="0.3">
      <c r="A169" s="574"/>
      <c r="B169" s="664"/>
      <c r="C169" s="664"/>
      <c r="D169" s="664"/>
      <c r="E169" s="664"/>
      <c r="F169" s="664"/>
      <c r="G169" s="664"/>
      <c r="H169" s="664"/>
      <c r="I169" s="664"/>
      <c r="J169" s="664"/>
      <c r="K169" s="664"/>
      <c r="L169" s="664"/>
      <c r="M169" s="664"/>
      <c r="N169" s="664"/>
      <c r="O169" s="664"/>
      <c r="P169" s="664"/>
      <c r="Q169" s="664"/>
      <c r="R169" s="664"/>
      <c r="S169" s="664"/>
      <c r="T169" s="664"/>
      <c r="U169" s="664"/>
      <c r="V169" s="696"/>
      <c r="W169" s="664"/>
      <c r="X169" s="572"/>
    </row>
    <row r="170" spans="1:256" x14ac:dyDescent="0.25">
      <c r="A170" s="569"/>
      <c r="B170" s="571"/>
      <c r="C170" s="571"/>
      <c r="D170" s="571"/>
      <c r="E170" s="571"/>
      <c r="F170" s="571"/>
      <c r="G170" s="571"/>
      <c r="H170" s="571"/>
      <c r="I170" s="571"/>
      <c r="J170" s="571"/>
      <c r="K170" s="571"/>
      <c r="L170" s="571"/>
      <c r="M170" s="571"/>
      <c r="N170" s="571"/>
      <c r="O170" s="571"/>
      <c r="P170" s="571"/>
      <c r="Q170" s="571"/>
      <c r="R170" s="571"/>
      <c r="S170" s="571"/>
      <c r="T170" s="571"/>
      <c r="U170" s="571"/>
      <c r="V170" s="699"/>
      <c r="W170" s="571"/>
      <c r="X170" s="572"/>
    </row>
    <row r="171" spans="1:256" s="701" customFormat="1" x14ac:dyDescent="0.25">
      <c r="A171" s="574"/>
      <c r="B171" s="694" t="s">
        <v>230</v>
      </c>
      <c r="C171" s="664"/>
      <c r="D171" s="664"/>
      <c r="E171" s="664"/>
      <c r="F171" s="664"/>
      <c r="G171" s="664"/>
      <c r="H171" s="664"/>
      <c r="I171" s="664"/>
      <c r="J171" s="664"/>
      <c r="K171" s="664"/>
      <c r="L171" s="664"/>
      <c r="M171" s="664"/>
      <c r="N171" s="664"/>
      <c r="O171" s="664"/>
      <c r="P171" s="664"/>
      <c r="Q171" s="664"/>
      <c r="R171" s="664"/>
      <c r="S171" s="664"/>
      <c r="T171" s="664"/>
      <c r="U171" s="664"/>
      <c r="V171" s="700"/>
      <c r="W171" s="664"/>
      <c r="X171" s="572"/>
      <c r="Y171" s="573"/>
      <c r="Z171" s="573"/>
      <c r="AA171" s="573"/>
      <c r="AB171" s="573"/>
      <c r="AC171" s="573"/>
      <c r="AD171" s="573"/>
      <c r="AE171" s="573"/>
      <c r="AF171" s="573"/>
      <c r="AG171" s="573"/>
      <c r="AH171" s="573"/>
      <c r="AI171" s="573"/>
      <c r="AJ171" s="573"/>
      <c r="AK171" s="573"/>
      <c r="AL171" s="573"/>
      <c r="AM171" s="573"/>
      <c r="AN171" s="573"/>
      <c r="AO171" s="573"/>
      <c r="AP171" s="573"/>
      <c r="AQ171" s="573"/>
      <c r="AR171" s="573"/>
      <c r="AS171" s="573"/>
      <c r="AT171" s="573"/>
      <c r="AU171" s="573"/>
      <c r="AV171" s="573"/>
      <c r="AW171" s="573"/>
      <c r="AX171" s="573"/>
      <c r="AY171" s="573"/>
      <c r="AZ171" s="573"/>
      <c r="BA171" s="573"/>
      <c r="BB171" s="573"/>
      <c r="BC171" s="573"/>
      <c r="BD171" s="573"/>
      <c r="BE171" s="573"/>
      <c r="BF171" s="573"/>
      <c r="BG171" s="573"/>
      <c r="BH171" s="573"/>
      <c r="BI171" s="573"/>
      <c r="BJ171" s="573"/>
      <c r="BK171" s="573"/>
      <c r="BL171" s="573"/>
      <c r="BM171" s="573"/>
      <c r="BN171" s="573"/>
      <c r="BO171" s="573"/>
      <c r="BP171" s="573"/>
      <c r="BQ171" s="573"/>
      <c r="BR171" s="573"/>
      <c r="BS171" s="573"/>
      <c r="BT171" s="573"/>
      <c r="BU171" s="573"/>
      <c r="BV171" s="573"/>
      <c r="BW171" s="573"/>
      <c r="BX171" s="573"/>
      <c r="BY171" s="573"/>
      <c r="BZ171" s="573"/>
      <c r="CA171" s="573"/>
      <c r="CB171" s="573"/>
      <c r="CC171" s="573"/>
      <c r="CD171" s="573"/>
      <c r="CE171" s="573"/>
      <c r="CF171" s="573"/>
      <c r="CG171" s="573"/>
      <c r="CH171" s="573"/>
      <c r="CI171" s="573"/>
      <c r="CJ171" s="573"/>
      <c r="CK171" s="573"/>
      <c r="CL171" s="573"/>
      <c r="CM171" s="573"/>
      <c r="CN171" s="573"/>
      <c r="CO171" s="573"/>
      <c r="CP171" s="573"/>
      <c r="CQ171" s="573"/>
      <c r="CR171" s="573"/>
      <c r="CS171" s="573"/>
      <c r="CT171" s="573"/>
      <c r="CU171" s="573"/>
      <c r="CV171" s="573"/>
      <c r="CW171" s="573"/>
      <c r="CX171" s="573"/>
      <c r="CY171" s="573"/>
      <c r="CZ171" s="573"/>
      <c r="DA171" s="573"/>
      <c r="DB171" s="573"/>
      <c r="DC171" s="573"/>
      <c r="DD171" s="573"/>
      <c r="DE171" s="573"/>
      <c r="DF171" s="573"/>
      <c r="DG171" s="573"/>
      <c r="DH171" s="573"/>
      <c r="DI171" s="573"/>
      <c r="DJ171" s="573"/>
      <c r="DK171" s="573"/>
      <c r="DL171" s="573"/>
      <c r="DM171" s="573"/>
      <c r="DN171" s="573"/>
      <c r="DO171" s="573"/>
      <c r="DP171" s="573"/>
      <c r="DQ171" s="573"/>
      <c r="DR171" s="573"/>
      <c r="DS171" s="573"/>
      <c r="DT171" s="573"/>
      <c r="DU171" s="573"/>
      <c r="DV171" s="573"/>
      <c r="DW171" s="573"/>
      <c r="DX171" s="573"/>
      <c r="DY171" s="573"/>
      <c r="DZ171" s="573"/>
      <c r="EA171" s="573"/>
      <c r="EB171" s="573"/>
      <c r="EC171" s="573"/>
      <c r="ED171" s="573"/>
      <c r="EE171" s="573"/>
      <c r="EF171" s="573"/>
      <c r="EG171" s="573"/>
      <c r="EH171" s="573"/>
      <c r="EI171" s="573"/>
      <c r="EJ171" s="573"/>
      <c r="EK171" s="573"/>
      <c r="EL171" s="573"/>
      <c r="EM171" s="573"/>
      <c r="EN171" s="573"/>
      <c r="EO171" s="573"/>
      <c r="EP171" s="573"/>
      <c r="EQ171" s="573"/>
      <c r="ER171" s="573"/>
      <c r="ES171" s="573"/>
      <c r="ET171" s="573"/>
      <c r="EU171" s="573"/>
      <c r="EV171" s="573"/>
      <c r="EW171" s="573"/>
      <c r="EX171" s="573"/>
      <c r="EY171" s="573"/>
      <c r="EZ171" s="573"/>
      <c r="FA171" s="573"/>
      <c r="FB171" s="573"/>
      <c r="FC171" s="573"/>
      <c r="FD171" s="573"/>
      <c r="FE171" s="573"/>
      <c r="FF171" s="573"/>
      <c r="FG171" s="573"/>
      <c r="FH171" s="573"/>
      <c r="FI171" s="573"/>
      <c r="FJ171" s="573"/>
      <c r="FK171" s="573"/>
      <c r="FL171" s="573"/>
      <c r="FM171" s="573"/>
      <c r="FN171" s="573"/>
      <c r="FO171" s="573"/>
      <c r="FP171" s="573"/>
      <c r="FQ171" s="573"/>
      <c r="FR171" s="573"/>
      <c r="FS171" s="573"/>
      <c r="FT171" s="573"/>
      <c r="FU171" s="573"/>
      <c r="FV171" s="573"/>
      <c r="FW171" s="573"/>
      <c r="FX171" s="573"/>
      <c r="FY171" s="573"/>
      <c r="FZ171" s="573"/>
      <c r="GA171" s="573"/>
      <c r="GB171" s="573"/>
      <c r="GC171" s="573"/>
      <c r="GD171" s="573"/>
      <c r="GE171" s="573"/>
      <c r="GF171" s="573"/>
      <c r="GG171" s="573"/>
      <c r="GH171" s="573"/>
      <c r="GI171" s="573"/>
      <c r="GJ171" s="573"/>
      <c r="GK171" s="573"/>
      <c r="GL171" s="573"/>
      <c r="GM171" s="573"/>
      <c r="GN171" s="573"/>
      <c r="GO171" s="573"/>
      <c r="GP171" s="573"/>
      <c r="GQ171" s="573"/>
      <c r="GR171" s="573"/>
      <c r="GS171" s="573"/>
      <c r="GT171" s="573"/>
      <c r="GU171" s="573"/>
      <c r="GV171" s="573"/>
      <c r="GW171" s="573"/>
      <c r="GX171" s="573"/>
      <c r="GY171" s="573"/>
      <c r="GZ171" s="573"/>
      <c r="HA171" s="573"/>
      <c r="HB171" s="573"/>
      <c r="HC171" s="573"/>
      <c r="HD171" s="573"/>
      <c r="HE171" s="573"/>
      <c r="HF171" s="573"/>
      <c r="HG171" s="573"/>
      <c r="HH171" s="573"/>
      <c r="HI171" s="573"/>
      <c r="HJ171" s="573"/>
      <c r="HK171" s="573"/>
      <c r="HL171" s="573"/>
      <c r="HM171" s="573"/>
      <c r="HN171" s="573"/>
      <c r="HO171" s="573"/>
      <c r="HP171" s="573"/>
      <c r="HQ171" s="573"/>
      <c r="HR171" s="573"/>
      <c r="HS171" s="573"/>
      <c r="HT171" s="573"/>
      <c r="HU171" s="573"/>
      <c r="HV171" s="573"/>
      <c r="HW171" s="573"/>
      <c r="HX171" s="573"/>
      <c r="HY171" s="573"/>
      <c r="HZ171" s="573"/>
      <c r="IA171" s="573"/>
      <c r="IB171" s="573"/>
      <c r="IC171" s="573"/>
      <c r="ID171" s="573"/>
      <c r="IE171" s="573"/>
      <c r="IF171" s="573"/>
      <c r="IG171" s="573"/>
      <c r="IH171" s="573"/>
      <c r="II171" s="573"/>
      <c r="IJ171" s="573"/>
      <c r="IK171" s="573"/>
      <c r="IL171" s="573"/>
      <c r="IM171" s="573"/>
      <c r="IN171" s="573"/>
      <c r="IO171" s="573"/>
      <c r="IP171" s="573"/>
      <c r="IQ171" s="573"/>
      <c r="IR171" s="573"/>
      <c r="IS171" s="573"/>
      <c r="IT171" s="573"/>
      <c r="IU171" s="573"/>
      <c r="IV171" s="573"/>
    </row>
    <row r="172" spans="1:256" s="702" customFormat="1" x14ac:dyDescent="0.25">
      <c r="A172" s="604"/>
      <c r="B172" s="605" t="s">
        <v>231</v>
      </c>
      <c r="C172" s="605"/>
      <c r="D172" s="605"/>
      <c r="E172" s="605"/>
      <c r="F172" s="605"/>
      <c r="G172" s="605"/>
      <c r="H172" s="605"/>
      <c r="I172" s="605"/>
      <c r="J172" s="605"/>
      <c r="K172" s="605"/>
      <c r="L172" s="605"/>
      <c r="M172" s="605"/>
      <c r="N172" s="605"/>
      <c r="O172" s="605"/>
      <c r="P172" s="605"/>
      <c r="Q172" s="605"/>
      <c r="R172" s="605"/>
      <c r="S172" s="605"/>
      <c r="T172" s="605"/>
      <c r="U172" s="605"/>
      <c r="V172" s="663">
        <f>+'Aug 08'!V173</f>
        <v>0</v>
      </c>
      <c r="W172" s="607"/>
      <c r="X172" s="588"/>
      <c r="Y172" s="589"/>
      <c r="Z172" s="589"/>
      <c r="AA172" s="589"/>
      <c r="AB172" s="589"/>
      <c r="AC172" s="589"/>
      <c r="AD172" s="589"/>
      <c r="AE172" s="589"/>
      <c r="AF172" s="589"/>
      <c r="AG172" s="589"/>
      <c r="AH172" s="589"/>
      <c r="AI172" s="589"/>
      <c r="AJ172" s="589"/>
      <c r="AK172" s="589"/>
      <c r="AL172" s="589"/>
      <c r="AM172" s="589"/>
      <c r="AN172" s="589"/>
      <c r="AO172" s="589"/>
      <c r="AP172" s="589"/>
      <c r="AQ172" s="589"/>
      <c r="AR172" s="589"/>
      <c r="AS172" s="589"/>
      <c r="AT172" s="589"/>
      <c r="AU172" s="589"/>
      <c r="AV172" s="589"/>
      <c r="AW172" s="589"/>
      <c r="AX172" s="589"/>
      <c r="AY172" s="589"/>
      <c r="AZ172" s="589"/>
      <c r="BA172" s="589"/>
      <c r="BB172" s="589"/>
      <c r="BC172" s="589"/>
      <c r="BD172" s="589"/>
      <c r="BE172" s="589"/>
      <c r="BF172" s="589"/>
      <c r="BG172" s="589"/>
      <c r="BH172" s="589"/>
      <c r="BI172" s="589"/>
      <c r="BJ172" s="589"/>
      <c r="BK172" s="589"/>
      <c r="BL172" s="589"/>
      <c r="BM172" s="589"/>
      <c r="BN172" s="589"/>
      <c r="BO172" s="589"/>
      <c r="BP172" s="589"/>
      <c r="BQ172" s="589"/>
      <c r="BR172" s="589"/>
      <c r="BS172" s="589"/>
      <c r="BT172" s="589"/>
      <c r="BU172" s="589"/>
      <c r="BV172" s="589"/>
      <c r="BW172" s="589"/>
      <c r="BX172" s="589"/>
      <c r="BY172" s="589"/>
      <c r="BZ172" s="589"/>
      <c r="CA172" s="589"/>
      <c r="CB172" s="589"/>
      <c r="CC172" s="589"/>
      <c r="CD172" s="589"/>
      <c r="CE172" s="589"/>
      <c r="CF172" s="589"/>
      <c r="CG172" s="589"/>
      <c r="CH172" s="589"/>
      <c r="CI172" s="589"/>
      <c r="CJ172" s="589"/>
      <c r="CK172" s="589"/>
      <c r="CL172" s="589"/>
      <c r="CM172" s="589"/>
      <c r="CN172" s="589"/>
      <c r="CO172" s="589"/>
      <c r="CP172" s="589"/>
      <c r="CQ172" s="589"/>
      <c r="CR172" s="589"/>
      <c r="CS172" s="589"/>
      <c r="CT172" s="589"/>
      <c r="CU172" s="589"/>
      <c r="CV172" s="589"/>
      <c r="CW172" s="589"/>
      <c r="CX172" s="589"/>
      <c r="CY172" s="589"/>
      <c r="CZ172" s="589"/>
      <c r="DA172" s="589"/>
      <c r="DB172" s="589"/>
      <c r="DC172" s="589"/>
      <c r="DD172" s="589"/>
      <c r="DE172" s="589"/>
      <c r="DF172" s="589"/>
      <c r="DG172" s="589"/>
      <c r="DH172" s="589"/>
      <c r="DI172" s="589"/>
      <c r="DJ172" s="589"/>
      <c r="DK172" s="589"/>
      <c r="DL172" s="589"/>
      <c r="DM172" s="589"/>
      <c r="DN172" s="589"/>
      <c r="DO172" s="589"/>
      <c r="DP172" s="589"/>
      <c r="DQ172" s="589"/>
      <c r="DR172" s="589"/>
      <c r="DS172" s="589"/>
      <c r="DT172" s="589"/>
      <c r="DU172" s="589"/>
      <c r="DV172" s="589"/>
      <c r="DW172" s="589"/>
      <c r="DX172" s="589"/>
      <c r="DY172" s="589"/>
      <c r="DZ172" s="589"/>
      <c r="EA172" s="589"/>
      <c r="EB172" s="589"/>
      <c r="EC172" s="589"/>
      <c r="ED172" s="589"/>
      <c r="EE172" s="589"/>
      <c r="EF172" s="589"/>
      <c r="EG172" s="589"/>
      <c r="EH172" s="589"/>
      <c r="EI172" s="589"/>
      <c r="EJ172" s="589"/>
      <c r="EK172" s="589"/>
      <c r="EL172" s="589"/>
      <c r="EM172" s="589"/>
      <c r="EN172" s="589"/>
      <c r="EO172" s="589"/>
      <c r="EP172" s="589"/>
      <c r="EQ172" s="589"/>
      <c r="ER172" s="589"/>
      <c r="ES172" s="589"/>
      <c r="ET172" s="589"/>
      <c r="EU172" s="589"/>
      <c r="EV172" s="589"/>
      <c r="EW172" s="589"/>
      <c r="EX172" s="589"/>
      <c r="EY172" s="589"/>
      <c r="EZ172" s="589"/>
      <c r="FA172" s="589"/>
      <c r="FB172" s="589"/>
      <c r="FC172" s="589"/>
      <c r="FD172" s="589"/>
      <c r="FE172" s="589"/>
      <c r="FF172" s="589"/>
      <c r="FG172" s="589"/>
      <c r="FH172" s="589"/>
      <c r="FI172" s="589"/>
      <c r="FJ172" s="589"/>
      <c r="FK172" s="589"/>
      <c r="FL172" s="589"/>
      <c r="FM172" s="589"/>
      <c r="FN172" s="589"/>
      <c r="FO172" s="589"/>
      <c r="FP172" s="589"/>
      <c r="FQ172" s="589"/>
      <c r="FR172" s="589"/>
      <c r="FS172" s="589"/>
      <c r="FT172" s="589"/>
      <c r="FU172" s="589"/>
      <c r="FV172" s="589"/>
      <c r="FW172" s="589"/>
      <c r="FX172" s="589"/>
      <c r="FY172" s="589"/>
      <c r="FZ172" s="589"/>
      <c r="GA172" s="589"/>
      <c r="GB172" s="589"/>
      <c r="GC172" s="589"/>
      <c r="GD172" s="589"/>
      <c r="GE172" s="589"/>
      <c r="GF172" s="589"/>
      <c r="GG172" s="589"/>
      <c r="GH172" s="589"/>
      <c r="GI172" s="589"/>
      <c r="GJ172" s="589"/>
      <c r="GK172" s="589"/>
      <c r="GL172" s="589"/>
      <c r="GM172" s="589"/>
      <c r="GN172" s="589"/>
      <c r="GO172" s="589"/>
      <c r="GP172" s="589"/>
      <c r="GQ172" s="589"/>
      <c r="GR172" s="589"/>
      <c r="GS172" s="589"/>
      <c r="GT172" s="589"/>
      <c r="GU172" s="589"/>
      <c r="GV172" s="589"/>
      <c r="GW172" s="589"/>
      <c r="GX172" s="589"/>
      <c r="GY172" s="589"/>
      <c r="GZ172" s="589"/>
      <c r="HA172" s="589"/>
      <c r="HB172" s="589"/>
      <c r="HC172" s="589"/>
      <c r="HD172" s="589"/>
      <c r="HE172" s="589"/>
      <c r="HF172" s="589"/>
      <c r="HG172" s="589"/>
      <c r="HH172" s="589"/>
      <c r="HI172" s="589"/>
      <c r="HJ172" s="589"/>
      <c r="HK172" s="589"/>
      <c r="HL172" s="589"/>
      <c r="HM172" s="589"/>
      <c r="HN172" s="589"/>
      <c r="HO172" s="589"/>
      <c r="HP172" s="589"/>
      <c r="HQ172" s="589"/>
      <c r="HR172" s="589"/>
      <c r="HS172" s="589"/>
      <c r="HT172" s="589"/>
      <c r="HU172" s="589"/>
      <c r="HV172" s="589"/>
      <c r="HW172" s="589"/>
      <c r="HX172" s="589"/>
      <c r="HY172" s="589"/>
      <c r="HZ172" s="589"/>
      <c r="IA172" s="589"/>
      <c r="IB172" s="589"/>
      <c r="IC172" s="589"/>
      <c r="ID172" s="589"/>
      <c r="IE172" s="589"/>
      <c r="IF172" s="589"/>
      <c r="IG172" s="589"/>
      <c r="IH172" s="589"/>
      <c r="II172" s="589"/>
      <c r="IJ172" s="589"/>
      <c r="IK172" s="589"/>
      <c r="IL172" s="589"/>
      <c r="IM172" s="589"/>
      <c r="IN172" s="589"/>
      <c r="IO172" s="589"/>
      <c r="IP172" s="589"/>
      <c r="IQ172" s="589"/>
      <c r="IR172" s="589"/>
      <c r="IS172" s="589"/>
      <c r="IT172" s="589"/>
      <c r="IU172" s="589"/>
      <c r="IV172" s="589"/>
    </row>
    <row r="173" spans="1:256" s="702" customFormat="1" x14ac:dyDescent="0.25">
      <c r="A173" s="604"/>
      <c r="B173" s="605" t="s">
        <v>234</v>
      </c>
      <c r="C173" s="605"/>
      <c r="D173" s="605"/>
      <c r="E173" s="605"/>
      <c r="F173" s="605"/>
      <c r="G173" s="605"/>
      <c r="H173" s="605"/>
      <c r="I173" s="605"/>
      <c r="J173" s="605"/>
      <c r="K173" s="605"/>
      <c r="L173" s="605"/>
      <c r="M173" s="605"/>
      <c r="N173" s="605"/>
      <c r="O173" s="605"/>
      <c r="P173" s="605"/>
      <c r="Q173" s="605"/>
      <c r="R173" s="605"/>
      <c r="S173" s="605"/>
      <c r="T173" s="605"/>
      <c r="U173" s="605"/>
      <c r="V173" s="663">
        <f>+V94</f>
        <v>0</v>
      </c>
      <c r="W173" s="607"/>
      <c r="X173" s="588"/>
      <c r="Y173" s="589"/>
      <c r="Z173" s="589"/>
      <c r="AA173" s="589"/>
      <c r="AB173" s="589"/>
      <c r="AC173" s="589"/>
      <c r="AD173" s="589"/>
      <c r="AE173" s="589"/>
      <c r="AF173" s="589"/>
      <c r="AG173" s="589"/>
      <c r="AH173" s="589"/>
      <c r="AI173" s="589"/>
      <c r="AJ173" s="589"/>
      <c r="AK173" s="589"/>
      <c r="AL173" s="589"/>
      <c r="AM173" s="589"/>
      <c r="AN173" s="589"/>
      <c r="AO173" s="589"/>
      <c r="AP173" s="589"/>
      <c r="AQ173" s="589"/>
      <c r="AR173" s="589"/>
      <c r="AS173" s="589"/>
      <c r="AT173" s="589"/>
      <c r="AU173" s="589"/>
      <c r="AV173" s="589"/>
      <c r="AW173" s="589"/>
      <c r="AX173" s="589"/>
      <c r="AY173" s="589"/>
      <c r="AZ173" s="589"/>
      <c r="BA173" s="589"/>
      <c r="BB173" s="589"/>
      <c r="BC173" s="589"/>
      <c r="BD173" s="589"/>
      <c r="BE173" s="589"/>
      <c r="BF173" s="589"/>
      <c r="BG173" s="589"/>
      <c r="BH173" s="589"/>
      <c r="BI173" s="589"/>
      <c r="BJ173" s="589"/>
      <c r="BK173" s="589"/>
      <c r="BL173" s="589"/>
      <c r="BM173" s="589"/>
      <c r="BN173" s="589"/>
      <c r="BO173" s="589"/>
      <c r="BP173" s="589"/>
      <c r="BQ173" s="589"/>
      <c r="BR173" s="589"/>
      <c r="BS173" s="589"/>
      <c r="BT173" s="589"/>
      <c r="BU173" s="589"/>
      <c r="BV173" s="589"/>
      <c r="BW173" s="589"/>
      <c r="BX173" s="589"/>
      <c r="BY173" s="589"/>
      <c r="BZ173" s="589"/>
      <c r="CA173" s="589"/>
      <c r="CB173" s="589"/>
      <c r="CC173" s="589"/>
      <c r="CD173" s="589"/>
      <c r="CE173" s="589"/>
      <c r="CF173" s="589"/>
      <c r="CG173" s="589"/>
      <c r="CH173" s="589"/>
      <c r="CI173" s="589"/>
      <c r="CJ173" s="589"/>
      <c r="CK173" s="589"/>
      <c r="CL173" s="589"/>
      <c r="CM173" s="589"/>
      <c r="CN173" s="589"/>
      <c r="CO173" s="589"/>
      <c r="CP173" s="589"/>
      <c r="CQ173" s="589"/>
      <c r="CR173" s="589"/>
      <c r="CS173" s="589"/>
      <c r="CT173" s="589"/>
      <c r="CU173" s="589"/>
      <c r="CV173" s="589"/>
      <c r="CW173" s="589"/>
      <c r="CX173" s="589"/>
      <c r="CY173" s="589"/>
      <c r="CZ173" s="589"/>
      <c r="DA173" s="589"/>
      <c r="DB173" s="589"/>
      <c r="DC173" s="589"/>
      <c r="DD173" s="589"/>
      <c r="DE173" s="589"/>
      <c r="DF173" s="589"/>
      <c r="DG173" s="589"/>
      <c r="DH173" s="589"/>
      <c r="DI173" s="589"/>
      <c r="DJ173" s="589"/>
      <c r="DK173" s="589"/>
      <c r="DL173" s="589"/>
      <c r="DM173" s="589"/>
      <c r="DN173" s="589"/>
      <c r="DO173" s="589"/>
      <c r="DP173" s="589"/>
      <c r="DQ173" s="589"/>
      <c r="DR173" s="589"/>
      <c r="DS173" s="589"/>
      <c r="DT173" s="589"/>
      <c r="DU173" s="589"/>
      <c r="DV173" s="589"/>
      <c r="DW173" s="589"/>
      <c r="DX173" s="589"/>
      <c r="DY173" s="589"/>
      <c r="DZ173" s="589"/>
      <c r="EA173" s="589"/>
      <c r="EB173" s="589"/>
      <c r="EC173" s="589"/>
      <c r="ED173" s="589"/>
      <c r="EE173" s="589"/>
      <c r="EF173" s="589"/>
      <c r="EG173" s="589"/>
      <c r="EH173" s="589"/>
      <c r="EI173" s="589"/>
      <c r="EJ173" s="589"/>
      <c r="EK173" s="589"/>
      <c r="EL173" s="589"/>
      <c r="EM173" s="589"/>
      <c r="EN173" s="589"/>
      <c r="EO173" s="589"/>
      <c r="EP173" s="589"/>
      <c r="EQ173" s="589"/>
      <c r="ER173" s="589"/>
      <c r="ES173" s="589"/>
      <c r="ET173" s="589"/>
      <c r="EU173" s="589"/>
      <c r="EV173" s="589"/>
      <c r="EW173" s="589"/>
      <c r="EX173" s="589"/>
      <c r="EY173" s="589"/>
      <c r="EZ173" s="589"/>
      <c r="FA173" s="589"/>
      <c r="FB173" s="589"/>
      <c r="FC173" s="589"/>
      <c r="FD173" s="589"/>
      <c r="FE173" s="589"/>
      <c r="FF173" s="589"/>
      <c r="FG173" s="589"/>
      <c r="FH173" s="589"/>
      <c r="FI173" s="589"/>
      <c r="FJ173" s="589"/>
      <c r="FK173" s="589"/>
      <c r="FL173" s="589"/>
      <c r="FM173" s="589"/>
      <c r="FN173" s="589"/>
      <c r="FO173" s="589"/>
      <c r="FP173" s="589"/>
      <c r="FQ173" s="589"/>
      <c r="FR173" s="589"/>
      <c r="FS173" s="589"/>
      <c r="FT173" s="589"/>
      <c r="FU173" s="589"/>
      <c r="FV173" s="589"/>
      <c r="FW173" s="589"/>
      <c r="FX173" s="589"/>
      <c r="FY173" s="589"/>
      <c r="FZ173" s="589"/>
      <c r="GA173" s="589"/>
      <c r="GB173" s="589"/>
      <c r="GC173" s="589"/>
      <c r="GD173" s="589"/>
      <c r="GE173" s="589"/>
      <c r="GF173" s="589"/>
      <c r="GG173" s="589"/>
      <c r="GH173" s="589"/>
      <c r="GI173" s="589"/>
      <c r="GJ173" s="589"/>
      <c r="GK173" s="589"/>
      <c r="GL173" s="589"/>
      <c r="GM173" s="589"/>
      <c r="GN173" s="589"/>
      <c r="GO173" s="589"/>
      <c r="GP173" s="589"/>
      <c r="GQ173" s="589"/>
      <c r="GR173" s="589"/>
      <c r="GS173" s="589"/>
      <c r="GT173" s="589"/>
      <c r="GU173" s="589"/>
      <c r="GV173" s="589"/>
      <c r="GW173" s="589"/>
      <c r="GX173" s="589"/>
      <c r="GY173" s="589"/>
      <c r="GZ173" s="589"/>
      <c r="HA173" s="589"/>
      <c r="HB173" s="589"/>
      <c r="HC173" s="589"/>
      <c r="HD173" s="589"/>
      <c r="HE173" s="589"/>
      <c r="HF173" s="589"/>
      <c r="HG173" s="589"/>
      <c r="HH173" s="589"/>
      <c r="HI173" s="589"/>
      <c r="HJ173" s="589"/>
      <c r="HK173" s="589"/>
      <c r="HL173" s="589"/>
      <c r="HM173" s="589"/>
      <c r="HN173" s="589"/>
      <c r="HO173" s="589"/>
      <c r="HP173" s="589"/>
      <c r="HQ173" s="589"/>
      <c r="HR173" s="589"/>
      <c r="HS173" s="589"/>
      <c r="HT173" s="589"/>
      <c r="HU173" s="589"/>
      <c r="HV173" s="589"/>
      <c r="HW173" s="589"/>
      <c r="HX173" s="589"/>
      <c r="HY173" s="589"/>
      <c r="HZ173" s="589"/>
      <c r="IA173" s="589"/>
      <c r="IB173" s="589"/>
      <c r="IC173" s="589"/>
      <c r="ID173" s="589"/>
      <c r="IE173" s="589"/>
      <c r="IF173" s="589"/>
      <c r="IG173" s="589"/>
      <c r="IH173" s="589"/>
      <c r="II173" s="589"/>
      <c r="IJ173" s="589"/>
      <c r="IK173" s="589"/>
      <c r="IL173" s="589"/>
      <c r="IM173" s="589"/>
      <c r="IN173" s="589"/>
      <c r="IO173" s="589"/>
      <c r="IP173" s="589"/>
      <c r="IQ173" s="589"/>
      <c r="IR173" s="589"/>
      <c r="IS173" s="589"/>
      <c r="IT173" s="589"/>
      <c r="IU173" s="589"/>
      <c r="IV173" s="589"/>
    </row>
    <row r="174" spans="1:256" s="702" customFormat="1" x14ac:dyDescent="0.25">
      <c r="A174" s="604"/>
      <c r="B174" s="605" t="s">
        <v>232</v>
      </c>
      <c r="C174" s="605"/>
      <c r="D174" s="605"/>
      <c r="E174" s="605"/>
      <c r="F174" s="605"/>
      <c r="G174" s="605"/>
      <c r="H174" s="605"/>
      <c r="I174" s="605"/>
      <c r="J174" s="605"/>
      <c r="K174" s="605"/>
      <c r="L174" s="605"/>
      <c r="M174" s="605"/>
      <c r="N174" s="605"/>
      <c r="O174" s="605"/>
      <c r="P174" s="605"/>
      <c r="Q174" s="605"/>
      <c r="R174" s="605"/>
      <c r="S174" s="605"/>
      <c r="T174" s="605"/>
      <c r="U174" s="605"/>
      <c r="V174" s="663">
        <f>+V172-V173</f>
        <v>0</v>
      </c>
      <c r="W174" s="607"/>
      <c r="X174" s="588"/>
      <c r="Y174" s="589"/>
      <c r="Z174" s="589"/>
      <c r="AA174" s="589"/>
      <c r="AB174" s="589"/>
      <c r="AC174" s="589"/>
      <c r="AD174" s="589"/>
      <c r="AE174" s="589"/>
      <c r="AF174" s="589"/>
      <c r="AG174" s="589"/>
      <c r="AH174" s="589"/>
      <c r="AI174" s="589"/>
      <c r="AJ174" s="589"/>
      <c r="AK174" s="589"/>
      <c r="AL174" s="589"/>
      <c r="AM174" s="589"/>
      <c r="AN174" s="589"/>
      <c r="AO174" s="589"/>
      <c r="AP174" s="589"/>
      <c r="AQ174" s="589"/>
      <c r="AR174" s="589"/>
      <c r="AS174" s="589"/>
      <c r="AT174" s="589"/>
      <c r="AU174" s="589"/>
      <c r="AV174" s="589"/>
      <c r="AW174" s="589"/>
      <c r="AX174" s="589"/>
      <c r="AY174" s="589"/>
      <c r="AZ174" s="589"/>
      <c r="BA174" s="589"/>
      <c r="BB174" s="589"/>
      <c r="BC174" s="589"/>
      <c r="BD174" s="589"/>
      <c r="BE174" s="589"/>
      <c r="BF174" s="589"/>
      <c r="BG174" s="589"/>
      <c r="BH174" s="589"/>
      <c r="BI174" s="589"/>
      <c r="BJ174" s="589"/>
      <c r="BK174" s="589"/>
      <c r="BL174" s="589"/>
      <c r="BM174" s="589"/>
      <c r="BN174" s="589"/>
      <c r="BO174" s="589"/>
      <c r="BP174" s="589"/>
      <c r="BQ174" s="589"/>
      <c r="BR174" s="589"/>
      <c r="BS174" s="589"/>
      <c r="BT174" s="589"/>
      <c r="BU174" s="589"/>
      <c r="BV174" s="589"/>
      <c r="BW174" s="589"/>
      <c r="BX174" s="589"/>
      <c r="BY174" s="589"/>
      <c r="BZ174" s="589"/>
      <c r="CA174" s="589"/>
      <c r="CB174" s="589"/>
      <c r="CC174" s="589"/>
      <c r="CD174" s="589"/>
      <c r="CE174" s="589"/>
      <c r="CF174" s="589"/>
      <c r="CG174" s="589"/>
      <c r="CH174" s="589"/>
      <c r="CI174" s="589"/>
      <c r="CJ174" s="589"/>
      <c r="CK174" s="589"/>
      <c r="CL174" s="589"/>
      <c r="CM174" s="589"/>
      <c r="CN174" s="589"/>
      <c r="CO174" s="589"/>
      <c r="CP174" s="589"/>
      <c r="CQ174" s="589"/>
      <c r="CR174" s="589"/>
      <c r="CS174" s="589"/>
      <c r="CT174" s="589"/>
      <c r="CU174" s="589"/>
      <c r="CV174" s="589"/>
      <c r="CW174" s="589"/>
      <c r="CX174" s="589"/>
      <c r="CY174" s="589"/>
      <c r="CZ174" s="589"/>
      <c r="DA174" s="589"/>
      <c r="DB174" s="589"/>
      <c r="DC174" s="589"/>
      <c r="DD174" s="589"/>
      <c r="DE174" s="589"/>
      <c r="DF174" s="589"/>
      <c r="DG174" s="589"/>
      <c r="DH174" s="589"/>
      <c r="DI174" s="589"/>
      <c r="DJ174" s="589"/>
      <c r="DK174" s="589"/>
      <c r="DL174" s="589"/>
      <c r="DM174" s="589"/>
      <c r="DN174" s="589"/>
      <c r="DO174" s="589"/>
      <c r="DP174" s="589"/>
      <c r="DQ174" s="589"/>
      <c r="DR174" s="589"/>
      <c r="DS174" s="589"/>
      <c r="DT174" s="589"/>
      <c r="DU174" s="589"/>
      <c r="DV174" s="589"/>
      <c r="DW174" s="589"/>
      <c r="DX174" s="589"/>
      <c r="DY174" s="589"/>
      <c r="DZ174" s="589"/>
      <c r="EA174" s="589"/>
      <c r="EB174" s="589"/>
      <c r="EC174" s="589"/>
      <c r="ED174" s="589"/>
      <c r="EE174" s="589"/>
      <c r="EF174" s="589"/>
      <c r="EG174" s="589"/>
      <c r="EH174" s="589"/>
      <c r="EI174" s="589"/>
      <c r="EJ174" s="589"/>
      <c r="EK174" s="589"/>
      <c r="EL174" s="589"/>
      <c r="EM174" s="589"/>
      <c r="EN174" s="589"/>
      <c r="EO174" s="589"/>
      <c r="EP174" s="589"/>
      <c r="EQ174" s="589"/>
      <c r="ER174" s="589"/>
      <c r="ES174" s="589"/>
      <c r="ET174" s="589"/>
      <c r="EU174" s="589"/>
      <c r="EV174" s="589"/>
      <c r="EW174" s="589"/>
      <c r="EX174" s="589"/>
      <c r="EY174" s="589"/>
      <c r="EZ174" s="589"/>
      <c r="FA174" s="589"/>
      <c r="FB174" s="589"/>
      <c r="FC174" s="589"/>
      <c r="FD174" s="589"/>
      <c r="FE174" s="589"/>
      <c r="FF174" s="589"/>
      <c r="FG174" s="589"/>
      <c r="FH174" s="589"/>
      <c r="FI174" s="589"/>
      <c r="FJ174" s="589"/>
      <c r="FK174" s="589"/>
      <c r="FL174" s="589"/>
      <c r="FM174" s="589"/>
      <c r="FN174" s="589"/>
      <c r="FO174" s="589"/>
      <c r="FP174" s="589"/>
      <c r="FQ174" s="589"/>
      <c r="FR174" s="589"/>
      <c r="FS174" s="589"/>
      <c r="FT174" s="589"/>
      <c r="FU174" s="589"/>
      <c r="FV174" s="589"/>
      <c r="FW174" s="589"/>
      <c r="FX174" s="589"/>
      <c r="FY174" s="589"/>
      <c r="FZ174" s="589"/>
      <c r="GA174" s="589"/>
      <c r="GB174" s="589"/>
      <c r="GC174" s="589"/>
      <c r="GD174" s="589"/>
      <c r="GE174" s="589"/>
      <c r="GF174" s="589"/>
      <c r="GG174" s="589"/>
      <c r="GH174" s="589"/>
      <c r="GI174" s="589"/>
      <c r="GJ174" s="589"/>
      <c r="GK174" s="589"/>
      <c r="GL174" s="589"/>
      <c r="GM174" s="589"/>
      <c r="GN174" s="589"/>
      <c r="GO174" s="589"/>
      <c r="GP174" s="589"/>
      <c r="GQ174" s="589"/>
      <c r="GR174" s="589"/>
      <c r="GS174" s="589"/>
      <c r="GT174" s="589"/>
      <c r="GU174" s="589"/>
      <c r="GV174" s="589"/>
      <c r="GW174" s="589"/>
      <c r="GX174" s="589"/>
      <c r="GY174" s="589"/>
      <c r="GZ174" s="589"/>
      <c r="HA174" s="589"/>
      <c r="HB174" s="589"/>
      <c r="HC174" s="589"/>
      <c r="HD174" s="589"/>
      <c r="HE174" s="589"/>
      <c r="HF174" s="589"/>
      <c r="HG174" s="589"/>
      <c r="HH174" s="589"/>
      <c r="HI174" s="589"/>
      <c r="HJ174" s="589"/>
      <c r="HK174" s="589"/>
      <c r="HL174" s="589"/>
      <c r="HM174" s="589"/>
      <c r="HN174" s="589"/>
      <c r="HO174" s="589"/>
      <c r="HP174" s="589"/>
      <c r="HQ174" s="589"/>
      <c r="HR174" s="589"/>
      <c r="HS174" s="589"/>
      <c r="HT174" s="589"/>
      <c r="HU174" s="589"/>
      <c r="HV174" s="589"/>
      <c r="HW174" s="589"/>
      <c r="HX174" s="589"/>
      <c r="HY174" s="589"/>
      <c r="HZ174" s="589"/>
      <c r="IA174" s="589"/>
      <c r="IB174" s="589"/>
      <c r="IC174" s="589"/>
      <c r="ID174" s="589"/>
      <c r="IE174" s="589"/>
      <c r="IF174" s="589"/>
      <c r="IG174" s="589"/>
      <c r="IH174" s="589"/>
      <c r="II174" s="589"/>
      <c r="IJ174" s="589"/>
      <c r="IK174" s="589"/>
      <c r="IL174" s="589"/>
      <c r="IM174" s="589"/>
      <c r="IN174" s="589"/>
      <c r="IO174" s="589"/>
      <c r="IP174" s="589"/>
      <c r="IQ174" s="589"/>
      <c r="IR174" s="589"/>
      <c r="IS174" s="589"/>
      <c r="IT174" s="589"/>
      <c r="IU174" s="589"/>
      <c r="IV174" s="589"/>
    </row>
    <row r="175" spans="1:256" s="704" customFormat="1" ht="16.5" thickBot="1" x14ac:dyDescent="0.3">
      <c r="A175" s="703"/>
      <c r="B175" s="664"/>
      <c r="C175" s="664"/>
      <c r="D175" s="664"/>
      <c r="E175" s="664"/>
      <c r="F175" s="664"/>
      <c r="G175" s="664"/>
      <c r="H175" s="664"/>
      <c r="I175" s="664"/>
      <c r="J175" s="664"/>
      <c r="K175" s="664"/>
      <c r="L175" s="664"/>
      <c r="M175" s="664"/>
      <c r="N175" s="664"/>
      <c r="O175" s="664"/>
      <c r="P175" s="664"/>
      <c r="Q175" s="664"/>
      <c r="R175" s="664"/>
      <c r="S175" s="664"/>
      <c r="T175" s="664"/>
      <c r="U175" s="664"/>
      <c r="V175" s="696"/>
      <c r="W175" s="664"/>
      <c r="X175" s="572"/>
      <c r="Y175" s="573"/>
      <c r="Z175" s="573"/>
      <c r="AA175" s="573"/>
      <c r="AB175" s="573"/>
      <c r="AC175" s="573"/>
      <c r="AD175" s="573"/>
      <c r="AE175" s="573"/>
      <c r="AF175" s="573"/>
      <c r="AG175" s="573"/>
      <c r="AH175" s="573"/>
      <c r="AI175" s="573"/>
      <c r="AJ175" s="573"/>
      <c r="AK175" s="573"/>
      <c r="AL175" s="573"/>
      <c r="AM175" s="573"/>
      <c r="AN175" s="573"/>
      <c r="AO175" s="573"/>
      <c r="AP175" s="573"/>
      <c r="AQ175" s="573"/>
      <c r="AR175" s="573"/>
      <c r="AS175" s="573"/>
      <c r="AT175" s="573"/>
      <c r="AU175" s="573"/>
      <c r="AV175" s="573"/>
      <c r="AW175" s="573"/>
      <c r="AX175" s="573"/>
      <c r="AY175" s="573"/>
      <c r="AZ175" s="573"/>
      <c r="BA175" s="573"/>
      <c r="BB175" s="573"/>
      <c r="BC175" s="573"/>
      <c r="BD175" s="573"/>
      <c r="BE175" s="573"/>
      <c r="BF175" s="573"/>
      <c r="BG175" s="573"/>
      <c r="BH175" s="573"/>
      <c r="BI175" s="573"/>
      <c r="BJ175" s="573"/>
      <c r="BK175" s="573"/>
      <c r="BL175" s="573"/>
      <c r="BM175" s="573"/>
      <c r="BN175" s="573"/>
      <c r="BO175" s="573"/>
      <c r="BP175" s="573"/>
      <c r="BQ175" s="573"/>
      <c r="BR175" s="573"/>
      <c r="BS175" s="573"/>
      <c r="BT175" s="573"/>
      <c r="BU175" s="573"/>
      <c r="BV175" s="573"/>
      <c r="BW175" s="573"/>
      <c r="BX175" s="573"/>
      <c r="BY175" s="573"/>
      <c r="BZ175" s="573"/>
      <c r="CA175" s="573"/>
      <c r="CB175" s="573"/>
      <c r="CC175" s="573"/>
      <c r="CD175" s="573"/>
      <c r="CE175" s="573"/>
      <c r="CF175" s="573"/>
      <c r="CG175" s="573"/>
      <c r="CH175" s="573"/>
      <c r="CI175" s="573"/>
      <c r="CJ175" s="573"/>
      <c r="CK175" s="573"/>
      <c r="CL175" s="573"/>
      <c r="CM175" s="573"/>
      <c r="CN175" s="573"/>
      <c r="CO175" s="573"/>
      <c r="CP175" s="573"/>
      <c r="CQ175" s="573"/>
      <c r="CR175" s="573"/>
      <c r="CS175" s="573"/>
      <c r="CT175" s="573"/>
      <c r="CU175" s="573"/>
      <c r="CV175" s="573"/>
      <c r="CW175" s="573"/>
      <c r="CX175" s="573"/>
      <c r="CY175" s="573"/>
      <c r="CZ175" s="573"/>
      <c r="DA175" s="573"/>
      <c r="DB175" s="573"/>
      <c r="DC175" s="573"/>
      <c r="DD175" s="573"/>
      <c r="DE175" s="573"/>
      <c r="DF175" s="573"/>
      <c r="DG175" s="573"/>
      <c r="DH175" s="573"/>
      <c r="DI175" s="573"/>
      <c r="DJ175" s="573"/>
      <c r="DK175" s="573"/>
      <c r="DL175" s="573"/>
      <c r="DM175" s="573"/>
      <c r="DN175" s="573"/>
      <c r="DO175" s="573"/>
      <c r="DP175" s="573"/>
      <c r="DQ175" s="573"/>
      <c r="DR175" s="573"/>
      <c r="DS175" s="573"/>
      <c r="DT175" s="573"/>
      <c r="DU175" s="573"/>
      <c r="DV175" s="573"/>
      <c r="DW175" s="573"/>
      <c r="DX175" s="573"/>
      <c r="DY175" s="573"/>
      <c r="DZ175" s="573"/>
      <c r="EA175" s="573"/>
      <c r="EB175" s="573"/>
      <c r="EC175" s="573"/>
      <c r="ED175" s="573"/>
      <c r="EE175" s="573"/>
      <c r="EF175" s="573"/>
      <c r="EG175" s="573"/>
      <c r="EH175" s="573"/>
      <c r="EI175" s="573"/>
      <c r="EJ175" s="573"/>
      <c r="EK175" s="573"/>
      <c r="EL175" s="573"/>
      <c r="EM175" s="573"/>
      <c r="EN175" s="573"/>
      <c r="EO175" s="573"/>
      <c r="EP175" s="573"/>
      <c r="EQ175" s="573"/>
      <c r="ER175" s="573"/>
      <c r="ES175" s="573"/>
      <c r="ET175" s="573"/>
      <c r="EU175" s="573"/>
      <c r="EV175" s="573"/>
      <c r="EW175" s="573"/>
      <c r="EX175" s="573"/>
      <c r="EY175" s="573"/>
      <c r="EZ175" s="573"/>
      <c r="FA175" s="573"/>
      <c r="FB175" s="573"/>
      <c r="FC175" s="573"/>
      <c r="FD175" s="573"/>
      <c r="FE175" s="573"/>
      <c r="FF175" s="573"/>
      <c r="FG175" s="573"/>
      <c r="FH175" s="573"/>
      <c r="FI175" s="573"/>
      <c r="FJ175" s="573"/>
      <c r="FK175" s="573"/>
      <c r="FL175" s="573"/>
      <c r="FM175" s="573"/>
      <c r="FN175" s="573"/>
      <c r="FO175" s="573"/>
      <c r="FP175" s="573"/>
      <c r="FQ175" s="573"/>
      <c r="FR175" s="573"/>
      <c r="FS175" s="573"/>
      <c r="FT175" s="573"/>
      <c r="FU175" s="573"/>
      <c r="FV175" s="573"/>
      <c r="FW175" s="573"/>
      <c r="FX175" s="573"/>
      <c r="FY175" s="573"/>
      <c r="FZ175" s="573"/>
      <c r="GA175" s="573"/>
      <c r="GB175" s="573"/>
      <c r="GC175" s="573"/>
      <c r="GD175" s="573"/>
      <c r="GE175" s="573"/>
      <c r="GF175" s="573"/>
      <c r="GG175" s="573"/>
      <c r="GH175" s="573"/>
      <c r="GI175" s="573"/>
      <c r="GJ175" s="573"/>
      <c r="GK175" s="573"/>
      <c r="GL175" s="573"/>
      <c r="GM175" s="573"/>
      <c r="GN175" s="573"/>
      <c r="GO175" s="573"/>
      <c r="GP175" s="573"/>
      <c r="GQ175" s="573"/>
      <c r="GR175" s="573"/>
      <c r="GS175" s="573"/>
      <c r="GT175" s="573"/>
      <c r="GU175" s="573"/>
      <c r="GV175" s="573"/>
      <c r="GW175" s="573"/>
      <c r="GX175" s="573"/>
      <c r="GY175" s="573"/>
      <c r="GZ175" s="573"/>
      <c r="HA175" s="573"/>
      <c r="HB175" s="573"/>
      <c r="HC175" s="573"/>
      <c r="HD175" s="573"/>
      <c r="HE175" s="573"/>
      <c r="HF175" s="573"/>
      <c r="HG175" s="573"/>
      <c r="HH175" s="573"/>
      <c r="HI175" s="573"/>
      <c r="HJ175" s="573"/>
      <c r="HK175" s="573"/>
      <c r="HL175" s="573"/>
      <c r="HM175" s="573"/>
      <c r="HN175" s="573"/>
      <c r="HO175" s="573"/>
      <c r="HP175" s="573"/>
      <c r="HQ175" s="573"/>
      <c r="HR175" s="573"/>
      <c r="HS175" s="573"/>
      <c r="HT175" s="573"/>
      <c r="HU175" s="573"/>
      <c r="HV175" s="573"/>
      <c r="HW175" s="573"/>
      <c r="HX175" s="573"/>
      <c r="HY175" s="573"/>
      <c r="HZ175" s="573"/>
      <c r="IA175" s="573"/>
      <c r="IB175" s="573"/>
      <c r="IC175" s="573"/>
      <c r="ID175" s="573"/>
      <c r="IE175" s="573"/>
      <c r="IF175" s="573"/>
      <c r="IG175" s="573"/>
      <c r="IH175" s="573"/>
      <c r="II175" s="573"/>
      <c r="IJ175" s="573"/>
      <c r="IK175" s="573"/>
      <c r="IL175" s="573"/>
      <c r="IM175" s="573"/>
      <c r="IN175" s="573"/>
      <c r="IO175" s="573"/>
      <c r="IP175" s="573"/>
      <c r="IQ175" s="573"/>
      <c r="IR175" s="573"/>
      <c r="IS175" s="573"/>
      <c r="IT175" s="573"/>
      <c r="IU175" s="573"/>
      <c r="IV175" s="573"/>
    </row>
    <row r="176" spans="1:256" s="705" customFormat="1" x14ac:dyDescent="0.25">
      <c r="A176" s="569"/>
      <c r="B176" s="571"/>
      <c r="C176" s="571"/>
      <c r="D176" s="571"/>
      <c r="E176" s="571"/>
      <c r="F176" s="571"/>
      <c r="G176" s="571"/>
      <c r="H176" s="571"/>
      <c r="I176" s="571"/>
      <c r="J176" s="571"/>
      <c r="K176" s="571"/>
      <c r="L176" s="571"/>
      <c r="M176" s="571"/>
      <c r="N176" s="571"/>
      <c r="O176" s="571"/>
      <c r="P176" s="571"/>
      <c r="Q176" s="571"/>
      <c r="R176" s="571"/>
      <c r="S176" s="571"/>
      <c r="T176" s="571"/>
      <c r="U176" s="571"/>
      <c r="V176" s="699"/>
      <c r="W176" s="571"/>
      <c r="X176" s="572"/>
      <c r="Y176" s="573"/>
      <c r="Z176" s="573"/>
      <c r="AA176" s="573"/>
      <c r="AB176" s="573"/>
      <c r="AC176" s="573"/>
      <c r="AD176" s="573"/>
      <c r="AE176" s="573"/>
      <c r="AF176" s="573"/>
      <c r="AG176" s="573"/>
      <c r="AH176" s="573"/>
      <c r="AI176" s="573"/>
      <c r="AJ176" s="573"/>
      <c r="AK176" s="573"/>
      <c r="AL176" s="573"/>
      <c r="AM176" s="573"/>
      <c r="AN176" s="573"/>
      <c r="AO176" s="573"/>
      <c r="AP176" s="573"/>
      <c r="AQ176" s="573"/>
      <c r="AR176" s="573"/>
      <c r="AS176" s="573"/>
      <c r="AT176" s="573"/>
      <c r="AU176" s="573"/>
      <c r="AV176" s="573"/>
      <c r="AW176" s="573"/>
      <c r="AX176" s="573"/>
      <c r="AY176" s="573"/>
      <c r="AZ176" s="573"/>
      <c r="BA176" s="573"/>
      <c r="BB176" s="573"/>
      <c r="BC176" s="573"/>
      <c r="BD176" s="573"/>
      <c r="BE176" s="573"/>
      <c r="BF176" s="573"/>
      <c r="BG176" s="573"/>
      <c r="BH176" s="573"/>
      <c r="BI176" s="573"/>
      <c r="BJ176" s="573"/>
      <c r="BK176" s="573"/>
      <c r="BL176" s="573"/>
      <c r="BM176" s="573"/>
      <c r="BN176" s="573"/>
      <c r="BO176" s="573"/>
      <c r="BP176" s="573"/>
      <c r="BQ176" s="573"/>
      <c r="BR176" s="573"/>
      <c r="BS176" s="573"/>
      <c r="BT176" s="573"/>
      <c r="BU176" s="573"/>
      <c r="BV176" s="573"/>
      <c r="BW176" s="573"/>
      <c r="BX176" s="573"/>
      <c r="BY176" s="573"/>
      <c r="BZ176" s="573"/>
      <c r="CA176" s="573"/>
      <c r="CB176" s="573"/>
      <c r="CC176" s="573"/>
      <c r="CD176" s="573"/>
      <c r="CE176" s="573"/>
      <c r="CF176" s="573"/>
      <c r="CG176" s="573"/>
      <c r="CH176" s="573"/>
      <c r="CI176" s="573"/>
      <c r="CJ176" s="573"/>
      <c r="CK176" s="573"/>
      <c r="CL176" s="573"/>
      <c r="CM176" s="573"/>
      <c r="CN176" s="573"/>
      <c r="CO176" s="573"/>
      <c r="CP176" s="573"/>
      <c r="CQ176" s="573"/>
      <c r="CR176" s="573"/>
      <c r="CS176" s="573"/>
      <c r="CT176" s="573"/>
      <c r="CU176" s="573"/>
      <c r="CV176" s="573"/>
      <c r="CW176" s="573"/>
      <c r="CX176" s="573"/>
      <c r="CY176" s="573"/>
      <c r="CZ176" s="573"/>
      <c r="DA176" s="573"/>
      <c r="DB176" s="573"/>
      <c r="DC176" s="573"/>
      <c r="DD176" s="573"/>
      <c r="DE176" s="573"/>
      <c r="DF176" s="573"/>
      <c r="DG176" s="573"/>
      <c r="DH176" s="573"/>
      <c r="DI176" s="573"/>
      <c r="DJ176" s="573"/>
      <c r="DK176" s="573"/>
      <c r="DL176" s="573"/>
      <c r="DM176" s="573"/>
      <c r="DN176" s="573"/>
      <c r="DO176" s="573"/>
      <c r="DP176" s="573"/>
      <c r="DQ176" s="573"/>
      <c r="DR176" s="573"/>
      <c r="DS176" s="573"/>
      <c r="DT176" s="573"/>
      <c r="DU176" s="573"/>
      <c r="DV176" s="573"/>
      <c r="DW176" s="573"/>
      <c r="DX176" s="573"/>
      <c r="DY176" s="573"/>
      <c r="DZ176" s="573"/>
      <c r="EA176" s="573"/>
      <c r="EB176" s="573"/>
      <c r="EC176" s="573"/>
      <c r="ED176" s="573"/>
      <c r="EE176" s="573"/>
      <c r="EF176" s="573"/>
      <c r="EG176" s="573"/>
      <c r="EH176" s="573"/>
      <c r="EI176" s="573"/>
      <c r="EJ176" s="573"/>
      <c r="EK176" s="573"/>
      <c r="EL176" s="573"/>
      <c r="EM176" s="573"/>
      <c r="EN176" s="573"/>
      <c r="EO176" s="573"/>
      <c r="EP176" s="573"/>
      <c r="EQ176" s="573"/>
      <c r="ER176" s="573"/>
      <c r="ES176" s="573"/>
      <c r="ET176" s="573"/>
      <c r="EU176" s="573"/>
      <c r="EV176" s="573"/>
      <c r="EW176" s="573"/>
      <c r="EX176" s="573"/>
      <c r="EY176" s="573"/>
      <c r="EZ176" s="573"/>
      <c r="FA176" s="573"/>
      <c r="FB176" s="573"/>
      <c r="FC176" s="573"/>
      <c r="FD176" s="573"/>
      <c r="FE176" s="573"/>
      <c r="FF176" s="573"/>
      <c r="FG176" s="573"/>
      <c r="FH176" s="573"/>
      <c r="FI176" s="573"/>
      <c r="FJ176" s="573"/>
      <c r="FK176" s="573"/>
      <c r="FL176" s="573"/>
      <c r="FM176" s="573"/>
      <c r="FN176" s="573"/>
      <c r="FO176" s="573"/>
      <c r="FP176" s="573"/>
      <c r="FQ176" s="573"/>
      <c r="FR176" s="573"/>
      <c r="FS176" s="573"/>
      <c r="FT176" s="573"/>
      <c r="FU176" s="573"/>
      <c r="FV176" s="573"/>
      <c r="FW176" s="573"/>
      <c r="FX176" s="573"/>
      <c r="FY176" s="573"/>
      <c r="FZ176" s="573"/>
      <c r="GA176" s="573"/>
      <c r="GB176" s="573"/>
      <c r="GC176" s="573"/>
      <c r="GD176" s="573"/>
      <c r="GE176" s="573"/>
      <c r="GF176" s="573"/>
      <c r="GG176" s="573"/>
      <c r="GH176" s="573"/>
      <c r="GI176" s="573"/>
      <c r="GJ176" s="573"/>
      <c r="GK176" s="573"/>
      <c r="GL176" s="573"/>
      <c r="GM176" s="573"/>
      <c r="GN176" s="573"/>
      <c r="GO176" s="573"/>
      <c r="GP176" s="573"/>
      <c r="GQ176" s="573"/>
      <c r="GR176" s="573"/>
      <c r="GS176" s="573"/>
      <c r="GT176" s="573"/>
      <c r="GU176" s="573"/>
      <c r="GV176" s="573"/>
      <c r="GW176" s="573"/>
      <c r="GX176" s="573"/>
      <c r="GY176" s="573"/>
      <c r="GZ176" s="573"/>
      <c r="HA176" s="573"/>
      <c r="HB176" s="573"/>
      <c r="HC176" s="573"/>
      <c r="HD176" s="573"/>
      <c r="HE176" s="573"/>
      <c r="HF176" s="573"/>
      <c r="HG176" s="573"/>
      <c r="HH176" s="573"/>
      <c r="HI176" s="573"/>
      <c r="HJ176" s="573"/>
      <c r="HK176" s="573"/>
      <c r="HL176" s="573"/>
      <c r="HM176" s="573"/>
      <c r="HN176" s="573"/>
      <c r="HO176" s="573"/>
      <c r="HP176" s="573"/>
      <c r="HQ176" s="573"/>
      <c r="HR176" s="573"/>
      <c r="HS176" s="573"/>
      <c r="HT176" s="573"/>
      <c r="HU176" s="573"/>
      <c r="HV176" s="573"/>
      <c r="HW176" s="573"/>
      <c r="HX176" s="573"/>
      <c r="HY176" s="573"/>
      <c r="HZ176" s="573"/>
      <c r="IA176" s="573"/>
      <c r="IB176" s="573"/>
      <c r="IC176" s="573"/>
      <c r="ID176" s="573"/>
      <c r="IE176" s="573"/>
      <c r="IF176" s="573"/>
      <c r="IG176" s="573"/>
      <c r="IH176" s="573"/>
      <c r="II176" s="573"/>
      <c r="IJ176" s="573"/>
      <c r="IK176" s="573"/>
      <c r="IL176" s="573"/>
      <c r="IM176" s="573"/>
      <c r="IN176" s="573"/>
      <c r="IO176" s="573"/>
      <c r="IP176" s="573"/>
      <c r="IQ176" s="573"/>
      <c r="IR176" s="573"/>
      <c r="IS176" s="573"/>
      <c r="IT176" s="573"/>
      <c r="IU176" s="573"/>
      <c r="IV176" s="573"/>
    </row>
    <row r="177" spans="1:24" x14ac:dyDescent="0.25">
      <c r="A177" s="574"/>
      <c r="B177" s="694" t="s">
        <v>56</v>
      </c>
      <c r="C177" s="576"/>
      <c r="D177" s="576"/>
      <c r="E177" s="576"/>
      <c r="F177" s="576"/>
      <c r="G177" s="576"/>
      <c r="H177" s="576"/>
      <c r="I177" s="576"/>
      <c r="J177" s="576"/>
      <c r="K177" s="576"/>
      <c r="L177" s="576"/>
      <c r="M177" s="576"/>
      <c r="N177" s="576"/>
      <c r="O177" s="576"/>
      <c r="P177" s="576"/>
      <c r="Q177" s="576"/>
      <c r="R177" s="576"/>
      <c r="S177" s="576"/>
      <c r="T177" s="576"/>
      <c r="U177" s="576"/>
      <c r="V177" s="656"/>
      <c r="W177" s="576"/>
      <c r="X177" s="572"/>
    </row>
    <row r="178" spans="1:24" x14ac:dyDescent="0.25">
      <c r="A178" s="574"/>
      <c r="B178" s="693"/>
      <c r="C178" s="576"/>
      <c r="D178" s="576"/>
      <c r="E178" s="576"/>
      <c r="F178" s="576"/>
      <c r="G178" s="576"/>
      <c r="H178" s="576"/>
      <c r="I178" s="576"/>
      <c r="J178" s="576"/>
      <c r="K178" s="576"/>
      <c r="L178" s="576"/>
      <c r="M178" s="576"/>
      <c r="N178" s="576"/>
      <c r="O178" s="576"/>
      <c r="P178" s="576"/>
      <c r="Q178" s="576"/>
      <c r="R178" s="576"/>
      <c r="S178" s="576"/>
      <c r="T178" s="576"/>
      <c r="U178" s="576"/>
      <c r="V178" s="656"/>
      <c r="W178" s="576"/>
      <c r="X178" s="572"/>
    </row>
    <row r="179" spans="1:24" s="589" customFormat="1" x14ac:dyDescent="0.25">
      <c r="A179" s="604"/>
      <c r="B179" s="605" t="s">
        <v>57</v>
      </c>
      <c r="C179" s="605"/>
      <c r="D179" s="605"/>
      <c r="E179" s="605"/>
      <c r="F179" s="605"/>
      <c r="G179" s="605"/>
      <c r="H179" s="605"/>
      <c r="I179" s="605"/>
      <c r="J179" s="605"/>
      <c r="K179" s="605"/>
      <c r="L179" s="605"/>
      <c r="M179" s="605"/>
      <c r="N179" s="605"/>
      <c r="O179" s="605"/>
      <c r="P179" s="605"/>
      <c r="Q179" s="605"/>
      <c r="R179" s="605"/>
      <c r="S179" s="605"/>
      <c r="T179" s="605"/>
      <c r="U179" s="605"/>
      <c r="V179" s="663">
        <f>V71</f>
        <v>592302</v>
      </c>
      <c r="W179" s="607"/>
      <c r="X179" s="588"/>
    </row>
    <row r="180" spans="1:24" s="589" customFormat="1" x14ac:dyDescent="0.25">
      <c r="A180" s="604"/>
      <c r="B180" s="605" t="s">
        <v>58</v>
      </c>
      <c r="C180" s="605"/>
      <c r="D180" s="605"/>
      <c r="E180" s="605"/>
      <c r="F180" s="605"/>
      <c r="G180" s="605"/>
      <c r="H180" s="605"/>
      <c r="I180" s="605"/>
      <c r="J180" s="605"/>
      <c r="K180" s="605"/>
      <c r="L180" s="605"/>
      <c r="M180" s="605"/>
      <c r="N180" s="605"/>
      <c r="O180" s="605"/>
      <c r="P180" s="605"/>
      <c r="Q180" s="605"/>
      <c r="R180" s="605"/>
      <c r="S180" s="605"/>
      <c r="T180" s="605"/>
      <c r="U180" s="605"/>
      <c r="V180" s="663">
        <f>V84</f>
        <v>592302</v>
      </c>
      <c r="W180" s="607"/>
      <c r="X180" s="588"/>
    </row>
    <row r="181" spans="1:24" ht="16.5" thickBot="1" x14ac:dyDescent="0.3">
      <c r="A181" s="574"/>
      <c r="B181" s="664"/>
      <c r="C181" s="664"/>
      <c r="D181" s="664"/>
      <c r="E181" s="664"/>
      <c r="F181" s="664"/>
      <c r="G181" s="664"/>
      <c r="H181" s="664"/>
      <c r="I181" s="664"/>
      <c r="J181" s="664"/>
      <c r="K181" s="664"/>
      <c r="L181" s="664"/>
      <c r="M181" s="664"/>
      <c r="N181" s="664"/>
      <c r="O181" s="664"/>
      <c r="P181" s="664"/>
      <c r="Q181" s="664"/>
      <c r="R181" s="664"/>
      <c r="S181" s="664"/>
      <c r="T181" s="664"/>
      <c r="U181" s="664"/>
      <c r="V181" s="696"/>
      <c r="W181" s="664"/>
      <c r="X181" s="572"/>
    </row>
    <row r="182" spans="1:24" x14ac:dyDescent="0.25">
      <c r="A182" s="569"/>
      <c r="B182" s="571"/>
      <c r="C182" s="571"/>
      <c r="D182" s="571"/>
      <c r="E182" s="571"/>
      <c r="F182" s="571"/>
      <c r="G182" s="571"/>
      <c r="H182" s="571"/>
      <c r="I182" s="571"/>
      <c r="J182" s="571"/>
      <c r="K182" s="571"/>
      <c r="L182" s="571"/>
      <c r="M182" s="571"/>
      <c r="N182" s="571"/>
      <c r="O182" s="571"/>
      <c r="P182" s="571"/>
      <c r="Q182" s="571"/>
      <c r="R182" s="571"/>
      <c r="S182" s="571"/>
      <c r="T182" s="571"/>
      <c r="U182" s="571"/>
      <c r="V182" s="699"/>
      <c r="W182" s="571"/>
      <c r="X182" s="572"/>
    </row>
    <row r="183" spans="1:24" s="629" customFormat="1" x14ac:dyDescent="0.25">
      <c r="A183" s="657"/>
      <c r="B183" s="694" t="s">
        <v>59</v>
      </c>
      <c r="C183" s="661"/>
      <c r="D183" s="661"/>
      <c r="E183" s="661"/>
      <c r="F183" s="661"/>
      <c r="G183" s="661"/>
      <c r="H183" s="706"/>
      <c r="I183" s="706"/>
      <c r="J183" s="706"/>
      <c r="K183" s="706"/>
      <c r="L183" s="706"/>
      <c r="M183" s="706"/>
      <c r="N183" s="706"/>
      <c r="O183" s="706"/>
      <c r="P183" s="706"/>
      <c r="Q183" s="706"/>
      <c r="R183" s="706"/>
      <c r="S183" s="706" t="s">
        <v>101</v>
      </c>
      <c r="T183" s="706" t="s">
        <v>176</v>
      </c>
      <c r="U183" s="578"/>
      <c r="V183" s="707" t="s">
        <v>114</v>
      </c>
      <c r="W183" s="578"/>
      <c r="X183" s="628"/>
    </row>
    <row r="184" spans="1:24" s="589" customFormat="1" x14ac:dyDescent="0.25">
      <c r="A184" s="604"/>
      <c r="B184" s="605" t="s">
        <v>60</v>
      </c>
      <c r="C184" s="605"/>
      <c r="D184" s="605"/>
      <c r="E184" s="605"/>
      <c r="F184" s="605"/>
      <c r="G184" s="605"/>
      <c r="H184" s="605"/>
      <c r="I184" s="605"/>
      <c r="J184" s="605"/>
      <c r="K184" s="605"/>
      <c r="L184" s="605"/>
      <c r="M184" s="605"/>
      <c r="N184" s="605"/>
      <c r="O184" s="605"/>
      <c r="P184" s="605"/>
      <c r="Q184" s="605"/>
      <c r="R184" s="605"/>
      <c r="S184" s="663">
        <f>+V34*0.16</f>
        <v>160181.28</v>
      </c>
      <c r="T184" s="635"/>
      <c r="U184" s="605"/>
      <c r="V184" s="663"/>
      <c r="W184" s="607"/>
      <c r="X184" s="588"/>
    </row>
    <row r="185" spans="1:24" s="589" customFormat="1" x14ac:dyDescent="0.25">
      <c r="A185" s="604"/>
      <c r="B185" s="605" t="s">
        <v>61</v>
      </c>
      <c r="C185" s="605"/>
      <c r="D185" s="605"/>
      <c r="E185" s="605"/>
      <c r="F185" s="605"/>
      <c r="G185" s="605"/>
      <c r="H185" s="605"/>
      <c r="I185" s="605"/>
      <c r="J185" s="605"/>
      <c r="K185" s="605"/>
      <c r="L185" s="605"/>
      <c r="M185" s="605"/>
      <c r="N185" s="605"/>
      <c r="O185" s="605"/>
      <c r="P185" s="605"/>
      <c r="Q185" s="605"/>
      <c r="R185" s="605"/>
      <c r="S185" s="663">
        <f>+'Aug 18'!S187</f>
        <v>14105</v>
      </c>
      <c r="T185" s="663">
        <f>+'Aug 18'!T187</f>
        <v>6098</v>
      </c>
      <c r="U185" s="605"/>
      <c r="V185" s="663">
        <f>S185+T185</f>
        <v>20203</v>
      </c>
      <c r="W185" s="607"/>
      <c r="X185" s="588"/>
    </row>
    <row r="186" spans="1:24" s="589" customFormat="1" x14ac:dyDescent="0.25">
      <c r="A186" s="604"/>
      <c r="B186" s="605" t="s">
        <v>62</v>
      </c>
      <c r="C186" s="605"/>
      <c r="D186" s="605"/>
      <c r="E186" s="605"/>
      <c r="F186" s="605"/>
      <c r="G186" s="605"/>
      <c r="H186" s="605"/>
      <c r="I186" s="605"/>
      <c r="J186" s="605"/>
      <c r="K186" s="605"/>
      <c r="L186" s="605"/>
      <c r="M186" s="605"/>
      <c r="N186" s="605"/>
      <c r="O186" s="605"/>
      <c r="P186" s="605"/>
      <c r="Q186" s="605"/>
      <c r="R186" s="605"/>
      <c r="S186" s="662">
        <v>58</v>
      </c>
      <c r="T186" s="662">
        <v>0</v>
      </c>
      <c r="U186" s="605"/>
      <c r="V186" s="663">
        <f>S186+T186</f>
        <v>58</v>
      </c>
      <c r="W186" s="607"/>
      <c r="X186" s="588"/>
    </row>
    <row r="187" spans="1:24" s="589" customFormat="1" x14ac:dyDescent="0.25">
      <c r="A187" s="604"/>
      <c r="B187" s="605" t="s">
        <v>63</v>
      </c>
      <c r="C187" s="605"/>
      <c r="D187" s="605"/>
      <c r="E187" s="605"/>
      <c r="F187" s="605"/>
      <c r="G187" s="605"/>
      <c r="H187" s="605"/>
      <c r="I187" s="605"/>
      <c r="J187" s="605"/>
      <c r="K187" s="605"/>
      <c r="L187" s="605"/>
      <c r="M187" s="605"/>
      <c r="N187" s="605"/>
      <c r="O187" s="605"/>
      <c r="P187" s="605"/>
      <c r="Q187" s="605"/>
      <c r="R187" s="605"/>
      <c r="S187" s="663">
        <f>S185+S186</f>
        <v>14163</v>
      </c>
      <c r="T187" s="663">
        <f>T186+T185</f>
        <v>6098</v>
      </c>
      <c r="U187" s="605"/>
      <c r="V187" s="663">
        <f>S187+T187</f>
        <v>20261</v>
      </c>
      <c r="W187" s="607"/>
      <c r="X187" s="588"/>
    </row>
    <row r="188" spans="1:24" s="589" customFormat="1" x14ac:dyDescent="0.25">
      <c r="A188" s="604"/>
      <c r="B188" s="605" t="s">
        <v>64</v>
      </c>
      <c r="C188" s="605"/>
      <c r="D188" s="605"/>
      <c r="E188" s="605"/>
      <c r="F188" s="605"/>
      <c r="G188" s="605"/>
      <c r="H188" s="605"/>
      <c r="I188" s="605"/>
      <c r="J188" s="605"/>
      <c r="K188" s="605"/>
      <c r="L188" s="605"/>
      <c r="M188" s="605"/>
      <c r="N188" s="605"/>
      <c r="O188" s="605"/>
      <c r="P188" s="605"/>
      <c r="Q188" s="605"/>
      <c r="R188" s="605"/>
      <c r="S188" s="663">
        <f>S184-S187-T187</f>
        <v>139920.28</v>
      </c>
      <c r="T188" s="635"/>
      <c r="U188" s="605"/>
      <c r="V188" s="663"/>
      <c r="W188" s="607"/>
      <c r="X188" s="588"/>
    </row>
    <row r="189" spans="1:24" ht="16.5" thickBot="1" x14ac:dyDescent="0.3">
      <c r="A189" s="574"/>
      <c r="B189" s="664"/>
      <c r="C189" s="664"/>
      <c r="D189" s="664"/>
      <c r="E189" s="664"/>
      <c r="F189" s="664"/>
      <c r="G189" s="664"/>
      <c r="H189" s="664"/>
      <c r="I189" s="664"/>
      <c r="J189" s="664"/>
      <c r="K189" s="664"/>
      <c r="L189" s="664"/>
      <c r="M189" s="664"/>
      <c r="N189" s="664"/>
      <c r="O189" s="664"/>
      <c r="P189" s="664"/>
      <c r="Q189" s="664"/>
      <c r="R189" s="664"/>
      <c r="S189" s="664"/>
      <c r="T189" s="664"/>
      <c r="U189" s="664"/>
      <c r="V189" s="696"/>
      <c r="W189" s="664"/>
      <c r="X189" s="572"/>
    </row>
    <row r="190" spans="1:24" x14ac:dyDescent="0.25">
      <c r="A190" s="569"/>
      <c r="B190" s="571"/>
      <c r="C190" s="571"/>
      <c r="D190" s="571"/>
      <c r="E190" s="571"/>
      <c r="F190" s="571"/>
      <c r="G190" s="571"/>
      <c r="H190" s="571"/>
      <c r="I190" s="571"/>
      <c r="J190" s="571"/>
      <c r="K190" s="571"/>
      <c r="L190" s="571"/>
      <c r="M190" s="571"/>
      <c r="N190" s="571"/>
      <c r="O190" s="571"/>
      <c r="P190" s="571"/>
      <c r="Q190" s="571"/>
      <c r="R190" s="571"/>
      <c r="S190" s="571"/>
      <c r="T190" s="571"/>
      <c r="U190" s="571"/>
      <c r="V190" s="699"/>
      <c r="W190" s="571"/>
      <c r="X190" s="572"/>
    </row>
    <row r="191" spans="1:24" x14ac:dyDescent="0.25">
      <c r="A191" s="574"/>
      <c r="B191" s="694" t="s">
        <v>65</v>
      </c>
      <c r="C191" s="576"/>
      <c r="D191" s="576"/>
      <c r="E191" s="576"/>
      <c r="F191" s="576"/>
      <c r="G191" s="576"/>
      <c r="H191" s="576"/>
      <c r="I191" s="576"/>
      <c r="J191" s="576"/>
      <c r="K191" s="576"/>
      <c r="L191" s="576"/>
      <c r="M191" s="576"/>
      <c r="N191" s="576"/>
      <c r="O191" s="576"/>
      <c r="P191" s="576"/>
      <c r="Q191" s="576"/>
      <c r="R191" s="576"/>
      <c r="S191" s="576"/>
      <c r="T191" s="576"/>
      <c r="U191" s="576"/>
      <c r="V191" s="708"/>
      <c r="W191" s="576"/>
      <c r="X191" s="572"/>
    </row>
    <row r="192" spans="1:24" s="589" customFormat="1" x14ac:dyDescent="0.25">
      <c r="A192" s="604"/>
      <c r="B192" s="605" t="s">
        <v>66</v>
      </c>
      <c r="C192" s="605"/>
      <c r="D192" s="605"/>
      <c r="E192" s="605"/>
      <c r="F192" s="605"/>
      <c r="G192" s="605"/>
      <c r="H192" s="605"/>
      <c r="I192" s="605"/>
      <c r="J192" s="605"/>
      <c r="K192" s="605"/>
      <c r="L192" s="605"/>
      <c r="M192" s="605"/>
      <c r="N192" s="605"/>
      <c r="O192" s="605"/>
      <c r="P192" s="605"/>
      <c r="Q192" s="605"/>
      <c r="R192" s="605"/>
      <c r="S192" s="605"/>
      <c r="T192" s="605"/>
      <c r="U192" s="605"/>
      <c r="V192" s="697">
        <f>(V101+V103+V104+V105+V106)/-(V107+V108)</f>
        <v>3.3330449826989619</v>
      </c>
      <c r="W192" s="607" t="s">
        <v>115</v>
      </c>
      <c r="X192" s="588"/>
    </row>
    <row r="193" spans="1:24" s="589" customFormat="1" x14ac:dyDescent="0.25">
      <c r="A193" s="604"/>
      <c r="B193" s="605" t="s">
        <v>67</v>
      </c>
      <c r="C193" s="605"/>
      <c r="D193" s="605"/>
      <c r="E193" s="605"/>
      <c r="F193" s="605"/>
      <c r="G193" s="605"/>
      <c r="H193" s="605"/>
      <c r="I193" s="605"/>
      <c r="J193" s="605"/>
      <c r="K193" s="605"/>
      <c r="L193" s="605"/>
      <c r="M193" s="605"/>
      <c r="N193" s="605"/>
      <c r="O193" s="605"/>
      <c r="P193" s="605"/>
      <c r="Q193" s="605"/>
      <c r="R193" s="605"/>
      <c r="S193" s="605"/>
      <c r="T193" s="605"/>
      <c r="U193" s="605"/>
      <c r="V193" s="709">
        <v>2.2200000000000002</v>
      </c>
      <c r="W193" s="607" t="s">
        <v>115</v>
      </c>
      <c r="X193" s="588"/>
    </row>
    <row r="194" spans="1:24" s="589" customFormat="1" x14ac:dyDescent="0.25">
      <c r="A194" s="604"/>
      <c r="B194" s="605" t="s">
        <v>68</v>
      </c>
      <c r="C194" s="605"/>
      <c r="D194" s="605"/>
      <c r="E194" s="605"/>
      <c r="F194" s="605"/>
      <c r="G194" s="605"/>
      <c r="H194" s="605"/>
      <c r="I194" s="605"/>
      <c r="J194" s="605"/>
      <c r="K194" s="605"/>
      <c r="L194" s="605"/>
      <c r="M194" s="605"/>
      <c r="N194" s="605"/>
      <c r="O194" s="605"/>
      <c r="P194" s="605"/>
      <c r="Q194" s="605"/>
      <c r="R194" s="605"/>
      <c r="S194" s="605"/>
      <c r="T194" s="605"/>
      <c r="U194" s="605"/>
      <c r="V194" s="697">
        <f>(V101+V103+V104+V105+V106+V107+V108)/-(V109+V110)</f>
        <v>10.333333333333334</v>
      </c>
      <c r="W194" s="607" t="s">
        <v>115</v>
      </c>
      <c r="X194" s="588"/>
    </row>
    <row r="195" spans="1:24" s="589" customFormat="1" x14ac:dyDescent="0.25">
      <c r="A195" s="604"/>
      <c r="B195" s="605" t="s">
        <v>69</v>
      </c>
      <c r="C195" s="605"/>
      <c r="D195" s="605"/>
      <c r="E195" s="605"/>
      <c r="F195" s="605"/>
      <c r="G195" s="605"/>
      <c r="H195" s="605"/>
      <c r="I195" s="605"/>
      <c r="J195" s="605"/>
      <c r="K195" s="605"/>
      <c r="L195" s="605"/>
      <c r="M195" s="605"/>
      <c r="N195" s="605"/>
      <c r="O195" s="605"/>
      <c r="P195" s="605"/>
      <c r="Q195" s="605"/>
      <c r="R195" s="605"/>
      <c r="S195" s="605"/>
      <c r="T195" s="605"/>
      <c r="U195" s="605"/>
      <c r="V195" s="709">
        <v>10.02</v>
      </c>
      <c r="W195" s="607" t="s">
        <v>115</v>
      </c>
      <c r="X195" s="588"/>
    </row>
    <row r="196" spans="1:24" s="589" customFormat="1" x14ac:dyDescent="0.25">
      <c r="A196" s="604"/>
      <c r="B196" s="605" t="s">
        <v>198</v>
      </c>
      <c r="C196" s="605"/>
      <c r="D196" s="605"/>
      <c r="E196" s="605"/>
      <c r="F196" s="605"/>
      <c r="G196" s="605"/>
      <c r="H196" s="605"/>
      <c r="I196" s="605"/>
      <c r="J196" s="605"/>
      <c r="K196" s="605"/>
      <c r="L196" s="605"/>
      <c r="M196" s="605"/>
      <c r="N196" s="605"/>
      <c r="O196" s="605"/>
      <c r="P196" s="605"/>
      <c r="Q196" s="605"/>
      <c r="R196" s="605"/>
      <c r="S196" s="605"/>
      <c r="T196" s="605"/>
      <c r="U196" s="605"/>
      <c r="V196" s="697">
        <f>(V101+V103+V104+V105+V106+V107+V108+V109+V110)/-(V111)</f>
        <v>6.4274406332453822</v>
      </c>
      <c r="W196" s="607" t="s">
        <v>115</v>
      </c>
      <c r="X196" s="588"/>
    </row>
    <row r="197" spans="1:24" s="589" customFormat="1" x14ac:dyDescent="0.25">
      <c r="A197" s="604"/>
      <c r="B197" s="605" t="s">
        <v>199</v>
      </c>
      <c r="C197" s="605"/>
      <c r="D197" s="605"/>
      <c r="E197" s="605"/>
      <c r="F197" s="605"/>
      <c r="G197" s="605"/>
      <c r="H197" s="605"/>
      <c r="I197" s="605"/>
      <c r="J197" s="605"/>
      <c r="K197" s="605"/>
      <c r="L197" s="605"/>
      <c r="M197" s="605"/>
      <c r="N197" s="605"/>
      <c r="O197" s="605"/>
      <c r="P197" s="605"/>
      <c r="Q197" s="605"/>
      <c r="R197" s="605"/>
      <c r="S197" s="605"/>
      <c r="T197" s="605"/>
      <c r="U197" s="605"/>
      <c r="V197" s="709">
        <v>7.11</v>
      </c>
      <c r="W197" s="607" t="s">
        <v>115</v>
      </c>
      <c r="X197" s="588"/>
    </row>
    <row r="198" spans="1:24" s="589" customFormat="1" x14ac:dyDescent="0.25">
      <c r="A198" s="604"/>
      <c r="B198" s="605"/>
      <c r="C198" s="605"/>
      <c r="D198" s="605"/>
      <c r="E198" s="605"/>
      <c r="F198" s="605"/>
      <c r="G198" s="605"/>
      <c r="H198" s="605"/>
      <c r="I198" s="605"/>
      <c r="J198" s="605"/>
      <c r="K198" s="605"/>
      <c r="L198" s="605"/>
      <c r="M198" s="605"/>
      <c r="N198" s="605"/>
      <c r="O198" s="605"/>
      <c r="P198" s="605"/>
      <c r="Q198" s="605"/>
      <c r="R198" s="605"/>
      <c r="S198" s="605"/>
      <c r="T198" s="605"/>
      <c r="U198" s="605"/>
      <c r="V198" s="605"/>
      <c r="W198" s="607"/>
      <c r="X198" s="588"/>
    </row>
    <row r="199" spans="1:24" s="589" customFormat="1" x14ac:dyDescent="0.25">
      <c r="A199" s="585"/>
      <c r="B199" s="602"/>
      <c r="C199" s="602"/>
      <c r="D199" s="602"/>
      <c r="E199" s="602"/>
      <c r="F199" s="602"/>
      <c r="G199" s="602"/>
      <c r="H199" s="602"/>
      <c r="I199" s="602"/>
      <c r="J199" s="602"/>
      <c r="K199" s="602"/>
      <c r="L199" s="602"/>
      <c r="M199" s="602"/>
      <c r="N199" s="602"/>
      <c r="O199" s="602"/>
      <c r="P199" s="602"/>
      <c r="Q199" s="602"/>
      <c r="R199" s="602"/>
      <c r="S199" s="602"/>
      <c r="T199" s="602"/>
      <c r="U199" s="602"/>
      <c r="V199" s="602"/>
      <c r="W199" s="602"/>
      <c r="X199" s="588"/>
    </row>
    <row r="200" spans="1:24" s="589" customFormat="1" x14ac:dyDescent="0.25">
      <c r="A200" s="585"/>
      <c r="B200" s="586"/>
      <c r="C200" s="586"/>
      <c r="D200" s="586"/>
      <c r="E200" s="586"/>
      <c r="F200" s="586"/>
      <c r="G200" s="586"/>
      <c r="H200" s="586"/>
      <c r="I200" s="586"/>
      <c r="J200" s="586"/>
      <c r="K200" s="586"/>
      <c r="L200" s="586"/>
      <c r="M200" s="586"/>
      <c r="N200" s="586"/>
      <c r="O200" s="586"/>
      <c r="P200" s="586"/>
      <c r="Q200" s="586"/>
      <c r="R200" s="586"/>
      <c r="S200" s="586"/>
      <c r="T200" s="586"/>
      <c r="U200" s="586"/>
      <c r="V200" s="586"/>
      <c r="W200" s="586"/>
      <c r="X200" s="588"/>
    </row>
    <row r="201" spans="1:24" s="589" customFormat="1" ht="19.5" thickBot="1" x14ac:dyDescent="0.35">
      <c r="A201" s="649"/>
      <c r="B201" s="568" t="str">
        <f>B135</f>
        <v>PM15 INVESTOR REPORT QUARTER ENDING NOVEMBER 2018</v>
      </c>
      <c r="C201" s="650"/>
      <c r="D201" s="650"/>
      <c r="E201" s="650"/>
      <c r="F201" s="650"/>
      <c r="G201" s="650"/>
      <c r="H201" s="650"/>
      <c r="I201" s="650"/>
      <c r="J201" s="650"/>
      <c r="K201" s="650"/>
      <c r="L201" s="650"/>
      <c r="M201" s="650"/>
      <c r="N201" s="650"/>
      <c r="O201" s="650"/>
      <c r="P201" s="650"/>
      <c r="Q201" s="650"/>
      <c r="R201" s="650"/>
      <c r="S201" s="650"/>
      <c r="T201" s="650"/>
      <c r="U201" s="650"/>
      <c r="V201" s="650"/>
      <c r="W201" s="652"/>
      <c r="X201" s="588"/>
    </row>
    <row r="202" spans="1:24" x14ac:dyDescent="0.25">
      <c r="A202" s="689"/>
      <c r="B202" s="690" t="s">
        <v>70</v>
      </c>
      <c r="C202" s="710"/>
      <c r="D202" s="710"/>
      <c r="E202" s="710"/>
      <c r="F202" s="710"/>
      <c r="G202" s="711"/>
      <c r="H202" s="711"/>
      <c r="I202" s="711"/>
      <c r="J202" s="711"/>
      <c r="K202" s="711"/>
      <c r="L202" s="711"/>
      <c r="M202" s="711"/>
      <c r="N202" s="711"/>
      <c r="O202" s="711"/>
      <c r="P202" s="711"/>
      <c r="Q202" s="711"/>
      <c r="R202" s="711"/>
      <c r="S202" s="711"/>
      <c r="T202" s="711">
        <v>43434</v>
      </c>
      <c r="U202" s="691"/>
      <c r="V202" s="691"/>
      <c r="W202" s="691"/>
      <c r="X202" s="572"/>
    </row>
    <row r="203" spans="1:24" x14ac:dyDescent="0.25">
      <c r="A203" s="712"/>
      <c r="B203" s="713"/>
      <c r="C203" s="714"/>
      <c r="D203" s="714"/>
      <c r="E203" s="714"/>
      <c r="F203" s="714"/>
      <c r="G203" s="715"/>
      <c r="H203" s="715"/>
      <c r="I203" s="715"/>
      <c r="J203" s="715"/>
      <c r="K203" s="715"/>
      <c r="L203" s="715"/>
      <c r="M203" s="715"/>
      <c r="N203" s="715"/>
      <c r="O203" s="715"/>
      <c r="P203" s="715"/>
      <c r="Q203" s="715"/>
      <c r="R203" s="715"/>
      <c r="S203" s="715"/>
      <c r="T203" s="715"/>
      <c r="U203" s="576"/>
      <c r="V203" s="576"/>
      <c r="W203" s="576"/>
      <c r="X203" s="572"/>
    </row>
    <row r="204" spans="1:24" s="589" customFormat="1" x14ac:dyDescent="0.25">
      <c r="A204" s="604"/>
      <c r="B204" s="605" t="s">
        <v>71</v>
      </c>
      <c r="C204" s="716"/>
      <c r="D204" s="716"/>
      <c r="E204" s="716"/>
      <c r="F204" s="716"/>
      <c r="G204" s="639"/>
      <c r="H204" s="639"/>
      <c r="I204" s="639"/>
      <c r="J204" s="639"/>
      <c r="K204" s="639"/>
      <c r="L204" s="639"/>
      <c r="M204" s="639"/>
      <c r="N204" s="639"/>
      <c r="O204" s="639"/>
      <c r="P204" s="639"/>
      <c r="Q204" s="639"/>
      <c r="R204" s="639"/>
      <c r="S204" s="639"/>
      <c r="T204" s="633">
        <v>5.3830000000000003E-2</v>
      </c>
      <c r="U204" s="605"/>
      <c r="V204" s="605"/>
      <c r="W204" s="607"/>
      <c r="X204" s="588"/>
    </row>
    <row r="205" spans="1:24" s="589" customFormat="1" x14ac:dyDescent="0.25">
      <c r="A205" s="604"/>
      <c r="B205" s="605" t="s">
        <v>151</v>
      </c>
      <c r="C205" s="716"/>
      <c r="D205" s="716"/>
      <c r="E205" s="716"/>
      <c r="F205" s="716"/>
      <c r="G205" s="639"/>
      <c r="H205" s="639"/>
      <c r="I205" s="639"/>
      <c r="J205" s="639"/>
      <c r="K205" s="639"/>
      <c r="L205" s="639"/>
      <c r="M205" s="639"/>
      <c r="N205" s="639"/>
      <c r="O205" s="639"/>
      <c r="P205" s="639"/>
      <c r="Q205" s="639"/>
      <c r="R205" s="639"/>
      <c r="S205" s="639"/>
      <c r="T205" s="633">
        <v>6.25E-2</v>
      </c>
      <c r="U205" s="605"/>
      <c r="V205" s="605"/>
      <c r="W205" s="607"/>
      <c r="X205" s="588"/>
    </row>
    <row r="206" spans="1:24" s="589" customFormat="1" x14ac:dyDescent="0.25">
      <c r="A206" s="604"/>
      <c r="B206" s="605" t="s">
        <v>72</v>
      </c>
      <c r="C206" s="716"/>
      <c r="D206" s="716"/>
      <c r="E206" s="716"/>
      <c r="F206" s="716"/>
      <c r="G206" s="639"/>
      <c r="H206" s="639"/>
      <c r="I206" s="639"/>
      <c r="J206" s="639"/>
      <c r="K206" s="639"/>
      <c r="L206" s="639"/>
      <c r="M206" s="639"/>
      <c r="N206" s="639"/>
      <c r="O206" s="639"/>
      <c r="P206" s="639"/>
      <c r="Q206" s="639"/>
      <c r="R206" s="639"/>
      <c r="S206" s="639"/>
      <c r="T206" s="633">
        <f>T204-T205</f>
        <v>-8.6699999999999972E-3</v>
      </c>
      <c r="U206" s="605"/>
      <c r="V206" s="605"/>
      <c r="W206" s="607"/>
      <c r="X206" s="588"/>
    </row>
    <row r="207" spans="1:24" s="589" customFormat="1" x14ac:dyDescent="0.25">
      <c r="A207" s="604"/>
      <c r="B207" s="605" t="s">
        <v>73</v>
      </c>
      <c r="C207" s="716"/>
      <c r="D207" s="716"/>
      <c r="E207" s="716"/>
      <c r="F207" s="716"/>
      <c r="G207" s="639"/>
      <c r="H207" s="639"/>
      <c r="I207" s="639"/>
      <c r="J207" s="639"/>
      <c r="K207" s="639"/>
      <c r="L207" s="639"/>
      <c r="M207" s="639"/>
      <c r="N207" s="639"/>
      <c r="O207" s="639"/>
      <c r="P207" s="639"/>
      <c r="Q207" s="639"/>
      <c r="R207" s="639"/>
      <c r="S207" s="639"/>
      <c r="T207" s="633">
        <v>2.8240000000000001E-2</v>
      </c>
      <c r="U207" s="605"/>
      <c r="V207" s="605"/>
      <c r="W207" s="607"/>
      <c r="X207" s="588"/>
    </row>
    <row r="208" spans="1:24" s="589" customFormat="1" x14ac:dyDescent="0.25">
      <c r="A208" s="604"/>
      <c r="B208" s="605" t="s">
        <v>218</v>
      </c>
      <c r="C208" s="716"/>
      <c r="D208" s="716"/>
      <c r="E208" s="716"/>
      <c r="F208" s="716"/>
      <c r="G208" s="639"/>
      <c r="H208" s="639"/>
      <c r="I208" s="639"/>
      <c r="J208" s="639"/>
      <c r="K208" s="639"/>
      <c r="L208" s="639"/>
      <c r="M208" s="639"/>
      <c r="N208" s="639"/>
      <c r="O208" s="639"/>
      <c r="P208" s="639"/>
      <c r="Q208" s="639"/>
      <c r="R208" s="639"/>
      <c r="S208" s="639"/>
      <c r="T208" s="633">
        <f>V43</f>
        <v>1.1959163456928835E-2</v>
      </c>
      <c r="U208" s="605"/>
      <c r="V208" s="605"/>
      <c r="W208" s="607"/>
      <c r="X208" s="588"/>
    </row>
    <row r="209" spans="1:24" s="589" customFormat="1" x14ac:dyDescent="0.25">
      <c r="A209" s="604"/>
      <c r="B209" s="605" t="s">
        <v>74</v>
      </c>
      <c r="C209" s="716"/>
      <c r="D209" s="716"/>
      <c r="E209" s="716"/>
      <c r="F209" s="716"/>
      <c r="G209" s="639"/>
      <c r="H209" s="639"/>
      <c r="I209" s="639"/>
      <c r="J209" s="639"/>
      <c r="K209" s="639"/>
      <c r="L209" s="639"/>
      <c r="M209" s="639"/>
      <c r="N209" s="639"/>
      <c r="O209" s="639"/>
      <c r="P209" s="639"/>
      <c r="Q209" s="639"/>
      <c r="R209" s="639"/>
      <c r="S209" s="639"/>
      <c r="T209" s="633">
        <f>T207-T208</f>
        <v>1.6280836543071164E-2</v>
      </c>
      <c r="U209" s="605"/>
      <c r="V209" s="605"/>
      <c r="W209" s="607"/>
      <c r="X209" s="588"/>
    </row>
    <row r="210" spans="1:24" s="589" customFormat="1" x14ac:dyDescent="0.25">
      <c r="A210" s="604"/>
      <c r="B210" s="605" t="s">
        <v>227</v>
      </c>
      <c r="C210" s="716"/>
      <c r="D210" s="716"/>
      <c r="E210" s="716"/>
      <c r="F210" s="716"/>
      <c r="G210" s="639"/>
      <c r="H210" s="639"/>
      <c r="I210" s="639"/>
      <c r="J210" s="639"/>
      <c r="K210" s="639"/>
      <c r="L210" s="639"/>
      <c r="M210" s="639"/>
      <c r="N210" s="639"/>
      <c r="O210" s="639"/>
      <c r="P210" s="639"/>
      <c r="Q210" s="639"/>
      <c r="R210" s="639"/>
      <c r="S210" s="639"/>
      <c r="T210" s="633">
        <f>V101/N71</f>
        <v>6.9356139960624038E-3</v>
      </c>
      <c r="U210" s="605"/>
      <c r="V210" s="605"/>
      <c r="W210" s="607"/>
      <c r="X210" s="588"/>
    </row>
    <row r="211" spans="1:24" s="589" customFormat="1" x14ac:dyDescent="0.25">
      <c r="A211" s="604"/>
      <c r="B211" s="605" t="s">
        <v>207</v>
      </c>
      <c r="C211" s="716"/>
      <c r="D211" s="716"/>
      <c r="E211" s="716"/>
      <c r="F211" s="716"/>
      <c r="G211" s="639"/>
      <c r="H211" s="639"/>
      <c r="I211" s="639"/>
      <c r="J211" s="639"/>
      <c r="K211" s="639"/>
      <c r="L211" s="639"/>
      <c r="M211" s="639"/>
      <c r="N211" s="639"/>
      <c r="O211" s="639"/>
      <c r="P211" s="639"/>
      <c r="Q211" s="639"/>
      <c r="R211" s="639"/>
      <c r="S211" s="639"/>
      <c r="T211" s="717">
        <v>51105</v>
      </c>
      <c r="U211" s="605"/>
      <c r="V211" s="605"/>
      <c r="W211" s="607"/>
      <c r="X211" s="588"/>
    </row>
    <row r="212" spans="1:24" s="589" customFormat="1" x14ac:dyDescent="0.25">
      <c r="A212" s="604"/>
      <c r="B212" s="605" t="s">
        <v>208</v>
      </c>
      <c r="C212" s="716"/>
      <c r="D212" s="716"/>
      <c r="E212" s="716"/>
      <c r="F212" s="716"/>
      <c r="G212" s="639"/>
      <c r="H212" s="639"/>
      <c r="I212" s="639"/>
      <c r="J212" s="639"/>
      <c r="K212" s="639"/>
      <c r="L212" s="639"/>
      <c r="M212" s="639"/>
      <c r="N212" s="639"/>
      <c r="O212" s="639"/>
      <c r="P212" s="639"/>
      <c r="Q212" s="639"/>
      <c r="R212" s="639"/>
      <c r="S212" s="639"/>
      <c r="T212" s="717">
        <v>51105</v>
      </c>
      <c r="U212" s="605"/>
      <c r="V212" s="605"/>
      <c r="W212" s="607"/>
      <c r="X212" s="588"/>
    </row>
    <row r="213" spans="1:24" s="589" customFormat="1" x14ac:dyDescent="0.25">
      <c r="A213" s="604"/>
      <c r="B213" s="605" t="s">
        <v>209</v>
      </c>
      <c r="C213" s="716"/>
      <c r="D213" s="716"/>
      <c r="E213" s="716"/>
      <c r="F213" s="716"/>
      <c r="G213" s="639"/>
      <c r="H213" s="639"/>
      <c r="I213" s="639"/>
      <c r="J213" s="639"/>
      <c r="K213" s="639"/>
      <c r="L213" s="639"/>
      <c r="M213" s="639"/>
      <c r="N213" s="639"/>
      <c r="O213" s="639"/>
      <c r="P213" s="639"/>
      <c r="Q213" s="639"/>
      <c r="R213" s="639"/>
      <c r="S213" s="639"/>
      <c r="T213" s="717">
        <v>51105</v>
      </c>
      <c r="U213" s="605"/>
      <c r="V213" s="605"/>
      <c r="W213" s="607"/>
      <c r="X213" s="588"/>
    </row>
    <row r="214" spans="1:24" s="589" customFormat="1" x14ac:dyDescent="0.25">
      <c r="A214" s="604"/>
      <c r="B214" s="605" t="s">
        <v>75</v>
      </c>
      <c r="C214" s="716"/>
      <c r="D214" s="716"/>
      <c r="E214" s="716"/>
      <c r="F214" s="716"/>
      <c r="G214" s="639"/>
      <c r="H214" s="639"/>
      <c r="I214" s="639"/>
      <c r="J214" s="639"/>
      <c r="K214" s="639"/>
      <c r="L214" s="639"/>
      <c r="M214" s="639"/>
      <c r="N214" s="639"/>
      <c r="O214" s="639"/>
      <c r="P214" s="639"/>
      <c r="Q214" s="639"/>
      <c r="R214" s="639"/>
      <c r="S214" s="639"/>
      <c r="T214" s="637">
        <v>21.06</v>
      </c>
      <c r="U214" s="605" t="s">
        <v>110</v>
      </c>
      <c r="V214" s="605"/>
      <c r="W214" s="607"/>
      <c r="X214" s="588"/>
    </row>
    <row r="215" spans="1:24" s="589" customFormat="1" x14ac:dyDescent="0.25">
      <c r="A215" s="604"/>
      <c r="B215" s="605" t="s">
        <v>76</v>
      </c>
      <c r="C215" s="716"/>
      <c r="D215" s="716"/>
      <c r="E215" s="716"/>
      <c r="F215" s="716"/>
      <c r="G215" s="639"/>
      <c r="H215" s="639"/>
      <c r="I215" s="639"/>
      <c r="J215" s="639"/>
      <c r="K215" s="639"/>
      <c r="L215" s="639"/>
      <c r="M215" s="639"/>
      <c r="N215" s="639"/>
      <c r="O215" s="639"/>
      <c r="P215" s="639"/>
      <c r="Q215" s="639"/>
      <c r="R215" s="639"/>
      <c r="S215" s="639"/>
      <c r="T215" s="637">
        <v>10.57</v>
      </c>
      <c r="U215" s="605" t="s">
        <v>110</v>
      </c>
      <c r="V215" s="605"/>
      <c r="W215" s="607"/>
      <c r="X215" s="588"/>
    </row>
    <row r="216" spans="1:24" s="589" customFormat="1" x14ac:dyDescent="0.25">
      <c r="A216" s="604"/>
      <c r="B216" s="605" t="s">
        <v>77</v>
      </c>
      <c r="C216" s="716"/>
      <c r="D216" s="716"/>
      <c r="E216" s="716"/>
      <c r="F216" s="716"/>
      <c r="G216" s="639"/>
      <c r="H216" s="639"/>
      <c r="I216" s="639"/>
      <c r="J216" s="639"/>
      <c r="K216" s="639"/>
      <c r="L216" s="639"/>
      <c r="M216" s="639"/>
      <c r="N216" s="639"/>
      <c r="O216" s="639"/>
      <c r="P216" s="639"/>
      <c r="Q216" s="639"/>
      <c r="R216" s="639"/>
      <c r="S216" s="639"/>
      <c r="T216" s="633">
        <f>+P68/N68</f>
        <v>1.68559656572565E-2</v>
      </c>
      <c r="U216" s="605"/>
      <c r="V216" s="605"/>
      <c r="W216" s="607"/>
      <c r="X216" s="588"/>
    </row>
    <row r="217" spans="1:24" s="589" customFormat="1" x14ac:dyDescent="0.25">
      <c r="A217" s="604"/>
      <c r="B217" s="605" t="s">
        <v>78</v>
      </c>
      <c r="C217" s="716"/>
      <c r="D217" s="716"/>
      <c r="E217" s="716"/>
      <c r="F217" s="716"/>
      <c r="G217" s="639"/>
      <c r="H217" s="639"/>
      <c r="I217" s="639"/>
      <c r="J217" s="639"/>
      <c r="K217" s="639"/>
      <c r="L217" s="639"/>
      <c r="M217" s="639"/>
      <c r="N217" s="639"/>
      <c r="O217" s="639"/>
      <c r="P217" s="639"/>
      <c r="Q217" s="639"/>
      <c r="R217" s="639"/>
      <c r="S217" s="639"/>
      <c r="T217" s="633">
        <v>4.6600000000000003E-2</v>
      </c>
      <c r="U217" s="605"/>
      <c r="V217" s="605"/>
      <c r="W217" s="607"/>
      <c r="X217" s="588"/>
    </row>
    <row r="218" spans="1:24" x14ac:dyDescent="0.25">
      <c r="A218" s="712"/>
      <c r="B218" s="718"/>
      <c r="C218" s="718"/>
      <c r="D218" s="718"/>
      <c r="E218" s="718"/>
      <c r="F218" s="718"/>
      <c r="G218" s="664"/>
      <c r="H218" s="664"/>
      <c r="I218" s="664"/>
      <c r="J218" s="664"/>
      <c r="K218" s="664"/>
      <c r="L218" s="664"/>
      <c r="M218" s="664"/>
      <c r="N218" s="664"/>
      <c r="O218" s="664"/>
      <c r="P218" s="664"/>
      <c r="Q218" s="664"/>
      <c r="R218" s="664"/>
      <c r="S218" s="664"/>
      <c r="T218" s="696"/>
      <c r="U218" s="664"/>
      <c r="V218" s="719"/>
      <c r="W218" s="664"/>
      <c r="X218" s="572"/>
    </row>
    <row r="219" spans="1:24" x14ac:dyDescent="0.25">
      <c r="A219" s="720"/>
      <c r="B219" s="669" t="s">
        <v>79</v>
      </c>
      <c r="C219" s="670"/>
      <c r="D219" s="670"/>
      <c r="E219" s="670"/>
      <c r="F219" s="721"/>
      <c r="G219" s="670"/>
      <c r="H219" s="670"/>
      <c r="I219" s="670"/>
      <c r="J219" s="670"/>
      <c r="K219" s="670"/>
      <c r="L219" s="670"/>
      <c r="M219" s="670"/>
      <c r="N219" s="670"/>
      <c r="O219" s="670"/>
      <c r="P219" s="670"/>
      <c r="Q219" s="670"/>
      <c r="R219" s="670"/>
      <c r="S219" s="670" t="s">
        <v>102</v>
      </c>
      <c r="T219" s="721" t="s">
        <v>108</v>
      </c>
      <c r="U219" s="598"/>
      <c r="V219" s="598"/>
      <c r="W219" s="601"/>
      <c r="X219" s="572"/>
    </row>
    <row r="220" spans="1:24" s="589" customFormat="1" x14ac:dyDescent="0.25">
      <c r="A220" s="722"/>
      <c r="B220" s="602" t="s">
        <v>80</v>
      </c>
      <c r="C220" s="673"/>
      <c r="D220" s="673"/>
      <c r="E220" s="673"/>
      <c r="F220" s="602"/>
      <c r="G220" s="602"/>
      <c r="H220" s="723"/>
      <c r="I220" s="723"/>
      <c r="J220" s="723"/>
      <c r="K220" s="723"/>
      <c r="L220" s="723"/>
      <c r="M220" s="723"/>
      <c r="N220" s="723"/>
      <c r="O220" s="723"/>
      <c r="P220" s="723"/>
      <c r="Q220" s="723"/>
      <c r="R220" s="723"/>
      <c r="S220" s="723">
        <v>4</v>
      </c>
      <c r="T220" s="724">
        <v>903</v>
      </c>
      <c r="U220" s="602"/>
      <c r="V220" s="725"/>
      <c r="W220" s="726"/>
      <c r="X220" s="588"/>
    </row>
    <row r="221" spans="1:24" s="589" customFormat="1" x14ac:dyDescent="0.25">
      <c r="A221" s="727"/>
      <c r="B221" s="605" t="s">
        <v>145</v>
      </c>
      <c r="C221" s="662"/>
      <c r="D221" s="662"/>
      <c r="E221" s="662"/>
      <c r="F221" s="605"/>
      <c r="G221" s="605"/>
      <c r="H221" s="611"/>
      <c r="I221" s="611"/>
      <c r="J221" s="611"/>
      <c r="K221" s="611"/>
      <c r="L221" s="611"/>
      <c r="M221" s="611"/>
      <c r="N221" s="611"/>
      <c r="O221" s="611"/>
      <c r="P221" s="611"/>
      <c r="Q221" s="611"/>
      <c r="R221" s="611"/>
      <c r="S221" s="728">
        <f>+R273</f>
        <v>69</v>
      </c>
      <c r="T221" s="729">
        <f>+T273</f>
        <v>9643</v>
      </c>
      <c r="U221" s="605"/>
      <c r="V221" s="730"/>
      <c r="W221" s="731"/>
      <c r="X221" s="588"/>
    </row>
    <row r="222" spans="1:24" s="589" customFormat="1" x14ac:dyDescent="0.25">
      <c r="A222" s="727"/>
      <c r="B222" s="605" t="s">
        <v>81</v>
      </c>
      <c r="C222" s="662"/>
      <c r="D222" s="662"/>
      <c r="E222" s="662"/>
      <c r="F222" s="605"/>
      <c r="G222" s="605"/>
      <c r="H222" s="611"/>
      <c r="I222" s="611"/>
      <c r="J222" s="611"/>
      <c r="K222" s="611"/>
      <c r="L222" s="611"/>
      <c r="M222" s="611"/>
      <c r="N222" s="611"/>
      <c r="O222" s="611"/>
      <c r="P222" s="611"/>
      <c r="Q222" s="611"/>
      <c r="R222" s="611"/>
      <c r="S222" s="728">
        <f>+R285</f>
        <v>1</v>
      </c>
      <c r="T222" s="729">
        <f>+T285</f>
        <v>30</v>
      </c>
      <c r="U222" s="605"/>
      <c r="V222" s="730"/>
      <c r="W222" s="731"/>
      <c r="X222" s="588"/>
    </row>
    <row r="223" spans="1:24" x14ac:dyDescent="0.25">
      <c r="A223" s="732"/>
      <c r="B223" s="623" t="s">
        <v>82</v>
      </c>
      <c r="C223" s="733"/>
      <c r="D223" s="733"/>
      <c r="E223" s="733"/>
      <c r="F223" s="679"/>
      <c r="G223" s="679"/>
      <c r="H223" s="679"/>
      <c r="I223" s="679"/>
      <c r="J223" s="679"/>
      <c r="K223" s="679"/>
      <c r="L223" s="679"/>
      <c r="M223" s="679"/>
      <c r="N223" s="679"/>
      <c r="O223" s="679"/>
      <c r="P223" s="679"/>
      <c r="Q223" s="679"/>
      <c r="R223" s="679"/>
      <c r="S223" s="681"/>
      <c r="T223" s="729">
        <v>0</v>
      </c>
      <c r="U223" s="679"/>
      <c r="V223" s="734"/>
      <c r="W223" s="735"/>
      <c r="X223" s="572"/>
    </row>
    <row r="224" spans="1:24" x14ac:dyDescent="0.25">
      <c r="A224" s="732"/>
      <c r="B224" s="623" t="s">
        <v>228</v>
      </c>
      <c r="C224" s="733"/>
      <c r="D224" s="733"/>
      <c r="E224" s="733"/>
      <c r="F224" s="679"/>
      <c r="G224" s="679"/>
      <c r="H224" s="679"/>
      <c r="I224" s="679"/>
      <c r="J224" s="679"/>
      <c r="K224" s="679"/>
      <c r="L224" s="679"/>
      <c r="M224" s="679"/>
      <c r="N224" s="679"/>
      <c r="O224" s="679"/>
      <c r="P224" s="679"/>
      <c r="Q224" s="679"/>
      <c r="R224" s="679"/>
      <c r="S224" s="681"/>
      <c r="T224" s="729">
        <f>+N81</f>
        <v>0</v>
      </c>
      <c r="U224" s="679"/>
      <c r="V224" s="734"/>
      <c r="W224" s="735"/>
      <c r="X224" s="572"/>
    </row>
    <row r="225" spans="1:24" x14ac:dyDescent="0.25">
      <c r="A225" s="736"/>
      <c r="B225" s="623" t="s">
        <v>83</v>
      </c>
      <c r="C225" s="737"/>
      <c r="D225" s="737"/>
      <c r="E225" s="737"/>
      <c r="F225" s="737"/>
      <c r="G225" s="679"/>
      <c r="H225" s="679"/>
      <c r="I225" s="679"/>
      <c r="J225" s="679"/>
      <c r="K225" s="679"/>
      <c r="L225" s="679"/>
      <c r="M225" s="679"/>
      <c r="N225" s="679"/>
      <c r="O225" s="679"/>
      <c r="P225" s="679"/>
      <c r="Q225" s="679"/>
      <c r="R225" s="679"/>
      <c r="S225" s="681"/>
      <c r="T225" s="738"/>
      <c r="U225" s="679"/>
      <c r="V225" s="734"/>
      <c r="W225" s="739"/>
      <c r="X225" s="572"/>
    </row>
    <row r="226" spans="1:24" s="589" customFormat="1" x14ac:dyDescent="0.25">
      <c r="A226" s="740"/>
      <c r="B226" s="605" t="s">
        <v>84</v>
      </c>
      <c r="C226" s="605"/>
      <c r="D226" s="605"/>
      <c r="E226" s="605"/>
      <c r="F226" s="605"/>
      <c r="G226" s="605"/>
      <c r="H226" s="605"/>
      <c r="I226" s="605"/>
      <c r="J226" s="605"/>
      <c r="K226" s="605"/>
      <c r="L226" s="605"/>
      <c r="M226" s="605"/>
      <c r="N226" s="605"/>
      <c r="O226" s="605"/>
      <c r="P226" s="605"/>
      <c r="Q226" s="605"/>
      <c r="R226" s="605"/>
      <c r="S226" s="611"/>
      <c r="T226" s="729">
        <f>V164</f>
        <v>88</v>
      </c>
      <c r="U226" s="605"/>
      <c r="V226" s="730"/>
      <c r="W226" s="741"/>
      <c r="X226" s="588"/>
    </row>
    <row r="227" spans="1:24" s="589" customFormat="1" x14ac:dyDescent="0.25">
      <c r="A227" s="727"/>
      <c r="B227" s="605" t="s">
        <v>85</v>
      </c>
      <c r="C227" s="662"/>
      <c r="D227" s="662"/>
      <c r="E227" s="662"/>
      <c r="F227" s="662"/>
      <c r="G227" s="605"/>
      <c r="H227" s="605"/>
      <c r="I227" s="605"/>
      <c r="J227" s="605"/>
      <c r="K227" s="605"/>
      <c r="L227" s="605"/>
      <c r="M227" s="605"/>
      <c r="N227" s="605"/>
      <c r="O227" s="605"/>
      <c r="P227" s="605"/>
      <c r="Q227" s="605"/>
      <c r="R227" s="605"/>
      <c r="S227" s="611"/>
      <c r="T227" s="729">
        <f>'Aug 18'!T227+T226</f>
        <v>9201</v>
      </c>
      <c r="U227" s="605"/>
      <c r="V227" s="730"/>
      <c r="W227" s="741"/>
      <c r="X227" s="588"/>
    </row>
    <row r="228" spans="1:24" x14ac:dyDescent="0.25">
      <c r="A228" s="736"/>
      <c r="B228" s="623" t="s">
        <v>285</v>
      </c>
      <c r="C228" s="737"/>
      <c r="D228" s="737"/>
      <c r="E228" s="737"/>
      <c r="F228" s="737"/>
      <c r="G228" s="679"/>
      <c r="H228" s="679"/>
      <c r="I228" s="679"/>
      <c r="J228" s="679"/>
      <c r="K228" s="679"/>
      <c r="L228" s="679"/>
      <c r="M228" s="679"/>
      <c r="N228" s="679"/>
      <c r="O228" s="679"/>
      <c r="P228" s="679"/>
      <c r="Q228" s="679"/>
      <c r="R228" s="679"/>
      <c r="S228" s="742"/>
      <c r="T228" s="738"/>
      <c r="U228" s="679"/>
      <c r="V228" s="734"/>
      <c r="W228" s="739"/>
      <c r="X228" s="572"/>
    </row>
    <row r="229" spans="1:24" s="589" customFormat="1" x14ac:dyDescent="0.25">
      <c r="A229" s="740"/>
      <c r="B229" s="605" t="s">
        <v>282</v>
      </c>
      <c r="C229" s="605"/>
      <c r="D229" s="605"/>
      <c r="E229" s="605"/>
      <c r="F229" s="605"/>
      <c r="G229" s="605"/>
      <c r="H229" s="605"/>
      <c r="I229" s="605"/>
      <c r="J229" s="605"/>
      <c r="K229" s="605"/>
      <c r="L229" s="605"/>
      <c r="M229" s="605"/>
      <c r="N229" s="605"/>
      <c r="O229" s="605"/>
      <c r="P229" s="605"/>
      <c r="Q229" s="605"/>
      <c r="R229" s="605"/>
      <c r="S229" s="611">
        <v>0</v>
      </c>
      <c r="T229" s="729">
        <v>0</v>
      </c>
      <c r="U229" s="605"/>
      <c r="V229" s="730"/>
      <c r="W229" s="741"/>
      <c r="X229" s="588"/>
    </row>
    <row r="230" spans="1:24" s="589" customFormat="1" x14ac:dyDescent="0.25">
      <c r="A230" s="727"/>
      <c r="B230" s="605" t="s">
        <v>86</v>
      </c>
      <c r="C230" s="635"/>
      <c r="D230" s="635"/>
      <c r="E230" s="635"/>
      <c r="F230" s="743"/>
      <c r="G230" s="605"/>
      <c r="H230" s="605"/>
      <c r="I230" s="605"/>
      <c r="J230" s="605"/>
      <c r="K230" s="605"/>
      <c r="L230" s="605"/>
      <c r="M230" s="605"/>
      <c r="N230" s="605"/>
      <c r="O230" s="605"/>
      <c r="P230" s="605"/>
      <c r="Q230" s="605"/>
      <c r="R230" s="605"/>
      <c r="S230" s="605"/>
      <c r="T230" s="744">
        <v>0</v>
      </c>
      <c r="U230" s="605"/>
      <c r="V230" s="730"/>
      <c r="W230" s="741"/>
      <c r="X230" s="588"/>
    </row>
    <row r="231" spans="1:24" s="589" customFormat="1" x14ac:dyDescent="0.25">
      <c r="A231" s="727"/>
      <c r="B231" s="605" t="s">
        <v>87</v>
      </c>
      <c r="C231" s="635"/>
      <c r="D231" s="635"/>
      <c r="E231" s="635"/>
      <c r="F231" s="743"/>
      <c r="G231" s="605"/>
      <c r="H231" s="605"/>
      <c r="I231" s="605"/>
      <c r="J231" s="605"/>
      <c r="K231" s="605"/>
      <c r="L231" s="605"/>
      <c r="M231" s="605"/>
      <c r="N231" s="605"/>
      <c r="O231" s="605"/>
      <c r="P231" s="605"/>
      <c r="Q231" s="605"/>
      <c r="R231" s="605"/>
      <c r="S231" s="605"/>
      <c r="T231" s="744">
        <v>0</v>
      </c>
      <c r="U231" s="605"/>
      <c r="V231" s="730"/>
      <c r="W231" s="741"/>
      <c r="X231" s="588"/>
    </row>
    <row r="232" spans="1:24" x14ac:dyDescent="0.25">
      <c r="A232" s="732"/>
      <c r="B232" s="623" t="s">
        <v>216</v>
      </c>
      <c r="C232" s="745"/>
      <c r="D232" s="745"/>
      <c r="E232" s="745"/>
      <c r="F232" s="746"/>
      <c r="G232" s="679"/>
      <c r="H232" s="679"/>
      <c r="I232" s="679"/>
      <c r="J232" s="679"/>
      <c r="K232" s="679"/>
      <c r="L232" s="679"/>
      <c r="M232" s="679"/>
      <c r="N232" s="679"/>
      <c r="O232" s="679"/>
      <c r="P232" s="679"/>
      <c r="Q232" s="679"/>
      <c r="R232" s="679"/>
      <c r="S232" s="681"/>
      <c r="T232" s="747"/>
      <c r="U232" s="679"/>
      <c r="V232" s="734"/>
      <c r="W232" s="739"/>
      <c r="X232" s="572"/>
    </row>
    <row r="233" spans="1:24" s="589" customFormat="1" x14ac:dyDescent="0.25">
      <c r="A233" s="727"/>
      <c r="B233" s="605" t="s">
        <v>282</v>
      </c>
      <c r="C233" s="635"/>
      <c r="D233" s="635"/>
      <c r="E233" s="635"/>
      <c r="F233" s="743"/>
      <c r="G233" s="605"/>
      <c r="H233" s="605"/>
      <c r="I233" s="605"/>
      <c r="J233" s="605"/>
      <c r="K233" s="605"/>
      <c r="L233" s="605"/>
      <c r="M233" s="605"/>
      <c r="N233" s="605"/>
      <c r="O233" s="605"/>
      <c r="P233" s="605"/>
      <c r="Q233" s="605"/>
      <c r="R233" s="605"/>
      <c r="S233" s="611">
        <v>2</v>
      </c>
      <c r="T233" s="729">
        <v>197</v>
      </c>
      <c r="U233" s="605"/>
      <c r="V233" s="730"/>
      <c r="W233" s="741"/>
      <c r="X233" s="588"/>
    </row>
    <row r="234" spans="1:24" s="589" customFormat="1" x14ac:dyDescent="0.25">
      <c r="A234" s="727"/>
      <c r="B234" s="605" t="s">
        <v>217</v>
      </c>
      <c r="C234" s="635"/>
      <c r="D234" s="635"/>
      <c r="E234" s="635"/>
      <c r="F234" s="743"/>
      <c r="G234" s="605"/>
      <c r="H234" s="605"/>
      <c r="I234" s="605"/>
      <c r="J234" s="605"/>
      <c r="K234" s="605"/>
      <c r="L234" s="605"/>
      <c r="M234" s="605"/>
      <c r="N234" s="605"/>
      <c r="O234" s="605"/>
      <c r="P234" s="605"/>
      <c r="Q234" s="605"/>
      <c r="R234" s="605"/>
      <c r="S234" s="605"/>
      <c r="T234" s="744">
        <v>0</v>
      </c>
      <c r="U234" s="605"/>
      <c r="V234" s="730"/>
      <c r="W234" s="741"/>
      <c r="X234" s="588"/>
    </row>
    <row r="235" spans="1:24" x14ac:dyDescent="0.25">
      <c r="A235" s="732"/>
      <c r="B235" s="737"/>
      <c r="C235" s="745"/>
      <c r="D235" s="745"/>
      <c r="E235" s="745"/>
      <c r="F235" s="746"/>
      <c r="G235" s="679"/>
      <c r="H235" s="679"/>
      <c r="I235" s="679"/>
      <c r="J235" s="679"/>
      <c r="K235" s="679"/>
      <c r="L235" s="679"/>
      <c r="M235" s="679"/>
      <c r="N235" s="679"/>
      <c r="O235" s="679"/>
      <c r="P235" s="679"/>
      <c r="Q235" s="679"/>
      <c r="R235" s="679"/>
      <c r="S235" s="681"/>
      <c r="T235" s="747"/>
      <c r="U235" s="679"/>
      <c r="V235" s="734"/>
      <c r="W235" s="739"/>
      <c r="X235" s="572"/>
    </row>
    <row r="236" spans="1:24" x14ac:dyDescent="0.25">
      <c r="A236" s="732"/>
      <c r="B236" s="737"/>
      <c r="C236" s="745"/>
      <c r="D236" s="745"/>
      <c r="E236" s="745"/>
      <c r="F236" s="746"/>
      <c r="G236" s="679"/>
      <c r="H236" s="679"/>
      <c r="I236" s="679"/>
      <c r="J236" s="679"/>
      <c r="K236" s="679"/>
      <c r="L236" s="679"/>
      <c r="M236" s="679"/>
      <c r="N236" s="679"/>
      <c r="O236" s="679"/>
      <c r="P236" s="679"/>
      <c r="Q236" s="679"/>
      <c r="R236" s="679"/>
      <c r="S236" s="679"/>
      <c r="T236" s="748"/>
      <c r="U236" s="679"/>
      <c r="V236" s="734"/>
      <c r="W236" s="739"/>
      <c r="X236" s="572"/>
    </row>
    <row r="237" spans="1:24" ht="18.75" x14ac:dyDescent="0.3">
      <c r="A237" s="732"/>
      <c r="B237" s="749" t="s">
        <v>168</v>
      </c>
      <c r="C237" s="745"/>
      <c r="D237" s="745"/>
      <c r="E237" s="745"/>
      <c r="F237" s="746"/>
      <c r="G237" s="679"/>
      <c r="H237" s="679"/>
      <c r="I237" s="679"/>
      <c r="J237" s="679"/>
      <c r="K237" s="679"/>
      <c r="L237" s="679"/>
      <c r="M237" s="679"/>
      <c r="N237" s="679"/>
      <c r="O237" s="679"/>
      <c r="P237" s="535" t="s">
        <v>341</v>
      </c>
      <c r="Q237" s="679"/>
      <c r="R237" s="679"/>
      <c r="S237" s="679"/>
      <c r="T237" s="748"/>
      <c r="U237" s="679"/>
      <c r="V237" s="734"/>
      <c r="W237" s="739"/>
      <c r="X237" s="572"/>
    </row>
    <row r="238" spans="1:24" x14ac:dyDescent="0.25">
      <c r="A238" s="750"/>
      <c r="B238" s="718"/>
      <c r="C238" s="751"/>
      <c r="D238" s="751"/>
      <c r="E238" s="751"/>
      <c r="F238" s="752"/>
      <c r="G238" s="664"/>
      <c r="H238" s="664"/>
      <c r="I238" s="664"/>
      <c r="J238" s="664"/>
      <c r="K238" s="664"/>
      <c r="L238" s="664"/>
      <c r="M238" s="664"/>
      <c r="N238" s="664"/>
      <c r="O238" s="664"/>
      <c r="P238" s="664"/>
      <c r="Q238" s="664"/>
      <c r="R238" s="664"/>
      <c r="S238" s="664"/>
      <c r="T238" s="753"/>
      <c r="U238" s="664"/>
      <c r="V238" s="719"/>
      <c r="W238" s="754"/>
      <c r="X238" s="572"/>
    </row>
    <row r="239" spans="1:24" x14ac:dyDescent="0.25">
      <c r="A239" s="597"/>
      <c r="B239" s="669" t="s">
        <v>297</v>
      </c>
      <c r="C239" s="670"/>
      <c r="D239" s="670"/>
      <c r="E239" s="670"/>
      <c r="F239" s="721"/>
      <c r="G239" s="670"/>
      <c r="H239" s="670"/>
      <c r="I239" s="670"/>
      <c r="J239" s="670"/>
      <c r="K239" s="670"/>
      <c r="L239" s="670"/>
      <c r="M239" s="670"/>
      <c r="N239" s="670"/>
      <c r="O239" s="670"/>
      <c r="P239" s="670"/>
      <c r="Q239" s="670"/>
      <c r="R239" s="721" t="s">
        <v>102</v>
      </c>
      <c r="S239" s="670" t="s">
        <v>103</v>
      </c>
      <c r="T239" s="721" t="s">
        <v>109</v>
      </c>
      <c r="U239" s="670" t="s">
        <v>103</v>
      </c>
      <c r="V239" s="598"/>
      <c r="W239" s="755"/>
      <c r="X239" s="572"/>
    </row>
    <row r="240" spans="1:24" s="589" customFormat="1" x14ac:dyDescent="0.25">
      <c r="A240" s="585"/>
      <c r="B240" s="673" t="s">
        <v>88</v>
      </c>
      <c r="C240" s="756"/>
      <c r="D240" s="756"/>
      <c r="E240" s="756"/>
      <c r="F240" s="602"/>
      <c r="G240" s="756"/>
      <c r="H240" s="756"/>
      <c r="I240" s="756"/>
      <c r="J240" s="756"/>
      <c r="K240" s="756"/>
      <c r="L240" s="756"/>
      <c r="M240" s="756"/>
      <c r="N240" s="756"/>
      <c r="O240" s="756"/>
      <c r="P240" s="756"/>
      <c r="Q240" s="756"/>
      <c r="R240" s="673">
        <f t="shared" ref="R240:R247" si="1">+R252+R264+R276</f>
        <v>4306</v>
      </c>
      <c r="S240" s="757">
        <f t="shared" ref="S240:S247" si="2">R240/$R$249</f>
        <v>0.99148054340317748</v>
      </c>
      <c r="T240" s="674">
        <f t="shared" ref="T240:T247" si="3">+T252+T264+T276</f>
        <v>587767</v>
      </c>
      <c r="U240" s="757">
        <f t="shared" ref="U240:U247" si="4">T240/$T$249</f>
        <v>0.99234343291091365</v>
      </c>
      <c r="V240" s="725"/>
      <c r="W240" s="758"/>
      <c r="X240" s="588"/>
    </row>
    <row r="241" spans="1:25" s="589" customFormat="1" x14ac:dyDescent="0.25">
      <c r="A241" s="604"/>
      <c r="B241" s="662" t="s">
        <v>89</v>
      </c>
      <c r="C241" s="759"/>
      <c r="D241" s="759"/>
      <c r="E241" s="759"/>
      <c r="F241" s="605"/>
      <c r="G241" s="760"/>
      <c r="H241" s="759"/>
      <c r="I241" s="759"/>
      <c r="J241" s="759"/>
      <c r="K241" s="759"/>
      <c r="L241" s="759"/>
      <c r="M241" s="759"/>
      <c r="N241" s="759"/>
      <c r="O241" s="759"/>
      <c r="P241" s="759"/>
      <c r="Q241" s="759"/>
      <c r="R241" s="662">
        <f t="shared" si="1"/>
        <v>18</v>
      </c>
      <c r="S241" s="760">
        <f t="shared" si="2"/>
        <v>4.1446005065622843E-3</v>
      </c>
      <c r="T241" s="663">
        <f t="shared" si="3"/>
        <v>1856</v>
      </c>
      <c r="U241" s="760">
        <f t="shared" si="4"/>
        <v>3.1335366080141548E-3</v>
      </c>
      <c r="V241" s="730"/>
      <c r="W241" s="741"/>
      <c r="X241" s="588"/>
      <c r="Y241" s="685"/>
    </row>
    <row r="242" spans="1:25" s="589" customFormat="1" x14ac:dyDescent="0.25">
      <c r="A242" s="604"/>
      <c r="B242" s="662" t="s">
        <v>90</v>
      </c>
      <c r="C242" s="759"/>
      <c r="D242" s="759"/>
      <c r="E242" s="759"/>
      <c r="F242" s="605"/>
      <c r="G242" s="760"/>
      <c r="H242" s="759"/>
      <c r="I242" s="759"/>
      <c r="J242" s="759"/>
      <c r="K242" s="759"/>
      <c r="L242" s="759"/>
      <c r="M242" s="759"/>
      <c r="N242" s="759"/>
      <c r="O242" s="759"/>
      <c r="P242" s="759"/>
      <c r="Q242" s="759"/>
      <c r="R242" s="662">
        <f t="shared" si="1"/>
        <v>14</v>
      </c>
      <c r="S242" s="760">
        <f t="shared" si="2"/>
        <v>3.2235781717706653E-3</v>
      </c>
      <c r="T242" s="663">
        <f t="shared" si="3"/>
        <v>1588</v>
      </c>
      <c r="U242" s="760">
        <f t="shared" si="4"/>
        <v>2.6810647271155591E-3</v>
      </c>
      <c r="V242" s="730"/>
      <c r="W242" s="741"/>
      <c r="X242" s="588"/>
    </row>
    <row r="243" spans="1:25" s="589" customFormat="1" x14ac:dyDescent="0.25">
      <c r="A243" s="604"/>
      <c r="B243" s="662" t="s">
        <v>156</v>
      </c>
      <c r="C243" s="759"/>
      <c r="D243" s="759"/>
      <c r="E243" s="759"/>
      <c r="F243" s="605"/>
      <c r="G243" s="760"/>
      <c r="H243" s="759"/>
      <c r="I243" s="759"/>
      <c r="J243" s="759"/>
      <c r="K243" s="759"/>
      <c r="L243" s="759"/>
      <c r="M243" s="759"/>
      <c r="N243" s="759"/>
      <c r="O243" s="759"/>
      <c r="P243" s="759"/>
      <c r="Q243" s="759"/>
      <c r="R243" s="662">
        <f t="shared" si="1"/>
        <v>0</v>
      </c>
      <c r="S243" s="760">
        <f t="shared" si="2"/>
        <v>0</v>
      </c>
      <c r="T243" s="663">
        <f t="shared" si="3"/>
        <v>0</v>
      </c>
      <c r="U243" s="760">
        <f t="shared" si="4"/>
        <v>0</v>
      </c>
      <c r="V243" s="730"/>
      <c r="W243" s="741"/>
      <c r="X243" s="588"/>
      <c r="Y243" s="685"/>
    </row>
    <row r="244" spans="1:25" s="589" customFormat="1" x14ac:dyDescent="0.25">
      <c r="A244" s="604"/>
      <c r="B244" s="662" t="s">
        <v>157</v>
      </c>
      <c r="C244" s="759"/>
      <c r="D244" s="759"/>
      <c r="E244" s="759"/>
      <c r="F244" s="605"/>
      <c r="G244" s="760"/>
      <c r="H244" s="759"/>
      <c r="I244" s="759"/>
      <c r="J244" s="759"/>
      <c r="K244" s="759"/>
      <c r="L244" s="759"/>
      <c r="M244" s="759"/>
      <c r="N244" s="759"/>
      <c r="O244" s="759"/>
      <c r="P244" s="759"/>
      <c r="Q244" s="759"/>
      <c r="R244" s="662">
        <f t="shared" si="1"/>
        <v>1</v>
      </c>
      <c r="S244" s="760">
        <f t="shared" si="2"/>
        <v>2.3025558369790466E-4</v>
      </c>
      <c r="T244" s="663">
        <f t="shared" si="3"/>
        <v>89</v>
      </c>
      <c r="U244" s="760">
        <f t="shared" si="4"/>
        <v>1.5026118432826498E-4</v>
      </c>
      <c r="V244" s="730"/>
      <c r="W244" s="741"/>
      <c r="X244" s="588"/>
    </row>
    <row r="245" spans="1:25" s="589" customFormat="1" x14ac:dyDescent="0.25">
      <c r="A245" s="604"/>
      <c r="B245" s="662" t="s">
        <v>158</v>
      </c>
      <c r="C245" s="759"/>
      <c r="D245" s="759"/>
      <c r="E245" s="759"/>
      <c r="F245" s="605"/>
      <c r="G245" s="760"/>
      <c r="H245" s="759"/>
      <c r="I245" s="759"/>
      <c r="J245" s="759"/>
      <c r="K245" s="759"/>
      <c r="L245" s="759"/>
      <c r="M245" s="759"/>
      <c r="N245" s="759"/>
      <c r="O245" s="759"/>
      <c r="P245" s="759"/>
      <c r="Q245" s="759"/>
      <c r="R245" s="662">
        <f t="shared" si="1"/>
        <v>0</v>
      </c>
      <c r="S245" s="760">
        <f t="shared" si="2"/>
        <v>0</v>
      </c>
      <c r="T245" s="663">
        <f t="shared" si="3"/>
        <v>0</v>
      </c>
      <c r="U245" s="760">
        <f t="shared" si="4"/>
        <v>0</v>
      </c>
      <c r="V245" s="730"/>
      <c r="W245" s="741"/>
      <c r="X245" s="588"/>
      <c r="Y245" s="685"/>
    </row>
    <row r="246" spans="1:25" s="589" customFormat="1" x14ac:dyDescent="0.25">
      <c r="A246" s="604"/>
      <c r="B246" s="662" t="s">
        <v>159</v>
      </c>
      <c r="C246" s="759"/>
      <c r="D246" s="759"/>
      <c r="E246" s="759"/>
      <c r="F246" s="605"/>
      <c r="G246" s="760"/>
      <c r="H246" s="759"/>
      <c r="I246" s="759"/>
      <c r="J246" s="759"/>
      <c r="K246" s="759"/>
      <c r="L246" s="759"/>
      <c r="M246" s="759"/>
      <c r="N246" s="759"/>
      <c r="O246" s="759"/>
      <c r="P246" s="759"/>
      <c r="Q246" s="759"/>
      <c r="R246" s="662">
        <f t="shared" si="1"/>
        <v>4</v>
      </c>
      <c r="S246" s="760">
        <f t="shared" si="2"/>
        <v>9.2102233479161865E-4</v>
      </c>
      <c r="T246" s="663">
        <f t="shared" si="3"/>
        <v>1002</v>
      </c>
      <c r="U246" s="760">
        <f t="shared" si="4"/>
        <v>1.6917045696283315E-3</v>
      </c>
      <c r="V246" s="730"/>
      <c r="W246" s="741"/>
      <c r="X246" s="588"/>
    </row>
    <row r="247" spans="1:25" s="589" customFormat="1" x14ac:dyDescent="0.25">
      <c r="A247" s="604"/>
      <c r="B247" s="662" t="s">
        <v>160</v>
      </c>
      <c r="C247" s="759"/>
      <c r="D247" s="759"/>
      <c r="E247" s="759"/>
      <c r="F247" s="605"/>
      <c r="G247" s="760"/>
      <c r="H247" s="759"/>
      <c r="I247" s="759"/>
      <c r="J247" s="759"/>
      <c r="K247" s="759"/>
      <c r="L247" s="759"/>
      <c r="M247" s="759"/>
      <c r="N247" s="759"/>
      <c r="O247" s="759"/>
      <c r="P247" s="759"/>
      <c r="Q247" s="759"/>
      <c r="R247" s="673">
        <f t="shared" si="1"/>
        <v>0</v>
      </c>
      <c r="S247" s="760">
        <f t="shared" si="2"/>
        <v>0</v>
      </c>
      <c r="T247" s="674">
        <f t="shared" si="3"/>
        <v>0</v>
      </c>
      <c r="U247" s="757">
        <f t="shared" si="4"/>
        <v>0</v>
      </c>
      <c r="V247" s="730"/>
      <c r="W247" s="741"/>
      <c r="X247" s="588"/>
      <c r="Y247" s="685"/>
    </row>
    <row r="248" spans="1:25" s="589" customFormat="1" x14ac:dyDescent="0.25">
      <c r="A248" s="604"/>
      <c r="B248" s="662"/>
      <c r="C248" s="759"/>
      <c r="D248" s="759"/>
      <c r="E248" s="759"/>
      <c r="F248" s="605"/>
      <c r="G248" s="760"/>
      <c r="H248" s="759"/>
      <c r="I248" s="759"/>
      <c r="J248" s="759"/>
      <c r="K248" s="759"/>
      <c r="L248" s="759"/>
      <c r="M248" s="759"/>
      <c r="N248" s="759"/>
      <c r="O248" s="759"/>
      <c r="P248" s="759"/>
      <c r="Q248" s="759"/>
      <c r="R248" s="662"/>
      <c r="S248" s="760"/>
      <c r="T248" s="663"/>
      <c r="U248" s="760"/>
      <c r="V248" s="730"/>
      <c r="W248" s="741"/>
      <c r="X248" s="588"/>
    </row>
    <row r="249" spans="1:25" s="589" customFormat="1" x14ac:dyDescent="0.25">
      <c r="A249" s="604"/>
      <c r="B249" s="605"/>
      <c r="C249" s="605"/>
      <c r="D249" s="605"/>
      <c r="E249" s="605"/>
      <c r="F249" s="605"/>
      <c r="G249" s="605"/>
      <c r="H249" s="761"/>
      <c r="I249" s="761"/>
      <c r="J249" s="761"/>
      <c r="K249" s="761"/>
      <c r="L249" s="761"/>
      <c r="M249" s="761"/>
      <c r="N249" s="761"/>
      <c r="O249" s="761"/>
      <c r="P249" s="761"/>
      <c r="Q249" s="761"/>
      <c r="R249" s="662">
        <f>SUM(R240:R248)</f>
        <v>4343</v>
      </c>
      <c r="S249" s="760">
        <f>SUM(S240:S248)</f>
        <v>1</v>
      </c>
      <c r="T249" s="663">
        <f>SUM(T240:T248)</f>
        <v>592302</v>
      </c>
      <c r="U249" s="760">
        <f>SUM(U240:U248)</f>
        <v>1</v>
      </c>
      <c r="V249" s="605"/>
      <c r="W249" s="607"/>
      <c r="X249" s="588"/>
    </row>
    <row r="250" spans="1:25" x14ac:dyDescent="0.25">
      <c r="A250" s="574"/>
      <c r="B250" s="664"/>
      <c r="C250" s="664"/>
      <c r="D250" s="664"/>
      <c r="E250" s="664"/>
      <c r="F250" s="664"/>
      <c r="G250" s="664"/>
      <c r="H250" s="762"/>
      <c r="I250" s="762"/>
      <c r="J250" s="762"/>
      <c r="K250" s="762"/>
      <c r="L250" s="762"/>
      <c r="M250" s="762"/>
      <c r="N250" s="762"/>
      <c r="O250" s="762"/>
      <c r="P250" s="762"/>
      <c r="Q250" s="762"/>
      <c r="R250" s="665"/>
      <c r="S250" s="763"/>
      <c r="T250" s="764"/>
      <c r="U250" s="763"/>
      <c r="V250" s="664"/>
      <c r="W250" s="664"/>
      <c r="X250" s="572"/>
    </row>
    <row r="251" spans="1:25" x14ac:dyDescent="0.25">
      <c r="A251" s="597"/>
      <c r="B251" s="669" t="s">
        <v>162</v>
      </c>
      <c r="C251" s="670"/>
      <c r="D251" s="670"/>
      <c r="E251" s="670"/>
      <c r="F251" s="721"/>
      <c r="G251" s="670"/>
      <c r="H251" s="670"/>
      <c r="I251" s="670"/>
      <c r="J251" s="670"/>
      <c r="K251" s="670"/>
      <c r="L251" s="670"/>
      <c r="M251" s="670"/>
      <c r="N251" s="670"/>
      <c r="O251" s="670"/>
      <c r="P251" s="670"/>
      <c r="Q251" s="670"/>
      <c r="R251" s="721" t="s">
        <v>102</v>
      </c>
      <c r="S251" s="670" t="s">
        <v>103</v>
      </c>
      <c r="T251" s="721" t="s">
        <v>109</v>
      </c>
      <c r="U251" s="670" t="s">
        <v>103</v>
      </c>
      <c r="V251" s="598"/>
      <c r="W251" s="755"/>
      <c r="X251" s="572"/>
    </row>
    <row r="252" spans="1:25" s="589" customFormat="1" x14ac:dyDescent="0.25">
      <c r="A252" s="585"/>
      <c r="B252" s="673" t="s">
        <v>88</v>
      </c>
      <c r="C252" s="756"/>
      <c r="D252" s="756"/>
      <c r="E252" s="756"/>
      <c r="F252" s="602"/>
      <c r="G252" s="756"/>
      <c r="H252" s="756"/>
      <c r="I252" s="756"/>
      <c r="J252" s="756"/>
      <c r="K252" s="756"/>
      <c r="L252" s="756"/>
      <c r="M252" s="756"/>
      <c r="N252" s="756"/>
      <c r="O252" s="756"/>
      <c r="P252" s="756"/>
      <c r="Q252" s="756"/>
      <c r="R252" s="673">
        <v>4243</v>
      </c>
      <c r="S252" s="757">
        <f>R252/$R$261</f>
        <v>0.99297917154224202</v>
      </c>
      <c r="T252" s="674">
        <v>579418</v>
      </c>
      <c r="U252" s="757">
        <f t="shared" ref="U252:U259" si="5">T252/$T$261</f>
        <v>0.99448877415988557</v>
      </c>
      <c r="V252" s="725"/>
      <c r="W252" s="758"/>
      <c r="X252" s="588"/>
    </row>
    <row r="253" spans="1:25" s="589" customFormat="1" x14ac:dyDescent="0.25">
      <c r="A253" s="604"/>
      <c r="B253" s="662" t="s">
        <v>89</v>
      </c>
      <c r="C253" s="759"/>
      <c r="D253" s="759"/>
      <c r="E253" s="759"/>
      <c r="F253" s="605"/>
      <c r="G253" s="760"/>
      <c r="H253" s="759"/>
      <c r="I253" s="759"/>
      <c r="J253" s="759"/>
      <c r="K253" s="759"/>
      <c r="L253" s="759"/>
      <c r="M253" s="759"/>
      <c r="N253" s="759"/>
      <c r="O253" s="759"/>
      <c r="P253" s="759"/>
      <c r="Q253" s="759"/>
      <c r="R253" s="662">
        <v>16</v>
      </c>
      <c r="S253" s="760">
        <f t="shared" ref="S253:S259" si="6">R253/$R$261</f>
        <v>3.7444418441376082E-3</v>
      </c>
      <c r="T253" s="663">
        <v>1623</v>
      </c>
      <c r="U253" s="760">
        <f t="shared" si="5"/>
        <v>2.785649186703717E-3</v>
      </c>
      <c r="V253" s="730"/>
      <c r="W253" s="741"/>
      <c r="X253" s="588"/>
      <c r="Y253" s="685"/>
    </row>
    <row r="254" spans="1:25" s="589" customFormat="1" x14ac:dyDescent="0.25">
      <c r="A254" s="604"/>
      <c r="B254" s="662" t="s">
        <v>90</v>
      </c>
      <c r="C254" s="759"/>
      <c r="D254" s="759"/>
      <c r="E254" s="759"/>
      <c r="F254" s="605"/>
      <c r="G254" s="760"/>
      <c r="H254" s="759"/>
      <c r="I254" s="759"/>
      <c r="J254" s="759"/>
      <c r="K254" s="759"/>
      <c r="L254" s="759"/>
      <c r="M254" s="759"/>
      <c r="N254" s="759"/>
      <c r="O254" s="759"/>
      <c r="P254" s="759"/>
      <c r="Q254" s="759"/>
      <c r="R254" s="662">
        <v>14</v>
      </c>
      <c r="S254" s="760">
        <f t="shared" si="6"/>
        <v>3.2763866136204071E-3</v>
      </c>
      <c r="T254" s="663">
        <v>1588</v>
      </c>
      <c r="U254" s="760">
        <f t="shared" si="5"/>
        <v>2.725576653410661E-3</v>
      </c>
      <c r="V254" s="730"/>
      <c r="W254" s="741"/>
      <c r="X254" s="588"/>
    </row>
    <row r="255" spans="1:25" s="589" customFormat="1" x14ac:dyDescent="0.25">
      <c r="A255" s="604"/>
      <c r="B255" s="662" t="s">
        <v>156</v>
      </c>
      <c r="C255" s="759"/>
      <c r="D255" s="759"/>
      <c r="E255" s="759"/>
      <c r="F255" s="605"/>
      <c r="G255" s="760"/>
      <c r="H255" s="759"/>
      <c r="I255" s="759"/>
      <c r="J255" s="759"/>
      <c r="K255" s="759"/>
      <c r="L255" s="759"/>
      <c r="M255" s="759"/>
      <c r="N255" s="759"/>
      <c r="O255" s="759"/>
      <c r="P255" s="759"/>
      <c r="Q255" s="759"/>
      <c r="R255" s="662">
        <v>0</v>
      </c>
      <c r="S255" s="760">
        <f t="shared" si="6"/>
        <v>0</v>
      </c>
      <c r="T255" s="663">
        <v>0</v>
      </c>
      <c r="U255" s="760">
        <f t="shared" si="5"/>
        <v>0</v>
      </c>
      <c r="V255" s="730"/>
      <c r="W255" s="741"/>
      <c r="X255" s="588"/>
      <c r="Y255" s="685"/>
    </row>
    <row r="256" spans="1:25" s="589" customFormat="1" x14ac:dyDescent="0.25">
      <c r="A256" s="604"/>
      <c r="B256" s="662" t="s">
        <v>157</v>
      </c>
      <c r="C256" s="759"/>
      <c r="D256" s="759"/>
      <c r="E256" s="759"/>
      <c r="F256" s="605"/>
      <c r="G256" s="760"/>
      <c r="H256" s="759"/>
      <c r="I256" s="759"/>
      <c r="J256" s="759"/>
      <c r="K256" s="759"/>
      <c r="L256" s="759"/>
      <c r="M256" s="759"/>
      <c r="N256" s="759"/>
      <c r="O256" s="759"/>
      <c r="P256" s="759"/>
      <c r="Q256" s="759"/>
      <c r="R256" s="662">
        <v>0</v>
      </c>
      <c r="S256" s="760">
        <f t="shared" si="6"/>
        <v>0</v>
      </c>
      <c r="T256" s="663">
        <v>0</v>
      </c>
      <c r="U256" s="760">
        <f t="shared" si="5"/>
        <v>0</v>
      </c>
      <c r="V256" s="730"/>
      <c r="W256" s="741"/>
      <c r="X256" s="588"/>
    </row>
    <row r="257" spans="1:25" s="589" customFormat="1" x14ac:dyDescent="0.25">
      <c r="A257" s="604"/>
      <c r="B257" s="662" t="s">
        <v>158</v>
      </c>
      <c r="C257" s="759"/>
      <c r="D257" s="759"/>
      <c r="E257" s="759"/>
      <c r="F257" s="605"/>
      <c r="G257" s="760"/>
      <c r="H257" s="759"/>
      <c r="I257" s="759"/>
      <c r="J257" s="759"/>
      <c r="K257" s="759"/>
      <c r="L257" s="759"/>
      <c r="M257" s="759"/>
      <c r="N257" s="759"/>
      <c r="O257" s="759"/>
      <c r="P257" s="759"/>
      <c r="Q257" s="759"/>
      <c r="R257" s="662">
        <v>0</v>
      </c>
      <c r="S257" s="760">
        <f t="shared" si="6"/>
        <v>0</v>
      </c>
      <c r="T257" s="663">
        <v>0</v>
      </c>
      <c r="U257" s="760">
        <f t="shared" si="5"/>
        <v>0</v>
      </c>
      <c r="V257" s="730"/>
      <c r="W257" s="741"/>
      <c r="X257" s="588"/>
      <c r="Y257" s="685"/>
    </row>
    <row r="258" spans="1:25" s="589" customFormat="1" x14ac:dyDescent="0.25">
      <c r="A258" s="604"/>
      <c r="B258" s="662" t="s">
        <v>159</v>
      </c>
      <c r="C258" s="759"/>
      <c r="D258" s="759"/>
      <c r="E258" s="759"/>
      <c r="F258" s="605"/>
      <c r="G258" s="760"/>
      <c r="H258" s="759"/>
      <c r="I258" s="759"/>
      <c r="J258" s="759"/>
      <c r="K258" s="759"/>
      <c r="L258" s="759"/>
      <c r="M258" s="759"/>
      <c r="N258" s="759"/>
      <c r="O258" s="759"/>
      <c r="P258" s="759"/>
      <c r="Q258" s="759"/>
      <c r="R258" s="662">
        <v>0</v>
      </c>
      <c r="S258" s="760">
        <f t="shared" si="6"/>
        <v>0</v>
      </c>
      <c r="T258" s="663">
        <v>0</v>
      </c>
      <c r="U258" s="760">
        <f t="shared" si="5"/>
        <v>0</v>
      </c>
      <c r="V258" s="730"/>
      <c r="W258" s="741"/>
      <c r="X258" s="588"/>
    </row>
    <row r="259" spans="1:25" s="589" customFormat="1" x14ac:dyDescent="0.25">
      <c r="A259" s="604"/>
      <c r="B259" s="662" t="s">
        <v>160</v>
      </c>
      <c r="C259" s="759"/>
      <c r="D259" s="759"/>
      <c r="E259" s="759"/>
      <c r="F259" s="605"/>
      <c r="G259" s="760"/>
      <c r="H259" s="759"/>
      <c r="I259" s="759"/>
      <c r="J259" s="759"/>
      <c r="K259" s="759"/>
      <c r="L259" s="759"/>
      <c r="M259" s="759"/>
      <c r="N259" s="759"/>
      <c r="O259" s="759"/>
      <c r="P259" s="759"/>
      <c r="Q259" s="759"/>
      <c r="R259" s="662">
        <v>0</v>
      </c>
      <c r="S259" s="760">
        <f t="shared" si="6"/>
        <v>0</v>
      </c>
      <c r="T259" s="663">
        <v>0</v>
      </c>
      <c r="U259" s="760">
        <f t="shared" si="5"/>
        <v>0</v>
      </c>
      <c r="V259" s="730"/>
      <c r="W259" s="741"/>
      <c r="X259" s="588"/>
      <c r="Y259" s="685"/>
    </row>
    <row r="260" spans="1:25" s="589" customFormat="1" x14ac:dyDescent="0.25">
      <c r="A260" s="604"/>
      <c r="B260" s="662"/>
      <c r="C260" s="759"/>
      <c r="D260" s="759"/>
      <c r="E260" s="759"/>
      <c r="F260" s="605"/>
      <c r="G260" s="760"/>
      <c r="H260" s="759"/>
      <c r="I260" s="759"/>
      <c r="J260" s="759"/>
      <c r="K260" s="759"/>
      <c r="L260" s="759"/>
      <c r="M260" s="759"/>
      <c r="N260" s="759"/>
      <c r="O260" s="759"/>
      <c r="P260" s="759"/>
      <c r="Q260" s="759"/>
      <c r="R260" s="662"/>
      <c r="S260" s="760"/>
      <c r="T260" s="663"/>
      <c r="U260" s="760"/>
      <c r="V260" s="730"/>
      <c r="W260" s="741"/>
      <c r="X260" s="588"/>
    </row>
    <row r="261" spans="1:25" s="589" customFormat="1" x14ac:dyDescent="0.25">
      <c r="A261" s="604"/>
      <c r="B261" s="605"/>
      <c r="C261" s="605"/>
      <c r="D261" s="605"/>
      <c r="E261" s="605"/>
      <c r="F261" s="605"/>
      <c r="G261" s="605"/>
      <c r="H261" s="761"/>
      <c r="I261" s="761"/>
      <c r="J261" s="761"/>
      <c r="K261" s="761"/>
      <c r="L261" s="761"/>
      <c r="M261" s="761"/>
      <c r="N261" s="761"/>
      <c r="O261" s="761"/>
      <c r="P261" s="761"/>
      <c r="Q261" s="761"/>
      <c r="R261" s="662">
        <f>SUM(R252:R260)</f>
        <v>4273</v>
      </c>
      <c r="S261" s="760">
        <f>SUM(S252:S260)</f>
        <v>1</v>
      </c>
      <c r="T261" s="663">
        <f>SUM(T252:T260)</f>
        <v>582629</v>
      </c>
      <c r="U261" s="760">
        <f>SUM(U252:U260)</f>
        <v>1</v>
      </c>
      <c r="V261" s="605"/>
      <c r="W261" s="607"/>
      <c r="X261" s="588"/>
    </row>
    <row r="262" spans="1:25" x14ac:dyDescent="0.25">
      <c r="A262" s="574"/>
      <c r="B262" s="664"/>
      <c r="C262" s="664"/>
      <c r="D262" s="664"/>
      <c r="E262" s="664"/>
      <c r="F262" s="664"/>
      <c r="G262" s="664"/>
      <c r="H262" s="762"/>
      <c r="I262" s="762"/>
      <c r="J262" s="762"/>
      <c r="K262" s="762"/>
      <c r="L262" s="762"/>
      <c r="M262" s="762"/>
      <c r="N262" s="762"/>
      <c r="O262" s="762"/>
      <c r="P262" s="762"/>
      <c r="Q262" s="762"/>
      <c r="R262" s="665"/>
      <c r="S262" s="763"/>
      <c r="T262" s="764"/>
      <c r="U262" s="763"/>
      <c r="V262" s="664"/>
      <c r="W262" s="664"/>
      <c r="X262" s="572"/>
    </row>
    <row r="263" spans="1:25" x14ac:dyDescent="0.25">
      <c r="A263" s="597"/>
      <c r="B263" s="669" t="s">
        <v>236</v>
      </c>
      <c r="C263" s="670"/>
      <c r="D263" s="670"/>
      <c r="E263" s="670"/>
      <c r="F263" s="721"/>
      <c r="G263" s="670"/>
      <c r="H263" s="670"/>
      <c r="I263" s="670"/>
      <c r="J263" s="670"/>
      <c r="K263" s="670"/>
      <c r="L263" s="670"/>
      <c r="M263" s="670"/>
      <c r="N263" s="670"/>
      <c r="O263" s="670"/>
      <c r="P263" s="670"/>
      <c r="Q263" s="670"/>
      <c r="R263" s="721" t="s">
        <v>102</v>
      </c>
      <c r="S263" s="670" t="s">
        <v>103</v>
      </c>
      <c r="T263" s="721" t="s">
        <v>109</v>
      </c>
      <c r="U263" s="670" t="s">
        <v>103</v>
      </c>
      <c r="V263" s="598"/>
      <c r="W263" s="601"/>
      <c r="X263" s="572"/>
    </row>
    <row r="264" spans="1:25" s="589" customFormat="1" x14ac:dyDescent="0.25">
      <c r="A264" s="585"/>
      <c r="B264" s="673" t="s">
        <v>88</v>
      </c>
      <c r="C264" s="756"/>
      <c r="D264" s="756"/>
      <c r="E264" s="756"/>
      <c r="F264" s="602"/>
      <c r="G264" s="756"/>
      <c r="H264" s="756"/>
      <c r="I264" s="756"/>
      <c r="J264" s="756"/>
      <c r="K264" s="756"/>
      <c r="L264" s="756"/>
      <c r="M264" s="756"/>
      <c r="N264" s="756"/>
      <c r="O264" s="756"/>
      <c r="P264" s="756"/>
      <c r="Q264" s="756"/>
      <c r="R264" s="673">
        <v>62</v>
      </c>
      <c r="S264" s="757">
        <f t="shared" ref="S264:S270" si="7">R264/$R$273</f>
        <v>0.89855072463768115</v>
      </c>
      <c r="T264" s="674">
        <v>8319</v>
      </c>
      <c r="U264" s="757">
        <f t="shared" ref="U264:U271" si="8">T264/$T$273</f>
        <v>0.86269833039510524</v>
      </c>
      <c r="V264" s="602"/>
      <c r="W264" s="602"/>
      <c r="X264" s="588"/>
    </row>
    <row r="265" spans="1:25" s="589" customFormat="1" x14ac:dyDescent="0.25">
      <c r="A265" s="604"/>
      <c r="B265" s="662" t="s">
        <v>89</v>
      </c>
      <c r="C265" s="759"/>
      <c r="D265" s="759"/>
      <c r="E265" s="759"/>
      <c r="F265" s="605"/>
      <c r="G265" s="760"/>
      <c r="H265" s="759"/>
      <c r="I265" s="759"/>
      <c r="J265" s="759"/>
      <c r="K265" s="759"/>
      <c r="L265" s="759"/>
      <c r="M265" s="759"/>
      <c r="N265" s="759"/>
      <c r="O265" s="759"/>
      <c r="P265" s="759"/>
      <c r="Q265" s="759"/>
      <c r="R265" s="662">
        <v>2</v>
      </c>
      <c r="S265" s="760">
        <f t="shared" si="7"/>
        <v>2.8985507246376812E-2</v>
      </c>
      <c r="T265" s="663">
        <v>233</v>
      </c>
      <c r="U265" s="760">
        <f t="shared" si="8"/>
        <v>2.4162604998444467E-2</v>
      </c>
      <c r="V265" s="605"/>
      <c r="W265" s="607"/>
      <c r="X265" s="588"/>
    </row>
    <row r="266" spans="1:25" s="589" customFormat="1" x14ac:dyDescent="0.25">
      <c r="A266" s="604"/>
      <c r="B266" s="662" t="s">
        <v>90</v>
      </c>
      <c r="C266" s="759"/>
      <c r="D266" s="759"/>
      <c r="E266" s="759"/>
      <c r="F266" s="605"/>
      <c r="G266" s="760"/>
      <c r="H266" s="759"/>
      <c r="I266" s="759"/>
      <c r="J266" s="759"/>
      <c r="K266" s="759"/>
      <c r="L266" s="759"/>
      <c r="M266" s="759"/>
      <c r="N266" s="759"/>
      <c r="O266" s="759"/>
      <c r="P266" s="759"/>
      <c r="Q266" s="759"/>
      <c r="R266" s="662">
        <v>0</v>
      </c>
      <c r="S266" s="760">
        <f t="shared" si="7"/>
        <v>0</v>
      </c>
      <c r="T266" s="663">
        <v>0</v>
      </c>
      <c r="U266" s="760">
        <f t="shared" si="8"/>
        <v>0</v>
      </c>
      <c r="V266" s="605"/>
      <c r="W266" s="607"/>
      <c r="X266" s="588"/>
    </row>
    <row r="267" spans="1:25" s="589" customFormat="1" x14ac:dyDescent="0.25">
      <c r="A267" s="604"/>
      <c r="B267" s="662" t="s">
        <v>156</v>
      </c>
      <c r="C267" s="759"/>
      <c r="D267" s="759"/>
      <c r="E267" s="759"/>
      <c r="F267" s="605"/>
      <c r="G267" s="760"/>
      <c r="H267" s="759"/>
      <c r="I267" s="759"/>
      <c r="J267" s="759"/>
      <c r="K267" s="759"/>
      <c r="L267" s="759"/>
      <c r="M267" s="759"/>
      <c r="N267" s="759"/>
      <c r="O267" s="759"/>
      <c r="P267" s="759"/>
      <c r="Q267" s="759"/>
      <c r="R267" s="662">
        <v>0</v>
      </c>
      <c r="S267" s="760">
        <f t="shared" si="7"/>
        <v>0</v>
      </c>
      <c r="T267" s="663">
        <v>0</v>
      </c>
      <c r="U267" s="760">
        <f t="shared" si="8"/>
        <v>0</v>
      </c>
      <c r="V267" s="605"/>
      <c r="W267" s="607"/>
      <c r="X267" s="588"/>
    </row>
    <row r="268" spans="1:25" s="589" customFormat="1" x14ac:dyDescent="0.25">
      <c r="A268" s="604"/>
      <c r="B268" s="662" t="s">
        <v>157</v>
      </c>
      <c r="C268" s="759"/>
      <c r="D268" s="759"/>
      <c r="E268" s="759"/>
      <c r="F268" s="605"/>
      <c r="G268" s="760"/>
      <c r="H268" s="759"/>
      <c r="I268" s="759"/>
      <c r="J268" s="759"/>
      <c r="K268" s="759"/>
      <c r="L268" s="759"/>
      <c r="M268" s="759"/>
      <c r="N268" s="759"/>
      <c r="O268" s="759"/>
      <c r="P268" s="759"/>
      <c r="Q268" s="759"/>
      <c r="R268" s="662">
        <v>1</v>
      </c>
      <c r="S268" s="760">
        <f t="shared" si="7"/>
        <v>1.4492753623188406E-2</v>
      </c>
      <c r="T268" s="663">
        <v>89</v>
      </c>
      <c r="U268" s="760">
        <f t="shared" si="8"/>
        <v>9.2294928964015352E-3</v>
      </c>
      <c r="V268" s="605"/>
      <c r="W268" s="607"/>
      <c r="X268" s="588"/>
    </row>
    <row r="269" spans="1:25" s="589" customFormat="1" x14ac:dyDescent="0.25">
      <c r="A269" s="604"/>
      <c r="B269" s="662" t="s">
        <v>158</v>
      </c>
      <c r="C269" s="759"/>
      <c r="D269" s="759"/>
      <c r="E269" s="759"/>
      <c r="F269" s="605"/>
      <c r="G269" s="760"/>
      <c r="H269" s="759"/>
      <c r="I269" s="759"/>
      <c r="J269" s="759"/>
      <c r="K269" s="759"/>
      <c r="L269" s="759"/>
      <c r="M269" s="759"/>
      <c r="N269" s="759"/>
      <c r="O269" s="759"/>
      <c r="P269" s="759"/>
      <c r="Q269" s="759"/>
      <c r="R269" s="662">
        <v>0</v>
      </c>
      <c r="S269" s="760">
        <f t="shared" si="7"/>
        <v>0</v>
      </c>
      <c r="T269" s="663">
        <v>0</v>
      </c>
      <c r="U269" s="760">
        <f t="shared" si="8"/>
        <v>0</v>
      </c>
      <c r="V269" s="605"/>
      <c r="W269" s="607"/>
      <c r="X269" s="588"/>
    </row>
    <row r="270" spans="1:25" s="589" customFormat="1" x14ac:dyDescent="0.25">
      <c r="A270" s="604"/>
      <c r="B270" s="662" t="s">
        <v>159</v>
      </c>
      <c r="C270" s="759"/>
      <c r="D270" s="759"/>
      <c r="E270" s="759"/>
      <c r="F270" s="605"/>
      <c r="G270" s="760"/>
      <c r="H270" s="759"/>
      <c r="I270" s="759"/>
      <c r="J270" s="759"/>
      <c r="K270" s="759"/>
      <c r="L270" s="759"/>
      <c r="M270" s="759"/>
      <c r="N270" s="759"/>
      <c r="O270" s="759"/>
      <c r="P270" s="759"/>
      <c r="Q270" s="759"/>
      <c r="R270" s="662">
        <v>4</v>
      </c>
      <c r="S270" s="760">
        <f t="shared" si="7"/>
        <v>5.7971014492753624E-2</v>
      </c>
      <c r="T270" s="663">
        <v>1002</v>
      </c>
      <c r="U270" s="760">
        <f t="shared" si="8"/>
        <v>0.10390957171004873</v>
      </c>
      <c r="V270" s="605"/>
      <c r="W270" s="607"/>
      <c r="X270" s="588"/>
    </row>
    <row r="271" spans="1:25" s="589" customFormat="1" x14ac:dyDescent="0.25">
      <c r="A271" s="604"/>
      <c r="B271" s="662" t="s">
        <v>160</v>
      </c>
      <c r="C271" s="759"/>
      <c r="D271" s="759"/>
      <c r="E271" s="759"/>
      <c r="F271" s="605"/>
      <c r="G271" s="760"/>
      <c r="H271" s="759"/>
      <c r="I271" s="759"/>
      <c r="J271" s="759"/>
      <c r="K271" s="759"/>
      <c r="L271" s="759"/>
      <c r="M271" s="759"/>
      <c r="N271" s="759"/>
      <c r="O271" s="759"/>
      <c r="P271" s="759"/>
      <c r="Q271" s="759"/>
      <c r="R271" s="662">
        <v>0</v>
      </c>
      <c r="S271" s="760">
        <f>R271/$R$273</f>
        <v>0</v>
      </c>
      <c r="T271" s="663">
        <v>0</v>
      </c>
      <c r="U271" s="760">
        <f t="shared" si="8"/>
        <v>0</v>
      </c>
      <c r="V271" s="605"/>
      <c r="W271" s="607"/>
      <c r="X271" s="588"/>
    </row>
    <row r="272" spans="1:25" s="589" customFormat="1" x14ac:dyDescent="0.25">
      <c r="A272" s="604"/>
      <c r="B272" s="662"/>
      <c r="C272" s="759"/>
      <c r="D272" s="759"/>
      <c r="E272" s="759"/>
      <c r="F272" s="605"/>
      <c r="G272" s="760"/>
      <c r="H272" s="759"/>
      <c r="I272" s="759"/>
      <c r="J272" s="759"/>
      <c r="K272" s="759"/>
      <c r="L272" s="759"/>
      <c r="M272" s="759"/>
      <c r="N272" s="759"/>
      <c r="O272" s="759"/>
      <c r="P272" s="759"/>
      <c r="Q272" s="759"/>
      <c r="R272" s="662"/>
      <c r="S272" s="760"/>
      <c r="T272" s="663"/>
      <c r="U272" s="760"/>
      <c r="V272" s="605"/>
      <c r="W272" s="607"/>
      <c r="X272" s="588"/>
    </row>
    <row r="273" spans="1:24" s="589" customFormat="1" x14ac:dyDescent="0.25">
      <c r="A273" s="604"/>
      <c r="B273" s="605"/>
      <c r="C273" s="605"/>
      <c r="D273" s="605"/>
      <c r="E273" s="605"/>
      <c r="F273" s="605"/>
      <c r="G273" s="605"/>
      <c r="H273" s="761"/>
      <c r="I273" s="761"/>
      <c r="J273" s="761"/>
      <c r="K273" s="761"/>
      <c r="L273" s="761"/>
      <c r="M273" s="761"/>
      <c r="N273" s="761"/>
      <c r="O273" s="761"/>
      <c r="P273" s="761"/>
      <c r="Q273" s="761"/>
      <c r="R273" s="662">
        <f>SUM(R264:R272)</f>
        <v>69</v>
      </c>
      <c r="S273" s="760">
        <f>SUM(S264:S272)</f>
        <v>1</v>
      </c>
      <c r="T273" s="663">
        <f>SUM(T264:T272)</f>
        <v>9643</v>
      </c>
      <c r="U273" s="760">
        <f>SUM(U264:U272)</f>
        <v>1</v>
      </c>
      <c r="V273" s="605"/>
      <c r="W273" s="607"/>
      <c r="X273" s="588"/>
    </row>
    <row r="274" spans="1:24" x14ac:dyDescent="0.25">
      <c r="A274" s="574"/>
      <c r="B274" s="664"/>
      <c r="C274" s="664"/>
      <c r="D274" s="664"/>
      <c r="E274" s="664"/>
      <c r="F274" s="664"/>
      <c r="G274" s="664"/>
      <c r="H274" s="762"/>
      <c r="I274" s="762"/>
      <c r="J274" s="762"/>
      <c r="K274" s="762"/>
      <c r="L274" s="762"/>
      <c r="M274" s="762"/>
      <c r="N274" s="762"/>
      <c r="O274" s="762"/>
      <c r="P274" s="762"/>
      <c r="Q274" s="762"/>
      <c r="R274" s="665"/>
      <c r="S274" s="763"/>
      <c r="T274" s="764"/>
      <c r="U274" s="763"/>
      <c r="V274" s="664"/>
      <c r="W274" s="664"/>
      <c r="X274" s="572"/>
    </row>
    <row r="275" spans="1:24" x14ac:dyDescent="0.25">
      <c r="A275" s="597"/>
      <c r="B275" s="669" t="s">
        <v>163</v>
      </c>
      <c r="C275" s="598"/>
      <c r="D275" s="598"/>
      <c r="E275" s="598"/>
      <c r="F275" s="598"/>
      <c r="G275" s="598"/>
      <c r="H275" s="765"/>
      <c r="I275" s="765"/>
      <c r="J275" s="765"/>
      <c r="K275" s="765"/>
      <c r="L275" s="765"/>
      <c r="M275" s="765"/>
      <c r="N275" s="765"/>
      <c r="O275" s="765"/>
      <c r="P275" s="765"/>
      <c r="Q275" s="765"/>
      <c r="R275" s="721" t="s">
        <v>102</v>
      </c>
      <c r="S275" s="670" t="s">
        <v>103</v>
      </c>
      <c r="T275" s="721" t="s">
        <v>109</v>
      </c>
      <c r="U275" s="670" t="s">
        <v>103</v>
      </c>
      <c r="V275" s="598"/>
      <c r="W275" s="601"/>
      <c r="X275" s="572"/>
    </row>
    <row r="276" spans="1:24" s="589" customFormat="1" x14ac:dyDescent="0.25">
      <c r="A276" s="585"/>
      <c r="B276" s="673" t="s">
        <v>88</v>
      </c>
      <c r="C276" s="602"/>
      <c r="D276" s="602"/>
      <c r="E276" s="602"/>
      <c r="F276" s="602"/>
      <c r="G276" s="602"/>
      <c r="H276" s="766"/>
      <c r="I276" s="766"/>
      <c r="J276" s="766"/>
      <c r="K276" s="766"/>
      <c r="L276" s="766"/>
      <c r="M276" s="766"/>
      <c r="N276" s="766"/>
      <c r="O276" s="766"/>
      <c r="P276" s="766"/>
      <c r="Q276" s="766"/>
      <c r="R276" s="673">
        <v>1</v>
      </c>
      <c r="S276" s="757">
        <v>1</v>
      </c>
      <c r="T276" s="674">
        <v>30</v>
      </c>
      <c r="U276" s="757">
        <v>1</v>
      </c>
      <c r="V276" s="602"/>
      <c r="W276" s="602"/>
      <c r="X276" s="588"/>
    </row>
    <row r="277" spans="1:24" s="589" customFormat="1" x14ac:dyDescent="0.25">
      <c r="A277" s="604"/>
      <c r="B277" s="662" t="s">
        <v>89</v>
      </c>
      <c r="C277" s="605"/>
      <c r="D277" s="605"/>
      <c r="E277" s="605"/>
      <c r="F277" s="605"/>
      <c r="G277" s="605"/>
      <c r="H277" s="761"/>
      <c r="I277" s="761"/>
      <c r="J277" s="761"/>
      <c r="K277" s="761"/>
      <c r="L277" s="761"/>
      <c r="M277" s="761"/>
      <c r="N277" s="761"/>
      <c r="O277" s="761"/>
      <c r="P277" s="761"/>
      <c r="Q277" s="761"/>
      <c r="R277" s="662">
        <v>0</v>
      </c>
      <c r="S277" s="760">
        <v>0</v>
      </c>
      <c r="T277" s="663">
        <v>0</v>
      </c>
      <c r="U277" s="760">
        <v>0</v>
      </c>
      <c r="V277" s="605"/>
      <c r="W277" s="607"/>
      <c r="X277" s="588"/>
    </row>
    <row r="278" spans="1:24" s="589" customFormat="1" x14ac:dyDescent="0.25">
      <c r="A278" s="604"/>
      <c r="B278" s="662" t="s">
        <v>90</v>
      </c>
      <c r="C278" s="605"/>
      <c r="D278" s="605"/>
      <c r="E278" s="605"/>
      <c r="F278" s="605"/>
      <c r="G278" s="605"/>
      <c r="H278" s="761"/>
      <c r="I278" s="761"/>
      <c r="J278" s="761"/>
      <c r="K278" s="761"/>
      <c r="L278" s="761"/>
      <c r="M278" s="761"/>
      <c r="N278" s="761"/>
      <c r="O278" s="761"/>
      <c r="P278" s="761"/>
      <c r="Q278" s="761"/>
      <c r="R278" s="662">
        <v>0</v>
      </c>
      <c r="S278" s="760">
        <v>0</v>
      </c>
      <c r="T278" s="663">
        <v>0</v>
      </c>
      <c r="U278" s="760">
        <v>0</v>
      </c>
      <c r="V278" s="605"/>
      <c r="W278" s="607"/>
      <c r="X278" s="588"/>
    </row>
    <row r="279" spans="1:24" s="589" customFormat="1" x14ac:dyDescent="0.25">
      <c r="A279" s="604"/>
      <c r="B279" s="662" t="s">
        <v>156</v>
      </c>
      <c r="C279" s="605"/>
      <c r="D279" s="605"/>
      <c r="E279" s="605"/>
      <c r="F279" s="605"/>
      <c r="G279" s="605"/>
      <c r="H279" s="761"/>
      <c r="I279" s="761"/>
      <c r="J279" s="761"/>
      <c r="K279" s="761"/>
      <c r="L279" s="761"/>
      <c r="M279" s="761"/>
      <c r="N279" s="761"/>
      <c r="O279" s="761"/>
      <c r="P279" s="761"/>
      <c r="Q279" s="761"/>
      <c r="R279" s="662">
        <v>0</v>
      </c>
      <c r="S279" s="760">
        <v>0</v>
      </c>
      <c r="T279" s="663">
        <v>0</v>
      </c>
      <c r="U279" s="760">
        <v>0</v>
      </c>
      <c r="V279" s="605"/>
      <c r="W279" s="607"/>
      <c r="X279" s="588"/>
    </row>
    <row r="280" spans="1:24" s="589" customFormat="1" x14ac:dyDescent="0.25">
      <c r="A280" s="604"/>
      <c r="B280" s="662" t="s">
        <v>157</v>
      </c>
      <c r="C280" s="605"/>
      <c r="D280" s="605"/>
      <c r="E280" s="605"/>
      <c r="F280" s="605"/>
      <c r="G280" s="605"/>
      <c r="H280" s="761"/>
      <c r="I280" s="761"/>
      <c r="J280" s="761"/>
      <c r="K280" s="761"/>
      <c r="L280" s="761"/>
      <c r="M280" s="761"/>
      <c r="N280" s="761"/>
      <c r="O280" s="761"/>
      <c r="P280" s="761"/>
      <c r="Q280" s="761"/>
      <c r="R280" s="662">
        <v>0</v>
      </c>
      <c r="S280" s="760">
        <v>0</v>
      </c>
      <c r="T280" s="663">
        <v>0</v>
      </c>
      <c r="U280" s="760">
        <v>0</v>
      </c>
      <c r="V280" s="605"/>
      <c r="W280" s="607"/>
      <c r="X280" s="588"/>
    </row>
    <row r="281" spans="1:24" s="589" customFormat="1" x14ac:dyDescent="0.25">
      <c r="A281" s="604"/>
      <c r="B281" s="662" t="s">
        <v>158</v>
      </c>
      <c r="C281" s="605"/>
      <c r="D281" s="605"/>
      <c r="E281" s="605"/>
      <c r="F281" s="605"/>
      <c r="G281" s="605"/>
      <c r="H281" s="761"/>
      <c r="I281" s="761"/>
      <c r="J281" s="761"/>
      <c r="K281" s="761"/>
      <c r="L281" s="761"/>
      <c r="M281" s="761"/>
      <c r="N281" s="761"/>
      <c r="O281" s="761"/>
      <c r="P281" s="761"/>
      <c r="Q281" s="761"/>
      <c r="R281" s="662">
        <v>0</v>
      </c>
      <c r="S281" s="760">
        <v>0</v>
      </c>
      <c r="T281" s="663">
        <v>0</v>
      </c>
      <c r="U281" s="760">
        <v>0</v>
      </c>
      <c r="V281" s="605"/>
      <c r="W281" s="607"/>
      <c r="X281" s="588"/>
    </row>
    <row r="282" spans="1:24" s="589" customFormat="1" x14ac:dyDescent="0.25">
      <c r="A282" s="604"/>
      <c r="B282" s="662" t="s">
        <v>159</v>
      </c>
      <c r="C282" s="605"/>
      <c r="D282" s="605"/>
      <c r="E282" s="605"/>
      <c r="F282" s="605"/>
      <c r="G282" s="605"/>
      <c r="H282" s="761"/>
      <c r="I282" s="761"/>
      <c r="J282" s="761"/>
      <c r="K282" s="761"/>
      <c r="L282" s="761"/>
      <c r="M282" s="761"/>
      <c r="N282" s="761"/>
      <c r="O282" s="761"/>
      <c r="P282" s="761"/>
      <c r="Q282" s="761"/>
      <c r="R282" s="662">
        <v>0</v>
      </c>
      <c r="S282" s="760">
        <v>0</v>
      </c>
      <c r="T282" s="663">
        <v>0</v>
      </c>
      <c r="U282" s="760">
        <v>0</v>
      </c>
      <c r="V282" s="605"/>
      <c r="W282" s="607"/>
      <c r="X282" s="588"/>
    </row>
    <row r="283" spans="1:24" s="589" customFormat="1" x14ac:dyDescent="0.25">
      <c r="A283" s="604"/>
      <c r="B283" s="662" t="s">
        <v>160</v>
      </c>
      <c r="C283" s="605"/>
      <c r="D283" s="605"/>
      <c r="E283" s="605"/>
      <c r="F283" s="605"/>
      <c r="G283" s="605"/>
      <c r="H283" s="761"/>
      <c r="I283" s="761"/>
      <c r="J283" s="761"/>
      <c r="K283" s="761"/>
      <c r="L283" s="761"/>
      <c r="M283" s="761"/>
      <c r="N283" s="761"/>
      <c r="O283" s="761"/>
      <c r="P283" s="761"/>
      <c r="Q283" s="761"/>
      <c r="R283" s="662">
        <v>0</v>
      </c>
      <c r="S283" s="760">
        <v>0</v>
      </c>
      <c r="T283" s="663">
        <v>0</v>
      </c>
      <c r="U283" s="760">
        <v>0</v>
      </c>
      <c r="V283" s="605"/>
      <c r="W283" s="607"/>
      <c r="X283" s="588"/>
    </row>
    <row r="284" spans="1:24" s="589" customFormat="1" x14ac:dyDescent="0.25">
      <c r="A284" s="604"/>
      <c r="B284" s="662"/>
      <c r="C284" s="605"/>
      <c r="D284" s="605"/>
      <c r="E284" s="605"/>
      <c r="F284" s="605"/>
      <c r="G284" s="605"/>
      <c r="H284" s="761"/>
      <c r="I284" s="761"/>
      <c r="J284" s="761"/>
      <c r="K284" s="761"/>
      <c r="L284" s="761"/>
      <c r="M284" s="761"/>
      <c r="N284" s="761"/>
      <c r="O284" s="761"/>
      <c r="P284" s="761"/>
      <c r="Q284" s="761"/>
      <c r="R284" s="662"/>
      <c r="S284" s="760"/>
      <c r="T284" s="663"/>
      <c r="U284" s="760"/>
      <c r="V284" s="605"/>
      <c r="W284" s="607"/>
      <c r="X284" s="588"/>
    </row>
    <row r="285" spans="1:24" s="589" customFormat="1" x14ac:dyDescent="0.25">
      <c r="A285" s="604"/>
      <c r="B285" s="605" t="s">
        <v>114</v>
      </c>
      <c r="C285" s="605"/>
      <c r="D285" s="605"/>
      <c r="E285" s="605"/>
      <c r="F285" s="605"/>
      <c r="G285" s="605"/>
      <c r="H285" s="761"/>
      <c r="I285" s="761"/>
      <c r="J285" s="761"/>
      <c r="K285" s="761"/>
      <c r="L285" s="761"/>
      <c r="M285" s="761"/>
      <c r="N285" s="761"/>
      <c r="O285" s="761"/>
      <c r="P285" s="761"/>
      <c r="Q285" s="761"/>
      <c r="R285" s="662">
        <f>SUM(R276:R283)</f>
        <v>1</v>
      </c>
      <c r="S285" s="760">
        <f>SUM(S276:S283)</f>
        <v>1</v>
      </c>
      <c r="T285" s="663">
        <f>SUM(T276:T283)</f>
        <v>30</v>
      </c>
      <c r="U285" s="760">
        <f>SUM(U276:U283)</f>
        <v>1</v>
      </c>
      <c r="V285" s="605"/>
      <c r="W285" s="607"/>
      <c r="X285" s="588"/>
    </row>
    <row r="286" spans="1:24" s="589" customFormat="1" x14ac:dyDescent="0.25">
      <c r="A286" s="604"/>
      <c r="B286" s="605"/>
      <c r="C286" s="605"/>
      <c r="D286" s="605"/>
      <c r="E286" s="605"/>
      <c r="F286" s="605"/>
      <c r="G286" s="605"/>
      <c r="H286" s="761"/>
      <c r="I286" s="761"/>
      <c r="J286" s="761"/>
      <c r="K286" s="761"/>
      <c r="L286" s="761"/>
      <c r="M286" s="761"/>
      <c r="N286" s="761"/>
      <c r="O286" s="761"/>
      <c r="P286" s="761"/>
      <c r="Q286" s="761"/>
      <c r="R286" s="662"/>
      <c r="S286" s="760"/>
      <c r="T286" s="663"/>
      <c r="U286" s="760"/>
      <c r="V286" s="605"/>
      <c r="W286" s="607"/>
      <c r="X286" s="588"/>
    </row>
    <row r="287" spans="1:24" s="589" customFormat="1" x14ac:dyDescent="0.25">
      <c r="A287" s="604"/>
      <c r="B287" s="610" t="s">
        <v>164</v>
      </c>
      <c r="C287" s="605"/>
      <c r="D287" s="605"/>
      <c r="E287" s="605"/>
      <c r="F287" s="605"/>
      <c r="G287" s="605"/>
      <c r="H287" s="761"/>
      <c r="I287" s="761"/>
      <c r="J287" s="761"/>
      <c r="K287" s="761"/>
      <c r="L287" s="761"/>
      <c r="M287" s="761"/>
      <c r="N287" s="761"/>
      <c r="O287" s="761"/>
      <c r="P287" s="761"/>
      <c r="Q287" s="761"/>
      <c r="R287" s="767">
        <f>R285+R273+R261</f>
        <v>4343</v>
      </c>
      <c r="S287" s="760"/>
      <c r="T287" s="768">
        <f>+T285+T273+T261</f>
        <v>592302</v>
      </c>
      <c r="U287" s="760"/>
      <c r="V287" s="605"/>
      <c r="W287" s="607"/>
      <c r="X287" s="588"/>
    </row>
    <row r="288" spans="1:24" s="589" customFormat="1" x14ac:dyDescent="0.25">
      <c r="A288" s="585"/>
      <c r="B288" s="602"/>
      <c r="C288" s="602"/>
      <c r="D288" s="602"/>
      <c r="E288" s="602"/>
      <c r="F288" s="602"/>
      <c r="G288" s="602"/>
      <c r="H288" s="766"/>
      <c r="I288" s="766"/>
      <c r="J288" s="766"/>
      <c r="K288" s="766"/>
      <c r="L288" s="766"/>
      <c r="M288" s="766"/>
      <c r="N288" s="766"/>
      <c r="O288" s="766"/>
      <c r="P288" s="766"/>
      <c r="Q288" s="766"/>
      <c r="R288" s="766"/>
      <c r="S288" s="766"/>
      <c r="T288" s="674"/>
      <c r="U288" s="766"/>
      <c r="V288" s="602"/>
      <c r="W288" s="602"/>
      <c r="X288" s="588"/>
    </row>
    <row r="289" spans="1:24" s="589" customFormat="1" x14ac:dyDescent="0.25">
      <c r="A289" s="585"/>
      <c r="B289" s="586"/>
      <c r="C289" s="586"/>
      <c r="D289" s="586"/>
      <c r="E289" s="586"/>
      <c r="F289" s="586"/>
      <c r="G289" s="586"/>
      <c r="H289" s="769"/>
      <c r="I289" s="769"/>
      <c r="J289" s="769"/>
      <c r="K289" s="769"/>
      <c r="L289" s="769"/>
      <c r="M289" s="769"/>
      <c r="N289" s="769"/>
      <c r="O289" s="769"/>
      <c r="P289" s="769"/>
      <c r="Q289" s="769"/>
      <c r="R289" s="769"/>
      <c r="S289" s="769"/>
      <c r="T289" s="770"/>
      <c r="U289" s="769"/>
      <c r="V289" s="586"/>
      <c r="W289" s="586"/>
      <c r="X289" s="588"/>
    </row>
    <row r="290" spans="1:24" s="589" customFormat="1" x14ac:dyDescent="0.25">
      <c r="A290" s="585"/>
      <c r="B290" s="584" t="s">
        <v>91</v>
      </c>
      <c r="C290" s="586"/>
      <c r="D290" s="586"/>
      <c r="E290" s="586"/>
      <c r="F290" s="592" t="s">
        <v>97</v>
      </c>
      <c r="G290" s="586"/>
      <c r="H290" s="584" t="s">
        <v>99</v>
      </c>
      <c r="I290" s="584"/>
      <c r="J290" s="584"/>
      <c r="K290" s="586"/>
      <c r="L290" s="586"/>
      <c r="M290" s="586"/>
      <c r="N290" s="586"/>
      <c r="O290" s="586"/>
      <c r="P290" s="586"/>
      <c r="Q290" s="586"/>
      <c r="R290" s="586"/>
      <c r="S290" s="586"/>
      <c r="T290" s="586"/>
      <c r="U290" s="586"/>
      <c r="V290" s="586"/>
      <c r="W290" s="586"/>
      <c r="X290" s="588"/>
    </row>
    <row r="291" spans="1:24" s="589" customFormat="1" x14ac:dyDescent="0.25">
      <c r="A291" s="585"/>
      <c r="B291" s="586"/>
      <c r="C291" s="586"/>
      <c r="D291" s="586"/>
      <c r="E291" s="586"/>
      <c r="F291" s="586"/>
      <c r="G291" s="586"/>
      <c r="H291" s="586"/>
      <c r="I291" s="586"/>
      <c r="J291" s="586"/>
      <c r="K291" s="586"/>
      <c r="L291" s="586"/>
      <c r="M291" s="586"/>
      <c r="N291" s="586"/>
      <c r="O291" s="586"/>
      <c r="P291" s="586"/>
      <c r="Q291" s="586"/>
      <c r="R291" s="586"/>
      <c r="S291" s="586"/>
      <c r="T291" s="586"/>
      <c r="U291" s="586"/>
      <c r="V291" s="586"/>
      <c r="W291" s="586"/>
      <c r="X291" s="588"/>
    </row>
    <row r="292" spans="1:24" s="589" customFormat="1" x14ac:dyDescent="0.25">
      <c r="A292" s="585"/>
      <c r="B292" s="584" t="s">
        <v>319</v>
      </c>
      <c r="C292" s="584"/>
      <c r="D292" s="584"/>
      <c r="E292" s="584"/>
      <c r="F292" s="771" t="s">
        <v>266</v>
      </c>
      <c r="G292" s="584"/>
      <c r="H292" s="584" t="s">
        <v>267</v>
      </c>
      <c r="I292" s="584"/>
      <c r="J292" s="584"/>
      <c r="K292" s="586"/>
      <c r="L292" s="586"/>
      <c r="M292" s="586"/>
      <c r="N292" s="586"/>
      <c r="O292" s="586"/>
      <c r="P292" s="586"/>
      <c r="Q292" s="586"/>
      <c r="R292" s="586"/>
      <c r="S292" s="586"/>
      <c r="T292" s="586"/>
      <c r="U292" s="586"/>
      <c r="V292" s="586"/>
      <c r="W292" s="586"/>
      <c r="X292" s="588"/>
    </row>
    <row r="293" spans="1:24" s="589" customFormat="1" x14ac:dyDescent="0.25">
      <c r="A293" s="585"/>
      <c r="B293" s="584" t="s">
        <v>320</v>
      </c>
      <c r="C293" s="584"/>
      <c r="D293" s="584"/>
      <c r="E293" s="584"/>
      <c r="F293" s="771" t="s">
        <v>147</v>
      </c>
      <c r="G293" s="584"/>
      <c r="H293" s="584" t="s">
        <v>153</v>
      </c>
      <c r="I293" s="584"/>
      <c r="J293" s="584"/>
      <c r="K293" s="586"/>
      <c r="L293" s="586"/>
      <c r="M293" s="586"/>
      <c r="N293" s="586"/>
      <c r="O293" s="586"/>
      <c r="P293" s="586"/>
      <c r="Q293" s="586"/>
      <c r="R293" s="586"/>
      <c r="S293" s="586"/>
      <c r="T293" s="586"/>
      <c r="U293" s="586"/>
      <c r="V293" s="586"/>
      <c r="W293" s="586"/>
      <c r="X293" s="588"/>
    </row>
    <row r="294" spans="1:24" s="589" customFormat="1" x14ac:dyDescent="0.25">
      <c r="A294" s="585"/>
      <c r="B294" s="584"/>
      <c r="C294" s="584"/>
      <c r="D294" s="584"/>
      <c r="E294" s="584"/>
      <c r="F294" s="584"/>
      <c r="G294" s="584"/>
      <c r="H294" s="586"/>
      <c r="I294" s="586"/>
      <c r="J294" s="586"/>
      <c r="K294" s="586"/>
      <c r="L294" s="586"/>
      <c r="M294" s="586"/>
      <c r="N294" s="586"/>
      <c r="O294" s="586"/>
      <c r="P294" s="586"/>
      <c r="Q294" s="586"/>
      <c r="R294" s="586"/>
      <c r="S294" s="586"/>
      <c r="T294" s="586"/>
      <c r="U294" s="586"/>
      <c r="V294" s="586"/>
      <c r="W294" s="586"/>
      <c r="X294" s="588"/>
    </row>
    <row r="295" spans="1:24" s="589" customFormat="1" x14ac:dyDescent="0.25">
      <c r="A295" s="585"/>
      <c r="B295" s="584"/>
      <c r="C295" s="584"/>
      <c r="D295" s="584"/>
      <c r="E295" s="584"/>
      <c r="F295" s="584"/>
      <c r="G295" s="584"/>
      <c r="H295" s="586"/>
      <c r="I295" s="586"/>
      <c r="J295" s="586"/>
      <c r="K295" s="586"/>
      <c r="L295" s="586"/>
      <c r="M295" s="586"/>
      <c r="N295" s="586"/>
      <c r="O295" s="586"/>
      <c r="P295" s="586"/>
      <c r="Q295" s="586"/>
      <c r="R295" s="586"/>
      <c r="S295" s="586"/>
      <c r="T295" s="586"/>
      <c r="U295" s="586"/>
      <c r="V295" s="586"/>
      <c r="W295" s="586"/>
      <c r="X295" s="588"/>
    </row>
    <row r="296" spans="1:24" s="589" customFormat="1" ht="19.5" thickBot="1" x14ac:dyDescent="0.35">
      <c r="A296" s="585"/>
      <c r="B296" s="772" t="str">
        <f>B201</f>
        <v>PM15 INVESTOR REPORT QUARTER ENDING NOVEMBER 2018</v>
      </c>
      <c r="C296" s="584"/>
      <c r="D296" s="584"/>
      <c r="E296" s="584"/>
      <c r="F296" s="584"/>
      <c r="G296" s="584"/>
      <c r="H296" s="586"/>
      <c r="I296" s="586"/>
      <c r="J296" s="586"/>
      <c r="K296" s="586"/>
      <c r="L296" s="586"/>
      <c r="M296" s="586"/>
      <c r="N296" s="586"/>
      <c r="O296" s="586"/>
      <c r="P296" s="586"/>
      <c r="Q296" s="586"/>
      <c r="R296" s="586"/>
      <c r="S296" s="586"/>
      <c r="T296" s="586"/>
      <c r="U296" s="586"/>
      <c r="V296" s="586"/>
      <c r="W296" s="586"/>
      <c r="X296" s="588"/>
    </row>
    <row r="297" spans="1:24" x14ac:dyDescent="0.25">
      <c r="A297" s="773"/>
      <c r="B297" s="773"/>
      <c r="C297" s="773"/>
      <c r="D297" s="773"/>
      <c r="E297" s="773"/>
      <c r="F297" s="773"/>
      <c r="G297" s="773"/>
      <c r="H297" s="773"/>
      <c r="I297" s="773"/>
      <c r="J297" s="773"/>
      <c r="K297" s="773"/>
      <c r="L297" s="773"/>
      <c r="M297" s="773"/>
      <c r="N297" s="773"/>
      <c r="O297" s="773"/>
      <c r="P297" s="773"/>
      <c r="Q297" s="773"/>
      <c r="R297" s="773"/>
      <c r="S297" s="773"/>
      <c r="T297" s="773"/>
      <c r="U297" s="773"/>
      <c r="V297" s="773"/>
      <c r="W297" s="773"/>
    </row>
  </sheetData>
  <hyperlinks>
    <hyperlink ref="I9" r:id="rId1" xr:uid="{00000000-0004-0000-2C00-000000000000}"/>
    <hyperlink ref="P237" r:id="rId2" xr:uid="{00000000-0004-0000-2C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5" max="14" man="1"/>
    <brk id="201" max="14" man="1"/>
  </rowBreaks>
  <drawing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1"/>
  </sheetPr>
  <dimension ref="A1:IV297"/>
  <sheetViews>
    <sheetView showGridLines="0" showOutlineSymbols="0" zoomScale="70" zoomScaleNormal="70" workbookViewId="0"/>
  </sheetViews>
  <sheetFormatPr defaultColWidth="9.6640625" defaultRowHeight="15.75" x14ac:dyDescent="0.25"/>
  <cols>
    <col min="1" max="1" width="4" style="573" customWidth="1"/>
    <col min="2" max="2" width="71.21875" style="573" customWidth="1"/>
    <col min="3" max="3" width="2.21875" style="573" customWidth="1"/>
    <col min="4" max="4" width="19.33203125" style="573" customWidth="1"/>
    <col min="5" max="5" width="2.21875" style="573" customWidth="1"/>
    <col min="6" max="6" width="25.109375" style="573" customWidth="1"/>
    <col min="7" max="7" width="2.21875" style="573" customWidth="1"/>
    <col min="8" max="8" width="16.21875" style="573" customWidth="1"/>
    <col min="9" max="9" width="2.88671875" style="573" customWidth="1"/>
    <col min="10" max="10" width="16.21875" style="573" customWidth="1"/>
    <col min="11" max="11" width="2.21875" style="573" customWidth="1"/>
    <col min="12" max="12" width="17.88671875" style="573" customWidth="1"/>
    <col min="13" max="13" width="2.33203125" style="573" customWidth="1"/>
    <col min="14" max="14" width="14.88671875" style="573" customWidth="1"/>
    <col min="15" max="15" width="2.33203125" style="573" customWidth="1"/>
    <col min="16" max="16" width="15.5546875" style="573" customWidth="1"/>
    <col min="17" max="17" width="2.21875" style="573" customWidth="1"/>
    <col min="18" max="18" width="15.5546875" style="573" customWidth="1"/>
    <col min="19" max="20" width="12.6640625" style="573" customWidth="1"/>
    <col min="21" max="21" width="7.77734375" style="573" customWidth="1"/>
    <col min="22" max="22" width="14.6640625" style="573" customWidth="1"/>
    <col min="23" max="23" width="11.77734375" style="573" customWidth="1"/>
    <col min="24" max="16384" width="9.6640625" style="573"/>
  </cols>
  <sheetData>
    <row r="1" spans="1:24" ht="21" x14ac:dyDescent="0.35">
      <c r="A1" s="569"/>
      <c r="B1" s="570" t="s">
        <v>237</v>
      </c>
      <c r="C1" s="571"/>
      <c r="D1" s="571"/>
      <c r="E1" s="571"/>
      <c r="F1" s="571"/>
      <c r="G1" s="571"/>
      <c r="H1" s="571"/>
      <c r="I1" s="571"/>
      <c r="J1" s="571"/>
      <c r="K1" s="571"/>
      <c r="L1" s="571"/>
      <c r="M1" s="571"/>
      <c r="N1" s="571"/>
      <c r="O1" s="571"/>
      <c r="P1" s="571"/>
      <c r="Q1" s="571"/>
      <c r="R1" s="571"/>
      <c r="S1" s="571"/>
      <c r="T1" s="571"/>
      <c r="U1" s="571"/>
      <c r="V1" s="571"/>
      <c r="W1" s="571"/>
      <c r="X1" s="572"/>
    </row>
    <row r="2" spans="1:24" x14ac:dyDescent="0.25">
      <c r="A2" s="574"/>
      <c r="B2" s="575"/>
      <c r="C2" s="576"/>
      <c r="D2" s="576"/>
      <c r="E2" s="576"/>
      <c r="F2" s="576"/>
      <c r="G2" s="576"/>
      <c r="H2" s="576"/>
      <c r="I2" s="576"/>
      <c r="J2" s="576"/>
      <c r="K2" s="576"/>
      <c r="L2" s="576"/>
      <c r="M2" s="576"/>
      <c r="N2" s="576"/>
      <c r="O2" s="576"/>
      <c r="P2" s="576"/>
      <c r="Q2" s="576"/>
      <c r="R2" s="576"/>
      <c r="S2" s="576"/>
      <c r="T2" s="576"/>
      <c r="U2" s="576"/>
      <c r="V2" s="576"/>
      <c r="W2" s="576"/>
      <c r="X2" s="572"/>
    </row>
    <row r="3" spans="1:24" x14ac:dyDescent="0.25">
      <c r="A3" s="577"/>
      <c r="B3" s="578" t="s">
        <v>238</v>
      </c>
      <c r="C3" s="576"/>
      <c r="D3" s="576"/>
      <c r="E3" s="576"/>
      <c r="F3" s="576"/>
      <c r="G3" s="576"/>
      <c r="H3" s="576"/>
      <c r="I3" s="576"/>
      <c r="J3" s="576"/>
      <c r="K3" s="576"/>
      <c r="L3" s="576"/>
      <c r="M3" s="576"/>
      <c r="N3" s="576"/>
      <c r="O3" s="576"/>
      <c r="P3" s="576"/>
      <c r="Q3" s="576"/>
      <c r="R3" s="576"/>
      <c r="S3" s="576"/>
      <c r="T3" s="576"/>
      <c r="U3" s="576"/>
      <c r="V3" s="576"/>
      <c r="W3" s="576"/>
      <c r="X3" s="572"/>
    </row>
    <row r="4" spans="1:24" x14ac:dyDescent="0.25">
      <c r="A4" s="574"/>
      <c r="B4" s="575"/>
      <c r="C4" s="576"/>
      <c r="D4" s="576"/>
      <c r="E4" s="576"/>
      <c r="F4" s="576"/>
      <c r="G4" s="576"/>
      <c r="H4" s="576"/>
      <c r="I4" s="576"/>
      <c r="J4" s="576"/>
      <c r="K4" s="576"/>
      <c r="L4" s="576"/>
      <c r="M4" s="576"/>
      <c r="N4" s="576"/>
      <c r="O4" s="576"/>
      <c r="P4" s="576"/>
      <c r="Q4" s="576"/>
      <c r="R4" s="576"/>
      <c r="S4" s="576"/>
      <c r="T4" s="576"/>
      <c r="U4" s="576"/>
      <c r="V4" s="576"/>
      <c r="W4" s="576"/>
      <c r="X4" s="572"/>
    </row>
    <row r="5" spans="1:24" x14ac:dyDescent="0.25">
      <c r="A5" s="574"/>
      <c r="B5" s="579" t="s">
        <v>137</v>
      </c>
      <c r="C5" s="576"/>
      <c r="D5" s="576"/>
      <c r="E5" s="576"/>
      <c r="F5" s="576"/>
      <c r="G5" s="576"/>
      <c r="H5" s="576"/>
      <c r="I5" s="576"/>
      <c r="J5" s="576"/>
      <c r="K5" s="576"/>
      <c r="L5" s="576"/>
      <c r="M5" s="576"/>
      <c r="N5" s="576"/>
      <c r="O5" s="576"/>
      <c r="P5" s="576"/>
      <c r="Q5" s="576"/>
      <c r="R5" s="576"/>
      <c r="S5" s="576"/>
      <c r="T5" s="576"/>
      <c r="U5" s="576"/>
      <c r="V5" s="576"/>
      <c r="W5" s="576"/>
      <c r="X5" s="572"/>
    </row>
    <row r="6" spans="1:24" x14ac:dyDescent="0.25">
      <c r="A6" s="574"/>
      <c r="B6" s="579" t="s">
        <v>139</v>
      </c>
      <c r="C6" s="576"/>
      <c r="D6" s="576"/>
      <c r="E6" s="576"/>
      <c r="F6" s="576"/>
      <c r="G6" s="576"/>
      <c r="H6" s="576"/>
      <c r="I6" s="576"/>
      <c r="J6" s="576"/>
      <c r="K6" s="576"/>
      <c r="L6" s="576"/>
      <c r="M6" s="576"/>
      <c r="N6" s="576"/>
      <c r="O6" s="576"/>
      <c r="P6" s="576"/>
      <c r="Q6" s="576"/>
      <c r="R6" s="576"/>
      <c r="S6" s="576"/>
      <c r="T6" s="576"/>
      <c r="U6" s="576"/>
      <c r="V6" s="576"/>
      <c r="W6" s="576"/>
      <c r="X6" s="572"/>
    </row>
    <row r="7" spans="1:24" x14ac:dyDescent="0.25">
      <c r="A7" s="574"/>
      <c r="B7" s="579" t="s">
        <v>138</v>
      </c>
      <c r="C7" s="576"/>
      <c r="D7" s="576"/>
      <c r="E7" s="576"/>
      <c r="F7" s="576"/>
      <c r="G7" s="576"/>
      <c r="H7" s="576"/>
      <c r="I7" s="576"/>
      <c r="J7" s="576"/>
      <c r="K7" s="576"/>
      <c r="L7" s="576"/>
      <c r="M7" s="576"/>
      <c r="N7" s="576"/>
      <c r="O7" s="576"/>
      <c r="P7" s="576"/>
      <c r="Q7" s="576"/>
      <c r="R7" s="576"/>
      <c r="S7" s="576"/>
      <c r="T7" s="576"/>
      <c r="U7" s="576"/>
      <c r="V7" s="576"/>
      <c r="W7" s="576"/>
      <c r="X7" s="572"/>
    </row>
    <row r="8" spans="1:24" x14ac:dyDescent="0.25">
      <c r="A8" s="574"/>
      <c r="B8" s="580"/>
      <c r="C8" s="576"/>
      <c r="D8" s="576"/>
      <c r="E8" s="576"/>
      <c r="F8" s="576"/>
      <c r="G8" s="576"/>
      <c r="H8" s="576"/>
      <c r="I8" s="576"/>
      <c r="J8" s="576"/>
      <c r="K8" s="576"/>
      <c r="L8" s="576"/>
      <c r="M8" s="576"/>
      <c r="N8" s="576"/>
      <c r="O8" s="576"/>
      <c r="P8" s="576"/>
      <c r="Q8" s="576"/>
      <c r="R8" s="576"/>
      <c r="S8" s="576"/>
      <c r="T8" s="576"/>
      <c r="U8" s="576"/>
      <c r="V8" s="576"/>
      <c r="W8" s="576"/>
      <c r="X8" s="572"/>
    </row>
    <row r="9" spans="1:24" ht="18.75" x14ac:dyDescent="0.3">
      <c r="A9" s="574"/>
      <c r="B9" s="581" t="s">
        <v>166</v>
      </c>
      <c r="C9" s="576"/>
      <c r="D9" s="576"/>
      <c r="E9" s="576"/>
      <c r="F9" s="576"/>
      <c r="G9" s="576"/>
      <c r="H9" s="576"/>
      <c r="I9" s="513" t="s">
        <v>341</v>
      </c>
      <c r="J9" s="576"/>
      <c r="K9" s="576"/>
      <c r="L9" s="582"/>
      <c r="M9" s="576"/>
      <c r="N9" s="582"/>
      <c r="O9" s="576"/>
      <c r="P9" s="576"/>
      <c r="Q9" s="576"/>
      <c r="R9" s="576"/>
      <c r="S9" s="576"/>
      <c r="T9" s="576"/>
      <c r="U9" s="576"/>
      <c r="V9" s="576"/>
      <c r="W9" s="576"/>
      <c r="X9" s="572"/>
    </row>
    <row r="10" spans="1:24" x14ac:dyDescent="0.25">
      <c r="A10" s="574"/>
      <c r="B10" s="580"/>
      <c r="C10" s="583"/>
      <c r="D10" s="583"/>
      <c r="E10" s="583"/>
      <c r="F10" s="576"/>
      <c r="G10" s="576"/>
      <c r="H10" s="576"/>
      <c r="I10" s="576"/>
      <c r="J10" s="576"/>
      <c r="K10" s="576"/>
      <c r="L10" s="576"/>
      <c r="M10" s="576"/>
      <c r="N10" s="576"/>
      <c r="O10" s="576"/>
      <c r="P10" s="576"/>
      <c r="Q10" s="576"/>
      <c r="R10" s="576"/>
      <c r="S10" s="576"/>
      <c r="T10" s="576"/>
      <c r="U10" s="576"/>
      <c r="V10" s="576"/>
      <c r="W10" s="576"/>
      <c r="X10" s="572"/>
    </row>
    <row r="11" spans="1:24" x14ac:dyDescent="0.25">
      <c r="A11" s="574"/>
      <c r="B11" s="584" t="s">
        <v>0</v>
      </c>
      <c r="C11" s="576"/>
      <c r="D11" s="576"/>
      <c r="E11" s="576"/>
      <c r="F11" s="576"/>
      <c r="G11" s="576"/>
      <c r="H11" s="576"/>
      <c r="I11" s="576"/>
      <c r="J11" s="576"/>
      <c r="K11" s="576"/>
      <c r="L11" s="576"/>
      <c r="M11" s="576"/>
      <c r="N11" s="576"/>
      <c r="O11" s="576"/>
      <c r="P11" s="576"/>
      <c r="Q11" s="576"/>
      <c r="R11" s="576"/>
      <c r="S11" s="576"/>
      <c r="T11" s="576"/>
      <c r="U11" s="576"/>
      <c r="V11" s="576"/>
      <c r="W11" s="576"/>
      <c r="X11" s="572"/>
    </row>
    <row r="12" spans="1:24" ht="16.5" thickBot="1" x14ac:dyDescent="0.3">
      <c r="A12" s="574"/>
      <c r="B12" s="583"/>
      <c r="C12" s="576"/>
      <c r="D12" s="576"/>
      <c r="E12" s="576"/>
      <c r="F12" s="576"/>
      <c r="G12" s="576"/>
      <c r="H12" s="576"/>
      <c r="I12" s="576"/>
      <c r="J12" s="576"/>
      <c r="K12" s="576"/>
      <c r="L12" s="576"/>
      <c r="M12" s="576"/>
      <c r="N12" s="576"/>
      <c r="O12" s="576"/>
      <c r="P12" s="576"/>
      <c r="Q12" s="576"/>
      <c r="R12" s="576"/>
      <c r="S12" s="576"/>
      <c r="T12" s="576"/>
      <c r="U12" s="576"/>
      <c r="V12" s="576"/>
      <c r="W12" s="576"/>
      <c r="X12" s="572"/>
    </row>
    <row r="13" spans="1:24" x14ac:dyDescent="0.25">
      <c r="A13" s="569"/>
      <c r="B13" s="571"/>
      <c r="C13" s="571"/>
      <c r="D13" s="571"/>
      <c r="E13" s="571"/>
      <c r="F13" s="571"/>
      <c r="G13" s="571"/>
      <c r="H13" s="571"/>
      <c r="I13" s="571"/>
      <c r="J13" s="571"/>
      <c r="K13" s="571"/>
      <c r="L13" s="571"/>
      <c r="M13" s="571"/>
      <c r="N13" s="571"/>
      <c r="O13" s="571"/>
      <c r="P13" s="571"/>
      <c r="Q13" s="571"/>
      <c r="R13" s="571"/>
      <c r="S13" s="571"/>
      <c r="T13" s="571"/>
      <c r="U13" s="571"/>
      <c r="V13" s="571"/>
      <c r="W13" s="571"/>
      <c r="X13" s="572"/>
    </row>
    <row r="14" spans="1:24" s="589" customFormat="1" x14ac:dyDescent="0.25">
      <c r="A14" s="585"/>
      <c r="B14" s="584" t="s">
        <v>1</v>
      </c>
      <c r="C14" s="586"/>
      <c r="D14" s="586"/>
      <c r="E14" s="586"/>
      <c r="F14" s="586"/>
      <c r="G14" s="586"/>
      <c r="H14" s="586"/>
      <c r="I14" s="586"/>
      <c r="J14" s="586"/>
      <c r="K14" s="586"/>
      <c r="L14" s="586"/>
      <c r="M14" s="586"/>
      <c r="N14" s="586"/>
      <c r="O14" s="586"/>
      <c r="P14" s="586"/>
      <c r="Q14" s="586"/>
      <c r="R14" s="586"/>
      <c r="S14" s="586"/>
      <c r="T14" s="586"/>
      <c r="U14" s="586"/>
      <c r="V14" s="587" t="s">
        <v>239</v>
      </c>
      <c r="W14" s="586"/>
      <c r="X14" s="588"/>
    </row>
    <row r="15" spans="1:24" s="589" customFormat="1" x14ac:dyDescent="0.25">
      <c r="A15" s="585"/>
      <c r="B15" s="584" t="s">
        <v>2</v>
      </c>
      <c r="C15" s="586"/>
      <c r="D15" s="586"/>
      <c r="E15" s="586"/>
      <c r="F15" s="586"/>
      <c r="G15" s="586"/>
      <c r="H15" s="590"/>
      <c r="I15" s="590"/>
      <c r="J15" s="590"/>
      <c r="K15" s="590"/>
      <c r="L15" s="590"/>
      <c r="M15" s="590"/>
      <c r="N15" s="590"/>
      <c r="O15" s="590"/>
      <c r="P15" s="590"/>
      <c r="Q15" s="590"/>
      <c r="R15" s="590" t="s">
        <v>104</v>
      </c>
      <c r="S15" s="591">
        <v>0.47189999999999999</v>
      </c>
      <c r="T15" s="592" t="s">
        <v>140</v>
      </c>
      <c r="U15" s="591">
        <v>0.52810000000000001</v>
      </c>
      <c r="V15" s="587"/>
      <c r="W15" s="586"/>
      <c r="X15" s="588"/>
    </row>
    <row r="16" spans="1:24" s="589" customFormat="1" x14ac:dyDescent="0.25">
      <c r="A16" s="585"/>
      <c r="B16" s="584" t="s">
        <v>3</v>
      </c>
      <c r="C16" s="586"/>
      <c r="D16" s="586"/>
      <c r="E16" s="586"/>
      <c r="F16" s="586"/>
      <c r="G16" s="586"/>
      <c r="H16" s="590"/>
      <c r="I16" s="590"/>
      <c r="J16" s="590"/>
      <c r="K16" s="590"/>
      <c r="L16" s="590"/>
      <c r="M16" s="590"/>
      <c r="N16" s="590"/>
      <c r="O16" s="590"/>
      <c r="P16" s="590"/>
      <c r="Q16" s="590"/>
      <c r="R16" s="590" t="s">
        <v>104</v>
      </c>
      <c r="S16" s="591">
        <v>0.57899999999999996</v>
      </c>
      <c r="T16" s="592" t="s">
        <v>140</v>
      </c>
      <c r="U16" s="591">
        <v>0.42099999999999999</v>
      </c>
      <c r="V16" s="587"/>
      <c r="W16" s="586"/>
      <c r="X16" s="588"/>
    </row>
    <row r="17" spans="1:24" s="589" customFormat="1" x14ac:dyDescent="0.25">
      <c r="A17" s="585"/>
      <c r="B17" s="584" t="s">
        <v>4</v>
      </c>
      <c r="C17" s="586"/>
      <c r="D17" s="586"/>
      <c r="E17" s="586"/>
      <c r="F17" s="586"/>
      <c r="G17" s="586"/>
      <c r="H17" s="586"/>
      <c r="I17" s="586"/>
      <c r="J17" s="586"/>
      <c r="K17" s="586"/>
      <c r="L17" s="586"/>
      <c r="M17" s="586"/>
      <c r="N17" s="586"/>
      <c r="O17" s="586"/>
      <c r="P17" s="586"/>
      <c r="Q17" s="586"/>
      <c r="R17" s="586"/>
      <c r="S17" s="586"/>
      <c r="T17" s="586"/>
      <c r="U17" s="586"/>
      <c r="V17" s="593">
        <v>39282</v>
      </c>
      <c r="W17" s="586"/>
      <c r="X17" s="588"/>
    </row>
    <row r="18" spans="1:24" s="589" customFormat="1" x14ac:dyDescent="0.25">
      <c r="A18" s="585"/>
      <c r="B18" s="584" t="s">
        <v>5</v>
      </c>
      <c r="C18" s="586"/>
      <c r="D18" s="586"/>
      <c r="E18" s="586"/>
      <c r="F18" s="586"/>
      <c r="G18" s="586"/>
      <c r="H18" s="586"/>
      <c r="I18" s="586"/>
      <c r="J18" s="586"/>
      <c r="K18" s="586"/>
      <c r="L18" s="586"/>
      <c r="M18" s="586"/>
      <c r="N18" s="586"/>
      <c r="O18" s="586"/>
      <c r="P18" s="586"/>
      <c r="Q18" s="586"/>
      <c r="R18" s="586"/>
      <c r="S18" s="586"/>
      <c r="T18" s="586"/>
      <c r="U18" s="586"/>
      <c r="V18" s="593">
        <v>43542</v>
      </c>
      <c r="W18" s="586"/>
      <c r="X18" s="588"/>
    </row>
    <row r="19" spans="1:24" s="589" customFormat="1" x14ac:dyDescent="0.25">
      <c r="A19" s="585"/>
      <c r="B19" s="586"/>
      <c r="C19" s="586"/>
      <c r="D19" s="586"/>
      <c r="E19" s="586"/>
      <c r="F19" s="586"/>
      <c r="G19" s="586"/>
      <c r="H19" s="586"/>
      <c r="I19" s="586"/>
      <c r="J19" s="586"/>
      <c r="K19" s="586"/>
      <c r="L19" s="586"/>
      <c r="M19" s="586"/>
      <c r="N19" s="586"/>
      <c r="O19" s="586"/>
      <c r="P19" s="586"/>
      <c r="Q19" s="586"/>
      <c r="R19" s="586"/>
      <c r="S19" s="586"/>
      <c r="T19" s="586"/>
      <c r="U19" s="586"/>
      <c r="V19" s="594"/>
      <c r="W19" s="586"/>
      <c r="X19" s="588"/>
    </row>
    <row r="20" spans="1:24" s="589" customFormat="1" x14ac:dyDescent="0.25">
      <c r="A20" s="585"/>
      <c r="B20" s="595" t="s">
        <v>6</v>
      </c>
      <c r="C20" s="586"/>
      <c r="D20" s="586"/>
      <c r="E20" s="586"/>
      <c r="F20" s="586"/>
      <c r="G20" s="586"/>
      <c r="H20" s="586"/>
      <c r="I20" s="586"/>
      <c r="J20" s="586"/>
      <c r="K20" s="586"/>
      <c r="L20" s="586"/>
      <c r="M20" s="586"/>
      <c r="N20" s="586"/>
      <c r="O20" s="586"/>
      <c r="P20" s="586"/>
      <c r="Q20" s="586"/>
      <c r="R20" s="586"/>
      <c r="S20" s="586"/>
      <c r="T20" s="594" t="s">
        <v>105</v>
      </c>
      <c r="U20" s="586"/>
      <c r="V20" s="586"/>
      <c r="W20" s="586"/>
      <c r="X20" s="588"/>
    </row>
    <row r="21" spans="1:24" x14ac:dyDescent="0.25">
      <c r="A21" s="574"/>
      <c r="B21" s="576"/>
      <c r="C21" s="576"/>
      <c r="D21" s="576"/>
      <c r="E21" s="576"/>
      <c r="F21" s="576"/>
      <c r="G21" s="576"/>
      <c r="H21" s="576"/>
      <c r="I21" s="576"/>
      <c r="J21" s="576"/>
      <c r="K21" s="576"/>
      <c r="L21" s="576"/>
      <c r="M21" s="576"/>
      <c r="N21" s="576"/>
      <c r="O21" s="576"/>
      <c r="P21" s="576"/>
      <c r="Q21" s="576"/>
      <c r="R21" s="576"/>
      <c r="S21" s="576"/>
      <c r="T21" s="576"/>
      <c r="U21" s="576"/>
      <c r="V21" s="596"/>
      <c r="W21" s="576"/>
      <c r="X21" s="572"/>
    </row>
    <row r="22" spans="1:24" x14ac:dyDescent="0.25">
      <c r="A22" s="597"/>
      <c r="B22" s="598"/>
      <c r="C22" s="599"/>
      <c r="D22" s="599" t="s">
        <v>177</v>
      </c>
      <c r="E22" s="599"/>
      <c r="F22" s="599" t="s">
        <v>178</v>
      </c>
      <c r="G22" s="599"/>
      <c r="H22" s="599" t="s">
        <v>179</v>
      </c>
      <c r="I22" s="599"/>
      <c r="J22" s="599" t="s">
        <v>219</v>
      </c>
      <c r="K22" s="599"/>
      <c r="L22" s="599" t="s">
        <v>180</v>
      </c>
      <c r="M22" s="599"/>
      <c r="N22" s="599" t="s">
        <v>181</v>
      </c>
      <c r="O22" s="599"/>
      <c r="P22" s="599" t="s">
        <v>182</v>
      </c>
      <c r="Q22" s="599"/>
      <c r="R22" s="599"/>
      <c r="S22" s="600"/>
      <c r="T22" s="600"/>
      <c r="U22" s="598"/>
      <c r="V22" s="598"/>
      <c r="W22" s="601"/>
      <c r="X22" s="572"/>
    </row>
    <row r="23" spans="1:24" s="589" customFormat="1" x14ac:dyDescent="0.25">
      <c r="A23" s="585"/>
      <c r="B23" s="602" t="s">
        <v>7</v>
      </c>
      <c r="C23" s="603"/>
      <c r="D23" s="603" t="s">
        <v>212</v>
      </c>
      <c r="E23" s="603"/>
      <c r="F23" s="603" t="s">
        <v>141</v>
      </c>
      <c r="G23" s="603"/>
      <c r="H23" s="603" t="s">
        <v>141</v>
      </c>
      <c r="I23" s="603"/>
      <c r="J23" s="603" t="s">
        <v>141</v>
      </c>
      <c r="K23" s="603"/>
      <c r="L23" s="603" t="s">
        <v>183</v>
      </c>
      <c r="M23" s="603"/>
      <c r="N23" s="603" t="s">
        <v>183</v>
      </c>
      <c r="O23" s="603"/>
      <c r="P23" s="603" t="s">
        <v>142</v>
      </c>
      <c r="Q23" s="603"/>
      <c r="R23" s="603"/>
      <c r="S23" s="603"/>
      <c r="T23" s="603"/>
      <c r="U23" s="602"/>
      <c r="V23" s="602"/>
      <c r="W23" s="602"/>
      <c r="X23" s="588"/>
    </row>
    <row r="24" spans="1:24" s="589" customFormat="1" x14ac:dyDescent="0.25">
      <c r="A24" s="604"/>
      <c r="B24" s="605" t="s">
        <v>8</v>
      </c>
      <c r="C24" s="606"/>
      <c r="D24" s="606" t="s">
        <v>213</v>
      </c>
      <c r="E24" s="606"/>
      <c r="F24" s="606" t="s">
        <v>143</v>
      </c>
      <c r="G24" s="606"/>
      <c r="H24" s="606" t="s">
        <v>143</v>
      </c>
      <c r="I24" s="606"/>
      <c r="J24" s="606" t="s">
        <v>143</v>
      </c>
      <c r="K24" s="606"/>
      <c r="L24" s="606" t="s">
        <v>165</v>
      </c>
      <c r="M24" s="606"/>
      <c r="N24" s="606" t="s">
        <v>165</v>
      </c>
      <c r="O24" s="606"/>
      <c r="P24" s="606" t="s">
        <v>144</v>
      </c>
      <c r="Q24" s="606"/>
      <c r="R24" s="606"/>
      <c r="S24" s="606"/>
      <c r="T24" s="606"/>
      <c r="U24" s="605"/>
      <c r="V24" s="605"/>
      <c r="W24" s="607"/>
      <c r="X24" s="588"/>
    </row>
    <row r="25" spans="1:24" s="589" customFormat="1" x14ac:dyDescent="0.25">
      <c r="A25" s="608"/>
      <c r="B25" s="605" t="s">
        <v>190</v>
      </c>
      <c r="C25" s="609"/>
      <c r="D25" s="606" t="s">
        <v>214</v>
      </c>
      <c r="E25" s="606"/>
      <c r="F25" s="606" t="s">
        <v>143</v>
      </c>
      <c r="G25" s="606"/>
      <c r="H25" s="606" t="s">
        <v>143</v>
      </c>
      <c r="I25" s="606"/>
      <c r="J25" s="606" t="s">
        <v>143</v>
      </c>
      <c r="K25" s="606"/>
      <c r="L25" s="606" t="s">
        <v>165</v>
      </c>
      <c r="M25" s="606"/>
      <c r="N25" s="606" t="s">
        <v>165</v>
      </c>
      <c r="O25" s="606"/>
      <c r="P25" s="606" t="s">
        <v>144</v>
      </c>
      <c r="Q25" s="606"/>
      <c r="R25" s="606"/>
      <c r="S25" s="609"/>
      <c r="T25" s="606"/>
      <c r="U25" s="605"/>
      <c r="V25" s="605"/>
      <c r="W25" s="607"/>
      <c r="X25" s="588"/>
    </row>
    <row r="26" spans="1:24" s="589" customFormat="1" x14ac:dyDescent="0.25">
      <c r="A26" s="608"/>
      <c r="B26" s="610" t="s">
        <v>9</v>
      </c>
      <c r="C26" s="609"/>
      <c r="D26" s="609" t="s">
        <v>141</v>
      </c>
      <c r="E26" s="609"/>
      <c r="F26" s="609" t="s">
        <v>141</v>
      </c>
      <c r="G26" s="609"/>
      <c r="H26" s="609" t="s">
        <v>141</v>
      </c>
      <c r="I26" s="609"/>
      <c r="J26" s="609" t="s">
        <v>141</v>
      </c>
      <c r="K26" s="609"/>
      <c r="L26" s="609" t="s">
        <v>183</v>
      </c>
      <c r="M26" s="609"/>
      <c r="N26" s="609" t="s">
        <v>183</v>
      </c>
      <c r="O26" s="609"/>
      <c r="P26" s="609" t="s">
        <v>142</v>
      </c>
      <c r="Q26" s="609"/>
      <c r="R26" s="609"/>
      <c r="S26" s="609"/>
      <c r="T26" s="606"/>
      <c r="U26" s="605"/>
      <c r="V26" s="605"/>
      <c r="W26" s="607"/>
      <c r="X26" s="588"/>
    </row>
    <row r="27" spans="1:24" s="589" customFormat="1" x14ac:dyDescent="0.25">
      <c r="A27" s="604"/>
      <c r="B27" s="610" t="s">
        <v>191</v>
      </c>
      <c r="C27" s="606"/>
      <c r="D27" s="609" t="s">
        <v>143</v>
      </c>
      <c r="E27" s="609"/>
      <c r="F27" s="609" t="s">
        <v>143</v>
      </c>
      <c r="G27" s="609"/>
      <c r="H27" s="609" t="s">
        <v>143</v>
      </c>
      <c r="I27" s="609"/>
      <c r="J27" s="609" t="s">
        <v>143</v>
      </c>
      <c r="K27" s="609"/>
      <c r="L27" s="609" t="s">
        <v>165</v>
      </c>
      <c r="M27" s="609"/>
      <c r="N27" s="609" t="s">
        <v>165</v>
      </c>
      <c r="O27" s="609"/>
      <c r="P27" s="609" t="s">
        <v>330</v>
      </c>
      <c r="Q27" s="609"/>
      <c r="R27" s="609"/>
      <c r="S27" s="606"/>
      <c r="T27" s="611"/>
      <c r="U27" s="605"/>
      <c r="V27" s="605"/>
      <c r="W27" s="607"/>
      <c r="X27" s="588"/>
    </row>
    <row r="28" spans="1:24" s="589" customFormat="1" x14ac:dyDescent="0.25">
      <c r="A28" s="604"/>
      <c r="B28" s="610" t="s">
        <v>192</v>
      </c>
      <c r="C28" s="606"/>
      <c r="D28" s="609" t="s">
        <v>143</v>
      </c>
      <c r="E28" s="609"/>
      <c r="F28" s="609" t="s">
        <v>143</v>
      </c>
      <c r="G28" s="609"/>
      <c r="H28" s="609" t="s">
        <v>143</v>
      </c>
      <c r="I28" s="609"/>
      <c r="J28" s="609" t="s">
        <v>143</v>
      </c>
      <c r="K28" s="609"/>
      <c r="L28" s="609" t="s">
        <v>143</v>
      </c>
      <c r="M28" s="609"/>
      <c r="N28" s="609" t="s">
        <v>143</v>
      </c>
      <c r="O28" s="609"/>
      <c r="P28" s="609" t="s">
        <v>330</v>
      </c>
      <c r="Q28" s="609"/>
      <c r="R28" s="609"/>
      <c r="S28" s="606"/>
      <c r="T28" s="611"/>
      <c r="U28" s="605"/>
      <c r="V28" s="605"/>
      <c r="W28" s="607"/>
      <c r="X28" s="588"/>
    </row>
    <row r="29" spans="1:24" s="589" customFormat="1" x14ac:dyDescent="0.25">
      <c r="A29" s="604"/>
      <c r="B29" s="605" t="s">
        <v>10</v>
      </c>
      <c r="C29" s="612"/>
      <c r="D29" s="606" t="s">
        <v>242</v>
      </c>
      <c r="E29" s="606"/>
      <c r="F29" s="611" t="s">
        <v>244</v>
      </c>
      <c r="G29" s="606"/>
      <c r="H29" s="606" t="s">
        <v>245</v>
      </c>
      <c r="I29" s="606"/>
      <c r="J29" s="606" t="s">
        <v>247</v>
      </c>
      <c r="K29" s="606"/>
      <c r="L29" s="606" t="s">
        <v>248</v>
      </c>
      <c r="M29" s="606"/>
      <c r="N29" s="606" t="s">
        <v>249</v>
      </c>
      <c r="O29" s="606"/>
      <c r="P29" s="606" t="s">
        <v>250</v>
      </c>
      <c r="Q29" s="606"/>
      <c r="R29" s="606"/>
      <c r="S29" s="613"/>
      <c r="T29" s="613"/>
      <c r="U29" s="612"/>
      <c r="V29" s="613"/>
      <c r="W29" s="614"/>
      <c r="X29" s="588"/>
    </row>
    <row r="30" spans="1:24" s="589" customFormat="1" x14ac:dyDescent="0.25">
      <c r="A30" s="604"/>
      <c r="B30" s="605" t="s">
        <v>10</v>
      </c>
      <c r="C30" s="612"/>
      <c r="D30" s="606" t="s">
        <v>243</v>
      </c>
      <c r="E30" s="606"/>
      <c r="F30" s="611" t="s">
        <v>118</v>
      </c>
      <c r="G30" s="606"/>
      <c r="H30" s="606" t="s">
        <v>118</v>
      </c>
      <c r="I30" s="606"/>
      <c r="J30" s="606" t="s">
        <v>246</v>
      </c>
      <c r="K30" s="606"/>
      <c r="L30" s="606" t="s">
        <v>118</v>
      </c>
      <c r="M30" s="606"/>
      <c r="N30" s="606" t="s">
        <v>118</v>
      </c>
      <c r="O30" s="606"/>
      <c r="P30" s="606" t="s">
        <v>118</v>
      </c>
      <c r="Q30" s="606"/>
      <c r="R30" s="606"/>
      <c r="S30" s="613"/>
      <c r="T30" s="613"/>
      <c r="U30" s="612"/>
      <c r="V30" s="613"/>
      <c r="W30" s="614"/>
      <c r="X30" s="588"/>
    </row>
    <row r="31" spans="1:24" s="589" customFormat="1" x14ac:dyDescent="0.25">
      <c r="A31" s="608"/>
      <c r="B31" s="605" t="s">
        <v>133</v>
      </c>
      <c r="C31" s="615"/>
      <c r="D31" s="616">
        <v>1000000</v>
      </c>
      <c r="E31" s="612"/>
      <c r="F31" s="613">
        <v>209500</v>
      </c>
      <c r="G31" s="613"/>
      <c r="H31" s="617">
        <v>110000</v>
      </c>
      <c r="I31" s="617"/>
      <c r="J31" s="616">
        <v>150000</v>
      </c>
      <c r="K31" s="613"/>
      <c r="L31" s="613">
        <v>17000</v>
      </c>
      <c r="M31" s="613"/>
      <c r="N31" s="617">
        <v>85500</v>
      </c>
      <c r="O31" s="613"/>
      <c r="P31" s="617">
        <v>110500</v>
      </c>
      <c r="Q31" s="613"/>
      <c r="R31" s="617"/>
      <c r="S31" s="618"/>
      <c r="T31" s="618"/>
      <c r="U31" s="615"/>
      <c r="V31" s="618"/>
      <c r="W31" s="614"/>
      <c r="X31" s="588"/>
    </row>
    <row r="32" spans="1:24" s="589" customFormat="1" x14ac:dyDescent="0.25">
      <c r="A32" s="604"/>
      <c r="B32" s="605" t="s">
        <v>132</v>
      </c>
      <c r="C32" s="612"/>
      <c r="D32" s="616">
        <f>D31*D38</f>
        <v>519626.00000000006</v>
      </c>
      <c r="E32" s="612"/>
      <c r="F32" s="613">
        <f>F31*F38</f>
        <v>108862.1079</v>
      </c>
      <c r="G32" s="613"/>
      <c r="H32" s="617">
        <f>H31*H38</f>
        <v>57160.180000000008</v>
      </c>
      <c r="I32" s="617"/>
      <c r="J32" s="616">
        <f>J31*J38</f>
        <v>77943.900000000009</v>
      </c>
      <c r="K32" s="613"/>
      <c r="L32" s="613">
        <f>L31*L38</f>
        <v>17000</v>
      </c>
      <c r="M32" s="613"/>
      <c r="N32" s="617">
        <f>N31*N38</f>
        <v>85500</v>
      </c>
      <c r="O32" s="613"/>
      <c r="P32" s="617">
        <f>P31*P38</f>
        <v>110500</v>
      </c>
      <c r="Q32" s="613"/>
      <c r="R32" s="617"/>
      <c r="S32" s="613"/>
      <c r="T32" s="613"/>
      <c r="U32" s="612"/>
      <c r="V32" s="613"/>
      <c r="W32" s="614"/>
      <c r="X32" s="588"/>
    </row>
    <row r="33" spans="1:27" s="589" customFormat="1" x14ac:dyDescent="0.25">
      <c r="A33" s="604"/>
      <c r="B33" s="610" t="s">
        <v>134</v>
      </c>
      <c r="C33" s="612"/>
      <c r="D33" s="619">
        <f>D37*D31</f>
        <v>505907.69999999995</v>
      </c>
      <c r="E33" s="615"/>
      <c r="F33" s="618">
        <f>F37*F31</f>
        <v>105988.14499999999</v>
      </c>
      <c r="G33" s="618"/>
      <c r="H33" s="620">
        <f>H31*H37</f>
        <v>55651.200000000004</v>
      </c>
      <c r="I33" s="620"/>
      <c r="J33" s="619">
        <f>J37*J31</f>
        <v>75886.154999999999</v>
      </c>
      <c r="K33" s="618"/>
      <c r="L33" s="618">
        <f>L31*L37</f>
        <v>17000</v>
      </c>
      <c r="M33" s="618"/>
      <c r="N33" s="620">
        <f>N31*N37</f>
        <v>85500</v>
      </c>
      <c r="O33" s="618"/>
      <c r="P33" s="620">
        <f>P31*P37</f>
        <v>110500</v>
      </c>
      <c r="Q33" s="618"/>
      <c r="R33" s="620"/>
      <c r="S33" s="613"/>
      <c r="T33" s="613"/>
      <c r="U33" s="612"/>
      <c r="V33" s="613"/>
      <c r="W33" s="614"/>
      <c r="X33" s="588"/>
    </row>
    <row r="34" spans="1:27" s="589" customFormat="1" x14ac:dyDescent="0.25">
      <c r="A34" s="608"/>
      <c r="B34" s="605" t="s">
        <v>286</v>
      </c>
      <c r="C34" s="615"/>
      <c r="D34" s="613">
        <v>492951</v>
      </c>
      <c r="E34" s="612"/>
      <c r="F34" s="613">
        <v>209500</v>
      </c>
      <c r="G34" s="613"/>
      <c r="H34" s="613">
        <v>74677</v>
      </c>
      <c r="I34" s="613"/>
      <c r="J34" s="613">
        <v>73943</v>
      </c>
      <c r="K34" s="613"/>
      <c r="L34" s="613">
        <v>17000</v>
      </c>
      <c r="M34" s="613"/>
      <c r="N34" s="613">
        <v>58045</v>
      </c>
      <c r="O34" s="613"/>
      <c r="P34" s="613">
        <v>75017</v>
      </c>
      <c r="Q34" s="613"/>
      <c r="R34" s="613"/>
      <c r="S34" s="618"/>
      <c r="T34" s="618"/>
      <c r="U34" s="615"/>
      <c r="V34" s="613">
        <f>SUM(C34:R34)</f>
        <v>1001133</v>
      </c>
      <c r="W34" s="614"/>
      <c r="X34" s="588"/>
    </row>
    <row r="35" spans="1:27" s="589" customFormat="1" x14ac:dyDescent="0.25">
      <c r="A35" s="608"/>
      <c r="B35" s="605" t="s">
        <v>287</v>
      </c>
      <c r="C35" s="615"/>
      <c r="D35" s="613">
        <f>D34*D38</f>
        <v>256150.15632600003</v>
      </c>
      <c r="E35" s="612"/>
      <c r="F35" s="613">
        <f>F34*F38</f>
        <v>108862.1079</v>
      </c>
      <c r="G35" s="613"/>
      <c r="H35" s="613">
        <f>H34*H38</f>
        <v>38805.006926000002</v>
      </c>
      <c r="I35" s="613"/>
      <c r="J35" s="613">
        <f>J34*J38</f>
        <v>38422.705318</v>
      </c>
      <c r="K35" s="613"/>
      <c r="L35" s="613">
        <f>L34*L38</f>
        <v>17000</v>
      </c>
      <c r="M35" s="613"/>
      <c r="N35" s="613">
        <f>N34*N38</f>
        <v>58045</v>
      </c>
      <c r="O35" s="613"/>
      <c r="P35" s="613">
        <f>P34*P38</f>
        <v>75017</v>
      </c>
      <c r="Q35" s="613"/>
      <c r="R35" s="613"/>
      <c r="S35" s="613"/>
      <c r="T35" s="613"/>
      <c r="U35" s="612"/>
      <c r="V35" s="613">
        <f>SUM(C35:R35)</f>
        <v>592301.97647000011</v>
      </c>
      <c r="W35" s="614"/>
      <c r="X35" s="588"/>
    </row>
    <row r="36" spans="1:27" s="589" customFormat="1" x14ac:dyDescent="0.25">
      <c r="A36" s="608"/>
      <c r="B36" s="610" t="s">
        <v>288</v>
      </c>
      <c r="C36" s="615"/>
      <c r="D36" s="618">
        <f>D34*D37</f>
        <v>249387.70662269997</v>
      </c>
      <c r="E36" s="615"/>
      <c r="F36" s="618">
        <f>F34*F37</f>
        <v>105988.14499999999</v>
      </c>
      <c r="G36" s="618"/>
      <c r="H36" s="618">
        <f>H34*H37</f>
        <v>37780.58784</v>
      </c>
      <c r="I36" s="618"/>
      <c r="J36" s="618">
        <f>J34*J37</f>
        <v>37408.333061099998</v>
      </c>
      <c r="K36" s="618"/>
      <c r="L36" s="618">
        <f>L34*L37</f>
        <v>17000</v>
      </c>
      <c r="M36" s="618"/>
      <c r="N36" s="618">
        <f>N34*N37</f>
        <v>58045</v>
      </c>
      <c r="O36" s="618"/>
      <c r="P36" s="618">
        <f>P34*P37</f>
        <v>75017</v>
      </c>
      <c r="Q36" s="618"/>
      <c r="R36" s="618"/>
      <c r="S36" s="621"/>
      <c r="T36" s="621"/>
      <c r="U36" s="612"/>
      <c r="V36" s="618">
        <f>SUM(C36:R36)</f>
        <v>580626.77252379991</v>
      </c>
      <c r="W36" s="614"/>
      <c r="X36" s="588"/>
    </row>
    <row r="37" spans="1:27" s="629" customFormat="1" x14ac:dyDescent="0.25">
      <c r="A37" s="622"/>
      <c r="B37" s="623" t="s">
        <v>130</v>
      </c>
      <c r="C37" s="624"/>
      <c r="D37" s="625">
        <v>0.50590769999999996</v>
      </c>
      <c r="E37" s="625"/>
      <c r="F37" s="625">
        <v>0.50590999999999997</v>
      </c>
      <c r="G37" s="625"/>
      <c r="H37" s="625">
        <v>0.50592000000000004</v>
      </c>
      <c r="I37" s="625"/>
      <c r="J37" s="625">
        <v>0.50590769999999996</v>
      </c>
      <c r="K37" s="625"/>
      <c r="L37" s="625">
        <v>1</v>
      </c>
      <c r="M37" s="625"/>
      <c r="N37" s="625">
        <v>1</v>
      </c>
      <c r="O37" s="625"/>
      <c r="P37" s="625">
        <v>1</v>
      </c>
      <c r="Q37" s="625"/>
      <c r="R37" s="625"/>
      <c r="S37" s="626"/>
      <c r="T37" s="626"/>
      <c r="U37" s="624"/>
      <c r="V37" s="624"/>
      <c r="W37" s="627"/>
      <c r="X37" s="628"/>
    </row>
    <row r="38" spans="1:27" s="629" customFormat="1" x14ac:dyDescent="0.25">
      <c r="A38" s="622"/>
      <c r="B38" s="623" t="s">
        <v>131</v>
      </c>
      <c r="C38" s="624"/>
      <c r="D38" s="625">
        <v>0.51962600000000003</v>
      </c>
      <c r="E38" s="625"/>
      <c r="F38" s="625">
        <v>0.51962819999999998</v>
      </c>
      <c r="G38" s="625"/>
      <c r="H38" s="625">
        <v>0.51963800000000004</v>
      </c>
      <c r="I38" s="625"/>
      <c r="J38" s="625">
        <v>0.51962600000000003</v>
      </c>
      <c r="K38" s="625"/>
      <c r="L38" s="625">
        <v>1</v>
      </c>
      <c r="M38" s="625"/>
      <c r="N38" s="625">
        <v>1</v>
      </c>
      <c r="O38" s="625"/>
      <c r="P38" s="625">
        <v>1</v>
      </c>
      <c r="Q38" s="625"/>
      <c r="R38" s="625"/>
      <c r="S38" s="630"/>
      <c r="T38" s="631"/>
      <c r="U38" s="624"/>
      <c r="V38" s="630"/>
      <c r="W38" s="627"/>
      <c r="X38" s="628"/>
    </row>
    <row r="39" spans="1:27" s="629" customFormat="1" x14ac:dyDescent="0.25">
      <c r="A39" s="622"/>
      <c r="B39" s="624" t="s">
        <v>11</v>
      </c>
      <c r="C39" s="624"/>
      <c r="D39" s="626" t="s">
        <v>304</v>
      </c>
      <c r="E39" s="624"/>
      <c r="F39" s="626" t="s">
        <v>256</v>
      </c>
      <c r="G39" s="626"/>
      <c r="H39" s="626" t="s">
        <v>257</v>
      </c>
      <c r="I39" s="626"/>
      <c r="J39" s="626" t="s">
        <v>258</v>
      </c>
      <c r="K39" s="626"/>
      <c r="L39" s="626" t="s">
        <v>259</v>
      </c>
      <c r="M39" s="626"/>
      <c r="N39" s="626" t="s">
        <v>259</v>
      </c>
      <c r="O39" s="626"/>
      <c r="P39" s="626" t="s">
        <v>260</v>
      </c>
      <c r="Q39" s="626"/>
      <c r="R39" s="626"/>
      <c r="S39" s="630"/>
      <c r="T39" s="631"/>
      <c r="U39" s="624"/>
      <c r="V39" s="624"/>
      <c r="W39" s="627"/>
      <c r="X39" s="628"/>
    </row>
    <row r="40" spans="1:27" s="589" customFormat="1" x14ac:dyDescent="0.25">
      <c r="A40" s="604"/>
      <c r="B40" s="605" t="s">
        <v>12</v>
      </c>
      <c r="C40" s="605"/>
      <c r="D40" s="632">
        <v>2.6687499999999999E-2</v>
      </c>
      <c r="E40" s="605"/>
      <c r="F40" s="632">
        <v>1.16638E-2</v>
      </c>
      <c r="G40" s="633"/>
      <c r="H40" s="632">
        <v>0</v>
      </c>
      <c r="I40" s="632"/>
      <c r="J40" s="632">
        <v>3.0081900000000002E-2</v>
      </c>
      <c r="K40" s="633"/>
      <c r="L40" s="632">
        <v>1.4463800000000001E-2</v>
      </c>
      <c r="M40" s="633"/>
      <c r="N40" s="632">
        <v>2.2899999999999999E-3</v>
      </c>
      <c r="O40" s="633"/>
      <c r="P40" s="632">
        <v>7.8899999999999994E-3</v>
      </c>
      <c r="Q40" s="633"/>
      <c r="R40" s="632"/>
      <c r="S40" s="633"/>
      <c r="T40" s="632"/>
      <c r="U40" s="605"/>
      <c r="V40" s="611"/>
      <c r="W40" s="607"/>
      <c r="X40" s="588"/>
      <c r="AA40" s="589" t="s">
        <v>193</v>
      </c>
    </row>
    <row r="41" spans="1:27" s="589" customFormat="1" x14ac:dyDescent="0.25">
      <c r="A41" s="604"/>
      <c r="B41" s="605" t="s">
        <v>13</v>
      </c>
      <c r="C41" s="605"/>
      <c r="D41" s="632">
        <v>2.4865000000000002E-2</v>
      </c>
      <c r="E41" s="605"/>
      <c r="F41" s="632">
        <v>1.05731E-2</v>
      </c>
      <c r="G41" s="633"/>
      <c r="H41" s="632">
        <v>0</v>
      </c>
      <c r="I41" s="632"/>
      <c r="J41" s="632">
        <v>2.5541299999999999E-2</v>
      </c>
      <c r="K41" s="633"/>
      <c r="L41" s="632">
        <v>1.3373100000000001E-2</v>
      </c>
      <c r="M41" s="633"/>
      <c r="N41" s="632">
        <v>2.2100000000000002E-3</v>
      </c>
      <c r="O41" s="633"/>
      <c r="P41" s="632">
        <v>7.8100000000000001E-3</v>
      </c>
      <c r="Q41" s="633"/>
      <c r="R41" s="632"/>
      <c r="S41" s="633"/>
      <c r="T41" s="632"/>
      <c r="U41" s="605"/>
      <c r="V41" s="633" t="s">
        <v>193</v>
      </c>
      <c r="W41" s="607"/>
      <c r="X41" s="588"/>
    </row>
    <row r="42" spans="1:27" s="589" customFormat="1" x14ac:dyDescent="0.25">
      <c r="A42" s="604"/>
      <c r="B42" s="605" t="s">
        <v>289</v>
      </c>
      <c r="C42" s="605"/>
      <c r="D42" s="611" t="s">
        <v>311</v>
      </c>
      <c r="E42" s="605"/>
      <c r="F42" s="611" t="s">
        <v>256</v>
      </c>
      <c r="G42" s="611"/>
      <c r="H42" s="611" t="s">
        <v>261</v>
      </c>
      <c r="I42" s="611"/>
      <c r="J42" s="611" t="s">
        <v>261</v>
      </c>
      <c r="K42" s="611"/>
      <c r="L42" s="611" t="s">
        <v>259</v>
      </c>
      <c r="M42" s="611"/>
      <c r="N42" s="611" t="s">
        <v>263</v>
      </c>
      <c r="O42" s="611"/>
      <c r="P42" s="611" t="s">
        <v>264</v>
      </c>
      <c r="Q42" s="611"/>
      <c r="R42" s="611"/>
      <c r="S42" s="633"/>
      <c r="T42" s="632"/>
      <c r="U42" s="605"/>
      <c r="V42" s="605"/>
      <c r="W42" s="607"/>
      <c r="X42" s="588"/>
    </row>
    <row r="43" spans="1:27" s="589" customFormat="1" x14ac:dyDescent="0.25">
      <c r="A43" s="604"/>
      <c r="B43" s="605" t="s">
        <v>290</v>
      </c>
      <c r="C43" s="634"/>
      <c r="D43" s="632">
        <v>1.10607E-2</v>
      </c>
      <c r="E43" s="632"/>
      <c r="F43" s="632">
        <f>+F40</f>
        <v>1.16638E-2</v>
      </c>
      <c r="G43" s="632"/>
      <c r="H43" s="632">
        <v>1.1813799999999999E-2</v>
      </c>
      <c r="I43" s="632"/>
      <c r="J43" s="632">
        <v>1.18438E-2</v>
      </c>
      <c r="K43" s="632"/>
      <c r="L43" s="632">
        <f>+L40</f>
        <v>1.4463800000000001E-2</v>
      </c>
      <c r="M43" s="632"/>
      <c r="N43" s="632">
        <v>1.5197799999999999E-2</v>
      </c>
      <c r="O43" s="632"/>
      <c r="P43" s="632">
        <v>2.13578E-2</v>
      </c>
      <c r="Q43" s="633"/>
      <c r="R43" s="632"/>
      <c r="S43" s="611"/>
      <c r="T43" s="611"/>
      <c r="U43" s="605"/>
      <c r="V43" s="633">
        <f>SUMPRODUCT(D43:R43,D35:R35)/V35</f>
        <v>1.3078953992413501E-2</v>
      </c>
      <c r="W43" s="607"/>
      <c r="X43" s="588"/>
    </row>
    <row r="44" spans="1:27" s="589" customFormat="1" x14ac:dyDescent="0.25">
      <c r="A44" s="604"/>
      <c r="B44" s="605" t="s">
        <v>291</v>
      </c>
      <c r="C44" s="634"/>
      <c r="D44" s="632">
        <v>9.9699999999999997E-3</v>
      </c>
      <c r="E44" s="632"/>
      <c r="F44" s="632">
        <f>+F41</f>
        <v>1.05731E-2</v>
      </c>
      <c r="G44" s="632"/>
      <c r="H44" s="632">
        <v>1.0723099999999999E-2</v>
      </c>
      <c r="I44" s="632"/>
      <c r="J44" s="632">
        <v>1.07531E-2</v>
      </c>
      <c r="K44" s="632"/>
      <c r="L44" s="632">
        <f>+L41</f>
        <v>1.3373100000000001E-2</v>
      </c>
      <c r="M44" s="632"/>
      <c r="N44" s="632">
        <v>1.4107099999999999E-2</v>
      </c>
      <c r="O44" s="632"/>
      <c r="P44" s="632">
        <v>2.02671E-2</v>
      </c>
      <c r="Q44" s="633"/>
      <c r="R44" s="632"/>
      <c r="S44" s="611"/>
      <c r="T44" s="611"/>
      <c r="U44" s="605"/>
      <c r="V44" s="605"/>
      <c r="W44" s="607"/>
      <c r="X44" s="588"/>
    </row>
    <row r="45" spans="1:27" s="589" customFormat="1" x14ac:dyDescent="0.25">
      <c r="A45" s="604"/>
      <c r="B45" s="605" t="s">
        <v>14</v>
      </c>
      <c r="C45" s="605"/>
      <c r="D45" s="634">
        <v>40709</v>
      </c>
      <c r="E45" s="634"/>
      <c r="F45" s="634">
        <v>40709</v>
      </c>
      <c r="G45" s="634"/>
      <c r="H45" s="634">
        <v>40709</v>
      </c>
      <c r="I45" s="634"/>
      <c r="J45" s="634">
        <v>40709</v>
      </c>
      <c r="K45" s="634"/>
      <c r="L45" s="634">
        <v>40709</v>
      </c>
      <c r="M45" s="634"/>
      <c r="N45" s="634">
        <v>40709</v>
      </c>
      <c r="O45" s="634"/>
      <c r="P45" s="634">
        <v>40709</v>
      </c>
      <c r="Q45" s="634"/>
      <c r="R45" s="634"/>
      <c r="S45" s="611"/>
      <c r="T45" s="611"/>
      <c r="U45" s="605"/>
      <c r="V45" s="605"/>
      <c r="W45" s="607"/>
      <c r="X45" s="588"/>
    </row>
    <row r="46" spans="1:27" s="589" customFormat="1" x14ac:dyDescent="0.25">
      <c r="A46" s="604"/>
      <c r="B46" s="605" t="s">
        <v>15</v>
      </c>
      <c r="C46" s="605"/>
      <c r="D46" s="634">
        <v>41075</v>
      </c>
      <c r="E46" s="634"/>
      <c r="F46" s="634">
        <v>41075</v>
      </c>
      <c r="G46" s="634"/>
      <c r="H46" s="634">
        <v>41075</v>
      </c>
      <c r="I46" s="634"/>
      <c r="J46" s="634">
        <v>41075</v>
      </c>
      <c r="K46" s="611"/>
      <c r="L46" s="634">
        <v>41075</v>
      </c>
      <c r="M46" s="611"/>
      <c r="N46" s="634">
        <v>41075</v>
      </c>
      <c r="O46" s="611"/>
      <c r="P46" s="634">
        <v>41075</v>
      </c>
      <c r="Q46" s="611"/>
      <c r="R46" s="634"/>
      <c r="S46" s="611"/>
      <c r="T46" s="611"/>
      <c r="U46" s="605"/>
      <c r="V46" s="605"/>
      <c r="W46" s="607"/>
      <c r="X46" s="588"/>
    </row>
    <row r="47" spans="1:27" s="589" customFormat="1" x14ac:dyDescent="0.25">
      <c r="A47" s="604"/>
      <c r="B47" s="605" t="s">
        <v>119</v>
      </c>
      <c r="C47" s="605"/>
      <c r="D47" s="611" t="s">
        <v>304</v>
      </c>
      <c r="E47" s="605"/>
      <c r="F47" s="611" t="s">
        <v>256</v>
      </c>
      <c r="G47" s="611"/>
      <c r="H47" s="611" t="s">
        <v>257</v>
      </c>
      <c r="I47" s="611"/>
      <c r="J47" s="611" t="s">
        <v>258</v>
      </c>
      <c r="K47" s="611"/>
      <c r="L47" s="611" t="s">
        <v>259</v>
      </c>
      <c r="M47" s="611"/>
      <c r="N47" s="611" t="s">
        <v>259</v>
      </c>
      <c r="O47" s="611"/>
      <c r="P47" s="611" t="s">
        <v>260</v>
      </c>
      <c r="Q47" s="611"/>
      <c r="R47" s="611"/>
      <c r="S47" s="635"/>
      <c r="T47" s="635"/>
      <c r="U47" s="635"/>
      <c r="V47" s="635"/>
      <c r="W47" s="607"/>
      <c r="X47" s="588"/>
    </row>
    <row r="48" spans="1:27" s="589" customFormat="1" x14ac:dyDescent="0.25">
      <c r="A48" s="604"/>
      <c r="B48" s="605" t="s">
        <v>292</v>
      </c>
      <c r="C48" s="605"/>
      <c r="D48" s="611" t="s">
        <v>311</v>
      </c>
      <c r="E48" s="605"/>
      <c r="F48" s="611" t="s">
        <v>256</v>
      </c>
      <c r="G48" s="611"/>
      <c r="H48" s="611" t="s">
        <v>261</v>
      </c>
      <c r="I48" s="611"/>
      <c r="J48" s="611" t="s">
        <v>261</v>
      </c>
      <c r="K48" s="611"/>
      <c r="L48" s="611" t="s">
        <v>259</v>
      </c>
      <c r="M48" s="611"/>
      <c r="N48" s="611" t="s">
        <v>263</v>
      </c>
      <c r="O48" s="611"/>
      <c r="P48" s="611" t="s">
        <v>264</v>
      </c>
      <c r="Q48" s="611"/>
      <c r="R48" s="611"/>
      <c r="S48" s="605"/>
      <c r="T48" s="605"/>
      <c r="U48" s="605"/>
      <c r="V48" s="633"/>
      <c r="W48" s="607"/>
      <c r="X48" s="588"/>
    </row>
    <row r="49" spans="1:25" s="589" customFormat="1" x14ac:dyDescent="0.25">
      <c r="A49" s="604"/>
      <c r="B49" s="605"/>
      <c r="C49" s="605"/>
      <c r="D49" s="611"/>
      <c r="E49" s="605"/>
      <c r="F49" s="611"/>
      <c r="G49" s="611"/>
      <c r="H49" s="611"/>
      <c r="I49" s="611"/>
      <c r="J49" s="611"/>
      <c r="K49" s="611"/>
      <c r="L49" s="611"/>
      <c r="M49" s="611"/>
      <c r="N49" s="611"/>
      <c r="O49" s="611"/>
      <c r="P49" s="611"/>
      <c r="Q49" s="611"/>
      <c r="R49" s="611"/>
      <c r="S49" s="605"/>
      <c r="T49" s="605"/>
      <c r="U49" s="605"/>
      <c r="V49" s="633" t="s">
        <v>193</v>
      </c>
      <c r="W49" s="607"/>
      <c r="X49" s="588"/>
    </row>
    <row r="50" spans="1:25" s="589" customFormat="1" x14ac:dyDescent="0.25">
      <c r="A50" s="604"/>
      <c r="B50" s="605" t="s">
        <v>169</v>
      </c>
      <c r="C50" s="605"/>
      <c r="D50" s="611"/>
      <c r="E50" s="605"/>
      <c r="F50" s="611"/>
      <c r="G50" s="611"/>
      <c r="H50" s="611"/>
      <c r="I50" s="611"/>
      <c r="J50" s="611"/>
      <c r="K50" s="611"/>
      <c r="L50" s="611"/>
      <c r="M50" s="611"/>
      <c r="N50" s="611"/>
      <c r="O50" s="611"/>
      <c r="P50" s="611"/>
      <c r="Q50" s="611"/>
      <c r="R50" s="611"/>
      <c r="S50" s="605"/>
      <c r="T50" s="605"/>
      <c r="U50" s="605"/>
      <c r="V50" s="633">
        <f>SUM(L34:R34)/SUM(D34:J34)</f>
        <v>0.17632136449250416</v>
      </c>
      <c r="W50" s="607"/>
      <c r="X50" s="588"/>
    </row>
    <row r="51" spans="1:25" s="589" customFormat="1" x14ac:dyDescent="0.25">
      <c r="A51" s="604"/>
      <c r="B51" s="605" t="s">
        <v>170</v>
      </c>
      <c r="C51" s="605"/>
      <c r="D51" s="605"/>
      <c r="E51" s="605"/>
      <c r="F51" s="636"/>
      <c r="G51" s="605"/>
      <c r="H51" s="605"/>
      <c r="I51" s="605"/>
      <c r="J51" s="605"/>
      <c r="K51" s="605"/>
      <c r="L51" s="605"/>
      <c r="M51" s="605"/>
      <c r="N51" s="605"/>
      <c r="O51" s="605"/>
      <c r="P51" s="605"/>
      <c r="Q51" s="605"/>
      <c r="R51" s="605"/>
      <c r="S51" s="605"/>
      <c r="T51" s="605"/>
      <c r="U51" s="605"/>
      <c r="V51" s="633">
        <f>SUM(L36:R36)/SUM(D36:J36)</f>
        <v>0.34852363587572682</v>
      </c>
      <c r="W51" s="607"/>
      <c r="X51" s="588"/>
    </row>
    <row r="52" spans="1:25" s="589" customFormat="1" x14ac:dyDescent="0.25">
      <c r="A52" s="604"/>
      <c r="B52" s="605" t="s">
        <v>171</v>
      </c>
      <c r="C52" s="605"/>
      <c r="D52" s="605"/>
      <c r="E52" s="605"/>
      <c r="F52" s="605"/>
      <c r="G52" s="605"/>
      <c r="H52" s="605"/>
      <c r="I52" s="605"/>
      <c r="J52" s="605"/>
      <c r="K52" s="605"/>
      <c r="L52" s="605"/>
      <c r="M52" s="605"/>
      <c r="N52" s="605"/>
      <c r="O52" s="605"/>
      <c r="P52" s="605"/>
      <c r="Q52" s="605"/>
      <c r="R52" s="605"/>
      <c r="S52" s="605"/>
      <c r="T52" s="611"/>
      <c r="U52" s="611"/>
      <c r="V52" s="613" t="s">
        <v>268</v>
      </c>
      <c r="W52" s="607"/>
      <c r="X52" s="588"/>
    </row>
    <row r="53" spans="1:25" s="589" customFormat="1" x14ac:dyDescent="0.25">
      <c r="A53" s="604"/>
      <c r="B53" s="605"/>
      <c r="C53" s="605"/>
      <c r="D53" s="605"/>
      <c r="E53" s="605"/>
      <c r="F53" s="605"/>
      <c r="G53" s="605"/>
      <c r="H53" s="605"/>
      <c r="I53" s="605"/>
      <c r="J53" s="605"/>
      <c r="K53" s="605"/>
      <c r="L53" s="605"/>
      <c r="M53" s="605"/>
      <c r="N53" s="605"/>
      <c r="O53" s="605"/>
      <c r="P53" s="605"/>
      <c r="Q53" s="605"/>
      <c r="R53" s="605"/>
      <c r="S53" s="605"/>
      <c r="T53" s="605"/>
      <c r="U53" s="605"/>
      <c r="V53" s="637"/>
      <c r="W53" s="607"/>
      <c r="X53" s="588"/>
    </row>
    <row r="54" spans="1:25" s="589" customFormat="1" x14ac:dyDescent="0.25">
      <c r="A54" s="604"/>
      <c r="B54" s="605" t="s">
        <v>202</v>
      </c>
      <c r="C54" s="605"/>
      <c r="D54" s="605"/>
      <c r="E54" s="605"/>
      <c r="F54" s="605"/>
      <c r="G54" s="605"/>
      <c r="H54" s="605"/>
      <c r="I54" s="605"/>
      <c r="J54" s="605"/>
      <c r="K54" s="605"/>
      <c r="L54" s="605"/>
      <c r="M54" s="605"/>
      <c r="N54" s="605"/>
      <c r="O54" s="605"/>
      <c r="P54" s="605"/>
      <c r="Q54" s="605"/>
      <c r="R54" s="605"/>
      <c r="S54" s="605"/>
      <c r="T54" s="605"/>
      <c r="U54" s="605"/>
      <c r="V54" s="621" t="s">
        <v>203</v>
      </c>
      <c r="W54" s="607"/>
      <c r="X54" s="588"/>
    </row>
    <row r="55" spans="1:25" s="589" customFormat="1" x14ac:dyDescent="0.25">
      <c r="A55" s="604"/>
      <c r="B55" s="605" t="s">
        <v>270</v>
      </c>
      <c r="C55" s="605"/>
      <c r="D55" s="605"/>
      <c r="E55" s="605"/>
      <c r="F55" s="605"/>
      <c r="G55" s="605"/>
      <c r="H55" s="605"/>
      <c r="I55" s="605"/>
      <c r="J55" s="605"/>
      <c r="K55" s="605"/>
      <c r="L55" s="605"/>
      <c r="M55" s="605"/>
      <c r="N55" s="605"/>
      <c r="O55" s="605"/>
      <c r="P55" s="605"/>
      <c r="Q55" s="605"/>
      <c r="R55" s="605"/>
      <c r="S55" s="605"/>
      <c r="T55" s="611"/>
      <c r="U55" s="611"/>
      <c r="V55" s="638" t="s">
        <v>111</v>
      </c>
      <c r="W55" s="607"/>
      <c r="X55" s="588"/>
    </row>
    <row r="56" spans="1:25" s="589" customFormat="1" x14ac:dyDescent="0.25">
      <c r="A56" s="604"/>
      <c r="B56" s="610" t="s">
        <v>201</v>
      </c>
      <c r="C56" s="610"/>
      <c r="D56" s="610"/>
      <c r="E56" s="610"/>
      <c r="F56" s="610"/>
      <c r="G56" s="610"/>
      <c r="H56" s="610"/>
      <c r="I56" s="610"/>
      <c r="J56" s="610"/>
      <c r="K56" s="610"/>
      <c r="L56" s="610"/>
      <c r="M56" s="610"/>
      <c r="N56" s="610"/>
      <c r="O56" s="610"/>
      <c r="P56" s="610"/>
      <c r="Q56" s="610"/>
      <c r="R56" s="610"/>
      <c r="S56" s="610"/>
      <c r="T56" s="639"/>
      <c r="U56" s="639"/>
      <c r="V56" s="640">
        <v>43539</v>
      </c>
      <c r="W56" s="607"/>
      <c r="X56" s="588"/>
    </row>
    <row r="57" spans="1:25" s="589" customFormat="1" x14ac:dyDescent="0.25">
      <c r="A57" s="604"/>
      <c r="B57" s="605" t="s">
        <v>121</v>
      </c>
      <c r="C57" s="605"/>
      <c r="D57" s="605"/>
      <c r="E57" s="605"/>
      <c r="F57" s="605"/>
      <c r="G57" s="605"/>
      <c r="H57" s="641"/>
      <c r="I57" s="641"/>
      <c r="J57" s="641"/>
      <c r="K57" s="641"/>
      <c r="L57" s="641"/>
      <c r="M57" s="641"/>
      <c r="N57" s="641"/>
      <c r="O57" s="641"/>
      <c r="P57" s="641"/>
      <c r="Q57" s="641"/>
      <c r="R57" s="605">
        <f>+V57-T57+1</f>
        <v>91</v>
      </c>
      <c r="S57" s="641"/>
      <c r="T57" s="642">
        <v>43360</v>
      </c>
      <c r="U57" s="643"/>
      <c r="V57" s="642">
        <v>43450</v>
      </c>
      <c r="W57" s="607"/>
      <c r="X57" s="588"/>
    </row>
    <row r="58" spans="1:25" s="589" customFormat="1" x14ac:dyDescent="0.25">
      <c r="A58" s="604"/>
      <c r="B58" s="605" t="s">
        <v>122</v>
      </c>
      <c r="C58" s="605"/>
      <c r="D58" s="605"/>
      <c r="E58" s="605"/>
      <c r="F58" s="605"/>
      <c r="G58" s="605"/>
      <c r="H58" s="605"/>
      <c r="I58" s="605"/>
      <c r="J58" s="605"/>
      <c r="K58" s="605"/>
      <c r="L58" s="605"/>
      <c r="M58" s="605"/>
      <c r="N58" s="605"/>
      <c r="O58" s="605"/>
      <c r="P58" s="605"/>
      <c r="Q58" s="605"/>
      <c r="R58" s="605">
        <f>+V58-T58+1</f>
        <v>88</v>
      </c>
      <c r="S58" s="605"/>
      <c r="T58" s="642">
        <v>43451</v>
      </c>
      <c r="U58" s="643"/>
      <c r="V58" s="642">
        <v>43538</v>
      </c>
      <c r="W58" s="607"/>
      <c r="X58" s="588"/>
    </row>
    <row r="59" spans="1:25" s="589" customFormat="1" x14ac:dyDescent="0.25">
      <c r="A59" s="604"/>
      <c r="B59" s="605" t="s">
        <v>223</v>
      </c>
      <c r="C59" s="605"/>
      <c r="D59" s="605"/>
      <c r="E59" s="605"/>
      <c r="F59" s="605"/>
      <c r="G59" s="605"/>
      <c r="H59" s="605"/>
      <c r="I59" s="605"/>
      <c r="J59" s="605"/>
      <c r="K59" s="605"/>
      <c r="L59" s="605"/>
      <c r="M59" s="605"/>
      <c r="N59" s="605"/>
      <c r="O59" s="605"/>
      <c r="P59" s="605"/>
      <c r="Q59" s="605"/>
      <c r="R59" s="605"/>
      <c r="S59" s="605"/>
      <c r="T59" s="642"/>
      <c r="U59" s="643"/>
      <c r="V59" s="642" t="s">
        <v>120</v>
      </c>
      <c r="W59" s="607"/>
      <c r="X59" s="588"/>
    </row>
    <row r="60" spans="1:25" s="589" customFormat="1" x14ac:dyDescent="0.25">
      <c r="A60" s="604"/>
      <c r="B60" s="605" t="s">
        <v>271</v>
      </c>
      <c r="C60" s="605"/>
      <c r="D60" s="605"/>
      <c r="E60" s="605"/>
      <c r="F60" s="605"/>
      <c r="G60" s="605"/>
      <c r="H60" s="605"/>
      <c r="I60" s="605"/>
      <c r="J60" s="605"/>
      <c r="K60" s="605"/>
      <c r="L60" s="605"/>
      <c r="M60" s="605"/>
      <c r="N60" s="605"/>
      <c r="O60" s="605"/>
      <c r="P60" s="605"/>
      <c r="Q60" s="605"/>
      <c r="R60" s="605"/>
      <c r="S60" s="605"/>
      <c r="T60" s="642"/>
      <c r="U60" s="643"/>
      <c r="V60" s="642" t="s">
        <v>154</v>
      </c>
      <c r="W60" s="607"/>
      <c r="X60" s="588"/>
      <c r="Y60" s="644"/>
    </row>
    <row r="61" spans="1:25" s="589" customFormat="1" x14ac:dyDescent="0.25">
      <c r="A61" s="604"/>
      <c r="B61" s="605" t="s">
        <v>16</v>
      </c>
      <c r="C61" s="605"/>
      <c r="D61" s="605"/>
      <c r="E61" s="605"/>
      <c r="F61" s="605"/>
      <c r="G61" s="605"/>
      <c r="H61" s="605"/>
      <c r="I61" s="605"/>
      <c r="J61" s="605"/>
      <c r="K61" s="605"/>
      <c r="L61" s="605"/>
      <c r="M61" s="605"/>
      <c r="N61" s="605"/>
      <c r="O61" s="605"/>
      <c r="P61" s="605"/>
      <c r="Q61" s="605"/>
      <c r="R61" s="605"/>
      <c r="S61" s="605"/>
      <c r="T61" s="642"/>
      <c r="U61" s="643"/>
      <c r="V61" s="642">
        <v>43525</v>
      </c>
      <c r="W61" s="607"/>
      <c r="X61" s="588"/>
    </row>
    <row r="62" spans="1:25" s="589" customFormat="1" x14ac:dyDescent="0.25">
      <c r="A62" s="585"/>
      <c r="B62" s="602"/>
      <c r="C62" s="602"/>
      <c r="D62" s="602"/>
      <c r="E62" s="602"/>
      <c r="F62" s="602"/>
      <c r="G62" s="602"/>
      <c r="H62" s="602"/>
      <c r="I62" s="602"/>
      <c r="J62" s="602"/>
      <c r="K62" s="602"/>
      <c r="L62" s="602"/>
      <c r="M62" s="602"/>
      <c r="N62" s="602"/>
      <c r="O62" s="602"/>
      <c r="P62" s="602"/>
      <c r="Q62" s="602"/>
      <c r="R62" s="602"/>
      <c r="S62" s="602"/>
      <c r="T62" s="645"/>
      <c r="U62" s="646"/>
      <c r="V62" s="645"/>
      <c r="W62" s="602"/>
      <c r="X62" s="588"/>
    </row>
    <row r="63" spans="1:25" s="589" customFormat="1" x14ac:dyDescent="0.25">
      <c r="A63" s="585"/>
      <c r="B63" s="586"/>
      <c r="C63" s="586"/>
      <c r="D63" s="586"/>
      <c r="E63" s="586"/>
      <c r="F63" s="586"/>
      <c r="G63" s="586"/>
      <c r="H63" s="586"/>
      <c r="I63" s="586"/>
      <c r="J63" s="586"/>
      <c r="K63" s="586"/>
      <c r="L63" s="586"/>
      <c r="M63" s="586"/>
      <c r="N63" s="586"/>
      <c r="O63" s="586"/>
      <c r="P63" s="586"/>
      <c r="Q63" s="586"/>
      <c r="R63" s="586"/>
      <c r="S63" s="586"/>
      <c r="T63" s="647"/>
      <c r="U63" s="648"/>
      <c r="V63" s="647"/>
      <c r="W63" s="586"/>
      <c r="X63" s="588"/>
    </row>
    <row r="64" spans="1:25" s="589" customFormat="1" ht="19.5" thickBot="1" x14ac:dyDescent="0.35">
      <c r="A64" s="649"/>
      <c r="B64" s="568" t="s">
        <v>347</v>
      </c>
      <c r="C64" s="650"/>
      <c r="D64" s="650"/>
      <c r="E64" s="650"/>
      <c r="F64" s="650"/>
      <c r="G64" s="650"/>
      <c r="H64" s="650"/>
      <c r="I64" s="650"/>
      <c r="J64" s="650"/>
      <c r="K64" s="650"/>
      <c r="L64" s="650"/>
      <c r="M64" s="650"/>
      <c r="N64" s="650"/>
      <c r="O64" s="650"/>
      <c r="P64" s="650"/>
      <c r="Q64" s="650"/>
      <c r="R64" s="650"/>
      <c r="S64" s="650"/>
      <c r="T64" s="650"/>
      <c r="U64" s="650"/>
      <c r="V64" s="651"/>
      <c r="W64" s="652"/>
      <c r="X64" s="588"/>
    </row>
    <row r="65" spans="1:24" x14ac:dyDescent="0.25">
      <c r="A65" s="597"/>
      <c r="B65" s="653" t="s">
        <v>17</v>
      </c>
      <c r="C65" s="654"/>
      <c r="D65" s="654"/>
      <c r="E65" s="654"/>
      <c r="F65" s="654"/>
      <c r="G65" s="654"/>
      <c r="H65" s="654"/>
      <c r="I65" s="654"/>
      <c r="J65" s="654"/>
      <c r="K65" s="654"/>
      <c r="L65" s="654"/>
      <c r="M65" s="654"/>
      <c r="N65" s="654"/>
      <c r="O65" s="654"/>
      <c r="P65" s="654"/>
      <c r="Q65" s="654"/>
      <c r="R65" s="654"/>
      <c r="S65" s="654"/>
      <c r="T65" s="654"/>
      <c r="U65" s="654"/>
      <c r="V65" s="655"/>
      <c r="W65" s="654"/>
      <c r="X65" s="572"/>
    </row>
    <row r="66" spans="1:24" x14ac:dyDescent="0.25">
      <c r="A66" s="574"/>
      <c r="B66" s="583"/>
      <c r="C66" s="576"/>
      <c r="D66" s="576"/>
      <c r="E66" s="576"/>
      <c r="F66" s="576"/>
      <c r="G66" s="576"/>
      <c r="H66" s="576"/>
      <c r="I66" s="576"/>
      <c r="J66" s="576"/>
      <c r="K66" s="576"/>
      <c r="L66" s="576"/>
      <c r="M66" s="576"/>
      <c r="N66" s="576"/>
      <c r="O66" s="576"/>
      <c r="P66" s="576"/>
      <c r="Q66" s="576"/>
      <c r="R66" s="576"/>
      <c r="S66" s="576"/>
      <c r="T66" s="576"/>
      <c r="U66" s="576"/>
      <c r="V66" s="656"/>
      <c r="W66" s="576"/>
      <c r="X66" s="572"/>
    </row>
    <row r="67" spans="1:24" s="629" customFormat="1" ht="47.25" x14ac:dyDescent="0.25">
      <c r="A67" s="657"/>
      <c r="B67" s="658" t="s">
        <v>18</v>
      </c>
      <c r="C67" s="659"/>
      <c r="D67" s="659"/>
      <c r="E67" s="659"/>
      <c r="F67" s="659"/>
      <c r="G67" s="659"/>
      <c r="H67" s="659"/>
      <c r="I67" s="659"/>
      <c r="J67" s="659"/>
      <c r="K67" s="659"/>
      <c r="L67" s="659" t="s">
        <v>94</v>
      </c>
      <c r="M67" s="659"/>
      <c r="N67" s="659" t="s">
        <v>96</v>
      </c>
      <c r="O67" s="659"/>
      <c r="P67" s="659" t="s">
        <v>98</v>
      </c>
      <c r="Q67" s="659"/>
      <c r="R67" s="659" t="s">
        <v>100</v>
      </c>
      <c r="S67" s="659"/>
      <c r="T67" s="659" t="s">
        <v>106</v>
      </c>
      <c r="U67" s="659"/>
      <c r="V67" s="660" t="s">
        <v>112</v>
      </c>
      <c r="W67" s="661"/>
      <c r="X67" s="628"/>
    </row>
    <row r="68" spans="1:24" s="589" customFormat="1" x14ac:dyDescent="0.25">
      <c r="A68" s="604"/>
      <c r="B68" s="605" t="s">
        <v>19</v>
      </c>
      <c r="C68" s="662"/>
      <c r="D68" s="662"/>
      <c r="E68" s="662"/>
      <c r="F68" s="662"/>
      <c r="G68" s="662"/>
      <c r="H68" s="662"/>
      <c r="I68" s="662"/>
      <c r="J68" s="662"/>
      <c r="K68" s="662"/>
      <c r="L68" s="662">
        <v>812446</v>
      </c>
      <c r="M68" s="662"/>
      <c r="N68" s="663">
        <v>592302</v>
      </c>
      <c r="O68" s="662"/>
      <c r="P68" s="662">
        <v>11675</v>
      </c>
      <c r="Q68" s="662"/>
      <c r="R68" s="662">
        <v>0</v>
      </c>
      <c r="S68" s="662"/>
      <c r="T68" s="662">
        <v>0</v>
      </c>
      <c r="U68" s="662"/>
      <c r="V68" s="663">
        <f>+N68-P68+R68-T68</f>
        <v>580627</v>
      </c>
      <c r="W68" s="607"/>
      <c r="X68" s="588"/>
    </row>
    <row r="69" spans="1:24" s="589" customFormat="1" x14ac:dyDescent="0.25">
      <c r="A69" s="604"/>
      <c r="B69" s="605" t="s">
        <v>20</v>
      </c>
      <c r="C69" s="662"/>
      <c r="D69" s="662"/>
      <c r="E69" s="662"/>
      <c r="F69" s="662"/>
      <c r="G69" s="662"/>
      <c r="H69" s="662"/>
      <c r="I69" s="662"/>
      <c r="J69" s="662"/>
      <c r="K69" s="662"/>
      <c r="L69" s="662">
        <v>0</v>
      </c>
      <c r="M69" s="662"/>
      <c r="N69" s="663">
        <v>0</v>
      </c>
      <c r="O69" s="662"/>
      <c r="P69" s="662">
        <v>0</v>
      </c>
      <c r="Q69" s="662"/>
      <c r="R69" s="662">
        <v>0</v>
      </c>
      <c r="S69" s="662"/>
      <c r="T69" s="662">
        <v>0</v>
      </c>
      <c r="U69" s="662"/>
      <c r="V69" s="663">
        <f>+L69-P69</f>
        <v>0</v>
      </c>
      <c r="W69" s="607"/>
      <c r="X69" s="588"/>
    </row>
    <row r="70" spans="1:24" s="589" customFormat="1" x14ac:dyDescent="0.25">
      <c r="A70" s="604"/>
      <c r="B70" s="605"/>
      <c r="C70" s="662"/>
      <c r="D70" s="662"/>
      <c r="E70" s="662"/>
      <c r="F70" s="662"/>
      <c r="G70" s="662"/>
      <c r="H70" s="662"/>
      <c r="I70" s="662"/>
      <c r="J70" s="662"/>
      <c r="K70" s="662"/>
      <c r="L70" s="662"/>
      <c r="M70" s="662"/>
      <c r="N70" s="663"/>
      <c r="O70" s="662"/>
      <c r="P70" s="662"/>
      <c r="Q70" s="662"/>
      <c r="R70" s="662"/>
      <c r="S70" s="662"/>
      <c r="T70" s="662"/>
      <c r="U70" s="662"/>
      <c r="V70" s="663"/>
      <c r="W70" s="607"/>
      <c r="X70" s="588"/>
    </row>
    <row r="71" spans="1:24" s="589" customFormat="1" x14ac:dyDescent="0.25">
      <c r="A71" s="604"/>
      <c r="B71" s="605" t="s">
        <v>21</v>
      </c>
      <c r="C71" s="662"/>
      <c r="D71" s="662"/>
      <c r="E71" s="662"/>
      <c r="F71" s="662"/>
      <c r="G71" s="662"/>
      <c r="H71" s="662"/>
      <c r="I71" s="662"/>
      <c r="J71" s="662"/>
      <c r="K71" s="662"/>
      <c r="L71" s="662">
        <f>SUM(L68:L70)</f>
        <v>812446</v>
      </c>
      <c r="M71" s="662"/>
      <c r="N71" s="662">
        <f>N68+N69</f>
        <v>592302</v>
      </c>
      <c r="O71" s="662"/>
      <c r="P71" s="662">
        <f>SUM(P68:P70)</f>
        <v>11675</v>
      </c>
      <c r="Q71" s="662"/>
      <c r="R71" s="662">
        <f>SUM(R68:R70)</f>
        <v>0</v>
      </c>
      <c r="S71" s="662"/>
      <c r="T71" s="662">
        <f>SUM(T68:T70)</f>
        <v>0</v>
      </c>
      <c r="U71" s="662"/>
      <c r="V71" s="662">
        <f>SUM(V68:V70)</f>
        <v>580627</v>
      </c>
      <c r="W71" s="607"/>
      <c r="X71" s="588"/>
    </row>
    <row r="72" spans="1:24" x14ac:dyDescent="0.25">
      <c r="A72" s="574"/>
      <c r="B72" s="664"/>
      <c r="C72" s="665"/>
      <c r="D72" s="665"/>
      <c r="E72" s="665"/>
      <c r="F72" s="665"/>
      <c r="G72" s="665"/>
      <c r="H72" s="665"/>
      <c r="I72" s="665"/>
      <c r="J72" s="665"/>
      <c r="K72" s="665"/>
      <c r="L72" s="665"/>
      <c r="M72" s="665"/>
      <c r="N72" s="665"/>
      <c r="O72" s="665"/>
      <c r="P72" s="665"/>
      <c r="Q72" s="665"/>
      <c r="R72" s="665"/>
      <c r="S72" s="665"/>
      <c r="T72" s="665"/>
      <c r="U72" s="665"/>
      <c r="V72" s="666"/>
      <c r="W72" s="664"/>
      <c r="X72" s="572"/>
    </row>
    <row r="73" spans="1:24" x14ac:dyDescent="0.25">
      <c r="A73" s="574"/>
      <c r="B73" s="578" t="s">
        <v>22</v>
      </c>
      <c r="C73" s="667"/>
      <c r="D73" s="667"/>
      <c r="E73" s="667"/>
      <c r="F73" s="667"/>
      <c r="G73" s="667"/>
      <c r="H73" s="667"/>
      <c r="I73" s="667"/>
      <c r="J73" s="667"/>
      <c r="K73" s="667"/>
      <c r="L73" s="667"/>
      <c r="M73" s="667"/>
      <c r="N73" s="667"/>
      <c r="O73" s="667"/>
      <c r="P73" s="667"/>
      <c r="Q73" s="667"/>
      <c r="R73" s="667"/>
      <c r="S73" s="667"/>
      <c r="T73" s="667"/>
      <c r="U73" s="667"/>
      <c r="V73" s="668"/>
      <c r="W73" s="576"/>
      <c r="X73" s="572"/>
    </row>
    <row r="74" spans="1:24" x14ac:dyDescent="0.25">
      <c r="A74" s="574"/>
      <c r="B74" s="576"/>
      <c r="C74" s="667"/>
      <c r="D74" s="667"/>
      <c r="E74" s="667"/>
      <c r="F74" s="667"/>
      <c r="G74" s="667"/>
      <c r="H74" s="667"/>
      <c r="I74" s="667"/>
      <c r="J74" s="667"/>
      <c r="K74" s="667"/>
      <c r="L74" s="667"/>
      <c r="M74" s="667"/>
      <c r="N74" s="667"/>
      <c r="O74" s="667"/>
      <c r="P74" s="667"/>
      <c r="Q74" s="667"/>
      <c r="R74" s="667"/>
      <c r="S74" s="667"/>
      <c r="T74" s="667"/>
      <c r="U74" s="667"/>
      <c r="V74" s="668"/>
      <c r="W74" s="576"/>
      <c r="X74" s="572"/>
    </row>
    <row r="75" spans="1:24" s="589" customFormat="1" x14ac:dyDescent="0.25">
      <c r="A75" s="604"/>
      <c r="B75" s="605" t="s">
        <v>19</v>
      </c>
      <c r="C75" s="662"/>
      <c r="D75" s="662"/>
      <c r="E75" s="662"/>
      <c r="F75" s="662"/>
      <c r="G75" s="662"/>
      <c r="H75" s="662"/>
      <c r="I75" s="662"/>
      <c r="J75" s="662"/>
      <c r="K75" s="662"/>
      <c r="L75" s="662"/>
      <c r="M75" s="662"/>
      <c r="N75" s="662"/>
      <c r="O75" s="662"/>
      <c r="P75" s="662"/>
      <c r="Q75" s="662"/>
      <c r="R75" s="662"/>
      <c r="S75" s="662"/>
      <c r="T75" s="662"/>
      <c r="U75" s="662"/>
      <c r="V75" s="662"/>
      <c r="W75" s="607"/>
      <c r="X75" s="588"/>
    </row>
    <row r="76" spans="1:24" s="589" customFormat="1" x14ac:dyDescent="0.25">
      <c r="A76" s="604"/>
      <c r="B76" s="605" t="s">
        <v>20</v>
      </c>
      <c r="C76" s="662"/>
      <c r="D76" s="662"/>
      <c r="E76" s="662"/>
      <c r="F76" s="662"/>
      <c r="G76" s="662"/>
      <c r="H76" s="662"/>
      <c r="I76" s="662"/>
      <c r="J76" s="662"/>
      <c r="K76" s="662"/>
      <c r="L76" s="662"/>
      <c r="M76" s="662"/>
      <c r="N76" s="662"/>
      <c r="O76" s="662"/>
      <c r="P76" s="662"/>
      <c r="Q76" s="662"/>
      <c r="R76" s="662"/>
      <c r="S76" s="662"/>
      <c r="T76" s="662"/>
      <c r="U76" s="662"/>
      <c r="V76" s="662"/>
      <c r="W76" s="607"/>
      <c r="X76" s="588"/>
    </row>
    <row r="77" spans="1:24" s="589" customFormat="1" x14ac:dyDescent="0.25">
      <c r="A77" s="604"/>
      <c r="B77" s="605"/>
      <c r="C77" s="662"/>
      <c r="D77" s="662"/>
      <c r="E77" s="662"/>
      <c r="F77" s="662"/>
      <c r="G77" s="662"/>
      <c r="H77" s="662"/>
      <c r="I77" s="662"/>
      <c r="J77" s="662"/>
      <c r="K77" s="662"/>
      <c r="L77" s="662"/>
      <c r="M77" s="662"/>
      <c r="N77" s="662"/>
      <c r="O77" s="662"/>
      <c r="P77" s="662"/>
      <c r="Q77" s="662"/>
      <c r="R77" s="662"/>
      <c r="S77" s="662"/>
      <c r="T77" s="662"/>
      <c r="U77" s="662"/>
      <c r="V77" s="662"/>
      <c r="W77" s="607"/>
      <c r="X77" s="588"/>
    </row>
    <row r="78" spans="1:24" s="589" customFormat="1" x14ac:dyDescent="0.25">
      <c r="A78" s="604"/>
      <c r="B78" s="605" t="s">
        <v>21</v>
      </c>
      <c r="C78" s="662"/>
      <c r="D78" s="662"/>
      <c r="E78" s="662"/>
      <c r="F78" s="662"/>
      <c r="G78" s="662"/>
      <c r="H78" s="662"/>
      <c r="I78" s="662"/>
      <c r="J78" s="662"/>
      <c r="K78" s="662"/>
      <c r="L78" s="662"/>
      <c r="M78" s="662"/>
      <c r="N78" s="662"/>
      <c r="O78" s="662"/>
      <c r="P78" s="662"/>
      <c r="Q78" s="662"/>
      <c r="R78" s="662"/>
      <c r="S78" s="662"/>
      <c r="T78" s="662"/>
      <c r="U78" s="662"/>
      <c r="V78" s="662"/>
      <c r="W78" s="607"/>
      <c r="X78" s="588"/>
    </row>
    <row r="79" spans="1:24" s="589" customFormat="1" x14ac:dyDescent="0.25">
      <c r="A79" s="604"/>
      <c r="B79" s="605"/>
      <c r="C79" s="662"/>
      <c r="D79" s="662"/>
      <c r="E79" s="662"/>
      <c r="F79" s="662"/>
      <c r="G79" s="662"/>
      <c r="H79" s="662"/>
      <c r="I79" s="662"/>
      <c r="J79" s="662"/>
      <c r="K79" s="662"/>
      <c r="L79" s="662"/>
      <c r="M79" s="662"/>
      <c r="N79" s="662"/>
      <c r="O79" s="662"/>
      <c r="P79" s="662"/>
      <c r="Q79" s="662"/>
      <c r="R79" s="662"/>
      <c r="S79" s="662"/>
      <c r="T79" s="662"/>
      <c r="U79" s="662"/>
      <c r="V79" s="662"/>
      <c r="W79" s="607"/>
      <c r="X79" s="588"/>
    </row>
    <row r="80" spans="1:24" s="589" customFormat="1" x14ac:dyDescent="0.25">
      <c r="A80" s="604"/>
      <c r="B80" s="605" t="s">
        <v>23</v>
      </c>
      <c r="C80" s="662"/>
      <c r="D80" s="662"/>
      <c r="E80" s="662"/>
      <c r="F80" s="662"/>
      <c r="G80" s="662"/>
      <c r="H80" s="662"/>
      <c r="I80" s="662"/>
      <c r="J80" s="662"/>
      <c r="K80" s="662"/>
      <c r="L80" s="662">
        <v>0</v>
      </c>
      <c r="M80" s="662"/>
      <c r="N80" s="662">
        <v>0</v>
      </c>
      <c r="O80" s="662"/>
      <c r="P80" s="662"/>
      <c r="Q80" s="662"/>
      <c r="R80" s="662"/>
      <c r="S80" s="662"/>
      <c r="T80" s="662"/>
      <c r="U80" s="662"/>
      <c r="V80" s="663">
        <v>0</v>
      </c>
      <c r="W80" s="607"/>
      <c r="X80" s="588"/>
    </row>
    <row r="81" spans="1:24" s="589" customFormat="1" x14ac:dyDescent="0.25">
      <c r="A81" s="604"/>
      <c r="B81" s="605" t="s">
        <v>117</v>
      </c>
      <c r="C81" s="662"/>
      <c r="D81" s="662"/>
      <c r="E81" s="662"/>
      <c r="F81" s="662"/>
      <c r="G81" s="662"/>
      <c r="H81" s="662"/>
      <c r="I81" s="662"/>
      <c r="J81" s="662"/>
      <c r="K81" s="662"/>
      <c r="L81" s="662">
        <v>188687</v>
      </c>
      <c r="M81" s="662"/>
      <c r="N81" s="662">
        <v>0</v>
      </c>
      <c r="O81" s="662"/>
      <c r="P81" s="662">
        <v>0</v>
      </c>
      <c r="Q81" s="662"/>
      <c r="R81" s="662"/>
      <c r="S81" s="662"/>
      <c r="T81" s="662"/>
      <c r="U81" s="662"/>
      <c r="V81" s="662">
        <f>SUM(N81:R81)</f>
        <v>0</v>
      </c>
      <c r="W81" s="607"/>
      <c r="X81" s="588"/>
    </row>
    <row r="82" spans="1:24" s="589" customFormat="1" x14ac:dyDescent="0.25">
      <c r="A82" s="604"/>
      <c r="B82" s="605" t="s">
        <v>146</v>
      </c>
      <c r="C82" s="662"/>
      <c r="D82" s="662"/>
      <c r="E82" s="662"/>
      <c r="F82" s="662"/>
      <c r="G82" s="662"/>
      <c r="H82" s="662"/>
      <c r="I82" s="662"/>
      <c r="J82" s="662"/>
      <c r="K82" s="662"/>
      <c r="L82" s="662">
        <v>0</v>
      </c>
      <c r="M82" s="662"/>
      <c r="N82" s="662">
        <v>0</v>
      </c>
      <c r="O82" s="662"/>
      <c r="P82" s="662">
        <v>0</v>
      </c>
      <c r="Q82" s="662"/>
      <c r="R82" s="662"/>
      <c r="S82" s="662"/>
      <c r="T82" s="662"/>
      <c r="U82" s="662"/>
      <c r="V82" s="662">
        <f>+N82+P82</f>
        <v>0</v>
      </c>
      <c r="W82" s="607"/>
      <c r="X82" s="588"/>
    </row>
    <row r="83" spans="1:24" s="589" customFormat="1" x14ac:dyDescent="0.25">
      <c r="A83" s="604"/>
      <c r="B83" s="605" t="s">
        <v>25</v>
      </c>
      <c r="C83" s="662"/>
      <c r="D83" s="662"/>
      <c r="E83" s="662"/>
      <c r="F83" s="662"/>
      <c r="G83" s="662"/>
      <c r="H83" s="662"/>
      <c r="I83" s="662"/>
      <c r="J83" s="662"/>
      <c r="K83" s="662"/>
      <c r="L83" s="662">
        <v>0</v>
      </c>
      <c r="M83" s="662"/>
      <c r="N83" s="662">
        <v>0</v>
      </c>
      <c r="O83" s="662"/>
      <c r="P83" s="662"/>
      <c r="Q83" s="662"/>
      <c r="R83" s="662"/>
      <c r="S83" s="662"/>
      <c r="T83" s="662"/>
      <c r="U83" s="662"/>
      <c r="V83" s="662">
        <v>0</v>
      </c>
      <c r="W83" s="607"/>
      <c r="X83" s="588"/>
    </row>
    <row r="84" spans="1:24" s="589" customFormat="1" x14ac:dyDescent="0.25">
      <c r="A84" s="604"/>
      <c r="B84" s="605" t="s">
        <v>26</v>
      </c>
      <c r="C84" s="662"/>
      <c r="D84" s="662"/>
      <c r="E84" s="662"/>
      <c r="F84" s="662"/>
      <c r="G84" s="662"/>
      <c r="H84" s="662"/>
      <c r="I84" s="662"/>
      <c r="J84" s="662"/>
      <c r="K84" s="662"/>
      <c r="L84" s="662">
        <f>SUM(L71:L83)</f>
        <v>1001133</v>
      </c>
      <c r="M84" s="662"/>
      <c r="N84" s="662">
        <f>SUM(N71:N83)</f>
        <v>592302</v>
      </c>
      <c r="O84" s="662"/>
      <c r="P84" s="662"/>
      <c r="Q84" s="662"/>
      <c r="R84" s="662"/>
      <c r="S84" s="662"/>
      <c r="T84" s="662"/>
      <c r="U84" s="662"/>
      <c r="V84" s="662">
        <f>SUM(V71:V83)</f>
        <v>580627</v>
      </c>
      <c r="W84" s="607"/>
      <c r="X84" s="588"/>
    </row>
    <row r="85" spans="1:24" x14ac:dyDescent="0.25">
      <c r="A85" s="574"/>
      <c r="B85" s="664"/>
      <c r="C85" s="665"/>
      <c r="D85" s="665"/>
      <c r="E85" s="665"/>
      <c r="F85" s="665"/>
      <c r="G85" s="665"/>
      <c r="H85" s="665"/>
      <c r="I85" s="665"/>
      <c r="J85" s="665"/>
      <c r="K85" s="665"/>
      <c r="L85" s="665"/>
      <c r="M85" s="665"/>
      <c r="N85" s="665"/>
      <c r="O85" s="665"/>
      <c r="P85" s="665"/>
      <c r="Q85" s="665"/>
      <c r="R85" s="665"/>
      <c r="S85" s="665"/>
      <c r="T85" s="665"/>
      <c r="U85" s="665"/>
      <c r="V85" s="666"/>
      <c r="W85" s="664"/>
      <c r="X85" s="572"/>
    </row>
    <row r="86" spans="1:24" x14ac:dyDescent="0.25">
      <c r="A86" s="574"/>
      <c r="B86" s="576"/>
      <c r="C86" s="576"/>
      <c r="D86" s="576"/>
      <c r="E86" s="576"/>
      <c r="F86" s="576"/>
      <c r="G86" s="576"/>
      <c r="H86" s="576"/>
      <c r="I86" s="576"/>
      <c r="J86" s="576"/>
      <c r="K86" s="576"/>
      <c r="L86" s="576"/>
      <c r="M86" s="576"/>
      <c r="N86" s="576"/>
      <c r="O86" s="576"/>
      <c r="P86" s="576"/>
      <c r="Q86" s="576"/>
      <c r="R86" s="576"/>
      <c r="S86" s="576"/>
      <c r="T86" s="576"/>
      <c r="U86" s="576"/>
      <c r="V86" s="576"/>
      <c r="W86" s="576"/>
      <c r="X86" s="572"/>
    </row>
    <row r="87" spans="1:24" x14ac:dyDescent="0.25">
      <c r="A87" s="597"/>
      <c r="B87" s="669" t="s">
        <v>27</v>
      </c>
      <c r="C87" s="669"/>
      <c r="D87" s="669"/>
      <c r="E87" s="669"/>
      <c r="F87" s="669"/>
      <c r="G87" s="669"/>
      <c r="H87" s="670"/>
      <c r="I87" s="670"/>
      <c r="J87" s="670"/>
      <c r="K87" s="670"/>
      <c r="L87" s="671" t="s">
        <v>95</v>
      </c>
      <c r="M87" s="670"/>
      <c r="N87" s="672">
        <f>+T202</f>
        <v>43524</v>
      </c>
      <c r="O87" s="670"/>
      <c r="P87" s="670"/>
      <c r="Q87" s="670"/>
      <c r="R87" s="670"/>
      <c r="S87" s="670"/>
      <c r="T87" s="670" t="s">
        <v>107</v>
      </c>
      <c r="U87" s="670"/>
      <c r="V87" s="670" t="s">
        <v>113</v>
      </c>
      <c r="W87" s="601"/>
      <c r="X87" s="572"/>
    </row>
    <row r="88" spans="1:24" s="589" customFormat="1" x14ac:dyDescent="0.25">
      <c r="A88" s="585"/>
      <c r="B88" s="602" t="s">
        <v>28</v>
      </c>
      <c r="C88" s="602"/>
      <c r="D88" s="602"/>
      <c r="E88" s="602"/>
      <c r="F88" s="602"/>
      <c r="G88" s="602"/>
      <c r="H88" s="602"/>
      <c r="I88" s="602"/>
      <c r="J88" s="602"/>
      <c r="K88" s="602"/>
      <c r="L88" s="602"/>
      <c r="M88" s="602"/>
      <c r="N88" s="602"/>
      <c r="O88" s="602"/>
      <c r="P88" s="602"/>
      <c r="Q88" s="602"/>
      <c r="R88" s="602"/>
      <c r="S88" s="602"/>
      <c r="T88" s="673">
        <v>0</v>
      </c>
      <c r="U88" s="602"/>
      <c r="V88" s="674">
        <v>0</v>
      </c>
      <c r="W88" s="602"/>
      <c r="X88" s="588"/>
    </row>
    <row r="89" spans="1:24" s="589" customFormat="1" x14ac:dyDescent="0.25">
      <c r="A89" s="604"/>
      <c r="B89" s="605" t="s">
        <v>29</v>
      </c>
      <c r="C89" s="605"/>
      <c r="D89" s="605"/>
      <c r="E89" s="605"/>
      <c r="F89" s="605"/>
      <c r="G89" s="605"/>
      <c r="H89" s="635"/>
      <c r="I89" s="635"/>
      <c r="J89" s="635"/>
      <c r="K89" s="675"/>
      <c r="L89" s="635"/>
      <c r="M89" s="605"/>
      <c r="N89" s="676"/>
      <c r="O89" s="605"/>
      <c r="P89" s="605"/>
      <c r="Q89" s="605"/>
      <c r="R89" s="605"/>
      <c r="S89" s="605"/>
      <c r="T89" s="662">
        <f>11675-299</f>
        <v>11376</v>
      </c>
      <c r="U89" s="605"/>
      <c r="V89" s="663"/>
      <c r="W89" s="607"/>
      <c r="X89" s="588"/>
    </row>
    <row r="90" spans="1:24" s="589" customFormat="1" x14ac:dyDescent="0.25">
      <c r="A90" s="604"/>
      <c r="B90" s="605" t="s">
        <v>215</v>
      </c>
      <c r="C90" s="605"/>
      <c r="D90" s="605"/>
      <c r="E90" s="605"/>
      <c r="F90" s="605"/>
      <c r="G90" s="605"/>
      <c r="H90" s="635"/>
      <c r="I90" s="635"/>
      <c r="J90" s="635"/>
      <c r="K90" s="675"/>
      <c r="L90" s="635"/>
      <c r="M90" s="605"/>
      <c r="N90" s="676"/>
      <c r="O90" s="605"/>
      <c r="P90" s="605"/>
      <c r="Q90" s="605"/>
      <c r="R90" s="605"/>
      <c r="S90" s="605"/>
      <c r="T90" s="662"/>
      <c r="U90" s="605"/>
      <c r="V90" s="663">
        <f>3280+2492-846-655</f>
        <v>4271</v>
      </c>
      <c r="W90" s="607"/>
      <c r="X90" s="588"/>
    </row>
    <row r="91" spans="1:24" s="589" customFormat="1" x14ac:dyDescent="0.25">
      <c r="A91" s="604"/>
      <c r="B91" s="605" t="s">
        <v>210</v>
      </c>
      <c r="C91" s="605"/>
      <c r="D91" s="605"/>
      <c r="E91" s="605"/>
      <c r="F91" s="605"/>
      <c r="G91" s="605"/>
      <c r="H91" s="635"/>
      <c r="I91" s="635"/>
      <c r="J91" s="635"/>
      <c r="K91" s="675"/>
      <c r="L91" s="635"/>
      <c r="M91" s="605"/>
      <c r="N91" s="676"/>
      <c r="O91" s="605"/>
      <c r="P91" s="605"/>
      <c r="Q91" s="605"/>
      <c r="R91" s="605"/>
      <c r="S91" s="605"/>
      <c r="T91" s="662"/>
      <c r="U91" s="605"/>
      <c r="V91" s="663">
        <f>63+29</f>
        <v>92</v>
      </c>
      <c r="W91" s="607"/>
      <c r="X91" s="588"/>
    </row>
    <row r="92" spans="1:24" s="589" customFormat="1" x14ac:dyDescent="0.25">
      <c r="A92" s="604"/>
      <c r="B92" s="605" t="s">
        <v>211</v>
      </c>
      <c r="C92" s="605"/>
      <c r="D92" s="605"/>
      <c r="E92" s="605"/>
      <c r="F92" s="605"/>
      <c r="G92" s="605"/>
      <c r="H92" s="635"/>
      <c r="I92" s="635"/>
      <c r="J92" s="635"/>
      <c r="K92" s="675"/>
      <c r="L92" s="635"/>
      <c r="M92" s="605"/>
      <c r="N92" s="676"/>
      <c r="O92" s="605"/>
      <c r="P92" s="605"/>
      <c r="Q92" s="605"/>
      <c r="R92" s="605"/>
      <c r="S92" s="605"/>
      <c r="T92" s="662"/>
      <c r="U92" s="605"/>
      <c r="V92" s="663">
        <v>54</v>
      </c>
      <c r="W92" s="607"/>
      <c r="X92" s="588"/>
    </row>
    <row r="93" spans="1:24" s="589" customFormat="1" x14ac:dyDescent="0.25">
      <c r="A93" s="604"/>
      <c r="B93" s="605" t="s">
        <v>233</v>
      </c>
      <c r="C93" s="605"/>
      <c r="D93" s="605"/>
      <c r="E93" s="605"/>
      <c r="F93" s="605"/>
      <c r="G93" s="605"/>
      <c r="H93" s="635"/>
      <c r="I93" s="635"/>
      <c r="J93" s="635"/>
      <c r="K93" s="675"/>
      <c r="L93" s="635"/>
      <c r="M93" s="605"/>
      <c r="N93" s="676"/>
      <c r="O93" s="605"/>
      <c r="P93" s="605"/>
      <c r="Q93" s="605"/>
      <c r="R93" s="605"/>
      <c r="S93" s="605"/>
      <c r="T93" s="662"/>
      <c r="U93" s="605"/>
      <c r="V93" s="663">
        <v>0</v>
      </c>
      <c r="W93" s="607"/>
      <c r="X93" s="588"/>
    </row>
    <row r="94" spans="1:24" s="589" customFormat="1" x14ac:dyDescent="0.25">
      <c r="A94" s="604"/>
      <c r="B94" s="605" t="s">
        <v>235</v>
      </c>
      <c r="C94" s="605"/>
      <c r="D94" s="605"/>
      <c r="E94" s="605"/>
      <c r="F94" s="605"/>
      <c r="G94" s="605"/>
      <c r="H94" s="635"/>
      <c r="I94" s="635"/>
      <c r="J94" s="635"/>
      <c r="K94" s="675"/>
      <c r="L94" s="635"/>
      <c r="M94" s="605"/>
      <c r="N94" s="676"/>
      <c r="O94" s="605"/>
      <c r="P94" s="605"/>
      <c r="Q94" s="605"/>
      <c r="R94" s="605"/>
      <c r="S94" s="605"/>
      <c r="T94" s="662"/>
      <c r="U94" s="605"/>
      <c r="V94" s="663">
        <v>0</v>
      </c>
      <c r="W94" s="607"/>
      <c r="X94" s="588"/>
    </row>
    <row r="95" spans="1:24" s="589" customFormat="1" x14ac:dyDescent="0.25">
      <c r="A95" s="604"/>
      <c r="B95" s="605" t="s">
        <v>135</v>
      </c>
      <c r="C95" s="605"/>
      <c r="D95" s="605"/>
      <c r="E95" s="605"/>
      <c r="F95" s="605"/>
      <c r="G95" s="605"/>
      <c r="H95" s="605"/>
      <c r="I95" s="605"/>
      <c r="J95" s="605"/>
      <c r="K95" s="605"/>
      <c r="L95" s="605"/>
      <c r="M95" s="605"/>
      <c r="N95" s="605"/>
      <c r="O95" s="605"/>
      <c r="P95" s="605"/>
      <c r="Q95" s="605"/>
      <c r="R95" s="605"/>
      <c r="S95" s="605"/>
      <c r="T95" s="662"/>
      <c r="U95" s="605"/>
      <c r="V95" s="663">
        <v>0</v>
      </c>
      <c r="W95" s="607"/>
      <c r="X95" s="588"/>
    </row>
    <row r="96" spans="1:24" s="589" customFormat="1" x14ac:dyDescent="0.25">
      <c r="A96" s="604"/>
      <c r="B96" s="605" t="s">
        <v>272</v>
      </c>
      <c r="C96" s="605"/>
      <c r="D96" s="605"/>
      <c r="E96" s="605"/>
      <c r="F96" s="605"/>
      <c r="G96" s="605"/>
      <c r="H96" s="605"/>
      <c r="I96" s="605"/>
      <c r="J96" s="605"/>
      <c r="K96" s="605"/>
      <c r="L96" s="605"/>
      <c r="M96" s="605"/>
      <c r="N96" s="605"/>
      <c r="O96" s="605"/>
      <c r="P96" s="605"/>
      <c r="Q96" s="605"/>
      <c r="R96" s="605"/>
      <c r="S96" s="605"/>
      <c r="T96" s="662"/>
      <c r="U96" s="605"/>
      <c r="V96" s="663">
        <v>0</v>
      </c>
      <c r="W96" s="607"/>
      <c r="X96" s="588"/>
    </row>
    <row r="97" spans="1:25" s="589" customFormat="1" x14ac:dyDescent="0.25">
      <c r="A97" s="604"/>
      <c r="B97" s="605" t="s">
        <v>30</v>
      </c>
      <c r="C97" s="605"/>
      <c r="D97" s="605"/>
      <c r="E97" s="605"/>
      <c r="F97" s="605"/>
      <c r="G97" s="605"/>
      <c r="H97" s="605"/>
      <c r="I97" s="605"/>
      <c r="J97" s="605"/>
      <c r="K97" s="605"/>
      <c r="L97" s="605"/>
      <c r="M97" s="605"/>
      <c r="N97" s="605"/>
      <c r="O97" s="605"/>
      <c r="P97" s="605"/>
      <c r="Q97" s="605"/>
      <c r="R97" s="605"/>
      <c r="S97" s="605"/>
      <c r="T97" s="662">
        <f>SUM(T88:T96)</f>
        <v>11376</v>
      </c>
      <c r="U97" s="605"/>
      <c r="V97" s="662">
        <f>SUM(V88:V96)</f>
        <v>4417</v>
      </c>
      <c r="W97" s="607"/>
      <c r="X97" s="588"/>
    </row>
    <row r="98" spans="1:25" s="589" customFormat="1" x14ac:dyDescent="0.25">
      <c r="A98" s="604"/>
      <c r="B98" s="605" t="s">
        <v>161</v>
      </c>
      <c r="C98" s="605"/>
      <c r="D98" s="605"/>
      <c r="E98" s="605"/>
      <c r="F98" s="605"/>
      <c r="G98" s="605"/>
      <c r="H98" s="605"/>
      <c r="I98" s="605"/>
      <c r="J98" s="605"/>
      <c r="K98" s="605"/>
      <c r="L98" s="605"/>
      <c r="M98" s="605"/>
      <c r="N98" s="605"/>
      <c r="O98" s="605"/>
      <c r="P98" s="605"/>
      <c r="Q98" s="605"/>
      <c r="R98" s="605"/>
      <c r="S98" s="605"/>
      <c r="T98" s="662">
        <f>-V98</f>
        <v>0</v>
      </c>
      <c r="U98" s="605"/>
      <c r="V98" s="662">
        <v>0</v>
      </c>
      <c r="W98" s="607"/>
      <c r="X98" s="588"/>
    </row>
    <row r="99" spans="1:25" s="589" customFormat="1" x14ac:dyDescent="0.25">
      <c r="A99" s="604"/>
      <c r="B99" s="605" t="s">
        <v>31</v>
      </c>
      <c r="C99" s="605"/>
      <c r="D99" s="605"/>
      <c r="E99" s="605"/>
      <c r="F99" s="605"/>
      <c r="G99" s="605"/>
      <c r="H99" s="605"/>
      <c r="I99" s="605"/>
      <c r="J99" s="605"/>
      <c r="K99" s="605"/>
      <c r="L99" s="605"/>
      <c r="M99" s="605"/>
      <c r="N99" s="605"/>
      <c r="O99" s="605"/>
      <c r="P99" s="605"/>
      <c r="Q99" s="605"/>
      <c r="R99" s="605"/>
      <c r="S99" s="605"/>
      <c r="T99" s="662">
        <f>-V99</f>
        <v>0</v>
      </c>
      <c r="U99" s="605"/>
      <c r="V99" s="663">
        <v>0</v>
      </c>
      <c r="W99" s="607"/>
      <c r="X99" s="588"/>
    </row>
    <row r="100" spans="1:25" s="589" customFormat="1" x14ac:dyDescent="0.25">
      <c r="A100" s="604"/>
      <c r="B100" s="605" t="s">
        <v>274</v>
      </c>
      <c r="C100" s="605"/>
      <c r="D100" s="605"/>
      <c r="E100" s="605"/>
      <c r="F100" s="605"/>
      <c r="G100" s="605"/>
      <c r="H100" s="605"/>
      <c r="I100" s="605"/>
      <c r="J100" s="605"/>
      <c r="K100" s="605"/>
      <c r="L100" s="605"/>
      <c r="M100" s="605"/>
      <c r="N100" s="605"/>
      <c r="O100" s="605"/>
      <c r="P100" s="605"/>
      <c r="Q100" s="605"/>
      <c r="R100" s="605"/>
      <c r="S100" s="605"/>
      <c r="T100" s="662"/>
      <c r="U100" s="605"/>
      <c r="V100" s="663">
        <v>109</v>
      </c>
      <c r="W100" s="607"/>
      <c r="X100" s="588"/>
    </row>
    <row r="101" spans="1:25" s="589" customFormat="1" x14ac:dyDescent="0.25">
      <c r="A101" s="604"/>
      <c r="B101" s="605" t="s">
        <v>32</v>
      </c>
      <c r="C101" s="605"/>
      <c r="D101" s="605"/>
      <c r="E101" s="605"/>
      <c r="F101" s="605"/>
      <c r="G101" s="605"/>
      <c r="H101" s="605"/>
      <c r="I101" s="605"/>
      <c r="J101" s="605"/>
      <c r="K101" s="605"/>
      <c r="L101" s="605"/>
      <c r="M101" s="605"/>
      <c r="N101" s="605"/>
      <c r="O101" s="605"/>
      <c r="P101" s="605"/>
      <c r="Q101" s="605"/>
      <c r="R101" s="605"/>
      <c r="S101" s="605"/>
      <c r="T101" s="662">
        <f>T97+T99+T98</f>
        <v>11376</v>
      </c>
      <c r="U101" s="605"/>
      <c r="V101" s="662">
        <f>V97+V99+V98+V100</f>
        <v>4526</v>
      </c>
      <c r="W101" s="607"/>
      <c r="X101" s="588"/>
    </row>
    <row r="102" spans="1:25" x14ac:dyDescent="0.25">
      <c r="A102" s="677"/>
      <c r="B102" s="678" t="s">
        <v>33</v>
      </c>
      <c r="C102" s="679"/>
      <c r="D102" s="679"/>
      <c r="E102" s="679"/>
      <c r="F102" s="679"/>
      <c r="G102" s="679"/>
      <c r="H102" s="679"/>
      <c r="I102" s="679"/>
      <c r="J102" s="679"/>
      <c r="K102" s="679"/>
      <c r="L102" s="679"/>
      <c r="M102" s="679"/>
      <c r="N102" s="679"/>
      <c r="O102" s="679"/>
      <c r="P102" s="679"/>
      <c r="Q102" s="679"/>
      <c r="R102" s="679"/>
      <c r="S102" s="679"/>
      <c r="T102" s="680"/>
      <c r="U102" s="681"/>
      <c r="V102" s="682"/>
      <c r="W102" s="683"/>
      <c r="X102" s="572"/>
    </row>
    <row r="103" spans="1:25" s="589" customFormat="1" x14ac:dyDescent="0.25">
      <c r="A103" s="604">
        <v>1</v>
      </c>
      <c r="B103" s="605" t="s">
        <v>34</v>
      </c>
      <c r="C103" s="605"/>
      <c r="D103" s="605"/>
      <c r="E103" s="605"/>
      <c r="F103" s="605"/>
      <c r="G103" s="605"/>
      <c r="H103" s="605"/>
      <c r="I103" s="605"/>
      <c r="J103" s="605"/>
      <c r="K103" s="605"/>
      <c r="L103" s="605"/>
      <c r="M103" s="605"/>
      <c r="N103" s="605"/>
      <c r="O103" s="605"/>
      <c r="P103" s="605"/>
      <c r="Q103" s="605"/>
      <c r="R103" s="605"/>
      <c r="S103" s="605"/>
      <c r="T103" s="605"/>
      <c r="U103" s="605"/>
      <c r="V103" s="663">
        <v>0</v>
      </c>
      <c r="W103" s="607"/>
      <c r="X103" s="588"/>
    </row>
    <row r="104" spans="1:25" s="589" customFormat="1" x14ac:dyDescent="0.25">
      <c r="A104" s="604">
        <f>+A103+1</f>
        <v>2</v>
      </c>
      <c r="B104" s="605" t="s">
        <v>314</v>
      </c>
      <c r="C104" s="605"/>
      <c r="D104" s="605"/>
      <c r="E104" s="605"/>
      <c r="F104" s="605"/>
      <c r="G104" s="605"/>
      <c r="H104" s="605"/>
      <c r="I104" s="605"/>
      <c r="J104" s="605"/>
      <c r="K104" s="605"/>
      <c r="L104" s="605"/>
      <c r="M104" s="605"/>
      <c r="N104" s="605"/>
      <c r="O104" s="605"/>
      <c r="P104" s="605"/>
      <c r="Q104" s="605"/>
      <c r="R104" s="605"/>
      <c r="S104" s="605"/>
      <c r="T104" s="605"/>
      <c r="U104" s="605"/>
      <c r="V104" s="663">
        <v>-2</v>
      </c>
      <c r="W104" s="607"/>
      <c r="X104" s="588"/>
    </row>
    <row r="105" spans="1:25" s="589" customFormat="1" x14ac:dyDescent="0.25">
      <c r="A105" s="604">
        <f>+A104+1</f>
        <v>3</v>
      </c>
      <c r="B105" s="684" t="s">
        <v>316</v>
      </c>
      <c r="C105" s="605"/>
      <c r="D105" s="605"/>
      <c r="E105" s="605"/>
      <c r="F105" s="605"/>
      <c r="G105" s="605"/>
      <c r="H105" s="605"/>
      <c r="I105" s="605"/>
      <c r="J105" s="605"/>
      <c r="K105" s="605"/>
      <c r="L105" s="605"/>
      <c r="M105" s="605"/>
      <c r="N105" s="605"/>
      <c r="O105" s="605"/>
      <c r="P105" s="605"/>
      <c r="Q105" s="605"/>
      <c r="R105" s="605"/>
      <c r="S105" s="605"/>
      <c r="T105" s="605"/>
      <c r="U105" s="605"/>
      <c r="V105" s="663">
        <f>-223-91-8</f>
        <v>-322</v>
      </c>
      <c r="W105" s="607"/>
      <c r="X105" s="588"/>
    </row>
    <row r="106" spans="1:25" s="589" customFormat="1" x14ac:dyDescent="0.25">
      <c r="A106" s="604" t="s">
        <v>127</v>
      </c>
      <c r="B106" s="605" t="s">
        <v>116</v>
      </c>
      <c r="C106" s="605"/>
      <c r="D106" s="605"/>
      <c r="E106" s="605"/>
      <c r="F106" s="605"/>
      <c r="G106" s="605"/>
      <c r="H106" s="605"/>
      <c r="I106" s="605"/>
      <c r="J106" s="605"/>
      <c r="K106" s="605"/>
      <c r="L106" s="605"/>
      <c r="M106" s="605"/>
      <c r="N106" s="605"/>
      <c r="O106" s="605"/>
      <c r="P106" s="605"/>
      <c r="Q106" s="605"/>
      <c r="R106" s="605"/>
      <c r="S106" s="605"/>
      <c r="T106" s="605"/>
      <c r="U106" s="605"/>
      <c r="V106" s="663">
        <v>0</v>
      </c>
      <c r="W106" s="607"/>
      <c r="X106" s="588"/>
    </row>
    <row r="107" spans="1:25" s="589" customFormat="1" x14ac:dyDescent="0.25">
      <c r="A107" s="604" t="s">
        <v>128</v>
      </c>
      <c r="B107" s="605" t="s">
        <v>220</v>
      </c>
      <c r="C107" s="605"/>
      <c r="D107" s="605"/>
      <c r="E107" s="605"/>
      <c r="F107" s="605"/>
      <c r="G107" s="605"/>
      <c r="H107" s="605"/>
      <c r="I107" s="605"/>
      <c r="J107" s="605"/>
      <c r="K107" s="605"/>
      <c r="L107" s="605"/>
      <c r="M107" s="605"/>
      <c r="N107" s="605"/>
      <c r="O107" s="605"/>
      <c r="P107" s="605"/>
      <c r="Q107" s="605"/>
      <c r="R107" s="605"/>
      <c r="S107" s="605"/>
      <c r="T107" s="605"/>
      <c r="U107" s="605"/>
      <c r="V107" s="663">
        <f>-1210+306</f>
        <v>-904</v>
      </c>
      <c r="W107" s="607"/>
      <c r="X107" s="588"/>
      <c r="Y107" s="685"/>
    </row>
    <row r="108" spans="1:25" s="589" customFormat="1" x14ac:dyDescent="0.25">
      <c r="A108" s="604" t="s">
        <v>150</v>
      </c>
      <c r="B108" s="605" t="s">
        <v>184</v>
      </c>
      <c r="C108" s="605"/>
      <c r="D108" s="605"/>
      <c r="E108" s="605"/>
      <c r="F108" s="605"/>
      <c r="G108" s="605"/>
      <c r="H108" s="605"/>
      <c r="I108" s="605"/>
      <c r="J108" s="605"/>
      <c r="K108" s="605"/>
      <c r="L108" s="605"/>
      <c r="M108" s="605"/>
      <c r="N108" s="605"/>
      <c r="O108" s="605"/>
      <c r="P108" s="605"/>
      <c r="Q108" s="605"/>
      <c r="R108" s="605"/>
      <c r="S108" s="605"/>
      <c r="T108" s="605"/>
      <c r="U108" s="605"/>
      <c r="V108" s="663">
        <v>-306</v>
      </c>
      <c r="W108" s="607"/>
      <c r="X108" s="588"/>
      <c r="Y108" s="685"/>
    </row>
    <row r="109" spans="1:25" s="589" customFormat="1" x14ac:dyDescent="0.25">
      <c r="A109" s="604" t="s">
        <v>205</v>
      </c>
      <c r="B109" s="605" t="s">
        <v>185</v>
      </c>
      <c r="C109" s="605"/>
      <c r="D109" s="605"/>
      <c r="E109" s="605"/>
      <c r="F109" s="605"/>
      <c r="G109" s="605"/>
      <c r="H109" s="605"/>
      <c r="I109" s="605"/>
      <c r="J109" s="605"/>
      <c r="K109" s="605"/>
      <c r="L109" s="605"/>
      <c r="M109" s="605"/>
      <c r="N109" s="605"/>
      <c r="O109" s="605"/>
      <c r="P109" s="605"/>
      <c r="Q109" s="605"/>
      <c r="R109" s="605"/>
      <c r="S109" s="605"/>
      <c r="T109" s="605"/>
      <c r="U109" s="605"/>
      <c r="V109" s="663">
        <v>-213</v>
      </c>
      <c r="W109" s="607"/>
      <c r="X109" s="588"/>
      <c r="Y109" s="685"/>
    </row>
    <row r="110" spans="1:25" s="589" customFormat="1" x14ac:dyDescent="0.25">
      <c r="A110" s="604" t="s">
        <v>206</v>
      </c>
      <c r="B110" s="605" t="s">
        <v>186</v>
      </c>
      <c r="C110" s="605"/>
      <c r="D110" s="605"/>
      <c r="E110" s="605"/>
      <c r="F110" s="605"/>
      <c r="G110" s="605"/>
      <c r="H110" s="605"/>
      <c r="I110" s="605"/>
      <c r="J110" s="605"/>
      <c r="K110" s="605"/>
      <c r="L110" s="605"/>
      <c r="M110" s="605"/>
      <c r="N110" s="605"/>
      <c r="O110" s="605"/>
      <c r="P110" s="605"/>
      <c r="Q110" s="605"/>
      <c r="R110" s="605"/>
      <c r="S110" s="605"/>
      <c r="T110" s="605"/>
      <c r="U110" s="605"/>
      <c r="V110" s="663">
        <v>-59</v>
      </c>
      <c r="W110" s="607"/>
      <c r="X110" s="588"/>
      <c r="Y110" s="685"/>
    </row>
    <row r="111" spans="1:25" s="589" customFormat="1" x14ac:dyDescent="0.25">
      <c r="A111" s="604">
        <v>6</v>
      </c>
      <c r="B111" s="605" t="s">
        <v>196</v>
      </c>
      <c r="C111" s="605"/>
      <c r="D111" s="605"/>
      <c r="E111" s="605"/>
      <c r="F111" s="605"/>
      <c r="G111" s="605"/>
      <c r="H111" s="605"/>
      <c r="I111" s="605"/>
      <c r="J111" s="605"/>
      <c r="K111" s="605"/>
      <c r="L111" s="605"/>
      <c r="M111" s="605"/>
      <c r="N111" s="605"/>
      <c r="O111" s="605"/>
      <c r="P111" s="605"/>
      <c r="Q111" s="605"/>
      <c r="R111" s="605"/>
      <c r="S111" s="605"/>
      <c r="T111" s="605"/>
      <c r="U111" s="605"/>
      <c r="V111" s="663">
        <v>-386</v>
      </c>
      <c r="W111" s="607"/>
      <c r="X111" s="588"/>
      <c r="Y111" s="685"/>
    </row>
    <row r="112" spans="1:25" s="589" customFormat="1" x14ac:dyDescent="0.25">
      <c r="A112" s="604">
        <v>7</v>
      </c>
      <c r="B112" s="684" t="s">
        <v>315</v>
      </c>
      <c r="C112" s="605"/>
      <c r="D112" s="605"/>
      <c r="E112" s="605"/>
      <c r="F112" s="605"/>
      <c r="G112" s="605"/>
      <c r="H112" s="605"/>
      <c r="I112" s="605"/>
      <c r="J112" s="605"/>
      <c r="K112" s="605"/>
      <c r="L112" s="605"/>
      <c r="M112" s="605"/>
      <c r="N112" s="605"/>
      <c r="O112" s="605"/>
      <c r="P112" s="605"/>
      <c r="Q112" s="605"/>
      <c r="R112" s="605"/>
      <c r="S112" s="605"/>
      <c r="T112" s="605"/>
      <c r="U112" s="605"/>
      <c r="V112" s="663">
        <v>0</v>
      </c>
      <c r="W112" s="607"/>
      <c r="X112" s="588"/>
      <c r="Y112" s="685"/>
    </row>
    <row r="113" spans="1:24" s="589" customFormat="1" x14ac:dyDescent="0.25">
      <c r="A113" s="604">
        <v>8</v>
      </c>
      <c r="B113" s="605" t="s">
        <v>35</v>
      </c>
      <c r="C113" s="605"/>
      <c r="D113" s="605"/>
      <c r="E113" s="605"/>
      <c r="F113" s="605"/>
      <c r="G113" s="605"/>
      <c r="H113" s="605"/>
      <c r="I113" s="605"/>
      <c r="J113" s="605"/>
      <c r="K113" s="605"/>
      <c r="L113" s="605"/>
      <c r="M113" s="605"/>
      <c r="N113" s="605"/>
      <c r="O113" s="605"/>
      <c r="P113" s="605"/>
      <c r="Q113" s="605"/>
      <c r="R113" s="605"/>
      <c r="S113" s="605"/>
      <c r="T113" s="605"/>
      <c r="U113" s="605"/>
      <c r="V113" s="663">
        <v>-18</v>
      </c>
      <c r="W113" s="607"/>
      <c r="X113" s="588"/>
    </row>
    <row r="114" spans="1:24" s="589" customFormat="1" x14ac:dyDescent="0.25">
      <c r="A114" s="604">
        <f t="shared" ref="A114:A119" si="0">+A113+1</f>
        <v>9</v>
      </c>
      <c r="B114" s="605" t="s">
        <v>45</v>
      </c>
      <c r="C114" s="605"/>
      <c r="D114" s="605"/>
      <c r="E114" s="605"/>
      <c r="F114" s="605"/>
      <c r="G114" s="605"/>
      <c r="H114" s="605"/>
      <c r="I114" s="605"/>
      <c r="J114" s="605"/>
      <c r="K114" s="605"/>
      <c r="L114" s="605"/>
      <c r="M114" s="605"/>
      <c r="N114" s="605"/>
      <c r="O114" s="605"/>
      <c r="P114" s="605"/>
      <c r="Q114" s="605"/>
      <c r="R114" s="605"/>
      <c r="S114" s="605"/>
      <c r="T114" s="662">
        <f>-V114</f>
        <v>299</v>
      </c>
      <c r="U114" s="605"/>
      <c r="V114" s="663">
        <v>-299</v>
      </c>
      <c r="W114" s="607"/>
      <c r="X114" s="588"/>
    </row>
    <row r="115" spans="1:24" s="589" customFormat="1" x14ac:dyDescent="0.25">
      <c r="A115" s="604">
        <f t="shared" si="0"/>
        <v>10</v>
      </c>
      <c r="B115" s="605" t="s">
        <v>125</v>
      </c>
      <c r="C115" s="605"/>
      <c r="D115" s="605"/>
      <c r="E115" s="605"/>
      <c r="F115" s="605"/>
      <c r="G115" s="605"/>
      <c r="H115" s="605"/>
      <c r="I115" s="605"/>
      <c r="J115" s="605"/>
      <c r="K115" s="605"/>
      <c r="L115" s="605"/>
      <c r="M115" s="605"/>
      <c r="N115" s="605"/>
      <c r="O115" s="605"/>
      <c r="P115" s="605"/>
      <c r="Q115" s="605"/>
      <c r="R115" s="605"/>
      <c r="S115" s="605"/>
      <c r="T115" s="605"/>
      <c r="U115" s="605"/>
      <c r="V115" s="663">
        <v>0</v>
      </c>
      <c r="W115" s="607"/>
      <c r="X115" s="588"/>
    </row>
    <row r="116" spans="1:24" s="589" customFormat="1" x14ac:dyDescent="0.25">
      <c r="A116" s="604">
        <f t="shared" si="0"/>
        <v>11</v>
      </c>
      <c r="B116" s="605" t="s">
        <v>225</v>
      </c>
      <c r="C116" s="605"/>
      <c r="D116" s="605"/>
      <c r="E116" s="605"/>
      <c r="F116" s="605"/>
      <c r="G116" s="605"/>
      <c r="H116" s="605"/>
      <c r="I116" s="605"/>
      <c r="J116" s="605"/>
      <c r="K116" s="605"/>
      <c r="L116" s="605"/>
      <c r="M116" s="605"/>
      <c r="N116" s="605"/>
      <c r="O116" s="605"/>
      <c r="P116" s="605"/>
      <c r="Q116" s="605"/>
      <c r="R116" s="605"/>
      <c r="S116" s="605"/>
      <c r="T116" s="605"/>
      <c r="U116" s="605"/>
      <c r="V116" s="663">
        <v>0</v>
      </c>
      <c r="W116" s="607"/>
      <c r="X116" s="588"/>
    </row>
    <row r="117" spans="1:24" s="589" customFormat="1" x14ac:dyDescent="0.25">
      <c r="A117" s="604">
        <f t="shared" si="0"/>
        <v>12</v>
      </c>
      <c r="B117" s="605" t="s">
        <v>36</v>
      </c>
      <c r="C117" s="605"/>
      <c r="D117" s="605"/>
      <c r="E117" s="605"/>
      <c r="F117" s="605"/>
      <c r="G117" s="605"/>
      <c r="H117" s="605"/>
      <c r="I117" s="605"/>
      <c r="J117" s="605"/>
      <c r="K117" s="605"/>
      <c r="L117" s="605"/>
      <c r="M117" s="605"/>
      <c r="N117" s="605"/>
      <c r="O117" s="605"/>
      <c r="P117" s="605"/>
      <c r="Q117" s="605"/>
      <c r="R117" s="605"/>
      <c r="S117" s="605"/>
      <c r="T117" s="605"/>
      <c r="U117" s="605"/>
      <c r="V117" s="663">
        <v>0</v>
      </c>
      <c r="W117" s="607"/>
      <c r="X117" s="588"/>
    </row>
    <row r="118" spans="1:24" s="589" customFormat="1" x14ac:dyDescent="0.25">
      <c r="A118" s="604">
        <f t="shared" si="0"/>
        <v>13</v>
      </c>
      <c r="B118" s="605" t="s">
        <v>149</v>
      </c>
      <c r="C118" s="605"/>
      <c r="D118" s="605"/>
      <c r="E118" s="605"/>
      <c r="F118" s="605"/>
      <c r="G118" s="605"/>
      <c r="H118" s="605"/>
      <c r="I118" s="605"/>
      <c r="J118" s="605"/>
      <c r="K118" s="605"/>
      <c r="L118" s="605"/>
      <c r="M118" s="605"/>
      <c r="N118" s="605"/>
      <c r="O118" s="605"/>
      <c r="P118" s="605"/>
      <c r="Q118" s="605"/>
      <c r="R118" s="605"/>
      <c r="S118" s="605"/>
      <c r="T118" s="605"/>
      <c r="U118" s="605"/>
      <c r="V118" s="663">
        <v>-222</v>
      </c>
      <c r="W118" s="607"/>
      <c r="X118" s="588"/>
    </row>
    <row r="119" spans="1:24" s="589" customFormat="1" x14ac:dyDescent="0.25">
      <c r="A119" s="604">
        <f t="shared" si="0"/>
        <v>14</v>
      </c>
      <c r="B119" s="605" t="s">
        <v>126</v>
      </c>
      <c r="C119" s="605"/>
      <c r="D119" s="605"/>
      <c r="E119" s="605"/>
      <c r="F119" s="605"/>
      <c r="G119" s="605"/>
      <c r="H119" s="605"/>
      <c r="I119" s="605"/>
      <c r="J119" s="605"/>
      <c r="K119" s="605"/>
      <c r="L119" s="605"/>
      <c r="M119" s="605"/>
      <c r="N119" s="605"/>
      <c r="O119" s="605"/>
      <c r="P119" s="605"/>
      <c r="Q119" s="605"/>
      <c r="R119" s="605"/>
      <c r="S119" s="605"/>
      <c r="T119" s="605"/>
      <c r="U119" s="605"/>
      <c r="V119" s="663">
        <f>-V101-SUM(V103:V118)</f>
        <v>-1795</v>
      </c>
      <c r="W119" s="607"/>
      <c r="X119" s="588"/>
    </row>
    <row r="120" spans="1:24" x14ac:dyDescent="0.25">
      <c r="A120" s="677"/>
      <c r="B120" s="678" t="s">
        <v>37</v>
      </c>
      <c r="C120" s="679"/>
      <c r="D120" s="679"/>
      <c r="E120" s="679"/>
      <c r="F120" s="679"/>
      <c r="G120" s="679"/>
      <c r="H120" s="679"/>
      <c r="I120" s="679"/>
      <c r="J120" s="679"/>
      <c r="K120" s="679"/>
      <c r="L120" s="679"/>
      <c r="M120" s="679"/>
      <c r="N120" s="679"/>
      <c r="O120" s="679"/>
      <c r="P120" s="679"/>
      <c r="Q120" s="679"/>
      <c r="R120" s="679"/>
      <c r="S120" s="679"/>
      <c r="T120" s="681"/>
      <c r="U120" s="681"/>
      <c r="V120" s="686"/>
      <c r="W120" s="683"/>
      <c r="X120" s="572"/>
    </row>
    <row r="121" spans="1:24" s="589" customFormat="1" x14ac:dyDescent="0.25">
      <c r="A121" s="604"/>
      <c r="B121" s="605" t="s">
        <v>173</v>
      </c>
      <c r="C121" s="605"/>
      <c r="D121" s="605"/>
      <c r="E121" s="605"/>
      <c r="F121" s="605"/>
      <c r="G121" s="605"/>
      <c r="H121" s="605"/>
      <c r="I121" s="605"/>
      <c r="J121" s="605"/>
      <c r="K121" s="605"/>
      <c r="L121" s="605"/>
      <c r="M121" s="605"/>
      <c r="N121" s="605"/>
      <c r="O121" s="605"/>
      <c r="P121" s="605"/>
      <c r="Q121" s="605"/>
      <c r="R121" s="605"/>
      <c r="S121" s="605"/>
      <c r="T121" s="662">
        <f>-T186</f>
        <v>0</v>
      </c>
      <c r="U121" s="662"/>
      <c r="V121" s="663"/>
      <c r="W121" s="607"/>
      <c r="X121" s="588"/>
    </row>
    <row r="122" spans="1:24" s="589" customFormat="1" x14ac:dyDescent="0.25">
      <c r="A122" s="604"/>
      <c r="B122" s="605" t="s">
        <v>174</v>
      </c>
      <c r="C122" s="605"/>
      <c r="D122" s="605"/>
      <c r="E122" s="605"/>
      <c r="F122" s="605"/>
      <c r="G122" s="605"/>
      <c r="H122" s="605"/>
      <c r="I122" s="605"/>
      <c r="J122" s="605"/>
      <c r="K122" s="605"/>
      <c r="L122" s="605"/>
      <c r="M122" s="605"/>
      <c r="N122" s="605"/>
      <c r="O122" s="605"/>
      <c r="P122" s="605"/>
      <c r="Q122" s="605"/>
      <c r="R122" s="605"/>
      <c r="S122" s="605"/>
      <c r="T122" s="662">
        <v>0</v>
      </c>
      <c r="U122" s="662"/>
      <c r="V122" s="663"/>
      <c r="W122" s="607"/>
      <c r="X122" s="588"/>
    </row>
    <row r="123" spans="1:24" s="589" customFormat="1" x14ac:dyDescent="0.25">
      <c r="A123" s="604"/>
      <c r="B123" s="605" t="s">
        <v>38</v>
      </c>
      <c r="C123" s="605"/>
      <c r="D123" s="605"/>
      <c r="E123" s="605"/>
      <c r="F123" s="605"/>
      <c r="G123" s="605"/>
      <c r="H123" s="605"/>
      <c r="I123" s="605"/>
      <c r="J123" s="605"/>
      <c r="K123" s="605"/>
      <c r="L123" s="605"/>
      <c r="M123" s="605"/>
      <c r="N123" s="605"/>
      <c r="O123" s="605"/>
      <c r="P123" s="605"/>
      <c r="Q123" s="605"/>
      <c r="R123" s="605"/>
      <c r="S123" s="605"/>
      <c r="T123" s="662">
        <f>-S186</f>
        <v>0</v>
      </c>
      <c r="U123" s="662"/>
      <c r="V123" s="663"/>
      <c r="W123" s="607"/>
      <c r="X123" s="588"/>
    </row>
    <row r="124" spans="1:24" s="589" customFormat="1" x14ac:dyDescent="0.25">
      <c r="A124" s="604"/>
      <c r="B124" s="605" t="s">
        <v>197</v>
      </c>
      <c r="C124" s="605"/>
      <c r="D124" s="605"/>
      <c r="E124" s="605"/>
      <c r="F124" s="605"/>
      <c r="G124" s="605"/>
      <c r="H124" s="605"/>
      <c r="I124" s="605"/>
      <c r="J124" s="605"/>
      <c r="K124" s="605"/>
      <c r="L124" s="605"/>
      <c r="M124" s="605"/>
      <c r="N124" s="605"/>
      <c r="O124" s="605"/>
      <c r="P124" s="605"/>
      <c r="Q124" s="605"/>
      <c r="R124" s="605"/>
      <c r="S124" s="605"/>
      <c r="T124" s="662">
        <v>-6763</v>
      </c>
      <c r="U124" s="662"/>
      <c r="V124" s="663"/>
      <c r="W124" s="607"/>
      <c r="X124" s="588"/>
    </row>
    <row r="125" spans="1:24" s="589" customFormat="1" x14ac:dyDescent="0.25">
      <c r="A125" s="604"/>
      <c r="B125" s="605" t="s">
        <v>195</v>
      </c>
      <c r="C125" s="605"/>
      <c r="D125" s="605"/>
      <c r="E125" s="605"/>
      <c r="F125" s="605"/>
      <c r="G125" s="605"/>
      <c r="H125" s="605"/>
      <c r="I125" s="605"/>
      <c r="J125" s="605"/>
      <c r="K125" s="605"/>
      <c r="L125" s="605"/>
      <c r="M125" s="605"/>
      <c r="N125" s="605"/>
      <c r="O125" s="605"/>
      <c r="P125" s="605"/>
      <c r="Q125" s="605"/>
      <c r="R125" s="605"/>
      <c r="S125" s="605"/>
      <c r="T125" s="662">
        <v>-2874</v>
      </c>
      <c r="U125" s="662"/>
      <c r="V125" s="663"/>
      <c r="W125" s="607"/>
      <c r="X125" s="588"/>
    </row>
    <row r="126" spans="1:24" s="589" customFormat="1" x14ac:dyDescent="0.25">
      <c r="A126" s="604"/>
      <c r="B126" s="605" t="s">
        <v>194</v>
      </c>
      <c r="C126" s="605"/>
      <c r="D126" s="605"/>
      <c r="E126" s="605"/>
      <c r="F126" s="605"/>
      <c r="G126" s="605"/>
      <c r="H126" s="605"/>
      <c r="I126" s="605"/>
      <c r="J126" s="605"/>
      <c r="K126" s="605"/>
      <c r="L126" s="605"/>
      <c r="M126" s="605"/>
      <c r="N126" s="605"/>
      <c r="O126" s="605"/>
      <c r="P126" s="605"/>
      <c r="Q126" s="605"/>
      <c r="R126" s="605"/>
      <c r="S126" s="605"/>
      <c r="T126" s="662">
        <v>-1024</v>
      </c>
      <c r="U126" s="662"/>
      <c r="V126" s="663"/>
      <c r="W126" s="607"/>
      <c r="X126" s="588"/>
    </row>
    <row r="127" spans="1:24" s="589" customFormat="1" x14ac:dyDescent="0.25">
      <c r="A127" s="604"/>
      <c r="B127" s="605" t="s">
        <v>222</v>
      </c>
      <c r="C127" s="605"/>
      <c r="D127" s="605"/>
      <c r="E127" s="605"/>
      <c r="F127" s="605"/>
      <c r="G127" s="605"/>
      <c r="H127" s="605"/>
      <c r="I127" s="605"/>
      <c r="J127" s="605"/>
      <c r="K127" s="605"/>
      <c r="L127" s="605"/>
      <c r="M127" s="605"/>
      <c r="N127" s="605"/>
      <c r="O127" s="605"/>
      <c r="P127" s="605"/>
      <c r="Q127" s="605"/>
      <c r="R127" s="605"/>
      <c r="S127" s="605"/>
      <c r="T127" s="662">
        <v>-1014</v>
      </c>
      <c r="U127" s="662"/>
      <c r="V127" s="663"/>
      <c r="W127" s="607"/>
      <c r="X127" s="588"/>
    </row>
    <row r="128" spans="1:24" s="589" customFormat="1" x14ac:dyDescent="0.25">
      <c r="A128" s="604"/>
      <c r="B128" s="605" t="s">
        <v>189</v>
      </c>
      <c r="C128" s="605"/>
      <c r="D128" s="605"/>
      <c r="E128" s="605"/>
      <c r="F128" s="605"/>
      <c r="G128" s="605"/>
      <c r="H128" s="605"/>
      <c r="I128" s="605"/>
      <c r="J128" s="605"/>
      <c r="K128" s="605"/>
      <c r="L128" s="605"/>
      <c r="M128" s="605"/>
      <c r="N128" s="605"/>
      <c r="O128" s="605"/>
      <c r="P128" s="605"/>
      <c r="Q128" s="605"/>
      <c r="R128" s="605"/>
      <c r="S128" s="605"/>
      <c r="T128" s="662">
        <v>0</v>
      </c>
      <c r="U128" s="662"/>
      <c r="V128" s="663"/>
      <c r="W128" s="607"/>
      <c r="X128" s="588"/>
    </row>
    <row r="129" spans="1:24" s="589" customFormat="1" x14ac:dyDescent="0.25">
      <c r="A129" s="604"/>
      <c r="B129" s="605" t="s">
        <v>188</v>
      </c>
      <c r="C129" s="605"/>
      <c r="D129" s="605"/>
      <c r="E129" s="605"/>
      <c r="F129" s="605"/>
      <c r="G129" s="605"/>
      <c r="H129" s="605"/>
      <c r="I129" s="605"/>
      <c r="J129" s="605"/>
      <c r="K129" s="605"/>
      <c r="L129" s="605"/>
      <c r="M129" s="605"/>
      <c r="N129" s="605"/>
      <c r="O129" s="605"/>
      <c r="P129" s="605"/>
      <c r="Q129" s="605"/>
      <c r="R129" s="605"/>
      <c r="S129" s="605"/>
      <c r="T129" s="662">
        <v>0</v>
      </c>
      <c r="U129" s="662"/>
      <c r="V129" s="663"/>
      <c r="W129" s="607"/>
      <c r="X129" s="588"/>
    </row>
    <row r="130" spans="1:24" s="589" customFormat="1" x14ac:dyDescent="0.25">
      <c r="A130" s="604"/>
      <c r="B130" s="605" t="s">
        <v>187</v>
      </c>
      <c r="C130" s="605"/>
      <c r="D130" s="605"/>
      <c r="E130" s="605"/>
      <c r="F130" s="605"/>
      <c r="G130" s="605"/>
      <c r="H130" s="605"/>
      <c r="I130" s="605"/>
      <c r="J130" s="605"/>
      <c r="K130" s="605"/>
      <c r="L130" s="605"/>
      <c r="M130" s="605"/>
      <c r="N130" s="605"/>
      <c r="O130" s="605"/>
      <c r="P130" s="605"/>
      <c r="Q130" s="605"/>
      <c r="R130" s="605"/>
      <c r="S130" s="605"/>
      <c r="T130" s="662">
        <v>0</v>
      </c>
      <c r="U130" s="662"/>
      <c r="V130" s="663"/>
      <c r="W130" s="607"/>
      <c r="X130" s="588"/>
    </row>
    <row r="131" spans="1:24" s="589" customFormat="1" x14ac:dyDescent="0.25">
      <c r="A131" s="604"/>
      <c r="B131" s="605" t="s">
        <v>39</v>
      </c>
      <c r="C131" s="605"/>
      <c r="D131" s="605"/>
      <c r="E131" s="605"/>
      <c r="F131" s="605"/>
      <c r="G131" s="605"/>
      <c r="H131" s="605"/>
      <c r="I131" s="605"/>
      <c r="J131" s="605"/>
      <c r="K131" s="605"/>
      <c r="L131" s="605"/>
      <c r="M131" s="605"/>
      <c r="N131" s="605"/>
      <c r="O131" s="605"/>
      <c r="P131" s="605"/>
      <c r="Q131" s="605"/>
      <c r="R131" s="605"/>
      <c r="S131" s="605"/>
      <c r="T131" s="662">
        <f>SUM(T121:T130)</f>
        <v>-11675</v>
      </c>
      <c r="U131" s="662"/>
      <c r="V131" s="662">
        <f>SUM(V102:V129)</f>
        <v>-4526</v>
      </c>
      <c r="W131" s="607"/>
      <c r="X131" s="588"/>
    </row>
    <row r="132" spans="1:24" s="589" customFormat="1" x14ac:dyDescent="0.25">
      <c r="A132" s="604"/>
      <c r="B132" s="605" t="s">
        <v>40</v>
      </c>
      <c r="C132" s="605"/>
      <c r="D132" s="605"/>
      <c r="E132" s="605"/>
      <c r="F132" s="605"/>
      <c r="G132" s="605"/>
      <c r="H132" s="605"/>
      <c r="I132" s="605"/>
      <c r="J132" s="605"/>
      <c r="K132" s="605"/>
      <c r="L132" s="605"/>
      <c r="M132" s="605"/>
      <c r="N132" s="605"/>
      <c r="O132" s="605"/>
      <c r="P132" s="605"/>
      <c r="Q132" s="605"/>
      <c r="R132" s="605"/>
      <c r="S132" s="605"/>
      <c r="T132" s="662">
        <f>T101+T131+T114</f>
        <v>0</v>
      </c>
      <c r="U132" s="662"/>
      <c r="V132" s="662">
        <f>V101+V131</f>
        <v>0</v>
      </c>
      <c r="W132" s="607"/>
      <c r="X132" s="588"/>
    </row>
    <row r="133" spans="1:24" s="589" customFormat="1" x14ac:dyDescent="0.25">
      <c r="A133" s="585"/>
      <c r="B133" s="602"/>
      <c r="C133" s="602"/>
      <c r="D133" s="602"/>
      <c r="E133" s="602"/>
      <c r="F133" s="602"/>
      <c r="G133" s="602"/>
      <c r="H133" s="602"/>
      <c r="I133" s="602"/>
      <c r="J133" s="602"/>
      <c r="K133" s="602"/>
      <c r="L133" s="602"/>
      <c r="M133" s="602"/>
      <c r="N133" s="602"/>
      <c r="O133" s="602"/>
      <c r="P133" s="602"/>
      <c r="Q133" s="602"/>
      <c r="R133" s="602"/>
      <c r="S133" s="602"/>
      <c r="T133" s="673"/>
      <c r="U133" s="673"/>
      <c r="V133" s="673"/>
      <c r="W133" s="602"/>
      <c r="X133" s="588"/>
    </row>
    <row r="134" spans="1:24" s="589" customFormat="1" x14ac:dyDescent="0.25">
      <c r="A134" s="585"/>
      <c r="B134" s="586"/>
      <c r="C134" s="586"/>
      <c r="D134" s="586"/>
      <c r="E134" s="586"/>
      <c r="F134" s="586"/>
      <c r="G134" s="586"/>
      <c r="H134" s="586"/>
      <c r="I134" s="586"/>
      <c r="J134" s="586"/>
      <c r="K134" s="586"/>
      <c r="L134" s="586"/>
      <c r="M134" s="586"/>
      <c r="N134" s="586"/>
      <c r="O134" s="586"/>
      <c r="P134" s="586"/>
      <c r="Q134" s="586"/>
      <c r="R134" s="586"/>
      <c r="S134" s="586"/>
      <c r="T134" s="586"/>
      <c r="U134" s="586"/>
      <c r="V134" s="687"/>
      <c r="W134" s="586"/>
      <c r="X134" s="588"/>
    </row>
    <row r="135" spans="1:24" s="589" customFormat="1" ht="19.5" thickBot="1" x14ac:dyDescent="0.35">
      <c r="A135" s="649"/>
      <c r="B135" s="568" t="str">
        <f>B64</f>
        <v>PM15 INVESTOR REPORT QUARTER ENDING FEBRUARY 2019</v>
      </c>
      <c r="C135" s="650"/>
      <c r="D135" s="650"/>
      <c r="E135" s="650"/>
      <c r="F135" s="650"/>
      <c r="G135" s="650"/>
      <c r="H135" s="650"/>
      <c r="I135" s="650"/>
      <c r="J135" s="650"/>
      <c r="K135" s="650"/>
      <c r="L135" s="650"/>
      <c r="M135" s="650"/>
      <c r="N135" s="650"/>
      <c r="O135" s="650"/>
      <c r="P135" s="650"/>
      <c r="Q135" s="650"/>
      <c r="R135" s="650"/>
      <c r="S135" s="650"/>
      <c r="T135" s="650"/>
      <c r="U135" s="650"/>
      <c r="V135" s="688"/>
      <c r="W135" s="652"/>
      <c r="X135" s="588"/>
    </row>
    <row r="136" spans="1:24" x14ac:dyDescent="0.25">
      <c r="A136" s="689"/>
      <c r="B136" s="690" t="s">
        <v>41</v>
      </c>
      <c r="C136" s="691"/>
      <c r="D136" s="691"/>
      <c r="E136" s="691"/>
      <c r="F136" s="691"/>
      <c r="G136" s="691"/>
      <c r="H136" s="691"/>
      <c r="I136" s="691"/>
      <c r="J136" s="691"/>
      <c r="K136" s="691"/>
      <c r="L136" s="691"/>
      <c r="M136" s="691"/>
      <c r="N136" s="691"/>
      <c r="O136" s="691"/>
      <c r="P136" s="691"/>
      <c r="Q136" s="691"/>
      <c r="R136" s="691"/>
      <c r="S136" s="691"/>
      <c r="T136" s="691"/>
      <c r="U136" s="691"/>
      <c r="V136" s="692"/>
      <c r="W136" s="691"/>
      <c r="X136" s="572"/>
    </row>
    <row r="137" spans="1:24" x14ac:dyDescent="0.25">
      <c r="A137" s="574"/>
      <c r="B137" s="693"/>
      <c r="C137" s="576"/>
      <c r="D137" s="576"/>
      <c r="E137" s="576"/>
      <c r="F137" s="576"/>
      <c r="G137" s="576"/>
      <c r="H137" s="576"/>
      <c r="I137" s="576"/>
      <c r="J137" s="576"/>
      <c r="K137" s="576"/>
      <c r="L137" s="576"/>
      <c r="M137" s="576"/>
      <c r="N137" s="576"/>
      <c r="O137" s="576"/>
      <c r="P137" s="576"/>
      <c r="Q137" s="576"/>
      <c r="R137" s="576"/>
      <c r="S137" s="576"/>
      <c r="T137" s="576"/>
      <c r="U137" s="576"/>
      <c r="V137" s="656"/>
      <c r="W137" s="576"/>
      <c r="X137" s="572"/>
    </row>
    <row r="138" spans="1:24" x14ac:dyDescent="0.25">
      <c r="A138" s="574"/>
      <c r="B138" s="694" t="s">
        <v>42</v>
      </c>
      <c r="C138" s="576"/>
      <c r="D138" s="576"/>
      <c r="E138" s="576"/>
      <c r="F138" s="576"/>
      <c r="G138" s="576"/>
      <c r="H138" s="576"/>
      <c r="I138" s="576"/>
      <c r="J138" s="576"/>
      <c r="K138" s="576"/>
      <c r="L138" s="576"/>
      <c r="M138" s="576"/>
      <c r="N138" s="576"/>
      <c r="O138" s="576"/>
      <c r="P138" s="576"/>
      <c r="Q138" s="576"/>
      <c r="R138" s="576"/>
      <c r="S138" s="576"/>
      <c r="T138" s="576"/>
      <c r="U138" s="576"/>
      <c r="V138" s="656"/>
      <c r="W138" s="576"/>
      <c r="X138" s="572"/>
    </row>
    <row r="139" spans="1:24" s="589" customFormat="1" x14ac:dyDescent="0.25">
      <c r="A139" s="604"/>
      <c r="B139" s="605" t="s">
        <v>43</v>
      </c>
      <c r="C139" s="605"/>
      <c r="D139" s="605"/>
      <c r="E139" s="605"/>
      <c r="F139" s="605"/>
      <c r="G139" s="605"/>
      <c r="H139" s="605"/>
      <c r="I139" s="605"/>
      <c r="J139" s="605"/>
      <c r="K139" s="605"/>
      <c r="L139" s="605"/>
      <c r="M139" s="605"/>
      <c r="N139" s="605"/>
      <c r="O139" s="605"/>
      <c r="P139" s="605"/>
      <c r="Q139" s="605"/>
      <c r="R139" s="605"/>
      <c r="S139" s="605"/>
      <c r="T139" s="605"/>
      <c r="U139" s="605"/>
      <c r="V139" s="663">
        <f>+V34*0.019</f>
        <v>19021.526999999998</v>
      </c>
      <c r="W139" s="607"/>
      <c r="X139" s="588"/>
    </row>
    <row r="140" spans="1:24" s="589" customFormat="1" x14ac:dyDescent="0.25">
      <c r="A140" s="604"/>
      <c r="B140" s="605" t="s">
        <v>44</v>
      </c>
      <c r="C140" s="605"/>
      <c r="D140" s="605"/>
      <c r="E140" s="605"/>
      <c r="F140" s="605"/>
      <c r="G140" s="605"/>
      <c r="H140" s="605"/>
      <c r="I140" s="605"/>
      <c r="J140" s="605"/>
      <c r="K140" s="605"/>
      <c r="L140" s="605"/>
      <c r="M140" s="605"/>
      <c r="N140" s="605"/>
      <c r="O140" s="605"/>
      <c r="P140" s="605"/>
      <c r="Q140" s="605"/>
      <c r="R140" s="605"/>
      <c r="S140" s="605"/>
      <c r="T140" s="605"/>
      <c r="U140" s="605"/>
      <c r="V140" s="663">
        <v>19022</v>
      </c>
      <c r="W140" s="607"/>
      <c r="X140" s="588"/>
    </row>
    <row r="141" spans="1:24" s="589" customFormat="1" x14ac:dyDescent="0.25">
      <c r="A141" s="604"/>
      <c r="B141" s="605" t="s">
        <v>136</v>
      </c>
      <c r="C141" s="605"/>
      <c r="D141" s="605"/>
      <c r="E141" s="605"/>
      <c r="F141" s="605"/>
      <c r="G141" s="605"/>
      <c r="H141" s="605"/>
      <c r="I141" s="605"/>
      <c r="J141" s="605"/>
      <c r="K141" s="605"/>
      <c r="L141" s="605"/>
      <c r="M141" s="605"/>
      <c r="N141" s="605"/>
      <c r="O141" s="605"/>
      <c r="P141" s="605"/>
      <c r="Q141" s="605"/>
      <c r="R141" s="605"/>
      <c r="S141" s="605"/>
      <c r="T141" s="605"/>
      <c r="U141" s="605"/>
      <c r="V141" s="663"/>
      <c r="W141" s="607"/>
      <c r="X141" s="588"/>
    </row>
    <row r="142" spans="1:24" s="589" customFormat="1" x14ac:dyDescent="0.25">
      <c r="A142" s="604"/>
      <c r="B142" s="605" t="s">
        <v>123</v>
      </c>
      <c r="C142" s="605"/>
      <c r="D142" s="605"/>
      <c r="E142" s="605"/>
      <c r="F142" s="605"/>
      <c r="G142" s="605"/>
      <c r="H142" s="605"/>
      <c r="I142" s="605"/>
      <c r="J142" s="605"/>
      <c r="K142" s="605"/>
      <c r="L142" s="605"/>
      <c r="M142" s="605"/>
      <c r="N142" s="605"/>
      <c r="O142" s="605"/>
      <c r="P142" s="605"/>
      <c r="Q142" s="605"/>
      <c r="R142" s="605"/>
      <c r="S142" s="605"/>
      <c r="T142" s="605"/>
      <c r="U142" s="605"/>
      <c r="V142" s="663">
        <v>0</v>
      </c>
      <c r="W142" s="607"/>
      <c r="X142" s="588"/>
    </row>
    <row r="143" spans="1:24" s="589" customFormat="1" x14ac:dyDescent="0.25">
      <c r="A143" s="604"/>
      <c r="B143" s="605" t="s">
        <v>124</v>
      </c>
      <c r="C143" s="605"/>
      <c r="D143" s="605"/>
      <c r="E143" s="605"/>
      <c r="F143" s="605"/>
      <c r="G143" s="605"/>
      <c r="H143" s="605"/>
      <c r="I143" s="605"/>
      <c r="J143" s="605"/>
      <c r="K143" s="605"/>
      <c r="L143" s="605"/>
      <c r="M143" s="605"/>
      <c r="N143" s="605"/>
      <c r="O143" s="605"/>
      <c r="P143" s="605"/>
      <c r="Q143" s="605"/>
      <c r="R143" s="605"/>
      <c r="S143" s="605"/>
      <c r="T143" s="605"/>
      <c r="U143" s="605"/>
      <c r="V143" s="663">
        <v>0</v>
      </c>
      <c r="W143" s="607"/>
      <c r="X143" s="588"/>
    </row>
    <row r="144" spans="1:24" s="589" customFormat="1" x14ac:dyDescent="0.25">
      <c r="A144" s="604"/>
      <c r="B144" s="605" t="s">
        <v>175</v>
      </c>
      <c r="C144" s="605"/>
      <c r="D144" s="605"/>
      <c r="E144" s="605"/>
      <c r="F144" s="605"/>
      <c r="G144" s="605"/>
      <c r="H144" s="605"/>
      <c r="I144" s="605"/>
      <c r="J144" s="605"/>
      <c r="K144" s="605"/>
      <c r="L144" s="605"/>
      <c r="M144" s="605"/>
      <c r="N144" s="605"/>
      <c r="O144" s="605"/>
      <c r="P144" s="605"/>
      <c r="Q144" s="605"/>
      <c r="R144" s="605"/>
      <c r="S144" s="605"/>
      <c r="T144" s="605"/>
      <c r="U144" s="605"/>
      <c r="V144" s="663">
        <v>0</v>
      </c>
      <c r="W144" s="607"/>
      <c r="X144" s="588"/>
    </row>
    <row r="145" spans="1:25" s="589" customFormat="1" x14ac:dyDescent="0.25">
      <c r="A145" s="604"/>
      <c r="B145" s="605" t="s">
        <v>45</v>
      </c>
      <c r="C145" s="605"/>
      <c r="D145" s="605"/>
      <c r="E145" s="605"/>
      <c r="F145" s="605"/>
      <c r="G145" s="605"/>
      <c r="H145" s="605"/>
      <c r="I145" s="605"/>
      <c r="J145" s="605"/>
      <c r="K145" s="605"/>
      <c r="L145" s="605"/>
      <c r="M145" s="605"/>
      <c r="N145" s="605"/>
      <c r="O145" s="605"/>
      <c r="P145" s="605"/>
      <c r="Q145" s="605"/>
      <c r="R145" s="605"/>
      <c r="S145" s="605"/>
      <c r="T145" s="605"/>
      <c r="U145" s="605"/>
      <c r="V145" s="663">
        <v>0</v>
      </c>
      <c r="W145" s="607"/>
      <c r="X145" s="588"/>
    </row>
    <row r="146" spans="1:25" s="589" customFormat="1" x14ac:dyDescent="0.25">
      <c r="A146" s="604"/>
      <c r="B146" s="605" t="s">
        <v>129</v>
      </c>
      <c r="C146" s="605"/>
      <c r="D146" s="605"/>
      <c r="E146" s="605"/>
      <c r="F146" s="605"/>
      <c r="G146" s="605"/>
      <c r="H146" s="605"/>
      <c r="I146" s="605"/>
      <c r="J146" s="605"/>
      <c r="K146" s="605"/>
      <c r="L146" s="605"/>
      <c r="M146" s="605"/>
      <c r="N146" s="605"/>
      <c r="O146" s="605"/>
      <c r="P146" s="605"/>
      <c r="Q146" s="605"/>
      <c r="R146" s="605"/>
      <c r="S146" s="605"/>
      <c r="T146" s="605"/>
      <c r="U146" s="605"/>
      <c r="V146" s="663">
        <v>0</v>
      </c>
      <c r="W146" s="607"/>
      <c r="X146" s="588"/>
    </row>
    <row r="147" spans="1:25" s="589" customFormat="1" x14ac:dyDescent="0.25">
      <c r="A147" s="604"/>
      <c r="B147" s="605" t="s">
        <v>241</v>
      </c>
      <c r="C147" s="605"/>
      <c r="D147" s="605"/>
      <c r="E147" s="605"/>
      <c r="F147" s="605"/>
      <c r="G147" s="605"/>
      <c r="H147" s="605"/>
      <c r="I147" s="605"/>
      <c r="J147" s="605"/>
      <c r="K147" s="605"/>
      <c r="L147" s="605"/>
      <c r="M147" s="605"/>
      <c r="N147" s="605"/>
      <c r="O147" s="605"/>
      <c r="P147" s="605"/>
      <c r="Q147" s="605"/>
      <c r="R147" s="605"/>
      <c r="S147" s="605"/>
      <c r="T147" s="605"/>
      <c r="U147" s="605"/>
      <c r="V147" s="663">
        <v>0</v>
      </c>
      <c r="W147" s="607"/>
      <c r="X147" s="588"/>
      <c r="Y147" s="685"/>
    </row>
    <row r="148" spans="1:25" s="589" customFormat="1" x14ac:dyDescent="0.25">
      <c r="A148" s="604"/>
      <c r="B148" s="605" t="s">
        <v>46</v>
      </c>
      <c r="C148" s="605"/>
      <c r="D148" s="605"/>
      <c r="E148" s="605"/>
      <c r="F148" s="605"/>
      <c r="G148" s="605"/>
      <c r="H148" s="605"/>
      <c r="I148" s="605"/>
      <c r="J148" s="605"/>
      <c r="K148" s="605"/>
      <c r="L148" s="605"/>
      <c r="M148" s="605"/>
      <c r="N148" s="605"/>
      <c r="O148" s="605"/>
      <c r="P148" s="605"/>
      <c r="Q148" s="605"/>
      <c r="R148" s="605"/>
      <c r="S148" s="605"/>
      <c r="T148" s="605"/>
      <c r="U148" s="605"/>
      <c r="V148" s="663">
        <f>SUM(V140:V147)</f>
        <v>19022</v>
      </c>
      <c r="W148" s="607"/>
      <c r="X148" s="588"/>
    </row>
    <row r="149" spans="1:25" x14ac:dyDescent="0.25">
      <c r="A149" s="677"/>
      <c r="B149" s="679"/>
      <c r="C149" s="679"/>
      <c r="D149" s="679"/>
      <c r="E149" s="679"/>
      <c r="F149" s="679"/>
      <c r="G149" s="679"/>
      <c r="H149" s="679"/>
      <c r="I149" s="679"/>
      <c r="J149" s="679"/>
      <c r="K149" s="679"/>
      <c r="L149" s="679"/>
      <c r="M149" s="679"/>
      <c r="N149" s="679"/>
      <c r="O149" s="679"/>
      <c r="P149" s="679"/>
      <c r="Q149" s="679"/>
      <c r="R149" s="679"/>
      <c r="S149" s="679"/>
      <c r="T149" s="679"/>
      <c r="U149" s="679"/>
      <c r="V149" s="695"/>
      <c r="W149" s="683"/>
      <c r="X149" s="572"/>
    </row>
    <row r="150" spans="1:25" x14ac:dyDescent="0.25">
      <c r="A150" s="677"/>
      <c r="B150" s="678" t="s">
        <v>269</v>
      </c>
      <c r="C150" s="679"/>
      <c r="D150" s="679"/>
      <c r="E150" s="679"/>
      <c r="F150" s="679"/>
      <c r="G150" s="679"/>
      <c r="H150" s="679"/>
      <c r="I150" s="679"/>
      <c r="J150" s="679"/>
      <c r="K150" s="679"/>
      <c r="L150" s="679"/>
      <c r="M150" s="679"/>
      <c r="N150" s="679"/>
      <c r="O150" s="679"/>
      <c r="P150" s="679"/>
      <c r="Q150" s="679"/>
      <c r="R150" s="679"/>
      <c r="S150" s="679"/>
      <c r="T150" s="679"/>
      <c r="U150" s="679"/>
      <c r="V150" s="695"/>
      <c r="W150" s="683"/>
      <c r="X150" s="572"/>
    </row>
    <row r="151" spans="1:25" s="589" customFormat="1" x14ac:dyDescent="0.25">
      <c r="A151" s="604"/>
      <c r="B151" s="605" t="s">
        <v>155</v>
      </c>
      <c r="C151" s="605"/>
      <c r="D151" s="605"/>
      <c r="E151" s="605"/>
      <c r="F151" s="605"/>
      <c r="G151" s="605"/>
      <c r="H151" s="605"/>
      <c r="I151" s="605"/>
      <c r="J151" s="605"/>
      <c r="K151" s="605"/>
      <c r="L151" s="605"/>
      <c r="M151" s="605"/>
      <c r="N151" s="605"/>
      <c r="O151" s="605"/>
      <c r="P151" s="605"/>
      <c r="Q151" s="605"/>
      <c r="R151" s="605"/>
      <c r="S151" s="605"/>
      <c r="T151" s="605"/>
      <c r="U151" s="605"/>
      <c r="V151" s="663">
        <v>0</v>
      </c>
      <c r="W151" s="607"/>
      <c r="X151" s="588"/>
    </row>
    <row r="152" spans="1:25" s="589" customFormat="1" x14ac:dyDescent="0.25">
      <c r="A152" s="604"/>
      <c r="B152" s="605" t="s">
        <v>172</v>
      </c>
      <c r="C152" s="605"/>
      <c r="D152" s="605"/>
      <c r="E152" s="605"/>
      <c r="F152" s="605"/>
      <c r="G152" s="605"/>
      <c r="H152" s="605"/>
      <c r="I152" s="605"/>
      <c r="J152" s="605"/>
      <c r="K152" s="605"/>
      <c r="L152" s="605"/>
      <c r="M152" s="605"/>
      <c r="N152" s="605"/>
      <c r="O152" s="605"/>
      <c r="P152" s="605"/>
      <c r="Q152" s="605"/>
      <c r="R152" s="605"/>
      <c r="S152" s="605"/>
      <c r="T152" s="605"/>
      <c r="U152" s="605"/>
      <c r="V152" s="663">
        <v>0</v>
      </c>
      <c r="W152" s="607"/>
      <c r="X152" s="588"/>
    </row>
    <row r="153" spans="1:25" s="589" customFormat="1" x14ac:dyDescent="0.25">
      <c r="A153" s="604"/>
      <c r="B153" s="605" t="s">
        <v>226</v>
      </c>
      <c r="C153" s="605"/>
      <c r="D153" s="605"/>
      <c r="E153" s="605"/>
      <c r="F153" s="605"/>
      <c r="G153" s="605"/>
      <c r="H153" s="605"/>
      <c r="I153" s="605"/>
      <c r="J153" s="605"/>
      <c r="K153" s="605"/>
      <c r="L153" s="605"/>
      <c r="M153" s="605"/>
      <c r="N153" s="605"/>
      <c r="O153" s="605"/>
      <c r="P153" s="605"/>
      <c r="Q153" s="605"/>
      <c r="R153" s="605"/>
      <c r="S153" s="605"/>
      <c r="T153" s="605"/>
      <c r="U153" s="605"/>
      <c r="V153" s="663">
        <v>0</v>
      </c>
      <c r="W153" s="607"/>
      <c r="X153" s="588"/>
    </row>
    <row r="154" spans="1:25" x14ac:dyDescent="0.25">
      <c r="A154" s="677"/>
      <c r="B154" s="679"/>
      <c r="C154" s="679"/>
      <c r="D154" s="679"/>
      <c r="E154" s="679"/>
      <c r="F154" s="679"/>
      <c r="G154" s="679"/>
      <c r="H154" s="679"/>
      <c r="I154" s="679"/>
      <c r="J154" s="679"/>
      <c r="K154" s="679"/>
      <c r="L154" s="679"/>
      <c r="M154" s="679"/>
      <c r="N154" s="679"/>
      <c r="O154" s="679"/>
      <c r="P154" s="679"/>
      <c r="Q154" s="679"/>
      <c r="R154" s="679"/>
      <c r="S154" s="679"/>
      <c r="T154" s="679"/>
      <c r="U154" s="679"/>
      <c r="V154" s="695"/>
      <c r="W154" s="683"/>
      <c r="X154" s="572"/>
    </row>
    <row r="155" spans="1:25" x14ac:dyDescent="0.25">
      <c r="A155" s="574"/>
      <c r="B155" s="664"/>
      <c r="C155" s="664"/>
      <c r="D155" s="664"/>
      <c r="E155" s="664"/>
      <c r="F155" s="664"/>
      <c r="G155" s="664"/>
      <c r="H155" s="664"/>
      <c r="I155" s="664"/>
      <c r="J155" s="664"/>
      <c r="K155" s="664"/>
      <c r="L155" s="664"/>
      <c r="M155" s="664"/>
      <c r="N155" s="664"/>
      <c r="O155" s="664"/>
      <c r="P155" s="664"/>
      <c r="Q155" s="664"/>
      <c r="R155" s="664"/>
      <c r="S155" s="664"/>
      <c r="T155" s="664"/>
      <c r="U155" s="664"/>
      <c r="V155" s="696"/>
      <c r="W155" s="664"/>
      <c r="X155" s="572"/>
    </row>
    <row r="156" spans="1:25" x14ac:dyDescent="0.25">
      <c r="A156" s="574"/>
      <c r="B156" s="694" t="s">
        <v>24</v>
      </c>
      <c r="C156" s="576"/>
      <c r="D156" s="576"/>
      <c r="E156" s="576"/>
      <c r="F156" s="576"/>
      <c r="G156" s="576"/>
      <c r="H156" s="576"/>
      <c r="I156" s="576"/>
      <c r="J156" s="576"/>
      <c r="K156" s="576"/>
      <c r="L156" s="576"/>
      <c r="M156" s="576"/>
      <c r="N156" s="576"/>
      <c r="O156" s="576"/>
      <c r="P156" s="576"/>
      <c r="Q156" s="576"/>
      <c r="R156" s="576"/>
      <c r="S156" s="576"/>
      <c r="T156" s="576"/>
      <c r="U156" s="576"/>
      <c r="V156" s="656"/>
      <c r="W156" s="576"/>
      <c r="X156" s="572"/>
    </row>
    <row r="157" spans="1:25" s="589" customFormat="1" x14ac:dyDescent="0.25">
      <c r="A157" s="604"/>
      <c r="B157" s="605" t="s">
        <v>47</v>
      </c>
      <c r="C157" s="605"/>
      <c r="D157" s="605"/>
      <c r="E157" s="605"/>
      <c r="F157" s="605"/>
      <c r="G157" s="605"/>
      <c r="H157" s="605"/>
      <c r="I157" s="605"/>
      <c r="J157" s="605"/>
      <c r="K157" s="605"/>
      <c r="L157" s="605"/>
      <c r="M157" s="605"/>
      <c r="N157" s="605"/>
      <c r="O157" s="605"/>
      <c r="P157" s="605"/>
      <c r="Q157" s="605"/>
      <c r="R157" s="605"/>
      <c r="S157" s="605"/>
      <c r="T157" s="605"/>
      <c r="U157" s="605"/>
      <c r="V157" s="697" t="s">
        <v>118</v>
      </c>
      <c r="W157" s="607"/>
      <c r="X157" s="588"/>
    </row>
    <row r="158" spans="1:25" s="589" customFormat="1" x14ac:dyDescent="0.25">
      <c r="A158" s="604"/>
      <c r="B158" s="605" t="s">
        <v>48</v>
      </c>
      <c r="C158" s="605"/>
      <c r="D158" s="605"/>
      <c r="E158" s="605"/>
      <c r="F158" s="605"/>
      <c r="G158" s="605"/>
      <c r="H158" s="605"/>
      <c r="I158" s="605"/>
      <c r="J158" s="605"/>
      <c r="K158" s="605"/>
      <c r="L158" s="605"/>
      <c r="M158" s="605"/>
      <c r="N158" s="605"/>
      <c r="O158" s="605"/>
      <c r="P158" s="605"/>
      <c r="Q158" s="605"/>
      <c r="R158" s="605"/>
      <c r="S158" s="605"/>
      <c r="T158" s="605"/>
      <c r="U158" s="605"/>
      <c r="V158" s="697" t="s">
        <v>118</v>
      </c>
      <c r="W158" s="607"/>
      <c r="X158" s="588"/>
    </row>
    <row r="159" spans="1:25" s="589" customFormat="1" x14ac:dyDescent="0.25">
      <c r="A159" s="604"/>
      <c r="B159" s="605" t="s">
        <v>49</v>
      </c>
      <c r="C159" s="605"/>
      <c r="D159" s="605"/>
      <c r="E159" s="605"/>
      <c r="F159" s="605"/>
      <c r="G159" s="605"/>
      <c r="H159" s="605"/>
      <c r="I159" s="605"/>
      <c r="J159" s="605"/>
      <c r="K159" s="605"/>
      <c r="L159" s="605"/>
      <c r="M159" s="605"/>
      <c r="N159" s="605"/>
      <c r="O159" s="605"/>
      <c r="P159" s="605"/>
      <c r="Q159" s="605"/>
      <c r="R159" s="605"/>
      <c r="S159" s="605"/>
      <c r="T159" s="605"/>
      <c r="U159" s="605"/>
      <c r="V159" s="697" t="s">
        <v>118</v>
      </c>
      <c r="W159" s="607"/>
      <c r="X159" s="588"/>
    </row>
    <row r="160" spans="1:25" s="589" customFormat="1" x14ac:dyDescent="0.25">
      <c r="A160" s="604"/>
      <c r="B160" s="605" t="s">
        <v>50</v>
      </c>
      <c r="C160" s="605"/>
      <c r="D160" s="605"/>
      <c r="E160" s="605"/>
      <c r="F160" s="605"/>
      <c r="G160" s="605"/>
      <c r="H160" s="605"/>
      <c r="I160" s="605"/>
      <c r="J160" s="605"/>
      <c r="K160" s="605"/>
      <c r="L160" s="605"/>
      <c r="M160" s="605"/>
      <c r="N160" s="605"/>
      <c r="O160" s="605"/>
      <c r="P160" s="605"/>
      <c r="Q160" s="605"/>
      <c r="R160" s="605"/>
      <c r="S160" s="605"/>
      <c r="T160" s="605"/>
      <c r="U160" s="605"/>
      <c r="V160" s="697" t="s">
        <v>118</v>
      </c>
      <c r="W160" s="607"/>
      <c r="X160" s="588"/>
    </row>
    <row r="161" spans="1:256" x14ac:dyDescent="0.25">
      <c r="A161" s="574"/>
      <c r="B161" s="664"/>
      <c r="C161" s="664"/>
      <c r="D161" s="664"/>
      <c r="E161" s="664"/>
      <c r="F161" s="664"/>
      <c r="G161" s="664"/>
      <c r="H161" s="664"/>
      <c r="I161" s="664"/>
      <c r="J161" s="664"/>
      <c r="K161" s="664"/>
      <c r="L161" s="664"/>
      <c r="M161" s="664"/>
      <c r="N161" s="664"/>
      <c r="O161" s="664"/>
      <c r="P161" s="664"/>
      <c r="Q161" s="664"/>
      <c r="R161" s="664"/>
      <c r="S161" s="664"/>
      <c r="T161" s="664"/>
      <c r="U161" s="664"/>
      <c r="V161" s="696"/>
      <c r="W161" s="664"/>
      <c r="X161" s="572"/>
    </row>
    <row r="162" spans="1:256" x14ac:dyDescent="0.25">
      <c r="A162" s="574"/>
      <c r="B162" s="694" t="s">
        <v>51</v>
      </c>
      <c r="C162" s="576"/>
      <c r="D162" s="576"/>
      <c r="E162" s="576"/>
      <c r="F162" s="576"/>
      <c r="G162" s="576"/>
      <c r="H162" s="576"/>
      <c r="I162" s="576"/>
      <c r="J162" s="576"/>
      <c r="K162" s="576"/>
      <c r="L162" s="576"/>
      <c r="M162" s="576"/>
      <c r="N162" s="576"/>
      <c r="O162" s="576"/>
      <c r="P162" s="576"/>
      <c r="Q162" s="576"/>
      <c r="R162" s="576"/>
      <c r="S162" s="576"/>
      <c r="T162" s="576"/>
      <c r="U162" s="576"/>
      <c r="V162" s="698"/>
      <c r="W162" s="576"/>
      <c r="X162" s="572"/>
    </row>
    <row r="163" spans="1:256" s="589" customFormat="1" x14ac:dyDescent="0.25">
      <c r="A163" s="604"/>
      <c r="B163" s="605" t="s">
        <v>52</v>
      </c>
      <c r="C163" s="605"/>
      <c r="D163" s="605"/>
      <c r="E163" s="605"/>
      <c r="F163" s="605"/>
      <c r="G163" s="605"/>
      <c r="H163" s="605"/>
      <c r="I163" s="605"/>
      <c r="J163" s="605"/>
      <c r="K163" s="605"/>
      <c r="L163" s="605"/>
      <c r="M163" s="605"/>
      <c r="N163" s="605"/>
      <c r="O163" s="605"/>
      <c r="P163" s="605"/>
      <c r="Q163" s="605"/>
      <c r="R163" s="605"/>
      <c r="S163" s="605"/>
      <c r="T163" s="605"/>
      <c r="U163" s="605"/>
      <c r="V163" s="663">
        <v>0</v>
      </c>
      <c r="W163" s="607"/>
      <c r="X163" s="588"/>
    </row>
    <row r="164" spans="1:256" s="589" customFormat="1" x14ac:dyDescent="0.25">
      <c r="A164" s="604"/>
      <c r="B164" s="605" t="s">
        <v>53</v>
      </c>
      <c r="C164" s="605"/>
      <c r="D164" s="605"/>
      <c r="E164" s="605"/>
      <c r="F164" s="605"/>
      <c r="G164" s="605"/>
      <c r="H164" s="605"/>
      <c r="I164" s="605"/>
      <c r="J164" s="605"/>
      <c r="K164" s="605"/>
      <c r="L164" s="605"/>
      <c r="M164" s="605"/>
      <c r="N164" s="605"/>
      <c r="O164" s="605"/>
      <c r="P164" s="605"/>
      <c r="Q164" s="605"/>
      <c r="R164" s="605"/>
      <c r="S164" s="605"/>
      <c r="T164" s="605"/>
      <c r="U164" s="605"/>
      <c r="V164" s="663">
        <v>299</v>
      </c>
      <c r="W164" s="607"/>
      <c r="X164" s="588"/>
    </row>
    <row r="165" spans="1:256" s="589" customFormat="1" x14ac:dyDescent="0.25">
      <c r="A165" s="604"/>
      <c r="B165" s="605" t="s">
        <v>54</v>
      </c>
      <c r="C165" s="605"/>
      <c r="D165" s="605"/>
      <c r="E165" s="605"/>
      <c r="F165" s="605"/>
      <c r="G165" s="605"/>
      <c r="H165" s="605"/>
      <c r="I165" s="605"/>
      <c r="J165" s="605"/>
      <c r="K165" s="605"/>
      <c r="L165" s="605"/>
      <c r="M165" s="605"/>
      <c r="N165" s="605"/>
      <c r="O165" s="605"/>
      <c r="P165" s="605"/>
      <c r="Q165" s="605"/>
      <c r="R165" s="605"/>
      <c r="S165" s="605"/>
      <c r="T165" s="605"/>
      <c r="U165" s="605"/>
      <c r="V165" s="663">
        <f>V164+V163</f>
        <v>299</v>
      </c>
      <c r="W165" s="607"/>
      <c r="X165" s="588"/>
    </row>
    <row r="166" spans="1:256" s="589" customFormat="1" x14ac:dyDescent="0.25">
      <c r="A166" s="604"/>
      <c r="B166" s="605" t="s">
        <v>303</v>
      </c>
      <c r="C166" s="605"/>
      <c r="D166" s="605"/>
      <c r="E166" s="605"/>
      <c r="F166" s="605"/>
      <c r="G166" s="605"/>
      <c r="H166" s="605"/>
      <c r="I166" s="605"/>
      <c r="J166" s="605"/>
      <c r="K166" s="605"/>
      <c r="L166" s="605"/>
      <c r="M166" s="605"/>
      <c r="N166" s="605"/>
      <c r="O166" s="605"/>
      <c r="P166" s="605"/>
      <c r="Q166" s="605"/>
      <c r="R166" s="605"/>
      <c r="S166" s="605"/>
      <c r="T166" s="605"/>
      <c r="U166" s="605"/>
      <c r="V166" s="663">
        <f>V114</f>
        <v>-299</v>
      </c>
      <c r="W166" s="607"/>
      <c r="X166" s="588"/>
    </row>
    <row r="167" spans="1:256" s="589" customFormat="1" x14ac:dyDescent="0.25">
      <c r="A167" s="604"/>
      <c r="B167" s="605" t="s">
        <v>55</v>
      </c>
      <c r="C167" s="605"/>
      <c r="D167" s="605"/>
      <c r="E167" s="605"/>
      <c r="F167" s="605"/>
      <c r="G167" s="605"/>
      <c r="H167" s="605"/>
      <c r="I167" s="605"/>
      <c r="J167" s="605"/>
      <c r="K167" s="605"/>
      <c r="L167" s="605"/>
      <c r="M167" s="605"/>
      <c r="N167" s="605"/>
      <c r="O167" s="605"/>
      <c r="P167" s="605"/>
      <c r="Q167" s="605"/>
      <c r="R167" s="605"/>
      <c r="S167" s="605"/>
      <c r="T167" s="605"/>
      <c r="U167" s="605"/>
      <c r="V167" s="663">
        <f>V165+V166</f>
        <v>0</v>
      </c>
      <c r="W167" s="607"/>
      <c r="X167" s="588"/>
    </row>
    <row r="168" spans="1:256" s="589" customFormat="1" x14ac:dyDescent="0.25">
      <c r="A168" s="604"/>
      <c r="B168" s="605" t="s">
        <v>274</v>
      </c>
      <c r="C168" s="605"/>
      <c r="D168" s="605"/>
      <c r="E168" s="605"/>
      <c r="F168" s="605"/>
      <c r="G168" s="605"/>
      <c r="H168" s="605"/>
      <c r="I168" s="605"/>
      <c r="J168" s="605"/>
      <c r="K168" s="605"/>
      <c r="L168" s="605"/>
      <c r="M168" s="605"/>
      <c r="N168" s="605"/>
      <c r="O168" s="605"/>
      <c r="P168" s="605"/>
      <c r="Q168" s="605"/>
      <c r="R168" s="605"/>
      <c r="S168" s="605"/>
      <c r="T168" s="605"/>
      <c r="U168" s="605"/>
      <c r="V168" s="663">
        <v>0</v>
      </c>
      <c r="W168" s="607"/>
      <c r="X168" s="588"/>
    </row>
    <row r="169" spans="1:256" ht="16.5" thickBot="1" x14ac:dyDescent="0.3">
      <c r="A169" s="574"/>
      <c r="B169" s="664"/>
      <c r="C169" s="664"/>
      <c r="D169" s="664"/>
      <c r="E169" s="664"/>
      <c r="F169" s="664"/>
      <c r="G169" s="664"/>
      <c r="H169" s="664"/>
      <c r="I169" s="664"/>
      <c r="J169" s="664"/>
      <c r="K169" s="664"/>
      <c r="L169" s="664"/>
      <c r="M169" s="664"/>
      <c r="N169" s="664"/>
      <c r="O169" s="664"/>
      <c r="P169" s="664"/>
      <c r="Q169" s="664"/>
      <c r="R169" s="664"/>
      <c r="S169" s="664"/>
      <c r="T169" s="664"/>
      <c r="U169" s="664"/>
      <c r="V169" s="696"/>
      <c r="W169" s="664"/>
      <c r="X169" s="572"/>
    </row>
    <row r="170" spans="1:256" x14ac:dyDescent="0.25">
      <c r="A170" s="569"/>
      <c r="B170" s="571"/>
      <c r="C170" s="571"/>
      <c r="D170" s="571"/>
      <c r="E170" s="571"/>
      <c r="F170" s="571"/>
      <c r="G170" s="571"/>
      <c r="H170" s="571"/>
      <c r="I170" s="571"/>
      <c r="J170" s="571"/>
      <c r="K170" s="571"/>
      <c r="L170" s="571"/>
      <c r="M170" s="571"/>
      <c r="N170" s="571"/>
      <c r="O170" s="571"/>
      <c r="P170" s="571"/>
      <c r="Q170" s="571"/>
      <c r="R170" s="571"/>
      <c r="S170" s="571"/>
      <c r="T170" s="571"/>
      <c r="U170" s="571"/>
      <c r="V170" s="699"/>
      <c r="W170" s="571"/>
      <c r="X170" s="572"/>
    </row>
    <row r="171" spans="1:256" s="701" customFormat="1" x14ac:dyDescent="0.25">
      <c r="A171" s="574"/>
      <c r="B171" s="694" t="s">
        <v>230</v>
      </c>
      <c r="C171" s="664"/>
      <c r="D171" s="664"/>
      <c r="E171" s="664"/>
      <c r="F171" s="664"/>
      <c r="G171" s="664"/>
      <c r="H171" s="664"/>
      <c r="I171" s="664"/>
      <c r="J171" s="664"/>
      <c r="K171" s="664"/>
      <c r="L171" s="664"/>
      <c r="M171" s="664"/>
      <c r="N171" s="664"/>
      <c r="O171" s="664"/>
      <c r="P171" s="664"/>
      <c r="Q171" s="664"/>
      <c r="R171" s="664"/>
      <c r="S171" s="664"/>
      <c r="T171" s="664"/>
      <c r="U171" s="664"/>
      <c r="V171" s="700"/>
      <c r="W171" s="664"/>
      <c r="X171" s="572"/>
      <c r="Y171" s="573"/>
      <c r="Z171" s="573"/>
      <c r="AA171" s="573"/>
      <c r="AB171" s="573"/>
      <c r="AC171" s="573"/>
      <c r="AD171" s="573"/>
      <c r="AE171" s="573"/>
      <c r="AF171" s="573"/>
      <c r="AG171" s="573"/>
      <c r="AH171" s="573"/>
      <c r="AI171" s="573"/>
      <c r="AJ171" s="573"/>
      <c r="AK171" s="573"/>
      <c r="AL171" s="573"/>
      <c r="AM171" s="573"/>
      <c r="AN171" s="573"/>
      <c r="AO171" s="573"/>
      <c r="AP171" s="573"/>
      <c r="AQ171" s="573"/>
      <c r="AR171" s="573"/>
      <c r="AS171" s="573"/>
      <c r="AT171" s="573"/>
      <c r="AU171" s="573"/>
      <c r="AV171" s="573"/>
      <c r="AW171" s="573"/>
      <c r="AX171" s="573"/>
      <c r="AY171" s="573"/>
      <c r="AZ171" s="573"/>
      <c r="BA171" s="573"/>
      <c r="BB171" s="573"/>
      <c r="BC171" s="573"/>
      <c r="BD171" s="573"/>
      <c r="BE171" s="573"/>
      <c r="BF171" s="573"/>
      <c r="BG171" s="573"/>
      <c r="BH171" s="573"/>
      <c r="BI171" s="573"/>
      <c r="BJ171" s="573"/>
      <c r="BK171" s="573"/>
      <c r="BL171" s="573"/>
      <c r="BM171" s="573"/>
      <c r="BN171" s="573"/>
      <c r="BO171" s="573"/>
      <c r="BP171" s="573"/>
      <c r="BQ171" s="573"/>
      <c r="BR171" s="573"/>
      <c r="BS171" s="573"/>
      <c r="BT171" s="573"/>
      <c r="BU171" s="573"/>
      <c r="BV171" s="573"/>
      <c r="BW171" s="573"/>
      <c r="BX171" s="573"/>
      <c r="BY171" s="573"/>
      <c r="BZ171" s="573"/>
      <c r="CA171" s="573"/>
      <c r="CB171" s="573"/>
      <c r="CC171" s="573"/>
      <c r="CD171" s="573"/>
      <c r="CE171" s="573"/>
      <c r="CF171" s="573"/>
      <c r="CG171" s="573"/>
      <c r="CH171" s="573"/>
      <c r="CI171" s="573"/>
      <c r="CJ171" s="573"/>
      <c r="CK171" s="573"/>
      <c r="CL171" s="573"/>
      <c r="CM171" s="573"/>
      <c r="CN171" s="573"/>
      <c r="CO171" s="573"/>
      <c r="CP171" s="573"/>
      <c r="CQ171" s="573"/>
      <c r="CR171" s="573"/>
      <c r="CS171" s="573"/>
      <c r="CT171" s="573"/>
      <c r="CU171" s="573"/>
      <c r="CV171" s="573"/>
      <c r="CW171" s="573"/>
      <c r="CX171" s="573"/>
      <c r="CY171" s="573"/>
      <c r="CZ171" s="573"/>
      <c r="DA171" s="573"/>
      <c r="DB171" s="573"/>
      <c r="DC171" s="573"/>
      <c r="DD171" s="573"/>
      <c r="DE171" s="573"/>
      <c r="DF171" s="573"/>
      <c r="DG171" s="573"/>
      <c r="DH171" s="573"/>
      <c r="DI171" s="573"/>
      <c r="DJ171" s="573"/>
      <c r="DK171" s="573"/>
      <c r="DL171" s="573"/>
      <c r="DM171" s="573"/>
      <c r="DN171" s="573"/>
      <c r="DO171" s="573"/>
      <c r="DP171" s="573"/>
      <c r="DQ171" s="573"/>
      <c r="DR171" s="573"/>
      <c r="DS171" s="573"/>
      <c r="DT171" s="573"/>
      <c r="DU171" s="573"/>
      <c r="DV171" s="573"/>
      <c r="DW171" s="573"/>
      <c r="DX171" s="573"/>
      <c r="DY171" s="573"/>
      <c r="DZ171" s="573"/>
      <c r="EA171" s="573"/>
      <c r="EB171" s="573"/>
      <c r="EC171" s="573"/>
      <c r="ED171" s="573"/>
      <c r="EE171" s="573"/>
      <c r="EF171" s="573"/>
      <c r="EG171" s="573"/>
      <c r="EH171" s="573"/>
      <c r="EI171" s="573"/>
      <c r="EJ171" s="573"/>
      <c r="EK171" s="573"/>
      <c r="EL171" s="573"/>
      <c r="EM171" s="573"/>
      <c r="EN171" s="573"/>
      <c r="EO171" s="573"/>
      <c r="EP171" s="573"/>
      <c r="EQ171" s="573"/>
      <c r="ER171" s="573"/>
      <c r="ES171" s="573"/>
      <c r="ET171" s="573"/>
      <c r="EU171" s="573"/>
      <c r="EV171" s="573"/>
      <c r="EW171" s="573"/>
      <c r="EX171" s="573"/>
      <c r="EY171" s="573"/>
      <c r="EZ171" s="573"/>
      <c r="FA171" s="573"/>
      <c r="FB171" s="573"/>
      <c r="FC171" s="573"/>
      <c r="FD171" s="573"/>
      <c r="FE171" s="573"/>
      <c r="FF171" s="573"/>
      <c r="FG171" s="573"/>
      <c r="FH171" s="573"/>
      <c r="FI171" s="573"/>
      <c r="FJ171" s="573"/>
      <c r="FK171" s="573"/>
      <c r="FL171" s="573"/>
      <c r="FM171" s="573"/>
      <c r="FN171" s="573"/>
      <c r="FO171" s="573"/>
      <c r="FP171" s="573"/>
      <c r="FQ171" s="573"/>
      <c r="FR171" s="573"/>
      <c r="FS171" s="573"/>
      <c r="FT171" s="573"/>
      <c r="FU171" s="573"/>
      <c r="FV171" s="573"/>
      <c r="FW171" s="573"/>
      <c r="FX171" s="573"/>
      <c r="FY171" s="573"/>
      <c r="FZ171" s="573"/>
      <c r="GA171" s="573"/>
      <c r="GB171" s="573"/>
      <c r="GC171" s="573"/>
      <c r="GD171" s="573"/>
      <c r="GE171" s="573"/>
      <c r="GF171" s="573"/>
      <c r="GG171" s="573"/>
      <c r="GH171" s="573"/>
      <c r="GI171" s="573"/>
      <c r="GJ171" s="573"/>
      <c r="GK171" s="573"/>
      <c r="GL171" s="573"/>
      <c r="GM171" s="573"/>
      <c r="GN171" s="573"/>
      <c r="GO171" s="573"/>
      <c r="GP171" s="573"/>
      <c r="GQ171" s="573"/>
      <c r="GR171" s="573"/>
      <c r="GS171" s="573"/>
      <c r="GT171" s="573"/>
      <c r="GU171" s="573"/>
      <c r="GV171" s="573"/>
      <c r="GW171" s="573"/>
      <c r="GX171" s="573"/>
      <c r="GY171" s="573"/>
      <c r="GZ171" s="573"/>
      <c r="HA171" s="573"/>
      <c r="HB171" s="573"/>
      <c r="HC171" s="573"/>
      <c r="HD171" s="573"/>
      <c r="HE171" s="573"/>
      <c r="HF171" s="573"/>
      <c r="HG171" s="573"/>
      <c r="HH171" s="573"/>
      <c r="HI171" s="573"/>
      <c r="HJ171" s="573"/>
      <c r="HK171" s="573"/>
      <c r="HL171" s="573"/>
      <c r="HM171" s="573"/>
      <c r="HN171" s="573"/>
      <c r="HO171" s="573"/>
      <c r="HP171" s="573"/>
      <c r="HQ171" s="573"/>
      <c r="HR171" s="573"/>
      <c r="HS171" s="573"/>
      <c r="HT171" s="573"/>
      <c r="HU171" s="573"/>
      <c r="HV171" s="573"/>
      <c r="HW171" s="573"/>
      <c r="HX171" s="573"/>
      <c r="HY171" s="573"/>
      <c r="HZ171" s="573"/>
      <c r="IA171" s="573"/>
      <c r="IB171" s="573"/>
      <c r="IC171" s="573"/>
      <c r="ID171" s="573"/>
      <c r="IE171" s="573"/>
      <c r="IF171" s="573"/>
      <c r="IG171" s="573"/>
      <c r="IH171" s="573"/>
      <c r="II171" s="573"/>
      <c r="IJ171" s="573"/>
      <c r="IK171" s="573"/>
      <c r="IL171" s="573"/>
      <c r="IM171" s="573"/>
      <c r="IN171" s="573"/>
      <c r="IO171" s="573"/>
      <c r="IP171" s="573"/>
      <c r="IQ171" s="573"/>
      <c r="IR171" s="573"/>
      <c r="IS171" s="573"/>
      <c r="IT171" s="573"/>
      <c r="IU171" s="573"/>
      <c r="IV171" s="573"/>
    </row>
    <row r="172" spans="1:256" s="702" customFormat="1" x14ac:dyDescent="0.25">
      <c r="A172" s="604"/>
      <c r="B172" s="605" t="s">
        <v>231</v>
      </c>
      <c r="C172" s="605"/>
      <c r="D172" s="605"/>
      <c r="E172" s="605"/>
      <c r="F172" s="605"/>
      <c r="G172" s="605"/>
      <c r="H172" s="605"/>
      <c r="I172" s="605"/>
      <c r="J172" s="605"/>
      <c r="K172" s="605"/>
      <c r="L172" s="605"/>
      <c r="M172" s="605"/>
      <c r="N172" s="605"/>
      <c r="O172" s="605"/>
      <c r="P172" s="605"/>
      <c r="Q172" s="605"/>
      <c r="R172" s="605"/>
      <c r="S172" s="605"/>
      <c r="T172" s="605"/>
      <c r="U172" s="605"/>
      <c r="V172" s="663">
        <f>+'Aug 08'!V173</f>
        <v>0</v>
      </c>
      <c r="W172" s="607"/>
      <c r="X172" s="588"/>
      <c r="Y172" s="589"/>
      <c r="Z172" s="589"/>
      <c r="AA172" s="589"/>
      <c r="AB172" s="589"/>
      <c r="AC172" s="589"/>
      <c r="AD172" s="589"/>
      <c r="AE172" s="589"/>
      <c r="AF172" s="589"/>
      <c r="AG172" s="589"/>
      <c r="AH172" s="589"/>
      <c r="AI172" s="589"/>
      <c r="AJ172" s="589"/>
      <c r="AK172" s="589"/>
      <c r="AL172" s="589"/>
      <c r="AM172" s="589"/>
      <c r="AN172" s="589"/>
      <c r="AO172" s="589"/>
      <c r="AP172" s="589"/>
      <c r="AQ172" s="589"/>
      <c r="AR172" s="589"/>
      <c r="AS172" s="589"/>
      <c r="AT172" s="589"/>
      <c r="AU172" s="589"/>
      <c r="AV172" s="589"/>
      <c r="AW172" s="589"/>
      <c r="AX172" s="589"/>
      <c r="AY172" s="589"/>
      <c r="AZ172" s="589"/>
      <c r="BA172" s="589"/>
      <c r="BB172" s="589"/>
      <c r="BC172" s="589"/>
      <c r="BD172" s="589"/>
      <c r="BE172" s="589"/>
      <c r="BF172" s="589"/>
      <c r="BG172" s="589"/>
      <c r="BH172" s="589"/>
      <c r="BI172" s="589"/>
      <c r="BJ172" s="589"/>
      <c r="BK172" s="589"/>
      <c r="BL172" s="589"/>
      <c r="BM172" s="589"/>
      <c r="BN172" s="589"/>
      <c r="BO172" s="589"/>
      <c r="BP172" s="589"/>
      <c r="BQ172" s="589"/>
      <c r="BR172" s="589"/>
      <c r="BS172" s="589"/>
      <c r="BT172" s="589"/>
      <c r="BU172" s="589"/>
      <c r="BV172" s="589"/>
      <c r="BW172" s="589"/>
      <c r="BX172" s="589"/>
      <c r="BY172" s="589"/>
      <c r="BZ172" s="589"/>
      <c r="CA172" s="589"/>
      <c r="CB172" s="589"/>
      <c r="CC172" s="589"/>
      <c r="CD172" s="589"/>
      <c r="CE172" s="589"/>
      <c r="CF172" s="589"/>
      <c r="CG172" s="589"/>
      <c r="CH172" s="589"/>
      <c r="CI172" s="589"/>
      <c r="CJ172" s="589"/>
      <c r="CK172" s="589"/>
      <c r="CL172" s="589"/>
      <c r="CM172" s="589"/>
      <c r="CN172" s="589"/>
      <c r="CO172" s="589"/>
      <c r="CP172" s="589"/>
      <c r="CQ172" s="589"/>
      <c r="CR172" s="589"/>
      <c r="CS172" s="589"/>
      <c r="CT172" s="589"/>
      <c r="CU172" s="589"/>
      <c r="CV172" s="589"/>
      <c r="CW172" s="589"/>
      <c r="CX172" s="589"/>
      <c r="CY172" s="589"/>
      <c r="CZ172" s="589"/>
      <c r="DA172" s="589"/>
      <c r="DB172" s="589"/>
      <c r="DC172" s="589"/>
      <c r="DD172" s="589"/>
      <c r="DE172" s="589"/>
      <c r="DF172" s="589"/>
      <c r="DG172" s="589"/>
      <c r="DH172" s="589"/>
      <c r="DI172" s="589"/>
      <c r="DJ172" s="589"/>
      <c r="DK172" s="589"/>
      <c r="DL172" s="589"/>
      <c r="DM172" s="589"/>
      <c r="DN172" s="589"/>
      <c r="DO172" s="589"/>
      <c r="DP172" s="589"/>
      <c r="DQ172" s="589"/>
      <c r="DR172" s="589"/>
      <c r="DS172" s="589"/>
      <c r="DT172" s="589"/>
      <c r="DU172" s="589"/>
      <c r="DV172" s="589"/>
      <c r="DW172" s="589"/>
      <c r="DX172" s="589"/>
      <c r="DY172" s="589"/>
      <c r="DZ172" s="589"/>
      <c r="EA172" s="589"/>
      <c r="EB172" s="589"/>
      <c r="EC172" s="589"/>
      <c r="ED172" s="589"/>
      <c r="EE172" s="589"/>
      <c r="EF172" s="589"/>
      <c r="EG172" s="589"/>
      <c r="EH172" s="589"/>
      <c r="EI172" s="589"/>
      <c r="EJ172" s="589"/>
      <c r="EK172" s="589"/>
      <c r="EL172" s="589"/>
      <c r="EM172" s="589"/>
      <c r="EN172" s="589"/>
      <c r="EO172" s="589"/>
      <c r="EP172" s="589"/>
      <c r="EQ172" s="589"/>
      <c r="ER172" s="589"/>
      <c r="ES172" s="589"/>
      <c r="ET172" s="589"/>
      <c r="EU172" s="589"/>
      <c r="EV172" s="589"/>
      <c r="EW172" s="589"/>
      <c r="EX172" s="589"/>
      <c r="EY172" s="589"/>
      <c r="EZ172" s="589"/>
      <c r="FA172" s="589"/>
      <c r="FB172" s="589"/>
      <c r="FC172" s="589"/>
      <c r="FD172" s="589"/>
      <c r="FE172" s="589"/>
      <c r="FF172" s="589"/>
      <c r="FG172" s="589"/>
      <c r="FH172" s="589"/>
      <c r="FI172" s="589"/>
      <c r="FJ172" s="589"/>
      <c r="FK172" s="589"/>
      <c r="FL172" s="589"/>
      <c r="FM172" s="589"/>
      <c r="FN172" s="589"/>
      <c r="FO172" s="589"/>
      <c r="FP172" s="589"/>
      <c r="FQ172" s="589"/>
      <c r="FR172" s="589"/>
      <c r="FS172" s="589"/>
      <c r="FT172" s="589"/>
      <c r="FU172" s="589"/>
      <c r="FV172" s="589"/>
      <c r="FW172" s="589"/>
      <c r="FX172" s="589"/>
      <c r="FY172" s="589"/>
      <c r="FZ172" s="589"/>
      <c r="GA172" s="589"/>
      <c r="GB172" s="589"/>
      <c r="GC172" s="589"/>
      <c r="GD172" s="589"/>
      <c r="GE172" s="589"/>
      <c r="GF172" s="589"/>
      <c r="GG172" s="589"/>
      <c r="GH172" s="589"/>
      <c r="GI172" s="589"/>
      <c r="GJ172" s="589"/>
      <c r="GK172" s="589"/>
      <c r="GL172" s="589"/>
      <c r="GM172" s="589"/>
      <c r="GN172" s="589"/>
      <c r="GO172" s="589"/>
      <c r="GP172" s="589"/>
      <c r="GQ172" s="589"/>
      <c r="GR172" s="589"/>
      <c r="GS172" s="589"/>
      <c r="GT172" s="589"/>
      <c r="GU172" s="589"/>
      <c r="GV172" s="589"/>
      <c r="GW172" s="589"/>
      <c r="GX172" s="589"/>
      <c r="GY172" s="589"/>
      <c r="GZ172" s="589"/>
      <c r="HA172" s="589"/>
      <c r="HB172" s="589"/>
      <c r="HC172" s="589"/>
      <c r="HD172" s="589"/>
      <c r="HE172" s="589"/>
      <c r="HF172" s="589"/>
      <c r="HG172" s="589"/>
      <c r="HH172" s="589"/>
      <c r="HI172" s="589"/>
      <c r="HJ172" s="589"/>
      <c r="HK172" s="589"/>
      <c r="HL172" s="589"/>
      <c r="HM172" s="589"/>
      <c r="HN172" s="589"/>
      <c r="HO172" s="589"/>
      <c r="HP172" s="589"/>
      <c r="HQ172" s="589"/>
      <c r="HR172" s="589"/>
      <c r="HS172" s="589"/>
      <c r="HT172" s="589"/>
      <c r="HU172" s="589"/>
      <c r="HV172" s="589"/>
      <c r="HW172" s="589"/>
      <c r="HX172" s="589"/>
      <c r="HY172" s="589"/>
      <c r="HZ172" s="589"/>
      <c r="IA172" s="589"/>
      <c r="IB172" s="589"/>
      <c r="IC172" s="589"/>
      <c r="ID172" s="589"/>
      <c r="IE172" s="589"/>
      <c r="IF172" s="589"/>
      <c r="IG172" s="589"/>
      <c r="IH172" s="589"/>
      <c r="II172" s="589"/>
      <c r="IJ172" s="589"/>
      <c r="IK172" s="589"/>
      <c r="IL172" s="589"/>
      <c r="IM172" s="589"/>
      <c r="IN172" s="589"/>
      <c r="IO172" s="589"/>
      <c r="IP172" s="589"/>
      <c r="IQ172" s="589"/>
      <c r="IR172" s="589"/>
      <c r="IS172" s="589"/>
      <c r="IT172" s="589"/>
      <c r="IU172" s="589"/>
      <c r="IV172" s="589"/>
    </row>
    <row r="173" spans="1:256" s="702" customFormat="1" x14ac:dyDescent="0.25">
      <c r="A173" s="604"/>
      <c r="B173" s="605" t="s">
        <v>234</v>
      </c>
      <c r="C173" s="605"/>
      <c r="D173" s="605"/>
      <c r="E173" s="605"/>
      <c r="F173" s="605"/>
      <c r="G173" s="605"/>
      <c r="H173" s="605"/>
      <c r="I173" s="605"/>
      <c r="J173" s="605"/>
      <c r="K173" s="605"/>
      <c r="L173" s="605"/>
      <c r="M173" s="605"/>
      <c r="N173" s="605"/>
      <c r="O173" s="605"/>
      <c r="P173" s="605"/>
      <c r="Q173" s="605"/>
      <c r="R173" s="605"/>
      <c r="S173" s="605"/>
      <c r="T173" s="605"/>
      <c r="U173" s="605"/>
      <c r="V173" s="663">
        <f>+V94</f>
        <v>0</v>
      </c>
      <c r="W173" s="607"/>
      <c r="X173" s="588"/>
      <c r="Y173" s="589"/>
      <c r="Z173" s="589"/>
      <c r="AA173" s="589"/>
      <c r="AB173" s="589"/>
      <c r="AC173" s="589"/>
      <c r="AD173" s="589"/>
      <c r="AE173" s="589"/>
      <c r="AF173" s="589"/>
      <c r="AG173" s="589"/>
      <c r="AH173" s="589"/>
      <c r="AI173" s="589"/>
      <c r="AJ173" s="589"/>
      <c r="AK173" s="589"/>
      <c r="AL173" s="589"/>
      <c r="AM173" s="589"/>
      <c r="AN173" s="589"/>
      <c r="AO173" s="589"/>
      <c r="AP173" s="589"/>
      <c r="AQ173" s="589"/>
      <c r="AR173" s="589"/>
      <c r="AS173" s="589"/>
      <c r="AT173" s="589"/>
      <c r="AU173" s="589"/>
      <c r="AV173" s="589"/>
      <c r="AW173" s="589"/>
      <c r="AX173" s="589"/>
      <c r="AY173" s="589"/>
      <c r="AZ173" s="589"/>
      <c r="BA173" s="589"/>
      <c r="BB173" s="589"/>
      <c r="BC173" s="589"/>
      <c r="BD173" s="589"/>
      <c r="BE173" s="589"/>
      <c r="BF173" s="589"/>
      <c r="BG173" s="589"/>
      <c r="BH173" s="589"/>
      <c r="BI173" s="589"/>
      <c r="BJ173" s="589"/>
      <c r="BK173" s="589"/>
      <c r="BL173" s="589"/>
      <c r="BM173" s="589"/>
      <c r="BN173" s="589"/>
      <c r="BO173" s="589"/>
      <c r="BP173" s="589"/>
      <c r="BQ173" s="589"/>
      <c r="BR173" s="589"/>
      <c r="BS173" s="589"/>
      <c r="BT173" s="589"/>
      <c r="BU173" s="589"/>
      <c r="BV173" s="589"/>
      <c r="BW173" s="589"/>
      <c r="BX173" s="589"/>
      <c r="BY173" s="589"/>
      <c r="BZ173" s="589"/>
      <c r="CA173" s="589"/>
      <c r="CB173" s="589"/>
      <c r="CC173" s="589"/>
      <c r="CD173" s="589"/>
      <c r="CE173" s="589"/>
      <c r="CF173" s="589"/>
      <c r="CG173" s="589"/>
      <c r="CH173" s="589"/>
      <c r="CI173" s="589"/>
      <c r="CJ173" s="589"/>
      <c r="CK173" s="589"/>
      <c r="CL173" s="589"/>
      <c r="CM173" s="589"/>
      <c r="CN173" s="589"/>
      <c r="CO173" s="589"/>
      <c r="CP173" s="589"/>
      <c r="CQ173" s="589"/>
      <c r="CR173" s="589"/>
      <c r="CS173" s="589"/>
      <c r="CT173" s="589"/>
      <c r="CU173" s="589"/>
      <c r="CV173" s="589"/>
      <c r="CW173" s="589"/>
      <c r="CX173" s="589"/>
      <c r="CY173" s="589"/>
      <c r="CZ173" s="589"/>
      <c r="DA173" s="589"/>
      <c r="DB173" s="589"/>
      <c r="DC173" s="589"/>
      <c r="DD173" s="589"/>
      <c r="DE173" s="589"/>
      <c r="DF173" s="589"/>
      <c r="DG173" s="589"/>
      <c r="DH173" s="589"/>
      <c r="DI173" s="589"/>
      <c r="DJ173" s="589"/>
      <c r="DK173" s="589"/>
      <c r="DL173" s="589"/>
      <c r="DM173" s="589"/>
      <c r="DN173" s="589"/>
      <c r="DO173" s="589"/>
      <c r="DP173" s="589"/>
      <c r="DQ173" s="589"/>
      <c r="DR173" s="589"/>
      <c r="DS173" s="589"/>
      <c r="DT173" s="589"/>
      <c r="DU173" s="589"/>
      <c r="DV173" s="589"/>
      <c r="DW173" s="589"/>
      <c r="DX173" s="589"/>
      <c r="DY173" s="589"/>
      <c r="DZ173" s="589"/>
      <c r="EA173" s="589"/>
      <c r="EB173" s="589"/>
      <c r="EC173" s="589"/>
      <c r="ED173" s="589"/>
      <c r="EE173" s="589"/>
      <c r="EF173" s="589"/>
      <c r="EG173" s="589"/>
      <c r="EH173" s="589"/>
      <c r="EI173" s="589"/>
      <c r="EJ173" s="589"/>
      <c r="EK173" s="589"/>
      <c r="EL173" s="589"/>
      <c r="EM173" s="589"/>
      <c r="EN173" s="589"/>
      <c r="EO173" s="589"/>
      <c r="EP173" s="589"/>
      <c r="EQ173" s="589"/>
      <c r="ER173" s="589"/>
      <c r="ES173" s="589"/>
      <c r="ET173" s="589"/>
      <c r="EU173" s="589"/>
      <c r="EV173" s="589"/>
      <c r="EW173" s="589"/>
      <c r="EX173" s="589"/>
      <c r="EY173" s="589"/>
      <c r="EZ173" s="589"/>
      <c r="FA173" s="589"/>
      <c r="FB173" s="589"/>
      <c r="FC173" s="589"/>
      <c r="FD173" s="589"/>
      <c r="FE173" s="589"/>
      <c r="FF173" s="589"/>
      <c r="FG173" s="589"/>
      <c r="FH173" s="589"/>
      <c r="FI173" s="589"/>
      <c r="FJ173" s="589"/>
      <c r="FK173" s="589"/>
      <c r="FL173" s="589"/>
      <c r="FM173" s="589"/>
      <c r="FN173" s="589"/>
      <c r="FO173" s="589"/>
      <c r="FP173" s="589"/>
      <c r="FQ173" s="589"/>
      <c r="FR173" s="589"/>
      <c r="FS173" s="589"/>
      <c r="FT173" s="589"/>
      <c r="FU173" s="589"/>
      <c r="FV173" s="589"/>
      <c r="FW173" s="589"/>
      <c r="FX173" s="589"/>
      <c r="FY173" s="589"/>
      <c r="FZ173" s="589"/>
      <c r="GA173" s="589"/>
      <c r="GB173" s="589"/>
      <c r="GC173" s="589"/>
      <c r="GD173" s="589"/>
      <c r="GE173" s="589"/>
      <c r="GF173" s="589"/>
      <c r="GG173" s="589"/>
      <c r="GH173" s="589"/>
      <c r="GI173" s="589"/>
      <c r="GJ173" s="589"/>
      <c r="GK173" s="589"/>
      <c r="GL173" s="589"/>
      <c r="GM173" s="589"/>
      <c r="GN173" s="589"/>
      <c r="GO173" s="589"/>
      <c r="GP173" s="589"/>
      <c r="GQ173" s="589"/>
      <c r="GR173" s="589"/>
      <c r="GS173" s="589"/>
      <c r="GT173" s="589"/>
      <c r="GU173" s="589"/>
      <c r="GV173" s="589"/>
      <c r="GW173" s="589"/>
      <c r="GX173" s="589"/>
      <c r="GY173" s="589"/>
      <c r="GZ173" s="589"/>
      <c r="HA173" s="589"/>
      <c r="HB173" s="589"/>
      <c r="HC173" s="589"/>
      <c r="HD173" s="589"/>
      <c r="HE173" s="589"/>
      <c r="HF173" s="589"/>
      <c r="HG173" s="589"/>
      <c r="HH173" s="589"/>
      <c r="HI173" s="589"/>
      <c r="HJ173" s="589"/>
      <c r="HK173" s="589"/>
      <c r="HL173" s="589"/>
      <c r="HM173" s="589"/>
      <c r="HN173" s="589"/>
      <c r="HO173" s="589"/>
      <c r="HP173" s="589"/>
      <c r="HQ173" s="589"/>
      <c r="HR173" s="589"/>
      <c r="HS173" s="589"/>
      <c r="HT173" s="589"/>
      <c r="HU173" s="589"/>
      <c r="HV173" s="589"/>
      <c r="HW173" s="589"/>
      <c r="HX173" s="589"/>
      <c r="HY173" s="589"/>
      <c r="HZ173" s="589"/>
      <c r="IA173" s="589"/>
      <c r="IB173" s="589"/>
      <c r="IC173" s="589"/>
      <c r="ID173" s="589"/>
      <c r="IE173" s="589"/>
      <c r="IF173" s="589"/>
      <c r="IG173" s="589"/>
      <c r="IH173" s="589"/>
      <c r="II173" s="589"/>
      <c r="IJ173" s="589"/>
      <c r="IK173" s="589"/>
      <c r="IL173" s="589"/>
      <c r="IM173" s="589"/>
      <c r="IN173" s="589"/>
      <c r="IO173" s="589"/>
      <c r="IP173" s="589"/>
      <c r="IQ173" s="589"/>
      <c r="IR173" s="589"/>
      <c r="IS173" s="589"/>
      <c r="IT173" s="589"/>
      <c r="IU173" s="589"/>
      <c r="IV173" s="589"/>
    </row>
    <row r="174" spans="1:256" s="702" customFormat="1" x14ac:dyDescent="0.25">
      <c r="A174" s="604"/>
      <c r="B174" s="605" t="s">
        <v>232</v>
      </c>
      <c r="C174" s="605"/>
      <c r="D174" s="605"/>
      <c r="E174" s="605"/>
      <c r="F174" s="605"/>
      <c r="G174" s="605"/>
      <c r="H174" s="605"/>
      <c r="I174" s="605"/>
      <c r="J174" s="605"/>
      <c r="K174" s="605"/>
      <c r="L174" s="605"/>
      <c r="M174" s="605"/>
      <c r="N174" s="605"/>
      <c r="O174" s="605"/>
      <c r="P174" s="605"/>
      <c r="Q174" s="605"/>
      <c r="R174" s="605"/>
      <c r="S174" s="605"/>
      <c r="T174" s="605"/>
      <c r="U174" s="605"/>
      <c r="V174" s="663">
        <f>+V172-V173</f>
        <v>0</v>
      </c>
      <c r="W174" s="607"/>
      <c r="X174" s="588"/>
      <c r="Y174" s="589"/>
      <c r="Z174" s="589"/>
      <c r="AA174" s="589"/>
      <c r="AB174" s="589"/>
      <c r="AC174" s="589"/>
      <c r="AD174" s="589"/>
      <c r="AE174" s="589"/>
      <c r="AF174" s="589"/>
      <c r="AG174" s="589"/>
      <c r="AH174" s="589"/>
      <c r="AI174" s="589"/>
      <c r="AJ174" s="589"/>
      <c r="AK174" s="589"/>
      <c r="AL174" s="589"/>
      <c r="AM174" s="589"/>
      <c r="AN174" s="589"/>
      <c r="AO174" s="589"/>
      <c r="AP174" s="589"/>
      <c r="AQ174" s="589"/>
      <c r="AR174" s="589"/>
      <c r="AS174" s="589"/>
      <c r="AT174" s="589"/>
      <c r="AU174" s="589"/>
      <c r="AV174" s="589"/>
      <c r="AW174" s="589"/>
      <c r="AX174" s="589"/>
      <c r="AY174" s="589"/>
      <c r="AZ174" s="589"/>
      <c r="BA174" s="589"/>
      <c r="BB174" s="589"/>
      <c r="BC174" s="589"/>
      <c r="BD174" s="589"/>
      <c r="BE174" s="589"/>
      <c r="BF174" s="589"/>
      <c r="BG174" s="589"/>
      <c r="BH174" s="589"/>
      <c r="BI174" s="589"/>
      <c r="BJ174" s="589"/>
      <c r="BK174" s="589"/>
      <c r="BL174" s="589"/>
      <c r="BM174" s="589"/>
      <c r="BN174" s="589"/>
      <c r="BO174" s="589"/>
      <c r="BP174" s="589"/>
      <c r="BQ174" s="589"/>
      <c r="BR174" s="589"/>
      <c r="BS174" s="589"/>
      <c r="BT174" s="589"/>
      <c r="BU174" s="589"/>
      <c r="BV174" s="589"/>
      <c r="BW174" s="589"/>
      <c r="BX174" s="589"/>
      <c r="BY174" s="589"/>
      <c r="BZ174" s="589"/>
      <c r="CA174" s="589"/>
      <c r="CB174" s="589"/>
      <c r="CC174" s="589"/>
      <c r="CD174" s="589"/>
      <c r="CE174" s="589"/>
      <c r="CF174" s="589"/>
      <c r="CG174" s="589"/>
      <c r="CH174" s="589"/>
      <c r="CI174" s="589"/>
      <c r="CJ174" s="589"/>
      <c r="CK174" s="589"/>
      <c r="CL174" s="589"/>
      <c r="CM174" s="589"/>
      <c r="CN174" s="589"/>
      <c r="CO174" s="589"/>
      <c r="CP174" s="589"/>
      <c r="CQ174" s="589"/>
      <c r="CR174" s="589"/>
      <c r="CS174" s="589"/>
      <c r="CT174" s="589"/>
      <c r="CU174" s="589"/>
      <c r="CV174" s="589"/>
      <c r="CW174" s="589"/>
      <c r="CX174" s="589"/>
      <c r="CY174" s="589"/>
      <c r="CZ174" s="589"/>
      <c r="DA174" s="589"/>
      <c r="DB174" s="589"/>
      <c r="DC174" s="589"/>
      <c r="DD174" s="589"/>
      <c r="DE174" s="589"/>
      <c r="DF174" s="589"/>
      <c r="DG174" s="589"/>
      <c r="DH174" s="589"/>
      <c r="DI174" s="589"/>
      <c r="DJ174" s="589"/>
      <c r="DK174" s="589"/>
      <c r="DL174" s="589"/>
      <c r="DM174" s="589"/>
      <c r="DN174" s="589"/>
      <c r="DO174" s="589"/>
      <c r="DP174" s="589"/>
      <c r="DQ174" s="589"/>
      <c r="DR174" s="589"/>
      <c r="DS174" s="589"/>
      <c r="DT174" s="589"/>
      <c r="DU174" s="589"/>
      <c r="DV174" s="589"/>
      <c r="DW174" s="589"/>
      <c r="DX174" s="589"/>
      <c r="DY174" s="589"/>
      <c r="DZ174" s="589"/>
      <c r="EA174" s="589"/>
      <c r="EB174" s="589"/>
      <c r="EC174" s="589"/>
      <c r="ED174" s="589"/>
      <c r="EE174" s="589"/>
      <c r="EF174" s="589"/>
      <c r="EG174" s="589"/>
      <c r="EH174" s="589"/>
      <c r="EI174" s="589"/>
      <c r="EJ174" s="589"/>
      <c r="EK174" s="589"/>
      <c r="EL174" s="589"/>
      <c r="EM174" s="589"/>
      <c r="EN174" s="589"/>
      <c r="EO174" s="589"/>
      <c r="EP174" s="589"/>
      <c r="EQ174" s="589"/>
      <c r="ER174" s="589"/>
      <c r="ES174" s="589"/>
      <c r="ET174" s="589"/>
      <c r="EU174" s="589"/>
      <c r="EV174" s="589"/>
      <c r="EW174" s="589"/>
      <c r="EX174" s="589"/>
      <c r="EY174" s="589"/>
      <c r="EZ174" s="589"/>
      <c r="FA174" s="589"/>
      <c r="FB174" s="589"/>
      <c r="FC174" s="589"/>
      <c r="FD174" s="589"/>
      <c r="FE174" s="589"/>
      <c r="FF174" s="589"/>
      <c r="FG174" s="589"/>
      <c r="FH174" s="589"/>
      <c r="FI174" s="589"/>
      <c r="FJ174" s="589"/>
      <c r="FK174" s="589"/>
      <c r="FL174" s="589"/>
      <c r="FM174" s="589"/>
      <c r="FN174" s="589"/>
      <c r="FO174" s="589"/>
      <c r="FP174" s="589"/>
      <c r="FQ174" s="589"/>
      <c r="FR174" s="589"/>
      <c r="FS174" s="589"/>
      <c r="FT174" s="589"/>
      <c r="FU174" s="589"/>
      <c r="FV174" s="589"/>
      <c r="FW174" s="589"/>
      <c r="FX174" s="589"/>
      <c r="FY174" s="589"/>
      <c r="FZ174" s="589"/>
      <c r="GA174" s="589"/>
      <c r="GB174" s="589"/>
      <c r="GC174" s="589"/>
      <c r="GD174" s="589"/>
      <c r="GE174" s="589"/>
      <c r="GF174" s="589"/>
      <c r="GG174" s="589"/>
      <c r="GH174" s="589"/>
      <c r="GI174" s="589"/>
      <c r="GJ174" s="589"/>
      <c r="GK174" s="589"/>
      <c r="GL174" s="589"/>
      <c r="GM174" s="589"/>
      <c r="GN174" s="589"/>
      <c r="GO174" s="589"/>
      <c r="GP174" s="589"/>
      <c r="GQ174" s="589"/>
      <c r="GR174" s="589"/>
      <c r="GS174" s="589"/>
      <c r="GT174" s="589"/>
      <c r="GU174" s="589"/>
      <c r="GV174" s="589"/>
      <c r="GW174" s="589"/>
      <c r="GX174" s="589"/>
      <c r="GY174" s="589"/>
      <c r="GZ174" s="589"/>
      <c r="HA174" s="589"/>
      <c r="HB174" s="589"/>
      <c r="HC174" s="589"/>
      <c r="HD174" s="589"/>
      <c r="HE174" s="589"/>
      <c r="HF174" s="589"/>
      <c r="HG174" s="589"/>
      <c r="HH174" s="589"/>
      <c r="HI174" s="589"/>
      <c r="HJ174" s="589"/>
      <c r="HK174" s="589"/>
      <c r="HL174" s="589"/>
      <c r="HM174" s="589"/>
      <c r="HN174" s="589"/>
      <c r="HO174" s="589"/>
      <c r="HP174" s="589"/>
      <c r="HQ174" s="589"/>
      <c r="HR174" s="589"/>
      <c r="HS174" s="589"/>
      <c r="HT174" s="589"/>
      <c r="HU174" s="589"/>
      <c r="HV174" s="589"/>
      <c r="HW174" s="589"/>
      <c r="HX174" s="589"/>
      <c r="HY174" s="589"/>
      <c r="HZ174" s="589"/>
      <c r="IA174" s="589"/>
      <c r="IB174" s="589"/>
      <c r="IC174" s="589"/>
      <c r="ID174" s="589"/>
      <c r="IE174" s="589"/>
      <c r="IF174" s="589"/>
      <c r="IG174" s="589"/>
      <c r="IH174" s="589"/>
      <c r="II174" s="589"/>
      <c r="IJ174" s="589"/>
      <c r="IK174" s="589"/>
      <c r="IL174" s="589"/>
      <c r="IM174" s="589"/>
      <c r="IN174" s="589"/>
      <c r="IO174" s="589"/>
      <c r="IP174" s="589"/>
      <c r="IQ174" s="589"/>
      <c r="IR174" s="589"/>
      <c r="IS174" s="589"/>
      <c r="IT174" s="589"/>
      <c r="IU174" s="589"/>
      <c r="IV174" s="589"/>
    </row>
    <row r="175" spans="1:256" s="704" customFormat="1" ht="16.5" thickBot="1" x14ac:dyDescent="0.3">
      <c r="A175" s="703"/>
      <c r="B175" s="664"/>
      <c r="C175" s="664"/>
      <c r="D175" s="664"/>
      <c r="E175" s="664"/>
      <c r="F175" s="664"/>
      <c r="G175" s="664"/>
      <c r="H175" s="664"/>
      <c r="I175" s="664"/>
      <c r="J175" s="664"/>
      <c r="K175" s="664"/>
      <c r="L175" s="664"/>
      <c r="M175" s="664"/>
      <c r="N175" s="664"/>
      <c r="O175" s="664"/>
      <c r="P175" s="664"/>
      <c r="Q175" s="664"/>
      <c r="R175" s="664"/>
      <c r="S175" s="664"/>
      <c r="T175" s="664"/>
      <c r="U175" s="664"/>
      <c r="V175" s="696"/>
      <c r="W175" s="664"/>
      <c r="X175" s="572"/>
      <c r="Y175" s="573"/>
      <c r="Z175" s="573"/>
      <c r="AA175" s="573"/>
      <c r="AB175" s="573"/>
      <c r="AC175" s="573"/>
      <c r="AD175" s="573"/>
      <c r="AE175" s="573"/>
      <c r="AF175" s="573"/>
      <c r="AG175" s="573"/>
      <c r="AH175" s="573"/>
      <c r="AI175" s="573"/>
      <c r="AJ175" s="573"/>
      <c r="AK175" s="573"/>
      <c r="AL175" s="573"/>
      <c r="AM175" s="573"/>
      <c r="AN175" s="573"/>
      <c r="AO175" s="573"/>
      <c r="AP175" s="573"/>
      <c r="AQ175" s="573"/>
      <c r="AR175" s="573"/>
      <c r="AS175" s="573"/>
      <c r="AT175" s="573"/>
      <c r="AU175" s="573"/>
      <c r="AV175" s="573"/>
      <c r="AW175" s="573"/>
      <c r="AX175" s="573"/>
      <c r="AY175" s="573"/>
      <c r="AZ175" s="573"/>
      <c r="BA175" s="573"/>
      <c r="BB175" s="573"/>
      <c r="BC175" s="573"/>
      <c r="BD175" s="573"/>
      <c r="BE175" s="573"/>
      <c r="BF175" s="573"/>
      <c r="BG175" s="573"/>
      <c r="BH175" s="573"/>
      <c r="BI175" s="573"/>
      <c r="BJ175" s="573"/>
      <c r="BK175" s="573"/>
      <c r="BL175" s="573"/>
      <c r="BM175" s="573"/>
      <c r="BN175" s="573"/>
      <c r="BO175" s="573"/>
      <c r="BP175" s="573"/>
      <c r="BQ175" s="573"/>
      <c r="BR175" s="573"/>
      <c r="BS175" s="573"/>
      <c r="BT175" s="573"/>
      <c r="BU175" s="573"/>
      <c r="BV175" s="573"/>
      <c r="BW175" s="573"/>
      <c r="BX175" s="573"/>
      <c r="BY175" s="573"/>
      <c r="BZ175" s="573"/>
      <c r="CA175" s="573"/>
      <c r="CB175" s="573"/>
      <c r="CC175" s="573"/>
      <c r="CD175" s="573"/>
      <c r="CE175" s="573"/>
      <c r="CF175" s="573"/>
      <c r="CG175" s="573"/>
      <c r="CH175" s="573"/>
      <c r="CI175" s="573"/>
      <c r="CJ175" s="573"/>
      <c r="CK175" s="573"/>
      <c r="CL175" s="573"/>
      <c r="CM175" s="573"/>
      <c r="CN175" s="573"/>
      <c r="CO175" s="573"/>
      <c r="CP175" s="573"/>
      <c r="CQ175" s="573"/>
      <c r="CR175" s="573"/>
      <c r="CS175" s="573"/>
      <c r="CT175" s="573"/>
      <c r="CU175" s="573"/>
      <c r="CV175" s="573"/>
      <c r="CW175" s="573"/>
      <c r="CX175" s="573"/>
      <c r="CY175" s="573"/>
      <c r="CZ175" s="573"/>
      <c r="DA175" s="573"/>
      <c r="DB175" s="573"/>
      <c r="DC175" s="573"/>
      <c r="DD175" s="573"/>
      <c r="DE175" s="573"/>
      <c r="DF175" s="573"/>
      <c r="DG175" s="573"/>
      <c r="DH175" s="573"/>
      <c r="DI175" s="573"/>
      <c r="DJ175" s="573"/>
      <c r="DK175" s="573"/>
      <c r="DL175" s="573"/>
      <c r="DM175" s="573"/>
      <c r="DN175" s="573"/>
      <c r="DO175" s="573"/>
      <c r="DP175" s="573"/>
      <c r="DQ175" s="573"/>
      <c r="DR175" s="573"/>
      <c r="DS175" s="573"/>
      <c r="DT175" s="573"/>
      <c r="DU175" s="573"/>
      <c r="DV175" s="573"/>
      <c r="DW175" s="573"/>
      <c r="DX175" s="573"/>
      <c r="DY175" s="573"/>
      <c r="DZ175" s="573"/>
      <c r="EA175" s="573"/>
      <c r="EB175" s="573"/>
      <c r="EC175" s="573"/>
      <c r="ED175" s="573"/>
      <c r="EE175" s="573"/>
      <c r="EF175" s="573"/>
      <c r="EG175" s="573"/>
      <c r="EH175" s="573"/>
      <c r="EI175" s="573"/>
      <c r="EJ175" s="573"/>
      <c r="EK175" s="573"/>
      <c r="EL175" s="573"/>
      <c r="EM175" s="573"/>
      <c r="EN175" s="573"/>
      <c r="EO175" s="573"/>
      <c r="EP175" s="573"/>
      <c r="EQ175" s="573"/>
      <c r="ER175" s="573"/>
      <c r="ES175" s="573"/>
      <c r="ET175" s="573"/>
      <c r="EU175" s="573"/>
      <c r="EV175" s="573"/>
      <c r="EW175" s="573"/>
      <c r="EX175" s="573"/>
      <c r="EY175" s="573"/>
      <c r="EZ175" s="573"/>
      <c r="FA175" s="573"/>
      <c r="FB175" s="573"/>
      <c r="FC175" s="573"/>
      <c r="FD175" s="573"/>
      <c r="FE175" s="573"/>
      <c r="FF175" s="573"/>
      <c r="FG175" s="573"/>
      <c r="FH175" s="573"/>
      <c r="FI175" s="573"/>
      <c r="FJ175" s="573"/>
      <c r="FK175" s="573"/>
      <c r="FL175" s="573"/>
      <c r="FM175" s="573"/>
      <c r="FN175" s="573"/>
      <c r="FO175" s="573"/>
      <c r="FP175" s="573"/>
      <c r="FQ175" s="573"/>
      <c r="FR175" s="573"/>
      <c r="FS175" s="573"/>
      <c r="FT175" s="573"/>
      <c r="FU175" s="573"/>
      <c r="FV175" s="573"/>
      <c r="FW175" s="573"/>
      <c r="FX175" s="573"/>
      <c r="FY175" s="573"/>
      <c r="FZ175" s="573"/>
      <c r="GA175" s="573"/>
      <c r="GB175" s="573"/>
      <c r="GC175" s="573"/>
      <c r="GD175" s="573"/>
      <c r="GE175" s="573"/>
      <c r="GF175" s="573"/>
      <c r="GG175" s="573"/>
      <c r="GH175" s="573"/>
      <c r="GI175" s="573"/>
      <c r="GJ175" s="573"/>
      <c r="GK175" s="573"/>
      <c r="GL175" s="573"/>
      <c r="GM175" s="573"/>
      <c r="GN175" s="573"/>
      <c r="GO175" s="573"/>
      <c r="GP175" s="573"/>
      <c r="GQ175" s="573"/>
      <c r="GR175" s="573"/>
      <c r="GS175" s="573"/>
      <c r="GT175" s="573"/>
      <c r="GU175" s="573"/>
      <c r="GV175" s="573"/>
      <c r="GW175" s="573"/>
      <c r="GX175" s="573"/>
      <c r="GY175" s="573"/>
      <c r="GZ175" s="573"/>
      <c r="HA175" s="573"/>
      <c r="HB175" s="573"/>
      <c r="HC175" s="573"/>
      <c r="HD175" s="573"/>
      <c r="HE175" s="573"/>
      <c r="HF175" s="573"/>
      <c r="HG175" s="573"/>
      <c r="HH175" s="573"/>
      <c r="HI175" s="573"/>
      <c r="HJ175" s="573"/>
      <c r="HK175" s="573"/>
      <c r="HL175" s="573"/>
      <c r="HM175" s="573"/>
      <c r="HN175" s="573"/>
      <c r="HO175" s="573"/>
      <c r="HP175" s="573"/>
      <c r="HQ175" s="573"/>
      <c r="HR175" s="573"/>
      <c r="HS175" s="573"/>
      <c r="HT175" s="573"/>
      <c r="HU175" s="573"/>
      <c r="HV175" s="573"/>
      <c r="HW175" s="573"/>
      <c r="HX175" s="573"/>
      <c r="HY175" s="573"/>
      <c r="HZ175" s="573"/>
      <c r="IA175" s="573"/>
      <c r="IB175" s="573"/>
      <c r="IC175" s="573"/>
      <c r="ID175" s="573"/>
      <c r="IE175" s="573"/>
      <c r="IF175" s="573"/>
      <c r="IG175" s="573"/>
      <c r="IH175" s="573"/>
      <c r="II175" s="573"/>
      <c r="IJ175" s="573"/>
      <c r="IK175" s="573"/>
      <c r="IL175" s="573"/>
      <c r="IM175" s="573"/>
      <c r="IN175" s="573"/>
      <c r="IO175" s="573"/>
      <c r="IP175" s="573"/>
      <c r="IQ175" s="573"/>
      <c r="IR175" s="573"/>
      <c r="IS175" s="573"/>
      <c r="IT175" s="573"/>
      <c r="IU175" s="573"/>
      <c r="IV175" s="573"/>
    </row>
    <row r="176" spans="1:256" s="705" customFormat="1" x14ac:dyDescent="0.25">
      <c r="A176" s="569"/>
      <c r="B176" s="571"/>
      <c r="C176" s="571"/>
      <c r="D176" s="571"/>
      <c r="E176" s="571"/>
      <c r="F176" s="571"/>
      <c r="G176" s="571"/>
      <c r="H176" s="571"/>
      <c r="I176" s="571"/>
      <c r="J176" s="571"/>
      <c r="K176" s="571"/>
      <c r="L176" s="571"/>
      <c r="M176" s="571"/>
      <c r="N176" s="571"/>
      <c r="O176" s="571"/>
      <c r="P176" s="571"/>
      <c r="Q176" s="571"/>
      <c r="R176" s="571"/>
      <c r="S176" s="571"/>
      <c r="T176" s="571"/>
      <c r="U176" s="571"/>
      <c r="V176" s="699"/>
      <c r="W176" s="571"/>
      <c r="X176" s="572"/>
      <c r="Y176" s="573"/>
      <c r="Z176" s="573"/>
      <c r="AA176" s="573"/>
      <c r="AB176" s="573"/>
      <c r="AC176" s="573"/>
      <c r="AD176" s="573"/>
      <c r="AE176" s="573"/>
      <c r="AF176" s="573"/>
      <c r="AG176" s="573"/>
      <c r="AH176" s="573"/>
      <c r="AI176" s="573"/>
      <c r="AJ176" s="573"/>
      <c r="AK176" s="573"/>
      <c r="AL176" s="573"/>
      <c r="AM176" s="573"/>
      <c r="AN176" s="573"/>
      <c r="AO176" s="573"/>
      <c r="AP176" s="573"/>
      <c r="AQ176" s="573"/>
      <c r="AR176" s="573"/>
      <c r="AS176" s="573"/>
      <c r="AT176" s="573"/>
      <c r="AU176" s="573"/>
      <c r="AV176" s="573"/>
      <c r="AW176" s="573"/>
      <c r="AX176" s="573"/>
      <c r="AY176" s="573"/>
      <c r="AZ176" s="573"/>
      <c r="BA176" s="573"/>
      <c r="BB176" s="573"/>
      <c r="BC176" s="573"/>
      <c r="BD176" s="573"/>
      <c r="BE176" s="573"/>
      <c r="BF176" s="573"/>
      <c r="BG176" s="573"/>
      <c r="BH176" s="573"/>
      <c r="BI176" s="573"/>
      <c r="BJ176" s="573"/>
      <c r="BK176" s="573"/>
      <c r="BL176" s="573"/>
      <c r="BM176" s="573"/>
      <c r="BN176" s="573"/>
      <c r="BO176" s="573"/>
      <c r="BP176" s="573"/>
      <c r="BQ176" s="573"/>
      <c r="BR176" s="573"/>
      <c r="BS176" s="573"/>
      <c r="BT176" s="573"/>
      <c r="BU176" s="573"/>
      <c r="BV176" s="573"/>
      <c r="BW176" s="573"/>
      <c r="BX176" s="573"/>
      <c r="BY176" s="573"/>
      <c r="BZ176" s="573"/>
      <c r="CA176" s="573"/>
      <c r="CB176" s="573"/>
      <c r="CC176" s="573"/>
      <c r="CD176" s="573"/>
      <c r="CE176" s="573"/>
      <c r="CF176" s="573"/>
      <c r="CG176" s="573"/>
      <c r="CH176" s="573"/>
      <c r="CI176" s="573"/>
      <c r="CJ176" s="573"/>
      <c r="CK176" s="573"/>
      <c r="CL176" s="573"/>
      <c r="CM176" s="573"/>
      <c r="CN176" s="573"/>
      <c r="CO176" s="573"/>
      <c r="CP176" s="573"/>
      <c r="CQ176" s="573"/>
      <c r="CR176" s="573"/>
      <c r="CS176" s="573"/>
      <c r="CT176" s="573"/>
      <c r="CU176" s="573"/>
      <c r="CV176" s="573"/>
      <c r="CW176" s="573"/>
      <c r="CX176" s="573"/>
      <c r="CY176" s="573"/>
      <c r="CZ176" s="573"/>
      <c r="DA176" s="573"/>
      <c r="DB176" s="573"/>
      <c r="DC176" s="573"/>
      <c r="DD176" s="573"/>
      <c r="DE176" s="573"/>
      <c r="DF176" s="573"/>
      <c r="DG176" s="573"/>
      <c r="DH176" s="573"/>
      <c r="DI176" s="573"/>
      <c r="DJ176" s="573"/>
      <c r="DK176" s="573"/>
      <c r="DL176" s="573"/>
      <c r="DM176" s="573"/>
      <c r="DN176" s="573"/>
      <c r="DO176" s="573"/>
      <c r="DP176" s="573"/>
      <c r="DQ176" s="573"/>
      <c r="DR176" s="573"/>
      <c r="DS176" s="573"/>
      <c r="DT176" s="573"/>
      <c r="DU176" s="573"/>
      <c r="DV176" s="573"/>
      <c r="DW176" s="573"/>
      <c r="DX176" s="573"/>
      <c r="DY176" s="573"/>
      <c r="DZ176" s="573"/>
      <c r="EA176" s="573"/>
      <c r="EB176" s="573"/>
      <c r="EC176" s="573"/>
      <c r="ED176" s="573"/>
      <c r="EE176" s="573"/>
      <c r="EF176" s="573"/>
      <c r="EG176" s="573"/>
      <c r="EH176" s="573"/>
      <c r="EI176" s="573"/>
      <c r="EJ176" s="573"/>
      <c r="EK176" s="573"/>
      <c r="EL176" s="573"/>
      <c r="EM176" s="573"/>
      <c r="EN176" s="573"/>
      <c r="EO176" s="573"/>
      <c r="EP176" s="573"/>
      <c r="EQ176" s="573"/>
      <c r="ER176" s="573"/>
      <c r="ES176" s="573"/>
      <c r="ET176" s="573"/>
      <c r="EU176" s="573"/>
      <c r="EV176" s="573"/>
      <c r="EW176" s="573"/>
      <c r="EX176" s="573"/>
      <c r="EY176" s="573"/>
      <c r="EZ176" s="573"/>
      <c r="FA176" s="573"/>
      <c r="FB176" s="573"/>
      <c r="FC176" s="573"/>
      <c r="FD176" s="573"/>
      <c r="FE176" s="573"/>
      <c r="FF176" s="573"/>
      <c r="FG176" s="573"/>
      <c r="FH176" s="573"/>
      <c r="FI176" s="573"/>
      <c r="FJ176" s="573"/>
      <c r="FK176" s="573"/>
      <c r="FL176" s="573"/>
      <c r="FM176" s="573"/>
      <c r="FN176" s="573"/>
      <c r="FO176" s="573"/>
      <c r="FP176" s="573"/>
      <c r="FQ176" s="573"/>
      <c r="FR176" s="573"/>
      <c r="FS176" s="573"/>
      <c r="FT176" s="573"/>
      <c r="FU176" s="573"/>
      <c r="FV176" s="573"/>
      <c r="FW176" s="573"/>
      <c r="FX176" s="573"/>
      <c r="FY176" s="573"/>
      <c r="FZ176" s="573"/>
      <c r="GA176" s="573"/>
      <c r="GB176" s="573"/>
      <c r="GC176" s="573"/>
      <c r="GD176" s="573"/>
      <c r="GE176" s="573"/>
      <c r="GF176" s="573"/>
      <c r="GG176" s="573"/>
      <c r="GH176" s="573"/>
      <c r="GI176" s="573"/>
      <c r="GJ176" s="573"/>
      <c r="GK176" s="573"/>
      <c r="GL176" s="573"/>
      <c r="GM176" s="573"/>
      <c r="GN176" s="573"/>
      <c r="GO176" s="573"/>
      <c r="GP176" s="573"/>
      <c r="GQ176" s="573"/>
      <c r="GR176" s="573"/>
      <c r="GS176" s="573"/>
      <c r="GT176" s="573"/>
      <c r="GU176" s="573"/>
      <c r="GV176" s="573"/>
      <c r="GW176" s="573"/>
      <c r="GX176" s="573"/>
      <c r="GY176" s="573"/>
      <c r="GZ176" s="573"/>
      <c r="HA176" s="573"/>
      <c r="HB176" s="573"/>
      <c r="HC176" s="573"/>
      <c r="HD176" s="573"/>
      <c r="HE176" s="573"/>
      <c r="HF176" s="573"/>
      <c r="HG176" s="573"/>
      <c r="HH176" s="573"/>
      <c r="HI176" s="573"/>
      <c r="HJ176" s="573"/>
      <c r="HK176" s="573"/>
      <c r="HL176" s="573"/>
      <c r="HM176" s="573"/>
      <c r="HN176" s="573"/>
      <c r="HO176" s="573"/>
      <c r="HP176" s="573"/>
      <c r="HQ176" s="573"/>
      <c r="HR176" s="573"/>
      <c r="HS176" s="573"/>
      <c r="HT176" s="573"/>
      <c r="HU176" s="573"/>
      <c r="HV176" s="573"/>
      <c r="HW176" s="573"/>
      <c r="HX176" s="573"/>
      <c r="HY176" s="573"/>
      <c r="HZ176" s="573"/>
      <c r="IA176" s="573"/>
      <c r="IB176" s="573"/>
      <c r="IC176" s="573"/>
      <c r="ID176" s="573"/>
      <c r="IE176" s="573"/>
      <c r="IF176" s="573"/>
      <c r="IG176" s="573"/>
      <c r="IH176" s="573"/>
      <c r="II176" s="573"/>
      <c r="IJ176" s="573"/>
      <c r="IK176" s="573"/>
      <c r="IL176" s="573"/>
      <c r="IM176" s="573"/>
      <c r="IN176" s="573"/>
      <c r="IO176" s="573"/>
      <c r="IP176" s="573"/>
      <c r="IQ176" s="573"/>
      <c r="IR176" s="573"/>
      <c r="IS176" s="573"/>
      <c r="IT176" s="573"/>
      <c r="IU176" s="573"/>
      <c r="IV176" s="573"/>
    </row>
    <row r="177" spans="1:24" x14ac:dyDescent="0.25">
      <c r="A177" s="574"/>
      <c r="B177" s="694" t="s">
        <v>56</v>
      </c>
      <c r="C177" s="576"/>
      <c r="D177" s="576"/>
      <c r="E177" s="576"/>
      <c r="F177" s="576"/>
      <c r="G177" s="576"/>
      <c r="H177" s="576"/>
      <c r="I177" s="576"/>
      <c r="J177" s="576"/>
      <c r="K177" s="576"/>
      <c r="L177" s="576"/>
      <c r="M177" s="576"/>
      <c r="N177" s="576"/>
      <c r="O177" s="576"/>
      <c r="P177" s="576"/>
      <c r="Q177" s="576"/>
      <c r="R177" s="576"/>
      <c r="S177" s="576"/>
      <c r="T177" s="576"/>
      <c r="U177" s="576"/>
      <c r="V177" s="656"/>
      <c r="W177" s="576"/>
      <c r="X177" s="572"/>
    </row>
    <row r="178" spans="1:24" x14ac:dyDescent="0.25">
      <c r="A178" s="574"/>
      <c r="B178" s="693"/>
      <c r="C178" s="576"/>
      <c r="D178" s="576"/>
      <c r="E178" s="576"/>
      <c r="F178" s="576"/>
      <c r="G178" s="576"/>
      <c r="H178" s="576"/>
      <c r="I178" s="576"/>
      <c r="J178" s="576"/>
      <c r="K178" s="576"/>
      <c r="L178" s="576"/>
      <c r="M178" s="576"/>
      <c r="N178" s="576"/>
      <c r="O178" s="576"/>
      <c r="P178" s="576"/>
      <c r="Q178" s="576"/>
      <c r="R178" s="576"/>
      <c r="S178" s="576"/>
      <c r="T178" s="576"/>
      <c r="U178" s="576"/>
      <c r="V178" s="656"/>
      <c r="W178" s="576"/>
      <c r="X178" s="572"/>
    </row>
    <row r="179" spans="1:24" s="589" customFormat="1" x14ac:dyDescent="0.25">
      <c r="A179" s="604"/>
      <c r="B179" s="605" t="s">
        <v>57</v>
      </c>
      <c r="C179" s="605"/>
      <c r="D179" s="605"/>
      <c r="E179" s="605"/>
      <c r="F179" s="605"/>
      <c r="G179" s="605"/>
      <c r="H179" s="605"/>
      <c r="I179" s="605"/>
      <c r="J179" s="605"/>
      <c r="K179" s="605"/>
      <c r="L179" s="605"/>
      <c r="M179" s="605"/>
      <c r="N179" s="605"/>
      <c r="O179" s="605"/>
      <c r="P179" s="605"/>
      <c r="Q179" s="605"/>
      <c r="R179" s="605"/>
      <c r="S179" s="605"/>
      <c r="T179" s="605"/>
      <c r="U179" s="605"/>
      <c r="V179" s="663">
        <f>V71</f>
        <v>580627</v>
      </c>
      <c r="W179" s="607"/>
      <c r="X179" s="588"/>
    </row>
    <row r="180" spans="1:24" s="589" customFormat="1" x14ac:dyDescent="0.25">
      <c r="A180" s="604"/>
      <c r="B180" s="605" t="s">
        <v>58</v>
      </c>
      <c r="C180" s="605"/>
      <c r="D180" s="605"/>
      <c r="E180" s="605"/>
      <c r="F180" s="605"/>
      <c r="G180" s="605"/>
      <c r="H180" s="605"/>
      <c r="I180" s="605"/>
      <c r="J180" s="605"/>
      <c r="K180" s="605"/>
      <c r="L180" s="605"/>
      <c r="M180" s="605"/>
      <c r="N180" s="605"/>
      <c r="O180" s="605"/>
      <c r="P180" s="605"/>
      <c r="Q180" s="605"/>
      <c r="R180" s="605"/>
      <c r="S180" s="605"/>
      <c r="T180" s="605"/>
      <c r="U180" s="605"/>
      <c r="V180" s="663">
        <f>V84</f>
        <v>580627</v>
      </c>
      <c r="W180" s="607"/>
      <c r="X180" s="588"/>
    </row>
    <row r="181" spans="1:24" ht="16.5" thickBot="1" x14ac:dyDescent="0.3">
      <c r="A181" s="574"/>
      <c r="B181" s="664"/>
      <c r="C181" s="664"/>
      <c r="D181" s="664"/>
      <c r="E181" s="664"/>
      <c r="F181" s="664"/>
      <c r="G181" s="664"/>
      <c r="H181" s="664"/>
      <c r="I181" s="664"/>
      <c r="J181" s="664"/>
      <c r="K181" s="664"/>
      <c r="L181" s="664"/>
      <c r="M181" s="664"/>
      <c r="N181" s="664"/>
      <c r="O181" s="664"/>
      <c r="P181" s="664"/>
      <c r="Q181" s="664"/>
      <c r="R181" s="664"/>
      <c r="S181" s="664"/>
      <c r="T181" s="664"/>
      <c r="U181" s="664"/>
      <c r="V181" s="696"/>
      <c r="W181" s="664"/>
      <c r="X181" s="572"/>
    </row>
    <row r="182" spans="1:24" x14ac:dyDescent="0.25">
      <c r="A182" s="569"/>
      <c r="B182" s="571"/>
      <c r="C182" s="571"/>
      <c r="D182" s="571"/>
      <c r="E182" s="571"/>
      <c r="F182" s="571"/>
      <c r="G182" s="571"/>
      <c r="H182" s="571"/>
      <c r="I182" s="571"/>
      <c r="J182" s="571"/>
      <c r="K182" s="571"/>
      <c r="L182" s="571"/>
      <c r="M182" s="571"/>
      <c r="N182" s="571"/>
      <c r="O182" s="571"/>
      <c r="P182" s="571"/>
      <c r="Q182" s="571"/>
      <c r="R182" s="571"/>
      <c r="S182" s="571"/>
      <c r="T182" s="571"/>
      <c r="U182" s="571"/>
      <c r="V182" s="699"/>
      <c r="W182" s="571"/>
      <c r="X182" s="572"/>
    </row>
    <row r="183" spans="1:24" s="629" customFormat="1" x14ac:dyDescent="0.25">
      <c r="A183" s="657"/>
      <c r="B183" s="694" t="s">
        <v>59</v>
      </c>
      <c r="C183" s="661"/>
      <c r="D183" s="661"/>
      <c r="E183" s="661"/>
      <c r="F183" s="661"/>
      <c r="G183" s="661"/>
      <c r="H183" s="706"/>
      <c r="I183" s="706"/>
      <c r="J183" s="706"/>
      <c r="K183" s="706"/>
      <c r="L183" s="706"/>
      <c r="M183" s="706"/>
      <c r="N183" s="706"/>
      <c r="O183" s="706"/>
      <c r="P183" s="706"/>
      <c r="Q183" s="706"/>
      <c r="R183" s="706"/>
      <c r="S183" s="706" t="s">
        <v>101</v>
      </c>
      <c r="T183" s="706" t="s">
        <v>176</v>
      </c>
      <c r="U183" s="578"/>
      <c r="V183" s="707" t="s">
        <v>114</v>
      </c>
      <c r="W183" s="578"/>
      <c r="X183" s="628"/>
    </row>
    <row r="184" spans="1:24" s="589" customFormat="1" x14ac:dyDescent="0.25">
      <c r="A184" s="604"/>
      <c r="B184" s="605" t="s">
        <v>60</v>
      </c>
      <c r="C184" s="605"/>
      <c r="D184" s="605"/>
      <c r="E184" s="605"/>
      <c r="F184" s="605"/>
      <c r="G184" s="605"/>
      <c r="H184" s="605"/>
      <c r="I184" s="605"/>
      <c r="J184" s="605"/>
      <c r="K184" s="605"/>
      <c r="L184" s="605"/>
      <c r="M184" s="605"/>
      <c r="N184" s="605"/>
      <c r="O184" s="605"/>
      <c r="P184" s="605"/>
      <c r="Q184" s="605"/>
      <c r="R184" s="605"/>
      <c r="S184" s="663">
        <f>+V34*0.16</f>
        <v>160181.28</v>
      </c>
      <c r="T184" s="635"/>
      <c r="U184" s="605"/>
      <c r="V184" s="663"/>
      <c r="W184" s="607"/>
      <c r="X184" s="588"/>
    </row>
    <row r="185" spans="1:24" s="589" customFormat="1" x14ac:dyDescent="0.25">
      <c r="A185" s="604"/>
      <c r="B185" s="605" t="s">
        <v>61</v>
      </c>
      <c r="C185" s="605"/>
      <c r="D185" s="605"/>
      <c r="E185" s="605"/>
      <c r="F185" s="605"/>
      <c r="G185" s="605"/>
      <c r="H185" s="605"/>
      <c r="I185" s="605"/>
      <c r="J185" s="605"/>
      <c r="K185" s="605"/>
      <c r="L185" s="605"/>
      <c r="M185" s="605"/>
      <c r="N185" s="605"/>
      <c r="O185" s="605"/>
      <c r="P185" s="605"/>
      <c r="Q185" s="605"/>
      <c r="R185" s="605"/>
      <c r="S185" s="663">
        <f>+'Nov 18'!S187</f>
        <v>14163</v>
      </c>
      <c r="T185" s="663">
        <f>+'Nov 18'!T187</f>
        <v>6098</v>
      </c>
      <c r="U185" s="605"/>
      <c r="V185" s="663">
        <f>S185+T185</f>
        <v>20261</v>
      </c>
      <c r="W185" s="607"/>
      <c r="X185" s="588"/>
    </row>
    <row r="186" spans="1:24" s="589" customFormat="1" x14ac:dyDescent="0.25">
      <c r="A186" s="604"/>
      <c r="B186" s="605" t="s">
        <v>62</v>
      </c>
      <c r="C186" s="605"/>
      <c r="D186" s="605"/>
      <c r="E186" s="605"/>
      <c r="F186" s="605"/>
      <c r="G186" s="605"/>
      <c r="H186" s="605"/>
      <c r="I186" s="605"/>
      <c r="J186" s="605"/>
      <c r="K186" s="605"/>
      <c r="L186" s="605"/>
      <c r="M186" s="605"/>
      <c r="N186" s="605"/>
      <c r="O186" s="605"/>
      <c r="P186" s="605"/>
      <c r="Q186" s="605"/>
      <c r="R186" s="605"/>
      <c r="S186" s="662">
        <v>0</v>
      </c>
      <c r="T186" s="662">
        <v>0</v>
      </c>
      <c r="U186" s="605"/>
      <c r="V186" s="663">
        <f>S186+T186</f>
        <v>0</v>
      </c>
      <c r="W186" s="607"/>
      <c r="X186" s="588"/>
    </row>
    <row r="187" spans="1:24" s="589" customFormat="1" x14ac:dyDescent="0.25">
      <c r="A187" s="604"/>
      <c r="B187" s="605" t="s">
        <v>63</v>
      </c>
      <c r="C187" s="605"/>
      <c r="D187" s="605"/>
      <c r="E187" s="605"/>
      <c r="F187" s="605"/>
      <c r="G187" s="605"/>
      <c r="H187" s="605"/>
      <c r="I187" s="605"/>
      <c r="J187" s="605"/>
      <c r="K187" s="605"/>
      <c r="L187" s="605"/>
      <c r="M187" s="605"/>
      <c r="N187" s="605"/>
      <c r="O187" s="605"/>
      <c r="P187" s="605"/>
      <c r="Q187" s="605"/>
      <c r="R187" s="605"/>
      <c r="S187" s="663">
        <f>S185+S186</f>
        <v>14163</v>
      </c>
      <c r="T187" s="663">
        <f>T186+T185</f>
        <v>6098</v>
      </c>
      <c r="U187" s="605"/>
      <c r="V187" s="663">
        <f>S187+T187</f>
        <v>20261</v>
      </c>
      <c r="W187" s="607"/>
      <c r="X187" s="588"/>
    </row>
    <row r="188" spans="1:24" s="589" customFormat="1" x14ac:dyDescent="0.25">
      <c r="A188" s="604"/>
      <c r="B188" s="605" t="s">
        <v>64</v>
      </c>
      <c r="C188" s="605"/>
      <c r="D188" s="605"/>
      <c r="E188" s="605"/>
      <c r="F188" s="605"/>
      <c r="G188" s="605"/>
      <c r="H188" s="605"/>
      <c r="I188" s="605"/>
      <c r="J188" s="605"/>
      <c r="K188" s="605"/>
      <c r="L188" s="605"/>
      <c r="M188" s="605"/>
      <c r="N188" s="605"/>
      <c r="O188" s="605"/>
      <c r="P188" s="605"/>
      <c r="Q188" s="605"/>
      <c r="R188" s="605"/>
      <c r="S188" s="663">
        <f>S184-S187-T187</f>
        <v>139920.28</v>
      </c>
      <c r="T188" s="635"/>
      <c r="U188" s="605"/>
      <c r="V188" s="663"/>
      <c r="W188" s="607"/>
      <c r="X188" s="588"/>
    </row>
    <row r="189" spans="1:24" ht="16.5" thickBot="1" x14ac:dyDescent="0.3">
      <c r="A189" s="574"/>
      <c r="B189" s="664"/>
      <c r="C189" s="664"/>
      <c r="D189" s="664"/>
      <c r="E189" s="664"/>
      <c r="F189" s="664"/>
      <c r="G189" s="664"/>
      <c r="H189" s="664"/>
      <c r="I189" s="664"/>
      <c r="J189" s="664"/>
      <c r="K189" s="664"/>
      <c r="L189" s="664"/>
      <c r="M189" s="664"/>
      <c r="N189" s="664"/>
      <c r="O189" s="664"/>
      <c r="P189" s="664"/>
      <c r="Q189" s="664"/>
      <c r="R189" s="664"/>
      <c r="S189" s="664"/>
      <c r="T189" s="664"/>
      <c r="U189" s="664"/>
      <c r="V189" s="696"/>
      <c r="W189" s="664"/>
      <c r="X189" s="572"/>
    </row>
    <row r="190" spans="1:24" x14ac:dyDescent="0.25">
      <c r="A190" s="569"/>
      <c r="B190" s="571"/>
      <c r="C190" s="571"/>
      <c r="D190" s="571"/>
      <c r="E190" s="571"/>
      <c r="F190" s="571"/>
      <c r="G190" s="571"/>
      <c r="H190" s="571"/>
      <c r="I190" s="571"/>
      <c r="J190" s="571"/>
      <c r="K190" s="571"/>
      <c r="L190" s="571"/>
      <c r="M190" s="571"/>
      <c r="N190" s="571"/>
      <c r="O190" s="571"/>
      <c r="P190" s="571"/>
      <c r="Q190" s="571"/>
      <c r="R190" s="571"/>
      <c r="S190" s="571"/>
      <c r="T190" s="571"/>
      <c r="U190" s="571"/>
      <c r="V190" s="699"/>
      <c r="W190" s="571"/>
      <c r="X190" s="572"/>
    </row>
    <row r="191" spans="1:24" x14ac:dyDescent="0.25">
      <c r="A191" s="574"/>
      <c r="B191" s="694" t="s">
        <v>65</v>
      </c>
      <c r="C191" s="576"/>
      <c r="D191" s="576"/>
      <c r="E191" s="576"/>
      <c r="F191" s="576"/>
      <c r="G191" s="576"/>
      <c r="H191" s="576"/>
      <c r="I191" s="576"/>
      <c r="J191" s="576"/>
      <c r="K191" s="576"/>
      <c r="L191" s="576"/>
      <c r="M191" s="576"/>
      <c r="N191" s="576"/>
      <c r="O191" s="576"/>
      <c r="P191" s="576"/>
      <c r="Q191" s="576"/>
      <c r="R191" s="576"/>
      <c r="S191" s="576"/>
      <c r="T191" s="576"/>
      <c r="U191" s="576"/>
      <c r="V191" s="708"/>
      <c r="W191" s="576"/>
      <c r="X191" s="572"/>
    </row>
    <row r="192" spans="1:24" s="589" customFormat="1" x14ac:dyDescent="0.25">
      <c r="A192" s="604"/>
      <c r="B192" s="605" t="s">
        <v>66</v>
      </c>
      <c r="C192" s="605"/>
      <c r="D192" s="605"/>
      <c r="E192" s="605"/>
      <c r="F192" s="605"/>
      <c r="G192" s="605"/>
      <c r="H192" s="605"/>
      <c r="I192" s="605"/>
      <c r="J192" s="605"/>
      <c r="K192" s="605"/>
      <c r="L192" s="605"/>
      <c r="M192" s="605"/>
      <c r="N192" s="605"/>
      <c r="O192" s="605"/>
      <c r="P192" s="605"/>
      <c r="Q192" s="605"/>
      <c r="R192" s="605"/>
      <c r="S192" s="605"/>
      <c r="T192" s="605"/>
      <c r="U192" s="605"/>
      <c r="V192" s="697">
        <f>(V101+V103+V104+V105+V106)/-(V107+V108)</f>
        <v>3.4727272727272727</v>
      </c>
      <c r="W192" s="607" t="s">
        <v>115</v>
      </c>
      <c r="X192" s="588"/>
    </row>
    <row r="193" spans="1:24" s="589" customFormat="1" x14ac:dyDescent="0.25">
      <c r="A193" s="604"/>
      <c r="B193" s="605" t="s">
        <v>67</v>
      </c>
      <c r="C193" s="605"/>
      <c r="D193" s="605"/>
      <c r="E193" s="605"/>
      <c r="F193" s="605"/>
      <c r="G193" s="605"/>
      <c r="H193" s="605"/>
      <c r="I193" s="605"/>
      <c r="J193" s="605"/>
      <c r="K193" s="605"/>
      <c r="L193" s="605"/>
      <c r="M193" s="605"/>
      <c r="N193" s="605"/>
      <c r="O193" s="605"/>
      <c r="P193" s="605"/>
      <c r="Q193" s="605"/>
      <c r="R193" s="605"/>
      <c r="S193" s="605"/>
      <c r="T193" s="605"/>
      <c r="U193" s="605"/>
      <c r="V193" s="709">
        <v>2.23</v>
      </c>
      <c r="W193" s="607" t="s">
        <v>115</v>
      </c>
      <c r="X193" s="588"/>
    </row>
    <row r="194" spans="1:24" s="589" customFormat="1" x14ac:dyDescent="0.25">
      <c r="A194" s="604"/>
      <c r="B194" s="605" t="s">
        <v>68</v>
      </c>
      <c r="C194" s="605"/>
      <c r="D194" s="605"/>
      <c r="E194" s="605"/>
      <c r="F194" s="605"/>
      <c r="G194" s="605"/>
      <c r="H194" s="605"/>
      <c r="I194" s="605"/>
      <c r="J194" s="605"/>
      <c r="K194" s="605"/>
      <c r="L194" s="605"/>
      <c r="M194" s="605"/>
      <c r="N194" s="605"/>
      <c r="O194" s="605"/>
      <c r="P194" s="605"/>
      <c r="Q194" s="605"/>
      <c r="R194" s="605"/>
      <c r="S194" s="605"/>
      <c r="T194" s="605"/>
      <c r="U194" s="605"/>
      <c r="V194" s="697">
        <f>(V101+V103+V104+V105+V106+V107+V108)/-(V109+V110)</f>
        <v>11</v>
      </c>
      <c r="W194" s="607" t="s">
        <v>115</v>
      </c>
      <c r="X194" s="588"/>
    </row>
    <row r="195" spans="1:24" s="589" customFormat="1" x14ac:dyDescent="0.25">
      <c r="A195" s="604"/>
      <c r="B195" s="605" t="s">
        <v>69</v>
      </c>
      <c r="C195" s="605"/>
      <c r="D195" s="605"/>
      <c r="E195" s="605"/>
      <c r="F195" s="605"/>
      <c r="G195" s="605"/>
      <c r="H195" s="605"/>
      <c r="I195" s="605"/>
      <c r="J195" s="605"/>
      <c r="K195" s="605"/>
      <c r="L195" s="605"/>
      <c r="M195" s="605"/>
      <c r="N195" s="605"/>
      <c r="O195" s="605"/>
      <c r="P195" s="605"/>
      <c r="Q195" s="605"/>
      <c r="R195" s="605"/>
      <c r="S195" s="605"/>
      <c r="T195" s="605"/>
      <c r="U195" s="605"/>
      <c r="V195" s="709">
        <v>10.039999999999999</v>
      </c>
      <c r="W195" s="607" t="s">
        <v>115</v>
      </c>
      <c r="X195" s="588"/>
    </row>
    <row r="196" spans="1:24" s="589" customFormat="1" x14ac:dyDescent="0.25">
      <c r="A196" s="604"/>
      <c r="B196" s="605" t="s">
        <v>198</v>
      </c>
      <c r="C196" s="605"/>
      <c r="D196" s="605"/>
      <c r="E196" s="605"/>
      <c r="F196" s="605"/>
      <c r="G196" s="605"/>
      <c r="H196" s="605"/>
      <c r="I196" s="605"/>
      <c r="J196" s="605"/>
      <c r="K196" s="605"/>
      <c r="L196" s="605"/>
      <c r="M196" s="605"/>
      <c r="N196" s="605"/>
      <c r="O196" s="605"/>
      <c r="P196" s="605"/>
      <c r="Q196" s="605"/>
      <c r="R196" s="605"/>
      <c r="S196" s="605"/>
      <c r="T196" s="605"/>
      <c r="U196" s="605"/>
      <c r="V196" s="697">
        <f>(V101+V103+V104+V105+V106+V107+V108+V109+V110)/-(V111)</f>
        <v>7.0466321243523318</v>
      </c>
      <c r="W196" s="607" t="s">
        <v>115</v>
      </c>
      <c r="X196" s="588"/>
    </row>
    <row r="197" spans="1:24" s="589" customFormat="1" x14ac:dyDescent="0.25">
      <c r="A197" s="604"/>
      <c r="B197" s="605" t="s">
        <v>199</v>
      </c>
      <c r="C197" s="605"/>
      <c r="D197" s="605"/>
      <c r="E197" s="605"/>
      <c r="F197" s="605"/>
      <c r="G197" s="605"/>
      <c r="H197" s="605"/>
      <c r="I197" s="605"/>
      <c r="J197" s="605"/>
      <c r="K197" s="605"/>
      <c r="L197" s="605"/>
      <c r="M197" s="605"/>
      <c r="N197" s="605"/>
      <c r="O197" s="605"/>
      <c r="P197" s="605"/>
      <c r="Q197" s="605"/>
      <c r="R197" s="605"/>
      <c r="S197" s="605"/>
      <c r="T197" s="605"/>
      <c r="U197" s="605"/>
      <c r="V197" s="709">
        <v>7.11</v>
      </c>
      <c r="W197" s="607" t="s">
        <v>115</v>
      </c>
      <c r="X197" s="588"/>
    </row>
    <row r="198" spans="1:24" s="589" customFormat="1" x14ac:dyDescent="0.25">
      <c r="A198" s="604"/>
      <c r="B198" s="605"/>
      <c r="C198" s="605"/>
      <c r="D198" s="605"/>
      <c r="E198" s="605"/>
      <c r="F198" s="605"/>
      <c r="G198" s="605"/>
      <c r="H198" s="605"/>
      <c r="I198" s="605"/>
      <c r="J198" s="605"/>
      <c r="K198" s="605"/>
      <c r="L198" s="605"/>
      <c r="M198" s="605"/>
      <c r="N198" s="605"/>
      <c r="O198" s="605"/>
      <c r="P198" s="605"/>
      <c r="Q198" s="605"/>
      <c r="R198" s="605"/>
      <c r="S198" s="605"/>
      <c r="T198" s="605"/>
      <c r="U198" s="605"/>
      <c r="V198" s="605"/>
      <c r="W198" s="607"/>
      <c r="X198" s="588"/>
    </row>
    <row r="199" spans="1:24" s="589" customFormat="1" x14ac:dyDescent="0.25">
      <c r="A199" s="585"/>
      <c r="B199" s="602"/>
      <c r="C199" s="602"/>
      <c r="D199" s="602"/>
      <c r="E199" s="602"/>
      <c r="F199" s="602"/>
      <c r="G199" s="602"/>
      <c r="H199" s="602"/>
      <c r="I199" s="602"/>
      <c r="J199" s="602"/>
      <c r="K199" s="602"/>
      <c r="L199" s="602"/>
      <c r="M199" s="602"/>
      <c r="N199" s="602"/>
      <c r="O199" s="602"/>
      <c r="P199" s="602"/>
      <c r="Q199" s="602"/>
      <c r="R199" s="602"/>
      <c r="S199" s="602"/>
      <c r="T199" s="602"/>
      <c r="U199" s="602"/>
      <c r="V199" s="602"/>
      <c r="W199" s="602"/>
      <c r="X199" s="588"/>
    </row>
    <row r="200" spans="1:24" s="589" customFormat="1" x14ac:dyDescent="0.25">
      <c r="A200" s="585"/>
      <c r="B200" s="586"/>
      <c r="C200" s="586"/>
      <c r="D200" s="586"/>
      <c r="E200" s="586"/>
      <c r="F200" s="586"/>
      <c r="G200" s="586"/>
      <c r="H200" s="586"/>
      <c r="I200" s="586"/>
      <c r="J200" s="586"/>
      <c r="K200" s="586"/>
      <c r="L200" s="586"/>
      <c r="M200" s="586"/>
      <c r="N200" s="586"/>
      <c r="O200" s="586"/>
      <c r="P200" s="586"/>
      <c r="Q200" s="586"/>
      <c r="R200" s="586"/>
      <c r="S200" s="586"/>
      <c r="T200" s="586"/>
      <c r="U200" s="586"/>
      <c r="V200" s="586"/>
      <c r="W200" s="586"/>
      <c r="X200" s="588"/>
    </row>
    <row r="201" spans="1:24" s="589" customFormat="1" ht="19.5" thickBot="1" x14ac:dyDescent="0.35">
      <c r="A201" s="649"/>
      <c r="B201" s="568" t="str">
        <f>B135</f>
        <v>PM15 INVESTOR REPORT QUARTER ENDING FEBRUARY 2019</v>
      </c>
      <c r="C201" s="650"/>
      <c r="D201" s="650"/>
      <c r="E201" s="650"/>
      <c r="F201" s="650"/>
      <c r="G201" s="650"/>
      <c r="H201" s="650"/>
      <c r="I201" s="650"/>
      <c r="J201" s="650"/>
      <c r="K201" s="650"/>
      <c r="L201" s="650"/>
      <c r="M201" s="650"/>
      <c r="N201" s="650"/>
      <c r="O201" s="650"/>
      <c r="P201" s="650"/>
      <c r="Q201" s="650"/>
      <c r="R201" s="650"/>
      <c r="S201" s="650"/>
      <c r="T201" s="650"/>
      <c r="U201" s="650"/>
      <c r="V201" s="650"/>
      <c r="W201" s="652"/>
      <c r="X201" s="588"/>
    </row>
    <row r="202" spans="1:24" x14ac:dyDescent="0.25">
      <c r="A202" s="689"/>
      <c r="B202" s="690" t="s">
        <v>70</v>
      </c>
      <c r="C202" s="710"/>
      <c r="D202" s="710"/>
      <c r="E202" s="710"/>
      <c r="F202" s="710"/>
      <c r="G202" s="711"/>
      <c r="H202" s="711"/>
      <c r="I202" s="711"/>
      <c r="J202" s="711"/>
      <c r="K202" s="711"/>
      <c r="L202" s="711"/>
      <c r="M202" s="711"/>
      <c r="N202" s="711"/>
      <c r="O202" s="711"/>
      <c r="P202" s="711"/>
      <c r="Q202" s="711"/>
      <c r="R202" s="711"/>
      <c r="S202" s="711"/>
      <c r="T202" s="711">
        <v>43524</v>
      </c>
      <c r="U202" s="691"/>
      <c r="V202" s="691"/>
      <c r="W202" s="691"/>
      <c r="X202" s="572"/>
    </row>
    <row r="203" spans="1:24" x14ac:dyDescent="0.25">
      <c r="A203" s="712"/>
      <c r="B203" s="713"/>
      <c r="C203" s="714"/>
      <c r="D203" s="714"/>
      <c r="E203" s="714"/>
      <c r="F203" s="714"/>
      <c r="G203" s="715"/>
      <c r="H203" s="715"/>
      <c r="I203" s="715"/>
      <c r="J203" s="715"/>
      <c r="K203" s="715"/>
      <c r="L203" s="715"/>
      <c r="M203" s="715"/>
      <c r="N203" s="715"/>
      <c r="O203" s="715"/>
      <c r="P203" s="715"/>
      <c r="Q203" s="715"/>
      <c r="R203" s="715"/>
      <c r="S203" s="715"/>
      <c r="T203" s="715"/>
      <c r="U203" s="576"/>
      <c r="V203" s="576"/>
      <c r="W203" s="576"/>
      <c r="X203" s="572"/>
    </row>
    <row r="204" spans="1:24" s="589" customFormat="1" x14ac:dyDescent="0.25">
      <c r="A204" s="604"/>
      <c r="B204" s="605" t="s">
        <v>71</v>
      </c>
      <c r="C204" s="716"/>
      <c r="D204" s="716"/>
      <c r="E204" s="716"/>
      <c r="F204" s="716"/>
      <c r="G204" s="639"/>
      <c r="H204" s="639"/>
      <c r="I204" s="639"/>
      <c r="J204" s="639"/>
      <c r="K204" s="639"/>
      <c r="L204" s="639"/>
      <c r="M204" s="639"/>
      <c r="N204" s="639"/>
      <c r="O204" s="639"/>
      <c r="P204" s="639"/>
      <c r="Q204" s="639"/>
      <c r="R204" s="639"/>
      <c r="S204" s="639"/>
      <c r="T204" s="633">
        <v>5.3830000000000003E-2</v>
      </c>
      <c r="U204" s="605"/>
      <c r="V204" s="605"/>
      <c r="W204" s="607"/>
      <c r="X204" s="588"/>
    </row>
    <row r="205" spans="1:24" s="589" customFormat="1" x14ac:dyDescent="0.25">
      <c r="A205" s="604"/>
      <c r="B205" s="605" t="s">
        <v>151</v>
      </c>
      <c r="C205" s="716"/>
      <c r="D205" s="716"/>
      <c r="E205" s="716"/>
      <c r="F205" s="716"/>
      <c r="G205" s="639"/>
      <c r="H205" s="639"/>
      <c r="I205" s="639"/>
      <c r="J205" s="639"/>
      <c r="K205" s="639"/>
      <c r="L205" s="639"/>
      <c r="M205" s="639"/>
      <c r="N205" s="639"/>
      <c r="O205" s="639"/>
      <c r="P205" s="639"/>
      <c r="Q205" s="639"/>
      <c r="R205" s="639"/>
      <c r="S205" s="639"/>
      <c r="T205" s="633">
        <v>6.25E-2</v>
      </c>
      <c r="U205" s="605"/>
      <c r="V205" s="605"/>
      <c r="W205" s="607"/>
      <c r="X205" s="588"/>
    </row>
    <row r="206" spans="1:24" s="589" customFormat="1" x14ac:dyDescent="0.25">
      <c r="A206" s="604"/>
      <c r="B206" s="605" t="s">
        <v>72</v>
      </c>
      <c r="C206" s="716"/>
      <c r="D206" s="716"/>
      <c r="E206" s="716"/>
      <c r="F206" s="716"/>
      <c r="G206" s="639"/>
      <c r="H206" s="639"/>
      <c r="I206" s="639"/>
      <c r="J206" s="639"/>
      <c r="K206" s="639"/>
      <c r="L206" s="639"/>
      <c r="M206" s="639"/>
      <c r="N206" s="639"/>
      <c r="O206" s="639"/>
      <c r="P206" s="639"/>
      <c r="Q206" s="639"/>
      <c r="R206" s="639"/>
      <c r="S206" s="639"/>
      <c r="T206" s="633">
        <f>T204-T205</f>
        <v>-8.6699999999999972E-3</v>
      </c>
      <c r="U206" s="605"/>
      <c r="V206" s="605"/>
      <c r="W206" s="607"/>
      <c r="X206" s="588"/>
    </row>
    <row r="207" spans="1:24" s="589" customFormat="1" x14ac:dyDescent="0.25">
      <c r="A207" s="604"/>
      <c r="B207" s="605" t="s">
        <v>73</v>
      </c>
      <c r="C207" s="716"/>
      <c r="D207" s="716"/>
      <c r="E207" s="716"/>
      <c r="F207" s="716"/>
      <c r="G207" s="639"/>
      <c r="H207" s="639"/>
      <c r="I207" s="639"/>
      <c r="J207" s="639"/>
      <c r="K207" s="639"/>
      <c r="L207" s="639"/>
      <c r="M207" s="639"/>
      <c r="N207" s="639"/>
      <c r="O207" s="639"/>
      <c r="P207" s="639"/>
      <c r="Q207" s="639"/>
      <c r="R207" s="639"/>
      <c r="S207" s="639"/>
      <c r="T207" s="633">
        <v>2.9020000000000001E-2</v>
      </c>
      <c r="U207" s="605"/>
      <c r="V207" s="605"/>
      <c r="W207" s="607"/>
      <c r="X207" s="588"/>
    </row>
    <row r="208" spans="1:24" s="589" customFormat="1" x14ac:dyDescent="0.25">
      <c r="A208" s="604"/>
      <c r="B208" s="605" t="s">
        <v>218</v>
      </c>
      <c r="C208" s="716"/>
      <c r="D208" s="716"/>
      <c r="E208" s="716"/>
      <c r="F208" s="716"/>
      <c r="G208" s="639"/>
      <c r="H208" s="639"/>
      <c r="I208" s="639"/>
      <c r="J208" s="639"/>
      <c r="K208" s="639"/>
      <c r="L208" s="639"/>
      <c r="M208" s="639"/>
      <c r="N208" s="639"/>
      <c r="O208" s="639"/>
      <c r="P208" s="639"/>
      <c r="Q208" s="639"/>
      <c r="R208" s="639"/>
      <c r="S208" s="639"/>
      <c r="T208" s="633">
        <f>V43</f>
        <v>1.3078953992413501E-2</v>
      </c>
      <c r="U208" s="605"/>
      <c r="V208" s="605"/>
      <c r="W208" s="607"/>
      <c r="X208" s="588"/>
    </row>
    <row r="209" spans="1:24" s="589" customFormat="1" x14ac:dyDescent="0.25">
      <c r="A209" s="604"/>
      <c r="B209" s="605" t="s">
        <v>74</v>
      </c>
      <c r="C209" s="716"/>
      <c r="D209" s="716"/>
      <c r="E209" s="716"/>
      <c r="F209" s="716"/>
      <c r="G209" s="639"/>
      <c r="H209" s="639"/>
      <c r="I209" s="639"/>
      <c r="J209" s="639"/>
      <c r="K209" s="639"/>
      <c r="L209" s="639"/>
      <c r="M209" s="639"/>
      <c r="N209" s="639"/>
      <c r="O209" s="639"/>
      <c r="P209" s="639"/>
      <c r="Q209" s="639"/>
      <c r="R209" s="639"/>
      <c r="S209" s="639"/>
      <c r="T209" s="633">
        <f>T207-T208</f>
        <v>1.5941046007586501E-2</v>
      </c>
      <c r="U209" s="605"/>
      <c r="V209" s="605"/>
      <c r="W209" s="607"/>
      <c r="X209" s="588"/>
    </row>
    <row r="210" spans="1:24" s="589" customFormat="1" x14ac:dyDescent="0.25">
      <c r="A210" s="604"/>
      <c r="B210" s="605" t="s">
        <v>227</v>
      </c>
      <c r="C210" s="716"/>
      <c r="D210" s="716"/>
      <c r="E210" s="716"/>
      <c r="F210" s="716"/>
      <c r="G210" s="639"/>
      <c r="H210" s="639"/>
      <c r="I210" s="639"/>
      <c r="J210" s="639"/>
      <c r="K210" s="639"/>
      <c r="L210" s="639"/>
      <c r="M210" s="639"/>
      <c r="N210" s="639"/>
      <c r="O210" s="639"/>
      <c r="P210" s="639"/>
      <c r="Q210" s="639"/>
      <c r="R210" s="639"/>
      <c r="S210" s="639"/>
      <c r="T210" s="633">
        <f>V101/N71</f>
        <v>7.6413721378621041E-3</v>
      </c>
      <c r="U210" s="605"/>
      <c r="V210" s="605"/>
      <c r="W210" s="607"/>
      <c r="X210" s="588"/>
    </row>
    <row r="211" spans="1:24" s="589" customFormat="1" x14ac:dyDescent="0.25">
      <c r="A211" s="604"/>
      <c r="B211" s="605" t="s">
        <v>207</v>
      </c>
      <c r="C211" s="716"/>
      <c r="D211" s="716"/>
      <c r="E211" s="716"/>
      <c r="F211" s="716"/>
      <c r="G211" s="639"/>
      <c r="H211" s="639"/>
      <c r="I211" s="639"/>
      <c r="J211" s="639"/>
      <c r="K211" s="639"/>
      <c r="L211" s="639"/>
      <c r="M211" s="639"/>
      <c r="N211" s="639"/>
      <c r="O211" s="639"/>
      <c r="P211" s="639"/>
      <c r="Q211" s="639"/>
      <c r="R211" s="639"/>
      <c r="S211" s="639"/>
      <c r="T211" s="717">
        <v>51105</v>
      </c>
      <c r="U211" s="605"/>
      <c r="V211" s="605"/>
      <c r="W211" s="607"/>
      <c r="X211" s="588"/>
    </row>
    <row r="212" spans="1:24" s="589" customFormat="1" x14ac:dyDescent="0.25">
      <c r="A212" s="604"/>
      <c r="B212" s="605" t="s">
        <v>208</v>
      </c>
      <c r="C212" s="716"/>
      <c r="D212" s="716"/>
      <c r="E212" s="716"/>
      <c r="F212" s="716"/>
      <c r="G212" s="639"/>
      <c r="H212" s="639"/>
      <c r="I212" s="639"/>
      <c r="J212" s="639"/>
      <c r="K212" s="639"/>
      <c r="L212" s="639"/>
      <c r="M212" s="639"/>
      <c r="N212" s="639"/>
      <c r="O212" s="639"/>
      <c r="P212" s="639"/>
      <c r="Q212" s="639"/>
      <c r="R212" s="639"/>
      <c r="S212" s="639"/>
      <c r="T212" s="717">
        <v>51105</v>
      </c>
      <c r="U212" s="605"/>
      <c r="V212" s="605"/>
      <c r="W212" s="607"/>
      <c r="X212" s="588"/>
    </row>
    <row r="213" spans="1:24" s="589" customFormat="1" x14ac:dyDescent="0.25">
      <c r="A213" s="604"/>
      <c r="B213" s="605" t="s">
        <v>209</v>
      </c>
      <c r="C213" s="716"/>
      <c r="D213" s="716"/>
      <c r="E213" s="716"/>
      <c r="F213" s="716"/>
      <c r="G213" s="639"/>
      <c r="H213" s="639"/>
      <c r="I213" s="639"/>
      <c r="J213" s="639"/>
      <c r="K213" s="639"/>
      <c r="L213" s="639"/>
      <c r="M213" s="639"/>
      <c r="N213" s="639"/>
      <c r="O213" s="639"/>
      <c r="P213" s="639"/>
      <c r="Q213" s="639"/>
      <c r="R213" s="639"/>
      <c r="S213" s="639"/>
      <c r="T213" s="717">
        <v>51105</v>
      </c>
      <c r="U213" s="605"/>
      <c r="V213" s="605"/>
      <c r="W213" s="607"/>
      <c r="X213" s="588"/>
    </row>
    <row r="214" spans="1:24" s="589" customFormat="1" x14ac:dyDescent="0.25">
      <c r="A214" s="604"/>
      <c r="B214" s="605" t="s">
        <v>75</v>
      </c>
      <c r="C214" s="716"/>
      <c r="D214" s="716"/>
      <c r="E214" s="716"/>
      <c r="F214" s="716"/>
      <c r="G214" s="639"/>
      <c r="H214" s="639"/>
      <c r="I214" s="639"/>
      <c r="J214" s="639"/>
      <c r="K214" s="639"/>
      <c r="L214" s="639"/>
      <c r="M214" s="639"/>
      <c r="N214" s="639"/>
      <c r="O214" s="639"/>
      <c r="P214" s="639"/>
      <c r="Q214" s="639"/>
      <c r="R214" s="639"/>
      <c r="S214" s="639"/>
      <c r="T214" s="637">
        <v>21.06</v>
      </c>
      <c r="U214" s="605" t="s">
        <v>110</v>
      </c>
      <c r="V214" s="605"/>
      <c r="W214" s="607"/>
      <c r="X214" s="588"/>
    </row>
    <row r="215" spans="1:24" s="589" customFormat="1" x14ac:dyDescent="0.25">
      <c r="A215" s="604"/>
      <c r="B215" s="605" t="s">
        <v>76</v>
      </c>
      <c r="C215" s="716"/>
      <c r="D215" s="716"/>
      <c r="E215" s="716"/>
      <c r="F215" s="716"/>
      <c r="G215" s="639"/>
      <c r="H215" s="639"/>
      <c r="I215" s="639"/>
      <c r="J215" s="639"/>
      <c r="K215" s="639"/>
      <c r="L215" s="639"/>
      <c r="M215" s="639"/>
      <c r="N215" s="639"/>
      <c r="O215" s="639"/>
      <c r="P215" s="639"/>
      <c r="Q215" s="639"/>
      <c r="R215" s="639"/>
      <c r="S215" s="639"/>
      <c r="T215" s="637">
        <v>10.32</v>
      </c>
      <c r="U215" s="605" t="s">
        <v>110</v>
      </c>
      <c r="V215" s="605"/>
      <c r="W215" s="607"/>
      <c r="X215" s="588"/>
    </row>
    <row r="216" spans="1:24" s="589" customFormat="1" x14ac:dyDescent="0.25">
      <c r="A216" s="604"/>
      <c r="B216" s="605" t="s">
        <v>77</v>
      </c>
      <c r="C216" s="716"/>
      <c r="D216" s="716"/>
      <c r="E216" s="716"/>
      <c r="F216" s="716"/>
      <c r="G216" s="639"/>
      <c r="H216" s="639"/>
      <c r="I216" s="639"/>
      <c r="J216" s="639"/>
      <c r="K216" s="639"/>
      <c r="L216" s="639"/>
      <c r="M216" s="639"/>
      <c r="N216" s="639"/>
      <c r="O216" s="639"/>
      <c r="P216" s="639"/>
      <c r="Q216" s="639"/>
      <c r="R216" s="639"/>
      <c r="S216" s="639"/>
      <c r="T216" s="633">
        <f>+P68/N68</f>
        <v>1.9711228393623523E-2</v>
      </c>
      <c r="U216" s="605"/>
      <c r="V216" s="605"/>
      <c r="W216" s="607"/>
      <c r="X216" s="588"/>
    </row>
    <row r="217" spans="1:24" s="589" customFormat="1" x14ac:dyDescent="0.25">
      <c r="A217" s="604"/>
      <c r="B217" s="605" t="s">
        <v>78</v>
      </c>
      <c r="C217" s="716"/>
      <c r="D217" s="716"/>
      <c r="E217" s="716"/>
      <c r="F217" s="716"/>
      <c r="G217" s="639"/>
      <c r="H217" s="639"/>
      <c r="I217" s="639"/>
      <c r="J217" s="639"/>
      <c r="K217" s="639"/>
      <c r="L217" s="639"/>
      <c r="M217" s="639"/>
      <c r="N217" s="639"/>
      <c r="O217" s="639"/>
      <c r="P217" s="639"/>
      <c r="Q217" s="639"/>
      <c r="R217" s="639"/>
      <c r="S217" s="639"/>
      <c r="T217" s="633">
        <v>4.7199999999999999E-2</v>
      </c>
      <c r="U217" s="605"/>
      <c r="V217" s="605"/>
      <c r="W217" s="607"/>
      <c r="X217" s="588"/>
    </row>
    <row r="218" spans="1:24" x14ac:dyDescent="0.25">
      <c r="A218" s="712"/>
      <c r="B218" s="718"/>
      <c r="C218" s="718"/>
      <c r="D218" s="718"/>
      <c r="E218" s="718"/>
      <c r="F218" s="718"/>
      <c r="G218" s="664"/>
      <c r="H218" s="664"/>
      <c r="I218" s="664"/>
      <c r="J218" s="664"/>
      <c r="K218" s="664"/>
      <c r="L218" s="664"/>
      <c r="M218" s="664"/>
      <c r="N218" s="664"/>
      <c r="O218" s="664"/>
      <c r="P218" s="664"/>
      <c r="Q218" s="664"/>
      <c r="R218" s="664"/>
      <c r="S218" s="664"/>
      <c r="T218" s="696"/>
      <c r="U218" s="664"/>
      <c r="V218" s="719"/>
      <c r="W218" s="664"/>
      <c r="X218" s="572"/>
    </row>
    <row r="219" spans="1:24" x14ac:dyDescent="0.25">
      <c r="A219" s="720"/>
      <c r="B219" s="669" t="s">
        <v>79</v>
      </c>
      <c r="C219" s="670"/>
      <c r="D219" s="670"/>
      <c r="E219" s="670"/>
      <c r="F219" s="721"/>
      <c r="G219" s="670"/>
      <c r="H219" s="670"/>
      <c r="I219" s="670"/>
      <c r="J219" s="670"/>
      <c r="K219" s="670"/>
      <c r="L219" s="670"/>
      <c r="M219" s="670"/>
      <c r="N219" s="670"/>
      <c r="O219" s="670"/>
      <c r="P219" s="670"/>
      <c r="Q219" s="670"/>
      <c r="R219" s="670"/>
      <c r="S219" s="670" t="s">
        <v>102</v>
      </c>
      <c r="T219" s="721" t="s">
        <v>108</v>
      </c>
      <c r="U219" s="598"/>
      <c r="V219" s="598"/>
      <c r="W219" s="601"/>
      <c r="X219" s="572"/>
    </row>
    <row r="220" spans="1:24" s="589" customFormat="1" x14ac:dyDescent="0.25">
      <c r="A220" s="722"/>
      <c r="B220" s="602" t="s">
        <v>80</v>
      </c>
      <c r="C220" s="673"/>
      <c r="D220" s="673"/>
      <c r="E220" s="673"/>
      <c r="F220" s="602"/>
      <c r="G220" s="602"/>
      <c r="H220" s="723"/>
      <c r="I220" s="723"/>
      <c r="J220" s="723"/>
      <c r="K220" s="723"/>
      <c r="L220" s="723"/>
      <c r="M220" s="723"/>
      <c r="N220" s="723"/>
      <c r="O220" s="723"/>
      <c r="P220" s="723"/>
      <c r="Q220" s="723"/>
      <c r="R220" s="723"/>
      <c r="S220" s="723">
        <v>2</v>
      </c>
      <c r="T220" s="724">
        <v>221</v>
      </c>
      <c r="U220" s="602"/>
      <c r="V220" s="725"/>
      <c r="W220" s="726"/>
      <c r="X220" s="588"/>
    </row>
    <row r="221" spans="1:24" s="589" customFormat="1" x14ac:dyDescent="0.25">
      <c r="A221" s="727"/>
      <c r="B221" s="605" t="s">
        <v>145</v>
      </c>
      <c r="C221" s="662"/>
      <c r="D221" s="662"/>
      <c r="E221" s="662"/>
      <c r="F221" s="605"/>
      <c r="G221" s="605"/>
      <c r="H221" s="611"/>
      <c r="I221" s="611"/>
      <c r="J221" s="611"/>
      <c r="K221" s="611"/>
      <c r="L221" s="611"/>
      <c r="M221" s="611"/>
      <c r="N221" s="611"/>
      <c r="O221" s="611"/>
      <c r="P221" s="611"/>
      <c r="Q221" s="611"/>
      <c r="R221" s="611"/>
      <c r="S221" s="728">
        <f>+R273</f>
        <v>61</v>
      </c>
      <c r="T221" s="729">
        <f>+T273</f>
        <v>8548</v>
      </c>
      <c r="U221" s="605"/>
      <c r="V221" s="730"/>
      <c r="W221" s="731"/>
      <c r="X221" s="588"/>
    </row>
    <row r="222" spans="1:24" s="589" customFormat="1" x14ac:dyDescent="0.25">
      <c r="A222" s="727"/>
      <c r="B222" s="605" t="s">
        <v>81</v>
      </c>
      <c r="C222" s="662"/>
      <c r="D222" s="662"/>
      <c r="E222" s="662"/>
      <c r="F222" s="605"/>
      <c r="G222" s="605"/>
      <c r="H222" s="611"/>
      <c r="I222" s="611"/>
      <c r="J222" s="611"/>
      <c r="K222" s="611"/>
      <c r="L222" s="611"/>
      <c r="M222" s="611"/>
      <c r="N222" s="611"/>
      <c r="O222" s="611"/>
      <c r="P222" s="611"/>
      <c r="Q222" s="611"/>
      <c r="R222" s="611"/>
      <c r="S222" s="728">
        <f>+R285</f>
        <v>1</v>
      </c>
      <c r="T222" s="729">
        <f>+T285</f>
        <v>31</v>
      </c>
      <c r="U222" s="605"/>
      <c r="V222" s="730"/>
      <c r="W222" s="731"/>
      <c r="X222" s="588"/>
    </row>
    <row r="223" spans="1:24" x14ac:dyDescent="0.25">
      <c r="A223" s="732"/>
      <c r="B223" s="623" t="s">
        <v>82</v>
      </c>
      <c r="C223" s="733"/>
      <c r="D223" s="733"/>
      <c r="E223" s="733"/>
      <c r="F223" s="679"/>
      <c r="G223" s="679"/>
      <c r="H223" s="679"/>
      <c r="I223" s="679"/>
      <c r="J223" s="679"/>
      <c r="K223" s="679"/>
      <c r="L223" s="679"/>
      <c r="M223" s="679"/>
      <c r="N223" s="679"/>
      <c r="O223" s="679"/>
      <c r="P223" s="679"/>
      <c r="Q223" s="679"/>
      <c r="R223" s="679"/>
      <c r="S223" s="681"/>
      <c r="T223" s="729">
        <v>0</v>
      </c>
      <c r="U223" s="679"/>
      <c r="V223" s="734"/>
      <c r="W223" s="735"/>
      <c r="X223" s="572"/>
    </row>
    <row r="224" spans="1:24" x14ac:dyDescent="0.25">
      <c r="A224" s="732"/>
      <c r="B224" s="623" t="s">
        <v>228</v>
      </c>
      <c r="C224" s="733"/>
      <c r="D224" s="733"/>
      <c r="E224" s="733"/>
      <c r="F224" s="679"/>
      <c r="G224" s="679"/>
      <c r="H224" s="679"/>
      <c r="I224" s="679"/>
      <c r="J224" s="679"/>
      <c r="K224" s="679"/>
      <c r="L224" s="679"/>
      <c r="M224" s="679"/>
      <c r="N224" s="679"/>
      <c r="O224" s="679"/>
      <c r="P224" s="679"/>
      <c r="Q224" s="679"/>
      <c r="R224" s="679"/>
      <c r="S224" s="681"/>
      <c r="T224" s="729">
        <f>+N81</f>
        <v>0</v>
      </c>
      <c r="U224" s="679"/>
      <c r="V224" s="734"/>
      <c r="W224" s="735"/>
      <c r="X224" s="572"/>
    </row>
    <row r="225" spans="1:24" x14ac:dyDescent="0.25">
      <c r="A225" s="736"/>
      <c r="B225" s="623" t="s">
        <v>83</v>
      </c>
      <c r="C225" s="737"/>
      <c r="D225" s="737"/>
      <c r="E225" s="737"/>
      <c r="F225" s="737"/>
      <c r="G225" s="679"/>
      <c r="H225" s="679"/>
      <c r="I225" s="679"/>
      <c r="J225" s="679"/>
      <c r="K225" s="679"/>
      <c r="L225" s="679"/>
      <c r="M225" s="679"/>
      <c r="N225" s="679"/>
      <c r="O225" s="679"/>
      <c r="P225" s="679"/>
      <c r="Q225" s="679"/>
      <c r="R225" s="679"/>
      <c r="S225" s="681"/>
      <c r="T225" s="738"/>
      <c r="U225" s="679"/>
      <c r="V225" s="734"/>
      <c r="W225" s="739"/>
      <c r="X225" s="572"/>
    </row>
    <row r="226" spans="1:24" s="589" customFormat="1" x14ac:dyDescent="0.25">
      <c r="A226" s="740"/>
      <c r="B226" s="605" t="s">
        <v>84</v>
      </c>
      <c r="C226" s="605"/>
      <c r="D226" s="605"/>
      <c r="E226" s="605"/>
      <c r="F226" s="605"/>
      <c r="G226" s="605"/>
      <c r="H226" s="605"/>
      <c r="I226" s="605"/>
      <c r="J226" s="605"/>
      <c r="K226" s="605"/>
      <c r="L226" s="605"/>
      <c r="M226" s="605"/>
      <c r="N226" s="605"/>
      <c r="O226" s="605"/>
      <c r="P226" s="605"/>
      <c r="Q226" s="605"/>
      <c r="R226" s="605"/>
      <c r="S226" s="611"/>
      <c r="T226" s="729">
        <f>V164</f>
        <v>299</v>
      </c>
      <c r="U226" s="605"/>
      <c r="V226" s="730"/>
      <c r="W226" s="741"/>
      <c r="X226" s="588"/>
    </row>
    <row r="227" spans="1:24" s="589" customFormat="1" x14ac:dyDescent="0.25">
      <c r="A227" s="727"/>
      <c r="B227" s="605" t="s">
        <v>85</v>
      </c>
      <c r="C227" s="662"/>
      <c r="D227" s="662"/>
      <c r="E227" s="662"/>
      <c r="F227" s="662"/>
      <c r="G227" s="605"/>
      <c r="H227" s="605"/>
      <c r="I227" s="605"/>
      <c r="J227" s="605"/>
      <c r="K227" s="605"/>
      <c r="L227" s="605"/>
      <c r="M227" s="605"/>
      <c r="N227" s="605"/>
      <c r="O227" s="605"/>
      <c r="P227" s="605"/>
      <c r="Q227" s="605"/>
      <c r="R227" s="605"/>
      <c r="S227" s="611"/>
      <c r="T227" s="729">
        <f>'Nov 18'!T227+T226</f>
        <v>9500</v>
      </c>
      <c r="U227" s="605"/>
      <c r="V227" s="730"/>
      <c r="W227" s="741"/>
      <c r="X227" s="588"/>
    </row>
    <row r="228" spans="1:24" x14ac:dyDescent="0.25">
      <c r="A228" s="736"/>
      <c r="B228" s="623" t="s">
        <v>285</v>
      </c>
      <c r="C228" s="737"/>
      <c r="D228" s="737"/>
      <c r="E228" s="737"/>
      <c r="F228" s="737"/>
      <c r="G228" s="679"/>
      <c r="H228" s="679"/>
      <c r="I228" s="679"/>
      <c r="J228" s="679"/>
      <c r="K228" s="679"/>
      <c r="L228" s="679"/>
      <c r="M228" s="679"/>
      <c r="N228" s="679"/>
      <c r="O228" s="679"/>
      <c r="P228" s="679"/>
      <c r="Q228" s="679"/>
      <c r="R228" s="679"/>
      <c r="S228" s="742"/>
      <c r="T228" s="738"/>
      <c r="U228" s="679"/>
      <c r="V228" s="734"/>
      <c r="W228" s="739"/>
      <c r="X228" s="572"/>
    </row>
    <row r="229" spans="1:24" s="589" customFormat="1" x14ac:dyDescent="0.25">
      <c r="A229" s="740"/>
      <c r="B229" s="605" t="s">
        <v>282</v>
      </c>
      <c r="C229" s="605"/>
      <c r="D229" s="605"/>
      <c r="E229" s="605"/>
      <c r="F229" s="605"/>
      <c r="G229" s="605"/>
      <c r="H229" s="605"/>
      <c r="I229" s="605"/>
      <c r="J229" s="605"/>
      <c r="K229" s="605"/>
      <c r="L229" s="605"/>
      <c r="M229" s="605"/>
      <c r="N229" s="605"/>
      <c r="O229" s="605"/>
      <c r="P229" s="605"/>
      <c r="Q229" s="605"/>
      <c r="R229" s="605"/>
      <c r="S229" s="611">
        <v>0</v>
      </c>
      <c r="T229" s="729">
        <v>0</v>
      </c>
      <c r="U229" s="605"/>
      <c r="V229" s="730"/>
      <c r="W229" s="741"/>
      <c r="X229" s="588"/>
    </row>
    <row r="230" spans="1:24" s="589" customFormat="1" x14ac:dyDescent="0.25">
      <c r="A230" s="727"/>
      <c r="B230" s="605" t="s">
        <v>86</v>
      </c>
      <c r="C230" s="635"/>
      <c r="D230" s="635"/>
      <c r="E230" s="635"/>
      <c r="F230" s="743"/>
      <c r="G230" s="605"/>
      <c r="H230" s="605"/>
      <c r="I230" s="605"/>
      <c r="J230" s="605"/>
      <c r="K230" s="605"/>
      <c r="L230" s="605"/>
      <c r="M230" s="605"/>
      <c r="N230" s="605"/>
      <c r="O230" s="605"/>
      <c r="P230" s="605"/>
      <c r="Q230" s="605"/>
      <c r="R230" s="605"/>
      <c r="S230" s="605"/>
      <c r="T230" s="744">
        <v>0</v>
      </c>
      <c r="U230" s="605"/>
      <c r="V230" s="730"/>
      <c r="W230" s="741"/>
      <c r="X230" s="588"/>
    </row>
    <row r="231" spans="1:24" s="589" customFormat="1" x14ac:dyDescent="0.25">
      <c r="A231" s="727"/>
      <c r="B231" s="605" t="s">
        <v>87</v>
      </c>
      <c r="C231" s="635"/>
      <c r="D231" s="635"/>
      <c r="E231" s="635"/>
      <c r="F231" s="743"/>
      <c r="G231" s="605"/>
      <c r="H231" s="605"/>
      <c r="I231" s="605"/>
      <c r="J231" s="605"/>
      <c r="K231" s="605"/>
      <c r="L231" s="605"/>
      <c r="M231" s="605"/>
      <c r="N231" s="605"/>
      <c r="O231" s="605"/>
      <c r="P231" s="605"/>
      <c r="Q231" s="605"/>
      <c r="R231" s="605"/>
      <c r="S231" s="605"/>
      <c r="T231" s="744">
        <v>0</v>
      </c>
      <c r="U231" s="605"/>
      <c r="V231" s="730"/>
      <c r="W231" s="741"/>
      <c r="X231" s="588"/>
    </row>
    <row r="232" spans="1:24" x14ac:dyDescent="0.25">
      <c r="A232" s="732"/>
      <c r="B232" s="623" t="s">
        <v>216</v>
      </c>
      <c r="C232" s="745"/>
      <c r="D232" s="745"/>
      <c r="E232" s="745"/>
      <c r="F232" s="746"/>
      <c r="G232" s="679"/>
      <c r="H232" s="679"/>
      <c r="I232" s="679"/>
      <c r="J232" s="679"/>
      <c r="K232" s="679"/>
      <c r="L232" s="679"/>
      <c r="M232" s="679"/>
      <c r="N232" s="679"/>
      <c r="O232" s="679"/>
      <c r="P232" s="679"/>
      <c r="Q232" s="679"/>
      <c r="R232" s="679"/>
      <c r="S232" s="681"/>
      <c r="T232" s="747"/>
      <c r="U232" s="679"/>
      <c r="V232" s="734"/>
      <c r="W232" s="739"/>
      <c r="X232" s="572"/>
    </row>
    <row r="233" spans="1:24" s="589" customFormat="1" x14ac:dyDescent="0.25">
      <c r="A233" s="727"/>
      <c r="B233" s="605" t="s">
        <v>282</v>
      </c>
      <c r="C233" s="635"/>
      <c r="D233" s="635"/>
      <c r="E233" s="635"/>
      <c r="F233" s="743"/>
      <c r="G233" s="605"/>
      <c r="H233" s="605"/>
      <c r="I233" s="605"/>
      <c r="J233" s="605"/>
      <c r="K233" s="605"/>
      <c r="L233" s="605"/>
      <c r="M233" s="605"/>
      <c r="N233" s="605"/>
      <c r="O233" s="605"/>
      <c r="P233" s="605"/>
      <c r="Q233" s="605"/>
      <c r="R233" s="605"/>
      <c r="S233" s="611">
        <v>6</v>
      </c>
      <c r="T233" s="729">
        <v>711</v>
      </c>
      <c r="U233" s="605"/>
      <c r="V233" s="730"/>
      <c r="W233" s="741"/>
      <c r="X233" s="588"/>
    </row>
    <row r="234" spans="1:24" s="589" customFormat="1" x14ac:dyDescent="0.25">
      <c r="A234" s="727"/>
      <c r="B234" s="605" t="s">
        <v>217</v>
      </c>
      <c r="C234" s="635"/>
      <c r="D234" s="635"/>
      <c r="E234" s="635"/>
      <c r="F234" s="743"/>
      <c r="G234" s="605"/>
      <c r="H234" s="605"/>
      <c r="I234" s="605"/>
      <c r="J234" s="605"/>
      <c r="K234" s="605"/>
      <c r="L234" s="605"/>
      <c r="M234" s="605"/>
      <c r="N234" s="605"/>
      <c r="O234" s="605"/>
      <c r="P234" s="605"/>
      <c r="Q234" s="605"/>
      <c r="R234" s="605"/>
      <c r="S234" s="605"/>
      <c r="T234" s="744">
        <v>4.18</v>
      </c>
      <c r="U234" s="605"/>
      <c r="V234" s="730"/>
      <c r="W234" s="741"/>
      <c r="X234" s="588"/>
    </row>
    <row r="235" spans="1:24" x14ac:dyDescent="0.25">
      <c r="A235" s="732"/>
      <c r="B235" s="737"/>
      <c r="C235" s="745"/>
      <c r="D235" s="745"/>
      <c r="E235" s="745"/>
      <c r="F235" s="746"/>
      <c r="G235" s="679"/>
      <c r="H235" s="679"/>
      <c r="I235" s="679"/>
      <c r="J235" s="679"/>
      <c r="K235" s="679"/>
      <c r="L235" s="679"/>
      <c r="M235" s="679"/>
      <c r="N235" s="679"/>
      <c r="O235" s="679"/>
      <c r="P235" s="679"/>
      <c r="Q235" s="679"/>
      <c r="R235" s="679"/>
      <c r="S235" s="681"/>
      <c r="T235" s="747"/>
      <c r="U235" s="679"/>
      <c r="V235" s="734"/>
      <c r="W235" s="739"/>
      <c r="X235" s="572"/>
    </row>
    <row r="236" spans="1:24" x14ac:dyDescent="0.25">
      <c r="A236" s="732"/>
      <c r="B236" s="737"/>
      <c r="C236" s="745"/>
      <c r="D236" s="745"/>
      <c r="E236" s="745"/>
      <c r="F236" s="746"/>
      <c r="G236" s="679"/>
      <c r="H236" s="679"/>
      <c r="I236" s="679"/>
      <c r="J236" s="679"/>
      <c r="K236" s="679"/>
      <c r="L236" s="679"/>
      <c r="M236" s="679"/>
      <c r="N236" s="679"/>
      <c r="O236" s="679"/>
      <c r="P236" s="679"/>
      <c r="Q236" s="679"/>
      <c r="R236" s="679"/>
      <c r="S236" s="679"/>
      <c r="T236" s="748"/>
      <c r="U236" s="679"/>
      <c r="V236" s="734"/>
      <c r="W236" s="739"/>
      <c r="X236" s="572"/>
    </row>
    <row r="237" spans="1:24" ht="18.75" x14ac:dyDescent="0.3">
      <c r="A237" s="732"/>
      <c r="B237" s="749" t="s">
        <v>168</v>
      </c>
      <c r="C237" s="745"/>
      <c r="D237" s="745"/>
      <c r="E237" s="745"/>
      <c r="F237" s="746"/>
      <c r="G237" s="679"/>
      <c r="H237" s="679"/>
      <c r="I237" s="679"/>
      <c r="J237" s="679"/>
      <c r="K237" s="679"/>
      <c r="L237" s="679"/>
      <c r="M237" s="679"/>
      <c r="N237" s="679"/>
      <c r="O237" s="679"/>
      <c r="P237" s="535" t="s">
        <v>341</v>
      </c>
      <c r="Q237" s="679"/>
      <c r="R237" s="679"/>
      <c r="S237" s="679"/>
      <c r="T237" s="748"/>
      <c r="U237" s="679"/>
      <c r="V237" s="734"/>
      <c r="W237" s="739"/>
      <c r="X237" s="572"/>
    </row>
    <row r="238" spans="1:24" x14ac:dyDescent="0.25">
      <c r="A238" s="750"/>
      <c r="B238" s="718"/>
      <c r="C238" s="751"/>
      <c r="D238" s="751"/>
      <c r="E238" s="751"/>
      <c r="F238" s="752"/>
      <c r="G238" s="664"/>
      <c r="H238" s="664"/>
      <c r="I238" s="664"/>
      <c r="J238" s="664"/>
      <c r="K238" s="664"/>
      <c r="L238" s="664"/>
      <c r="M238" s="664"/>
      <c r="N238" s="664"/>
      <c r="O238" s="664"/>
      <c r="P238" s="664"/>
      <c r="Q238" s="664"/>
      <c r="R238" s="664"/>
      <c r="S238" s="664"/>
      <c r="T238" s="753"/>
      <c r="U238" s="664"/>
      <c r="V238" s="719"/>
      <c r="W238" s="754"/>
      <c r="X238" s="572"/>
    </row>
    <row r="239" spans="1:24" x14ac:dyDescent="0.25">
      <c r="A239" s="597"/>
      <c r="B239" s="669" t="s">
        <v>297</v>
      </c>
      <c r="C239" s="670"/>
      <c r="D239" s="670"/>
      <c r="E239" s="670"/>
      <c r="F239" s="721"/>
      <c r="G239" s="670"/>
      <c r="H239" s="670"/>
      <c r="I239" s="670"/>
      <c r="J239" s="670"/>
      <c r="K239" s="670"/>
      <c r="L239" s="670"/>
      <c r="M239" s="670"/>
      <c r="N239" s="670"/>
      <c r="O239" s="670"/>
      <c r="P239" s="670"/>
      <c r="Q239" s="670"/>
      <c r="R239" s="721" t="s">
        <v>102</v>
      </c>
      <c r="S239" s="670" t="s">
        <v>103</v>
      </c>
      <c r="T239" s="721" t="s">
        <v>109</v>
      </c>
      <c r="U239" s="670" t="s">
        <v>103</v>
      </c>
      <c r="V239" s="598"/>
      <c r="W239" s="755"/>
      <c r="X239" s="572"/>
    </row>
    <row r="240" spans="1:24" s="589" customFormat="1" x14ac:dyDescent="0.25">
      <c r="A240" s="585"/>
      <c r="B240" s="673" t="s">
        <v>88</v>
      </c>
      <c r="C240" s="756"/>
      <c r="D240" s="756"/>
      <c r="E240" s="756"/>
      <c r="F240" s="602"/>
      <c r="G240" s="756"/>
      <c r="H240" s="756"/>
      <c r="I240" s="756"/>
      <c r="J240" s="756"/>
      <c r="K240" s="756"/>
      <c r="L240" s="756"/>
      <c r="M240" s="756"/>
      <c r="N240" s="756"/>
      <c r="O240" s="756"/>
      <c r="P240" s="756"/>
      <c r="Q240" s="756"/>
      <c r="R240" s="673">
        <f t="shared" ref="R240:R247" si="1">+R252+R264+R276</f>
        <v>4229</v>
      </c>
      <c r="S240" s="757">
        <f t="shared" ref="S240:S247" si="2">R240/$R$249</f>
        <v>0.99109444574642602</v>
      </c>
      <c r="T240" s="674">
        <f t="shared" ref="T240:T247" si="3">+T252+T264+T276</f>
        <v>576082</v>
      </c>
      <c r="U240" s="757">
        <f t="shared" ref="U240:U247" si="4">T240/$T$249</f>
        <v>0.99217225516553653</v>
      </c>
      <c r="V240" s="725"/>
      <c r="W240" s="758"/>
      <c r="X240" s="588"/>
    </row>
    <row r="241" spans="1:25" s="589" customFormat="1" x14ac:dyDescent="0.25">
      <c r="A241" s="604"/>
      <c r="B241" s="662" t="s">
        <v>89</v>
      </c>
      <c r="C241" s="759"/>
      <c r="D241" s="759"/>
      <c r="E241" s="759"/>
      <c r="F241" s="605"/>
      <c r="G241" s="760"/>
      <c r="H241" s="759"/>
      <c r="I241" s="759"/>
      <c r="J241" s="759"/>
      <c r="K241" s="759"/>
      <c r="L241" s="759"/>
      <c r="M241" s="759"/>
      <c r="N241" s="759"/>
      <c r="O241" s="759"/>
      <c r="P241" s="759"/>
      <c r="Q241" s="759"/>
      <c r="R241" s="662">
        <f t="shared" si="1"/>
        <v>26</v>
      </c>
      <c r="S241" s="760">
        <f t="shared" si="2"/>
        <v>6.0932739629716431E-3</v>
      </c>
      <c r="T241" s="663">
        <f t="shared" si="3"/>
        <v>2329</v>
      </c>
      <c r="U241" s="760">
        <f t="shared" si="4"/>
        <v>4.0111810163840122E-3</v>
      </c>
      <c r="V241" s="730"/>
      <c r="W241" s="741"/>
      <c r="X241" s="588"/>
      <c r="Y241" s="685"/>
    </row>
    <row r="242" spans="1:25" s="589" customFormat="1" x14ac:dyDescent="0.25">
      <c r="A242" s="604"/>
      <c r="B242" s="662" t="s">
        <v>90</v>
      </c>
      <c r="C242" s="759"/>
      <c r="D242" s="759"/>
      <c r="E242" s="759"/>
      <c r="F242" s="605"/>
      <c r="G242" s="760"/>
      <c r="H242" s="759"/>
      <c r="I242" s="759"/>
      <c r="J242" s="759"/>
      <c r="K242" s="759"/>
      <c r="L242" s="759"/>
      <c r="M242" s="759"/>
      <c r="N242" s="759"/>
      <c r="O242" s="759"/>
      <c r="P242" s="759"/>
      <c r="Q242" s="759"/>
      <c r="R242" s="662">
        <f t="shared" si="1"/>
        <v>8</v>
      </c>
      <c r="S242" s="760">
        <f t="shared" si="2"/>
        <v>1.8748535270681978E-3</v>
      </c>
      <c r="T242" s="663">
        <f t="shared" si="3"/>
        <v>1290</v>
      </c>
      <c r="U242" s="760">
        <f t="shared" si="4"/>
        <v>2.2217361576364861E-3</v>
      </c>
      <c r="V242" s="730"/>
      <c r="W242" s="741"/>
      <c r="X242" s="588"/>
    </row>
    <row r="243" spans="1:25" s="589" customFormat="1" x14ac:dyDescent="0.25">
      <c r="A243" s="604"/>
      <c r="B243" s="662" t="s">
        <v>156</v>
      </c>
      <c r="C243" s="759"/>
      <c r="D243" s="759"/>
      <c r="E243" s="759"/>
      <c r="F243" s="605"/>
      <c r="G243" s="760"/>
      <c r="H243" s="759"/>
      <c r="I243" s="759"/>
      <c r="J243" s="759"/>
      <c r="K243" s="759"/>
      <c r="L243" s="759"/>
      <c r="M243" s="759"/>
      <c r="N243" s="759"/>
      <c r="O243" s="759"/>
      <c r="P243" s="759"/>
      <c r="Q243" s="759"/>
      <c r="R243" s="662">
        <f t="shared" si="1"/>
        <v>2</v>
      </c>
      <c r="S243" s="760">
        <f t="shared" si="2"/>
        <v>4.6871338176704945E-4</v>
      </c>
      <c r="T243" s="663">
        <f t="shared" si="3"/>
        <v>206</v>
      </c>
      <c r="U243" s="760">
        <f t="shared" si="4"/>
        <v>3.5478887478536137E-4</v>
      </c>
      <c r="V243" s="730"/>
      <c r="W243" s="741"/>
      <c r="X243" s="588"/>
      <c r="Y243" s="685"/>
    </row>
    <row r="244" spans="1:25" s="589" customFormat="1" x14ac:dyDescent="0.25">
      <c r="A244" s="604"/>
      <c r="B244" s="662" t="s">
        <v>157</v>
      </c>
      <c r="C244" s="759"/>
      <c r="D244" s="759"/>
      <c r="E244" s="759"/>
      <c r="F244" s="605"/>
      <c r="G244" s="760"/>
      <c r="H244" s="759"/>
      <c r="I244" s="759"/>
      <c r="J244" s="759"/>
      <c r="K244" s="759"/>
      <c r="L244" s="759"/>
      <c r="M244" s="759"/>
      <c r="N244" s="759"/>
      <c r="O244" s="759"/>
      <c r="P244" s="759"/>
      <c r="Q244" s="759"/>
      <c r="R244" s="662">
        <f t="shared" si="1"/>
        <v>0</v>
      </c>
      <c r="S244" s="760">
        <f t="shared" si="2"/>
        <v>0</v>
      </c>
      <c r="T244" s="663">
        <f t="shared" si="3"/>
        <v>0</v>
      </c>
      <c r="U244" s="760">
        <f t="shared" si="4"/>
        <v>0</v>
      </c>
      <c r="V244" s="730"/>
      <c r="W244" s="741"/>
      <c r="X244" s="588"/>
    </row>
    <row r="245" spans="1:25" s="589" customFormat="1" x14ac:dyDescent="0.25">
      <c r="A245" s="604"/>
      <c r="B245" s="662" t="s">
        <v>158</v>
      </c>
      <c r="C245" s="759"/>
      <c r="D245" s="759"/>
      <c r="E245" s="759"/>
      <c r="F245" s="605"/>
      <c r="G245" s="760"/>
      <c r="H245" s="759"/>
      <c r="I245" s="759"/>
      <c r="J245" s="759"/>
      <c r="K245" s="759"/>
      <c r="L245" s="759"/>
      <c r="M245" s="759"/>
      <c r="N245" s="759"/>
      <c r="O245" s="759"/>
      <c r="P245" s="759"/>
      <c r="Q245" s="759"/>
      <c r="R245" s="662">
        <f t="shared" si="1"/>
        <v>0</v>
      </c>
      <c r="S245" s="760">
        <f t="shared" si="2"/>
        <v>0</v>
      </c>
      <c r="T245" s="663">
        <f t="shared" si="3"/>
        <v>0</v>
      </c>
      <c r="U245" s="760">
        <f t="shared" si="4"/>
        <v>0</v>
      </c>
      <c r="V245" s="730"/>
      <c r="W245" s="741"/>
      <c r="X245" s="588"/>
      <c r="Y245" s="685"/>
    </row>
    <row r="246" spans="1:25" s="589" customFormat="1" x14ac:dyDescent="0.25">
      <c r="A246" s="604"/>
      <c r="B246" s="662" t="s">
        <v>159</v>
      </c>
      <c r="C246" s="759"/>
      <c r="D246" s="759"/>
      <c r="E246" s="759"/>
      <c r="F246" s="605"/>
      <c r="G246" s="760"/>
      <c r="H246" s="759"/>
      <c r="I246" s="759"/>
      <c r="J246" s="759"/>
      <c r="K246" s="759"/>
      <c r="L246" s="759"/>
      <c r="M246" s="759"/>
      <c r="N246" s="759"/>
      <c r="O246" s="759"/>
      <c r="P246" s="759"/>
      <c r="Q246" s="759"/>
      <c r="R246" s="662">
        <f t="shared" si="1"/>
        <v>1</v>
      </c>
      <c r="S246" s="760">
        <f t="shared" si="2"/>
        <v>2.3435669088352472E-4</v>
      </c>
      <c r="T246" s="663">
        <f t="shared" si="3"/>
        <v>89</v>
      </c>
      <c r="U246" s="760">
        <f t="shared" si="4"/>
        <v>1.5328257211600564E-4</v>
      </c>
      <c r="V246" s="730"/>
      <c r="W246" s="741"/>
      <c r="X246" s="588"/>
    </row>
    <row r="247" spans="1:25" s="589" customFormat="1" x14ac:dyDescent="0.25">
      <c r="A247" s="604"/>
      <c r="B247" s="662" t="s">
        <v>160</v>
      </c>
      <c r="C247" s="759"/>
      <c r="D247" s="759"/>
      <c r="E247" s="759"/>
      <c r="F247" s="605"/>
      <c r="G247" s="760"/>
      <c r="H247" s="759"/>
      <c r="I247" s="759"/>
      <c r="J247" s="759"/>
      <c r="K247" s="759"/>
      <c r="L247" s="759"/>
      <c r="M247" s="759"/>
      <c r="N247" s="759"/>
      <c r="O247" s="759"/>
      <c r="P247" s="759"/>
      <c r="Q247" s="759"/>
      <c r="R247" s="673">
        <f t="shared" si="1"/>
        <v>1</v>
      </c>
      <c r="S247" s="760">
        <f t="shared" si="2"/>
        <v>2.3435669088352472E-4</v>
      </c>
      <c r="T247" s="674">
        <f t="shared" si="3"/>
        <v>631</v>
      </c>
      <c r="U247" s="757">
        <f t="shared" si="4"/>
        <v>1.086756213541568E-3</v>
      </c>
      <c r="V247" s="730"/>
      <c r="W247" s="741"/>
      <c r="X247" s="588"/>
      <c r="Y247" s="685"/>
    </row>
    <row r="248" spans="1:25" s="589" customFormat="1" x14ac:dyDescent="0.25">
      <c r="A248" s="604"/>
      <c r="B248" s="662"/>
      <c r="C248" s="759"/>
      <c r="D248" s="759"/>
      <c r="E248" s="759"/>
      <c r="F248" s="605"/>
      <c r="G248" s="760"/>
      <c r="H248" s="759"/>
      <c r="I248" s="759"/>
      <c r="J248" s="759"/>
      <c r="K248" s="759"/>
      <c r="L248" s="759"/>
      <c r="M248" s="759"/>
      <c r="N248" s="759"/>
      <c r="O248" s="759"/>
      <c r="P248" s="759"/>
      <c r="Q248" s="759"/>
      <c r="R248" s="662"/>
      <c r="S248" s="760"/>
      <c r="T248" s="663"/>
      <c r="U248" s="760"/>
      <c r="V248" s="730"/>
      <c r="W248" s="741"/>
      <c r="X248" s="588"/>
    </row>
    <row r="249" spans="1:25" s="589" customFormat="1" x14ac:dyDescent="0.25">
      <c r="A249" s="604"/>
      <c r="B249" s="605"/>
      <c r="C249" s="605"/>
      <c r="D249" s="605"/>
      <c r="E249" s="605"/>
      <c r="F249" s="605"/>
      <c r="G249" s="605"/>
      <c r="H249" s="761"/>
      <c r="I249" s="761"/>
      <c r="J249" s="761"/>
      <c r="K249" s="761"/>
      <c r="L249" s="761"/>
      <c r="M249" s="761"/>
      <c r="N249" s="761"/>
      <c r="O249" s="761"/>
      <c r="P249" s="761"/>
      <c r="Q249" s="761"/>
      <c r="R249" s="662">
        <f>SUM(R240:R248)</f>
        <v>4267</v>
      </c>
      <c r="S249" s="760">
        <f>SUM(S240:S248)</f>
        <v>1</v>
      </c>
      <c r="T249" s="663">
        <f>SUM(T240:T248)</f>
        <v>580627</v>
      </c>
      <c r="U249" s="760">
        <f>SUM(U240:U248)</f>
        <v>0.99999999999999989</v>
      </c>
      <c r="V249" s="605"/>
      <c r="W249" s="607"/>
      <c r="X249" s="588"/>
    </row>
    <row r="250" spans="1:25" x14ac:dyDescent="0.25">
      <c r="A250" s="574"/>
      <c r="B250" s="664"/>
      <c r="C250" s="664"/>
      <c r="D250" s="664"/>
      <c r="E250" s="664"/>
      <c r="F250" s="664"/>
      <c r="G250" s="664"/>
      <c r="H250" s="762"/>
      <c r="I250" s="762"/>
      <c r="J250" s="762"/>
      <c r="K250" s="762"/>
      <c r="L250" s="762"/>
      <c r="M250" s="762"/>
      <c r="N250" s="762"/>
      <c r="O250" s="762"/>
      <c r="P250" s="762"/>
      <c r="Q250" s="762"/>
      <c r="R250" s="665"/>
      <c r="S250" s="763"/>
      <c r="T250" s="764"/>
      <c r="U250" s="763"/>
      <c r="V250" s="664"/>
      <c r="W250" s="664"/>
      <c r="X250" s="572"/>
    </row>
    <row r="251" spans="1:25" x14ac:dyDescent="0.25">
      <c r="A251" s="597"/>
      <c r="B251" s="669" t="s">
        <v>162</v>
      </c>
      <c r="C251" s="670"/>
      <c r="D251" s="670"/>
      <c r="E251" s="670"/>
      <c r="F251" s="721"/>
      <c r="G251" s="670"/>
      <c r="H251" s="670"/>
      <c r="I251" s="670"/>
      <c r="J251" s="670"/>
      <c r="K251" s="670"/>
      <c r="L251" s="670"/>
      <c r="M251" s="670"/>
      <c r="N251" s="670"/>
      <c r="O251" s="670"/>
      <c r="P251" s="670"/>
      <c r="Q251" s="670"/>
      <c r="R251" s="721" t="s">
        <v>102</v>
      </c>
      <c r="S251" s="670" t="s">
        <v>103</v>
      </c>
      <c r="T251" s="721" t="s">
        <v>109</v>
      </c>
      <c r="U251" s="670" t="s">
        <v>103</v>
      </c>
      <c r="V251" s="598"/>
      <c r="W251" s="755"/>
      <c r="X251" s="572"/>
    </row>
    <row r="252" spans="1:25" s="589" customFormat="1" x14ac:dyDescent="0.25">
      <c r="A252" s="585"/>
      <c r="B252" s="673" t="s">
        <v>88</v>
      </c>
      <c r="C252" s="756"/>
      <c r="D252" s="756"/>
      <c r="E252" s="756"/>
      <c r="F252" s="602"/>
      <c r="G252" s="756"/>
      <c r="H252" s="756"/>
      <c r="I252" s="756"/>
      <c r="J252" s="756"/>
      <c r="K252" s="756"/>
      <c r="L252" s="756"/>
      <c r="M252" s="756"/>
      <c r="N252" s="756"/>
      <c r="O252" s="756"/>
      <c r="P252" s="756"/>
      <c r="Q252" s="756"/>
      <c r="R252" s="673">
        <v>4173</v>
      </c>
      <c r="S252" s="757">
        <f>R252/$R$261</f>
        <v>0.99239001189060638</v>
      </c>
      <c r="T252" s="674">
        <v>568618</v>
      </c>
      <c r="U252" s="757">
        <f t="shared" ref="U252:U259" si="5">T252/$T$261</f>
        <v>0.99400399966436381</v>
      </c>
      <c r="V252" s="725"/>
      <c r="W252" s="758"/>
      <c r="X252" s="588"/>
    </row>
    <row r="253" spans="1:25" s="589" customFormat="1" x14ac:dyDescent="0.25">
      <c r="A253" s="604"/>
      <c r="B253" s="662" t="s">
        <v>89</v>
      </c>
      <c r="C253" s="759"/>
      <c r="D253" s="759"/>
      <c r="E253" s="759"/>
      <c r="F253" s="605"/>
      <c r="G253" s="760"/>
      <c r="H253" s="759"/>
      <c r="I253" s="759"/>
      <c r="J253" s="759"/>
      <c r="K253" s="759"/>
      <c r="L253" s="759"/>
      <c r="M253" s="759"/>
      <c r="N253" s="759"/>
      <c r="O253" s="759"/>
      <c r="P253" s="759"/>
      <c r="Q253" s="759"/>
      <c r="R253" s="662">
        <v>22</v>
      </c>
      <c r="S253" s="760">
        <f t="shared" ref="S253:S259" si="6">R253/$R$261</f>
        <v>5.2318668252080858E-3</v>
      </c>
      <c r="T253" s="663">
        <v>1934</v>
      </c>
      <c r="U253" s="760">
        <f t="shared" si="5"/>
        <v>3.3808351746706568E-3</v>
      </c>
      <c r="V253" s="730"/>
      <c r="W253" s="741"/>
      <c r="X253" s="588"/>
      <c r="Y253" s="685"/>
    </row>
    <row r="254" spans="1:25" s="589" customFormat="1" x14ac:dyDescent="0.25">
      <c r="A254" s="604"/>
      <c r="B254" s="662" t="s">
        <v>90</v>
      </c>
      <c r="C254" s="759"/>
      <c r="D254" s="759"/>
      <c r="E254" s="759"/>
      <c r="F254" s="605"/>
      <c r="G254" s="760"/>
      <c r="H254" s="759"/>
      <c r="I254" s="759"/>
      <c r="J254" s="759"/>
      <c r="K254" s="759"/>
      <c r="L254" s="759"/>
      <c r="M254" s="759"/>
      <c r="N254" s="759"/>
      <c r="O254" s="759"/>
      <c r="P254" s="759"/>
      <c r="Q254" s="759"/>
      <c r="R254" s="662">
        <v>8</v>
      </c>
      <c r="S254" s="760">
        <f t="shared" si="6"/>
        <v>1.9024970273483948E-3</v>
      </c>
      <c r="T254" s="663">
        <v>1290</v>
      </c>
      <c r="U254" s="760">
        <f t="shared" si="5"/>
        <v>2.255055519816519E-3</v>
      </c>
      <c r="V254" s="730"/>
      <c r="W254" s="741"/>
      <c r="X254" s="588"/>
    </row>
    <row r="255" spans="1:25" s="589" customFormat="1" x14ac:dyDescent="0.25">
      <c r="A255" s="604"/>
      <c r="B255" s="662" t="s">
        <v>156</v>
      </c>
      <c r="C255" s="759"/>
      <c r="D255" s="759"/>
      <c r="E255" s="759"/>
      <c r="F255" s="605"/>
      <c r="G255" s="760"/>
      <c r="H255" s="759"/>
      <c r="I255" s="759"/>
      <c r="J255" s="759"/>
      <c r="K255" s="759"/>
      <c r="L255" s="759"/>
      <c r="M255" s="759"/>
      <c r="N255" s="759"/>
      <c r="O255" s="759"/>
      <c r="P255" s="759"/>
      <c r="Q255" s="759"/>
      <c r="R255" s="662">
        <v>2</v>
      </c>
      <c r="S255" s="760">
        <f t="shared" si="6"/>
        <v>4.7562425683709869E-4</v>
      </c>
      <c r="T255" s="663">
        <v>206</v>
      </c>
      <c r="U255" s="760">
        <f t="shared" si="5"/>
        <v>3.6010964114899447E-4</v>
      </c>
      <c r="V255" s="730"/>
      <c r="W255" s="741"/>
      <c r="X255" s="588"/>
      <c r="Y255" s="685"/>
    </row>
    <row r="256" spans="1:25" s="589" customFormat="1" x14ac:dyDescent="0.25">
      <c r="A256" s="604"/>
      <c r="B256" s="662" t="s">
        <v>157</v>
      </c>
      <c r="C256" s="759"/>
      <c r="D256" s="759"/>
      <c r="E256" s="759"/>
      <c r="F256" s="605"/>
      <c r="G256" s="760"/>
      <c r="H256" s="759"/>
      <c r="I256" s="759"/>
      <c r="J256" s="759"/>
      <c r="K256" s="759"/>
      <c r="L256" s="759"/>
      <c r="M256" s="759"/>
      <c r="N256" s="759"/>
      <c r="O256" s="759"/>
      <c r="P256" s="759"/>
      <c r="Q256" s="759"/>
      <c r="R256" s="662">
        <v>0</v>
      </c>
      <c r="S256" s="760">
        <f t="shared" si="6"/>
        <v>0</v>
      </c>
      <c r="T256" s="663">
        <v>0</v>
      </c>
      <c r="U256" s="760">
        <f t="shared" si="5"/>
        <v>0</v>
      </c>
      <c r="V256" s="730"/>
      <c r="W256" s="741"/>
      <c r="X256" s="588"/>
    </row>
    <row r="257" spans="1:25" s="589" customFormat="1" x14ac:dyDescent="0.25">
      <c r="A257" s="604"/>
      <c r="B257" s="662" t="s">
        <v>158</v>
      </c>
      <c r="C257" s="759"/>
      <c r="D257" s="759"/>
      <c r="E257" s="759"/>
      <c r="F257" s="605"/>
      <c r="G257" s="760"/>
      <c r="H257" s="759"/>
      <c r="I257" s="759"/>
      <c r="J257" s="759"/>
      <c r="K257" s="759"/>
      <c r="L257" s="759"/>
      <c r="M257" s="759"/>
      <c r="N257" s="759"/>
      <c r="O257" s="759"/>
      <c r="P257" s="759"/>
      <c r="Q257" s="759"/>
      <c r="R257" s="662">
        <v>0</v>
      </c>
      <c r="S257" s="760">
        <f t="shared" si="6"/>
        <v>0</v>
      </c>
      <c r="T257" s="663">
        <v>0</v>
      </c>
      <c r="U257" s="760">
        <f t="shared" si="5"/>
        <v>0</v>
      </c>
      <c r="V257" s="730"/>
      <c r="W257" s="741"/>
      <c r="X257" s="588"/>
      <c r="Y257" s="685"/>
    </row>
    <row r="258" spans="1:25" s="589" customFormat="1" x14ac:dyDescent="0.25">
      <c r="A258" s="604"/>
      <c r="B258" s="662" t="s">
        <v>159</v>
      </c>
      <c r="C258" s="759"/>
      <c r="D258" s="759"/>
      <c r="E258" s="759"/>
      <c r="F258" s="605"/>
      <c r="G258" s="760"/>
      <c r="H258" s="759"/>
      <c r="I258" s="759"/>
      <c r="J258" s="759"/>
      <c r="K258" s="759"/>
      <c r="L258" s="759"/>
      <c r="M258" s="759"/>
      <c r="N258" s="759"/>
      <c r="O258" s="759"/>
      <c r="P258" s="759"/>
      <c r="Q258" s="759"/>
      <c r="R258" s="662">
        <v>0</v>
      </c>
      <c r="S258" s="760">
        <f t="shared" si="6"/>
        <v>0</v>
      </c>
      <c r="T258" s="663">
        <v>0</v>
      </c>
      <c r="U258" s="760">
        <f t="shared" si="5"/>
        <v>0</v>
      </c>
      <c r="V258" s="730"/>
      <c r="W258" s="741"/>
      <c r="X258" s="588"/>
    </row>
    <row r="259" spans="1:25" s="589" customFormat="1" x14ac:dyDescent="0.25">
      <c r="A259" s="604"/>
      <c r="B259" s="662" t="s">
        <v>160</v>
      </c>
      <c r="C259" s="759"/>
      <c r="D259" s="759"/>
      <c r="E259" s="759"/>
      <c r="F259" s="605"/>
      <c r="G259" s="760"/>
      <c r="H259" s="759"/>
      <c r="I259" s="759"/>
      <c r="J259" s="759"/>
      <c r="K259" s="759"/>
      <c r="L259" s="759"/>
      <c r="M259" s="759"/>
      <c r="N259" s="759"/>
      <c r="O259" s="759"/>
      <c r="P259" s="759"/>
      <c r="Q259" s="759"/>
      <c r="R259" s="662">
        <v>0</v>
      </c>
      <c r="S259" s="760">
        <f t="shared" si="6"/>
        <v>0</v>
      </c>
      <c r="T259" s="663">
        <v>0</v>
      </c>
      <c r="U259" s="760">
        <f t="shared" si="5"/>
        <v>0</v>
      </c>
      <c r="V259" s="730"/>
      <c r="W259" s="741"/>
      <c r="X259" s="588"/>
      <c r="Y259" s="685"/>
    </row>
    <row r="260" spans="1:25" s="589" customFormat="1" x14ac:dyDescent="0.25">
      <c r="A260" s="604"/>
      <c r="B260" s="662"/>
      <c r="C260" s="759"/>
      <c r="D260" s="759"/>
      <c r="E260" s="759"/>
      <c r="F260" s="605"/>
      <c r="G260" s="760"/>
      <c r="H260" s="759"/>
      <c r="I260" s="759"/>
      <c r="J260" s="759"/>
      <c r="K260" s="759"/>
      <c r="L260" s="759"/>
      <c r="M260" s="759"/>
      <c r="N260" s="759"/>
      <c r="O260" s="759"/>
      <c r="P260" s="759"/>
      <c r="Q260" s="759"/>
      <c r="R260" s="662"/>
      <c r="S260" s="760"/>
      <c r="T260" s="663"/>
      <c r="U260" s="760"/>
      <c r="V260" s="730"/>
      <c r="W260" s="741"/>
      <c r="X260" s="588"/>
    </row>
    <row r="261" spans="1:25" s="589" customFormat="1" x14ac:dyDescent="0.25">
      <c r="A261" s="604"/>
      <c r="B261" s="605"/>
      <c r="C261" s="605"/>
      <c r="D261" s="605"/>
      <c r="E261" s="605"/>
      <c r="F261" s="605"/>
      <c r="G261" s="605"/>
      <c r="H261" s="761"/>
      <c r="I261" s="761"/>
      <c r="J261" s="761"/>
      <c r="K261" s="761"/>
      <c r="L261" s="761"/>
      <c r="M261" s="761"/>
      <c r="N261" s="761"/>
      <c r="O261" s="761"/>
      <c r="P261" s="761"/>
      <c r="Q261" s="761"/>
      <c r="R261" s="662">
        <f>SUM(R252:R260)</f>
        <v>4205</v>
      </c>
      <c r="S261" s="760">
        <f>SUM(S252:S260)</f>
        <v>0.99999999999999989</v>
      </c>
      <c r="T261" s="663">
        <f>SUM(T252:T260)</f>
        <v>572048</v>
      </c>
      <c r="U261" s="760">
        <f>SUM(U252:U260)</f>
        <v>1</v>
      </c>
      <c r="V261" s="605"/>
      <c r="W261" s="607"/>
      <c r="X261" s="588"/>
    </row>
    <row r="262" spans="1:25" x14ac:dyDescent="0.25">
      <c r="A262" s="574"/>
      <c r="B262" s="664"/>
      <c r="C262" s="664"/>
      <c r="D262" s="664"/>
      <c r="E262" s="664"/>
      <c r="F262" s="664"/>
      <c r="G262" s="664"/>
      <c r="H262" s="762"/>
      <c r="I262" s="762"/>
      <c r="J262" s="762"/>
      <c r="K262" s="762"/>
      <c r="L262" s="762"/>
      <c r="M262" s="762"/>
      <c r="N262" s="762"/>
      <c r="O262" s="762"/>
      <c r="P262" s="762"/>
      <c r="Q262" s="762"/>
      <c r="R262" s="665"/>
      <c r="S262" s="763"/>
      <c r="T262" s="764"/>
      <c r="U262" s="763"/>
      <c r="V262" s="664"/>
      <c r="W262" s="664"/>
      <c r="X262" s="572"/>
    </row>
    <row r="263" spans="1:25" x14ac:dyDescent="0.25">
      <c r="A263" s="597"/>
      <c r="B263" s="669" t="s">
        <v>236</v>
      </c>
      <c r="C263" s="670"/>
      <c r="D263" s="670"/>
      <c r="E263" s="670"/>
      <c r="F263" s="721"/>
      <c r="G263" s="670"/>
      <c r="H263" s="670"/>
      <c r="I263" s="670"/>
      <c r="J263" s="670"/>
      <c r="K263" s="670"/>
      <c r="L263" s="670"/>
      <c r="M263" s="670"/>
      <c r="N263" s="670"/>
      <c r="O263" s="670"/>
      <c r="P263" s="670"/>
      <c r="Q263" s="670"/>
      <c r="R263" s="721" t="s">
        <v>102</v>
      </c>
      <c r="S263" s="670" t="s">
        <v>103</v>
      </c>
      <c r="T263" s="721" t="s">
        <v>109</v>
      </c>
      <c r="U263" s="670" t="s">
        <v>103</v>
      </c>
      <c r="V263" s="598"/>
      <c r="W263" s="601"/>
      <c r="X263" s="572"/>
    </row>
    <row r="264" spans="1:25" s="589" customFormat="1" x14ac:dyDescent="0.25">
      <c r="A264" s="585"/>
      <c r="B264" s="673" t="s">
        <v>88</v>
      </c>
      <c r="C264" s="756"/>
      <c r="D264" s="756"/>
      <c r="E264" s="756"/>
      <c r="F264" s="602"/>
      <c r="G264" s="756"/>
      <c r="H264" s="756"/>
      <c r="I264" s="756"/>
      <c r="J264" s="756"/>
      <c r="K264" s="756"/>
      <c r="L264" s="756"/>
      <c r="M264" s="756"/>
      <c r="N264" s="756"/>
      <c r="O264" s="756"/>
      <c r="P264" s="756"/>
      <c r="Q264" s="756"/>
      <c r="R264" s="673">
        <v>55</v>
      </c>
      <c r="S264" s="757">
        <f t="shared" ref="S264:S270" si="7">R264/$R$273</f>
        <v>0.90163934426229508</v>
      </c>
      <c r="T264" s="674">
        <v>7433</v>
      </c>
      <c r="U264" s="757">
        <f t="shared" ref="U264:U271" si="8">T264/$T$273</f>
        <v>0.86956013102480112</v>
      </c>
      <c r="V264" s="602"/>
      <c r="W264" s="602"/>
      <c r="X264" s="588"/>
    </row>
    <row r="265" spans="1:25" s="589" customFormat="1" x14ac:dyDescent="0.25">
      <c r="A265" s="604"/>
      <c r="B265" s="662" t="s">
        <v>89</v>
      </c>
      <c r="C265" s="759"/>
      <c r="D265" s="759"/>
      <c r="E265" s="759"/>
      <c r="F265" s="605"/>
      <c r="G265" s="760"/>
      <c r="H265" s="759"/>
      <c r="I265" s="759"/>
      <c r="J265" s="759"/>
      <c r="K265" s="759"/>
      <c r="L265" s="759"/>
      <c r="M265" s="759"/>
      <c r="N265" s="759"/>
      <c r="O265" s="759"/>
      <c r="P265" s="759"/>
      <c r="Q265" s="759"/>
      <c r="R265" s="662">
        <v>4</v>
      </c>
      <c r="S265" s="760">
        <f t="shared" si="7"/>
        <v>6.5573770491803282E-2</v>
      </c>
      <c r="T265" s="663">
        <v>395</v>
      </c>
      <c r="U265" s="760">
        <f t="shared" si="8"/>
        <v>4.6209639681796914E-2</v>
      </c>
      <c r="V265" s="605"/>
      <c r="W265" s="607"/>
      <c r="X265" s="588"/>
    </row>
    <row r="266" spans="1:25" s="589" customFormat="1" x14ac:dyDescent="0.25">
      <c r="A266" s="604"/>
      <c r="B266" s="662" t="s">
        <v>90</v>
      </c>
      <c r="C266" s="759"/>
      <c r="D266" s="759"/>
      <c r="E266" s="759"/>
      <c r="F266" s="605"/>
      <c r="G266" s="760"/>
      <c r="H266" s="759"/>
      <c r="I266" s="759"/>
      <c r="J266" s="759"/>
      <c r="K266" s="759"/>
      <c r="L266" s="759"/>
      <c r="M266" s="759"/>
      <c r="N266" s="759"/>
      <c r="O266" s="759"/>
      <c r="P266" s="759"/>
      <c r="Q266" s="759"/>
      <c r="R266" s="662">
        <v>0</v>
      </c>
      <c r="S266" s="760">
        <f t="shared" si="7"/>
        <v>0</v>
      </c>
      <c r="T266" s="663">
        <v>0</v>
      </c>
      <c r="U266" s="760">
        <f t="shared" si="8"/>
        <v>0</v>
      </c>
      <c r="V266" s="605"/>
      <c r="W266" s="607"/>
      <c r="X266" s="588"/>
    </row>
    <row r="267" spans="1:25" s="589" customFormat="1" x14ac:dyDescent="0.25">
      <c r="A267" s="604"/>
      <c r="B267" s="662" t="s">
        <v>156</v>
      </c>
      <c r="C267" s="759"/>
      <c r="D267" s="759"/>
      <c r="E267" s="759"/>
      <c r="F267" s="605"/>
      <c r="G267" s="760"/>
      <c r="H267" s="759"/>
      <c r="I267" s="759"/>
      <c r="J267" s="759"/>
      <c r="K267" s="759"/>
      <c r="L267" s="759"/>
      <c r="M267" s="759"/>
      <c r="N267" s="759"/>
      <c r="O267" s="759"/>
      <c r="P267" s="759"/>
      <c r="Q267" s="759"/>
      <c r="R267" s="662">
        <v>0</v>
      </c>
      <c r="S267" s="760">
        <f t="shared" si="7"/>
        <v>0</v>
      </c>
      <c r="T267" s="663">
        <v>0</v>
      </c>
      <c r="U267" s="760">
        <f t="shared" si="8"/>
        <v>0</v>
      </c>
      <c r="V267" s="605"/>
      <c r="W267" s="607"/>
      <c r="X267" s="588"/>
    </row>
    <row r="268" spans="1:25" s="589" customFormat="1" x14ac:dyDescent="0.25">
      <c r="A268" s="604"/>
      <c r="B268" s="662" t="s">
        <v>157</v>
      </c>
      <c r="C268" s="759"/>
      <c r="D268" s="759"/>
      <c r="E268" s="759"/>
      <c r="F268" s="605"/>
      <c r="G268" s="760"/>
      <c r="H268" s="759"/>
      <c r="I268" s="759"/>
      <c r="J268" s="759"/>
      <c r="K268" s="759"/>
      <c r="L268" s="759"/>
      <c r="M268" s="759"/>
      <c r="N268" s="759"/>
      <c r="O268" s="759"/>
      <c r="P268" s="759"/>
      <c r="Q268" s="759"/>
      <c r="R268" s="662">
        <v>0</v>
      </c>
      <c r="S268" s="760">
        <f t="shared" si="7"/>
        <v>0</v>
      </c>
      <c r="T268" s="663">
        <v>0</v>
      </c>
      <c r="U268" s="760">
        <f t="shared" si="8"/>
        <v>0</v>
      </c>
      <c r="V268" s="605"/>
      <c r="W268" s="607"/>
      <c r="X268" s="588"/>
    </row>
    <row r="269" spans="1:25" s="589" customFormat="1" x14ac:dyDescent="0.25">
      <c r="A269" s="604"/>
      <c r="B269" s="662" t="s">
        <v>158</v>
      </c>
      <c r="C269" s="759"/>
      <c r="D269" s="759"/>
      <c r="E269" s="759"/>
      <c r="F269" s="605"/>
      <c r="G269" s="760"/>
      <c r="H269" s="759"/>
      <c r="I269" s="759"/>
      <c r="J269" s="759"/>
      <c r="K269" s="759"/>
      <c r="L269" s="759"/>
      <c r="M269" s="759"/>
      <c r="N269" s="759"/>
      <c r="O269" s="759"/>
      <c r="P269" s="759"/>
      <c r="Q269" s="759"/>
      <c r="R269" s="662">
        <v>0</v>
      </c>
      <c r="S269" s="760">
        <f t="shared" si="7"/>
        <v>0</v>
      </c>
      <c r="T269" s="663">
        <v>0</v>
      </c>
      <c r="U269" s="760">
        <f t="shared" si="8"/>
        <v>0</v>
      </c>
      <c r="V269" s="605"/>
      <c r="W269" s="607"/>
      <c r="X269" s="588"/>
    </row>
    <row r="270" spans="1:25" s="589" customFormat="1" x14ac:dyDescent="0.25">
      <c r="A270" s="604"/>
      <c r="B270" s="662" t="s">
        <v>159</v>
      </c>
      <c r="C270" s="759"/>
      <c r="D270" s="759"/>
      <c r="E270" s="759"/>
      <c r="F270" s="605"/>
      <c r="G270" s="760"/>
      <c r="H270" s="759"/>
      <c r="I270" s="759"/>
      <c r="J270" s="759"/>
      <c r="K270" s="759"/>
      <c r="L270" s="759"/>
      <c r="M270" s="759"/>
      <c r="N270" s="759"/>
      <c r="O270" s="759"/>
      <c r="P270" s="759"/>
      <c r="Q270" s="759"/>
      <c r="R270" s="662">
        <v>1</v>
      </c>
      <c r="S270" s="760">
        <f t="shared" si="7"/>
        <v>1.6393442622950821E-2</v>
      </c>
      <c r="T270" s="663">
        <v>89</v>
      </c>
      <c r="U270" s="760">
        <f t="shared" si="8"/>
        <v>1.0411792232101076E-2</v>
      </c>
      <c r="V270" s="605"/>
      <c r="W270" s="607"/>
      <c r="X270" s="588"/>
    </row>
    <row r="271" spans="1:25" s="589" customFormat="1" x14ac:dyDescent="0.25">
      <c r="A271" s="604"/>
      <c r="B271" s="662" t="s">
        <v>160</v>
      </c>
      <c r="C271" s="759"/>
      <c r="D271" s="759"/>
      <c r="E271" s="759"/>
      <c r="F271" s="605"/>
      <c r="G271" s="760"/>
      <c r="H271" s="759"/>
      <c r="I271" s="759"/>
      <c r="J271" s="759"/>
      <c r="K271" s="759"/>
      <c r="L271" s="759"/>
      <c r="M271" s="759"/>
      <c r="N271" s="759"/>
      <c r="O271" s="759"/>
      <c r="P271" s="759"/>
      <c r="Q271" s="759"/>
      <c r="R271" s="662">
        <v>1</v>
      </c>
      <c r="S271" s="760">
        <f>R271/$R$273</f>
        <v>1.6393442622950821E-2</v>
      </c>
      <c r="T271" s="663">
        <v>631</v>
      </c>
      <c r="U271" s="760">
        <f t="shared" si="8"/>
        <v>7.3818437061300896E-2</v>
      </c>
      <c r="V271" s="605"/>
      <c r="W271" s="607"/>
      <c r="X271" s="588"/>
    </row>
    <row r="272" spans="1:25" s="589" customFormat="1" x14ac:dyDescent="0.25">
      <c r="A272" s="604"/>
      <c r="B272" s="662"/>
      <c r="C272" s="759"/>
      <c r="D272" s="759"/>
      <c r="E272" s="759"/>
      <c r="F272" s="605"/>
      <c r="G272" s="760"/>
      <c r="H272" s="759"/>
      <c r="I272" s="759"/>
      <c r="J272" s="759"/>
      <c r="K272" s="759"/>
      <c r="L272" s="759"/>
      <c r="M272" s="759"/>
      <c r="N272" s="759"/>
      <c r="O272" s="759"/>
      <c r="P272" s="759"/>
      <c r="Q272" s="759"/>
      <c r="R272" s="662"/>
      <c r="S272" s="760"/>
      <c r="T272" s="663"/>
      <c r="U272" s="760"/>
      <c r="V272" s="605"/>
      <c r="W272" s="607"/>
      <c r="X272" s="588"/>
    </row>
    <row r="273" spans="1:24" s="589" customFormat="1" x14ac:dyDescent="0.25">
      <c r="A273" s="604"/>
      <c r="B273" s="605"/>
      <c r="C273" s="605"/>
      <c r="D273" s="605"/>
      <c r="E273" s="605"/>
      <c r="F273" s="605"/>
      <c r="G273" s="605"/>
      <c r="H273" s="761"/>
      <c r="I273" s="761"/>
      <c r="J273" s="761"/>
      <c r="K273" s="761"/>
      <c r="L273" s="761"/>
      <c r="M273" s="761"/>
      <c r="N273" s="761"/>
      <c r="O273" s="761"/>
      <c r="P273" s="761"/>
      <c r="Q273" s="761"/>
      <c r="R273" s="662">
        <f>SUM(R264:R272)</f>
        <v>61</v>
      </c>
      <c r="S273" s="760">
        <f>SUM(S264:S272)</f>
        <v>1</v>
      </c>
      <c r="T273" s="663">
        <f>SUM(T264:T272)</f>
        <v>8548</v>
      </c>
      <c r="U273" s="760">
        <f>SUM(U264:U272)</f>
        <v>1</v>
      </c>
      <c r="V273" s="605"/>
      <c r="W273" s="607"/>
      <c r="X273" s="588"/>
    </row>
    <row r="274" spans="1:24" x14ac:dyDescent="0.25">
      <c r="A274" s="574"/>
      <c r="B274" s="664"/>
      <c r="C274" s="664"/>
      <c r="D274" s="664"/>
      <c r="E274" s="664"/>
      <c r="F274" s="664"/>
      <c r="G274" s="664"/>
      <c r="H274" s="762"/>
      <c r="I274" s="762"/>
      <c r="J274" s="762"/>
      <c r="K274" s="762"/>
      <c r="L274" s="762"/>
      <c r="M274" s="762"/>
      <c r="N274" s="762"/>
      <c r="O274" s="762"/>
      <c r="P274" s="762"/>
      <c r="Q274" s="762"/>
      <c r="R274" s="665"/>
      <c r="S274" s="763"/>
      <c r="T274" s="764"/>
      <c r="U274" s="763"/>
      <c r="V274" s="664"/>
      <c r="W274" s="664"/>
      <c r="X274" s="572"/>
    </row>
    <row r="275" spans="1:24" x14ac:dyDescent="0.25">
      <c r="A275" s="597"/>
      <c r="B275" s="669" t="s">
        <v>163</v>
      </c>
      <c r="C275" s="598"/>
      <c r="D275" s="598"/>
      <c r="E275" s="598"/>
      <c r="F275" s="598"/>
      <c r="G275" s="598"/>
      <c r="H275" s="765"/>
      <c r="I275" s="765"/>
      <c r="J275" s="765"/>
      <c r="K275" s="765"/>
      <c r="L275" s="765"/>
      <c r="M275" s="765"/>
      <c r="N275" s="765"/>
      <c r="O275" s="765"/>
      <c r="P275" s="765"/>
      <c r="Q275" s="765"/>
      <c r="R275" s="721" t="s">
        <v>102</v>
      </c>
      <c r="S275" s="670" t="s">
        <v>103</v>
      </c>
      <c r="T275" s="721" t="s">
        <v>109</v>
      </c>
      <c r="U275" s="670" t="s">
        <v>103</v>
      </c>
      <c r="V275" s="598"/>
      <c r="W275" s="601"/>
      <c r="X275" s="572"/>
    </row>
    <row r="276" spans="1:24" s="589" customFormat="1" x14ac:dyDescent="0.25">
      <c r="A276" s="585"/>
      <c r="B276" s="673" t="s">
        <v>88</v>
      </c>
      <c r="C276" s="602"/>
      <c r="D276" s="602"/>
      <c r="E276" s="602"/>
      <c r="F276" s="602"/>
      <c r="G276" s="602"/>
      <c r="H276" s="766"/>
      <c r="I276" s="766"/>
      <c r="J276" s="766"/>
      <c r="K276" s="766"/>
      <c r="L276" s="766"/>
      <c r="M276" s="766"/>
      <c r="N276" s="766"/>
      <c r="O276" s="766"/>
      <c r="P276" s="766"/>
      <c r="Q276" s="766"/>
      <c r="R276" s="673">
        <v>1</v>
      </c>
      <c r="S276" s="757">
        <v>1</v>
      </c>
      <c r="T276" s="674">
        <v>31</v>
      </c>
      <c r="U276" s="757">
        <v>1</v>
      </c>
      <c r="V276" s="602"/>
      <c r="W276" s="602"/>
      <c r="X276" s="588"/>
    </row>
    <row r="277" spans="1:24" s="589" customFormat="1" x14ac:dyDescent="0.25">
      <c r="A277" s="604"/>
      <c r="B277" s="662" t="s">
        <v>89</v>
      </c>
      <c r="C277" s="605"/>
      <c r="D277" s="605"/>
      <c r="E277" s="605"/>
      <c r="F277" s="605"/>
      <c r="G277" s="605"/>
      <c r="H277" s="761"/>
      <c r="I277" s="761"/>
      <c r="J277" s="761"/>
      <c r="K277" s="761"/>
      <c r="L277" s="761"/>
      <c r="M277" s="761"/>
      <c r="N277" s="761"/>
      <c r="O277" s="761"/>
      <c r="P277" s="761"/>
      <c r="Q277" s="761"/>
      <c r="R277" s="662">
        <v>0</v>
      </c>
      <c r="S277" s="760">
        <v>0</v>
      </c>
      <c r="T277" s="663">
        <v>0</v>
      </c>
      <c r="U277" s="760">
        <v>0</v>
      </c>
      <c r="V277" s="605"/>
      <c r="W277" s="607"/>
      <c r="X277" s="588"/>
    </row>
    <row r="278" spans="1:24" s="589" customFormat="1" x14ac:dyDescent="0.25">
      <c r="A278" s="604"/>
      <c r="B278" s="662" t="s">
        <v>90</v>
      </c>
      <c r="C278" s="605"/>
      <c r="D278" s="605"/>
      <c r="E278" s="605"/>
      <c r="F278" s="605"/>
      <c r="G278" s="605"/>
      <c r="H278" s="761"/>
      <c r="I278" s="761"/>
      <c r="J278" s="761"/>
      <c r="K278" s="761"/>
      <c r="L278" s="761"/>
      <c r="M278" s="761"/>
      <c r="N278" s="761"/>
      <c r="O278" s="761"/>
      <c r="P278" s="761"/>
      <c r="Q278" s="761"/>
      <c r="R278" s="662">
        <v>0</v>
      </c>
      <c r="S278" s="760">
        <v>0</v>
      </c>
      <c r="T278" s="663">
        <v>0</v>
      </c>
      <c r="U278" s="760">
        <v>0</v>
      </c>
      <c r="V278" s="605"/>
      <c r="W278" s="607"/>
      <c r="X278" s="588"/>
    </row>
    <row r="279" spans="1:24" s="589" customFormat="1" x14ac:dyDescent="0.25">
      <c r="A279" s="604"/>
      <c r="B279" s="662" t="s">
        <v>156</v>
      </c>
      <c r="C279" s="605"/>
      <c r="D279" s="605"/>
      <c r="E279" s="605"/>
      <c r="F279" s="605"/>
      <c r="G279" s="605"/>
      <c r="H279" s="761"/>
      <c r="I279" s="761"/>
      <c r="J279" s="761"/>
      <c r="K279" s="761"/>
      <c r="L279" s="761"/>
      <c r="M279" s="761"/>
      <c r="N279" s="761"/>
      <c r="O279" s="761"/>
      <c r="P279" s="761"/>
      <c r="Q279" s="761"/>
      <c r="R279" s="662">
        <v>0</v>
      </c>
      <c r="S279" s="760">
        <v>0</v>
      </c>
      <c r="T279" s="663">
        <v>0</v>
      </c>
      <c r="U279" s="760">
        <v>0</v>
      </c>
      <c r="V279" s="605"/>
      <c r="W279" s="607"/>
      <c r="X279" s="588"/>
    </row>
    <row r="280" spans="1:24" s="589" customFormat="1" x14ac:dyDescent="0.25">
      <c r="A280" s="604"/>
      <c r="B280" s="662" t="s">
        <v>157</v>
      </c>
      <c r="C280" s="605"/>
      <c r="D280" s="605"/>
      <c r="E280" s="605"/>
      <c r="F280" s="605"/>
      <c r="G280" s="605"/>
      <c r="H280" s="761"/>
      <c r="I280" s="761"/>
      <c r="J280" s="761"/>
      <c r="K280" s="761"/>
      <c r="L280" s="761"/>
      <c r="M280" s="761"/>
      <c r="N280" s="761"/>
      <c r="O280" s="761"/>
      <c r="P280" s="761"/>
      <c r="Q280" s="761"/>
      <c r="R280" s="662">
        <v>0</v>
      </c>
      <c r="S280" s="760">
        <v>0</v>
      </c>
      <c r="T280" s="663">
        <v>0</v>
      </c>
      <c r="U280" s="760">
        <v>0</v>
      </c>
      <c r="V280" s="605"/>
      <c r="W280" s="607"/>
      <c r="X280" s="588"/>
    </row>
    <row r="281" spans="1:24" s="589" customFormat="1" x14ac:dyDescent="0.25">
      <c r="A281" s="604"/>
      <c r="B281" s="662" t="s">
        <v>158</v>
      </c>
      <c r="C281" s="605"/>
      <c r="D281" s="605"/>
      <c r="E281" s="605"/>
      <c r="F281" s="605"/>
      <c r="G281" s="605"/>
      <c r="H281" s="761"/>
      <c r="I281" s="761"/>
      <c r="J281" s="761"/>
      <c r="K281" s="761"/>
      <c r="L281" s="761"/>
      <c r="M281" s="761"/>
      <c r="N281" s="761"/>
      <c r="O281" s="761"/>
      <c r="P281" s="761"/>
      <c r="Q281" s="761"/>
      <c r="R281" s="662">
        <v>0</v>
      </c>
      <c r="S281" s="760">
        <v>0</v>
      </c>
      <c r="T281" s="663">
        <v>0</v>
      </c>
      <c r="U281" s="760">
        <v>0</v>
      </c>
      <c r="V281" s="605"/>
      <c r="W281" s="607"/>
      <c r="X281" s="588"/>
    </row>
    <row r="282" spans="1:24" s="589" customFormat="1" x14ac:dyDescent="0.25">
      <c r="A282" s="604"/>
      <c r="B282" s="662" t="s">
        <v>159</v>
      </c>
      <c r="C282" s="605"/>
      <c r="D282" s="605"/>
      <c r="E282" s="605"/>
      <c r="F282" s="605"/>
      <c r="G282" s="605"/>
      <c r="H282" s="761"/>
      <c r="I282" s="761"/>
      <c r="J282" s="761"/>
      <c r="K282" s="761"/>
      <c r="L282" s="761"/>
      <c r="M282" s="761"/>
      <c r="N282" s="761"/>
      <c r="O282" s="761"/>
      <c r="P282" s="761"/>
      <c r="Q282" s="761"/>
      <c r="R282" s="662">
        <v>0</v>
      </c>
      <c r="S282" s="760">
        <v>0</v>
      </c>
      <c r="T282" s="663">
        <v>0</v>
      </c>
      <c r="U282" s="760">
        <v>0</v>
      </c>
      <c r="V282" s="605"/>
      <c r="W282" s="607"/>
      <c r="X282" s="588"/>
    </row>
    <row r="283" spans="1:24" s="589" customFormat="1" x14ac:dyDescent="0.25">
      <c r="A283" s="604"/>
      <c r="B283" s="662" t="s">
        <v>160</v>
      </c>
      <c r="C283" s="605"/>
      <c r="D283" s="605"/>
      <c r="E283" s="605"/>
      <c r="F283" s="605"/>
      <c r="G283" s="605"/>
      <c r="H283" s="761"/>
      <c r="I283" s="761"/>
      <c r="J283" s="761"/>
      <c r="K283" s="761"/>
      <c r="L283" s="761"/>
      <c r="M283" s="761"/>
      <c r="N283" s="761"/>
      <c r="O283" s="761"/>
      <c r="P283" s="761"/>
      <c r="Q283" s="761"/>
      <c r="R283" s="662">
        <v>0</v>
      </c>
      <c r="S283" s="760">
        <v>0</v>
      </c>
      <c r="T283" s="663">
        <v>0</v>
      </c>
      <c r="U283" s="760">
        <v>0</v>
      </c>
      <c r="V283" s="605"/>
      <c r="W283" s="607"/>
      <c r="X283" s="588"/>
    </row>
    <row r="284" spans="1:24" s="589" customFormat="1" x14ac:dyDescent="0.25">
      <c r="A284" s="604"/>
      <c r="B284" s="662"/>
      <c r="C284" s="605"/>
      <c r="D284" s="605"/>
      <c r="E284" s="605"/>
      <c r="F284" s="605"/>
      <c r="G284" s="605"/>
      <c r="H284" s="761"/>
      <c r="I284" s="761"/>
      <c r="J284" s="761"/>
      <c r="K284" s="761"/>
      <c r="L284" s="761"/>
      <c r="M284" s="761"/>
      <c r="N284" s="761"/>
      <c r="O284" s="761"/>
      <c r="P284" s="761"/>
      <c r="Q284" s="761"/>
      <c r="R284" s="662"/>
      <c r="S284" s="760"/>
      <c r="T284" s="663"/>
      <c r="U284" s="760"/>
      <c r="V284" s="605"/>
      <c r="W284" s="607"/>
      <c r="X284" s="588"/>
    </row>
    <row r="285" spans="1:24" s="589" customFormat="1" x14ac:dyDescent="0.25">
      <c r="A285" s="604"/>
      <c r="B285" s="605" t="s">
        <v>114</v>
      </c>
      <c r="C285" s="605"/>
      <c r="D285" s="605"/>
      <c r="E285" s="605"/>
      <c r="F285" s="605"/>
      <c r="G285" s="605"/>
      <c r="H285" s="761"/>
      <c r="I285" s="761"/>
      <c r="J285" s="761"/>
      <c r="K285" s="761"/>
      <c r="L285" s="761"/>
      <c r="M285" s="761"/>
      <c r="N285" s="761"/>
      <c r="O285" s="761"/>
      <c r="P285" s="761"/>
      <c r="Q285" s="761"/>
      <c r="R285" s="662">
        <f>SUM(R276:R283)</f>
        <v>1</v>
      </c>
      <c r="S285" s="760">
        <f>SUM(S276:S283)</f>
        <v>1</v>
      </c>
      <c r="T285" s="663">
        <f>SUM(T276:T283)</f>
        <v>31</v>
      </c>
      <c r="U285" s="760">
        <f>SUM(U276:U283)</f>
        <v>1</v>
      </c>
      <c r="V285" s="605"/>
      <c r="W285" s="607"/>
      <c r="X285" s="588"/>
    </row>
    <row r="286" spans="1:24" s="589" customFormat="1" x14ac:dyDescent="0.25">
      <c r="A286" s="604"/>
      <c r="B286" s="605"/>
      <c r="C286" s="605"/>
      <c r="D286" s="605"/>
      <c r="E286" s="605"/>
      <c r="F286" s="605"/>
      <c r="G286" s="605"/>
      <c r="H286" s="761"/>
      <c r="I286" s="761"/>
      <c r="J286" s="761"/>
      <c r="K286" s="761"/>
      <c r="L286" s="761"/>
      <c r="M286" s="761"/>
      <c r="N286" s="761"/>
      <c r="O286" s="761"/>
      <c r="P286" s="761"/>
      <c r="Q286" s="761"/>
      <c r="R286" s="662"/>
      <c r="S286" s="760"/>
      <c r="T286" s="663"/>
      <c r="U286" s="760"/>
      <c r="V286" s="605"/>
      <c r="W286" s="607"/>
      <c r="X286" s="588"/>
    </row>
    <row r="287" spans="1:24" s="589" customFormat="1" x14ac:dyDescent="0.25">
      <c r="A287" s="604"/>
      <c r="B287" s="610" t="s">
        <v>164</v>
      </c>
      <c r="C287" s="605"/>
      <c r="D287" s="605"/>
      <c r="E287" s="605"/>
      <c r="F287" s="605"/>
      <c r="G287" s="605"/>
      <c r="H287" s="761"/>
      <c r="I287" s="761"/>
      <c r="J287" s="761"/>
      <c r="K287" s="761"/>
      <c r="L287" s="761"/>
      <c r="M287" s="761"/>
      <c r="N287" s="761"/>
      <c r="O287" s="761"/>
      <c r="P287" s="761"/>
      <c r="Q287" s="761"/>
      <c r="R287" s="767">
        <f>R285+R273+R261</f>
        <v>4267</v>
      </c>
      <c r="S287" s="760"/>
      <c r="T287" s="768">
        <f>+T285+T273+T261</f>
        <v>580627</v>
      </c>
      <c r="U287" s="760"/>
      <c r="V287" s="605"/>
      <c r="W287" s="607"/>
      <c r="X287" s="588"/>
    </row>
    <row r="288" spans="1:24" s="589" customFormat="1" x14ac:dyDescent="0.25">
      <c r="A288" s="585"/>
      <c r="B288" s="602"/>
      <c r="C288" s="602"/>
      <c r="D288" s="602"/>
      <c r="E288" s="602"/>
      <c r="F288" s="602"/>
      <c r="G288" s="602"/>
      <c r="H288" s="766"/>
      <c r="I288" s="766"/>
      <c r="J288" s="766"/>
      <c r="K288" s="766"/>
      <c r="L288" s="766"/>
      <c r="M288" s="766"/>
      <c r="N288" s="766"/>
      <c r="O288" s="766"/>
      <c r="P288" s="766"/>
      <c r="Q288" s="766"/>
      <c r="R288" s="766"/>
      <c r="S288" s="766"/>
      <c r="T288" s="674"/>
      <c r="U288" s="766"/>
      <c r="V288" s="602"/>
      <c r="W288" s="602"/>
      <c r="X288" s="588"/>
    </row>
    <row r="289" spans="1:24" s="589" customFormat="1" x14ac:dyDescent="0.25">
      <c r="A289" s="585"/>
      <c r="B289" s="586"/>
      <c r="C289" s="586"/>
      <c r="D289" s="586"/>
      <c r="E289" s="586"/>
      <c r="F289" s="586"/>
      <c r="G289" s="586"/>
      <c r="H289" s="769"/>
      <c r="I289" s="769"/>
      <c r="J289" s="769"/>
      <c r="K289" s="769"/>
      <c r="L289" s="769"/>
      <c r="M289" s="769"/>
      <c r="N289" s="769"/>
      <c r="O289" s="769"/>
      <c r="P289" s="769"/>
      <c r="Q289" s="769"/>
      <c r="R289" s="769"/>
      <c r="S289" s="769"/>
      <c r="T289" s="770"/>
      <c r="U289" s="769"/>
      <c r="V289" s="586"/>
      <c r="W289" s="586"/>
      <c r="X289" s="588"/>
    </row>
    <row r="290" spans="1:24" s="589" customFormat="1" x14ac:dyDescent="0.25">
      <c r="A290" s="585"/>
      <c r="B290" s="584" t="s">
        <v>91</v>
      </c>
      <c r="C290" s="586"/>
      <c r="D290" s="586"/>
      <c r="E290" s="586"/>
      <c r="F290" s="592" t="s">
        <v>97</v>
      </c>
      <c r="G290" s="586"/>
      <c r="H290" s="584" t="s">
        <v>99</v>
      </c>
      <c r="I290" s="584"/>
      <c r="J290" s="584"/>
      <c r="K290" s="586"/>
      <c r="L290" s="586"/>
      <c r="M290" s="586"/>
      <c r="N290" s="586"/>
      <c r="O290" s="586"/>
      <c r="P290" s="586"/>
      <c r="Q290" s="586"/>
      <c r="R290" s="586"/>
      <c r="S290" s="586"/>
      <c r="T290" s="586"/>
      <c r="U290" s="586"/>
      <c r="V290" s="586"/>
      <c r="W290" s="586"/>
      <c r="X290" s="588"/>
    </row>
    <row r="291" spans="1:24" s="589" customFormat="1" x14ac:dyDescent="0.25">
      <c r="A291" s="585"/>
      <c r="B291" s="586"/>
      <c r="C291" s="586"/>
      <c r="D291" s="586"/>
      <c r="E291" s="586"/>
      <c r="F291" s="586"/>
      <c r="G291" s="586"/>
      <c r="H291" s="586"/>
      <c r="I291" s="586"/>
      <c r="J291" s="586"/>
      <c r="K291" s="586"/>
      <c r="L291" s="586"/>
      <c r="M291" s="586"/>
      <c r="N291" s="586"/>
      <c r="O291" s="586"/>
      <c r="P291" s="586"/>
      <c r="Q291" s="586"/>
      <c r="R291" s="586"/>
      <c r="S291" s="586"/>
      <c r="T291" s="586"/>
      <c r="U291" s="586"/>
      <c r="V291" s="586"/>
      <c r="W291" s="586"/>
      <c r="X291" s="588"/>
    </row>
    <row r="292" spans="1:24" s="589" customFormat="1" x14ac:dyDescent="0.25">
      <c r="A292" s="585"/>
      <c r="B292" s="584" t="s">
        <v>319</v>
      </c>
      <c r="C292" s="584"/>
      <c r="D292" s="584"/>
      <c r="E292" s="584"/>
      <c r="F292" s="771" t="s">
        <v>266</v>
      </c>
      <c r="G292" s="584"/>
      <c r="H292" s="584" t="s">
        <v>267</v>
      </c>
      <c r="I292" s="584"/>
      <c r="J292" s="584"/>
      <c r="K292" s="586"/>
      <c r="L292" s="586"/>
      <c r="M292" s="586"/>
      <c r="N292" s="586"/>
      <c r="O292" s="586"/>
      <c r="P292" s="586"/>
      <c r="Q292" s="586"/>
      <c r="R292" s="586"/>
      <c r="S292" s="586"/>
      <c r="T292" s="586"/>
      <c r="U292" s="586"/>
      <c r="V292" s="586"/>
      <c r="W292" s="586"/>
      <c r="X292" s="588"/>
    </row>
    <row r="293" spans="1:24" s="589" customFormat="1" x14ac:dyDescent="0.25">
      <c r="A293" s="585"/>
      <c r="B293" s="584" t="s">
        <v>320</v>
      </c>
      <c r="C293" s="584"/>
      <c r="D293" s="584"/>
      <c r="E293" s="584"/>
      <c r="F293" s="771" t="s">
        <v>147</v>
      </c>
      <c r="G293" s="584"/>
      <c r="H293" s="584" t="s">
        <v>153</v>
      </c>
      <c r="I293" s="584"/>
      <c r="J293" s="584"/>
      <c r="K293" s="586"/>
      <c r="L293" s="586"/>
      <c r="M293" s="586"/>
      <c r="N293" s="586"/>
      <c r="O293" s="586"/>
      <c r="P293" s="586"/>
      <c r="Q293" s="586"/>
      <c r="R293" s="586"/>
      <c r="S293" s="586"/>
      <c r="T293" s="586"/>
      <c r="U293" s="586"/>
      <c r="V293" s="586"/>
      <c r="W293" s="586"/>
      <c r="X293" s="588"/>
    </row>
    <row r="294" spans="1:24" s="589" customFormat="1" x14ac:dyDescent="0.25">
      <c r="A294" s="585"/>
      <c r="B294" s="584"/>
      <c r="C294" s="584"/>
      <c r="D294" s="584"/>
      <c r="E294" s="584"/>
      <c r="F294" s="584"/>
      <c r="G294" s="584"/>
      <c r="H294" s="586"/>
      <c r="I294" s="586"/>
      <c r="J294" s="586"/>
      <c r="K294" s="586"/>
      <c r="L294" s="586"/>
      <c r="M294" s="586"/>
      <c r="N294" s="586"/>
      <c r="O294" s="586"/>
      <c r="P294" s="586"/>
      <c r="Q294" s="586"/>
      <c r="R294" s="586"/>
      <c r="S294" s="586"/>
      <c r="T294" s="586"/>
      <c r="U294" s="586"/>
      <c r="V294" s="586"/>
      <c r="W294" s="586"/>
      <c r="X294" s="588"/>
    </row>
    <row r="295" spans="1:24" s="589" customFormat="1" x14ac:dyDescent="0.25">
      <c r="A295" s="585"/>
      <c r="B295" s="584"/>
      <c r="C295" s="584"/>
      <c r="D295" s="584"/>
      <c r="E295" s="584"/>
      <c r="F295" s="584"/>
      <c r="G295" s="584"/>
      <c r="H295" s="586"/>
      <c r="I295" s="586"/>
      <c r="J295" s="586"/>
      <c r="K295" s="586"/>
      <c r="L295" s="586"/>
      <c r="M295" s="586"/>
      <c r="N295" s="586"/>
      <c r="O295" s="586"/>
      <c r="P295" s="586"/>
      <c r="Q295" s="586"/>
      <c r="R295" s="586"/>
      <c r="S295" s="586"/>
      <c r="T295" s="586"/>
      <c r="U295" s="586"/>
      <c r="V295" s="586"/>
      <c r="W295" s="586"/>
      <c r="X295" s="588"/>
    </row>
    <row r="296" spans="1:24" s="589" customFormat="1" ht="19.5" thickBot="1" x14ac:dyDescent="0.35">
      <c r="A296" s="585"/>
      <c r="B296" s="772" t="str">
        <f>B201</f>
        <v>PM15 INVESTOR REPORT QUARTER ENDING FEBRUARY 2019</v>
      </c>
      <c r="C296" s="584"/>
      <c r="D296" s="584"/>
      <c r="E296" s="584"/>
      <c r="F296" s="584"/>
      <c r="G296" s="584"/>
      <c r="H296" s="586"/>
      <c r="I296" s="586"/>
      <c r="J296" s="586"/>
      <c r="K296" s="586"/>
      <c r="L296" s="586"/>
      <c r="M296" s="586"/>
      <c r="N296" s="586"/>
      <c r="O296" s="586"/>
      <c r="P296" s="586"/>
      <c r="Q296" s="586"/>
      <c r="R296" s="586"/>
      <c r="S296" s="586"/>
      <c r="T296" s="586"/>
      <c r="U296" s="586"/>
      <c r="V296" s="586"/>
      <c r="W296" s="586"/>
      <c r="X296" s="588"/>
    </row>
    <row r="297" spans="1:24" x14ac:dyDescent="0.25">
      <c r="A297" s="773"/>
      <c r="B297" s="773"/>
      <c r="C297" s="773"/>
      <c r="D297" s="773"/>
      <c r="E297" s="773"/>
      <c r="F297" s="773"/>
      <c r="G297" s="773"/>
      <c r="H297" s="773"/>
      <c r="I297" s="773"/>
      <c r="J297" s="773"/>
      <c r="K297" s="773"/>
      <c r="L297" s="773"/>
      <c r="M297" s="773"/>
      <c r="N297" s="773"/>
      <c r="O297" s="773"/>
      <c r="P297" s="773"/>
      <c r="Q297" s="773"/>
      <c r="R297" s="773"/>
      <c r="S297" s="773"/>
      <c r="T297" s="773"/>
      <c r="U297" s="773"/>
      <c r="V297" s="773"/>
      <c r="W297" s="773"/>
    </row>
  </sheetData>
  <hyperlinks>
    <hyperlink ref="I9" r:id="rId1" xr:uid="{00000000-0004-0000-2D00-000000000000}"/>
    <hyperlink ref="P237" r:id="rId2" xr:uid="{00000000-0004-0000-2D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5" max="14" man="1"/>
    <brk id="201" max="14" man="1"/>
  </rowBreaks>
  <drawing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89CB31"/>
  </sheetPr>
  <dimension ref="A1:IV297"/>
  <sheetViews>
    <sheetView showGridLines="0" showOutlineSymbols="0" zoomScale="70" zoomScaleNormal="70" workbookViewId="0"/>
  </sheetViews>
  <sheetFormatPr defaultColWidth="9.6640625" defaultRowHeight="15.75" x14ac:dyDescent="0.25"/>
  <cols>
    <col min="1" max="1" width="4" style="573" customWidth="1"/>
    <col min="2" max="2" width="71.21875" style="573" customWidth="1"/>
    <col min="3" max="3" width="2.21875" style="573" customWidth="1"/>
    <col min="4" max="4" width="19.33203125" style="573" customWidth="1"/>
    <col min="5" max="5" width="2.21875" style="573" customWidth="1"/>
    <col min="6" max="6" width="25.109375" style="573" customWidth="1"/>
    <col min="7" max="7" width="2.21875" style="573" customWidth="1"/>
    <col min="8" max="8" width="16.21875" style="573" customWidth="1"/>
    <col min="9" max="9" width="2.88671875" style="573" customWidth="1"/>
    <col min="10" max="10" width="16.21875" style="573" customWidth="1"/>
    <col min="11" max="11" width="2.21875" style="573" customWidth="1"/>
    <col min="12" max="12" width="17.88671875" style="573" customWidth="1"/>
    <col min="13" max="13" width="2.33203125" style="573" customWidth="1"/>
    <col min="14" max="14" width="14.88671875" style="573" customWidth="1"/>
    <col min="15" max="15" width="2.33203125" style="573" customWidth="1"/>
    <col min="16" max="16" width="15.5546875" style="573" customWidth="1"/>
    <col min="17" max="17" width="2.21875" style="573" customWidth="1"/>
    <col min="18" max="18" width="15.5546875" style="573" customWidth="1"/>
    <col min="19" max="20" width="12.6640625" style="573" customWidth="1"/>
    <col min="21" max="21" width="7.77734375" style="573" customWidth="1"/>
    <col min="22" max="22" width="14.6640625" style="573" customWidth="1"/>
    <col min="23" max="23" width="11.77734375" style="573" customWidth="1"/>
    <col min="24" max="16384" width="9.6640625" style="573"/>
  </cols>
  <sheetData>
    <row r="1" spans="1:24" ht="21" x14ac:dyDescent="0.35">
      <c r="A1" s="569"/>
      <c r="B1" s="570" t="s">
        <v>237</v>
      </c>
      <c r="C1" s="571"/>
      <c r="D1" s="571"/>
      <c r="E1" s="571"/>
      <c r="F1" s="571"/>
      <c r="G1" s="571"/>
      <c r="H1" s="571"/>
      <c r="I1" s="571"/>
      <c r="J1" s="571"/>
      <c r="K1" s="571"/>
      <c r="L1" s="571"/>
      <c r="M1" s="571"/>
      <c r="N1" s="571"/>
      <c r="O1" s="571"/>
      <c r="P1" s="571"/>
      <c r="Q1" s="571"/>
      <c r="R1" s="571"/>
      <c r="S1" s="571"/>
      <c r="T1" s="571"/>
      <c r="U1" s="571"/>
      <c r="V1" s="571"/>
      <c r="W1" s="571"/>
      <c r="X1" s="572"/>
    </row>
    <row r="2" spans="1:24" x14ac:dyDescent="0.25">
      <c r="A2" s="574"/>
      <c r="B2" s="575"/>
      <c r="C2" s="576"/>
      <c r="D2" s="576"/>
      <c r="E2" s="576"/>
      <c r="F2" s="576"/>
      <c r="G2" s="576"/>
      <c r="H2" s="576"/>
      <c r="I2" s="576"/>
      <c r="J2" s="576"/>
      <c r="K2" s="576"/>
      <c r="L2" s="576"/>
      <c r="M2" s="576"/>
      <c r="N2" s="576"/>
      <c r="O2" s="576"/>
      <c r="P2" s="576"/>
      <c r="Q2" s="576"/>
      <c r="R2" s="576"/>
      <c r="S2" s="576"/>
      <c r="T2" s="576"/>
      <c r="U2" s="576"/>
      <c r="V2" s="576"/>
      <c r="W2" s="576"/>
      <c r="X2" s="572"/>
    </row>
    <row r="3" spans="1:24" x14ac:dyDescent="0.25">
      <c r="A3" s="577"/>
      <c r="B3" s="578" t="s">
        <v>238</v>
      </c>
      <c r="C3" s="576"/>
      <c r="D3" s="576"/>
      <c r="E3" s="576"/>
      <c r="F3" s="576"/>
      <c r="G3" s="576"/>
      <c r="H3" s="576"/>
      <c r="I3" s="576"/>
      <c r="J3" s="576"/>
      <c r="K3" s="576"/>
      <c r="L3" s="576"/>
      <c r="M3" s="576"/>
      <c r="N3" s="576"/>
      <c r="O3" s="576"/>
      <c r="P3" s="576"/>
      <c r="Q3" s="576"/>
      <c r="R3" s="576"/>
      <c r="S3" s="576"/>
      <c r="T3" s="576"/>
      <c r="U3" s="576"/>
      <c r="V3" s="576"/>
      <c r="W3" s="576"/>
      <c r="X3" s="572"/>
    </row>
    <row r="4" spans="1:24" x14ac:dyDescent="0.25">
      <c r="A4" s="574"/>
      <c r="B4" s="575"/>
      <c r="C4" s="576"/>
      <c r="D4" s="576"/>
      <c r="E4" s="576"/>
      <c r="F4" s="576"/>
      <c r="G4" s="576"/>
      <c r="H4" s="576"/>
      <c r="I4" s="576"/>
      <c r="J4" s="576"/>
      <c r="K4" s="576"/>
      <c r="L4" s="576"/>
      <c r="M4" s="576"/>
      <c r="N4" s="576"/>
      <c r="O4" s="576"/>
      <c r="P4" s="576"/>
      <c r="Q4" s="576"/>
      <c r="R4" s="576"/>
      <c r="S4" s="576"/>
      <c r="T4" s="576"/>
      <c r="U4" s="576"/>
      <c r="V4" s="576"/>
      <c r="W4" s="576"/>
      <c r="X4" s="572"/>
    </row>
    <row r="5" spans="1:24" x14ac:dyDescent="0.25">
      <c r="A5" s="574"/>
      <c r="B5" s="579" t="s">
        <v>137</v>
      </c>
      <c r="C5" s="576"/>
      <c r="D5" s="576"/>
      <c r="E5" s="576"/>
      <c r="F5" s="576"/>
      <c r="G5" s="576"/>
      <c r="H5" s="576"/>
      <c r="I5" s="576"/>
      <c r="J5" s="576"/>
      <c r="K5" s="576"/>
      <c r="L5" s="576"/>
      <c r="M5" s="576"/>
      <c r="N5" s="576"/>
      <c r="O5" s="576"/>
      <c r="P5" s="576"/>
      <c r="Q5" s="576"/>
      <c r="R5" s="576"/>
      <c r="S5" s="576"/>
      <c r="T5" s="576"/>
      <c r="U5" s="576"/>
      <c r="V5" s="576"/>
      <c r="W5" s="576"/>
      <c r="X5" s="572"/>
    </row>
    <row r="6" spans="1:24" x14ac:dyDescent="0.25">
      <c r="A6" s="574"/>
      <c r="B6" s="579" t="s">
        <v>139</v>
      </c>
      <c r="C6" s="576"/>
      <c r="D6" s="576"/>
      <c r="E6" s="576"/>
      <c r="F6" s="576"/>
      <c r="G6" s="576"/>
      <c r="H6" s="576"/>
      <c r="I6" s="576"/>
      <c r="J6" s="576"/>
      <c r="K6" s="576"/>
      <c r="L6" s="576"/>
      <c r="M6" s="576"/>
      <c r="N6" s="576"/>
      <c r="O6" s="576"/>
      <c r="P6" s="576"/>
      <c r="Q6" s="576"/>
      <c r="R6" s="576"/>
      <c r="S6" s="576"/>
      <c r="T6" s="576"/>
      <c r="U6" s="576"/>
      <c r="V6" s="576"/>
      <c r="W6" s="576"/>
      <c r="X6" s="572"/>
    </row>
    <row r="7" spans="1:24" x14ac:dyDescent="0.25">
      <c r="A7" s="574"/>
      <c r="B7" s="579" t="s">
        <v>138</v>
      </c>
      <c r="C7" s="576"/>
      <c r="D7" s="576"/>
      <c r="E7" s="576"/>
      <c r="F7" s="576"/>
      <c r="G7" s="576"/>
      <c r="H7" s="576"/>
      <c r="I7" s="576"/>
      <c r="J7" s="576"/>
      <c r="K7" s="576"/>
      <c r="L7" s="576"/>
      <c r="M7" s="576"/>
      <c r="N7" s="576"/>
      <c r="O7" s="576"/>
      <c r="P7" s="576"/>
      <c r="Q7" s="576"/>
      <c r="R7" s="576"/>
      <c r="S7" s="576"/>
      <c r="T7" s="576"/>
      <c r="U7" s="576"/>
      <c r="V7" s="576"/>
      <c r="W7" s="576"/>
      <c r="X7" s="572"/>
    </row>
    <row r="8" spans="1:24" x14ac:dyDescent="0.25">
      <c r="A8" s="574"/>
      <c r="B8" s="580"/>
      <c r="C8" s="576"/>
      <c r="D8" s="576"/>
      <c r="E8" s="576"/>
      <c r="F8" s="576"/>
      <c r="G8" s="576"/>
      <c r="H8" s="576"/>
      <c r="I8" s="576"/>
      <c r="J8" s="576"/>
      <c r="K8" s="576"/>
      <c r="L8" s="576"/>
      <c r="M8" s="576"/>
      <c r="N8" s="576"/>
      <c r="O8" s="576"/>
      <c r="P8" s="576"/>
      <c r="Q8" s="576"/>
      <c r="R8" s="576"/>
      <c r="S8" s="576"/>
      <c r="T8" s="576"/>
      <c r="U8" s="576"/>
      <c r="V8" s="576"/>
      <c r="W8" s="576"/>
      <c r="X8" s="572"/>
    </row>
    <row r="9" spans="1:24" ht="18.75" x14ac:dyDescent="0.3">
      <c r="A9" s="574"/>
      <c r="B9" s="581" t="s">
        <v>166</v>
      </c>
      <c r="C9" s="576"/>
      <c r="D9" s="576"/>
      <c r="E9" s="576"/>
      <c r="F9" s="576"/>
      <c r="G9" s="576"/>
      <c r="H9" s="576"/>
      <c r="I9" s="513" t="s">
        <v>341</v>
      </c>
      <c r="J9" s="576"/>
      <c r="K9" s="576"/>
      <c r="L9" s="582"/>
      <c r="M9" s="576"/>
      <c r="N9" s="582"/>
      <c r="O9" s="576"/>
      <c r="P9" s="576"/>
      <c r="Q9" s="576"/>
      <c r="R9" s="576"/>
      <c r="S9" s="576"/>
      <c r="T9" s="576"/>
      <c r="U9" s="576"/>
      <c r="V9" s="576"/>
      <c r="W9" s="576"/>
      <c r="X9" s="572"/>
    </row>
    <row r="10" spans="1:24" x14ac:dyDescent="0.25">
      <c r="A10" s="574"/>
      <c r="B10" s="580"/>
      <c r="C10" s="583"/>
      <c r="D10" s="583"/>
      <c r="E10" s="583"/>
      <c r="F10" s="576"/>
      <c r="G10" s="576"/>
      <c r="H10" s="576"/>
      <c r="I10" s="576"/>
      <c r="J10" s="576"/>
      <c r="K10" s="576"/>
      <c r="L10" s="576"/>
      <c r="M10" s="576"/>
      <c r="N10" s="576"/>
      <c r="O10" s="576"/>
      <c r="P10" s="576"/>
      <c r="Q10" s="576"/>
      <c r="R10" s="576"/>
      <c r="S10" s="576"/>
      <c r="T10" s="576"/>
      <c r="U10" s="576"/>
      <c r="V10" s="576"/>
      <c r="W10" s="576"/>
      <c r="X10" s="572"/>
    </row>
    <row r="11" spans="1:24" x14ac:dyDescent="0.25">
      <c r="A11" s="574"/>
      <c r="B11" s="584" t="s">
        <v>0</v>
      </c>
      <c r="C11" s="576"/>
      <c r="D11" s="576"/>
      <c r="E11" s="576"/>
      <c r="F11" s="576"/>
      <c r="G11" s="576"/>
      <c r="H11" s="576"/>
      <c r="I11" s="576"/>
      <c r="J11" s="576"/>
      <c r="K11" s="576"/>
      <c r="L11" s="576"/>
      <c r="M11" s="576"/>
      <c r="N11" s="576"/>
      <c r="O11" s="576"/>
      <c r="P11" s="576"/>
      <c r="Q11" s="576"/>
      <c r="R11" s="576"/>
      <c r="S11" s="576"/>
      <c r="T11" s="576"/>
      <c r="U11" s="576"/>
      <c r="V11" s="576"/>
      <c r="W11" s="576"/>
      <c r="X11" s="572"/>
    </row>
    <row r="12" spans="1:24" ht="16.5" thickBot="1" x14ac:dyDescent="0.3">
      <c r="A12" s="574"/>
      <c r="B12" s="583"/>
      <c r="C12" s="576"/>
      <c r="D12" s="576"/>
      <c r="E12" s="576"/>
      <c r="F12" s="576"/>
      <c r="G12" s="576"/>
      <c r="H12" s="576"/>
      <c r="I12" s="576"/>
      <c r="J12" s="576"/>
      <c r="K12" s="576"/>
      <c r="L12" s="576"/>
      <c r="M12" s="576"/>
      <c r="N12" s="576"/>
      <c r="O12" s="576"/>
      <c r="P12" s="576"/>
      <c r="Q12" s="576"/>
      <c r="R12" s="576"/>
      <c r="S12" s="576"/>
      <c r="T12" s="576"/>
      <c r="U12" s="576"/>
      <c r="V12" s="576"/>
      <c r="W12" s="576"/>
      <c r="X12" s="572"/>
    </row>
    <row r="13" spans="1:24" x14ac:dyDescent="0.25">
      <c r="A13" s="569"/>
      <c r="B13" s="571"/>
      <c r="C13" s="571"/>
      <c r="D13" s="571"/>
      <c r="E13" s="571"/>
      <c r="F13" s="571"/>
      <c r="G13" s="571"/>
      <c r="H13" s="571"/>
      <c r="I13" s="571"/>
      <c r="J13" s="571"/>
      <c r="K13" s="571"/>
      <c r="L13" s="571"/>
      <c r="M13" s="571"/>
      <c r="N13" s="571"/>
      <c r="O13" s="571"/>
      <c r="P13" s="571"/>
      <c r="Q13" s="571"/>
      <c r="R13" s="571"/>
      <c r="S13" s="571"/>
      <c r="T13" s="571"/>
      <c r="U13" s="571"/>
      <c r="V13" s="571"/>
      <c r="W13" s="571"/>
      <c r="X13" s="572"/>
    </row>
    <row r="14" spans="1:24" s="589" customFormat="1" x14ac:dyDescent="0.25">
      <c r="A14" s="585"/>
      <c r="B14" s="584" t="s">
        <v>1</v>
      </c>
      <c r="C14" s="586"/>
      <c r="D14" s="586"/>
      <c r="E14" s="586"/>
      <c r="F14" s="586"/>
      <c r="G14" s="586"/>
      <c r="H14" s="586"/>
      <c r="I14" s="586"/>
      <c r="J14" s="586"/>
      <c r="K14" s="586"/>
      <c r="L14" s="586"/>
      <c r="M14" s="586"/>
      <c r="N14" s="586"/>
      <c r="O14" s="586"/>
      <c r="P14" s="586"/>
      <c r="Q14" s="586"/>
      <c r="R14" s="586"/>
      <c r="S14" s="586"/>
      <c r="T14" s="586"/>
      <c r="U14" s="586"/>
      <c r="V14" s="587" t="s">
        <v>239</v>
      </c>
      <c r="W14" s="586"/>
      <c r="X14" s="588"/>
    </row>
    <row r="15" spans="1:24" s="589" customFormat="1" x14ac:dyDescent="0.25">
      <c r="A15" s="585"/>
      <c r="B15" s="584" t="s">
        <v>2</v>
      </c>
      <c r="C15" s="586"/>
      <c r="D15" s="586"/>
      <c r="E15" s="586"/>
      <c r="F15" s="586"/>
      <c r="G15" s="586"/>
      <c r="H15" s="590"/>
      <c r="I15" s="590"/>
      <c r="J15" s="590"/>
      <c r="K15" s="590"/>
      <c r="L15" s="590"/>
      <c r="M15" s="590"/>
      <c r="N15" s="590"/>
      <c r="O15" s="590"/>
      <c r="P15" s="590"/>
      <c r="Q15" s="590"/>
      <c r="R15" s="590" t="s">
        <v>104</v>
      </c>
      <c r="S15" s="591">
        <v>0.47189999999999999</v>
      </c>
      <c r="T15" s="592" t="s">
        <v>140</v>
      </c>
      <c r="U15" s="591">
        <v>0.52810000000000001</v>
      </c>
      <c r="V15" s="587"/>
      <c r="W15" s="586"/>
      <c r="X15" s="588"/>
    </row>
    <row r="16" spans="1:24" s="589" customFormat="1" x14ac:dyDescent="0.25">
      <c r="A16" s="585"/>
      <c r="B16" s="584" t="s">
        <v>3</v>
      </c>
      <c r="C16" s="586"/>
      <c r="D16" s="586"/>
      <c r="E16" s="586"/>
      <c r="F16" s="586"/>
      <c r="G16" s="586"/>
      <c r="H16" s="590"/>
      <c r="I16" s="590"/>
      <c r="J16" s="590"/>
      <c r="K16" s="590"/>
      <c r="L16" s="590"/>
      <c r="M16" s="590"/>
      <c r="N16" s="590"/>
      <c r="O16" s="590"/>
      <c r="P16" s="590"/>
      <c r="Q16" s="590"/>
      <c r="R16" s="590" t="s">
        <v>104</v>
      </c>
      <c r="S16" s="591">
        <v>0.58069999999999999</v>
      </c>
      <c r="T16" s="592" t="s">
        <v>140</v>
      </c>
      <c r="U16" s="591">
        <v>0.41930000000000001</v>
      </c>
      <c r="V16" s="587"/>
      <c r="W16" s="586"/>
      <c r="X16" s="588"/>
    </row>
    <row r="17" spans="1:24" s="589" customFormat="1" x14ac:dyDescent="0.25">
      <c r="A17" s="585"/>
      <c r="B17" s="584" t="s">
        <v>4</v>
      </c>
      <c r="C17" s="586"/>
      <c r="D17" s="586"/>
      <c r="E17" s="586"/>
      <c r="F17" s="586"/>
      <c r="G17" s="586"/>
      <c r="H17" s="586"/>
      <c r="I17" s="586"/>
      <c r="J17" s="586"/>
      <c r="K17" s="586"/>
      <c r="L17" s="586"/>
      <c r="M17" s="586"/>
      <c r="N17" s="586"/>
      <c r="O17" s="586"/>
      <c r="P17" s="586"/>
      <c r="Q17" s="586"/>
      <c r="R17" s="586"/>
      <c r="S17" s="586"/>
      <c r="T17" s="586"/>
      <c r="U17" s="586"/>
      <c r="V17" s="593">
        <v>39282</v>
      </c>
      <c r="W17" s="586"/>
      <c r="X17" s="588"/>
    </row>
    <row r="18" spans="1:24" s="589" customFormat="1" x14ac:dyDescent="0.25">
      <c r="A18" s="585"/>
      <c r="B18" s="584" t="s">
        <v>5</v>
      </c>
      <c r="C18" s="586"/>
      <c r="D18" s="586"/>
      <c r="E18" s="586"/>
      <c r="F18" s="586"/>
      <c r="G18" s="586"/>
      <c r="H18" s="586"/>
      <c r="I18" s="586"/>
      <c r="J18" s="586"/>
      <c r="K18" s="586"/>
      <c r="L18" s="586"/>
      <c r="M18" s="586"/>
      <c r="N18" s="586"/>
      <c r="O18" s="586"/>
      <c r="P18" s="586"/>
      <c r="Q18" s="586"/>
      <c r="R18" s="586"/>
      <c r="S18" s="586"/>
      <c r="T18" s="586"/>
      <c r="U18" s="586"/>
      <c r="V18" s="593">
        <v>43637</v>
      </c>
      <c r="W18" s="586"/>
      <c r="X18" s="588"/>
    </row>
    <row r="19" spans="1:24" s="589" customFormat="1" x14ac:dyDescent="0.25">
      <c r="A19" s="585"/>
      <c r="B19" s="586"/>
      <c r="C19" s="586"/>
      <c r="D19" s="586"/>
      <c r="E19" s="586"/>
      <c r="F19" s="586"/>
      <c r="G19" s="586"/>
      <c r="H19" s="586"/>
      <c r="I19" s="586"/>
      <c r="J19" s="586"/>
      <c r="K19" s="586"/>
      <c r="L19" s="586"/>
      <c r="M19" s="586"/>
      <c r="N19" s="586"/>
      <c r="O19" s="586"/>
      <c r="P19" s="586"/>
      <c r="Q19" s="586"/>
      <c r="R19" s="586"/>
      <c r="S19" s="586"/>
      <c r="T19" s="586"/>
      <c r="U19" s="586"/>
      <c r="V19" s="594"/>
      <c r="W19" s="586"/>
      <c r="X19" s="588"/>
    </row>
    <row r="20" spans="1:24" s="589" customFormat="1" x14ac:dyDescent="0.25">
      <c r="A20" s="585"/>
      <c r="B20" s="595" t="s">
        <v>6</v>
      </c>
      <c r="C20" s="586"/>
      <c r="D20" s="586"/>
      <c r="E20" s="586"/>
      <c r="F20" s="586"/>
      <c r="G20" s="586"/>
      <c r="H20" s="586"/>
      <c r="I20" s="586"/>
      <c r="J20" s="586"/>
      <c r="K20" s="586"/>
      <c r="L20" s="586"/>
      <c r="M20" s="586"/>
      <c r="N20" s="586"/>
      <c r="O20" s="586"/>
      <c r="P20" s="586"/>
      <c r="Q20" s="586"/>
      <c r="R20" s="586"/>
      <c r="S20" s="586"/>
      <c r="T20" s="594" t="s">
        <v>105</v>
      </c>
      <c r="U20" s="586"/>
      <c r="V20" s="586"/>
      <c r="W20" s="586"/>
      <c r="X20" s="588"/>
    </row>
    <row r="21" spans="1:24" x14ac:dyDescent="0.25">
      <c r="A21" s="574"/>
      <c r="B21" s="576"/>
      <c r="C21" s="576"/>
      <c r="D21" s="576"/>
      <c r="E21" s="576"/>
      <c r="F21" s="576"/>
      <c r="G21" s="576"/>
      <c r="H21" s="576"/>
      <c r="I21" s="576"/>
      <c r="J21" s="576"/>
      <c r="K21" s="576"/>
      <c r="L21" s="576"/>
      <c r="M21" s="576"/>
      <c r="N21" s="576"/>
      <c r="O21" s="576"/>
      <c r="P21" s="576"/>
      <c r="Q21" s="576"/>
      <c r="R21" s="576"/>
      <c r="S21" s="576"/>
      <c r="T21" s="576"/>
      <c r="U21" s="576"/>
      <c r="V21" s="596"/>
      <c r="W21" s="576"/>
      <c r="X21" s="572"/>
    </row>
    <row r="22" spans="1:24" x14ac:dyDescent="0.25">
      <c r="A22" s="597"/>
      <c r="B22" s="598"/>
      <c r="C22" s="599"/>
      <c r="D22" s="599" t="s">
        <v>177</v>
      </c>
      <c r="E22" s="599"/>
      <c r="F22" s="599" t="s">
        <v>178</v>
      </c>
      <c r="G22" s="599"/>
      <c r="H22" s="599" t="s">
        <v>179</v>
      </c>
      <c r="I22" s="599"/>
      <c r="J22" s="599" t="s">
        <v>219</v>
      </c>
      <c r="K22" s="599"/>
      <c r="L22" s="599" t="s">
        <v>180</v>
      </c>
      <c r="M22" s="599"/>
      <c r="N22" s="599" t="s">
        <v>181</v>
      </c>
      <c r="O22" s="599"/>
      <c r="P22" s="599" t="s">
        <v>182</v>
      </c>
      <c r="Q22" s="599"/>
      <c r="R22" s="599"/>
      <c r="S22" s="600"/>
      <c r="T22" s="600"/>
      <c r="U22" s="598"/>
      <c r="V22" s="598"/>
      <c r="W22" s="601"/>
      <c r="X22" s="572"/>
    </row>
    <row r="23" spans="1:24" s="589" customFormat="1" x14ac:dyDescent="0.25">
      <c r="A23" s="585"/>
      <c r="B23" s="602" t="s">
        <v>7</v>
      </c>
      <c r="C23" s="603"/>
      <c r="D23" s="603" t="s">
        <v>212</v>
      </c>
      <c r="E23" s="603"/>
      <c r="F23" s="603" t="s">
        <v>141</v>
      </c>
      <c r="G23" s="603"/>
      <c r="H23" s="603" t="s">
        <v>141</v>
      </c>
      <c r="I23" s="603"/>
      <c r="J23" s="603" t="s">
        <v>141</v>
      </c>
      <c r="K23" s="603"/>
      <c r="L23" s="603" t="s">
        <v>183</v>
      </c>
      <c r="M23" s="603"/>
      <c r="N23" s="603" t="s">
        <v>183</v>
      </c>
      <c r="O23" s="603"/>
      <c r="P23" s="603" t="s">
        <v>142</v>
      </c>
      <c r="Q23" s="603"/>
      <c r="R23" s="603"/>
      <c r="S23" s="603"/>
      <c r="T23" s="603"/>
      <c r="U23" s="602"/>
      <c r="V23" s="602"/>
      <c r="W23" s="602"/>
      <c r="X23" s="588"/>
    </row>
    <row r="24" spans="1:24" s="589" customFormat="1" x14ac:dyDescent="0.25">
      <c r="A24" s="604"/>
      <c r="B24" s="605" t="s">
        <v>8</v>
      </c>
      <c r="C24" s="606"/>
      <c r="D24" s="606" t="s">
        <v>213</v>
      </c>
      <c r="E24" s="606"/>
      <c r="F24" s="606" t="s">
        <v>143</v>
      </c>
      <c r="G24" s="606"/>
      <c r="H24" s="606" t="s">
        <v>143</v>
      </c>
      <c r="I24" s="606"/>
      <c r="J24" s="606" t="s">
        <v>143</v>
      </c>
      <c r="K24" s="606"/>
      <c r="L24" s="606" t="s">
        <v>165</v>
      </c>
      <c r="M24" s="606"/>
      <c r="N24" s="606" t="s">
        <v>165</v>
      </c>
      <c r="O24" s="606"/>
      <c r="P24" s="606" t="s">
        <v>144</v>
      </c>
      <c r="Q24" s="606"/>
      <c r="R24" s="606"/>
      <c r="S24" s="606"/>
      <c r="T24" s="606"/>
      <c r="U24" s="605"/>
      <c r="V24" s="605"/>
      <c r="W24" s="607"/>
      <c r="X24" s="588"/>
    </row>
    <row r="25" spans="1:24" s="589" customFormat="1" x14ac:dyDescent="0.25">
      <c r="A25" s="608"/>
      <c r="B25" s="605" t="s">
        <v>190</v>
      </c>
      <c r="C25" s="609"/>
      <c r="D25" s="606" t="s">
        <v>214</v>
      </c>
      <c r="E25" s="606"/>
      <c r="F25" s="606" t="s">
        <v>143</v>
      </c>
      <c r="G25" s="606"/>
      <c r="H25" s="606" t="s">
        <v>143</v>
      </c>
      <c r="I25" s="606"/>
      <c r="J25" s="606" t="s">
        <v>143</v>
      </c>
      <c r="K25" s="606"/>
      <c r="L25" s="606" t="s">
        <v>165</v>
      </c>
      <c r="M25" s="606"/>
      <c r="N25" s="606" t="s">
        <v>165</v>
      </c>
      <c r="O25" s="606"/>
      <c r="P25" s="606" t="s">
        <v>144</v>
      </c>
      <c r="Q25" s="606"/>
      <c r="R25" s="606"/>
      <c r="S25" s="609"/>
      <c r="T25" s="606"/>
      <c r="U25" s="605"/>
      <c r="V25" s="605"/>
      <c r="W25" s="607"/>
      <c r="X25" s="588"/>
    </row>
    <row r="26" spans="1:24" s="589" customFormat="1" x14ac:dyDescent="0.25">
      <c r="A26" s="608"/>
      <c r="B26" s="610" t="s">
        <v>9</v>
      </c>
      <c r="C26" s="609"/>
      <c r="D26" s="609" t="s">
        <v>141</v>
      </c>
      <c r="E26" s="609"/>
      <c r="F26" s="609" t="s">
        <v>141</v>
      </c>
      <c r="G26" s="609"/>
      <c r="H26" s="609" t="s">
        <v>141</v>
      </c>
      <c r="I26" s="609"/>
      <c r="J26" s="609" t="s">
        <v>141</v>
      </c>
      <c r="K26" s="609"/>
      <c r="L26" s="609" t="s">
        <v>183</v>
      </c>
      <c r="M26" s="609"/>
      <c r="N26" s="609" t="s">
        <v>183</v>
      </c>
      <c r="O26" s="609"/>
      <c r="P26" s="609" t="s">
        <v>142</v>
      </c>
      <c r="Q26" s="609"/>
      <c r="R26" s="609"/>
      <c r="S26" s="609"/>
      <c r="T26" s="606"/>
      <c r="U26" s="605"/>
      <c r="V26" s="605"/>
      <c r="W26" s="607"/>
      <c r="X26" s="588"/>
    </row>
    <row r="27" spans="1:24" s="589" customFormat="1" x14ac:dyDescent="0.25">
      <c r="A27" s="604"/>
      <c r="B27" s="610" t="s">
        <v>191</v>
      </c>
      <c r="C27" s="606"/>
      <c r="D27" s="609" t="s">
        <v>143</v>
      </c>
      <c r="E27" s="609"/>
      <c r="F27" s="609" t="s">
        <v>143</v>
      </c>
      <c r="G27" s="609"/>
      <c r="H27" s="609" t="s">
        <v>143</v>
      </c>
      <c r="I27" s="609"/>
      <c r="J27" s="609" t="s">
        <v>143</v>
      </c>
      <c r="K27" s="609"/>
      <c r="L27" s="609" t="s">
        <v>165</v>
      </c>
      <c r="M27" s="609"/>
      <c r="N27" s="609" t="s">
        <v>165</v>
      </c>
      <c r="O27" s="609"/>
      <c r="P27" s="609" t="s">
        <v>330</v>
      </c>
      <c r="Q27" s="609"/>
      <c r="R27" s="609"/>
      <c r="S27" s="606"/>
      <c r="T27" s="611"/>
      <c r="U27" s="605"/>
      <c r="V27" s="605"/>
      <c r="W27" s="607"/>
      <c r="X27" s="588"/>
    </row>
    <row r="28" spans="1:24" s="589" customFormat="1" x14ac:dyDescent="0.25">
      <c r="A28" s="604"/>
      <c r="B28" s="610" t="s">
        <v>192</v>
      </c>
      <c r="C28" s="606"/>
      <c r="D28" s="609" t="s">
        <v>143</v>
      </c>
      <c r="E28" s="609"/>
      <c r="F28" s="609" t="s">
        <v>143</v>
      </c>
      <c r="G28" s="609"/>
      <c r="H28" s="609" t="s">
        <v>143</v>
      </c>
      <c r="I28" s="609"/>
      <c r="J28" s="609" t="s">
        <v>143</v>
      </c>
      <c r="K28" s="609"/>
      <c r="L28" s="609" t="s">
        <v>143</v>
      </c>
      <c r="M28" s="609"/>
      <c r="N28" s="609" t="s">
        <v>143</v>
      </c>
      <c r="O28" s="609"/>
      <c r="P28" s="609" t="s">
        <v>330</v>
      </c>
      <c r="Q28" s="609"/>
      <c r="R28" s="609"/>
      <c r="S28" s="606"/>
      <c r="T28" s="611"/>
      <c r="U28" s="605"/>
      <c r="V28" s="605"/>
      <c r="W28" s="607"/>
      <c r="X28" s="588"/>
    </row>
    <row r="29" spans="1:24" s="589" customFormat="1" x14ac:dyDescent="0.25">
      <c r="A29" s="604"/>
      <c r="B29" s="605" t="s">
        <v>10</v>
      </c>
      <c r="C29" s="612"/>
      <c r="D29" s="606" t="s">
        <v>242</v>
      </c>
      <c r="E29" s="606"/>
      <c r="F29" s="611" t="s">
        <v>244</v>
      </c>
      <c r="G29" s="606"/>
      <c r="H29" s="606" t="s">
        <v>245</v>
      </c>
      <c r="I29" s="606"/>
      <c r="J29" s="606" t="s">
        <v>247</v>
      </c>
      <c r="K29" s="606"/>
      <c r="L29" s="606" t="s">
        <v>248</v>
      </c>
      <c r="M29" s="606"/>
      <c r="N29" s="606" t="s">
        <v>249</v>
      </c>
      <c r="O29" s="606"/>
      <c r="P29" s="606" t="s">
        <v>250</v>
      </c>
      <c r="Q29" s="606"/>
      <c r="R29" s="606"/>
      <c r="S29" s="613"/>
      <c r="T29" s="613"/>
      <c r="U29" s="612"/>
      <c r="V29" s="613"/>
      <c r="W29" s="614"/>
      <c r="X29" s="588"/>
    </row>
    <row r="30" spans="1:24" s="589" customFormat="1" x14ac:dyDescent="0.25">
      <c r="A30" s="604"/>
      <c r="B30" s="605" t="s">
        <v>10</v>
      </c>
      <c r="C30" s="612"/>
      <c r="D30" s="606" t="s">
        <v>243</v>
      </c>
      <c r="E30" s="606"/>
      <c r="F30" s="611" t="s">
        <v>118</v>
      </c>
      <c r="G30" s="606"/>
      <c r="H30" s="606" t="s">
        <v>118</v>
      </c>
      <c r="I30" s="606"/>
      <c r="J30" s="606" t="s">
        <v>246</v>
      </c>
      <c r="K30" s="606"/>
      <c r="L30" s="606" t="s">
        <v>118</v>
      </c>
      <c r="M30" s="606"/>
      <c r="N30" s="606" t="s">
        <v>118</v>
      </c>
      <c r="O30" s="606"/>
      <c r="P30" s="606" t="s">
        <v>118</v>
      </c>
      <c r="Q30" s="606"/>
      <c r="R30" s="606"/>
      <c r="S30" s="613"/>
      <c r="T30" s="613"/>
      <c r="U30" s="612"/>
      <c r="V30" s="613"/>
      <c r="W30" s="614"/>
      <c r="X30" s="588"/>
    </row>
    <row r="31" spans="1:24" s="589" customFormat="1" x14ac:dyDescent="0.25">
      <c r="A31" s="608"/>
      <c r="B31" s="605" t="s">
        <v>133</v>
      </c>
      <c r="C31" s="615"/>
      <c r="D31" s="616">
        <v>1000000</v>
      </c>
      <c r="E31" s="612"/>
      <c r="F31" s="613">
        <v>209500</v>
      </c>
      <c r="G31" s="613"/>
      <c r="H31" s="617">
        <v>110000</v>
      </c>
      <c r="I31" s="617"/>
      <c r="J31" s="616">
        <v>150000</v>
      </c>
      <c r="K31" s="613"/>
      <c r="L31" s="613">
        <v>17000</v>
      </c>
      <c r="M31" s="613"/>
      <c r="N31" s="617">
        <v>85500</v>
      </c>
      <c r="O31" s="613"/>
      <c r="P31" s="617">
        <v>110500</v>
      </c>
      <c r="Q31" s="613"/>
      <c r="R31" s="617"/>
      <c r="S31" s="618"/>
      <c r="T31" s="618"/>
      <c r="U31" s="615"/>
      <c r="V31" s="618"/>
      <c r="W31" s="614"/>
      <c r="X31" s="588"/>
    </row>
    <row r="32" spans="1:24" s="589" customFormat="1" x14ac:dyDescent="0.25">
      <c r="A32" s="604"/>
      <c r="B32" s="605" t="s">
        <v>132</v>
      </c>
      <c r="C32" s="612"/>
      <c r="D32" s="616">
        <f>D31*D38</f>
        <v>505907.69999999995</v>
      </c>
      <c r="E32" s="612"/>
      <c r="F32" s="613">
        <f>F31*F38</f>
        <v>105988.14499999999</v>
      </c>
      <c r="G32" s="613"/>
      <c r="H32" s="617">
        <f>H31*H38</f>
        <v>55651.200000000004</v>
      </c>
      <c r="I32" s="617"/>
      <c r="J32" s="616">
        <f>J31*J38</f>
        <v>75886.154999999999</v>
      </c>
      <c r="K32" s="613"/>
      <c r="L32" s="613">
        <f>L31*L38</f>
        <v>17000</v>
      </c>
      <c r="M32" s="613"/>
      <c r="N32" s="617">
        <f>N31*N38</f>
        <v>85500</v>
      </c>
      <c r="O32" s="613"/>
      <c r="P32" s="617">
        <f>P31*P38</f>
        <v>110500</v>
      </c>
      <c r="Q32" s="613"/>
      <c r="R32" s="617"/>
      <c r="S32" s="613"/>
      <c r="T32" s="613"/>
      <c r="U32" s="612"/>
      <c r="V32" s="613"/>
      <c r="W32" s="614"/>
      <c r="X32" s="588"/>
    </row>
    <row r="33" spans="1:27" s="589" customFormat="1" x14ac:dyDescent="0.25">
      <c r="A33" s="604"/>
      <c r="B33" s="610" t="s">
        <v>134</v>
      </c>
      <c r="C33" s="612"/>
      <c r="D33" s="619">
        <f>D37*D31</f>
        <v>493232.2</v>
      </c>
      <c r="E33" s="615"/>
      <c r="F33" s="618">
        <f>F37*F31</f>
        <v>103332.64870000001</v>
      </c>
      <c r="G33" s="618"/>
      <c r="H33" s="620">
        <f>H31*H37</f>
        <v>54256.928</v>
      </c>
      <c r="I33" s="620"/>
      <c r="J33" s="619">
        <f>J37*J31</f>
        <v>73984.83</v>
      </c>
      <c r="K33" s="618"/>
      <c r="L33" s="618">
        <f>L31*L37</f>
        <v>17000</v>
      </c>
      <c r="M33" s="618"/>
      <c r="N33" s="620">
        <f>N31*N37</f>
        <v>85500</v>
      </c>
      <c r="O33" s="618"/>
      <c r="P33" s="620">
        <f>P31*P37</f>
        <v>110500</v>
      </c>
      <c r="Q33" s="618"/>
      <c r="R33" s="620"/>
      <c r="S33" s="613"/>
      <c r="T33" s="613"/>
      <c r="U33" s="612"/>
      <c r="V33" s="613"/>
      <c r="W33" s="614"/>
      <c r="X33" s="588"/>
    </row>
    <row r="34" spans="1:27" s="589" customFormat="1" x14ac:dyDescent="0.25">
      <c r="A34" s="608"/>
      <c r="B34" s="605" t="s">
        <v>286</v>
      </c>
      <c r="C34" s="615"/>
      <c r="D34" s="613">
        <v>492951</v>
      </c>
      <c r="E34" s="612"/>
      <c r="F34" s="613">
        <v>209500</v>
      </c>
      <c r="G34" s="613"/>
      <c r="H34" s="613">
        <v>74677</v>
      </c>
      <c r="I34" s="613"/>
      <c r="J34" s="613">
        <v>73943</v>
      </c>
      <c r="K34" s="613"/>
      <c r="L34" s="613">
        <v>17000</v>
      </c>
      <c r="M34" s="613"/>
      <c r="N34" s="613">
        <v>58045</v>
      </c>
      <c r="O34" s="613"/>
      <c r="P34" s="613">
        <v>75017</v>
      </c>
      <c r="Q34" s="613"/>
      <c r="R34" s="613"/>
      <c r="S34" s="618"/>
      <c r="T34" s="618"/>
      <c r="U34" s="615"/>
      <c r="V34" s="613">
        <f>SUM(C34:R34)</f>
        <v>1001133</v>
      </c>
      <c r="W34" s="614"/>
      <c r="X34" s="588"/>
    </row>
    <row r="35" spans="1:27" s="589" customFormat="1" x14ac:dyDescent="0.25">
      <c r="A35" s="608"/>
      <c r="B35" s="605" t="s">
        <v>287</v>
      </c>
      <c r="C35" s="615"/>
      <c r="D35" s="613">
        <f>D34*D38</f>
        <v>249387.70662269997</v>
      </c>
      <c r="E35" s="612"/>
      <c r="F35" s="613">
        <f>F34*F38</f>
        <v>105988.14499999999</v>
      </c>
      <c r="G35" s="613"/>
      <c r="H35" s="613">
        <f>H34*H38</f>
        <v>37780.58784</v>
      </c>
      <c r="I35" s="613"/>
      <c r="J35" s="613">
        <f>J34*J38</f>
        <v>37408.333061099998</v>
      </c>
      <c r="K35" s="613"/>
      <c r="L35" s="613">
        <f>L34*L38</f>
        <v>17000</v>
      </c>
      <c r="M35" s="613"/>
      <c r="N35" s="613">
        <f>N34*N38</f>
        <v>58045</v>
      </c>
      <c r="O35" s="613"/>
      <c r="P35" s="613">
        <f>P34*P38</f>
        <v>75017</v>
      </c>
      <c r="Q35" s="613"/>
      <c r="R35" s="613"/>
      <c r="S35" s="613"/>
      <c r="T35" s="613"/>
      <c r="U35" s="612"/>
      <c r="V35" s="613">
        <f>SUM(C35:R35)</f>
        <v>580626.77252379991</v>
      </c>
      <c r="W35" s="614"/>
      <c r="X35" s="588"/>
    </row>
    <row r="36" spans="1:27" s="589" customFormat="1" x14ac:dyDescent="0.25">
      <c r="A36" s="608"/>
      <c r="B36" s="610" t="s">
        <v>288</v>
      </c>
      <c r="C36" s="615"/>
      <c r="D36" s="618">
        <f>D34*D37</f>
        <v>243139.30622220002</v>
      </c>
      <c r="E36" s="615"/>
      <c r="F36" s="618">
        <f>F34*F37</f>
        <v>103332.64870000001</v>
      </c>
      <c r="G36" s="618"/>
      <c r="H36" s="618">
        <f>H34*H37</f>
        <v>36834.041929599996</v>
      </c>
      <c r="I36" s="618"/>
      <c r="J36" s="618">
        <f>J34*J37</f>
        <v>36471.068564599998</v>
      </c>
      <c r="K36" s="618"/>
      <c r="L36" s="618">
        <f>L34*L37</f>
        <v>17000</v>
      </c>
      <c r="M36" s="618"/>
      <c r="N36" s="618">
        <f>N34*N37</f>
        <v>58045</v>
      </c>
      <c r="O36" s="618"/>
      <c r="P36" s="618">
        <f>P34*P37</f>
        <v>75017</v>
      </c>
      <c r="Q36" s="618"/>
      <c r="R36" s="618"/>
      <c r="S36" s="621"/>
      <c r="T36" s="621"/>
      <c r="U36" s="612"/>
      <c r="V36" s="618">
        <f>SUM(C36:R36)</f>
        <v>569839.06541640009</v>
      </c>
      <c r="W36" s="614"/>
      <c r="X36" s="588"/>
    </row>
    <row r="37" spans="1:27" s="629" customFormat="1" x14ac:dyDescent="0.25">
      <c r="A37" s="622"/>
      <c r="B37" s="623" t="s">
        <v>130</v>
      </c>
      <c r="C37" s="624"/>
      <c r="D37" s="625">
        <v>0.49323220000000001</v>
      </c>
      <c r="E37" s="625"/>
      <c r="F37" s="625">
        <v>0.49323460000000002</v>
      </c>
      <c r="G37" s="625"/>
      <c r="H37" s="625">
        <v>0.49324479999999998</v>
      </c>
      <c r="I37" s="625"/>
      <c r="J37" s="625">
        <v>0.49323220000000001</v>
      </c>
      <c r="K37" s="625"/>
      <c r="L37" s="625">
        <v>1</v>
      </c>
      <c r="M37" s="625"/>
      <c r="N37" s="625">
        <v>1</v>
      </c>
      <c r="O37" s="625"/>
      <c r="P37" s="625">
        <v>1</v>
      </c>
      <c r="Q37" s="625"/>
      <c r="R37" s="625"/>
      <c r="S37" s="626"/>
      <c r="T37" s="626"/>
      <c r="U37" s="624"/>
      <c r="V37" s="624"/>
      <c r="W37" s="627"/>
      <c r="X37" s="628"/>
    </row>
    <row r="38" spans="1:27" s="629" customFormat="1" x14ac:dyDescent="0.25">
      <c r="A38" s="622"/>
      <c r="B38" s="623" t="s">
        <v>131</v>
      </c>
      <c r="C38" s="624"/>
      <c r="D38" s="625">
        <v>0.50590769999999996</v>
      </c>
      <c r="E38" s="625"/>
      <c r="F38" s="625">
        <v>0.50590999999999997</v>
      </c>
      <c r="G38" s="625"/>
      <c r="H38" s="625">
        <v>0.50592000000000004</v>
      </c>
      <c r="I38" s="625"/>
      <c r="J38" s="625">
        <v>0.50590769999999996</v>
      </c>
      <c r="K38" s="625"/>
      <c r="L38" s="625">
        <v>1</v>
      </c>
      <c r="M38" s="625"/>
      <c r="N38" s="625">
        <v>1</v>
      </c>
      <c r="O38" s="625"/>
      <c r="P38" s="625">
        <v>1</v>
      </c>
      <c r="Q38" s="625"/>
      <c r="R38" s="625"/>
      <c r="S38" s="630"/>
      <c r="T38" s="631"/>
      <c r="U38" s="624"/>
      <c r="V38" s="630"/>
      <c r="W38" s="627"/>
      <c r="X38" s="628"/>
    </row>
    <row r="39" spans="1:27" s="629" customFormat="1" x14ac:dyDescent="0.25">
      <c r="A39" s="622"/>
      <c r="B39" s="624" t="s">
        <v>11</v>
      </c>
      <c r="C39" s="624"/>
      <c r="D39" s="626" t="s">
        <v>304</v>
      </c>
      <c r="E39" s="624"/>
      <c r="F39" s="626" t="s">
        <v>256</v>
      </c>
      <c r="G39" s="626"/>
      <c r="H39" s="626" t="s">
        <v>257</v>
      </c>
      <c r="I39" s="626"/>
      <c r="J39" s="626" t="s">
        <v>258</v>
      </c>
      <c r="K39" s="626"/>
      <c r="L39" s="626" t="s">
        <v>259</v>
      </c>
      <c r="M39" s="626"/>
      <c r="N39" s="626" t="s">
        <v>259</v>
      </c>
      <c r="O39" s="626"/>
      <c r="P39" s="626" t="s">
        <v>260</v>
      </c>
      <c r="Q39" s="626"/>
      <c r="R39" s="626"/>
      <c r="S39" s="630"/>
      <c r="T39" s="631"/>
      <c r="U39" s="624"/>
      <c r="V39" s="624"/>
      <c r="W39" s="627"/>
      <c r="X39" s="628"/>
    </row>
    <row r="40" spans="1:27" s="589" customFormat="1" x14ac:dyDescent="0.25">
      <c r="A40" s="604"/>
      <c r="B40" s="605" t="s">
        <v>12</v>
      </c>
      <c r="C40" s="605"/>
      <c r="D40" s="632">
        <v>2.6196299999999999E-2</v>
      </c>
      <c r="E40" s="605"/>
      <c r="F40" s="632">
        <v>1.10463E-2</v>
      </c>
      <c r="G40" s="633"/>
      <c r="H40" s="632">
        <v>0</v>
      </c>
      <c r="I40" s="632"/>
      <c r="J40" s="632">
        <v>2.8308799999999999E-2</v>
      </c>
      <c r="K40" s="633"/>
      <c r="L40" s="632">
        <v>1.3846300000000001E-2</v>
      </c>
      <c r="M40" s="633"/>
      <c r="N40" s="632">
        <v>2.3E-3</v>
      </c>
      <c r="O40" s="633"/>
      <c r="P40" s="632">
        <v>7.9000000000000008E-3</v>
      </c>
      <c r="Q40" s="633"/>
      <c r="R40" s="632"/>
      <c r="S40" s="633"/>
      <c r="T40" s="632"/>
      <c r="U40" s="605"/>
      <c r="V40" s="611"/>
      <c r="W40" s="607"/>
      <c r="X40" s="588"/>
      <c r="AA40" s="589" t="s">
        <v>193</v>
      </c>
    </row>
    <row r="41" spans="1:27" s="589" customFormat="1" x14ac:dyDescent="0.25">
      <c r="A41" s="604"/>
      <c r="B41" s="605" t="s">
        <v>13</v>
      </c>
      <c r="C41" s="605"/>
      <c r="D41" s="632">
        <v>2.6687499999999999E-2</v>
      </c>
      <c r="E41" s="605"/>
      <c r="F41" s="632">
        <v>1.16638E-2</v>
      </c>
      <c r="G41" s="633"/>
      <c r="H41" s="632">
        <v>0</v>
      </c>
      <c r="I41" s="632"/>
      <c r="J41" s="632">
        <v>3.0081900000000002E-2</v>
      </c>
      <c r="K41" s="633"/>
      <c r="L41" s="632">
        <v>1.4463800000000001E-2</v>
      </c>
      <c r="M41" s="633"/>
      <c r="N41" s="632">
        <v>2.2899999999999999E-3</v>
      </c>
      <c r="O41" s="633"/>
      <c r="P41" s="632">
        <v>7.8899999999999994E-3</v>
      </c>
      <c r="Q41" s="633"/>
      <c r="R41" s="632"/>
      <c r="S41" s="633"/>
      <c r="T41" s="632"/>
      <c r="U41" s="605"/>
      <c r="V41" s="633" t="s">
        <v>193</v>
      </c>
      <c r="W41" s="607"/>
      <c r="X41" s="588"/>
    </row>
    <row r="42" spans="1:27" s="589" customFormat="1" x14ac:dyDescent="0.25">
      <c r="A42" s="604"/>
      <c r="B42" s="605" t="s">
        <v>289</v>
      </c>
      <c r="C42" s="605"/>
      <c r="D42" s="611" t="s">
        <v>311</v>
      </c>
      <c r="E42" s="605"/>
      <c r="F42" s="611" t="s">
        <v>256</v>
      </c>
      <c r="G42" s="611"/>
      <c r="H42" s="611" t="s">
        <v>261</v>
      </c>
      <c r="I42" s="611"/>
      <c r="J42" s="611" t="s">
        <v>261</v>
      </c>
      <c r="K42" s="611"/>
      <c r="L42" s="611" t="s">
        <v>259</v>
      </c>
      <c r="M42" s="611"/>
      <c r="N42" s="611" t="s">
        <v>263</v>
      </c>
      <c r="O42" s="611"/>
      <c r="P42" s="611" t="s">
        <v>264</v>
      </c>
      <c r="Q42" s="611"/>
      <c r="R42" s="611"/>
      <c r="S42" s="633"/>
      <c r="T42" s="632"/>
      <c r="U42" s="605"/>
      <c r="V42" s="605"/>
      <c r="W42" s="607"/>
      <c r="X42" s="588"/>
    </row>
    <row r="43" spans="1:27" s="589" customFormat="1" x14ac:dyDescent="0.25">
      <c r="A43" s="604"/>
      <c r="B43" s="605" t="s">
        <v>290</v>
      </c>
      <c r="C43" s="634"/>
      <c r="D43" s="632">
        <v>1.04432E-2</v>
      </c>
      <c r="E43" s="632"/>
      <c r="F43" s="632">
        <f>+F40</f>
        <v>1.10463E-2</v>
      </c>
      <c r="G43" s="632"/>
      <c r="H43" s="632">
        <v>1.1196299999999999E-2</v>
      </c>
      <c r="I43" s="632"/>
      <c r="J43" s="632">
        <v>1.12263E-2</v>
      </c>
      <c r="K43" s="632"/>
      <c r="L43" s="632">
        <f>+L40</f>
        <v>1.3846300000000001E-2</v>
      </c>
      <c r="M43" s="632"/>
      <c r="N43" s="632">
        <v>1.4580299999999999E-2</v>
      </c>
      <c r="O43" s="632"/>
      <c r="P43" s="632">
        <v>2.07403E-2</v>
      </c>
      <c r="Q43" s="633"/>
      <c r="R43" s="632"/>
      <c r="S43" s="611"/>
      <c r="T43" s="611"/>
      <c r="U43" s="605"/>
      <c r="V43" s="633">
        <f>SUMPRODUCT(D43:R43,D35:R35)/V35</f>
        <v>1.2496354889138509E-2</v>
      </c>
      <c r="W43" s="607"/>
      <c r="X43" s="588"/>
    </row>
    <row r="44" spans="1:27" s="589" customFormat="1" x14ac:dyDescent="0.25">
      <c r="A44" s="604"/>
      <c r="B44" s="605" t="s">
        <v>291</v>
      </c>
      <c r="C44" s="634"/>
      <c r="D44" s="632">
        <v>1.10607E-2</v>
      </c>
      <c r="E44" s="632"/>
      <c r="F44" s="632">
        <f>+F41</f>
        <v>1.16638E-2</v>
      </c>
      <c r="G44" s="632"/>
      <c r="H44" s="632">
        <v>1.1813799999999999E-2</v>
      </c>
      <c r="I44" s="632"/>
      <c r="J44" s="632">
        <v>1.18438E-2</v>
      </c>
      <c r="K44" s="632"/>
      <c r="L44" s="632">
        <f>+L41</f>
        <v>1.4463800000000001E-2</v>
      </c>
      <c r="M44" s="632"/>
      <c r="N44" s="632">
        <v>1.5197799999999999E-2</v>
      </c>
      <c r="O44" s="632"/>
      <c r="P44" s="632">
        <v>2.13578E-2</v>
      </c>
      <c r="Q44" s="633"/>
      <c r="R44" s="632"/>
      <c r="S44" s="611"/>
      <c r="T44" s="611"/>
      <c r="U44" s="605"/>
      <c r="V44" s="605"/>
      <c r="W44" s="607"/>
      <c r="X44" s="588"/>
    </row>
    <row r="45" spans="1:27" s="589" customFormat="1" x14ac:dyDescent="0.25">
      <c r="A45" s="604"/>
      <c r="B45" s="605" t="s">
        <v>14</v>
      </c>
      <c r="C45" s="605"/>
      <c r="D45" s="634">
        <v>40709</v>
      </c>
      <c r="E45" s="634"/>
      <c r="F45" s="634">
        <v>40709</v>
      </c>
      <c r="G45" s="634"/>
      <c r="H45" s="634">
        <v>40709</v>
      </c>
      <c r="I45" s="634"/>
      <c r="J45" s="634">
        <v>40709</v>
      </c>
      <c r="K45" s="634"/>
      <c r="L45" s="634">
        <v>40709</v>
      </c>
      <c r="M45" s="634"/>
      <c r="N45" s="634">
        <v>40709</v>
      </c>
      <c r="O45" s="634"/>
      <c r="P45" s="634">
        <v>40709</v>
      </c>
      <c r="Q45" s="634"/>
      <c r="R45" s="634"/>
      <c r="S45" s="611"/>
      <c r="T45" s="611"/>
      <c r="U45" s="605"/>
      <c r="V45" s="605"/>
      <c r="W45" s="607"/>
      <c r="X45" s="588"/>
    </row>
    <row r="46" spans="1:27" s="589" customFormat="1" x14ac:dyDescent="0.25">
      <c r="A46" s="604"/>
      <c r="B46" s="605" t="s">
        <v>15</v>
      </c>
      <c r="C46" s="605"/>
      <c r="D46" s="634">
        <v>41075</v>
      </c>
      <c r="E46" s="634"/>
      <c r="F46" s="634">
        <v>41075</v>
      </c>
      <c r="G46" s="634"/>
      <c r="H46" s="634">
        <v>41075</v>
      </c>
      <c r="I46" s="634"/>
      <c r="J46" s="634">
        <v>41075</v>
      </c>
      <c r="K46" s="611"/>
      <c r="L46" s="634">
        <v>41075</v>
      </c>
      <c r="M46" s="611"/>
      <c r="N46" s="634">
        <v>41075</v>
      </c>
      <c r="O46" s="611"/>
      <c r="P46" s="634">
        <v>41075</v>
      </c>
      <c r="Q46" s="611"/>
      <c r="R46" s="634"/>
      <c r="S46" s="611"/>
      <c r="T46" s="611"/>
      <c r="U46" s="605"/>
      <c r="V46" s="605"/>
      <c r="W46" s="607"/>
      <c r="X46" s="588"/>
    </row>
    <row r="47" spans="1:27" s="589" customFormat="1" x14ac:dyDescent="0.25">
      <c r="A47" s="604"/>
      <c r="B47" s="605" t="s">
        <v>119</v>
      </c>
      <c r="C47" s="605"/>
      <c r="D47" s="611" t="s">
        <v>304</v>
      </c>
      <c r="E47" s="605"/>
      <c r="F47" s="611" t="s">
        <v>256</v>
      </c>
      <c r="G47" s="611"/>
      <c r="H47" s="611" t="s">
        <v>257</v>
      </c>
      <c r="I47" s="611"/>
      <c r="J47" s="611" t="s">
        <v>258</v>
      </c>
      <c r="K47" s="611"/>
      <c r="L47" s="611" t="s">
        <v>259</v>
      </c>
      <c r="M47" s="611"/>
      <c r="N47" s="611" t="s">
        <v>259</v>
      </c>
      <c r="O47" s="611"/>
      <c r="P47" s="611" t="s">
        <v>260</v>
      </c>
      <c r="Q47" s="611"/>
      <c r="R47" s="611"/>
      <c r="S47" s="635"/>
      <c r="T47" s="635"/>
      <c r="U47" s="635"/>
      <c r="V47" s="635"/>
      <c r="W47" s="607"/>
      <c r="X47" s="588"/>
    </row>
    <row r="48" spans="1:27" s="589" customFormat="1" x14ac:dyDescent="0.25">
      <c r="A48" s="604"/>
      <c r="B48" s="605" t="s">
        <v>292</v>
      </c>
      <c r="C48" s="605"/>
      <c r="D48" s="611" t="s">
        <v>311</v>
      </c>
      <c r="E48" s="605"/>
      <c r="F48" s="611" t="s">
        <v>256</v>
      </c>
      <c r="G48" s="611"/>
      <c r="H48" s="611" t="s">
        <v>261</v>
      </c>
      <c r="I48" s="611"/>
      <c r="J48" s="611" t="s">
        <v>261</v>
      </c>
      <c r="K48" s="611"/>
      <c r="L48" s="611" t="s">
        <v>259</v>
      </c>
      <c r="M48" s="611"/>
      <c r="N48" s="611" t="s">
        <v>263</v>
      </c>
      <c r="O48" s="611"/>
      <c r="P48" s="611" t="s">
        <v>264</v>
      </c>
      <c r="Q48" s="611"/>
      <c r="R48" s="611"/>
      <c r="S48" s="605"/>
      <c r="T48" s="605"/>
      <c r="U48" s="605"/>
      <c r="V48" s="633"/>
      <c r="W48" s="607"/>
      <c r="X48" s="588"/>
    </row>
    <row r="49" spans="1:25" s="589" customFormat="1" x14ac:dyDescent="0.25">
      <c r="A49" s="604"/>
      <c r="B49" s="605"/>
      <c r="C49" s="605"/>
      <c r="D49" s="611"/>
      <c r="E49" s="605"/>
      <c r="F49" s="611"/>
      <c r="G49" s="611"/>
      <c r="H49" s="611"/>
      <c r="I49" s="611"/>
      <c r="J49" s="611"/>
      <c r="K49" s="611"/>
      <c r="L49" s="611"/>
      <c r="M49" s="611"/>
      <c r="N49" s="611"/>
      <c r="O49" s="611"/>
      <c r="P49" s="611"/>
      <c r="Q49" s="611"/>
      <c r="R49" s="611"/>
      <c r="S49" s="605"/>
      <c r="T49" s="605"/>
      <c r="U49" s="605"/>
      <c r="V49" s="633" t="s">
        <v>193</v>
      </c>
      <c r="W49" s="607"/>
      <c r="X49" s="588"/>
    </row>
    <row r="50" spans="1:25" s="589" customFormat="1" x14ac:dyDescent="0.25">
      <c r="A50" s="604"/>
      <c r="B50" s="605" t="s">
        <v>169</v>
      </c>
      <c r="C50" s="605"/>
      <c r="D50" s="611"/>
      <c r="E50" s="605"/>
      <c r="F50" s="611"/>
      <c r="G50" s="611"/>
      <c r="H50" s="611"/>
      <c r="I50" s="611"/>
      <c r="J50" s="611"/>
      <c r="K50" s="611"/>
      <c r="L50" s="611"/>
      <c r="M50" s="611"/>
      <c r="N50" s="611"/>
      <c r="O50" s="611"/>
      <c r="P50" s="611"/>
      <c r="Q50" s="611"/>
      <c r="R50" s="611"/>
      <c r="S50" s="605"/>
      <c r="T50" s="605"/>
      <c r="U50" s="605"/>
      <c r="V50" s="633">
        <f>SUM(L34:R34)/SUM(D34:J34)</f>
        <v>0.17632136449250416</v>
      </c>
      <c r="W50" s="607"/>
      <c r="X50" s="588"/>
    </row>
    <row r="51" spans="1:25" s="589" customFormat="1" x14ac:dyDescent="0.25">
      <c r="A51" s="604"/>
      <c r="B51" s="605" t="s">
        <v>170</v>
      </c>
      <c r="C51" s="605"/>
      <c r="D51" s="605"/>
      <c r="E51" s="605"/>
      <c r="F51" s="636"/>
      <c r="G51" s="605"/>
      <c r="H51" s="605"/>
      <c r="I51" s="605"/>
      <c r="J51" s="605"/>
      <c r="K51" s="605"/>
      <c r="L51" s="605"/>
      <c r="M51" s="605"/>
      <c r="N51" s="605"/>
      <c r="O51" s="605"/>
      <c r="P51" s="605"/>
      <c r="Q51" s="605"/>
      <c r="R51" s="605"/>
      <c r="S51" s="605"/>
      <c r="T51" s="605"/>
      <c r="U51" s="605"/>
      <c r="V51" s="633">
        <f>SUM(L36:R36)/SUM(D36:J36)</f>
        <v>0.35748022548860603</v>
      </c>
      <c r="W51" s="607"/>
      <c r="X51" s="588"/>
    </row>
    <row r="52" spans="1:25" s="589" customFormat="1" x14ac:dyDescent="0.25">
      <c r="A52" s="604"/>
      <c r="B52" s="605" t="s">
        <v>171</v>
      </c>
      <c r="C52" s="605"/>
      <c r="D52" s="605"/>
      <c r="E52" s="605"/>
      <c r="F52" s="605"/>
      <c r="G52" s="605"/>
      <c r="H52" s="605"/>
      <c r="I52" s="605"/>
      <c r="J52" s="605"/>
      <c r="K52" s="605"/>
      <c r="L52" s="605"/>
      <c r="M52" s="605"/>
      <c r="N52" s="605"/>
      <c r="O52" s="605"/>
      <c r="P52" s="605"/>
      <c r="Q52" s="605"/>
      <c r="R52" s="605"/>
      <c r="S52" s="605"/>
      <c r="T52" s="611"/>
      <c r="U52" s="611"/>
      <c r="V52" s="613" t="s">
        <v>268</v>
      </c>
      <c r="W52" s="607"/>
      <c r="X52" s="588"/>
    </row>
    <row r="53" spans="1:25" s="589" customFormat="1" x14ac:dyDescent="0.25">
      <c r="A53" s="604"/>
      <c r="B53" s="605"/>
      <c r="C53" s="605"/>
      <c r="D53" s="605"/>
      <c r="E53" s="605"/>
      <c r="F53" s="605"/>
      <c r="G53" s="605"/>
      <c r="H53" s="605"/>
      <c r="I53" s="605"/>
      <c r="J53" s="605"/>
      <c r="K53" s="605"/>
      <c r="L53" s="605"/>
      <c r="M53" s="605"/>
      <c r="N53" s="605"/>
      <c r="O53" s="605"/>
      <c r="P53" s="605"/>
      <c r="Q53" s="605"/>
      <c r="R53" s="605"/>
      <c r="S53" s="605"/>
      <c r="T53" s="605"/>
      <c r="U53" s="605"/>
      <c r="V53" s="637"/>
      <c r="W53" s="607"/>
      <c r="X53" s="588"/>
    </row>
    <row r="54" spans="1:25" s="589" customFormat="1" x14ac:dyDescent="0.25">
      <c r="A54" s="604"/>
      <c r="B54" s="605" t="s">
        <v>202</v>
      </c>
      <c r="C54" s="605"/>
      <c r="D54" s="605"/>
      <c r="E54" s="605"/>
      <c r="F54" s="605"/>
      <c r="G54" s="605"/>
      <c r="H54" s="605"/>
      <c r="I54" s="605"/>
      <c r="J54" s="605"/>
      <c r="K54" s="605"/>
      <c r="L54" s="605"/>
      <c r="M54" s="605"/>
      <c r="N54" s="605"/>
      <c r="O54" s="605"/>
      <c r="P54" s="605"/>
      <c r="Q54" s="605"/>
      <c r="R54" s="605"/>
      <c r="S54" s="605"/>
      <c r="T54" s="605"/>
      <c r="U54" s="605"/>
      <c r="V54" s="621" t="s">
        <v>203</v>
      </c>
      <c r="W54" s="607"/>
      <c r="X54" s="588"/>
    </row>
    <row r="55" spans="1:25" s="589" customFormat="1" x14ac:dyDescent="0.25">
      <c r="A55" s="604"/>
      <c r="B55" s="605" t="s">
        <v>270</v>
      </c>
      <c r="C55" s="605"/>
      <c r="D55" s="605"/>
      <c r="E55" s="605"/>
      <c r="F55" s="605"/>
      <c r="G55" s="605"/>
      <c r="H55" s="605"/>
      <c r="I55" s="605"/>
      <c r="J55" s="605"/>
      <c r="K55" s="605"/>
      <c r="L55" s="605"/>
      <c r="M55" s="605"/>
      <c r="N55" s="605"/>
      <c r="O55" s="605"/>
      <c r="P55" s="605"/>
      <c r="Q55" s="605"/>
      <c r="R55" s="605"/>
      <c r="S55" s="605"/>
      <c r="T55" s="611"/>
      <c r="U55" s="611"/>
      <c r="V55" s="638" t="s">
        <v>111</v>
      </c>
      <c r="W55" s="607"/>
      <c r="X55" s="588"/>
    </row>
    <row r="56" spans="1:25" s="589" customFormat="1" x14ac:dyDescent="0.25">
      <c r="A56" s="604"/>
      <c r="B56" s="610" t="s">
        <v>201</v>
      </c>
      <c r="C56" s="610"/>
      <c r="D56" s="610"/>
      <c r="E56" s="610"/>
      <c r="F56" s="610"/>
      <c r="G56" s="610"/>
      <c r="H56" s="610"/>
      <c r="I56" s="610"/>
      <c r="J56" s="610"/>
      <c r="K56" s="610"/>
      <c r="L56" s="610"/>
      <c r="M56" s="610"/>
      <c r="N56" s="610"/>
      <c r="O56" s="610"/>
      <c r="P56" s="610"/>
      <c r="Q56" s="610"/>
      <c r="R56" s="610"/>
      <c r="S56" s="610"/>
      <c r="T56" s="639"/>
      <c r="U56" s="639"/>
      <c r="V56" s="640">
        <v>43633</v>
      </c>
      <c r="W56" s="607"/>
      <c r="X56" s="588"/>
    </row>
    <row r="57" spans="1:25" s="589" customFormat="1" x14ac:dyDescent="0.25">
      <c r="A57" s="604"/>
      <c r="B57" s="605" t="s">
        <v>121</v>
      </c>
      <c r="C57" s="605"/>
      <c r="D57" s="605"/>
      <c r="E57" s="605"/>
      <c r="F57" s="605"/>
      <c r="G57" s="605"/>
      <c r="H57" s="641"/>
      <c r="I57" s="641"/>
      <c r="J57" s="641"/>
      <c r="K57" s="641"/>
      <c r="L57" s="641"/>
      <c r="M57" s="641"/>
      <c r="N57" s="641"/>
      <c r="O57" s="641"/>
      <c r="P57" s="641"/>
      <c r="Q57" s="641"/>
      <c r="R57" s="605">
        <f>+V57-T57+1</f>
        <v>88</v>
      </c>
      <c r="S57" s="641"/>
      <c r="T57" s="642">
        <v>43451</v>
      </c>
      <c r="U57" s="643"/>
      <c r="V57" s="642">
        <v>43538</v>
      </c>
      <c r="W57" s="607"/>
      <c r="X57" s="588"/>
    </row>
    <row r="58" spans="1:25" s="589" customFormat="1" x14ac:dyDescent="0.25">
      <c r="A58" s="604"/>
      <c r="B58" s="605" t="s">
        <v>122</v>
      </c>
      <c r="C58" s="605"/>
      <c r="D58" s="605"/>
      <c r="E58" s="605"/>
      <c r="F58" s="605"/>
      <c r="G58" s="605"/>
      <c r="H58" s="605"/>
      <c r="I58" s="605"/>
      <c r="J58" s="605"/>
      <c r="K58" s="605"/>
      <c r="L58" s="605"/>
      <c r="M58" s="605"/>
      <c r="N58" s="605"/>
      <c r="O58" s="605"/>
      <c r="P58" s="605"/>
      <c r="Q58" s="605"/>
      <c r="R58" s="605">
        <f>+V58-T58+1</f>
        <v>94</v>
      </c>
      <c r="S58" s="605"/>
      <c r="T58" s="642">
        <v>43539</v>
      </c>
      <c r="U58" s="643"/>
      <c r="V58" s="642">
        <v>43632</v>
      </c>
      <c r="W58" s="607"/>
      <c r="X58" s="588"/>
    </row>
    <row r="59" spans="1:25" s="589" customFormat="1" x14ac:dyDescent="0.25">
      <c r="A59" s="604"/>
      <c r="B59" s="605" t="s">
        <v>223</v>
      </c>
      <c r="C59" s="605"/>
      <c r="D59" s="605"/>
      <c r="E59" s="605"/>
      <c r="F59" s="605"/>
      <c r="G59" s="605"/>
      <c r="H59" s="605"/>
      <c r="I59" s="605"/>
      <c r="J59" s="605"/>
      <c r="K59" s="605"/>
      <c r="L59" s="605"/>
      <c r="M59" s="605"/>
      <c r="N59" s="605"/>
      <c r="O59" s="605"/>
      <c r="P59" s="605"/>
      <c r="Q59" s="605"/>
      <c r="R59" s="605"/>
      <c r="S59" s="605"/>
      <c r="T59" s="642"/>
      <c r="U59" s="643"/>
      <c r="V59" s="642" t="s">
        <v>120</v>
      </c>
      <c r="W59" s="607"/>
      <c r="X59" s="588"/>
    </row>
    <row r="60" spans="1:25" s="589" customFormat="1" x14ac:dyDescent="0.25">
      <c r="A60" s="604"/>
      <c r="B60" s="605" t="s">
        <v>271</v>
      </c>
      <c r="C60" s="605"/>
      <c r="D60" s="605"/>
      <c r="E60" s="605"/>
      <c r="F60" s="605"/>
      <c r="G60" s="605"/>
      <c r="H60" s="605"/>
      <c r="I60" s="605"/>
      <c r="J60" s="605"/>
      <c r="K60" s="605"/>
      <c r="L60" s="605"/>
      <c r="M60" s="605"/>
      <c r="N60" s="605"/>
      <c r="O60" s="605"/>
      <c r="P60" s="605"/>
      <c r="Q60" s="605"/>
      <c r="R60" s="605"/>
      <c r="S60" s="605"/>
      <c r="T60" s="642"/>
      <c r="U60" s="643"/>
      <c r="V60" s="642" t="s">
        <v>154</v>
      </c>
      <c r="W60" s="607"/>
      <c r="X60" s="588"/>
      <c r="Y60" s="644"/>
    </row>
    <row r="61" spans="1:25" s="589" customFormat="1" x14ac:dyDescent="0.25">
      <c r="A61" s="604"/>
      <c r="B61" s="605" t="s">
        <v>16</v>
      </c>
      <c r="C61" s="605"/>
      <c r="D61" s="605"/>
      <c r="E61" s="605"/>
      <c r="F61" s="605"/>
      <c r="G61" s="605"/>
      <c r="H61" s="605"/>
      <c r="I61" s="605"/>
      <c r="J61" s="605"/>
      <c r="K61" s="605"/>
      <c r="L61" s="605"/>
      <c r="M61" s="605"/>
      <c r="N61" s="605"/>
      <c r="O61" s="605"/>
      <c r="P61" s="605"/>
      <c r="Q61" s="605"/>
      <c r="R61" s="605"/>
      <c r="S61" s="605"/>
      <c r="T61" s="642"/>
      <c r="U61" s="643"/>
      <c r="V61" s="642">
        <v>43619</v>
      </c>
      <c r="W61" s="607"/>
      <c r="X61" s="588"/>
    </row>
    <row r="62" spans="1:25" s="589" customFormat="1" x14ac:dyDescent="0.25">
      <c r="A62" s="585"/>
      <c r="B62" s="602"/>
      <c r="C62" s="602"/>
      <c r="D62" s="602"/>
      <c r="E62" s="602"/>
      <c r="F62" s="602"/>
      <c r="G62" s="602"/>
      <c r="H62" s="602"/>
      <c r="I62" s="602"/>
      <c r="J62" s="602"/>
      <c r="K62" s="602"/>
      <c r="L62" s="602"/>
      <c r="M62" s="602"/>
      <c r="N62" s="602"/>
      <c r="O62" s="602"/>
      <c r="P62" s="602"/>
      <c r="Q62" s="602"/>
      <c r="R62" s="602"/>
      <c r="S62" s="602"/>
      <c r="T62" s="645"/>
      <c r="U62" s="646"/>
      <c r="V62" s="645"/>
      <c r="W62" s="602"/>
      <c r="X62" s="588"/>
    </row>
    <row r="63" spans="1:25" s="589" customFormat="1" x14ac:dyDescent="0.25">
      <c r="A63" s="585"/>
      <c r="B63" s="586"/>
      <c r="C63" s="586"/>
      <c r="D63" s="586"/>
      <c r="E63" s="586"/>
      <c r="F63" s="586"/>
      <c r="G63" s="586"/>
      <c r="H63" s="586"/>
      <c r="I63" s="586"/>
      <c r="J63" s="586"/>
      <c r="K63" s="586"/>
      <c r="L63" s="586"/>
      <c r="M63" s="586"/>
      <c r="N63" s="586"/>
      <c r="O63" s="586"/>
      <c r="P63" s="586"/>
      <c r="Q63" s="586"/>
      <c r="R63" s="586"/>
      <c r="S63" s="586"/>
      <c r="T63" s="647"/>
      <c r="U63" s="648"/>
      <c r="V63" s="647"/>
      <c r="W63" s="586"/>
      <c r="X63" s="588"/>
    </row>
    <row r="64" spans="1:25" s="589" customFormat="1" ht="19.5" thickBot="1" x14ac:dyDescent="0.35">
      <c r="A64" s="649"/>
      <c r="B64" s="568" t="s">
        <v>348</v>
      </c>
      <c r="C64" s="650"/>
      <c r="D64" s="650"/>
      <c r="E64" s="650"/>
      <c r="F64" s="650"/>
      <c r="G64" s="650"/>
      <c r="H64" s="650"/>
      <c r="I64" s="650"/>
      <c r="J64" s="650"/>
      <c r="K64" s="650"/>
      <c r="L64" s="650"/>
      <c r="M64" s="650"/>
      <c r="N64" s="650"/>
      <c r="O64" s="650"/>
      <c r="P64" s="650"/>
      <c r="Q64" s="650"/>
      <c r="R64" s="650"/>
      <c r="S64" s="650"/>
      <c r="T64" s="650"/>
      <c r="U64" s="650"/>
      <c r="V64" s="651"/>
      <c r="W64" s="652"/>
      <c r="X64" s="588"/>
    </row>
    <row r="65" spans="1:24" x14ac:dyDescent="0.25">
      <c r="A65" s="597"/>
      <c r="B65" s="653" t="s">
        <v>17</v>
      </c>
      <c r="C65" s="654"/>
      <c r="D65" s="654"/>
      <c r="E65" s="654"/>
      <c r="F65" s="654"/>
      <c r="G65" s="654"/>
      <c r="H65" s="654"/>
      <c r="I65" s="654"/>
      <c r="J65" s="654"/>
      <c r="K65" s="654"/>
      <c r="L65" s="654"/>
      <c r="M65" s="654"/>
      <c r="N65" s="654"/>
      <c r="O65" s="654"/>
      <c r="P65" s="654"/>
      <c r="Q65" s="654"/>
      <c r="R65" s="654"/>
      <c r="S65" s="654"/>
      <c r="T65" s="654"/>
      <c r="U65" s="654"/>
      <c r="V65" s="655"/>
      <c r="W65" s="654"/>
      <c r="X65" s="572"/>
    </row>
    <row r="66" spans="1:24" x14ac:dyDescent="0.25">
      <c r="A66" s="574"/>
      <c r="B66" s="583"/>
      <c r="C66" s="576"/>
      <c r="D66" s="576"/>
      <c r="E66" s="576"/>
      <c r="F66" s="576"/>
      <c r="G66" s="576"/>
      <c r="H66" s="576"/>
      <c r="I66" s="576"/>
      <c r="J66" s="576"/>
      <c r="K66" s="576"/>
      <c r="L66" s="576"/>
      <c r="M66" s="576"/>
      <c r="N66" s="576"/>
      <c r="O66" s="576"/>
      <c r="P66" s="576"/>
      <c r="Q66" s="576"/>
      <c r="R66" s="576"/>
      <c r="S66" s="576"/>
      <c r="T66" s="576"/>
      <c r="U66" s="576"/>
      <c r="V66" s="656"/>
      <c r="W66" s="576"/>
      <c r="X66" s="572"/>
    </row>
    <row r="67" spans="1:24" s="629" customFormat="1" ht="47.25" x14ac:dyDescent="0.25">
      <c r="A67" s="657"/>
      <c r="B67" s="658" t="s">
        <v>18</v>
      </c>
      <c r="C67" s="659"/>
      <c r="D67" s="659"/>
      <c r="E67" s="659"/>
      <c r="F67" s="659"/>
      <c r="G67" s="659"/>
      <c r="H67" s="659"/>
      <c r="I67" s="659"/>
      <c r="J67" s="659"/>
      <c r="K67" s="659"/>
      <c r="L67" s="659" t="s">
        <v>94</v>
      </c>
      <c r="M67" s="659"/>
      <c r="N67" s="659" t="s">
        <v>96</v>
      </c>
      <c r="O67" s="659"/>
      <c r="P67" s="659" t="s">
        <v>98</v>
      </c>
      <c r="Q67" s="659"/>
      <c r="R67" s="659" t="s">
        <v>100</v>
      </c>
      <c r="S67" s="659"/>
      <c r="T67" s="659" t="s">
        <v>106</v>
      </c>
      <c r="U67" s="659"/>
      <c r="V67" s="660" t="s">
        <v>112</v>
      </c>
      <c r="W67" s="661"/>
      <c r="X67" s="628"/>
    </row>
    <row r="68" spans="1:24" s="589" customFormat="1" x14ac:dyDescent="0.25">
      <c r="A68" s="604"/>
      <c r="B68" s="605" t="s">
        <v>19</v>
      </c>
      <c r="C68" s="662"/>
      <c r="D68" s="662"/>
      <c r="E68" s="662"/>
      <c r="F68" s="662"/>
      <c r="G68" s="662"/>
      <c r="H68" s="662"/>
      <c r="I68" s="662"/>
      <c r="J68" s="662"/>
      <c r="K68" s="662"/>
      <c r="L68" s="662">
        <v>812446</v>
      </c>
      <c r="M68" s="662"/>
      <c r="N68" s="663">
        <v>580627</v>
      </c>
      <c r="O68" s="662"/>
      <c r="P68" s="662">
        <v>10788</v>
      </c>
      <c r="Q68" s="662"/>
      <c r="R68" s="662">
        <v>0</v>
      </c>
      <c r="S68" s="662"/>
      <c r="T68" s="662">
        <v>0</v>
      </c>
      <c r="U68" s="662"/>
      <c r="V68" s="663">
        <f>+N68-P68+R68-T68</f>
        <v>569839</v>
      </c>
      <c r="W68" s="607"/>
      <c r="X68" s="588"/>
    </row>
    <row r="69" spans="1:24" s="589" customFormat="1" x14ac:dyDescent="0.25">
      <c r="A69" s="604"/>
      <c r="B69" s="605" t="s">
        <v>20</v>
      </c>
      <c r="C69" s="662"/>
      <c r="D69" s="662"/>
      <c r="E69" s="662"/>
      <c r="F69" s="662"/>
      <c r="G69" s="662"/>
      <c r="H69" s="662"/>
      <c r="I69" s="662"/>
      <c r="J69" s="662"/>
      <c r="K69" s="662"/>
      <c r="L69" s="662">
        <v>0</v>
      </c>
      <c r="M69" s="662"/>
      <c r="N69" s="663">
        <v>0</v>
      </c>
      <c r="O69" s="662"/>
      <c r="P69" s="662">
        <v>0</v>
      </c>
      <c r="Q69" s="662"/>
      <c r="R69" s="662">
        <v>0</v>
      </c>
      <c r="S69" s="662"/>
      <c r="T69" s="662">
        <v>0</v>
      </c>
      <c r="U69" s="662"/>
      <c r="V69" s="663">
        <f>+L69-P69</f>
        <v>0</v>
      </c>
      <c r="W69" s="607"/>
      <c r="X69" s="588"/>
    </row>
    <row r="70" spans="1:24" s="589" customFormat="1" x14ac:dyDescent="0.25">
      <c r="A70" s="604"/>
      <c r="B70" s="605"/>
      <c r="C70" s="662"/>
      <c r="D70" s="662"/>
      <c r="E70" s="662"/>
      <c r="F70" s="662"/>
      <c r="G70" s="662"/>
      <c r="H70" s="662"/>
      <c r="I70" s="662"/>
      <c r="J70" s="662"/>
      <c r="K70" s="662"/>
      <c r="L70" s="662"/>
      <c r="M70" s="662"/>
      <c r="N70" s="663"/>
      <c r="O70" s="662"/>
      <c r="P70" s="662"/>
      <c r="Q70" s="662"/>
      <c r="R70" s="662"/>
      <c r="S70" s="662"/>
      <c r="T70" s="662"/>
      <c r="U70" s="662"/>
      <c r="V70" s="663"/>
      <c r="W70" s="607"/>
      <c r="X70" s="588"/>
    </row>
    <row r="71" spans="1:24" s="589" customFormat="1" x14ac:dyDescent="0.25">
      <c r="A71" s="604"/>
      <c r="B71" s="605" t="s">
        <v>21</v>
      </c>
      <c r="C71" s="662"/>
      <c r="D71" s="662"/>
      <c r="E71" s="662"/>
      <c r="F71" s="662"/>
      <c r="G71" s="662"/>
      <c r="H71" s="662"/>
      <c r="I71" s="662"/>
      <c r="J71" s="662"/>
      <c r="K71" s="662"/>
      <c r="L71" s="662">
        <f>SUM(L68:L70)</f>
        <v>812446</v>
      </c>
      <c r="M71" s="662"/>
      <c r="N71" s="662">
        <f>N68+N69</f>
        <v>580627</v>
      </c>
      <c r="O71" s="662"/>
      <c r="P71" s="662">
        <f>SUM(P68:P70)</f>
        <v>10788</v>
      </c>
      <c r="Q71" s="662"/>
      <c r="R71" s="662">
        <f>SUM(R68:R70)</f>
        <v>0</v>
      </c>
      <c r="S71" s="662"/>
      <c r="T71" s="662">
        <f>SUM(T68:T70)</f>
        <v>0</v>
      </c>
      <c r="U71" s="662"/>
      <c r="V71" s="662">
        <f>SUM(V68:V70)</f>
        <v>569839</v>
      </c>
      <c r="W71" s="607"/>
      <c r="X71" s="588"/>
    </row>
    <row r="72" spans="1:24" x14ac:dyDescent="0.25">
      <c r="A72" s="574"/>
      <c r="B72" s="664"/>
      <c r="C72" s="665"/>
      <c r="D72" s="665"/>
      <c r="E72" s="665"/>
      <c r="F72" s="665"/>
      <c r="G72" s="665"/>
      <c r="H72" s="665"/>
      <c r="I72" s="665"/>
      <c r="J72" s="665"/>
      <c r="K72" s="665"/>
      <c r="L72" s="665"/>
      <c r="M72" s="665"/>
      <c r="N72" s="665"/>
      <c r="O72" s="665"/>
      <c r="P72" s="665"/>
      <c r="Q72" s="665"/>
      <c r="R72" s="665"/>
      <c r="S72" s="665"/>
      <c r="T72" s="665"/>
      <c r="U72" s="665"/>
      <c r="V72" s="666"/>
      <c r="W72" s="664"/>
      <c r="X72" s="572"/>
    </row>
    <row r="73" spans="1:24" x14ac:dyDescent="0.25">
      <c r="A73" s="574"/>
      <c r="B73" s="578" t="s">
        <v>22</v>
      </c>
      <c r="C73" s="667"/>
      <c r="D73" s="667"/>
      <c r="E73" s="667"/>
      <c r="F73" s="667"/>
      <c r="G73" s="667"/>
      <c r="H73" s="667"/>
      <c r="I73" s="667"/>
      <c r="J73" s="667"/>
      <c r="K73" s="667"/>
      <c r="L73" s="667"/>
      <c r="M73" s="667"/>
      <c r="N73" s="667"/>
      <c r="O73" s="667"/>
      <c r="P73" s="667"/>
      <c r="Q73" s="667"/>
      <c r="R73" s="667"/>
      <c r="S73" s="667"/>
      <c r="T73" s="667"/>
      <c r="U73" s="667"/>
      <c r="V73" s="668"/>
      <c r="W73" s="576"/>
      <c r="X73" s="572"/>
    </row>
    <row r="74" spans="1:24" x14ac:dyDescent="0.25">
      <c r="A74" s="574"/>
      <c r="B74" s="576"/>
      <c r="C74" s="667"/>
      <c r="D74" s="667"/>
      <c r="E74" s="667"/>
      <c r="F74" s="667"/>
      <c r="G74" s="667"/>
      <c r="H74" s="667"/>
      <c r="I74" s="667"/>
      <c r="J74" s="667"/>
      <c r="K74" s="667"/>
      <c r="L74" s="667"/>
      <c r="M74" s="667"/>
      <c r="N74" s="667"/>
      <c r="O74" s="667"/>
      <c r="P74" s="667"/>
      <c r="Q74" s="667"/>
      <c r="R74" s="667"/>
      <c r="S74" s="667"/>
      <c r="T74" s="667"/>
      <c r="U74" s="667"/>
      <c r="V74" s="668"/>
      <c r="W74" s="576"/>
      <c r="X74" s="572"/>
    </row>
    <row r="75" spans="1:24" s="589" customFormat="1" x14ac:dyDescent="0.25">
      <c r="A75" s="604"/>
      <c r="B75" s="605" t="s">
        <v>19</v>
      </c>
      <c r="C75" s="662"/>
      <c r="D75" s="662"/>
      <c r="E75" s="662"/>
      <c r="F75" s="662"/>
      <c r="G75" s="662"/>
      <c r="H75" s="662"/>
      <c r="I75" s="662"/>
      <c r="J75" s="662"/>
      <c r="K75" s="662"/>
      <c r="L75" s="662"/>
      <c r="M75" s="662"/>
      <c r="N75" s="662"/>
      <c r="O75" s="662"/>
      <c r="P75" s="662"/>
      <c r="Q75" s="662"/>
      <c r="R75" s="662"/>
      <c r="S75" s="662"/>
      <c r="T75" s="662"/>
      <c r="U75" s="662"/>
      <c r="V75" s="662"/>
      <c r="W75" s="607"/>
      <c r="X75" s="588"/>
    </row>
    <row r="76" spans="1:24" s="589" customFormat="1" x14ac:dyDescent="0.25">
      <c r="A76" s="604"/>
      <c r="B76" s="605" t="s">
        <v>20</v>
      </c>
      <c r="C76" s="662"/>
      <c r="D76" s="662"/>
      <c r="E76" s="662"/>
      <c r="F76" s="662"/>
      <c r="G76" s="662"/>
      <c r="H76" s="662"/>
      <c r="I76" s="662"/>
      <c r="J76" s="662"/>
      <c r="K76" s="662"/>
      <c r="L76" s="662"/>
      <c r="M76" s="662"/>
      <c r="N76" s="662"/>
      <c r="O76" s="662"/>
      <c r="P76" s="662"/>
      <c r="Q76" s="662"/>
      <c r="R76" s="662"/>
      <c r="S76" s="662"/>
      <c r="T76" s="662"/>
      <c r="U76" s="662"/>
      <c r="V76" s="662"/>
      <c r="W76" s="607"/>
      <c r="X76" s="588"/>
    </row>
    <row r="77" spans="1:24" s="589" customFormat="1" x14ac:dyDescent="0.25">
      <c r="A77" s="604"/>
      <c r="B77" s="605"/>
      <c r="C77" s="662"/>
      <c r="D77" s="662"/>
      <c r="E77" s="662"/>
      <c r="F77" s="662"/>
      <c r="G77" s="662"/>
      <c r="H77" s="662"/>
      <c r="I77" s="662"/>
      <c r="J77" s="662"/>
      <c r="K77" s="662"/>
      <c r="L77" s="662"/>
      <c r="M77" s="662"/>
      <c r="N77" s="662"/>
      <c r="O77" s="662"/>
      <c r="P77" s="662"/>
      <c r="Q77" s="662"/>
      <c r="R77" s="662"/>
      <c r="S77" s="662"/>
      <c r="T77" s="662"/>
      <c r="U77" s="662"/>
      <c r="V77" s="662"/>
      <c r="W77" s="607"/>
      <c r="X77" s="588"/>
    </row>
    <row r="78" spans="1:24" s="589" customFormat="1" x14ac:dyDescent="0.25">
      <c r="A78" s="604"/>
      <c r="B78" s="605" t="s">
        <v>21</v>
      </c>
      <c r="C78" s="662"/>
      <c r="D78" s="662"/>
      <c r="E78" s="662"/>
      <c r="F78" s="662"/>
      <c r="G78" s="662"/>
      <c r="H78" s="662"/>
      <c r="I78" s="662"/>
      <c r="J78" s="662"/>
      <c r="K78" s="662"/>
      <c r="L78" s="662"/>
      <c r="M78" s="662"/>
      <c r="N78" s="662"/>
      <c r="O78" s="662"/>
      <c r="P78" s="662"/>
      <c r="Q78" s="662"/>
      <c r="R78" s="662"/>
      <c r="S78" s="662"/>
      <c r="T78" s="662"/>
      <c r="U78" s="662"/>
      <c r="V78" s="662"/>
      <c r="W78" s="607"/>
      <c r="X78" s="588"/>
    </row>
    <row r="79" spans="1:24" s="589" customFormat="1" x14ac:dyDescent="0.25">
      <c r="A79" s="604"/>
      <c r="B79" s="605"/>
      <c r="C79" s="662"/>
      <c r="D79" s="662"/>
      <c r="E79" s="662"/>
      <c r="F79" s="662"/>
      <c r="G79" s="662"/>
      <c r="H79" s="662"/>
      <c r="I79" s="662"/>
      <c r="J79" s="662"/>
      <c r="K79" s="662"/>
      <c r="L79" s="662"/>
      <c r="M79" s="662"/>
      <c r="N79" s="662"/>
      <c r="O79" s="662"/>
      <c r="P79" s="662"/>
      <c r="Q79" s="662"/>
      <c r="R79" s="662"/>
      <c r="S79" s="662"/>
      <c r="T79" s="662"/>
      <c r="U79" s="662"/>
      <c r="V79" s="662"/>
      <c r="W79" s="607"/>
      <c r="X79" s="588"/>
    </row>
    <row r="80" spans="1:24" s="589" customFormat="1" x14ac:dyDescent="0.25">
      <c r="A80" s="604"/>
      <c r="B80" s="605" t="s">
        <v>23</v>
      </c>
      <c r="C80" s="662"/>
      <c r="D80" s="662"/>
      <c r="E80" s="662"/>
      <c r="F80" s="662"/>
      <c r="G80" s="662"/>
      <c r="H80" s="662"/>
      <c r="I80" s="662"/>
      <c r="J80" s="662"/>
      <c r="K80" s="662"/>
      <c r="L80" s="662">
        <v>0</v>
      </c>
      <c r="M80" s="662"/>
      <c r="N80" s="662">
        <v>0</v>
      </c>
      <c r="O80" s="662"/>
      <c r="P80" s="662"/>
      <c r="Q80" s="662"/>
      <c r="R80" s="662"/>
      <c r="S80" s="662"/>
      <c r="T80" s="662"/>
      <c r="U80" s="662"/>
      <c r="V80" s="663">
        <v>0</v>
      </c>
      <c r="W80" s="607"/>
      <c r="X80" s="588"/>
    </row>
    <row r="81" spans="1:24" s="589" customFormat="1" x14ac:dyDescent="0.25">
      <c r="A81" s="604"/>
      <c r="B81" s="605" t="s">
        <v>117</v>
      </c>
      <c r="C81" s="662"/>
      <c r="D81" s="662"/>
      <c r="E81" s="662"/>
      <c r="F81" s="662"/>
      <c r="G81" s="662"/>
      <c r="H81" s="662"/>
      <c r="I81" s="662"/>
      <c r="J81" s="662"/>
      <c r="K81" s="662"/>
      <c r="L81" s="662">
        <v>188687</v>
      </c>
      <c r="M81" s="662"/>
      <c r="N81" s="662">
        <v>0</v>
      </c>
      <c r="O81" s="662"/>
      <c r="P81" s="662">
        <v>0</v>
      </c>
      <c r="Q81" s="662"/>
      <c r="R81" s="662"/>
      <c r="S81" s="662"/>
      <c r="T81" s="662"/>
      <c r="U81" s="662"/>
      <c r="V81" s="662">
        <f>SUM(N81:R81)</f>
        <v>0</v>
      </c>
      <c r="W81" s="607"/>
      <c r="X81" s="588"/>
    </row>
    <row r="82" spans="1:24" s="589" customFormat="1" x14ac:dyDescent="0.25">
      <c r="A82" s="604"/>
      <c r="B82" s="605" t="s">
        <v>146</v>
      </c>
      <c r="C82" s="662"/>
      <c r="D82" s="662"/>
      <c r="E82" s="662"/>
      <c r="F82" s="662"/>
      <c r="G82" s="662"/>
      <c r="H82" s="662"/>
      <c r="I82" s="662"/>
      <c r="J82" s="662"/>
      <c r="K82" s="662"/>
      <c r="L82" s="662">
        <v>0</v>
      </c>
      <c r="M82" s="662"/>
      <c r="N82" s="662">
        <v>0</v>
      </c>
      <c r="O82" s="662"/>
      <c r="P82" s="662">
        <v>0</v>
      </c>
      <c r="Q82" s="662"/>
      <c r="R82" s="662"/>
      <c r="S82" s="662"/>
      <c r="T82" s="662"/>
      <c r="U82" s="662"/>
      <c r="V82" s="662">
        <f>+N82+P82</f>
        <v>0</v>
      </c>
      <c r="W82" s="607"/>
      <c r="X82" s="588"/>
    </row>
    <row r="83" spans="1:24" s="589" customFormat="1" x14ac:dyDescent="0.25">
      <c r="A83" s="604"/>
      <c r="B83" s="605" t="s">
        <v>25</v>
      </c>
      <c r="C83" s="662"/>
      <c r="D83" s="662"/>
      <c r="E83" s="662"/>
      <c r="F83" s="662"/>
      <c r="G83" s="662"/>
      <c r="H83" s="662"/>
      <c r="I83" s="662"/>
      <c r="J83" s="662"/>
      <c r="K83" s="662"/>
      <c r="L83" s="662">
        <v>0</v>
      </c>
      <c r="M83" s="662"/>
      <c r="N83" s="662">
        <v>0</v>
      </c>
      <c r="O83" s="662"/>
      <c r="P83" s="662"/>
      <c r="Q83" s="662"/>
      <c r="R83" s="662"/>
      <c r="S83" s="662"/>
      <c r="T83" s="662"/>
      <c r="U83" s="662"/>
      <c r="V83" s="662">
        <v>0</v>
      </c>
      <c r="W83" s="607"/>
      <c r="X83" s="588"/>
    </row>
    <row r="84" spans="1:24" s="589" customFormat="1" x14ac:dyDescent="0.25">
      <c r="A84" s="604"/>
      <c r="B84" s="605" t="s">
        <v>26</v>
      </c>
      <c r="C84" s="662"/>
      <c r="D84" s="662"/>
      <c r="E84" s="662"/>
      <c r="F84" s="662"/>
      <c r="G84" s="662"/>
      <c r="H84" s="662"/>
      <c r="I84" s="662"/>
      <c r="J84" s="662"/>
      <c r="K84" s="662"/>
      <c r="L84" s="662">
        <f>SUM(L71:L83)</f>
        <v>1001133</v>
      </c>
      <c r="M84" s="662"/>
      <c r="N84" s="662">
        <f>SUM(N71:N83)</f>
        <v>580627</v>
      </c>
      <c r="O84" s="662"/>
      <c r="P84" s="662"/>
      <c r="Q84" s="662"/>
      <c r="R84" s="662"/>
      <c r="S84" s="662"/>
      <c r="T84" s="662"/>
      <c r="U84" s="662"/>
      <c r="V84" s="662">
        <f>SUM(V71:V83)</f>
        <v>569839</v>
      </c>
      <c r="W84" s="607"/>
      <c r="X84" s="588"/>
    </row>
    <row r="85" spans="1:24" x14ac:dyDescent="0.25">
      <c r="A85" s="574"/>
      <c r="B85" s="664"/>
      <c r="C85" s="665"/>
      <c r="D85" s="665"/>
      <c r="E85" s="665"/>
      <c r="F85" s="665"/>
      <c r="G85" s="665"/>
      <c r="H85" s="665"/>
      <c r="I85" s="665"/>
      <c r="J85" s="665"/>
      <c r="K85" s="665"/>
      <c r="L85" s="665"/>
      <c r="M85" s="665"/>
      <c r="N85" s="665"/>
      <c r="O85" s="665"/>
      <c r="P85" s="665"/>
      <c r="Q85" s="665"/>
      <c r="R85" s="665"/>
      <c r="S85" s="665"/>
      <c r="T85" s="665"/>
      <c r="U85" s="665"/>
      <c r="V85" s="666"/>
      <c r="W85" s="664"/>
      <c r="X85" s="572"/>
    </row>
    <row r="86" spans="1:24" x14ac:dyDescent="0.25">
      <c r="A86" s="574"/>
      <c r="B86" s="576"/>
      <c r="C86" s="576"/>
      <c r="D86" s="576"/>
      <c r="E86" s="576"/>
      <c r="F86" s="576"/>
      <c r="G86" s="576"/>
      <c r="H86" s="576"/>
      <c r="I86" s="576"/>
      <c r="J86" s="576"/>
      <c r="K86" s="576"/>
      <c r="L86" s="576"/>
      <c r="M86" s="576"/>
      <c r="N86" s="576"/>
      <c r="O86" s="576"/>
      <c r="P86" s="576"/>
      <c r="Q86" s="576"/>
      <c r="R86" s="576"/>
      <c r="S86" s="576"/>
      <c r="T86" s="576"/>
      <c r="U86" s="576"/>
      <c r="V86" s="576"/>
      <c r="W86" s="576"/>
      <c r="X86" s="572"/>
    </row>
    <row r="87" spans="1:24" x14ac:dyDescent="0.25">
      <c r="A87" s="597"/>
      <c r="B87" s="669" t="s">
        <v>27</v>
      </c>
      <c r="C87" s="669"/>
      <c r="D87" s="669"/>
      <c r="E87" s="669"/>
      <c r="F87" s="669"/>
      <c r="G87" s="669"/>
      <c r="H87" s="670"/>
      <c r="I87" s="670"/>
      <c r="J87" s="670"/>
      <c r="K87" s="670"/>
      <c r="L87" s="671" t="s">
        <v>95</v>
      </c>
      <c r="M87" s="670"/>
      <c r="N87" s="672">
        <f>+T202</f>
        <v>43616</v>
      </c>
      <c r="O87" s="670"/>
      <c r="P87" s="670"/>
      <c r="Q87" s="670"/>
      <c r="R87" s="670"/>
      <c r="S87" s="670"/>
      <c r="T87" s="670" t="s">
        <v>107</v>
      </c>
      <c r="U87" s="670"/>
      <c r="V87" s="670" t="s">
        <v>113</v>
      </c>
      <c r="W87" s="601"/>
      <c r="X87" s="572"/>
    </row>
    <row r="88" spans="1:24" s="589" customFormat="1" x14ac:dyDescent="0.25">
      <c r="A88" s="585"/>
      <c r="B88" s="602" t="s">
        <v>28</v>
      </c>
      <c r="C88" s="602"/>
      <c r="D88" s="602"/>
      <c r="E88" s="602"/>
      <c r="F88" s="602"/>
      <c r="G88" s="602"/>
      <c r="H88" s="602"/>
      <c r="I88" s="602"/>
      <c r="J88" s="602"/>
      <c r="K88" s="602"/>
      <c r="L88" s="602"/>
      <c r="M88" s="602"/>
      <c r="N88" s="602"/>
      <c r="O88" s="602"/>
      <c r="P88" s="602"/>
      <c r="Q88" s="602"/>
      <c r="R88" s="602"/>
      <c r="S88" s="602"/>
      <c r="T88" s="673">
        <v>0</v>
      </c>
      <c r="U88" s="602"/>
      <c r="V88" s="674">
        <v>0</v>
      </c>
      <c r="W88" s="602"/>
      <c r="X88" s="588"/>
    </row>
    <row r="89" spans="1:24" s="589" customFormat="1" x14ac:dyDescent="0.25">
      <c r="A89" s="604"/>
      <c r="B89" s="605" t="s">
        <v>29</v>
      </c>
      <c r="C89" s="605"/>
      <c r="D89" s="605"/>
      <c r="E89" s="605"/>
      <c r="F89" s="605"/>
      <c r="G89" s="605"/>
      <c r="H89" s="635"/>
      <c r="I89" s="635"/>
      <c r="J89" s="635"/>
      <c r="K89" s="675"/>
      <c r="L89" s="635"/>
      <c r="M89" s="605"/>
      <c r="N89" s="676"/>
      <c r="O89" s="605"/>
      <c r="P89" s="605"/>
      <c r="Q89" s="605"/>
      <c r="R89" s="605"/>
      <c r="S89" s="605"/>
      <c r="T89" s="662">
        <f>10788-150</f>
        <v>10638</v>
      </c>
      <c r="U89" s="605"/>
      <c r="V89" s="663"/>
      <c r="W89" s="607"/>
      <c r="X89" s="588"/>
    </row>
    <row r="90" spans="1:24" s="589" customFormat="1" x14ac:dyDescent="0.25">
      <c r="A90" s="604"/>
      <c r="B90" s="605" t="s">
        <v>215</v>
      </c>
      <c r="C90" s="605"/>
      <c r="D90" s="605"/>
      <c r="E90" s="605"/>
      <c r="F90" s="605"/>
      <c r="G90" s="605"/>
      <c r="H90" s="635"/>
      <c r="I90" s="635"/>
      <c r="J90" s="635"/>
      <c r="K90" s="675"/>
      <c r="L90" s="635"/>
      <c r="M90" s="605"/>
      <c r="N90" s="676"/>
      <c r="O90" s="605"/>
      <c r="P90" s="605"/>
      <c r="Q90" s="605"/>
      <c r="R90" s="605"/>
      <c r="S90" s="605"/>
      <c r="T90" s="662"/>
      <c r="U90" s="605"/>
      <c r="V90" s="663">
        <f>3376+2515-998-755</f>
        <v>4138</v>
      </c>
      <c r="W90" s="607"/>
      <c r="X90" s="588"/>
    </row>
    <row r="91" spans="1:24" s="589" customFormat="1" x14ac:dyDescent="0.25">
      <c r="A91" s="604"/>
      <c r="B91" s="605" t="s">
        <v>210</v>
      </c>
      <c r="C91" s="605"/>
      <c r="D91" s="605"/>
      <c r="E91" s="605"/>
      <c r="F91" s="605"/>
      <c r="G91" s="605"/>
      <c r="H91" s="635"/>
      <c r="I91" s="635"/>
      <c r="J91" s="635"/>
      <c r="K91" s="675"/>
      <c r="L91" s="635"/>
      <c r="M91" s="605"/>
      <c r="N91" s="676"/>
      <c r="O91" s="605"/>
      <c r="P91" s="605"/>
      <c r="Q91" s="605"/>
      <c r="R91" s="605"/>
      <c r="S91" s="605"/>
      <c r="T91" s="662"/>
      <c r="U91" s="605"/>
      <c r="V91" s="663">
        <f>45+14</f>
        <v>59</v>
      </c>
      <c r="W91" s="607"/>
      <c r="X91" s="588"/>
    </row>
    <row r="92" spans="1:24" s="589" customFormat="1" x14ac:dyDescent="0.25">
      <c r="A92" s="604"/>
      <c r="B92" s="605" t="s">
        <v>211</v>
      </c>
      <c r="C92" s="605"/>
      <c r="D92" s="605"/>
      <c r="E92" s="605"/>
      <c r="F92" s="605"/>
      <c r="G92" s="605"/>
      <c r="H92" s="635"/>
      <c r="I92" s="635"/>
      <c r="J92" s="635"/>
      <c r="K92" s="675"/>
      <c r="L92" s="635"/>
      <c r="M92" s="605"/>
      <c r="N92" s="676"/>
      <c r="O92" s="605"/>
      <c r="P92" s="605"/>
      <c r="Q92" s="605"/>
      <c r="R92" s="605"/>
      <c r="S92" s="605"/>
      <c r="T92" s="662"/>
      <c r="U92" s="605"/>
      <c r="V92" s="663">
        <v>56</v>
      </c>
      <c r="W92" s="607"/>
      <c r="X92" s="588"/>
    </row>
    <row r="93" spans="1:24" s="589" customFormat="1" x14ac:dyDescent="0.25">
      <c r="A93" s="604"/>
      <c r="B93" s="605" t="s">
        <v>233</v>
      </c>
      <c r="C93" s="605"/>
      <c r="D93" s="605"/>
      <c r="E93" s="605"/>
      <c r="F93" s="605"/>
      <c r="G93" s="605"/>
      <c r="H93" s="635"/>
      <c r="I93" s="635"/>
      <c r="J93" s="635"/>
      <c r="K93" s="675"/>
      <c r="L93" s="635"/>
      <c r="M93" s="605"/>
      <c r="N93" s="676"/>
      <c r="O93" s="605"/>
      <c r="P93" s="605"/>
      <c r="Q93" s="605"/>
      <c r="R93" s="605"/>
      <c r="S93" s="605"/>
      <c r="T93" s="662"/>
      <c r="U93" s="605"/>
      <c r="V93" s="663">
        <v>0</v>
      </c>
      <c r="W93" s="607"/>
      <c r="X93" s="588"/>
    </row>
    <row r="94" spans="1:24" s="589" customFormat="1" x14ac:dyDescent="0.25">
      <c r="A94" s="604"/>
      <c r="B94" s="605" t="s">
        <v>235</v>
      </c>
      <c r="C94" s="605"/>
      <c r="D94" s="605"/>
      <c r="E94" s="605"/>
      <c r="F94" s="605"/>
      <c r="G94" s="605"/>
      <c r="H94" s="635"/>
      <c r="I94" s="635"/>
      <c r="J94" s="635"/>
      <c r="K94" s="675"/>
      <c r="L94" s="635"/>
      <c r="M94" s="605"/>
      <c r="N94" s="676"/>
      <c r="O94" s="605"/>
      <c r="P94" s="605"/>
      <c r="Q94" s="605"/>
      <c r="R94" s="605"/>
      <c r="S94" s="605"/>
      <c r="T94" s="662"/>
      <c r="U94" s="605"/>
      <c r="V94" s="663">
        <v>0</v>
      </c>
      <c r="W94" s="607"/>
      <c r="X94" s="588"/>
    </row>
    <row r="95" spans="1:24" s="589" customFormat="1" x14ac:dyDescent="0.25">
      <c r="A95" s="604"/>
      <c r="B95" s="605" t="s">
        <v>135</v>
      </c>
      <c r="C95" s="605"/>
      <c r="D95" s="605"/>
      <c r="E95" s="605"/>
      <c r="F95" s="605"/>
      <c r="G95" s="605"/>
      <c r="H95" s="605"/>
      <c r="I95" s="605"/>
      <c r="J95" s="605"/>
      <c r="K95" s="605"/>
      <c r="L95" s="605"/>
      <c r="M95" s="605"/>
      <c r="N95" s="605"/>
      <c r="O95" s="605"/>
      <c r="P95" s="605"/>
      <c r="Q95" s="605"/>
      <c r="R95" s="605"/>
      <c r="S95" s="605"/>
      <c r="T95" s="662"/>
      <c r="U95" s="605"/>
      <c r="V95" s="663">
        <v>0</v>
      </c>
      <c r="W95" s="607"/>
      <c r="X95" s="588"/>
    </row>
    <row r="96" spans="1:24" s="589" customFormat="1" x14ac:dyDescent="0.25">
      <c r="A96" s="604"/>
      <c r="B96" s="605" t="s">
        <v>272</v>
      </c>
      <c r="C96" s="605"/>
      <c r="D96" s="605"/>
      <c r="E96" s="605"/>
      <c r="F96" s="605"/>
      <c r="G96" s="605"/>
      <c r="H96" s="605"/>
      <c r="I96" s="605"/>
      <c r="J96" s="605"/>
      <c r="K96" s="605"/>
      <c r="L96" s="605"/>
      <c r="M96" s="605"/>
      <c r="N96" s="605"/>
      <c r="O96" s="605"/>
      <c r="P96" s="605"/>
      <c r="Q96" s="605"/>
      <c r="R96" s="605"/>
      <c r="S96" s="605"/>
      <c r="T96" s="662"/>
      <c r="U96" s="605"/>
      <c r="V96" s="663">
        <v>0</v>
      </c>
      <c r="W96" s="607"/>
      <c r="X96" s="588"/>
    </row>
    <row r="97" spans="1:25" s="589" customFormat="1" x14ac:dyDescent="0.25">
      <c r="A97" s="604"/>
      <c r="B97" s="605" t="s">
        <v>30</v>
      </c>
      <c r="C97" s="605"/>
      <c r="D97" s="605"/>
      <c r="E97" s="605"/>
      <c r="F97" s="605"/>
      <c r="G97" s="605"/>
      <c r="H97" s="605"/>
      <c r="I97" s="605"/>
      <c r="J97" s="605"/>
      <c r="K97" s="605"/>
      <c r="L97" s="605"/>
      <c r="M97" s="605"/>
      <c r="N97" s="605"/>
      <c r="O97" s="605"/>
      <c r="P97" s="605"/>
      <c r="Q97" s="605"/>
      <c r="R97" s="605"/>
      <c r="S97" s="605"/>
      <c r="T97" s="662">
        <f>SUM(T88:T96)</f>
        <v>10638</v>
      </c>
      <c r="U97" s="605"/>
      <c r="V97" s="662">
        <f>SUM(V88:V96)</f>
        <v>4253</v>
      </c>
      <c r="W97" s="607"/>
      <c r="X97" s="588"/>
    </row>
    <row r="98" spans="1:25" s="589" customFormat="1" x14ac:dyDescent="0.25">
      <c r="A98" s="604"/>
      <c r="B98" s="605" t="s">
        <v>161</v>
      </c>
      <c r="C98" s="605"/>
      <c r="D98" s="605"/>
      <c r="E98" s="605"/>
      <c r="F98" s="605"/>
      <c r="G98" s="605"/>
      <c r="H98" s="605"/>
      <c r="I98" s="605"/>
      <c r="J98" s="605"/>
      <c r="K98" s="605"/>
      <c r="L98" s="605"/>
      <c r="M98" s="605"/>
      <c r="N98" s="605"/>
      <c r="O98" s="605"/>
      <c r="P98" s="605"/>
      <c r="Q98" s="605"/>
      <c r="R98" s="605"/>
      <c r="S98" s="605"/>
      <c r="T98" s="662">
        <f>-V98</f>
        <v>0</v>
      </c>
      <c r="U98" s="605"/>
      <c r="V98" s="662">
        <v>0</v>
      </c>
      <c r="W98" s="607"/>
      <c r="X98" s="588"/>
    </row>
    <row r="99" spans="1:25" s="589" customFormat="1" x14ac:dyDescent="0.25">
      <c r="A99" s="604"/>
      <c r="B99" s="605" t="s">
        <v>31</v>
      </c>
      <c r="C99" s="605"/>
      <c r="D99" s="605"/>
      <c r="E99" s="605"/>
      <c r="F99" s="605"/>
      <c r="G99" s="605"/>
      <c r="H99" s="605"/>
      <c r="I99" s="605"/>
      <c r="J99" s="605"/>
      <c r="K99" s="605"/>
      <c r="L99" s="605"/>
      <c r="M99" s="605"/>
      <c r="N99" s="605"/>
      <c r="O99" s="605"/>
      <c r="P99" s="605"/>
      <c r="Q99" s="605"/>
      <c r="R99" s="605"/>
      <c r="S99" s="605"/>
      <c r="T99" s="662">
        <f>-V99</f>
        <v>0</v>
      </c>
      <c r="U99" s="605"/>
      <c r="V99" s="663">
        <v>0</v>
      </c>
      <c r="W99" s="607"/>
      <c r="X99" s="588"/>
    </row>
    <row r="100" spans="1:25" s="589" customFormat="1" x14ac:dyDescent="0.25">
      <c r="A100" s="604"/>
      <c r="B100" s="605" t="s">
        <v>274</v>
      </c>
      <c r="C100" s="605"/>
      <c r="D100" s="605"/>
      <c r="E100" s="605"/>
      <c r="F100" s="605"/>
      <c r="G100" s="605"/>
      <c r="H100" s="605"/>
      <c r="I100" s="605"/>
      <c r="J100" s="605"/>
      <c r="K100" s="605"/>
      <c r="L100" s="605"/>
      <c r="M100" s="605"/>
      <c r="N100" s="605"/>
      <c r="O100" s="605"/>
      <c r="P100" s="605"/>
      <c r="Q100" s="605"/>
      <c r="R100" s="605"/>
      <c r="S100" s="605"/>
      <c r="T100" s="662"/>
      <c r="U100" s="605"/>
      <c r="V100" s="663">
        <v>254</v>
      </c>
      <c r="W100" s="607"/>
      <c r="X100" s="588"/>
    </row>
    <row r="101" spans="1:25" s="589" customFormat="1" x14ac:dyDescent="0.25">
      <c r="A101" s="604"/>
      <c r="B101" s="605" t="s">
        <v>32</v>
      </c>
      <c r="C101" s="605"/>
      <c r="D101" s="605"/>
      <c r="E101" s="605"/>
      <c r="F101" s="605"/>
      <c r="G101" s="605"/>
      <c r="H101" s="605"/>
      <c r="I101" s="605"/>
      <c r="J101" s="605"/>
      <c r="K101" s="605"/>
      <c r="L101" s="605"/>
      <c r="M101" s="605"/>
      <c r="N101" s="605"/>
      <c r="O101" s="605"/>
      <c r="P101" s="605"/>
      <c r="Q101" s="605"/>
      <c r="R101" s="605"/>
      <c r="S101" s="605"/>
      <c r="T101" s="662">
        <f>T97+T99+T98</f>
        <v>10638</v>
      </c>
      <c r="U101" s="605"/>
      <c r="V101" s="662">
        <f>V97+V99+V98+V100</f>
        <v>4507</v>
      </c>
      <c r="W101" s="607"/>
      <c r="X101" s="588"/>
    </row>
    <row r="102" spans="1:25" x14ac:dyDescent="0.25">
      <c r="A102" s="677"/>
      <c r="B102" s="678" t="s">
        <v>33</v>
      </c>
      <c r="C102" s="679"/>
      <c r="D102" s="679"/>
      <c r="E102" s="679"/>
      <c r="F102" s="679"/>
      <c r="G102" s="679"/>
      <c r="H102" s="679"/>
      <c r="I102" s="679"/>
      <c r="J102" s="679"/>
      <c r="K102" s="679"/>
      <c r="L102" s="679"/>
      <c r="M102" s="679"/>
      <c r="N102" s="679"/>
      <c r="O102" s="679"/>
      <c r="P102" s="679"/>
      <c r="Q102" s="679"/>
      <c r="R102" s="679"/>
      <c r="S102" s="679"/>
      <c r="T102" s="680"/>
      <c r="U102" s="681"/>
      <c r="V102" s="682"/>
      <c r="W102" s="683"/>
      <c r="X102" s="572"/>
    </row>
    <row r="103" spans="1:25" s="589" customFormat="1" x14ac:dyDescent="0.25">
      <c r="A103" s="604">
        <v>1</v>
      </c>
      <c r="B103" s="605" t="s">
        <v>34</v>
      </c>
      <c r="C103" s="605"/>
      <c r="D103" s="605"/>
      <c r="E103" s="605"/>
      <c r="F103" s="605"/>
      <c r="G103" s="605"/>
      <c r="H103" s="605"/>
      <c r="I103" s="605"/>
      <c r="J103" s="605"/>
      <c r="K103" s="605"/>
      <c r="L103" s="605"/>
      <c r="M103" s="605"/>
      <c r="N103" s="605"/>
      <c r="O103" s="605"/>
      <c r="P103" s="605"/>
      <c r="Q103" s="605"/>
      <c r="R103" s="605"/>
      <c r="S103" s="605"/>
      <c r="T103" s="605"/>
      <c r="U103" s="605"/>
      <c r="V103" s="663">
        <v>0</v>
      </c>
      <c r="W103" s="607"/>
      <c r="X103" s="588"/>
    </row>
    <row r="104" spans="1:25" s="589" customFormat="1" x14ac:dyDescent="0.25">
      <c r="A104" s="604">
        <f>+A103+1</f>
        <v>2</v>
      </c>
      <c r="B104" s="605" t="s">
        <v>314</v>
      </c>
      <c r="C104" s="605"/>
      <c r="D104" s="605"/>
      <c r="E104" s="605"/>
      <c r="F104" s="605"/>
      <c r="G104" s="605"/>
      <c r="H104" s="605"/>
      <c r="I104" s="605"/>
      <c r="J104" s="605"/>
      <c r="K104" s="605"/>
      <c r="L104" s="605"/>
      <c r="M104" s="605"/>
      <c r="N104" s="605"/>
      <c r="O104" s="605"/>
      <c r="P104" s="605"/>
      <c r="Q104" s="605"/>
      <c r="R104" s="605"/>
      <c r="S104" s="605"/>
      <c r="T104" s="605"/>
      <c r="U104" s="605"/>
      <c r="V104" s="663">
        <v>-2</v>
      </c>
      <c r="W104" s="607"/>
      <c r="X104" s="588"/>
    </row>
    <row r="105" spans="1:25" s="589" customFormat="1" x14ac:dyDescent="0.25">
      <c r="A105" s="604">
        <f>+A104+1</f>
        <v>3</v>
      </c>
      <c r="B105" s="684" t="s">
        <v>316</v>
      </c>
      <c r="C105" s="605"/>
      <c r="D105" s="605"/>
      <c r="E105" s="605"/>
      <c r="F105" s="605"/>
      <c r="G105" s="605"/>
      <c r="H105" s="605"/>
      <c r="I105" s="605"/>
      <c r="J105" s="605"/>
      <c r="K105" s="605"/>
      <c r="L105" s="605"/>
      <c r="M105" s="605"/>
      <c r="N105" s="605"/>
      <c r="O105" s="605"/>
      <c r="P105" s="605"/>
      <c r="Q105" s="605"/>
      <c r="R105" s="605"/>
      <c r="S105" s="605"/>
      <c r="T105" s="605"/>
      <c r="U105" s="605"/>
      <c r="V105" s="663">
        <f>-224-62-8</f>
        <v>-294</v>
      </c>
      <c r="W105" s="607"/>
      <c r="X105" s="588"/>
    </row>
    <row r="106" spans="1:25" s="589" customFormat="1" x14ac:dyDescent="0.25">
      <c r="A106" s="604" t="s">
        <v>127</v>
      </c>
      <c r="B106" s="605" t="s">
        <v>116</v>
      </c>
      <c r="C106" s="605"/>
      <c r="D106" s="605"/>
      <c r="E106" s="605"/>
      <c r="F106" s="605"/>
      <c r="G106" s="605"/>
      <c r="H106" s="605"/>
      <c r="I106" s="605"/>
      <c r="J106" s="605"/>
      <c r="K106" s="605"/>
      <c r="L106" s="605"/>
      <c r="M106" s="605"/>
      <c r="N106" s="605"/>
      <c r="O106" s="605"/>
      <c r="P106" s="605"/>
      <c r="Q106" s="605"/>
      <c r="R106" s="605"/>
      <c r="S106" s="605"/>
      <c r="T106" s="605"/>
      <c r="U106" s="605"/>
      <c r="V106" s="663">
        <v>0</v>
      </c>
      <c r="W106" s="607"/>
      <c r="X106" s="588"/>
    </row>
    <row r="107" spans="1:25" s="589" customFormat="1" x14ac:dyDescent="0.25">
      <c r="A107" s="604" t="s">
        <v>128</v>
      </c>
      <c r="B107" s="605" t="s">
        <v>220</v>
      </c>
      <c r="C107" s="605"/>
      <c r="D107" s="605"/>
      <c r="E107" s="605"/>
      <c r="F107" s="605"/>
      <c r="G107" s="605"/>
      <c r="H107" s="605"/>
      <c r="I107" s="605"/>
      <c r="J107" s="605"/>
      <c r="K107" s="605"/>
      <c r="L107" s="605"/>
      <c r="M107" s="605"/>
      <c r="N107" s="605"/>
      <c r="O107" s="605"/>
      <c r="P107" s="605"/>
      <c r="Q107" s="605"/>
      <c r="R107" s="605"/>
      <c r="S107" s="605"/>
      <c r="T107" s="605"/>
      <c r="U107" s="605"/>
      <c r="V107" s="663">
        <f>-1189+301</f>
        <v>-888</v>
      </c>
      <c r="W107" s="607"/>
      <c r="X107" s="588"/>
      <c r="Y107" s="685"/>
    </row>
    <row r="108" spans="1:25" s="589" customFormat="1" x14ac:dyDescent="0.25">
      <c r="A108" s="604" t="s">
        <v>150</v>
      </c>
      <c r="B108" s="605" t="s">
        <v>184</v>
      </c>
      <c r="C108" s="605"/>
      <c r="D108" s="605"/>
      <c r="E108" s="605"/>
      <c r="F108" s="605"/>
      <c r="G108" s="605"/>
      <c r="H108" s="605"/>
      <c r="I108" s="605"/>
      <c r="J108" s="605"/>
      <c r="K108" s="605"/>
      <c r="L108" s="605"/>
      <c r="M108" s="605"/>
      <c r="N108" s="605"/>
      <c r="O108" s="605"/>
      <c r="P108" s="605"/>
      <c r="Q108" s="605"/>
      <c r="R108" s="605"/>
      <c r="S108" s="605"/>
      <c r="T108" s="605"/>
      <c r="U108" s="605"/>
      <c r="V108" s="663">
        <v>-301</v>
      </c>
      <c r="W108" s="607"/>
      <c r="X108" s="588"/>
      <c r="Y108" s="685"/>
    </row>
    <row r="109" spans="1:25" s="589" customFormat="1" x14ac:dyDescent="0.25">
      <c r="A109" s="604" t="s">
        <v>205</v>
      </c>
      <c r="B109" s="605" t="s">
        <v>185</v>
      </c>
      <c r="C109" s="605"/>
      <c r="D109" s="605"/>
      <c r="E109" s="605"/>
      <c r="F109" s="605"/>
      <c r="G109" s="605"/>
      <c r="H109" s="605"/>
      <c r="I109" s="605"/>
      <c r="J109" s="605"/>
      <c r="K109" s="605"/>
      <c r="L109" s="605"/>
      <c r="M109" s="605"/>
      <c r="N109" s="605"/>
      <c r="O109" s="605"/>
      <c r="P109" s="605"/>
      <c r="Q109" s="605"/>
      <c r="R109" s="605"/>
      <c r="S109" s="605"/>
      <c r="T109" s="605"/>
      <c r="U109" s="605"/>
      <c r="V109" s="663">
        <f>-279+61</f>
        <v>-218</v>
      </c>
      <c r="W109" s="607"/>
      <c r="X109" s="588"/>
      <c r="Y109" s="685"/>
    </row>
    <row r="110" spans="1:25" s="589" customFormat="1" x14ac:dyDescent="0.25">
      <c r="A110" s="604" t="s">
        <v>206</v>
      </c>
      <c r="B110" s="605" t="s">
        <v>186</v>
      </c>
      <c r="C110" s="605"/>
      <c r="D110" s="605"/>
      <c r="E110" s="605"/>
      <c r="F110" s="605"/>
      <c r="G110" s="605"/>
      <c r="H110" s="605"/>
      <c r="I110" s="605"/>
      <c r="J110" s="605"/>
      <c r="K110" s="605"/>
      <c r="L110" s="605"/>
      <c r="M110" s="605"/>
      <c r="N110" s="605"/>
      <c r="O110" s="605"/>
      <c r="P110" s="605"/>
      <c r="Q110" s="605"/>
      <c r="R110" s="605"/>
      <c r="S110" s="605"/>
      <c r="T110" s="605"/>
      <c r="U110" s="605"/>
      <c r="V110" s="663">
        <v>-61</v>
      </c>
      <c r="W110" s="607"/>
      <c r="X110" s="588"/>
      <c r="Y110" s="685"/>
    </row>
    <row r="111" spans="1:25" s="589" customFormat="1" x14ac:dyDescent="0.25">
      <c r="A111" s="604">
        <v>6</v>
      </c>
      <c r="B111" s="605" t="s">
        <v>196</v>
      </c>
      <c r="C111" s="605"/>
      <c r="D111" s="605"/>
      <c r="E111" s="605"/>
      <c r="F111" s="605"/>
      <c r="G111" s="605"/>
      <c r="H111" s="605"/>
      <c r="I111" s="605"/>
      <c r="J111" s="605"/>
      <c r="K111" s="605"/>
      <c r="L111" s="605"/>
      <c r="M111" s="605"/>
      <c r="N111" s="605"/>
      <c r="O111" s="605"/>
      <c r="P111" s="605"/>
      <c r="Q111" s="605"/>
      <c r="R111" s="605"/>
      <c r="S111" s="605"/>
      <c r="T111" s="605"/>
      <c r="U111" s="605"/>
      <c r="V111" s="663">
        <v>-401</v>
      </c>
      <c r="W111" s="607"/>
      <c r="X111" s="588"/>
      <c r="Y111" s="685"/>
    </row>
    <row r="112" spans="1:25" s="589" customFormat="1" x14ac:dyDescent="0.25">
      <c r="A112" s="604">
        <v>7</v>
      </c>
      <c r="B112" s="684" t="s">
        <v>315</v>
      </c>
      <c r="C112" s="605"/>
      <c r="D112" s="605"/>
      <c r="E112" s="605"/>
      <c r="F112" s="605"/>
      <c r="G112" s="605"/>
      <c r="H112" s="605"/>
      <c r="I112" s="605"/>
      <c r="J112" s="605"/>
      <c r="K112" s="605"/>
      <c r="L112" s="605"/>
      <c r="M112" s="605"/>
      <c r="N112" s="605"/>
      <c r="O112" s="605"/>
      <c r="P112" s="605"/>
      <c r="Q112" s="605"/>
      <c r="R112" s="605"/>
      <c r="S112" s="605"/>
      <c r="T112" s="605"/>
      <c r="U112" s="605"/>
      <c r="V112" s="663">
        <v>0</v>
      </c>
      <c r="W112" s="607"/>
      <c r="X112" s="588"/>
      <c r="Y112" s="685"/>
    </row>
    <row r="113" spans="1:24" s="589" customFormat="1" x14ac:dyDescent="0.25">
      <c r="A113" s="604">
        <v>8</v>
      </c>
      <c r="B113" s="605" t="s">
        <v>35</v>
      </c>
      <c r="C113" s="605"/>
      <c r="D113" s="605"/>
      <c r="E113" s="605"/>
      <c r="F113" s="605"/>
      <c r="G113" s="605"/>
      <c r="H113" s="605"/>
      <c r="I113" s="605"/>
      <c r="J113" s="605"/>
      <c r="K113" s="605"/>
      <c r="L113" s="605"/>
      <c r="M113" s="605"/>
      <c r="N113" s="605"/>
      <c r="O113" s="605"/>
      <c r="P113" s="605"/>
      <c r="Q113" s="605"/>
      <c r="R113" s="605"/>
      <c r="S113" s="605"/>
      <c r="T113" s="605"/>
      <c r="U113" s="605"/>
      <c r="V113" s="663">
        <v>-9</v>
      </c>
      <c r="W113" s="607"/>
      <c r="X113" s="588"/>
    </row>
    <row r="114" spans="1:24" s="589" customFormat="1" x14ac:dyDescent="0.25">
      <c r="A114" s="604">
        <f t="shared" ref="A114:A119" si="0">+A113+1</f>
        <v>9</v>
      </c>
      <c r="B114" s="605" t="s">
        <v>45</v>
      </c>
      <c r="C114" s="605"/>
      <c r="D114" s="605"/>
      <c r="E114" s="605"/>
      <c r="F114" s="605"/>
      <c r="G114" s="605"/>
      <c r="H114" s="605"/>
      <c r="I114" s="605"/>
      <c r="J114" s="605"/>
      <c r="K114" s="605"/>
      <c r="L114" s="605"/>
      <c r="M114" s="605"/>
      <c r="N114" s="605"/>
      <c r="O114" s="605"/>
      <c r="P114" s="605"/>
      <c r="Q114" s="605"/>
      <c r="R114" s="605"/>
      <c r="S114" s="605"/>
      <c r="T114" s="662">
        <f>-V114</f>
        <v>150</v>
      </c>
      <c r="U114" s="605"/>
      <c r="V114" s="663">
        <v>-150</v>
      </c>
      <c r="W114" s="607"/>
      <c r="X114" s="588"/>
    </row>
    <row r="115" spans="1:24" s="589" customFormat="1" x14ac:dyDescent="0.25">
      <c r="A115" s="604">
        <f t="shared" si="0"/>
        <v>10</v>
      </c>
      <c r="B115" s="605" t="s">
        <v>125</v>
      </c>
      <c r="C115" s="605"/>
      <c r="D115" s="605"/>
      <c r="E115" s="605"/>
      <c r="F115" s="605"/>
      <c r="G115" s="605"/>
      <c r="H115" s="605"/>
      <c r="I115" s="605"/>
      <c r="J115" s="605"/>
      <c r="K115" s="605"/>
      <c r="L115" s="605"/>
      <c r="M115" s="605"/>
      <c r="N115" s="605"/>
      <c r="O115" s="605"/>
      <c r="P115" s="605"/>
      <c r="Q115" s="605"/>
      <c r="R115" s="605"/>
      <c r="S115" s="605"/>
      <c r="T115" s="605"/>
      <c r="U115" s="605"/>
      <c r="V115" s="663">
        <v>0</v>
      </c>
      <c r="W115" s="607"/>
      <c r="X115" s="588"/>
    </row>
    <row r="116" spans="1:24" s="589" customFormat="1" x14ac:dyDescent="0.25">
      <c r="A116" s="604">
        <f t="shared" si="0"/>
        <v>11</v>
      </c>
      <c r="B116" s="605" t="s">
        <v>225</v>
      </c>
      <c r="C116" s="605"/>
      <c r="D116" s="605"/>
      <c r="E116" s="605"/>
      <c r="F116" s="605"/>
      <c r="G116" s="605"/>
      <c r="H116" s="605"/>
      <c r="I116" s="605"/>
      <c r="J116" s="605"/>
      <c r="K116" s="605"/>
      <c r="L116" s="605"/>
      <c r="M116" s="605"/>
      <c r="N116" s="605"/>
      <c r="O116" s="605"/>
      <c r="P116" s="605"/>
      <c r="Q116" s="605"/>
      <c r="R116" s="605"/>
      <c r="S116" s="605"/>
      <c r="T116" s="605"/>
      <c r="U116" s="605"/>
      <c r="V116" s="663">
        <v>0</v>
      </c>
      <c r="W116" s="607"/>
      <c r="X116" s="588"/>
    </row>
    <row r="117" spans="1:24" s="589" customFormat="1" x14ac:dyDescent="0.25">
      <c r="A117" s="604">
        <f t="shared" si="0"/>
        <v>12</v>
      </c>
      <c r="B117" s="605" t="s">
        <v>36</v>
      </c>
      <c r="C117" s="605"/>
      <c r="D117" s="605"/>
      <c r="E117" s="605"/>
      <c r="F117" s="605"/>
      <c r="G117" s="605"/>
      <c r="H117" s="605"/>
      <c r="I117" s="605"/>
      <c r="J117" s="605"/>
      <c r="K117" s="605"/>
      <c r="L117" s="605"/>
      <c r="M117" s="605"/>
      <c r="N117" s="605"/>
      <c r="O117" s="605"/>
      <c r="P117" s="605"/>
      <c r="Q117" s="605"/>
      <c r="R117" s="605"/>
      <c r="S117" s="605"/>
      <c r="T117" s="605"/>
      <c r="U117" s="605"/>
      <c r="V117" s="663">
        <v>0</v>
      </c>
      <c r="W117" s="607"/>
      <c r="X117" s="588"/>
    </row>
    <row r="118" spans="1:24" s="589" customFormat="1" x14ac:dyDescent="0.25">
      <c r="A118" s="604">
        <f t="shared" si="0"/>
        <v>13</v>
      </c>
      <c r="B118" s="605" t="s">
        <v>149</v>
      </c>
      <c r="C118" s="605"/>
      <c r="D118" s="605"/>
      <c r="E118" s="605"/>
      <c r="F118" s="605"/>
      <c r="G118" s="605"/>
      <c r="H118" s="605"/>
      <c r="I118" s="605"/>
      <c r="J118" s="605"/>
      <c r="K118" s="605"/>
      <c r="L118" s="605"/>
      <c r="M118" s="605"/>
      <c r="N118" s="605"/>
      <c r="O118" s="605"/>
      <c r="P118" s="605"/>
      <c r="Q118" s="605"/>
      <c r="R118" s="605"/>
      <c r="S118" s="605"/>
      <c r="T118" s="605"/>
      <c r="U118" s="605"/>
      <c r="V118" s="663">
        <v>-223</v>
      </c>
      <c r="W118" s="607"/>
      <c r="X118" s="588"/>
    </row>
    <row r="119" spans="1:24" s="589" customFormat="1" x14ac:dyDescent="0.25">
      <c r="A119" s="604">
        <f t="shared" si="0"/>
        <v>14</v>
      </c>
      <c r="B119" s="605" t="s">
        <v>126</v>
      </c>
      <c r="C119" s="605"/>
      <c r="D119" s="605"/>
      <c r="E119" s="605"/>
      <c r="F119" s="605"/>
      <c r="G119" s="605"/>
      <c r="H119" s="605"/>
      <c r="I119" s="605"/>
      <c r="J119" s="605"/>
      <c r="K119" s="605"/>
      <c r="L119" s="605"/>
      <c r="M119" s="605"/>
      <c r="N119" s="605"/>
      <c r="O119" s="605"/>
      <c r="P119" s="605"/>
      <c r="Q119" s="605"/>
      <c r="R119" s="605"/>
      <c r="S119" s="605"/>
      <c r="T119" s="605"/>
      <c r="U119" s="605"/>
      <c r="V119" s="663">
        <f>-V101-SUM(V103:V118)</f>
        <v>-1960</v>
      </c>
      <c r="W119" s="607"/>
      <c r="X119" s="588"/>
    </row>
    <row r="120" spans="1:24" x14ac:dyDescent="0.25">
      <c r="A120" s="677"/>
      <c r="B120" s="678" t="s">
        <v>37</v>
      </c>
      <c r="C120" s="679"/>
      <c r="D120" s="679"/>
      <c r="E120" s="679"/>
      <c r="F120" s="679"/>
      <c r="G120" s="679"/>
      <c r="H120" s="679"/>
      <c r="I120" s="679"/>
      <c r="J120" s="679"/>
      <c r="K120" s="679"/>
      <c r="L120" s="679"/>
      <c r="M120" s="679"/>
      <c r="N120" s="679"/>
      <c r="O120" s="679"/>
      <c r="P120" s="679"/>
      <c r="Q120" s="679"/>
      <c r="R120" s="679"/>
      <c r="S120" s="679"/>
      <c r="T120" s="681"/>
      <c r="U120" s="681"/>
      <c r="V120" s="686"/>
      <c r="W120" s="683"/>
      <c r="X120" s="572"/>
    </row>
    <row r="121" spans="1:24" s="589" customFormat="1" x14ac:dyDescent="0.25">
      <c r="A121" s="604"/>
      <c r="B121" s="605" t="s">
        <v>173</v>
      </c>
      <c r="C121" s="605"/>
      <c r="D121" s="605"/>
      <c r="E121" s="605"/>
      <c r="F121" s="605"/>
      <c r="G121" s="605"/>
      <c r="H121" s="605"/>
      <c r="I121" s="605"/>
      <c r="J121" s="605"/>
      <c r="K121" s="605"/>
      <c r="L121" s="605"/>
      <c r="M121" s="605"/>
      <c r="N121" s="605"/>
      <c r="O121" s="605"/>
      <c r="P121" s="605"/>
      <c r="Q121" s="605"/>
      <c r="R121" s="605"/>
      <c r="S121" s="605"/>
      <c r="T121" s="662">
        <f>-T186</f>
        <v>0</v>
      </c>
      <c r="U121" s="662"/>
      <c r="V121" s="663"/>
      <c r="W121" s="607"/>
      <c r="X121" s="588"/>
    </row>
    <row r="122" spans="1:24" s="589" customFormat="1" x14ac:dyDescent="0.25">
      <c r="A122" s="604"/>
      <c r="B122" s="605" t="s">
        <v>174</v>
      </c>
      <c r="C122" s="605"/>
      <c r="D122" s="605"/>
      <c r="E122" s="605"/>
      <c r="F122" s="605"/>
      <c r="G122" s="605"/>
      <c r="H122" s="605"/>
      <c r="I122" s="605"/>
      <c r="J122" s="605"/>
      <c r="K122" s="605"/>
      <c r="L122" s="605"/>
      <c r="M122" s="605"/>
      <c r="N122" s="605"/>
      <c r="O122" s="605"/>
      <c r="P122" s="605"/>
      <c r="Q122" s="605"/>
      <c r="R122" s="605"/>
      <c r="S122" s="605"/>
      <c r="T122" s="662">
        <v>0</v>
      </c>
      <c r="U122" s="662"/>
      <c r="V122" s="663"/>
      <c r="W122" s="607"/>
      <c r="X122" s="588"/>
    </row>
    <row r="123" spans="1:24" s="589" customFormat="1" x14ac:dyDescent="0.25">
      <c r="A123" s="604"/>
      <c r="B123" s="605" t="s">
        <v>38</v>
      </c>
      <c r="C123" s="605"/>
      <c r="D123" s="605"/>
      <c r="E123" s="605"/>
      <c r="F123" s="605"/>
      <c r="G123" s="605"/>
      <c r="H123" s="605"/>
      <c r="I123" s="605"/>
      <c r="J123" s="605"/>
      <c r="K123" s="605"/>
      <c r="L123" s="605"/>
      <c r="M123" s="605"/>
      <c r="N123" s="605"/>
      <c r="O123" s="605"/>
      <c r="P123" s="605"/>
      <c r="Q123" s="605"/>
      <c r="R123" s="605"/>
      <c r="S123" s="605"/>
      <c r="T123" s="662">
        <f>-S186</f>
        <v>0</v>
      </c>
      <c r="U123" s="662"/>
      <c r="V123" s="663"/>
      <c r="W123" s="607"/>
      <c r="X123" s="588"/>
    </row>
    <row r="124" spans="1:24" s="589" customFormat="1" x14ac:dyDescent="0.25">
      <c r="A124" s="604"/>
      <c r="B124" s="605" t="s">
        <v>197</v>
      </c>
      <c r="C124" s="605"/>
      <c r="D124" s="605"/>
      <c r="E124" s="605"/>
      <c r="F124" s="605"/>
      <c r="G124" s="605"/>
      <c r="H124" s="605"/>
      <c r="I124" s="605"/>
      <c r="J124" s="605"/>
      <c r="K124" s="605"/>
      <c r="L124" s="605"/>
      <c r="M124" s="605"/>
      <c r="N124" s="605"/>
      <c r="O124" s="605"/>
      <c r="P124" s="605"/>
      <c r="Q124" s="605"/>
      <c r="R124" s="605"/>
      <c r="S124" s="605"/>
      <c r="T124" s="662">
        <v>-6248</v>
      </c>
      <c r="U124" s="662"/>
      <c r="V124" s="663"/>
      <c r="W124" s="607"/>
      <c r="X124" s="588"/>
    </row>
    <row r="125" spans="1:24" s="589" customFormat="1" x14ac:dyDescent="0.25">
      <c r="A125" s="604"/>
      <c r="B125" s="605" t="s">
        <v>195</v>
      </c>
      <c r="C125" s="605"/>
      <c r="D125" s="605"/>
      <c r="E125" s="605"/>
      <c r="F125" s="605"/>
      <c r="G125" s="605"/>
      <c r="H125" s="605"/>
      <c r="I125" s="605"/>
      <c r="J125" s="605"/>
      <c r="K125" s="605"/>
      <c r="L125" s="605"/>
      <c r="M125" s="605"/>
      <c r="N125" s="605"/>
      <c r="O125" s="605"/>
      <c r="P125" s="605"/>
      <c r="Q125" s="605"/>
      <c r="R125" s="605"/>
      <c r="S125" s="605"/>
      <c r="T125" s="662">
        <v>-2656</v>
      </c>
      <c r="U125" s="662"/>
      <c r="V125" s="663"/>
      <c r="W125" s="607"/>
      <c r="X125" s="588"/>
    </row>
    <row r="126" spans="1:24" s="589" customFormat="1" x14ac:dyDescent="0.25">
      <c r="A126" s="604"/>
      <c r="B126" s="605" t="s">
        <v>194</v>
      </c>
      <c r="C126" s="605"/>
      <c r="D126" s="605"/>
      <c r="E126" s="605"/>
      <c r="F126" s="605"/>
      <c r="G126" s="605"/>
      <c r="H126" s="605"/>
      <c r="I126" s="605"/>
      <c r="J126" s="605"/>
      <c r="K126" s="605"/>
      <c r="L126" s="605"/>
      <c r="M126" s="605"/>
      <c r="N126" s="605"/>
      <c r="O126" s="605"/>
      <c r="P126" s="605"/>
      <c r="Q126" s="605"/>
      <c r="R126" s="605"/>
      <c r="S126" s="605"/>
      <c r="T126" s="662">
        <v>-947</v>
      </c>
      <c r="U126" s="662"/>
      <c r="V126" s="663"/>
      <c r="W126" s="607"/>
      <c r="X126" s="588"/>
    </row>
    <row r="127" spans="1:24" s="589" customFormat="1" x14ac:dyDescent="0.25">
      <c r="A127" s="604"/>
      <c r="B127" s="605" t="s">
        <v>222</v>
      </c>
      <c r="C127" s="605"/>
      <c r="D127" s="605"/>
      <c r="E127" s="605"/>
      <c r="F127" s="605"/>
      <c r="G127" s="605"/>
      <c r="H127" s="605"/>
      <c r="I127" s="605"/>
      <c r="J127" s="605"/>
      <c r="K127" s="605"/>
      <c r="L127" s="605"/>
      <c r="M127" s="605"/>
      <c r="N127" s="605"/>
      <c r="O127" s="605"/>
      <c r="P127" s="605"/>
      <c r="Q127" s="605"/>
      <c r="R127" s="605"/>
      <c r="S127" s="605"/>
      <c r="T127" s="662">
        <v>-937</v>
      </c>
      <c r="U127" s="662"/>
      <c r="V127" s="663"/>
      <c r="W127" s="607"/>
      <c r="X127" s="588"/>
    </row>
    <row r="128" spans="1:24" s="589" customFormat="1" x14ac:dyDescent="0.25">
      <c r="A128" s="604"/>
      <c r="B128" s="605" t="s">
        <v>189</v>
      </c>
      <c r="C128" s="605"/>
      <c r="D128" s="605"/>
      <c r="E128" s="605"/>
      <c r="F128" s="605"/>
      <c r="G128" s="605"/>
      <c r="H128" s="605"/>
      <c r="I128" s="605"/>
      <c r="J128" s="605"/>
      <c r="K128" s="605"/>
      <c r="L128" s="605"/>
      <c r="M128" s="605"/>
      <c r="N128" s="605"/>
      <c r="O128" s="605"/>
      <c r="P128" s="605"/>
      <c r="Q128" s="605"/>
      <c r="R128" s="605"/>
      <c r="S128" s="605"/>
      <c r="T128" s="662">
        <v>0</v>
      </c>
      <c r="U128" s="662"/>
      <c r="V128" s="663"/>
      <c r="W128" s="607"/>
      <c r="X128" s="588"/>
    </row>
    <row r="129" spans="1:24" s="589" customFormat="1" x14ac:dyDescent="0.25">
      <c r="A129" s="604"/>
      <c r="B129" s="605" t="s">
        <v>188</v>
      </c>
      <c r="C129" s="605"/>
      <c r="D129" s="605"/>
      <c r="E129" s="605"/>
      <c r="F129" s="605"/>
      <c r="G129" s="605"/>
      <c r="H129" s="605"/>
      <c r="I129" s="605"/>
      <c r="J129" s="605"/>
      <c r="K129" s="605"/>
      <c r="L129" s="605"/>
      <c r="M129" s="605"/>
      <c r="N129" s="605"/>
      <c r="O129" s="605"/>
      <c r="P129" s="605"/>
      <c r="Q129" s="605"/>
      <c r="R129" s="605"/>
      <c r="S129" s="605"/>
      <c r="T129" s="662">
        <v>0</v>
      </c>
      <c r="U129" s="662"/>
      <c r="V129" s="663"/>
      <c r="W129" s="607"/>
      <c r="X129" s="588"/>
    </row>
    <row r="130" spans="1:24" s="589" customFormat="1" x14ac:dyDescent="0.25">
      <c r="A130" s="604"/>
      <c r="B130" s="605" t="s">
        <v>187</v>
      </c>
      <c r="C130" s="605"/>
      <c r="D130" s="605"/>
      <c r="E130" s="605"/>
      <c r="F130" s="605"/>
      <c r="G130" s="605"/>
      <c r="H130" s="605"/>
      <c r="I130" s="605"/>
      <c r="J130" s="605"/>
      <c r="K130" s="605"/>
      <c r="L130" s="605"/>
      <c r="M130" s="605"/>
      <c r="N130" s="605"/>
      <c r="O130" s="605"/>
      <c r="P130" s="605"/>
      <c r="Q130" s="605"/>
      <c r="R130" s="605"/>
      <c r="S130" s="605"/>
      <c r="T130" s="662">
        <v>0</v>
      </c>
      <c r="U130" s="662"/>
      <c r="V130" s="663"/>
      <c r="W130" s="607"/>
      <c r="X130" s="588"/>
    </row>
    <row r="131" spans="1:24" s="589" customFormat="1" x14ac:dyDescent="0.25">
      <c r="A131" s="604"/>
      <c r="B131" s="605" t="s">
        <v>39</v>
      </c>
      <c r="C131" s="605"/>
      <c r="D131" s="605"/>
      <c r="E131" s="605"/>
      <c r="F131" s="605"/>
      <c r="G131" s="605"/>
      <c r="H131" s="605"/>
      <c r="I131" s="605"/>
      <c r="J131" s="605"/>
      <c r="K131" s="605"/>
      <c r="L131" s="605"/>
      <c r="M131" s="605"/>
      <c r="N131" s="605"/>
      <c r="O131" s="605"/>
      <c r="P131" s="605"/>
      <c r="Q131" s="605"/>
      <c r="R131" s="605"/>
      <c r="S131" s="605"/>
      <c r="T131" s="662">
        <f>SUM(T121:T130)</f>
        <v>-10788</v>
      </c>
      <c r="U131" s="662"/>
      <c r="V131" s="662">
        <f>SUM(V102:V129)</f>
        <v>-4507</v>
      </c>
      <c r="W131" s="607"/>
      <c r="X131" s="588"/>
    </row>
    <row r="132" spans="1:24" s="589" customFormat="1" x14ac:dyDescent="0.25">
      <c r="A132" s="604"/>
      <c r="B132" s="605" t="s">
        <v>40</v>
      </c>
      <c r="C132" s="605"/>
      <c r="D132" s="605"/>
      <c r="E132" s="605"/>
      <c r="F132" s="605"/>
      <c r="G132" s="605"/>
      <c r="H132" s="605"/>
      <c r="I132" s="605"/>
      <c r="J132" s="605"/>
      <c r="K132" s="605"/>
      <c r="L132" s="605"/>
      <c r="M132" s="605"/>
      <c r="N132" s="605"/>
      <c r="O132" s="605"/>
      <c r="P132" s="605"/>
      <c r="Q132" s="605"/>
      <c r="R132" s="605"/>
      <c r="S132" s="605"/>
      <c r="T132" s="662">
        <f>T101+T131+T114</f>
        <v>0</v>
      </c>
      <c r="U132" s="662"/>
      <c r="V132" s="662">
        <f>V101+V131</f>
        <v>0</v>
      </c>
      <c r="W132" s="607"/>
      <c r="X132" s="588"/>
    </row>
    <row r="133" spans="1:24" s="589" customFormat="1" x14ac:dyDescent="0.25">
      <c r="A133" s="585"/>
      <c r="B133" s="602"/>
      <c r="C133" s="602"/>
      <c r="D133" s="602"/>
      <c r="E133" s="602"/>
      <c r="F133" s="602"/>
      <c r="G133" s="602"/>
      <c r="H133" s="602"/>
      <c r="I133" s="602"/>
      <c r="J133" s="602"/>
      <c r="K133" s="602"/>
      <c r="L133" s="602"/>
      <c r="M133" s="602"/>
      <c r="N133" s="602"/>
      <c r="O133" s="602"/>
      <c r="P133" s="602"/>
      <c r="Q133" s="602"/>
      <c r="R133" s="602"/>
      <c r="S133" s="602"/>
      <c r="T133" s="673"/>
      <c r="U133" s="673"/>
      <c r="V133" s="673"/>
      <c r="W133" s="602"/>
      <c r="X133" s="588"/>
    </row>
    <row r="134" spans="1:24" s="589" customFormat="1" x14ac:dyDescent="0.25">
      <c r="A134" s="585"/>
      <c r="B134" s="586"/>
      <c r="C134" s="586"/>
      <c r="D134" s="586"/>
      <c r="E134" s="586"/>
      <c r="F134" s="586"/>
      <c r="G134" s="586"/>
      <c r="H134" s="586"/>
      <c r="I134" s="586"/>
      <c r="J134" s="586"/>
      <c r="K134" s="586"/>
      <c r="L134" s="586"/>
      <c r="M134" s="586"/>
      <c r="N134" s="586"/>
      <c r="O134" s="586"/>
      <c r="P134" s="586"/>
      <c r="Q134" s="586"/>
      <c r="R134" s="586"/>
      <c r="S134" s="586"/>
      <c r="T134" s="586"/>
      <c r="U134" s="586"/>
      <c r="V134" s="687"/>
      <c r="W134" s="586"/>
      <c r="X134" s="588"/>
    </row>
    <row r="135" spans="1:24" s="589" customFormat="1" ht="19.5" thickBot="1" x14ac:dyDescent="0.35">
      <c r="A135" s="649"/>
      <c r="B135" s="568" t="str">
        <f>B64</f>
        <v>PM15 INVESTOR REPORT QUARTER ENDING MAY 2019</v>
      </c>
      <c r="C135" s="650"/>
      <c r="D135" s="650"/>
      <c r="E135" s="650"/>
      <c r="F135" s="650"/>
      <c r="G135" s="650"/>
      <c r="H135" s="650"/>
      <c r="I135" s="650"/>
      <c r="J135" s="650"/>
      <c r="K135" s="650"/>
      <c r="L135" s="650"/>
      <c r="M135" s="650"/>
      <c r="N135" s="650"/>
      <c r="O135" s="650"/>
      <c r="P135" s="650"/>
      <c r="Q135" s="650"/>
      <c r="R135" s="650"/>
      <c r="S135" s="650"/>
      <c r="T135" s="650"/>
      <c r="U135" s="650"/>
      <c r="V135" s="688"/>
      <c r="W135" s="652"/>
      <c r="X135" s="588"/>
    </row>
    <row r="136" spans="1:24" x14ac:dyDescent="0.25">
      <c r="A136" s="689"/>
      <c r="B136" s="690" t="s">
        <v>41</v>
      </c>
      <c r="C136" s="691"/>
      <c r="D136" s="691"/>
      <c r="E136" s="691"/>
      <c r="F136" s="691"/>
      <c r="G136" s="691"/>
      <c r="H136" s="691"/>
      <c r="I136" s="691"/>
      <c r="J136" s="691"/>
      <c r="K136" s="691"/>
      <c r="L136" s="691"/>
      <c r="M136" s="691"/>
      <c r="N136" s="691"/>
      <c r="O136" s="691"/>
      <c r="P136" s="691"/>
      <c r="Q136" s="691"/>
      <c r="R136" s="691"/>
      <c r="S136" s="691"/>
      <c r="T136" s="691"/>
      <c r="U136" s="691"/>
      <c r="V136" s="692"/>
      <c r="W136" s="691"/>
      <c r="X136" s="572"/>
    </row>
    <row r="137" spans="1:24" x14ac:dyDescent="0.25">
      <c r="A137" s="574"/>
      <c r="B137" s="693"/>
      <c r="C137" s="576"/>
      <c r="D137" s="576"/>
      <c r="E137" s="576"/>
      <c r="F137" s="576"/>
      <c r="G137" s="576"/>
      <c r="H137" s="576"/>
      <c r="I137" s="576"/>
      <c r="J137" s="576"/>
      <c r="K137" s="576"/>
      <c r="L137" s="576"/>
      <c r="M137" s="576"/>
      <c r="N137" s="576"/>
      <c r="O137" s="576"/>
      <c r="P137" s="576"/>
      <c r="Q137" s="576"/>
      <c r="R137" s="576"/>
      <c r="S137" s="576"/>
      <c r="T137" s="576"/>
      <c r="U137" s="576"/>
      <c r="V137" s="656"/>
      <c r="W137" s="576"/>
      <c r="X137" s="572"/>
    </row>
    <row r="138" spans="1:24" x14ac:dyDescent="0.25">
      <c r="A138" s="574"/>
      <c r="B138" s="694" t="s">
        <v>42</v>
      </c>
      <c r="C138" s="576"/>
      <c r="D138" s="576"/>
      <c r="E138" s="576"/>
      <c r="F138" s="576"/>
      <c r="G138" s="576"/>
      <c r="H138" s="576"/>
      <c r="I138" s="576"/>
      <c r="J138" s="576"/>
      <c r="K138" s="576"/>
      <c r="L138" s="576"/>
      <c r="M138" s="576"/>
      <c r="N138" s="576"/>
      <c r="O138" s="576"/>
      <c r="P138" s="576"/>
      <c r="Q138" s="576"/>
      <c r="R138" s="576"/>
      <c r="S138" s="576"/>
      <c r="T138" s="576"/>
      <c r="U138" s="576"/>
      <c r="V138" s="656"/>
      <c r="W138" s="576"/>
      <c r="X138" s="572"/>
    </row>
    <row r="139" spans="1:24" s="589" customFormat="1" x14ac:dyDescent="0.25">
      <c r="A139" s="604"/>
      <c r="B139" s="605" t="s">
        <v>43</v>
      </c>
      <c r="C139" s="605"/>
      <c r="D139" s="605"/>
      <c r="E139" s="605"/>
      <c r="F139" s="605"/>
      <c r="G139" s="605"/>
      <c r="H139" s="605"/>
      <c r="I139" s="605"/>
      <c r="J139" s="605"/>
      <c r="K139" s="605"/>
      <c r="L139" s="605"/>
      <c r="M139" s="605"/>
      <c r="N139" s="605"/>
      <c r="O139" s="605"/>
      <c r="P139" s="605"/>
      <c r="Q139" s="605"/>
      <c r="R139" s="605"/>
      <c r="S139" s="605"/>
      <c r="T139" s="605"/>
      <c r="U139" s="605"/>
      <c r="V139" s="663">
        <f>+V34*0.019</f>
        <v>19021.526999999998</v>
      </c>
      <c r="W139" s="607"/>
      <c r="X139" s="588"/>
    </row>
    <row r="140" spans="1:24" s="589" customFormat="1" x14ac:dyDescent="0.25">
      <c r="A140" s="604"/>
      <c r="B140" s="605" t="s">
        <v>44</v>
      </c>
      <c r="C140" s="605"/>
      <c r="D140" s="605"/>
      <c r="E140" s="605"/>
      <c r="F140" s="605"/>
      <c r="G140" s="605"/>
      <c r="H140" s="605"/>
      <c r="I140" s="605"/>
      <c r="J140" s="605"/>
      <c r="K140" s="605"/>
      <c r="L140" s="605"/>
      <c r="M140" s="605"/>
      <c r="N140" s="605"/>
      <c r="O140" s="605"/>
      <c r="P140" s="605"/>
      <c r="Q140" s="605"/>
      <c r="R140" s="605"/>
      <c r="S140" s="605"/>
      <c r="T140" s="605"/>
      <c r="U140" s="605"/>
      <c r="V140" s="663">
        <v>19022</v>
      </c>
      <c r="W140" s="607"/>
      <c r="X140" s="588"/>
    </row>
    <row r="141" spans="1:24" s="589" customFormat="1" x14ac:dyDescent="0.25">
      <c r="A141" s="604"/>
      <c r="B141" s="605" t="s">
        <v>136</v>
      </c>
      <c r="C141" s="605"/>
      <c r="D141" s="605"/>
      <c r="E141" s="605"/>
      <c r="F141" s="605"/>
      <c r="G141" s="605"/>
      <c r="H141" s="605"/>
      <c r="I141" s="605"/>
      <c r="J141" s="605"/>
      <c r="K141" s="605"/>
      <c r="L141" s="605"/>
      <c r="M141" s="605"/>
      <c r="N141" s="605"/>
      <c r="O141" s="605"/>
      <c r="P141" s="605"/>
      <c r="Q141" s="605"/>
      <c r="R141" s="605"/>
      <c r="S141" s="605"/>
      <c r="T141" s="605"/>
      <c r="U141" s="605"/>
      <c r="V141" s="663"/>
      <c r="W141" s="607"/>
      <c r="X141" s="588"/>
    </row>
    <row r="142" spans="1:24" s="589" customFormat="1" x14ac:dyDescent="0.25">
      <c r="A142" s="604"/>
      <c r="B142" s="605" t="s">
        <v>123</v>
      </c>
      <c r="C142" s="605"/>
      <c r="D142" s="605"/>
      <c r="E142" s="605"/>
      <c r="F142" s="605"/>
      <c r="G142" s="605"/>
      <c r="H142" s="605"/>
      <c r="I142" s="605"/>
      <c r="J142" s="605"/>
      <c r="K142" s="605"/>
      <c r="L142" s="605"/>
      <c r="M142" s="605"/>
      <c r="N142" s="605"/>
      <c r="O142" s="605"/>
      <c r="P142" s="605"/>
      <c r="Q142" s="605"/>
      <c r="R142" s="605"/>
      <c r="S142" s="605"/>
      <c r="T142" s="605"/>
      <c r="U142" s="605"/>
      <c r="V142" s="663">
        <v>0</v>
      </c>
      <c r="W142" s="607"/>
      <c r="X142" s="588"/>
    </row>
    <row r="143" spans="1:24" s="589" customFormat="1" x14ac:dyDescent="0.25">
      <c r="A143" s="604"/>
      <c r="B143" s="605" t="s">
        <v>124</v>
      </c>
      <c r="C143" s="605"/>
      <c r="D143" s="605"/>
      <c r="E143" s="605"/>
      <c r="F143" s="605"/>
      <c r="G143" s="605"/>
      <c r="H143" s="605"/>
      <c r="I143" s="605"/>
      <c r="J143" s="605"/>
      <c r="K143" s="605"/>
      <c r="L143" s="605"/>
      <c r="M143" s="605"/>
      <c r="N143" s="605"/>
      <c r="O143" s="605"/>
      <c r="P143" s="605"/>
      <c r="Q143" s="605"/>
      <c r="R143" s="605"/>
      <c r="S143" s="605"/>
      <c r="T143" s="605"/>
      <c r="U143" s="605"/>
      <c r="V143" s="663">
        <v>0</v>
      </c>
      <c r="W143" s="607"/>
      <c r="X143" s="588"/>
    </row>
    <row r="144" spans="1:24" s="589" customFormat="1" x14ac:dyDescent="0.25">
      <c r="A144" s="604"/>
      <c r="B144" s="605" t="s">
        <v>175</v>
      </c>
      <c r="C144" s="605"/>
      <c r="D144" s="605"/>
      <c r="E144" s="605"/>
      <c r="F144" s="605"/>
      <c r="G144" s="605"/>
      <c r="H144" s="605"/>
      <c r="I144" s="605"/>
      <c r="J144" s="605"/>
      <c r="K144" s="605"/>
      <c r="L144" s="605"/>
      <c r="M144" s="605"/>
      <c r="N144" s="605"/>
      <c r="O144" s="605"/>
      <c r="P144" s="605"/>
      <c r="Q144" s="605"/>
      <c r="R144" s="605"/>
      <c r="S144" s="605"/>
      <c r="T144" s="605"/>
      <c r="U144" s="605"/>
      <c r="V144" s="663">
        <v>0</v>
      </c>
      <c r="W144" s="607"/>
      <c r="X144" s="588"/>
    </row>
    <row r="145" spans="1:25" s="589" customFormat="1" x14ac:dyDescent="0.25">
      <c r="A145" s="604"/>
      <c r="B145" s="605" t="s">
        <v>45</v>
      </c>
      <c r="C145" s="605"/>
      <c r="D145" s="605"/>
      <c r="E145" s="605"/>
      <c r="F145" s="605"/>
      <c r="G145" s="605"/>
      <c r="H145" s="605"/>
      <c r="I145" s="605"/>
      <c r="J145" s="605"/>
      <c r="K145" s="605"/>
      <c r="L145" s="605"/>
      <c r="M145" s="605"/>
      <c r="N145" s="605"/>
      <c r="O145" s="605"/>
      <c r="P145" s="605"/>
      <c r="Q145" s="605"/>
      <c r="R145" s="605"/>
      <c r="S145" s="605"/>
      <c r="T145" s="605"/>
      <c r="U145" s="605"/>
      <c r="V145" s="663">
        <v>0</v>
      </c>
      <c r="W145" s="607"/>
      <c r="X145" s="588"/>
    </row>
    <row r="146" spans="1:25" s="589" customFormat="1" x14ac:dyDescent="0.25">
      <c r="A146" s="604"/>
      <c r="B146" s="605" t="s">
        <v>129</v>
      </c>
      <c r="C146" s="605"/>
      <c r="D146" s="605"/>
      <c r="E146" s="605"/>
      <c r="F146" s="605"/>
      <c r="G146" s="605"/>
      <c r="H146" s="605"/>
      <c r="I146" s="605"/>
      <c r="J146" s="605"/>
      <c r="K146" s="605"/>
      <c r="L146" s="605"/>
      <c r="M146" s="605"/>
      <c r="N146" s="605"/>
      <c r="O146" s="605"/>
      <c r="P146" s="605"/>
      <c r="Q146" s="605"/>
      <c r="R146" s="605"/>
      <c r="S146" s="605"/>
      <c r="T146" s="605"/>
      <c r="U146" s="605"/>
      <c r="V146" s="663">
        <v>0</v>
      </c>
      <c r="W146" s="607"/>
      <c r="X146" s="588"/>
    </row>
    <row r="147" spans="1:25" s="589" customFormat="1" x14ac:dyDescent="0.25">
      <c r="A147" s="604"/>
      <c r="B147" s="605" t="s">
        <v>241</v>
      </c>
      <c r="C147" s="605"/>
      <c r="D147" s="605"/>
      <c r="E147" s="605"/>
      <c r="F147" s="605"/>
      <c r="G147" s="605"/>
      <c r="H147" s="605"/>
      <c r="I147" s="605"/>
      <c r="J147" s="605"/>
      <c r="K147" s="605"/>
      <c r="L147" s="605"/>
      <c r="M147" s="605"/>
      <c r="N147" s="605"/>
      <c r="O147" s="605"/>
      <c r="P147" s="605"/>
      <c r="Q147" s="605"/>
      <c r="R147" s="605"/>
      <c r="S147" s="605"/>
      <c r="T147" s="605"/>
      <c r="U147" s="605"/>
      <c r="V147" s="663">
        <v>0</v>
      </c>
      <c r="W147" s="607"/>
      <c r="X147" s="588"/>
      <c r="Y147" s="685"/>
    </row>
    <row r="148" spans="1:25" s="589" customFormat="1" x14ac:dyDescent="0.25">
      <c r="A148" s="604"/>
      <c r="B148" s="605" t="s">
        <v>46</v>
      </c>
      <c r="C148" s="605"/>
      <c r="D148" s="605"/>
      <c r="E148" s="605"/>
      <c r="F148" s="605"/>
      <c r="G148" s="605"/>
      <c r="H148" s="605"/>
      <c r="I148" s="605"/>
      <c r="J148" s="605"/>
      <c r="K148" s="605"/>
      <c r="L148" s="605"/>
      <c r="M148" s="605"/>
      <c r="N148" s="605"/>
      <c r="O148" s="605"/>
      <c r="P148" s="605"/>
      <c r="Q148" s="605"/>
      <c r="R148" s="605"/>
      <c r="S148" s="605"/>
      <c r="T148" s="605"/>
      <c r="U148" s="605"/>
      <c r="V148" s="663">
        <f>SUM(V140:V147)</f>
        <v>19022</v>
      </c>
      <c r="W148" s="607"/>
      <c r="X148" s="588"/>
    </row>
    <row r="149" spans="1:25" x14ac:dyDescent="0.25">
      <c r="A149" s="677"/>
      <c r="B149" s="679"/>
      <c r="C149" s="679"/>
      <c r="D149" s="679"/>
      <c r="E149" s="679"/>
      <c r="F149" s="679"/>
      <c r="G149" s="679"/>
      <c r="H149" s="679"/>
      <c r="I149" s="679"/>
      <c r="J149" s="679"/>
      <c r="K149" s="679"/>
      <c r="L149" s="679"/>
      <c r="M149" s="679"/>
      <c r="N149" s="679"/>
      <c r="O149" s="679"/>
      <c r="P149" s="679"/>
      <c r="Q149" s="679"/>
      <c r="R149" s="679"/>
      <c r="S149" s="679"/>
      <c r="T149" s="679"/>
      <c r="U149" s="679"/>
      <c r="V149" s="695"/>
      <c r="W149" s="683"/>
      <c r="X149" s="572"/>
    </row>
    <row r="150" spans="1:25" x14ac:dyDescent="0.25">
      <c r="A150" s="677"/>
      <c r="B150" s="678" t="s">
        <v>269</v>
      </c>
      <c r="C150" s="679"/>
      <c r="D150" s="679"/>
      <c r="E150" s="679"/>
      <c r="F150" s="679"/>
      <c r="G150" s="679"/>
      <c r="H150" s="679"/>
      <c r="I150" s="679"/>
      <c r="J150" s="679"/>
      <c r="K150" s="679"/>
      <c r="L150" s="679"/>
      <c r="M150" s="679"/>
      <c r="N150" s="679"/>
      <c r="O150" s="679"/>
      <c r="P150" s="679"/>
      <c r="Q150" s="679"/>
      <c r="R150" s="679"/>
      <c r="S150" s="679"/>
      <c r="T150" s="679"/>
      <c r="U150" s="679"/>
      <c r="V150" s="695"/>
      <c r="W150" s="683"/>
      <c r="X150" s="572"/>
    </row>
    <row r="151" spans="1:25" s="589" customFormat="1" x14ac:dyDescent="0.25">
      <c r="A151" s="604"/>
      <c r="B151" s="605" t="s">
        <v>155</v>
      </c>
      <c r="C151" s="605"/>
      <c r="D151" s="605"/>
      <c r="E151" s="605"/>
      <c r="F151" s="605"/>
      <c r="G151" s="605"/>
      <c r="H151" s="605"/>
      <c r="I151" s="605"/>
      <c r="J151" s="605"/>
      <c r="K151" s="605"/>
      <c r="L151" s="605"/>
      <c r="M151" s="605"/>
      <c r="N151" s="605"/>
      <c r="O151" s="605"/>
      <c r="P151" s="605"/>
      <c r="Q151" s="605"/>
      <c r="R151" s="605"/>
      <c r="S151" s="605"/>
      <c r="T151" s="605"/>
      <c r="U151" s="605"/>
      <c r="V151" s="663">
        <v>0</v>
      </c>
      <c r="W151" s="607"/>
      <c r="X151" s="588"/>
    </row>
    <row r="152" spans="1:25" s="589" customFormat="1" x14ac:dyDescent="0.25">
      <c r="A152" s="604"/>
      <c r="B152" s="605" t="s">
        <v>172</v>
      </c>
      <c r="C152" s="605"/>
      <c r="D152" s="605"/>
      <c r="E152" s="605"/>
      <c r="F152" s="605"/>
      <c r="G152" s="605"/>
      <c r="H152" s="605"/>
      <c r="I152" s="605"/>
      <c r="J152" s="605"/>
      <c r="K152" s="605"/>
      <c r="L152" s="605"/>
      <c r="M152" s="605"/>
      <c r="N152" s="605"/>
      <c r="O152" s="605"/>
      <c r="P152" s="605"/>
      <c r="Q152" s="605"/>
      <c r="R152" s="605"/>
      <c r="S152" s="605"/>
      <c r="T152" s="605"/>
      <c r="U152" s="605"/>
      <c r="V152" s="663">
        <v>0</v>
      </c>
      <c r="W152" s="607"/>
      <c r="X152" s="588"/>
    </row>
    <row r="153" spans="1:25" s="589" customFormat="1" x14ac:dyDescent="0.25">
      <c r="A153" s="604"/>
      <c r="B153" s="605" t="s">
        <v>226</v>
      </c>
      <c r="C153" s="605"/>
      <c r="D153" s="605"/>
      <c r="E153" s="605"/>
      <c r="F153" s="605"/>
      <c r="G153" s="605"/>
      <c r="H153" s="605"/>
      <c r="I153" s="605"/>
      <c r="J153" s="605"/>
      <c r="K153" s="605"/>
      <c r="L153" s="605"/>
      <c r="M153" s="605"/>
      <c r="N153" s="605"/>
      <c r="O153" s="605"/>
      <c r="P153" s="605"/>
      <c r="Q153" s="605"/>
      <c r="R153" s="605"/>
      <c r="S153" s="605"/>
      <c r="T153" s="605"/>
      <c r="U153" s="605"/>
      <c r="V153" s="663">
        <v>0</v>
      </c>
      <c r="W153" s="607"/>
      <c r="X153" s="588"/>
    </row>
    <row r="154" spans="1:25" x14ac:dyDescent="0.25">
      <c r="A154" s="677"/>
      <c r="B154" s="679"/>
      <c r="C154" s="679"/>
      <c r="D154" s="679"/>
      <c r="E154" s="679"/>
      <c r="F154" s="679"/>
      <c r="G154" s="679"/>
      <c r="H154" s="679"/>
      <c r="I154" s="679"/>
      <c r="J154" s="679"/>
      <c r="K154" s="679"/>
      <c r="L154" s="679"/>
      <c r="M154" s="679"/>
      <c r="N154" s="679"/>
      <c r="O154" s="679"/>
      <c r="P154" s="679"/>
      <c r="Q154" s="679"/>
      <c r="R154" s="679"/>
      <c r="S154" s="679"/>
      <c r="T154" s="679"/>
      <c r="U154" s="679"/>
      <c r="V154" s="695"/>
      <c r="W154" s="683"/>
      <c r="X154" s="572"/>
    </row>
    <row r="155" spans="1:25" x14ac:dyDescent="0.25">
      <c r="A155" s="574"/>
      <c r="B155" s="664"/>
      <c r="C155" s="664"/>
      <c r="D155" s="664"/>
      <c r="E155" s="664"/>
      <c r="F155" s="664"/>
      <c r="G155" s="664"/>
      <c r="H155" s="664"/>
      <c r="I155" s="664"/>
      <c r="J155" s="664"/>
      <c r="K155" s="664"/>
      <c r="L155" s="664"/>
      <c r="M155" s="664"/>
      <c r="N155" s="664"/>
      <c r="O155" s="664"/>
      <c r="P155" s="664"/>
      <c r="Q155" s="664"/>
      <c r="R155" s="664"/>
      <c r="S155" s="664"/>
      <c r="T155" s="664"/>
      <c r="U155" s="664"/>
      <c r="V155" s="696"/>
      <c r="W155" s="664"/>
      <c r="X155" s="572"/>
    </row>
    <row r="156" spans="1:25" x14ac:dyDescent="0.25">
      <c r="A156" s="574"/>
      <c r="B156" s="694" t="s">
        <v>24</v>
      </c>
      <c r="C156" s="576"/>
      <c r="D156" s="576"/>
      <c r="E156" s="576"/>
      <c r="F156" s="576"/>
      <c r="G156" s="576"/>
      <c r="H156" s="576"/>
      <c r="I156" s="576"/>
      <c r="J156" s="576"/>
      <c r="K156" s="576"/>
      <c r="L156" s="576"/>
      <c r="M156" s="576"/>
      <c r="N156" s="576"/>
      <c r="O156" s="576"/>
      <c r="P156" s="576"/>
      <c r="Q156" s="576"/>
      <c r="R156" s="576"/>
      <c r="S156" s="576"/>
      <c r="T156" s="576"/>
      <c r="U156" s="576"/>
      <c r="V156" s="656"/>
      <c r="W156" s="576"/>
      <c r="X156" s="572"/>
    </row>
    <row r="157" spans="1:25" s="589" customFormat="1" x14ac:dyDescent="0.25">
      <c r="A157" s="604"/>
      <c r="B157" s="605" t="s">
        <v>47</v>
      </c>
      <c r="C157" s="605"/>
      <c r="D157" s="605"/>
      <c r="E157" s="605"/>
      <c r="F157" s="605"/>
      <c r="G157" s="605"/>
      <c r="H157" s="605"/>
      <c r="I157" s="605"/>
      <c r="J157" s="605"/>
      <c r="K157" s="605"/>
      <c r="L157" s="605"/>
      <c r="M157" s="605"/>
      <c r="N157" s="605"/>
      <c r="O157" s="605"/>
      <c r="P157" s="605"/>
      <c r="Q157" s="605"/>
      <c r="R157" s="605"/>
      <c r="S157" s="605"/>
      <c r="T157" s="605"/>
      <c r="U157" s="605"/>
      <c r="V157" s="697" t="s">
        <v>118</v>
      </c>
      <c r="W157" s="607"/>
      <c r="X157" s="588"/>
    </row>
    <row r="158" spans="1:25" s="589" customFormat="1" x14ac:dyDescent="0.25">
      <c r="A158" s="604"/>
      <c r="B158" s="605" t="s">
        <v>48</v>
      </c>
      <c r="C158" s="605"/>
      <c r="D158" s="605"/>
      <c r="E158" s="605"/>
      <c r="F158" s="605"/>
      <c r="G158" s="605"/>
      <c r="H158" s="605"/>
      <c r="I158" s="605"/>
      <c r="J158" s="605"/>
      <c r="K158" s="605"/>
      <c r="L158" s="605"/>
      <c r="M158" s="605"/>
      <c r="N158" s="605"/>
      <c r="O158" s="605"/>
      <c r="P158" s="605"/>
      <c r="Q158" s="605"/>
      <c r="R158" s="605"/>
      <c r="S158" s="605"/>
      <c r="T158" s="605"/>
      <c r="U158" s="605"/>
      <c r="V158" s="697" t="s">
        <v>118</v>
      </c>
      <c r="W158" s="607"/>
      <c r="X158" s="588"/>
    </row>
    <row r="159" spans="1:25" s="589" customFormat="1" x14ac:dyDescent="0.25">
      <c r="A159" s="604"/>
      <c r="B159" s="605" t="s">
        <v>49</v>
      </c>
      <c r="C159" s="605"/>
      <c r="D159" s="605"/>
      <c r="E159" s="605"/>
      <c r="F159" s="605"/>
      <c r="G159" s="605"/>
      <c r="H159" s="605"/>
      <c r="I159" s="605"/>
      <c r="J159" s="605"/>
      <c r="K159" s="605"/>
      <c r="L159" s="605"/>
      <c r="M159" s="605"/>
      <c r="N159" s="605"/>
      <c r="O159" s="605"/>
      <c r="P159" s="605"/>
      <c r="Q159" s="605"/>
      <c r="R159" s="605"/>
      <c r="S159" s="605"/>
      <c r="T159" s="605"/>
      <c r="U159" s="605"/>
      <c r="V159" s="697" t="s">
        <v>118</v>
      </c>
      <c r="W159" s="607"/>
      <c r="X159" s="588"/>
    </row>
    <row r="160" spans="1:25" s="589" customFormat="1" x14ac:dyDescent="0.25">
      <c r="A160" s="604"/>
      <c r="B160" s="605" t="s">
        <v>50</v>
      </c>
      <c r="C160" s="605"/>
      <c r="D160" s="605"/>
      <c r="E160" s="605"/>
      <c r="F160" s="605"/>
      <c r="G160" s="605"/>
      <c r="H160" s="605"/>
      <c r="I160" s="605"/>
      <c r="J160" s="605"/>
      <c r="K160" s="605"/>
      <c r="L160" s="605"/>
      <c r="M160" s="605"/>
      <c r="N160" s="605"/>
      <c r="O160" s="605"/>
      <c r="P160" s="605"/>
      <c r="Q160" s="605"/>
      <c r="R160" s="605"/>
      <c r="S160" s="605"/>
      <c r="T160" s="605"/>
      <c r="U160" s="605"/>
      <c r="V160" s="697" t="s">
        <v>118</v>
      </c>
      <c r="W160" s="607"/>
      <c r="X160" s="588"/>
    </row>
    <row r="161" spans="1:256" x14ac:dyDescent="0.25">
      <c r="A161" s="574"/>
      <c r="B161" s="664"/>
      <c r="C161" s="664"/>
      <c r="D161" s="664"/>
      <c r="E161" s="664"/>
      <c r="F161" s="664"/>
      <c r="G161" s="664"/>
      <c r="H161" s="664"/>
      <c r="I161" s="664"/>
      <c r="J161" s="664"/>
      <c r="K161" s="664"/>
      <c r="L161" s="664"/>
      <c r="M161" s="664"/>
      <c r="N161" s="664"/>
      <c r="O161" s="664"/>
      <c r="P161" s="664"/>
      <c r="Q161" s="664"/>
      <c r="R161" s="664"/>
      <c r="S161" s="664"/>
      <c r="T161" s="664"/>
      <c r="U161" s="664"/>
      <c r="V161" s="696"/>
      <c r="W161" s="664"/>
      <c r="X161" s="572"/>
    </row>
    <row r="162" spans="1:256" x14ac:dyDescent="0.25">
      <c r="A162" s="574"/>
      <c r="B162" s="694" t="s">
        <v>51</v>
      </c>
      <c r="C162" s="576"/>
      <c r="D162" s="576"/>
      <c r="E162" s="576"/>
      <c r="F162" s="576"/>
      <c r="G162" s="576"/>
      <c r="H162" s="576"/>
      <c r="I162" s="576"/>
      <c r="J162" s="576"/>
      <c r="K162" s="576"/>
      <c r="L162" s="576"/>
      <c r="M162" s="576"/>
      <c r="N162" s="576"/>
      <c r="O162" s="576"/>
      <c r="P162" s="576"/>
      <c r="Q162" s="576"/>
      <c r="R162" s="576"/>
      <c r="S162" s="576"/>
      <c r="T162" s="576"/>
      <c r="U162" s="576"/>
      <c r="V162" s="698"/>
      <c r="W162" s="576"/>
      <c r="X162" s="572"/>
    </row>
    <row r="163" spans="1:256" s="589" customFormat="1" x14ac:dyDescent="0.25">
      <c r="A163" s="604"/>
      <c r="B163" s="605" t="s">
        <v>52</v>
      </c>
      <c r="C163" s="605"/>
      <c r="D163" s="605"/>
      <c r="E163" s="605"/>
      <c r="F163" s="605"/>
      <c r="G163" s="605"/>
      <c r="H163" s="605"/>
      <c r="I163" s="605"/>
      <c r="J163" s="605"/>
      <c r="K163" s="605"/>
      <c r="L163" s="605"/>
      <c r="M163" s="605"/>
      <c r="N163" s="605"/>
      <c r="O163" s="605"/>
      <c r="P163" s="605"/>
      <c r="Q163" s="605"/>
      <c r="R163" s="605"/>
      <c r="S163" s="605"/>
      <c r="T163" s="605"/>
      <c r="U163" s="605"/>
      <c r="V163" s="663">
        <v>0</v>
      </c>
      <c r="W163" s="607"/>
      <c r="X163" s="588"/>
    </row>
    <row r="164" spans="1:256" s="589" customFormat="1" x14ac:dyDescent="0.25">
      <c r="A164" s="604"/>
      <c r="B164" s="605" t="s">
        <v>53</v>
      </c>
      <c r="C164" s="605"/>
      <c r="D164" s="605"/>
      <c r="E164" s="605"/>
      <c r="F164" s="605"/>
      <c r="G164" s="605"/>
      <c r="H164" s="605"/>
      <c r="I164" s="605"/>
      <c r="J164" s="605"/>
      <c r="K164" s="605"/>
      <c r="L164" s="605"/>
      <c r="M164" s="605"/>
      <c r="N164" s="605"/>
      <c r="O164" s="605"/>
      <c r="P164" s="605"/>
      <c r="Q164" s="605"/>
      <c r="R164" s="605"/>
      <c r="S164" s="605"/>
      <c r="T164" s="605"/>
      <c r="U164" s="605"/>
      <c r="V164" s="663">
        <v>150</v>
      </c>
      <c r="W164" s="607"/>
      <c r="X164" s="588"/>
    </row>
    <row r="165" spans="1:256" s="589" customFormat="1" x14ac:dyDescent="0.25">
      <c r="A165" s="604"/>
      <c r="B165" s="605" t="s">
        <v>54</v>
      </c>
      <c r="C165" s="605"/>
      <c r="D165" s="605"/>
      <c r="E165" s="605"/>
      <c r="F165" s="605"/>
      <c r="G165" s="605"/>
      <c r="H165" s="605"/>
      <c r="I165" s="605"/>
      <c r="J165" s="605"/>
      <c r="K165" s="605"/>
      <c r="L165" s="605"/>
      <c r="M165" s="605"/>
      <c r="N165" s="605"/>
      <c r="O165" s="605"/>
      <c r="P165" s="605"/>
      <c r="Q165" s="605"/>
      <c r="R165" s="605"/>
      <c r="S165" s="605"/>
      <c r="T165" s="605"/>
      <c r="U165" s="605"/>
      <c r="V165" s="663">
        <f>V164+V163</f>
        <v>150</v>
      </c>
      <c r="W165" s="607"/>
      <c r="X165" s="588"/>
    </row>
    <row r="166" spans="1:256" s="589" customFormat="1" x14ac:dyDescent="0.25">
      <c r="A166" s="604"/>
      <c r="B166" s="605" t="s">
        <v>303</v>
      </c>
      <c r="C166" s="605"/>
      <c r="D166" s="605"/>
      <c r="E166" s="605"/>
      <c r="F166" s="605"/>
      <c r="G166" s="605"/>
      <c r="H166" s="605"/>
      <c r="I166" s="605"/>
      <c r="J166" s="605"/>
      <c r="K166" s="605"/>
      <c r="L166" s="605"/>
      <c r="M166" s="605"/>
      <c r="N166" s="605"/>
      <c r="O166" s="605"/>
      <c r="P166" s="605"/>
      <c r="Q166" s="605"/>
      <c r="R166" s="605"/>
      <c r="S166" s="605"/>
      <c r="T166" s="605"/>
      <c r="U166" s="605"/>
      <c r="V166" s="663">
        <f>V114</f>
        <v>-150</v>
      </c>
      <c r="W166" s="607"/>
      <c r="X166" s="588"/>
    </row>
    <row r="167" spans="1:256" s="589" customFormat="1" x14ac:dyDescent="0.25">
      <c r="A167" s="604"/>
      <c r="B167" s="605" t="s">
        <v>55</v>
      </c>
      <c r="C167" s="605"/>
      <c r="D167" s="605"/>
      <c r="E167" s="605"/>
      <c r="F167" s="605"/>
      <c r="G167" s="605"/>
      <c r="H167" s="605"/>
      <c r="I167" s="605"/>
      <c r="J167" s="605"/>
      <c r="K167" s="605"/>
      <c r="L167" s="605"/>
      <c r="M167" s="605"/>
      <c r="N167" s="605"/>
      <c r="O167" s="605"/>
      <c r="P167" s="605"/>
      <c r="Q167" s="605"/>
      <c r="R167" s="605"/>
      <c r="S167" s="605"/>
      <c r="T167" s="605"/>
      <c r="U167" s="605"/>
      <c r="V167" s="663">
        <f>V165+V166</f>
        <v>0</v>
      </c>
      <c r="W167" s="607"/>
      <c r="X167" s="588"/>
    </row>
    <row r="168" spans="1:256" s="589" customFormat="1" x14ac:dyDescent="0.25">
      <c r="A168" s="604"/>
      <c r="B168" s="605" t="s">
        <v>274</v>
      </c>
      <c r="C168" s="605"/>
      <c r="D168" s="605"/>
      <c r="E168" s="605"/>
      <c r="F168" s="605"/>
      <c r="G168" s="605"/>
      <c r="H168" s="605"/>
      <c r="I168" s="605"/>
      <c r="J168" s="605"/>
      <c r="K168" s="605"/>
      <c r="L168" s="605"/>
      <c r="M168" s="605"/>
      <c r="N168" s="605"/>
      <c r="O168" s="605"/>
      <c r="P168" s="605"/>
      <c r="Q168" s="605"/>
      <c r="R168" s="605"/>
      <c r="S168" s="605"/>
      <c r="T168" s="605"/>
      <c r="U168" s="605"/>
      <c r="V168" s="663">
        <v>0</v>
      </c>
      <c r="W168" s="607"/>
      <c r="X168" s="588"/>
    </row>
    <row r="169" spans="1:256" ht="16.5" thickBot="1" x14ac:dyDescent="0.3">
      <c r="A169" s="574"/>
      <c r="B169" s="664"/>
      <c r="C169" s="664"/>
      <c r="D169" s="664"/>
      <c r="E169" s="664"/>
      <c r="F169" s="664"/>
      <c r="G169" s="664"/>
      <c r="H169" s="664"/>
      <c r="I169" s="664"/>
      <c r="J169" s="664"/>
      <c r="K169" s="664"/>
      <c r="L169" s="664"/>
      <c r="M169" s="664"/>
      <c r="N169" s="664"/>
      <c r="O169" s="664"/>
      <c r="P169" s="664"/>
      <c r="Q169" s="664"/>
      <c r="R169" s="664"/>
      <c r="S169" s="664"/>
      <c r="T169" s="664"/>
      <c r="U169" s="664"/>
      <c r="V169" s="696"/>
      <c r="W169" s="664"/>
      <c r="X169" s="572"/>
    </row>
    <row r="170" spans="1:256" x14ac:dyDescent="0.25">
      <c r="A170" s="569"/>
      <c r="B170" s="571"/>
      <c r="C170" s="571"/>
      <c r="D170" s="571"/>
      <c r="E170" s="571"/>
      <c r="F170" s="571"/>
      <c r="G170" s="571"/>
      <c r="H170" s="571"/>
      <c r="I170" s="571"/>
      <c r="J170" s="571"/>
      <c r="K170" s="571"/>
      <c r="L170" s="571"/>
      <c r="M170" s="571"/>
      <c r="N170" s="571"/>
      <c r="O170" s="571"/>
      <c r="P170" s="571"/>
      <c r="Q170" s="571"/>
      <c r="R170" s="571"/>
      <c r="S170" s="571"/>
      <c r="T170" s="571"/>
      <c r="U170" s="571"/>
      <c r="V170" s="699"/>
      <c r="W170" s="571"/>
      <c r="X170" s="572"/>
    </row>
    <row r="171" spans="1:256" s="701" customFormat="1" x14ac:dyDescent="0.25">
      <c r="A171" s="574"/>
      <c r="B171" s="694" t="s">
        <v>230</v>
      </c>
      <c r="C171" s="664"/>
      <c r="D171" s="664"/>
      <c r="E171" s="664"/>
      <c r="F171" s="664"/>
      <c r="G171" s="664"/>
      <c r="H171" s="664"/>
      <c r="I171" s="664"/>
      <c r="J171" s="664"/>
      <c r="K171" s="664"/>
      <c r="L171" s="664"/>
      <c r="M171" s="664"/>
      <c r="N171" s="664"/>
      <c r="O171" s="664"/>
      <c r="P171" s="664"/>
      <c r="Q171" s="664"/>
      <c r="R171" s="664"/>
      <c r="S171" s="664"/>
      <c r="T171" s="664"/>
      <c r="U171" s="664"/>
      <c r="V171" s="700"/>
      <c r="W171" s="664"/>
      <c r="X171" s="572"/>
      <c r="Y171" s="573"/>
      <c r="Z171" s="573"/>
      <c r="AA171" s="573"/>
      <c r="AB171" s="573"/>
      <c r="AC171" s="573"/>
      <c r="AD171" s="573"/>
      <c r="AE171" s="573"/>
      <c r="AF171" s="573"/>
      <c r="AG171" s="573"/>
      <c r="AH171" s="573"/>
      <c r="AI171" s="573"/>
      <c r="AJ171" s="573"/>
      <c r="AK171" s="573"/>
      <c r="AL171" s="573"/>
      <c r="AM171" s="573"/>
      <c r="AN171" s="573"/>
      <c r="AO171" s="573"/>
      <c r="AP171" s="573"/>
      <c r="AQ171" s="573"/>
      <c r="AR171" s="573"/>
      <c r="AS171" s="573"/>
      <c r="AT171" s="573"/>
      <c r="AU171" s="573"/>
      <c r="AV171" s="573"/>
      <c r="AW171" s="573"/>
      <c r="AX171" s="573"/>
      <c r="AY171" s="573"/>
      <c r="AZ171" s="573"/>
      <c r="BA171" s="573"/>
      <c r="BB171" s="573"/>
      <c r="BC171" s="573"/>
      <c r="BD171" s="573"/>
      <c r="BE171" s="573"/>
      <c r="BF171" s="573"/>
      <c r="BG171" s="573"/>
      <c r="BH171" s="573"/>
      <c r="BI171" s="573"/>
      <c r="BJ171" s="573"/>
      <c r="BK171" s="573"/>
      <c r="BL171" s="573"/>
      <c r="BM171" s="573"/>
      <c r="BN171" s="573"/>
      <c r="BO171" s="573"/>
      <c r="BP171" s="573"/>
      <c r="BQ171" s="573"/>
      <c r="BR171" s="573"/>
      <c r="BS171" s="573"/>
      <c r="BT171" s="573"/>
      <c r="BU171" s="573"/>
      <c r="BV171" s="573"/>
      <c r="BW171" s="573"/>
      <c r="BX171" s="573"/>
      <c r="BY171" s="573"/>
      <c r="BZ171" s="573"/>
      <c r="CA171" s="573"/>
      <c r="CB171" s="573"/>
      <c r="CC171" s="573"/>
      <c r="CD171" s="573"/>
      <c r="CE171" s="573"/>
      <c r="CF171" s="573"/>
      <c r="CG171" s="573"/>
      <c r="CH171" s="573"/>
      <c r="CI171" s="573"/>
      <c r="CJ171" s="573"/>
      <c r="CK171" s="573"/>
      <c r="CL171" s="573"/>
      <c r="CM171" s="573"/>
      <c r="CN171" s="573"/>
      <c r="CO171" s="573"/>
      <c r="CP171" s="573"/>
      <c r="CQ171" s="573"/>
      <c r="CR171" s="573"/>
      <c r="CS171" s="573"/>
      <c r="CT171" s="573"/>
      <c r="CU171" s="573"/>
      <c r="CV171" s="573"/>
      <c r="CW171" s="573"/>
      <c r="CX171" s="573"/>
      <c r="CY171" s="573"/>
      <c r="CZ171" s="573"/>
      <c r="DA171" s="573"/>
      <c r="DB171" s="573"/>
      <c r="DC171" s="573"/>
      <c r="DD171" s="573"/>
      <c r="DE171" s="573"/>
      <c r="DF171" s="573"/>
      <c r="DG171" s="573"/>
      <c r="DH171" s="573"/>
      <c r="DI171" s="573"/>
      <c r="DJ171" s="573"/>
      <c r="DK171" s="573"/>
      <c r="DL171" s="573"/>
      <c r="DM171" s="573"/>
      <c r="DN171" s="573"/>
      <c r="DO171" s="573"/>
      <c r="DP171" s="573"/>
      <c r="DQ171" s="573"/>
      <c r="DR171" s="573"/>
      <c r="DS171" s="573"/>
      <c r="DT171" s="573"/>
      <c r="DU171" s="573"/>
      <c r="DV171" s="573"/>
      <c r="DW171" s="573"/>
      <c r="DX171" s="573"/>
      <c r="DY171" s="573"/>
      <c r="DZ171" s="573"/>
      <c r="EA171" s="573"/>
      <c r="EB171" s="573"/>
      <c r="EC171" s="573"/>
      <c r="ED171" s="573"/>
      <c r="EE171" s="573"/>
      <c r="EF171" s="573"/>
      <c r="EG171" s="573"/>
      <c r="EH171" s="573"/>
      <c r="EI171" s="573"/>
      <c r="EJ171" s="573"/>
      <c r="EK171" s="573"/>
      <c r="EL171" s="573"/>
      <c r="EM171" s="573"/>
      <c r="EN171" s="573"/>
      <c r="EO171" s="573"/>
      <c r="EP171" s="573"/>
      <c r="EQ171" s="573"/>
      <c r="ER171" s="573"/>
      <c r="ES171" s="573"/>
      <c r="ET171" s="573"/>
      <c r="EU171" s="573"/>
      <c r="EV171" s="573"/>
      <c r="EW171" s="573"/>
      <c r="EX171" s="573"/>
      <c r="EY171" s="573"/>
      <c r="EZ171" s="573"/>
      <c r="FA171" s="573"/>
      <c r="FB171" s="573"/>
      <c r="FC171" s="573"/>
      <c r="FD171" s="573"/>
      <c r="FE171" s="573"/>
      <c r="FF171" s="573"/>
      <c r="FG171" s="573"/>
      <c r="FH171" s="573"/>
      <c r="FI171" s="573"/>
      <c r="FJ171" s="573"/>
      <c r="FK171" s="573"/>
      <c r="FL171" s="573"/>
      <c r="FM171" s="573"/>
      <c r="FN171" s="573"/>
      <c r="FO171" s="573"/>
      <c r="FP171" s="573"/>
      <c r="FQ171" s="573"/>
      <c r="FR171" s="573"/>
      <c r="FS171" s="573"/>
      <c r="FT171" s="573"/>
      <c r="FU171" s="573"/>
      <c r="FV171" s="573"/>
      <c r="FW171" s="573"/>
      <c r="FX171" s="573"/>
      <c r="FY171" s="573"/>
      <c r="FZ171" s="573"/>
      <c r="GA171" s="573"/>
      <c r="GB171" s="573"/>
      <c r="GC171" s="573"/>
      <c r="GD171" s="573"/>
      <c r="GE171" s="573"/>
      <c r="GF171" s="573"/>
      <c r="GG171" s="573"/>
      <c r="GH171" s="573"/>
      <c r="GI171" s="573"/>
      <c r="GJ171" s="573"/>
      <c r="GK171" s="573"/>
      <c r="GL171" s="573"/>
      <c r="GM171" s="573"/>
      <c r="GN171" s="573"/>
      <c r="GO171" s="573"/>
      <c r="GP171" s="573"/>
      <c r="GQ171" s="573"/>
      <c r="GR171" s="573"/>
      <c r="GS171" s="573"/>
      <c r="GT171" s="573"/>
      <c r="GU171" s="573"/>
      <c r="GV171" s="573"/>
      <c r="GW171" s="573"/>
      <c r="GX171" s="573"/>
      <c r="GY171" s="573"/>
      <c r="GZ171" s="573"/>
      <c r="HA171" s="573"/>
      <c r="HB171" s="573"/>
      <c r="HC171" s="573"/>
      <c r="HD171" s="573"/>
      <c r="HE171" s="573"/>
      <c r="HF171" s="573"/>
      <c r="HG171" s="573"/>
      <c r="HH171" s="573"/>
      <c r="HI171" s="573"/>
      <c r="HJ171" s="573"/>
      <c r="HK171" s="573"/>
      <c r="HL171" s="573"/>
      <c r="HM171" s="573"/>
      <c r="HN171" s="573"/>
      <c r="HO171" s="573"/>
      <c r="HP171" s="573"/>
      <c r="HQ171" s="573"/>
      <c r="HR171" s="573"/>
      <c r="HS171" s="573"/>
      <c r="HT171" s="573"/>
      <c r="HU171" s="573"/>
      <c r="HV171" s="573"/>
      <c r="HW171" s="573"/>
      <c r="HX171" s="573"/>
      <c r="HY171" s="573"/>
      <c r="HZ171" s="573"/>
      <c r="IA171" s="573"/>
      <c r="IB171" s="573"/>
      <c r="IC171" s="573"/>
      <c r="ID171" s="573"/>
      <c r="IE171" s="573"/>
      <c r="IF171" s="573"/>
      <c r="IG171" s="573"/>
      <c r="IH171" s="573"/>
      <c r="II171" s="573"/>
      <c r="IJ171" s="573"/>
      <c r="IK171" s="573"/>
      <c r="IL171" s="573"/>
      <c r="IM171" s="573"/>
      <c r="IN171" s="573"/>
      <c r="IO171" s="573"/>
      <c r="IP171" s="573"/>
      <c r="IQ171" s="573"/>
      <c r="IR171" s="573"/>
      <c r="IS171" s="573"/>
      <c r="IT171" s="573"/>
      <c r="IU171" s="573"/>
      <c r="IV171" s="573"/>
    </row>
    <row r="172" spans="1:256" s="702" customFormat="1" x14ac:dyDescent="0.25">
      <c r="A172" s="604"/>
      <c r="B172" s="605" t="s">
        <v>231</v>
      </c>
      <c r="C172" s="605"/>
      <c r="D172" s="605"/>
      <c r="E172" s="605"/>
      <c r="F172" s="605"/>
      <c r="G172" s="605"/>
      <c r="H172" s="605"/>
      <c r="I172" s="605"/>
      <c r="J172" s="605"/>
      <c r="K172" s="605"/>
      <c r="L172" s="605"/>
      <c r="M172" s="605"/>
      <c r="N172" s="605"/>
      <c r="O172" s="605"/>
      <c r="P172" s="605"/>
      <c r="Q172" s="605"/>
      <c r="R172" s="605"/>
      <c r="S172" s="605"/>
      <c r="T172" s="605"/>
      <c r="U172" s="605"/>
      <c r="V172" s="663">
        <f>+'Aug 08'!V173</f>
        <v>0</v>
      </c>
      <c r="W172" s="607"/>
      <c r="X172" s="588"/>
      <c r="Y172" s="589"/>
      <c r="Z172" s="589"/>
      <c r="AA172" s="589"/>
      <c r="AB172" s="589"/>
      <c r="AC172" s="589"/>
      <c r="AD172" s="589"/>
      <c r="AE172" s="589"/>
      <c r="AF172" s="589"/>
      <c r="AG172" s="589"/>
      <c r="AH172" s="589"/>
      <c r="AI172" s="589"/>
      <c r="AJ172" s="589"/>
      <c r="AK172" s="589"/>
      <c r="AL172" s="589"/>
      <c r="AM172" s="589"/>
      <c r="AN172" s="589"/>
      <c r="AO172" s="589"/>
      <c r="AP172" s="589"/>
      <c r="AQ172" s="589"/>
      <c r="AR172" s="589"/>
      <c r="AS172" s="589"/>
      <c r="AT172" s="589"/>
      <c r="AU172" s="589"/>
      <c r="AV172" s="589"/>
      <c r="AW172" s="589"/>
      <c r="AX172" s="589"/>
      <c r="AY172" s="589"/>
      <c r="AZ172" s="589"/>
      <c r="BA172" s="589"/>
      <c r="BB172" s="589"/>
      <c r="BC172" s="589"/>
      <c r="BD172" s="589"/>
      <c r="BE172" s="589"/>
      <c r="BF172" s="589"/>
      <c r="BG172" s="589"/>
      <c r="BH172" s="589"/>
      <c r="BI172" s="589"/>
      <c r="BJ172" s="589"/>
      <c r="BK172" s="589"/>
      <c r="BL172" s="589"/>
      <c r="BM172" s="589"/>
      <c r="BN172" s="589"/>
      <c r="BO172" s="589"/>
      <c r="BP172" s="589"/>
      <c r="BQ172" s="589"/>
      <c r="BR172" s="589"/>
      <c r="BS172" s="589"/>
      <c r="BT172" s="589"/>
      <c r="BU172" s="589"/>
      <c r="BV172" s="589"/>
      <c r="BW172" s="589"/>
      <c r="BX172" s="589"/>
      <c r="BY172" s="589"/>
      <c r="BZ172" s="589"/>
      <c r="CA172" s="589"/>
      <c r="CB172" s="589"/>
      <c r="CC172" s="589"/>
      <c r="CD172" s="589"/>
      <c r="CE172" s="589"/>
      <c r="CF172" s="589"/>
      <c r="CG172" s="589"/>
      <c r="CH172" s="589"/>
      <c r="CI172" s="589"/>
      <c r="CJ172" s="589"/>
      <c r="CK172" s="589"/>
      <c r="CL172" s="589"/>
      <c r="CM172" s="589"/>
      <c r="CN172" s="589"/>
      <c r="CO172" s="589"/>
      <c r="CP172" s="589"/>
      <c r="CQ172" s="589"/>
      <c r="CR172" s="589"/>
      <c r="CS172" s="589"/>
      <c r="CT172" s="589"/>
      <c r="CU172" s="589"/>
      <c r="CV172" s="589"/>
      <c r="CW172" s="589"/>
      <c r="CX172" s="589"/>
      <c r="CY172" s="589"/>
      <c r="CZ172" s="589"/>
      <c r="DA172" s="589"/>
      <c r="DB172" s="589"/>
      <c r="DC172" s="589"/>
      <c r="DD172" s="589"/>
      <c r="DE172" s="589"/>
      <c r="DF172" s="589"/>
      <c r="DG172" s="589"/>
      <c r="DH172" s="589"/>
      <c r="DI172" s="589"/>
      <c r="DJ172" s="589"/>
      <c r="DK172" s="589"/>
      <c r="DL172" s="589"/>
      <c r="DM172" s="589"/>
      <c r="DN172" s="589"/>
      <c r="DO172" s="589"/>
      <c r="DP172" s="589"/>
      <c r="DQ172" s="589"/>
      <c r="DR172" s="589"/>
      <c r="DS172" s="589"/>
      <c r="DT172" s="589"/>
      <c r="DU172" s="589"/>
      <c r="DV172" s="589"/>
      <c r="DW172" s="589"/>
      <c r="DX172" s="589"/>
      <c r="DY172" s="589"/>
      <c r="DZ172" s="589"/>
      <c r="EA172" s="589"/>
      <c r="EB172" s="589"/>
      <c r="EC172" s="589"/>
      <c r="ED172" s="589"/>
      <c r="EE172" s="589"/>
      <c r="EF172" s="589"/>
      <c r="EG172" s="589"/>
      <c r="EH172" s="589"/>
      <c r="EI172" s="589"/>
      <c r="EJ172" s="589"/>
      <c r="EK172" s="589"/>
      <c r="EL172" s="589"/>
      <c r="EM172" s="589"/>
      <c r="EN172" s="589"/>
      <c r="EO172" s="589"/>
      <c r="EP172" s="589"/>
      <c r="EQ172" s="589"/>
      <c r="ER172" s="589"/>
      <c r="ES172" s="589"/>
      <c r="ET172" s="589"/>
      <c r="EU172" s="589"/>
      <c r="EV172" s="589"/>
      <c r="EW172" s="589"/>
      <c r="EX172" s="589"/>
      <c r="EY172" s="589"/>
      <c r="EZ172" s="589"/>
      <c r="FA172" s="589"/>
      <c r="FB172" s="589"/>
      <c r="FC172" s="589"/>
      <c r="FD172" s="589"/>
      <c r="FE172" s="589"/>
      <c r="FF172" s="589"/>
      <c r="FG172" s="589"/>
      <c r="FH172" s="589"/>
      <c r="FI172" s="589"/>
      <c r="FJ172" s="589"/>
      <c r="FK172" s="589"/>
      <c r="FL172" s="589"/>
      <c r="FM172" s="589"/>
      <c r="FN172" s="589"/>
      <c r="FO172" s="589"/>
      <c r="FP172" s="589"/>
      <c r="FQ172" s="589"/>
      <c r="FR172" s="589"/>
      <c r="FS172" s="589"/>
      <c r="FT172" s="589"/>
      <c r="FU172" s="589"/>
      <c r="FV172" s="589"/>
      <c r="FW172" s="589"/>
      <c r="FX172" s="589"/>
      <c r="FY172" s="589"/>
      <c r="FZ172" s="589"/>
      <c r="GA172" s="589"/>
      <c r="GB172" s="589"/>
      <c r="GC172" s="589"/>
      <c r="GD172" s="589"/>
      <c r="GE172" s="589"/>
      <c r="GF172" s="589"/>
      <c r="GG172" s="589"/>
      <c r="GH172" s="589"/>
      <c r="GI172" s="589"/>
      <c r="GJ172" s="589"/>
      <c r="GK172" s="589"/>
      <c r="GL172" s="589"/>
      <c r="GM172" s="589"/>
      <c r="GN172" s="589"/>
      <c r="GO172" s="589"/>
      <c r="GP172" s="589"/>
      <c r="GQ172" s="589"/>
      <c r="GR172" s="589"/>
      <c r="GS172" s="589"/>
      <c r="GT172" s="589"/>
      <c r="GU172" s="589"/>
      <c r="GV172" s="589"/>
      <c r="GW172" s="589"/>
      <c r="GX172" s="589"/>
      <c r="GY172" s="589"/>
      <c r="GZ172" s="589"/>
      <c r="HA172" s="589"/>
      <c r="HB172" s="589"/>
      <c r="HC172" s="589"/>
      <c r="HD172" s="589"/>
      <c r="HE172" s="589"/>
      <c r="HF172" s="589"/>
      <c r="HG172" s="589"/>
      <c r="HH172" s="589"/>
      <c r="HI172" s="589"/>
      <c r="HJ172" s="589"/>
      <c r="HK172" s="589"/>
      <c r="HL172" s="589"/>
      <c r="HM172" s="589"/>
      <c r="HN172" s="589"/>
      <c r="HO172" s="589"/>
      <c r="HP172" s="589"/>
      <c r="HQ172" s="589"/>
      <c r="HR172" s="589"/>
      <c r="HS172" s="589"/>
      <c r="HT172" s="589"/>
      <c r="HU172" s="589"/>
      <c r="HV172" s="589"/>
      <c r="HW172" s="589"/>
      <c r="HX172" s="589"/>
      <c r="HY172" s="589"/>
      <c r="HZ172" s="589"/>
      <c r="IA172" s="589"/>
      <c r="IB172" s="589"/>
      <c r="IC172" s="589"/>
      <c r="ID172" s="589"/>
      <c r="IE172" s="589"/>
      <c r="IF172" s="589"/>
      <c r="IG172" s="589"/>
      <c r="IH172" s="589"/>
      <c r="II172" s="589"/>
      <c r="IJ172" s="589"/>
      <c r="IK172" s="589"/>
      <c r="IL172" s="589"/>
      <c r="IM172" s="589"/>
      <c r="IN172" s="589"/>
      <c r="IO172" s="589"/>
      <c r="IP172" s="589"/>
      <c r="IQ172" s="589"/>
      <c r="IR172" s="589"/>
      <c r="IS172" s="589"/>
      <c r="IT172" s="589"/>
      <c r="IU172" s="589"/>
      <c r="IV172" s="589"/>
    </row>
    <row r="173" spans="1:256" s="702" customFormat="1" x14ac:dyDescent="0.25">
      <c r="A173" s="604"/>
      <c r="B173" s="605" t="s">
        <v>234</v>
      </c>
      <c r="C173" s="605"/>
      <c r="D173" s="605"/>
      <c r="E173" s="605"/>
      <c r="F173" s="605"/>
      <c r="G173" s="605"/>
      <c r="H173" s="605"/>
      <c r="I173" s="605"/>
      <c r="J173" s="605"/>
      <c r="K173" s="605"/>
      <c r="L173" s="605"/>
      <c r="M173" s="605"/>
      <c r="N173" s="605"/>
      <c r="O173" s="605"/>
      <c r="P173" s="605"/>
      <c r="Q173" s="605"/>
      <c r="R173" s="605"/>
      <c r="S173" s="605"/>
      <c r="T173" s="605"/>
      <c r="U173" s="605"/>
      <c r="V173" s="663">
        <f>+V94</f>
        <v>0</v>
      </c>
      <c r="W173" s="607"/>
      <c r="X173" s="588"/>
      <c r="Y173" s="589"/>
      <c r="Z173" s="589"/>
      <c r="AA173" s="589"/>
      <c r="AB173" s="589"/>
      <c r="AC173" s="589"/>
      <c r="AD173" s="589"/>
      <c r="AE173" s="589"/>
      <c r="AF173" s="589"/>
      <c r="AG173" s="589"/>
      <c r="AH173" s="589"/>
      <c r="AI173" s="589"/>
      <c r="AJ173" s="589"/>
      <c r="AK173" s="589"/>
      <c r="AL173" s="589"/>
      <c r="AM173" s="589"/>
      <c r="AN173" s="589"/>
      <c r="AO173" s="589"/>
      <c r="AP173" s="589"/>
      <c r="AQ173" s="589"/>
      <c r="AR173" s="589"/>
      <c r="AS173" s="589"/>
      <c r="AT173" s="589"/>
      <c r="AU173" s="589"/>
      <c r="AV173" s="589"/>
      <c r="AW173" s="589"/>
      <c r="AX173" s="589"/>
      <c r="AY173" s="589"/>
      <c r="AZ173" s="589"/>
      <c r="BA173" s="589"/>
      <c r="BB173" s="589"/>
      <c r="BC173" s="589"/>
      <c r="BD173" s="589"/>
      <c r="BE173" s="589"/>
      <c r="BF173" s="589"/>
      <c r="BG173" s="589"/>
      <c r="BH173" s="589"/>
      <c r="BI173" s="589"/>
      <c r="BJ173" s="589"/>
      <c r="BK173" s="589"/>
      <c r="BL173" s="589"/>
      <c r="BM173" s="589"/>
      <c r="BN173" s="589"/>
      <c r="BO173" s="589"/>
      <c r="BP173" s="589"/>
      <c r="BQ173" s="589"/>
      <c r="BR173" s="589"/>
      <c r="BS173" s="589"/>
      <c r="BT173" s="589"/>
      <c r="BU173" s="589"/>
      <c r="BV173" s="589"/>
      <c r="BW173" s="589"/>
      <c r="BX173" s="589"/>
      <c r="BY173" s="589"/>
      <c r="BZ173" s="589"/>
      <c r="CA173" s="589"/>
      <c r="CB173" s="589"/>
      <c r="CC173" s="589"/>
      <c r="CD173" s="589"/>
      <c r="CE173" s="589"/>
      <c r="CF173" s="589"/>
      <c r="CG173" s="589"/>
      <c r="CH173" s="589"/>
      <c r="CI173" s="589"/>
      <c r="CJ173" s="589"/>
      <c r="CK173" s="589"/>
      <c r="CL173" s="589"/>
      <c r="CM173" s="589"/>
      <c r="CN173" s="589"/>
      <c r="CO173" s="589"/>
      <c r="CP173" s="589"/>
      <c r="CQ173" s="589"/>
      <c r="CR173" s="589"/>
      <c r="CS173" s="589"/>
      <c r="CT173" s="589"/>
      <c r="CU173" s="589"/>
      <c r="CV173" s="589"/>
      <c r="CW173" s="589"/>
      <c r="CX173" s="589"/>
      <c r="CY173" s="589"/>
      <c r="CZ173" s="589"/>
      <c r="DA173" s="589"/>
      <c r="DB173" s="589"/>
      <c r="DC173" s="589"/>
      <c r="DD173" s="589"/>
      <c r="DE173" s="589"/>
      <c r="DF173" s="589"/>
      <c r="DG173" s="589"/>
      <c r="DH173" s="589"/>
      <c r="DI173" s="589"/>
      <c r="DJ173" s="589"/>
      <c r="DK173" s="589"/>
      <c r="DL173" s="589"/>
      <c r="DM173" s="589"/>
      <c r="DN173" s="589"/>
      <c r="DO173" s="589"/>
      <c r="DP173" s="589"/>
      <c r="DQ173" s="589"/>
      <c r="DR173" s="589"/>
      <c r="DS173" s="589"/>
      <c r="DT173" s="589"/>
      <c r="DU173" s="589"/>
      <c r="DV173" s="589"/>
      <c r="DW173" s="589"/>
      <c r="DX173" s="589"/>
      <c r="DY173" s="589"/>
      <c r="DZ173" s="589"/>
      <c r="EA173" s="589"/>
      <c r="EB173" s="589"/>
      <c r="EC173" s="589"/>
      <c r="ED173" s="589"/>
      <c r="EE173" s="589"/>
      <c r="EF173" s="589"/>
      <c r="EG173" s="589"/>
      <c r="EH173" s="589"/>
      <c r="EI173" s="589"/>
      <c r="EJ173" s="589"/>
      <c r="EK173" s="589"/>
      <c r="EL173" s="589"/>
      <c r="EM173" s="589"/>
      <c r="EN173" s="589"/>
      <c r="EO173" s="589"/>
      <c r="EP173" s="589"/>
      <c r="EQ173" s="589"/>
      <c r="ER173" s="589"/>
      <c r="ES173" s="589"/>
      <c r="ET173" s="589"/>
      <c r="EU173" s="589"/>
      <c r="EV173" s="589"/>
      <c r="EW173" s="589"/>
      <c r="EX173" s="589"/>
      <c r="EY173" s="589"/>
      <c r="EZ173" s="589"/>
      <c r="FA173" s="589"/>
      <c r="FB173" s="589"/>
      <c r="FC173" s="589"/>
      <c r="FD173" s="589"/>
      <c r="FE173" s="589"/>
      <c r="FF173" s="589"/>
      <c r="FG173" s="589"/>
      <c r="FH173" s="589"/>
      <c r="FI173" s="589"/>
      <c r="FJ173" s="589"/>
      <c r="FK173" s="589"/>
      <c r="FL173" s="589"/>
      <c r="FM173" s="589"/>
      <c r="FN173" s="589"/>
      <c r="FO173" s="589"/>
      <c r="FP173" s="589"/>
      <c r="FQ173" s="589"/>
      <c r="FR173" s="589"/>
      <c r="FS173" s="589"/>
      <c r="FT173" s="589"/>
      <c r="FU173" s="589"/>
      <c r="FV173" s="589"/>
      <c r="FW173" s="589"/>
      <c r="FX173" s="589"/>
      <c r="FY173" s="589"/>
      <c r="FZ173" s="589"/>
      <c r="GA173" s="589"/>
      <c r="GB173" s="589"/>
      <c r="GC173" s="589"/>
      <c r="GD173" s="589"/>
      <c r="GE173" s="589"/>
      <c r="GF173" s="589"/>
      <c r="GG173" s="589"/>
      <c r="GH173" s="589"/>
      <c r="GI173" s="589"/>
      <c r="GJ173" s="589"/>
      <c r="GK173" s="589"/>
      <c r="GL173" s="589"/>
      <c r="GM173" s="589"/>
      <c r="GN173" s="589"/>
      <c r="GO173" s="589"/>
      <c r="GP173" s="589"/>
      <c r="GQ173" s="589"/>
      <c r="GR173" s="589"/>
      <c r="GS173" s="589"/>
      <c r="GT173" s="589"/>
      <c r="GU173" s="589"/>
      <c r="GV173" s="589"/>
      <c r="GW173" s="589"/>
      <c r="GX173" s="589"/>
      <c r="GY173" s="589"/>
      <c r="GZ173" s="589"/>
      <c r="HA173" s="589"/>
      <c r="HB173" s="589"/>
      <c r="HC173" s="589"/>
      <c r="HD173" s="589"/>
      <c r="HE173" s="589"/>
      <c r="HF173" s="589"/>
      <c r="HG173" s="589"/>
      <c r="HH173" s="589"/>
      <c r="HI173" s="589"/>
      <c r="HJ173" s="589"/>
      <c r="HK173" s="589"/>
      <c r="HL173" s="589"/>
      <c r="HM173" s="589"/>
      <c r="HN173" s="589"/>
      <c r="HO173" s="589"/>
      <c r="HP173" s="589"/>
      <c r="HQ173" s="589"/>
      <c r="HR173" s="589"/>
      <c r="HS173" s="589"/>
      <c r="HT173" s="589"/>
      <c r="HU173" s="589"/>
      <c r="HV173" s="589"/>
      <c r="HW173" s="589"/>
      <c r="HX173" s="589"/>
      <c r="HY173" s="589"/>
      <c r="HZ173" s="589"/>
      <c r="IA173" s="589"/>
      <c r="IB173" s="589"/>
      <c r="IC173" s="589"/>
      <c r="ID173" s="589"/>
      <c r="IE173" s="589"/>
      <c r="IF173" s="589"/>
      <c r="IG173" s="589"/>
      <c r="IH173" s="589"/>
      <c r="II173" s="589"/>
      <c r="IJ173" s="589"/>
      <c r="IK173" s="589"/>
      <c r="IL173" s="589"/>
      <c r="IM173" s="589"/>
      <c r="IN173" s="589"/>
      <c r="IO173" s="589"/>
      <c r="IP173" s="589"/>
      <c r="IQ173" s="589"/>
      <c r="IR173" s="589"/>
      <c r="IS173" s="589"/>
      <c r="IT173" s="589"/>
      <c r="IU173" s="589"/>
      <c r="IV173" s="589"/>
    </row>
    <row r="174" spans="1:256" s="702" customFormat="1" x14ac:dyDescent="0.25">
      <c r="A174" s="604"/>
      <c r="B174" s="605" t="s">
        <v>232</v>
      </c>
      <c r="C174" s="605"/>
      <c r="D174" s="605"/>
      <c r="E174" s="605"/>
      <c r="F174" s="605"/>
      <c r="G174" s="605"/>
      <c r="H174" s="605"/>
      <c r="I174" s="605"/>
      <c r="J174" s="605"/>
      <c r="K174" s="605"/>
      <c r="L174" s="605"/>
      <c r="M174" s="605"/>
      <c r="N174" s="605"/>
      <c r="O174" s="605"/>
      <c r="P174" s="605"/>
      <c r="Q174" s="605"/>
      <c r="R174" s="605"/>
      <c r="S174" s="605"/>
      <c r="T174" s="605"/>
      <c r="U174" s="605"/>
      <c r="V174" s="663">
        <f>+V172-V173</f>
        <v>0</v>
      </c>
      <c r="W174" s="607"/>
      <c r="X174" s="588"/>
      <c r="Y174" s="589"/>
      <c r="Z174" s="589"/>
      <c r="AA174" s="589"/>
      <c r="AB174" s="589"/>
      <c r="AC174" s="589"/>
      <c r="AD174" s="589"/>
      <c r="AE174" s="589"/>
      <c r="AF174" s="589"/>
      <c r="AG174" s="589"/>
      <c r="AH174" s="589"/>
      <c r="AI174" s="589"/>
      <c r="AJ174" s="589"/>
      <c r="AK174" s="589"/>
      <c r="AL174" s="589"/>
      <c r="AM174" s="589"/>
      <c r="AN174" s="589"/>
      <c r="AO174" s="589"/>
      <c r="AP174" s="589"/>
      <c r="AQ174" s="589"/>
      <c r="AR174" s="589"/>
      <c r="AS174" s="589"/>
      <c r="AT174" s="589"/>
      <c r="AU174" s="589"/>
      <c r="AV174" s="589"/>
      <c r="AW174" s="589"/>
      <c r="AX174" s="589"/>
      <c r="AY174" s="589"/>
      <c r="AZ174" s="589"/>
      <c r="BA174" s="589"/>
      <c r="BB174" s="589"/>
      <c r="BC174" s="589"/>
      <c r="BD174" s="589"/>
      <c r="BE174" s="589"/>
      <c r="BF174" s="589"/>
      <c r="BG174" s="589"/>
      <c r="BH174" s="589"/>
      <c r="BI174" s="589"/>
      <c r="BJ174" s="589"/>
      <c r="BK174" s="589"/>
      <c r="BL174" s="589"/>
      <c r="BM174" s="589"/>
      <c r="BN174" s="589"/>
      <c r="BO174" s="589"/>
      <c r="BP174" s="589"/>
      <c r="BQ174" s="589"/>
      <c r="BR174" s="589"/>
      <c r="BS174" s="589"/>
      <c r="BT174" s="589"/>
      <c r="BU174" s="589"/>
      <c r="BV174" s="589"/>
      <c r="BW174" s="589"/>
      <c r="BX174" s="589"/>
      <c r="BY174" s="589"/>
      <c r="BZ174" s="589"/>
      <c r="CA174" s="589"/>
      <c r="CB174" s="589"/>
      <c r="CC174" s="589"/>
      <c r="CD174" s="589"/>
      <c r="CE174" s="589"/>
      <c r="CF174" s="589"/>
      <c r="CG174" s="589"/>
      <c r="CH174" s="589"/>
      <c r="CI174" s="589"/>
      <c r="CJ174" s="589"/>
      <c r="CK174" s="589"/>
      <c r="CL174" s="589"/>
      <c r="CM174" s="589"/>
      <c r="CN174" s="589"/>
      <c r="CO174" s="589"/>
      <c r="CP174" s="589"/>
      <c r="CQ174" s="589"/>
      <c r="CR174" s="589"/>
      <c r="CS174" s="589"/>
      <c r="CT174" s="589"/>
      <c r="CU174" s="589"/>
      <c r="CV174" s="589"/>
      <c r="CW174" s="589"/>
      <c r="CX174" s="589"/>
      <c r="CY174" s="589"/>
      <c r="CZ174" s="589"/>
      <c r="DA174" s="589"/>
      <c r="DB174" s="589"/>
      <c r="DC174" s="589"/>
      <c r="DD174" s="589"/>
      <c r="DE174" s="589"/>
      <c r="DF174" s="589"/>
      <c r="DG174" s="589"/>
      <c r="DH174" s="589"/>
      <c r="DI174" s="589"/>
      <c r="DJ174" s="589"/>
      <c r="DK174" s="589"/>
      <c r="DL174" s="589"/>
      <c r="DM174" s="589"/>
      <c r="DN174" s="589"/>
      <c r="DO174" s="589"/>
      <c r="DP174" s="589"/>
      <c r="DQ174" s="589"/>
      <c r="DR174" s="589"/>
      <c r="DS174" s="589"/>
      <c r="DT174" s="589"/>
      <c r="DU174" s="589"/>
      <c r="DV174" s="589"/>
      <c r="DW174" s="589"/>
      <c r="DX174" s="589"/>
      <c r="DY174" s="589"/>
      <c r="DZ174" s="589"/>
      <c r="EA174" s="589"/>
      <c r="EB174" s="589"/>
      <c r="EC174" s="589"/>
      <c r="ED174" s="589"/>
      <c r="EE174" s="589"/>
      <c r="EF174" s="589"/>
      <c r="EG174" s="589"/>
      <c r="EH174" s="589"/>
      <c r="EI174" s="589"/>
      <c r="EJ174" s="589"/>
      <c r="EK174" s="589"/>
      <c r="EL174" s="589"/>
      <c r="EM174" s="589"/>
      <c r="EN174" s="589"/>
      <c r="EO174" s="589"/>
      <c r="EP174" s="589"/>
      <c r="EQ174" s="589"/>
      <c r="ER174" s="589"/>
      <c r="ES174" s="589"/>
      <c r="ET174" s="589"/>
      <c r="EU174" s="589"/>
      <c r="EV174" s="589"/>
      <c r="EW174" s="589"/>
      <c r="EX174" s="589"/>
      <c r="EY174" s="589"/>
      <c r="EZ174" s="589"/>
      <c r="FA174" s="589"/>
      <c r="FB174" s="589"/>
      <c r="FC174" s="589"/>
      <c r="FD174" s="589"/>
      <c r="FE174" s="589"/>
      <c r="FF174" s="589"/>
      <c r="FG174" s="589"/>
      <c r="FH174" s="589"/>
      <c r="FI174" s="589"/>
      <c r="FJ174" s="589"/>
      <c r="FK174" s="589"/>
      <c r="FL174" s="589"/>
      <c r="FM174" s="589"/>
      <c r="FN174" s="589"/>
      <c r="FO174" s="589"/>
      <c r="FP174" s="589"/>
      <c r="FQ174" s="589"/>
      <c r="FR174" s="589"/>
      <c r="FS174" s="589"/>
      <c r="FT174" s="589"/>
      <c r="FU174" s="589"/>
      <c r="FV174" s="589"/>
      <c r="FW174" s="589"/>
      <c r="FX174" s="589"/>
      <c r="FY174" s="589"/>
      <c r="FZ174" s="589"/>
      <c r="GA174" s="589"/>
      <c r="GB174" s="589"/>
      <c r="GC174" s="589"/>
      <c r="GD174" s="589"/>
      <c r="GE174" s="589"/>
      <c r="GF174" s="589"/>
      <c r="GG174" s="589"/>
      <c r="GH174" s="589"/>
      <c r="GI174" s="589"/>
      <c r="GJ174" s="589"/>
      <c r="GK174" s="589"/>
      <c r="GL174" s="589"/>
      <c r="GM174" s="589"/>
      <c r="GN174" s="589"/>
      <c r="GO174" s="589"/>
      <c r="GP174" s="589"/>
      <c r="GQ174" s="589"/>
      <c r="GR174" s="589"/>
      <c r="GS174" s="589"/>
      <c r="GT174" s="589"/>
      <c r="GU174" s="589"/>
      <c r="GV174" s="589"/>
      <c r="GW174" s="589"/>
      <c r="GX174" s="589"/>
      <c r="GY174" s="589"/>
      <c r="GZ174" s="589"/>
      <c r="HA174" s="589"/>
      <c r="HB174" s="589"/>
      <c r="HC174" s="589"/>
      <c r="HD174" s="589"/>
      <c r="HE174" s="589"/>
      <c r="HF174" s="589"/>
      <c r="HG174" s="589"/>
      <c r="HH174" s="589"/>
      <c r="HI174" s="589"/>
      <c r="HJ174" s="589"/>
      <c r="HK174" s="589"/>
      <c r="HL174" s="589"/>
      <c r="HM174" s="589"/>
      <c r="HN174" s="589"/>
      <c r="HO174" s="589"/>
      <c r="HP174" s="589"/>
      <c r="HQ174" s="589"/>
      <c r="HR174" s="589"/>
      <c r="HS174" s="589"/>
      <c r="HT174" s="589"/>
      <c r="HU174" s="589"/>
      <c r="HV174" s="589"/>
      <c r="HW174" s="589"/>
      <c r="HX174" s="589"/>
      <c r="HY174" s="589"/>
      <c r="HZ174" s="589"/>
      <c r="IA174" s="589"/>
      <c r="IB174" s="589"/>
      <c r="IC174" s="589"/>
      <c r="ID174" s="589"/>
      <c r="IE174" s="589"/>
      <c r="IF174" s="589"/>
      <c r="IG174" s="589"/>
      <c r="IH174" s="589"/>
      <c r="II174" s="589"/>
      <c r="IJ174" s="589"/>
      <c r="IK174" s="589"/>
      <c r="IL174" s="589"/>
      <c r="IM174" s="589"/>
      <c r="IN174" s="589"/>
      <c r="IO174" s="589"/>
      <c r="IP174" s="589"/>
      <c r="IQ174" s="589"/>
      <c r="IR174" s="589"/>
      <c r="IS174" s="589"/>
      <c r="IT174" s="589"/>
      <c r="IU174" s="589"/>
      <c r="IV174" s="589"/>
    </row>
    <row r="175" spans="1:256" s="704" customFormat="1" ht="16.5" thickBot="1" x14ac:dyDescent="0.3">
      <c r="A175" s="703"/>
      <c r="B175" s="664"/>
      <c r="C175" s="664"/>
      <c r="D175" s="664"/>
      <c r="E175" s="664"/>
      <c r="F175" s="664"/>
      <c r="G175" s="664"/>
      <c r="H175" s="664"/>
      <c r="I175" s="664"/>
      <c r="J175" s="664"/>
      <c r="K175" s="664"/>
      <c r="L175" s="664"/>
      <c r="M175" s="664"/>
      <c r="N175" s="664"/>
      <c r="O175" s="664"/>
      <c r="P175" s="664"/>
      <c r="Q175" s="664"/>
      <c r="R175" s="664"/>
      <c r="S175" s="664"/>
      <c r="T175" s="664"/>
      <c r="U175" s="664"/>
      <c r="V175" s="696"/>
      <c r="W175" s="664"/>
      <c r="X175" s="572"/>
      <c r="Y175" s="573"/>
      <c r="Z175" s="573"/>
      <c r="AA175" s="573"/>
      <c r="AB175" s="573"/>
      <c r="AC175" s="573"/>
      <c r="AD175" s="573"/>
      <c r="AE175" s="573"/>
      <c r="AF175" s="573"/>
      <c r="AG175" s="573"/>
      <c r="AH175" s="573"/>
      <c r="AI175" s="573"/>
      <c r="AJ175" s="573"/>
      <c r="AK175" s="573"/>
      <c r="AL175" s="573"/>
      <c r="AM175" s="573"/>
      <c r="AN175" s="573"/>
      <c r="AO175" s="573"/>
      <c r="AP175" s="573"/>
      <c r="AQ175" s="573"/>
      <c r="AR175" s="573"/>
      <c r="AS175" s="573"/>
      <c r="AT175" s="573"/>
      <c r="AU175" s="573"/>
      <c r="AV175" s="573"/>
      <c r="AW175" s="573"/>
      <c r="AX175" s="573"/>
      <c r="AY175" s="573"/>
      <c r="AZ175" s="573"/>
      <c r="BA175" s="573"/>
      <c r="BB175" s="573"/>
      <c r="BC175" s="573"/>
      <c r="BD175" s="573"/>
      <c r="BE175" s="573"/>
      <c r="BF175" s="573"/>
      <c r="BG175" s="573"/>
      <c r="BH175" s="573"/>
      <c r="BI175" s="573"/>
      <c r="BJ175" s="573"/>
      <c r="BK175" s="573"/>
      <c r="BL175" s="573"/>
      <c r="BM175" s="573"/>
      <c r="BN175" s="573"/>
      <c r="BO175" s="573"/>
      <c r="BP175" s="573"/>
      <c r="BQ175" s="573"/>
      <c r="BR175" s="573"/>
      <c r="BS175" s="573"/>
      <c r="BT175" s="573"/>
      <c r="BU175" s="573"/>
      <c r="BV175" s="573"/>
      <c r="BW175" s="573"/>
      <c r="BX175" s="573"/>
      <c r="BY175" s="573"/>
      <c r="BZ175" s="573"/>
      <c r="CA175" s="573"/>
      <c r="CB175" s="573"/>
      <c r="CC175" s="573"/>
      <c r="CD175" s="573"/>
      <c r="CE175" s="573"/>
      <c r="CF175" s="573"/>
      <c r="CG175" s="573"/>
      <c r="CH175" s="573"/>
      <c r="CI175" s="573"/>
      <c r="CJ175" s="573"/>
      <c r="CK175" s="573"/>
      <c r="CL175" s="573"/>
      <c r="CM175" s="573"/>
      <c r="CN175" s="573"/>
      <c r="CO175" s="573"/>
      <c r="CP175" s="573"/>
      <c r="CQ175" s="573"/>
      <c r="CR175" s="573"/>
      <c r="CS175" s="573"/>
      <c r="CT175" s="573"/>
      <c r="CU175" s="573"/>
      <c r="CV175" s="573"/>
      <c r="CW175" s="573"/>
      <c r="CX175" s="573"/>
      <c r="CY175" s="573"/>
      <c r="CZ175" s="573"/>
      <c r="DA175" s="573"/>
      <c r="DB175" s="573"/>
      <c r="DC175" s="573"/>
      <c r="DD175" s="573"/>
      <c r="DE175" s="573"/>
      <c r="DF175" s="573"/>
      <c r="DG175" s="573"/>
      <c r="DH175" s="573"/>
      <c r="DI175" s="573"/>
      <c r="DJ175" s="573"/>
      <c r="DK175" s="573"/>
      <c r="DL175" s="573"/>
      <c r="DM175" s="573"/>
      <c r="DN175" s="573"/>
      <c r="DO175" s="573"/>
      <c r="DP175" s="573"/>
      <c r="DQ175" s="573"/>
      <c r="DR175" s="573"/>
      <c r="DS175" s="573"/>
      <c r="DT175" s="573"/>
      <c r="DU175" s="573"/>
      <c r="DV175" s="573"/>
      <c r="DW175" s="573"/>
      <c r="DX175" s="573"/>
      <c r="DY175" s="573"/>
      <c r="DZ175" s="573"/>
      <c r="EA175" s="573"/>
      <c r="EB175" s="573"/>
      <c r="EC175" s="573"/>
      <c r="ED175" s="573"/>
      <c r="EE175" s="573"/>
      <c r="EF175" s="573"/>
      <c r="EG175" s="573"/>
      <c r="EH175" s="573"/>
      <c r="EI175" s="573"/>
      <c r="EJ175" s="573"/>
      <c r="EK175" s="573"/>
      <c r="EL175" s="573"/>
      <c r="EM175" s="573"/>
      <c r="EN175" s="573"/>
      <c r="EO175" s="573"/>
      <c r="EP175" s="573"/>
      <c r="EQ175" s="573"/>
      <c r="ER175" s="573"/>
      <c r="ES175" s="573"/>
      <c r="ET175" s="573"/>
      <c r="EU175" s="573"/>
      <c r="EV175" s="573"/>
      <c r="EW175" s="573"/>
      <c r="EX175" s="573"/>
      <c r="EY175" s="573"/>
      <c r="EZ175" s="573"/>
      <c r="FA175" s="573"/>
      <c r="FB175" s="573"/>
      <c r="FC175" s="573"/>
      <c r="FD175" s="573"/>
      <c r="FE175" s="573"/>
      <c r="FF175" s="573"/>
      <c r="FG175" s="573"/>
      <c r="FH175" s="573"/>
      <c r="FI175" s="573"/>
      <c r="FJ175" s="573"/>
      <c r="FK175" s="573"/>
      <c r="FL175" s="573"/>
      <c r="FM175" s="573"/>
      <c r="FN175" s="573"/>
      <c r="FO175" s="573"/>
      <c r="FP175" s="573"/>
      <c r="FQ175" s="573"/>
      <c r="FR175" s="573"/>
      <c r="FS175" s="573"/>
      <c r="FT175" s="573"/>
      <c r="FU175" s="573"/>
      <c r="FV175" s="573"/>
      <c r="FW175" s="573"/>
      <c r="FX175" s="573"/>
      <c r="FY175" s="573"/>
      <c r="FZ175" s="573"/>
      <c r="GA175" s="573"/>
      <c r="GB175" s="573"/>
      <c r="GC175" s="573"/>
      <c r="GD175" s="573"/>
      <c r="GE175" s="573"/>
      <c r="GF175" s="573"/>
      <c r="GG175" s="573"/>
      <c r="GH175" s="573"/>
      <c r="GI175" s="573"/>
      <c r="GJ175" s="573"/>
      <c r="GK175" s="573"/>
      <c r="GL175" s="573"/>
      <c r="GM175" s="573"/>
      <c r="GN175" s="573"/>
      <c r="GO175" s="573"/>
      <c r="GP175" s="573"/>
      <c r="GQ175" s="573"/>
      <c r="GR175" s="573"/>
      <c r="GS175" s="573"/>
      <c r="GT175" s="573"/>
      <c r="GU175" s="573"/>
      <c r="GV175" s="573"/>
      <c r="GW175" s="573"/>
      <c r="GX175" s="573"/>
      <c r="GY175" s="573"/>
      <c r="GZ175" s="573"/>
      <c r="HA175" s="573"/>
      <c r="HB175" s="573"/>
      <c r="HC175" s="573"/>
      <c r="HD175" s="573"/>
      <c r="HE175" s="573"/>
      <c r="HF175" s="573"/>
      <c r="HG175" s="573"/>
      <c r="HH175" s="573"/>
      <c r="HI175" s="573"/>
      <c r="HJ175" s="573"/>
      <c r="HK175" s="573"/>
      <c r="HL175" s="573"/>
      <c r="HM175" s="573"/>
      <c r="HN175" s="573"/>
      <c r="HO175" s="573"/>
      <c r="HP175" s="573"/>
      <c r="HQ175" s="573"/>
      <c r="HR175" s="573"/>
      <c r="HS175" s="573"/>
      <c r="HT175" s="573"/>
      <c r="HU175" s="573"/>
      <c r="HV175" s="573"/>
      <c r="HW175" s="573"/>
      <c r="HX175" s="573"/>
      <c r="HY175" s="573"/>
      <c r="HZ175" s="573"/>
      <c r="IA175" s="573"/>
      <c r="IB175" s="573"/>
      <c r="IC175" s="573"/>
      <c r="ID175" s="573"/>
      <c r="IE175" s="573"/>
      <c r="IF175" s="573"/>
      <c r="IG175" s="573"/>
      <c r="IH175" s="573"/>
      <c r="II175" s="573"/>
      <c r="IJ175" s="573"/>
      <c r="IK175" s="573"/>
      <c r="IL175" s="573"/>
      <c r="IM175" s="573"/>
      <c r="IN175" s="573"/>
      <c r="IO175" s="573"/>
      <c r="IP175" s="573"/>
      <c r="IQ175" s="573"/>
      <c r="IR175" s="573"/>
      <c r="IS175" s="573"/>
      <c r="IT175" s="573"/>
      <c r="IU175" s="573"/>
      <c r="IV175" s="573"/>
    </row>
    <row r="176" spans="1:256" s="705" customFormat="1" x14ac:dyDescent="0.25">
      <c r="A176" s="569"/>
      <c r="B176" s="571"/>
      <c r="C176" s="571"/>
      <c r="D176" s="571"/>
      <c r="E176" s="571"/>
      <c r="F176" s="571"/>
      <c r="G176" s="571"/>
      <c r="H176" s="571"/>
      <c r="I176" s="571"/>
      <c r="J176" s="571"/>
      <c r="K176" s="571"/>
      <c r="L176" s="571"/>
      <c r="M176" s="571"/>
      <c r="N176" s="571"/>
      <c r="O176" s="571"/>
      <c r="P176" s="571"/>
      <c r="Q176" s="571"/>
      <c r="R176" s="571"/>
      <c r="S176" s="571"/>
      <c r="T176" s="571"/>
      <c r="U176" s="571"/>
      <c r="V176" s="699"/>
      <c r="W176" s="571"/>
      <c r="X176" s="572"/>
      <c r="Y176" s="573"/>
      <c r="Z176" s="573"/>
      <c r="AA176" s="573"/>
      <c r="AB176" s="573"/>
      <c r="AC176" s="573"/>
      <c r="AD176" s="573"/>
      <c r="AE176" s="573"/>
      <c r="AF176" s="573"/>
      <c r="AG176" s="573"/>
      <c r="AH176" s="573"/>
      <c r="AI176" s="573"/>
      <c r="AJ176" s="573"/>
      <c r="AK176" s="573"/>
      <c r="AL176" s="573"/>
      <c r="AM176" s="573"/>
      <c r="AN176" s="573"/>
      <c r="AO176" s="573"/>
      <c r="AP176" s="573"/>
      <c r="AQ176" s="573"/>
      <c r="AR176" s="573"/>
      <c r="AS176" s="573"/>
      <c r="AT176" s="573"/>
      <c r="AU176" s="573"/>
      <c r="AV176" s="573"/>
      <c r="AW176" s="573"/>
      <c r="AX176" s="573"/>
      <c r="AY176" s="573"/>
      <c r="AZ176" s="573"/>
      <c r="BA176" s="573"/>
      <c r="BB176" s="573"/>
      <c r="BC176" s="573"/>
      <c r="BD176" s="573"/>
      <c r="BE176" s="573"/>
      <c r="BF176" s="573"/>
      <c r="BG176" s="573"/>
      <c r="BH176" s="573"/>
      <c r="BI176" s="573"/>
      <c r="BJ176" s="573"/>
      <c r="BK176" s="573"/>
      <c r="BL176" s="573"/>
      <c r="BM176" s="573"/>
      <c r="BN176" s="573"/>
      <c r="BO176" s="573"/>
      <c r="BP176" s="573"/>
      <c r="BQ176" s="573"/>
      <c r="BR176" s="573"/>
      <c r="BS176" s="573"/>
      <c r="BT176" s="573"/>
      <c r="BU176" s="573"/>
      <c r="BV176" s="573"/>
      <c r="BW176" s="573"/>
      <c r="BX176" s="573"/>
      <c r="BY176" s="573"/>
      <c r="BZ176" s="573"/>
      <c r="CA176" s="573"/>
      <c r="CB176" s="573"/>
      <c r="CC176" s="573"/>
      <c r="CD176" s="573"/>
      <c r="CE176" s="573"/>
      <c r="CF176" s="573"/>
      <c r="CG176" s="573"/>
      <c r="CH176" s="573"/>
      <c r="CI176" s="573"/>
      <c r="CJ176" s="573"/>
      <c r="CK176" s="573"/>
      <c r="CL176" s="573"/>
      <c r="CM176" s="573"/>
      <c r="CN176" s="573"/>
      <c r="CO176" s="573"/>
      <c r="CP176" s="573"/>
      <c r="CQ176" s="573"/>
      <c r="CR176" s="573"/>
      <c r="CS176" s="573"/>
      <c r="CT176" s="573"/>
      <c r="CU176" s="573"/>
      <c r="CV176" s="573"/>
      <c r="CW176" s="573"/>
      <c r="CX176" s="573"/>
      <c r="CY176" s="573"/>
      <c r="CZ176" s="573"/>
      <c r="DA176" s="573"/>
      <c r="DB176" s="573"/>
      <c r="DC176" s="573"/>
      <c r="DD176" s="573"/>
      <c r="DE176" s="573"/>
      <c r="DF176" s="573"/>
      <c r="DG176" s="573"/>
      <c r="DH176" s="573"/>
      <c r="DI176" s="573"/>
      <c r="DJ176" s="573"/>
      <c r="DK176" s="573"/>
      <c r="DL176" s="573"/>
      <c r="DM176" s="573"/>
      <c r="DN176" s="573"/>
      <c r="DO176" s="573"/>
      <c r="DP176" s="573"/>
      <c r="DQ176" s="573"/>
      <c r="DR176" s="573"/>
      <c r="DS176" s="573"/>
      <c r="DT176" s="573"/>
      <c r="DU176" s="573"/>
      <c r="DV176" s="573"/>
      <c r="DW176" s="573"/>
      <c r="DX176" s="573"/>
      <c r="DY176" s="573"/>
      <c r="DZ176" s="573"/>
      <c r="EA176" s="573"/>
      <c r="EB176" s="573"/>
      <c r="EC176" s="573"/>
      <c r="ED176" s="573"/>
      <c r="EE176" s="573"/>
      <c r="EF176" s="573"/>
      <c r="EG176" s="573"/>
      <c r="EH176" s="573"/>
      <c r="EI176" s="573"/>
      <c r="EJ176" s="573"/>
      <c r="EK176" s="573"/>
      <c r="EL176" s="573"/>
      <c r="EM176" s="573"/>
      <c r="EN176" s="573"/>
      <c r="EO176" s="573"/>
      <c r="EP176" s="573"/>
      <c r="EQ176" s="573"/>
      <c r="ER176" s="573"/>
      <c r="ES176" s="573"/>
      <c r="ET176" s="573"/>
      <c r="EU176" s="573"/>
      <c r="EV176" s="573"/>
      <c r="EW176" s="573"/>
      <c r="EX176" s="573"/>
      <c r="EY176" s="573"/>
      <c r="EZ176" s="573"/>
      <c r="FA176" s="573"/>
      <c r="FB176" s="573"/>
      <c r="FC176" s="573"/>
      <c r="FD176" s="573"/>
      <c r="FE176" s="573"/>
      <c r="FF176" s="573"/>
      <c r="FG176" s="573"/>
      <c r="FH176" s="573"/>
      <c r="FI176" s="573"/>
      <c r="FJ176" s="573"/>
      <c r="FK176" s="573"/>
      <c r="FL176" s="573"/>
      <c r="FM176" s="573"/>
      <c r="FN176" s="573"/>
      <c r="FO176" s="573"/>
      <c r="FP176" s="573"/>
      <c r="FQ176" s="573"/>
      <c r="FR176" s="573"/>
      <c r="FS176" s="573"/>
      <c r="FT176" s="573"/>
      <c r="FU176" s="573"/>
      <c r="FV176" s="573"/>
      <c r="FW176" s="573"/>
      <c r="FX176" s="573"/>
      <c r="FY176" s="573"/>
      <c r="FZ176" s="573"/>
      <c r="GA176" s="573"/>
      <c r="GB176" s="573"/>
      <c r="GC176" s="573"/>
      <c r="GD176" s="573"/>
      <c r="GE176" s="573"/>
      <c r="GF176" s="573"/>
      <c r="GG176" s="573"/>
      <c r="GH176" s="573"/>
      <c r="GI176" s="573"/>
      <c r="GJ176" s="573"/>
      <c r="GK176" s="573"/>
      <c r="GL176" s="573"/>
      <c r="GM176" s="573"/>
      <c r="GN176" s="573"/>
      <c r="GO176" s="573"/>
      <c r="GP176" s="573"/>
      <c r="GQ176" s="573"/>
      <c r="GR176" s="573"/>
      <c r="GS176" s="573"/>
      <c r="GT176" s="573"/>
      <c r="GU176" s="573"/>
      <c r="GV176" s="573"/>
      <c r="GW176" s="573"/>
      <c r="GX176" s="573"/>
      <c r="GY176" s="573"/>
      <c r="GZ176" s="573"/>
      <c r="HA176" s="573"/>
      <c r="HB176" s="573"/>
      <c r="HC176" s="573"/>
      <c r="HD176" s="573"/>
      <c r="HE176" s="573"/>
      <c r="HF176" s="573"/>
      <c r="HG176" s="573"/>
      <c r="HH176" s="573"/>
      <c r="HI176" s="573"/>
      <c r="HJ176" s="573"/>
      <c r="HK176" s="573"/>
      <c r="HL176" s="573"/>
      <c r="HM176" s="573"/>
      <c r="HN176" s="573"/>
      <c r="HO176" s="573"/>
      <c r="HP176" s="573"/>
      <c r="HQ176" s="573"/>
      <c r="HR176" s="573"/>
      <c r="HS176" s="573"/>
      <c r="HT176" s="573"/>
      <c r="HU176" s="573"/>
      <c r="HV176" s="573"/>
      <c r="HW176" s="573"/>
      <c r="HX176" s="573"/>
      <c r="HY176" s="573"/>
      <c r="HZ176" s="573"/>
      <c r="IA176" s="573"/>
      <c r="IB176" s="573"/>
      <c r="IC176" s="573"/>
      <c r="ID176" s="573"/>
      <c r="IE176" s="573"/>
      <c r="IF176" s="573"/>
      <c r="IG176" s="573"/>
      <c r="IH176" s="573"/>
      <c r="II176" s="573"/>
      <c r="IJ176" s="573"/>
      <c r="IK176" s="573"/>
      <c r="IL176" s="573"/>
      <c r="IM176" s="573"/>
      <c r="IN176" s="573"/>
      <c r="IO176" s="573"/>
      <c r="IP176" s="573"/>
      <c r="IQ176" s="573"/>
      <c r="IR176" s="573"/>
      <c r="IS176" s="573"/>
      <c r="IT176" s="573"/>
      <c r="IU176" s="573"/>
      <c r="IV176" s="573"/>
    </row>
    <row r="177" spans="1:24" x14ac:dyDescent="0.25">
      <c r="A177" s="574"/>
      <c r="B177" s="694" t="s">
        <v>56</v>
      </c>
      <c r="C177" s="576"/>
      <c r="D177" s="576"/>
      <c r="E177" s="576"/>
      <c r="F177" s="576"/>
      <c r="G177" s="576"/>
      <c r="H177" s="576"/>
      <c r="I177" s="576"/>
      <c r="J177" s="576"/>
      <c r="K177" s="576"/>
      <c r="L177" s="576"/>
      <c r="M177" s="576"/>
      <c r="N177" s="576"/>
      <c r="O177" s="576"/>
      <c r="P177" s="576"/>
      <c r="Q177" s="576"/>
      <c r="R177" s="576"/>
      <c r="S177" s="576"/>
      <c r="T177" s="576"/>
      <c r="U177" s="576"/>
      <c r="V177" s="656"/>
      <c r="W177" s="576"/>
      <c r="X177" s="572"/>
    </row>
    <row r="178" spans="1:24" x14ac:dyDescent="0.25">
      <c r="A178" s="574"/>
      <c r="B178" s="693"/>
      <c r="C178" s="576"/>
      <c r="D178" s="576"/>
      <c r="E178" s="576"/>
      <c r="F178" s="576"/>
      <c r="G178" s="576"/>
      <c r="H178" s="576"/>
      <c r="I178" s="576"/>
      <c r="J178" s="576"/>
      <c r="K178" s="576"/>
      <c r="L178" s="576"/>
      <c r="M178" s="576"/>
      <c r="N178" s="576"/>
      <c r="O178" s="576"/>
      <c r="P178" s="576"/>
      <c r="Q178" s="576"/>
      <c r="R178" s="576"/>
      <c r="S178" s="576"/>
      <c r="T178" s="576"/>
      <c r="U178" s="576"/>
      <c r="V178" s="656"/>
      <c r="W178" s="576"/>
      <c r="X178" s="572"/>
    </row>
    <row r="179" spans="1:24" s="589" customFormat="1" x14ac:dyDescent="0.25">
      <c r="A179" s="604"/>
      <c r="B179" s="605" t="s">
        <v>57</v>
      </c>
      <c r="C179" s="605"/>
      <c r="D179" s="605"/>
      <c r="E179" s="605"/>
      <c r="F179" s="605"/>
      <c r="G179" s="605"/>
      <c r="H179" s="605"/>
      <c r="I179" s="605"/>
      <c r="J179" s="605"/>
      <c r="K179" s="605"/>
      <c r="L179" s="605"/>
      <c r="M179" s="605"/>
      <c r="N179" s="605"/>
      <c r="O179" s="605"/>
      <c r="P179" s="605"/>
      <c r="Q179" s="605"/>
      <c r="R179" s="605"/>
      <c r="S179" s="605"/>
      <c r="T179" s="605"/>
      <c r="U179" s="605"/>
      <c r="V179" s="663">
        <f>V71</f>
        <v>569839</v>
      </c>
      <c r="W179" s="607"/>
      <c r="X179" s="588"/>
    </row>
    <row r="180" spans="1:24" s="589" customFormat="1" x14ac:dyDescent="0.25">
      <c r="A180" s="604"/>
      <c r="B180" s="605" t="s">
        <v>58</v>
      </c>
      <c r="C180" s="605"/>
      <c r="D180" s="605"/>
      <c r="E180" s="605"/>
      <c r="F180" s="605"/>
      <c r="G180" s="605"/>
      <c r="H180" s="605"/>
      <c r="I180" s="605"/>
      <c r="J180" s="605"/>
      <c r="K180" s="605"/>
      <c r="L180" s="605"/>
      <c r="M180" s="605"/>
      <c r="N180" s="605"/>
      <c r="O180" s="605"/>
      <c r="P180" s="605"/>
      <c r="Q180" s="605"/>
      <c r="R180" s="605"/>
      <c r="S180" s="605"/>
      <c r="T180" s="605"/>
      <c r="U180" s="605"/>
      <c r="V180" s="663">
        <f>V84</f>
        <v>569839</v>
      </c>
      <c r="W180" s="607"/>
      <c r="X180" s="588"/>
    </row>
    <row r="181" spans="1:24" ht="16.5" thickBot="1" x14ac:dyDescent="0.3">
      <c r="A181" s="574"/>
      <c r="B181" s="664"/>
      <c r="C181" s="664"/>
      <c r="D181" s="664"/>
      <c r="E181" s="664"/>
      <c r="F181" s="664"/>
      <c r="G181" s="664"/>
      <c r="H181" s="664"/>
      <c r="I181" s="664"/>
      <c r="J181" s="664"/>
      <c r="K181" s="664"/>
      <c r="L181" s="664"/>
      <c r="M181" s="664"/>
      <c r="N181" s="664"/>
      <c r="O181" s="664"/>
      <c r="P181" s="664"/>
      <c r="Q181" s="664"/>
      <c r="R181" s="664"/>
      <c r="S181" s="664"/>
      <c r="T181" s="664"/>
      <c r="U181" s="664"/>
      <c r="V181" s="696"/>
      <c r="W181" s="664"/>
      <c r="X181" s="572"/>
    </row>
    <row r="182" spans="1:24" x14ac:dyDescent="0.25">
      <c r="A182" s="569"/>
      <c r="B182" s="571"/>
      <c r="C182" s="571"/>
      <c r="D182" s="571"/>
      <c r="E182" s="571"/>
      <c r="F182" s="571"/>
      <c r="G182" s="571"/>
      <c r="H182" s="571"/>
      <c r="I182" s="571"/>
      <c r="J182" s="571"/>
      <c r="K182" s="571"/>
      <c r="L182" s="571"/>
      <c r="M182" s="571"/>
      <c r="N182" s="571"/>
      <c r="O182" s="571"/>
      <c r="P182" s="571"/>
      <c r="Q182" s="571"/>
      <c r="R182" s="571"/>
      <c r="S182" s="571"/>
      <c r="T182" s="571"/>
      <c r="U182" s="571"/>
      <c r="V182" s="699"/>
      <c r="W182" s="571"/>
      <c r="X182" s="572"/>
    </row>
    <row r="183" spans="1:24" s="629" customFormat="1" x14ac:dyDescent="0.25">
      <c r="A183" s="657"/>
      <c r="B183" s="694" t="s">
        <v>59</v>
      </c>
      <c r="C183" s="661"/>
      <c r="D183" s="661"/>
      <c r="E183" s="661"/>
      <c r="F183" s="661"/>
      <c r="G183" s="661"/>
      <c r="H183" s="706"/>
      <c r="I183" s="706"/>
      <c r="J183" s="706"/>
      <c r="K183" s="706"/>
      <c r="L183" s="706"/>
      <c r="M183" s="706"/>
      <c r="N183" s="706"/>
      <c r="O183" s="706"/>
      <c r="P183" s="706"/>
      <c r="Q183" s="706"/>
      <c r="R183" s="706"/>
      <c r="S183" s="706" t="s">
        <v>101</v>
      </c>
      <c r="T183" s="706" t="s">
        <v>176</v>
      </c>
      <c r="U183" s="578"/>
      <c r="V183" s="707" t="s">
        <v>114</v>
      </c>
      <c r="W183" s="578"/>
      <c r="X183" s="628"/>
    </row>
    <row r="184" spans="1:24" s="589" customFormat="1" x14ac:dyDescent="0.25">
      <c r="A184" s="604"/>
      <c r="B184" s="605" t="s">
        <v>60</v>
      </c>
      <c r="C184" s="605"/>
      <c r="D184" s="605"/>
      <c r="E184" s="605"/>
      <c r="F184" s="605"/>
      <c r="G184" s="605"/>
      <c r="H184" s="605"/>
      <c r="I184" s="605"/>
      <c r="J184" s="605"/>
      <c r="K184" s="605"/>
      <c r="L184" s="605"/>
      <c r="M184" s="605"/>
      <c r="N184" s="605"/>
      <c r="O184" s="605"/>
      <c r="P184" s="605"/>
      <c r="Q184" s="605"/>
      <c r="R184" s="605"/>
      <c r="S184" s="663">
        <f>+V34*0.16</f>
        <v>160181.28</v>
      </c>
      <c r="T184" s="635"/>
      <c r="U184" s="605"/>
      <c r="V184" s="663"/>
      <c r="W184" s="607"/>
      <c r="X184" s="588"/>
    </row>
    <row r="185" spans="1:24" s="589" customFormat="1" x14ac:dyDescent="0.25">
      <c r="A185" s="604"/>
      <c r="B185" s="605" t="s">
        <v>61</v>
      </c>
      <c r="C185" s="605"/>
      <c r="D185" s="605"/>
      <c r="E185" s="605"/>
      <c r="F185" s="605"/>
      <c r="G185" s="605"/>
      <c r="H185" s="605"/>
      <c r="I185" s="605"/>
      <c r="J185" s="605"/>
      <c r="K185" s="605"/>
      <c r="L185" s="605"/>
      <c r="M185" s="605"/>
      <c r="N185" s="605"/>
      <c r="O185" s="605"/>
      <c r="P185" s="605"/>
      <c r="Q185" s="605"/>
      <c r="R185" s="605"/>
      <c r="S185" s="663">
        <f>+'Feb 19'!S187</f>
        <v>14163</v>
      </c>
      <c r="T185" s="663">
        <f>+'Feb 19'!T187</f>
        <v>6098</v>
      </c>
      <c r="U185" s="605"/>
      <c r="V185" s="663">
        <f>S185+T185</f>
        <v>20261</v>
      </c>
      <c r="W185" s="607"/>
      <c r="X185" s="588"/>
    </row>
    <row r="186" spans="1:24" s="589" customFormat="1" x14ac:dyDescent="0.25">
      <c r="A186" s="604"/>
      <c r="B186" s="605" t="s">
        <v>62</v>
      </c>
      <c r="C186" s="605"/>
      <c r="D186" s="605"/>
      <c r="E186" s="605"/>
      <c r="F186" s="605"/>
      <c r="G186" s="605"/>
      <c r="H186" s="605"/>
      <c r="I186" s="605"/>
      <c r="J186" s="605"/>
      <c r="K186" s="605"/>
      <c r="L186" s="605"/>
      <c r="M186" s="605"/>
      <c r="N186" s="605"/>
      <c r="O186" s="605"/>
      <c r="P186" s="605"/>
      <c r="Q186" s="605"/>
      <c r="R186" s="605"/>
      <c r="S186" s="662">
        <v>0</v>
      </c>
      <c r="T186" s="662">
        <v>0</v>
      </c>
      <c r="U186" s="605"/>
      <c r="V186" s="663">
        <f>S186+T186</f>
        <v>0</v>
      </c>
      <c r="W186" s="607"/>
      <c r="X186" s="588"/>
    </row>
    <row r="187" spans="1:24" s="589" customFormat="1" x14ac:dyDescent="0.25">
      <c r="A187" s="604"/>
      <c r="B187" s="605" t="s">
        <v>63</v>
      </c>
      <c r="C187" s="605"/>
      <c r="D187" s="605"/>
      <c r="E187" s="605"/>
      <c r="F187" s="605"/>
      <c r="G187" s="605"/>
      <c r="H187" s="605"/>
      <c r="I187" s="605"/>
      <c r="J187" s="605"/>
      <c r="K187" s="605"/>
      <c r="L187" s="605"/>
      <c r="M187" s="605"/>
      <c r="N187" s="605"/>
      <c r="O187" s="605"/>
      <c r="P187" s="605"/>
      <c r="Q187" s="605"/>
      <c r="R187" s="605"/>
      <c r="S187" s="663">
        <f>S185+S186</f>
        <v>14163</v>
      </c>
      <c r="T187" s="663">
        <f>T186+T185</f>
        <v>6098</v>
      </c>
      <c r="U187" s="605"/>
      <c r="V187" s="663">
        <f>S187+T187</f>
        <v>20261</v>
      </c>
      <c r="W187" s="607"/>
      <c r="X187" s="588"/>
    </row>
    <row r="188" spans="1:24" s="589" customFormat="1" x14ac:dyDescent="0.25">
      <c r="A188" s="604"/>
      <c r="B188" s="605" t="s">
        <v>64</v>
      </c>
      <c r="C188" s="605"/>
      <c r="D188" s="605"/>
      <c r="E188" s="605"/>
      <c r="F188" s="605"/>
      <c r="G188" s="605"/>
      <c r="H188" s="605"/>
      <c r="I188" s="605"/>
      <c r="J188" s="605"/>
      <c r="K188" s="605"/>
      <c r="L188" s="605"/>
      <c r="M188" s="605"/>
      <c r="N188" s="605"/>
      <c r="O188" s="605"/>
      <c r="P188" s="605"/>
      <c r="Q188" s="605"/>
      <c r="R188" s="605"/>
      <c r="S188" s="663">
        <f>S184-S187-T187</f>
        <v>139920.28</v>
      </c>
      <c r="T188" s="635"/>
      <c r="U188" s="605"/>
      <c r="V188" s="663"/>
      <c r="W188" s="607"/>
      <c r="X188" s="588"/>
    </row>
    <row r="189" spans="1:24" ht="16.5" thickBot="1" x14ac:dyDescent="0.3">
      <c r="A189" s="574"/>
      <c r="B189" s="664"/>
      <c r="C189" s="664"/>
      <c r="D189" s="664"/>
      <c r="E189" s="664"/>
      <c r="F189" s="664"/>
      <c r="G189" s="664"/>
      <c r="H189" s="664"/>
      <c r="I189" s="664"/>
      <c r="J189" s="664"/>
      <c r="K189" s="664"/>
      <c r="L189" s="664"/>
      <c r="M189" s="664"/>
      <c r="N189" s="664"/>
      <c r="O189" s="664"/>
      <c r="P189" s="664"/>
      <c r="Q189" s="664"/>
      <c r="R189" s="664"/>
      <c r="S189" s="664"/>
      <c r="T189" s="664"/>
      <c r="U189" s="664"/>
      <c r="V189" s="696"/>
      <c r="W189" s="664"/>
      <c r="X189" s="572"/>
    </row>
    <row r="190" spans="1:24" x14ac:dyDescent="0.25">
      <c r="A190" s="569"/>
      <c r="B190" s="571"/>
      <c r="C190" s="571"/>
      <c r="D190" s="571"/>
      <c r="E190" s="571"/>
      <c r="F190" s="571"/>
      <c r="G190" s="571"/>
      <c r="H190" s="571"/>
      <c r="I190" s="571"/>
      <c r="J190" s="571"/>
      <c r="K190" s="571"/>
      <c r="L190" s="571"/>
      <c r="M190" s="571"/>
      <c r="N190" s="571"/>
      <c r="O190" s="571"/>
      <c r="P190" s="571"/>
      <c r="Q190" s="571"/>
      <c r="R190" s="571"/>
      <c r="S190" s="571"/>
      <c r="T190" s="571"/>
      <c r="U190" s="571"/>
      <c r="V190" s="699"/>
      <c r="W190" s="571"/>
      <c r="X190" s="572"/>
    </row>
    <row r="191" spans="1:24" x14ac:dyDescent="0.25">
      <c r="A191" s="574"/>
      <c r="B191" s="694" t="s">
        <v>65</v>
      </c>
      <c r="C191" s="576"/>
      <c r="D191" s="576"/>
      <c r="E191" s="576"/>
      <c r="F191" s="576"/>
      <c r="G191" s="576"/>
      <c r="H191" s="576"/>
      <c r="I191" s="576"/>
      <c r="J191" s="576"/>
      <c r="K191" s="576"/>
      <c r="L191" s="576"/>
      <c r="M191" s="576"/>
      <c r="N191" s="576"/>
      <c r="O191" s="576"/>
      <c r="P191" s="576"/>
      <c r="Q191" s="576"/>
      <c r="R191" s="576"/>
      <c r="S191" s="576"/>
      <c r="T191" s="576"/>
      <c r="U191" s="576"/>
      <c r="V191" s="708"/>
      <c r="W191" s="576"/>
      <c r="X191" s="572"/>
    </row>
    <row r="192" spans="1:24" s="589" customFormat="1" x14ac:dyDescent="0.25">
      <c r="A192" s="604"/>
      <c r="B192" s="605" t="s">
        <v>66</v>
      </c>
      <c r="C192" s="605"/>
      <c r="D192" s="605"/>
      <c r="E192" s="605"/>
      <c r="F192" s="605"/>
      <c r="G192" s="605"/>
      <c r="H192" s="605"/>
      <c r="I192" s="605"/>
      <c r="J192" s="605"/>
      <c r="K192" s="605"/>
      <c r="L192" s="605"/>
      <c r="M192" s="605"/>
      <c r="N192" s="605"/>
      <c r="O192" s="605"/>
      <c r="P192" s="605"/>
      <c r="Q192" s="605"/>
      <c r="R192" s="605"/>
      <c r="S192" s="605"/>
      <c r="T192" s="605"/>
      <c r="U192" s="605"/>
      <c r="V192" s="697">
        <f>(V101+V103+V104+V105+V106)/-(V107+V108)</f>
        <v>3.5416316232127838</v>
      </c>
      <c r="W192" s="607" t="s">
        <v>115</v>
      </c>
      <c r="X192" s="588"/>
    </row>
    <row r="193" spans="1:24" s="589" customFormat="1" x14ac:dyDescent="0.25">
      <c r="A193" s="604"/>
      <c r="B193" s="605" t="s">
        <v>67</v>
      </c>
      <c r="C193" s="605"/>
      <c r="D193" s="605"/>
      <c r="E193" s="605"/>
      <c r="F193" s="605"/>
      <c r="G193" s="605"/>
      <c r="H193" s="605"/>
      <c r="I193" s="605"/>
      <c r="J193" s="605"/>
      <c r="K193" s="605"/>
      <c r="L193" s="605"/>
      <c r="M193" s="605"/>
      <c r="N193" s="605"/>
      <c r="O193" s="605"/>
      <c r="P193" s="605"/>
      <c r="Q193" s="605"/>
      <c r="R193" s="605"/>
      <c r="S193" s="605"/>
      <c r="T193" s="605"/>
      <c r="U193" s="605"/>
      <c r="V193" s="709">
        <v>2.2400000000000002</v>
      </c>
      <c r="W193" s="607" t="s">
        <v>115</v>
      </c>
      <c r="X193" s="588"/>
    </row>
    <row r="194" spans="1:24" s="589" customFormat="1" x14ac:dyDescent="0.25">
      <c r="A194" s="604"/>
      <c r="B194" s="605" t="s">
        <v>68</v>
      </c>
      <c r="C194" s="605"/>
      <c r="D194" s="605"/>
      <c r="E194" s="605"/>
      <c r="F194" s="605"/>
      <c r="G194" s="605"/>
      <c r="H194" s="605"/>
      <c r="I194" s="605"/>
      <c r="J194" s="605"/>
      <c r="K194" s="605"/>
      <c r="L194" s="605"/>
      <c r="M194" s="605"/>
      <c r="N194" s="605"/>
      <c r="O194" s="605"/>
      <c r="P194" s="605"/>
      <c r="Q194" s="605"/>
      <c r="R194" s="605"/>
      <c r="S194" s="605"/>
      <c r="T194" s="605"/>
      <c r="U194" s="605"/>
      <c r="V194" s="697">
        <f>(V101+V103+V104+V105+V106+V107+V108)/-(V109+V110)</f>
        <v>10.831541218637993</v>
      </c>
      <c r="W194" s="607" t="s">
        <v>115</v>
      </c>
      <c r="X194" s="588"/>
    </row>
    <row r="195" spans="1:24" s="589" customFormat="1" x14ac:dyDescent="0.25">
      <c r="A195" s="604"/>
      <c r="B195" s="605" t="s">
        <v>69</v>
      </c>
      <c r="C195" s="605"/>
      <c r="D195" s="605"/>
      <c r="E195" s="605"/>
      <c r="F195" s="605"/>
      <c r="G195" s="605"/>
      <c r="H195" s="605"/>
      <c r="I195" s="605"/>
      <c r="J195" s="605"/>
      <c r="K195" s="605"/>
      <c r="L195" s="605"/>
      <c r="M195" s="605"/>
      <c r="N195" s="605"/>
      <c r="O195" s="605"/>
      <c r="P195" s="605"/>
      <c r="Q195" s="605"/>
      <c r="R195" s="605"/>
      <c r="S195" s="605"/>
      <c r="T195" s="605"/>
      <c r="U195" s="605"/>
      <c r="V195" s="709">
        <v>10.050000000000001</v>
      </c>
      <c r="W195" s="607" t="s">
        <v>115</v>
      </c>
      <c r="X195" s="588"/>
    </row>
    <row r="196" spans="1:24" s="589" customFormat="1" x14ac:dyDescent="0.25">
      <c r="A196" s="604"/>
      <c r="B196" s="605" t="s">
        <v>198</v>
      </c>
      <c r="C196" s="605"/>
      <c r="D196" s="605"/>
      <c r="E196" s="605"/>
      <c r="F196" s="605"/>
      <c r="G196" s="605"/>
      <c r="H196" s="605"/>
      <c r="I196" s="605"/>
      <c r="J196" s="605"/>
      <c r="K196" s="605"/>
      <c r="L196" s="605"/>
      <c r="M196" s="605"/>
      <c r="N196" s="605"/>
      <c r="O196" s="605"/>
      <c r="P196" s="605"/>
      <c r="Q196" s="605"/>
      <c r="R196" s="605"/>
      <c r="S196" s="605"/>
      <c r="T196" s="605"/>
      <c r="U196" s="605"/>
      <c r="V196" s="697">
        <f>(V101+V103+V104+V105+V106+V107+V108+V109+V110)/-(V111)</f>
        <v>6.8403990024937658</v>
      </c>
      <c r="W196" s="607" t="s">
        <v>115</v>
      </c>
      <c r="X196" s="588"/>
    </row>
    <row r="197" spans="1:24" s="589" customFormat="1" x14ac:dyDescent="0.25">
      <c r="A197" s="604"/>
      <c r="B197" s="605" t="s">
        <v>199</v>
      </c>
      <c r="C197" s="605"/>
      <c r="D197" s="605"/>
      <c r="E197" s="605"/>
      <c r="F197" s="605"/>
      <c r="G197" s="605"/>
      <c r="H197" s="605"/>
      <c r="I197" s="605"/>
      <c r="J197" s="605"/>
      <c r="K197" s="605"/>
      <c r="L197" s="605"/>
      <c r="M197" s="605"/>
      <c r="N197" s="605"/>
      <c r="O197" s="605"/>
      <c r="P197" s="605"/>
      <c r="Q197" s="605"/>
      <c r="R197" s="605"/>
      <c r="S197" s="605"/>
      <c r="T197" s="605"/>
      <c r="U197" s="605"/>
      <c r="V197" s="709">
        <v>7.11</v>
      </c>
      <c r="W197" s="607" t="s">
        <v>115</v>
      </c>
      <c r="X197" s="588"/>
    </row>
    <row r="198" spans="1:24" s="589" customFormat="1" x14ac:dyDescent="0.25">
      <c r="A198" s="604"/>
      <c r="B198" s="605"/>
      <c r="C198" s="605"/>
      <c r="D198" s="605"/>
      <c r="E198" s="605"/>
      <c r="F198" s="605"/>
      <c r="G198" s="605"/>
      <c r="H198" s="605"/>
      <c r="I198" s="605"/>
      <c r="J198" s="605"/>
      <c r="K198" s="605"/>
      <c r="L198" s="605"/>
      <c r="M198" s="605"/>
      <c r="N198" s="605"/>
      <c r="O198" s="605"/>
      <c r="P198" s="605"/>
      <c r="Q198" s="605"/>
      <c r="R198" s="605"/>
      <c r="S198" s="605"/>
      <c r="T198" s="605"/>
      <c r="U198" s="605"/>
      <c r="V198" s="605"/>
      <c r="W198" s="607"/>
      <c r="X198" s="588"/>
    </row>
    <row r="199" spans="1:24" s="589" customFormat="1" x14ac:dyDescent="0.25">
      <c r="A199" s="585"/>
      <c r="B199" s="602"/>
      <c r="C199" s="602"/>
      <c r="D199" s="602"/>
      <c r="E199" s="602"/>
      <c r="F199" s="602"/>
      <c r="G199" s="602"/>
      <c r="H199" s="602"/>
      <c r="I199" s="602"/>
      <c r="J199" s="602"/>
      <c r="K199" s="602"/>
      <c r="L199" s="602"/>
      <c r="M199" s="602"/>
      <c r="N199" s="602"/>
      <c r="O199" s="602"/>
      <c r="P199" s="602"/>
      <c r="Q199" s="602"/>
      <c r="R199" s="602"/>
      <c r="S199" s="602"/>
      <c r="T199" s="602"/>
      <c r="U199" s="602"/>
      <c r="V199" s="602"/>
      <c r="W199" s="602"/>
      <c r="X199" s="588"/>
    </row>
    <row r="200" spans="1:24" s="589" customFormat="1" x14ac:dyDescent="0.25">
      <c r="A200" s="585"/>
      <c r="B200" s="586"/>
      <c r="C200" s="586"/>
      <c r="D200" s="586"/>
      <c r="E200" s="586"/>
      <c r="F200" s="586"/>
      <c r="G200" s="586"/>
      <c r="H200" s="586"/>
      <c r="I200" s="586"/>
      <c r="J200" s="586"/>
      <c r="K200" s="586"/>
      <c r="L200" s="586"/>
      <c r="M200" s="586"/>
      <c r="N200" s="586"/>
      <c r="O200" s="586"/>
      <c r="P200" s="586"/>
      <c r="Q200" s="586"/>
      <c r="R200" s="586"/>
      <c r="S200" s="586"/>
      <c r="T200" s="586"/>
      <c r="U200" s="586"/>
      <c r="V200" s="586"/>
      <c r="W200" s="586"/>
      <c r="X200" s="588"/>
    </row>
    <row r="201" spans="1:24" s="589" customFormat="1" ht="19.5" thickBot="1" x14ac:dyDescent="0.35">
      <c r="A201" s="649"/>
      <c r="B201" s="568" t="str">
        <f>B135</f>
        <v>PM15 INVESTOR REPORT QUARTER ENDING MAY 2019</v>
      </c>
      <c r="C201" s="650"/>
      <c r="D201" s="650"/>
      <c r="E201" s="650"/>
      <c r="F201" s="650"/>
      <c r="G201" s="650"/>
      <c r="H201" s="650"/>
      <c r="I201" s="650"/>
      <c r="J201" s="650"/>
      <c r="K201" s="650"/>
      <c r="L201" s="650"/>
      <c r="M201" s="650"/>
      <c r="N201" s="650"/>
      <c r="O201" s="650"/>
      <c r="P201" s="650"/>
      <c r="Q201" s="650"/>
      <c r="R201" s="650"/>
      <c r="S201" s="650"/>
      <c r="T201" s="650"/>
      <c r="U201" s="650"/>
      <c r="V201" s="650"/>
      <c r="W201" s="652"/>
      <c r="X201" s="588"/>
    </row>
    <row r="202" spans="1:24" x14ac:dyDescent="0.25">
      <c r="A202" s="689"/>
      <c r="B202" s="690" t="s">
        <v>70</v>
      </c>
      <c r="C202" s="710"/>
      <c r="D202" s="710"/>
      <c r="E202" s="710"/>
      <c r="F202" s="710"/>
      <c r="G202" s="711"/>
      <c r="H202" s="711"/>
      <c r="I202" s="711"/>
      <c r="J202" s="711"/>
      <c r="K202" s="711"/>
      <c r="L202" s="711"/>
      <c r="M202" s="711"/>
      <c r="N202" s="711"/>
      <c r="O202" s="711"/>
      <c r="P202" s="711"/>
      <c r="Q202" s="711"/>
      <c r="R202" s="711"/>
      <c r="S202" s="711"/>
      <c r="T202" s="711">
        <v>43616</v>
      </c>
      <c r="U202" s="691"/>
      <c r="V202" s="691"/>
      <c r="W202" s="691"/>
      <c r="X202" s="572"/>
    </row>
    <row r="203" spans="1:24" x14ac:dyDescent="0.25">
      <c r="A203" s="712"/>
      <c r="B203" s="713"/>
      <c r="C203" s="714"/>
      <c r="D203" s="714"/>
      <c r="E203" s="714"/>
      <c r="F203" s="714"/>
      <c r="G203" s="715"/>
      <c r="H203" s="715"/>
      <c r="I203" s="715"/>
      <c r="J203" s="715"/>
      <c r="K203" s="715"/>
      <c r="L203" s="715"/>
      <c r="M203" s="715"/>
      <c r="N203" s="715"/>
      <c r="O203" s="715"/>
      <c r="P203" s="715"/>
      <c r="Q203" s="715"/>
      <c r="R203" s="715"/>
      <c r="S203" s="715"/>
      <c r="T203" s="715"/>
      <c r="U203" s="576"/>
      <c r="V203" s="576"/>
      <c r="W203" s="576"/>
      <c r="X203" s="572"/>
    </row>
    <row r="204" spans="1:24" s="589" customFormat="1" x14ac:dyDescent="0.25">
      <c r="A204" s="604"/>
      <c r="B204" s="605" t="s">
        <v>71</v>
      </c>
      <c r="C204" s="716"/>
      <c r="D204" s="716"/>
      <c r="E204" s="716"/>
      <c r="F204" s="716"/>
      <c r="G204" s="639"/>
      <c r="H204" s="639"/>
      <c r="I204" s="639"/>
      <c r="J204" s="639"/>
      <c r="K204" s="639"/>
      <c r="L204" s="639"/>
      <c r="M204" s="639"/>
      <c r="N204" s="639"/>
      <c r="O204" s="639"/>
      <c r="P204" s="639"/>
      <c r="Q204" s="639"/>
      <c r="R204" s="639"/>
      <c r="S204" s="639"/>
      <c r="T204" s="633">
        <v>5.3830000000000003E-2</v>
      </c>
      <c r="U204" s="605"/>
      <c r="V204" s="605"/>
      <c r="W204" s="607"/>
      <c r="X204" s="588"/>
    </row>
    <row r="205" spans="1:24" s="589" customFormat="1" x14ac:dyDescent="0.25">
      <c r="A205" s="604"/>
      <c r="B205" s="605" t="s">
        <v>151</v>
      </c>
      <c r="C205" s="716"/>
      <c r="D205" s="716"/>
      <c r="E205" s="716"/>
      <c r="F205" s="716"/>
      <c r="G205" s="639"/>
      <c r="H205" s="639"/>
      <c r="I205" s="639"/>
      <c r="J205" s="639"/>
      <c r="K205" s="639"/>
      <c r="L205" s="639"/>
      <c r="M205" s="639"/>
      <c r="N205" s="639"/>
      <c r="O205" s="639"/>
      <c r="P205" s="639"/>
      <c r="Q205" s="639"/>
      <c r="R205" s="639"/>
      <c r="S205" s="639"/>
      <c r="T205" s="633">
        <v>6.25E-2</v>
      </c>
      <c r="U205" s="605"/>
      <c r="V205" s="605"/>
      <c r="W205" s="607"/>
      <c r="X205" s="588"/>
    </row>
    <row r="206" spans="1:24" s="589" customFormat="1" x14ac:dyDescent="0.25">
      <c r="A206" s="604"/>
      <c r="B206" s="605" t="s">
        <v>72</v>
      </c>
      <c r="C206" s="716"/>
      <c r="D206" s="716"/>
      <c r="E206" s="716"/>
      <c r="F206" s="716"/>
      <c r="G206" s="639"/>
      <c r="H206" s="639"/>
      <c r="I206" s="639"/>
      <c r="J206" s="639"/>
      <c r="K206" s="639"/>
      <c r="L206" s="639"/>
      <c r="M206" s="639"/>
      <c r="N206" s="639"/>
      <c r="O206" s="639"/>
      <c r="P206" s="639"/>
      <c r="Q206" s="639"/>
      <c r="R206" s="639"/>
      <c r="S206" s="639"/>
      <c r="T206" s="633">
        <f>T204-T205</f>
        <v>-8.6699999999999972E-3</v>
      </c>
      <c r="U206" s="605"/>
      <c r="V206" s="605"/>
      <c r="W206" s="607"/>
      <c r="X206" s="588"/>
    </row>
    <row r="207" spans="1:24" s="589" customFormat="1" x14ac:dyDescent="0.25">
      <c r="A207" s="604"/>
      <c r="B207" s="605" t="s">
        <v>73</v>
      </c>
      <c r="C207" s="716"/>
      <c r="D207" s="716"/>
      <c r="E207" s="716"/>
      <c r="F207" s="716"/>
      <c r="G207" s="639"/>
      <c r="H207" s="639"/>
      <c r="I207" s="639"/>
      <c r="J207" s="639"/>
      <c r="K207" s="639"/>
      <c r="L207" s="639"/>
      <c r="M207" s="639"/>
      <c r="N207" s="639"/>
      <c r="O207" s="639"/>
      <c r="P207" s="639"/>
      <c r="Q207" s="639"/>
      <c r="R207" s="639"/>
      <c r="S207" s="639"/>
      <c r="T207" s="633">
        <v>2.8420000000000001E-2</v>
      </c>
      <c r="U207" s="605"/>
      <c r="V207" s="605"/>
      <c r="W207" s="607"/>
      <c r="X207" s="588"/>
    </row>
    <row r="208" spans="1:24" s="589" customFormat="1" x14ac:dyDescent="0.25">
      <c r="A208" s="604"/>
      <c r="B208" s="605" t="s">
        <v>218</v>
      </c>
      <c r="C208" s="716"/>
      <c r="D208" s="716"/>
      <c r="E208" s="716"/>
      <c r="F208" s="716"/>
      <c r="G208" s="639"/>
      <c r="H208" s="639"/>
      <c r="I208" s="639"/>
      <c r="J208" s="639"/>
      <c r="K208" s="639"/>
      <c r="L208" s="639"/>
      <c r="M208" s="639"/>
      <c r="N208" s="639"/>
      <c r="O208" s="639"/>
      <c r="P208" s="639"/>
      <c r="Q208" s="639"/>
      <c r="R208" s="639"/>
      <c r="S208" s="639"/>
      <c r="T208" s="633">
        <f>V43</f>
        <v>1.2496354889138509E-2</v>
      </c>
      <c r="U208" s="605"/>
      <c r="V208" s="605"/>
      <c r="W208" s="607"/>
      <c r="X208" s="588"/>
    </row>
    <row r="209" spans="1:24" s="589" customFormat="1" x14ac:dyDescent="0.25">
      <c r="A209" s="604"/>
      <c r="B209" s="605" t="s">
        <v>74</v>
      </c>
      <c r="C209" s="716"/>
      <c r="D209" s="716"/>
      <c r="E209" s="716"/>
      <c r="F209" s="716"/>
      <c r="G209" s="639"/>
      <c r="H209" s="639"/>
      <c r="I209" s="639"/>
      <c r="J209" s="639"/>
      <c r="K209" s="639"/>
      <c r="L209" s="639"/>
      <c r="M209" s="639"/>
      <c r="N209" s="639"/>
      <c r="O209" s="639"/>
      <c r="P209" s="639"/>
      <c r="Q209" s="639"/>
      <c r="R209" s="639"/>
      <c r="S209" s="639"/>
      <c r="T209" s="633">
        <f>T207-T208</f>
        <v>1.5923645110861494E-2</v>
      </c>
      <c r="U209" s="605"/>
      <c r="V209" s="605"/>
      <c r="W209" s="607"/>
      <c r="X209" s="588"/>
    </row>
    <row r="210" spans="1:24" s="589" customFormat="1" x14ac:dyDescent="0.25">
      <c r="A210" s="604"/>
      <c r="B210" s="605" t="s">
        <v>227</v>
      </c>
      <c r="C210" s="716"/>
      <c r="D210" s="716"/>
      <c r="E210" s="716"/>
      <c r="F210" s="716"/>
      <c r="G210" s="639"/>
      <c r="H210" s="639"/>
      <c r="I210" s="639"/>
      <c r="J210" s="639"/>
      <c r="K210" s="639"/>
      <c r="L210" s="639"/>
      <c r="M210" s="639"/>
      <c r="N210" s="639"/>
      <c r="O210" s="639"/>
      <c r="P210" s="639"/>
      <c r="Q210" s="639"/>
      <c r="R210" s="639"/>
      <c r="S210" s="639"/>
      <c r="T210" s="633">
        <f>V101/N71</f>
        <v>7.7622983429981723E-3</v>
      </c>
      <c r="U210" s="605"/>
      <c r="V210" s="605"/>
      <c r="W210" s="607"/>
      <c r="X210" s="588"/>
    </row>
    <row r="211" spans="1:24" s="589" customFormat="1" x14ac:dyDescent="0.25">
      <c r="A211" s="604"/>
      <c r="B211" s="605" t="s">
        <v>207</v>
      </c>
      <c r="C211" s="716"/>
      <c r="D211" s="716"/>
      <c r="E211" s="716"/>
      <c r="F211" s="716"/>
      <c r="G211" s="639"/>
      <c r="H211" s="639"/>
      <c r="I211" s="639"/>
      <c r="J211" s="639"/>
      <c r="K211" s="639"/>
      <c r="L211" s="639"/>
      <c r="M211" s="639"/>
      <c r="N211" s="639"/>
      <c r="O211" s="639"/>
      <c r="P211" s="639"/>
      <c r="Q211" s="639"/>
      <c r="R211" s="639"/>
      <c r="S211" s="639"/>
      <c r="T211" s="717">
        <v>51105</v>
      </c>
      <c r="U211" s="605"/>
      <c r="V211" s="605"/>
      <c r="W211" s="607"/>
      <c r="X211" s="588"/>
    </row>
    <row r="212" spans="1:24" s="589" customFormat="1" x14ac:dyDescent="0.25">
      <c r="A212" s="604"/>
      <c r="B212" s="605" t="s">
        <v>208</v>
      </c>
      <c r="C212" s="716"/>
      <c r="D212" s="716"/>
      <c r="E212" s="716"/>
      <c r="F212" s="716"/>
      <c r="G212" s="639"/>
      <c r="H212" s="639"/>
      <c r="I212" s="639"/>
      <c r="J212" s="639"/>
      <c r="K212" s="639"/>
      <c r="L212" s="639"/>
      <c r="M212" s="639"/>
      <c r="N212" s="639"/>
      <c r="O212" s="639"/>
      <c r="P212" s="639"/>
      <c r="Q212" s="639"/>
      <c r="R212" s="639"/>
      <c r="S212" s="639"/>
      <c r="T212" s="717">
        <v>51105</v>
      </c>
      <c r="U212" s="605"/>
      <c r="V212" s="605"/>
      <c r="W212" s="607"/>
      <c r="X212" s="588"/>
    </row>
    <row r="213" spans="1:24" s="589" customFormat="1" x14ac:dyDescent="0.25">
      <c r="A213" s="604"/>
      <c r="B213" s="605" t="s">
        <v>209</v>
      </c>
      <c r="C213" s="716"/>
      <c r="D213" s="716"/>
      <c r="E213" s="716"/>
      <c r="F213" s="716"/>
      <c r="G213" s="639"/>
      <c r="H213" s="639"/>
      <c r="I213" s="639"/>
      <c r="J213" s="639"/>
      <c r="K213" s="639"/>
      <c r="L213" s="639"/>
      <c r="M213" s="639"/>
      <c r="N213" s="639"/>
      <c r="O213" s="639"/>
      <c r="P213" s="639"/>
      <c r="Q213" s="639"/>
      <c r="R213" s="639"/>
      <c r="S213" s="639"/>
      <c r="T213" s="717">
        <v>51105</v>
      </c>
      <c r="U213" s="605"/>
      <c r="V213" s="605"/>
      <c r="W213" s="607"/>
      <c r="X213" s="588"/>
    </row>
    <row r="214" spans="1:24" s="589" customFormat="1" x14ac:dyDescent="0.25">
      <c r="A214" s="604"/>
      <c r="B214" s="605" t="s">
        <v>75</v>
      </c>
      <c r="C214" s="716"/>
      <c r="D214" s="716"/>
      <c r="E214" s="716"/>
      <c r="F214" s="716"/>
      <c r="G214" s="639"/>
      <c r="H214" s="639"/>
      <c r="I214" s="639"/>
      <c r="J214" s="639"/>
      <c r="K214" s="639"/>
      <c r="L214" s="639"/>
      <c r="M214" s="639"/>
      <c r="N214" s="639"/>
      <c r="O214" s="639"/>
      <c r="P214" s="639"/>
      <c r="Q214" s="639"/>
      <c r="R214" s="639"/>
      <c r="S214" s="639"/>
      <c r="T214" s="637">
        <v>21.06</v>
      </c>
      <c r="U214" s="605" t="s">
        <v>110</v>
      </c>
      <c r="V214" s="605"/>
      <c r="W214" s="607"/>
      <c r="X214" s="588"/>
    </row>
    <row r="215" spans="1:24" s="589" customFormat="1" x14ac:dyDescent="0.25">
      <c r="A215" s="604"/>
      <c r="B215" s="605" t="s">
        <v>76</v>
      </c>
      <c r="C215" s="716"/>
      <c r="D215" s="716"/>
      <c r="E215" s="716"/>
      <c r="F215" s="716"/>
      <c r="G215" s="639"/>
      <c r="H215" s="639"/>
      <c r="I215" s="639"/>
      <c r="J215" s="639"/>
      <c r="K215" s="639"/>
      <c r="L215" s="639"/>
      <c r="M215" s="639"/>
      <c r="N215" s="639"/>
      <c r="O215" s="639"/>
      <c r="P215" s="639"/>
      <c r="Q215" s="639"/>
      <c r="R215" s="639"/>
      <c r="S215" s="639"/>
      <c r="T215" s="637">
        <v>10.130000000000001</v>
      </c>
      <c r="U215" s="605" t="s">
        <v>110</v>
      </c>
      <c r="V215" s="605"/>
      <c r="W215" s="607"/>
      <c r="X215" s="588"/>
    </row>
    <row r="216" spans="1:24" s="589" customFormat="1" x14ac:dyDescent="0.25">
      <c r="A216" s="604"/>
      <c r="B216" s="605" t="s">
        <v>77</v>
      </c>
      <c r="C216" s="716"/>
      <c r="D216" s="716"/>
      <c r="E216" s="716"/>
      <c r="F216" s="716"/>
      <c r="G216" s="639"/>
      <c r="H216" s="639"/>
      <c r="I216" s="639"/>
      <c r="J216" s="639"/>
      <c r="K216" s="639"/>
      <c r="L216" s="639"/>
      <c r="M216" s="639"/>
      <c r="N216" s="639"/>
      <c r="O216" s="639"/>
      <c r="P216" s="639"/>
      <c r="Q216" s="639"/>
      <c r="R216" s="639"/>
      <c r="S216" s="639"/>
      <c r="T216" s="633">
        <f>+P68/N68</f>
        <v>1.8579914471769311E-2</v>
      </c>
      <c r="U216" s="605"/>
      <c r="V216" s="605"/>
      <c r="W216" s="607"/>
      <c r="X216" s="588"/>
    </row>
    <row r="217" spans="1:24" s="589" customFormat="1" x14ac:dyDescent="0.25">
      <c r="A217" s="604"/>
      <c r="B217" s="605" t="s">
        <v>78</v>
      </c>
      <c r="C217" s="716"/>
      <c r="D217" s="716"/>
      <c r="E217" s="716"/>
      <c r="F217" s="716"/>
      <c r="G217" s="639"/>
      <c r="H217" s="639"/>
      <c r="I217" s="639"/>
      <c r="J217" s="639"/>
      <c r="K217" s="639"/>
      <c r="L217" s="639"/>
      <c r="M217" s="639"/>
      <c r="N217" s="639"/>
      <c r="O217" s="639"/>
      <c r="P217" s="639"/>
      <c r="Q217" s="639"/>
      <c r="R217" s="639"/>
      <c r="S217" s="639"/>
      <c r="T217" s="633">
        <v>4.7800000000000002E-2</v>
      </c>
      <c r="U217" s="605"/>
      <c r="V217" s="605"/>
      <c r="W217" s="607"/>
      <c r="X217" s="588"/>
    </row>
    <row r="218" spans="1:24" x14ac:dyDescent="0.25">
      <c r="A218" s="712"/>
      <c r="B218" s="718"/>
      <c r="C218" s="718"/>
      <c r="D218" s="718"/>
      <c r="E218" s="718"/>
      <c r="F218" s="718"/>
      <c r="G218" s="664"/>
      <c r="H218" s="664"/>
      <c r="I218" s="664"/>
      <c r="J218" s="664"/>
      <c r="K218" s="664"/>
      <c r="L218" s="664"/>
      <c r="M218" s="664"/>
      <c r="N218" s="664"/>
      <c r="O218" s="664"/>
      <c r="P218" s="664"/>
      <c r="Q218" s="664"/>
      <c r="R218" s="664"/>
      <c r="S218" s="664"/>
      <c r="T218" s="696"/>
      <c r="U218" s="664"/>
      <c r="V218" s="719"/>
      <c r="W218" s="664"/>
      <c r="X218" s="572"/>
    </row>
    <row r="219" spans="1:24" x14ac:dyDescent="0.25">
      <c r="A219" s="720"/>
      <c r="B219" s="669" t="s">
        <v>79</v>
      </c>
      <c r="C219" s="670"/>
      <c r="D219" s="670"/>
      <c r="E219" s="670"/>
      <c r="F219" s="721"/>
      <c r="G219" s="670"/>
      <c r="H219" s="670"/>
      <c r="I219" s="670"/>
      <c r="J219" s="670"/>
      <c r="K219" s="670"/>
      <c r="L219" s="670"/>
      <c r="M219" s="670"/>
      <c r="N219" s="670"/>
      <c r="O219" s="670"/>
      <c r="P219" s="670"/>
      <c r="Q219" s="670"/>
      <c r="R219" s="670"/>
      <c r="S219" s="670" t="s">
        <v>102</v>
      </c>
      <c r="T219" s="721" t="s">
        <v>108</v>
      </c>
      <c r="U219" s="598"/>
      <c r="V219" s="598"/>
      <c r="W219" s="601"/>
      <c r="X219" s="572"/>
    </row>
    <row r="220" spans="1:24" s="589" customFormat="1" x14ac:dyDescent="0.25">
      <c r="A220" s="722"/>
      <c r="B220" s="602" t="s">
        <v>80</v>
      </c>
      <c r="C220" s="673"/>
      <c r="D220" s="673"/>
      <c r="E220" s="673"/>
      <c r="F220" s="602"/>
      <c r="G220" s="602"/>
      <c r="H220" s="723"/>
      <c r="I220" s="723"/>
      <c r="J220" s="723"/>
      <c r="K220" s="723"/>
      <c r="L220" s="723"/>
      <c r="M220" s="723"/>
      <c r="N220" s="723"/>
      <c r="O220" s="723"/>
      <c r="P220" s="723"/>
      <c r="Q220" s="723"/>
      <c r="R220" s="723"/>
      <c r="S220" s="723">
        <v>1</v>
      </c>
      <c r="T220" s="724">
        <v>133</v>
      </c>
      <c r="U220" s="602"/>
      <c r="V220" s="725"/>
      <c r="W220" s="726"/>
      <c r="X220" s="588"/>
    </row>
    <row r="221" spans="1:24" s="589" customFormat="1" x14ac:dyDescent="0.25">
      <c r="A221" s="727"/>
      <c r="B221" s="605" t="s">
        <v>145</v>
      </c>
      <c r="C221" s="662"/>
      <c r="D221" s="662"/>
      <c r="E221" s="662"/>
      <c r="F221" s="605"/>
      <c r="G221" s="605"/>
      <c r="H221" s="611"/>
      <c r="I221" s="611"/>
      <c r="J221" s="611"/>
      <c r="K221" s="611"/>
      <c r="L221" s="611"/>
      <c r="M221" s="611"/>
      <c r="N221" s="611"/>
      <c r="O221" s="611"/>
      <c r="P221" s="611"/>
      <c r="Q221" s="611"/>
      <c r="R221" s="611"/>
      <c r="S221" s="728">
        <f>+R273</f>
        <v>60</v>
      </c>
      <c r="T221" s="729">
        <f>+T273</f>
        <v>8617</v>
      </c>
      <c r="U221" s="605"/>
      <c r="V221" s="730"/>
      <c r="W221" s="731"/>
      <c r="X221" s="588"/>
    </row>
    <row r="222" spans="1:24" s="589" customFormat="1" x14ac:dyDescent="0.25">
      <c r="A222" s="727"/>
      <c r="B222" s="605" t="s">
        <v>81</v>
      </c>
      <c r="C222" s="662"/>
      <c r="D222" s="662"/>
      <c r="E222" s="662"/>
      <c r="F222" s="605"/>
      <c r="G222" s="605"/>
      <c r="H222" s="611"/>
      <c r="I222" s="611"/>
      <c r="J222" s="611"/>
      <c r="K222" s="611"/>
      <c r="L222" s="611"/>
      <c r="M222" s="611"/>
      <c r="N222" s="611"/>
      <c r="O222" s="611"/>
      <c r="P222" s="611"/>
      <c r="Q222" s="611"/>
      <c r="R222" s="611"/>
      <c r="S222" s="728">
        <f>+R285</f>
        <v>1</v>
      </c>
      <c r="T222" s="729">
        <f>+T285</f>
        <v>31</v>
      </c>
      <c r="U222" s="605"/>
      <c r="V222" s="730"/>
      <c r="W222" s="731"/>
      <c r="X222" s="588"/>
    </row>
    <row r="223" spans="1:24" x14ac:dyDescent="0.25">
      <c r="A223" s="732"/>
      <c r="B223" s="623" t="s">
        <v>82</v>
      </c>
      <c r="C223" s="733"/>
      <c r="D223" s="733"/>
      <c r="E223" s="733"/>
      <c r="F223" s="679"/>
      <c r="G223" s="679"/>
      <c r="H223" s="679"/>
      <c r="I223" s="679"/>
      <c r="J223" s="679"/>
      <c r="K223" s="679"/>
      <c r="L223" s="679"/>
      <c r="M223" s="679"/>
      <c r="N223" s="679"/>
      <c r="O223" s="679"/>
      <c r="P223" s="679"/>
      <c r="Q223" s="679"/>
      <c r="R223" s="679"/>
      <c r="S223" s="681"/>
      <c r="T223" s="729">
        <v>0</v>
      </c>
      <c r="U223" s="679"/>
      <c r="V223" s="734"/>
      <c r="W223" s="735"/>
      <c r="X223" s="572"/>
    </row>
    <row r="224" spans="1:24" x14ac:dyDescent="0.25">
      <c r="A224" s="732"/>
      <c r="B224" s="623" t="s">
        <v>228</v>
      </c>
      <c r="C224" s="733"/>
      <c r="D224" s="733"/>
      <c r="E224" s="733"/>
      <c r="F224" s="679"/>
      <c r="G224" s="679"/>
      <c r="H224" s="679"/>
      <c r="I224" s="679"/>
      <c r="J224" s="679"/>
      <c r="K224" s="679"/>
      <c r="L224" s="679"/>
      <c r="M224" s="679"/>
      <c r="N224" s="679"/>
      <c r="O224" s="679"/>
      <c r="P224" s="679"/>
      <c r="Q224" s="679"/>
      <c r="R224" s="679"/>
      <c r="S224" s="681"/>
      <c r="T224" s="729">
        <f>+N81</f>
        <v>0</v>
      </c>
      <c r="U224" s="679"/>
      <c r="V224" s="734"/>
      <c r="W224" s="735"/>
      <c r="X224" s="572"/>
    </row>
    <row r="225" spans="1:24" x14ac:dyDescent="0.25">
      <c r="A225" s="736"/>
      <c r="B225" s="623" t="s">
        <v>83</v>
      </c>
      <c r="C225" s="737"/>
      <c r="D225" s="737"/>
      <c r="E225" s="737"/>
      <c r="F225" s="737"/>
      <c r="G225" s="679"/>
      <c r="H225" s="679"/>
      <c r="I225" s="679"/>
      <c r="J225" s="679"/>
      <c r="K225" s="679"/>
      <c r="L225" s="679"/>
      <c r="M225" s="679"/>
      <c r="N225" s="679"/>
      <c r="O225" s="679"/>
      <c r="P225" s="679"/>
      <c r="Q225" s="679"/>
      <c r="R225" s="679"/>
      <c r="S225" s="681"/>
      <c r="T225" s="738"/>
      <c r="U225" s="679"/>
      <c r="V225" s="734"/>
      <c r="W225" s="739"/>
      <c r="X225" s="572"/>
    </row>
    <row r="226" spans="1:24" s="589" customFormat="1" x14ac:dyDescent="0.25">
      <c r="A226" s="740"/>
      <c r="B226" s="605" t="s">
        <v>84</v>
      </c>
      <c r="C226" s="605"/>
      <c r="D226" s="605"/>
      <c r="E226" s="605"/>
      <c r="F226" s="605"/>
      <c r="G226" s="605"/>
      <c r="H226" s="605"/>
      <c r="I226" s="605"/>
      <c r="J226" s="605"/>
      <c r="K226" s="605"/>
      <c r="L226" s="605"/>
      <c r="M226" s="605"/>
      <c r="N226" s="605"/>
      <c r="O226" s="605"/>
      <c r="P226" s="605"/>
      <c r="Q226" s="605"/>
      <c r="R226" s="605"/>
      <c r="S226" s="611"/>
      <c r="T226" s="729">
        <f>V164</f>
        <v>150</v>
      </c>
      <c r="U226" s="605"/>
      <c r="V226" s="730"/>
      <c r="W226" s="741"/>
      <c r="X226" s="588"/>
    </row>
    <row r="227" spans="1:24" s="589" customFormat="1" x14ac:dyDescent="0.25">
      <c r="A227" s="727"/>
      <c r="B227" s="605" t="s">
        <v>85</v>
      </c>
      <c r="C227" s="662"/>
      <c r="D227" s="662"/>
      <c r="E227" s="662"/>
      <c r="F227" s="662"/>
      <c r="G227" s="605"/>
      <c r="H227" s="605"/>
      <c r="I227" s="605"/>
      <c r="J227" s="605"/>
      <c r="K227" s="605"/>
      <c r="L227" s="605"/>
      <c r="M227" s="605"/>
      <c r="N227" s="605"/>
      <c r="O227" s="605"/>
      <c r="P227" s="605"/>
      <c r="Q227" s="605"/>
      <c r="R227" s="605"/>
      <c r="S227" s="611"/>
      <c r="T227" s="729">
        <f>'Feb 19'!T227+T226</f>
        <v>9650</v>
      </c>
      <c r="U227" s="605"/>
      <c r="V227" s="730"/>
      <c r="W227" s="741"/>
      <c r="X227" s="588"/>
    </row>
    <row r="228" spans="1:24" x14ac:dyDescent="0.25">
      <c r="A228" s="736"/>
      <c r="B228" s="623" t="s">
        <v>285</v>
      </c>
      <c r="C228" s="737"/>
      <c r="D228" s="737"/>
      <c r="E228" s="737"/>
      <c r="F228" s="737"/>
      <c r="G228" s="679"/>
      <c r="H228" s="679"/>
      <c r="I228" s="679"/>
      <c r="J228" s="679"/>
      <c r="K228" s="679"/>
      <c r="L228" s="679"/>
      <c r="M228" s="679"/>
      <c r="N228" s="679"/>
      <c r="O228" s="679"/>
      <c r="P228" s="679"/>
      <c r="Q228" s="679"/>
      <c r="R228" s="679"/>
      <c r="S228" s="742"/>
      <c r="T228" s="738"/>
      <c r="U228" s="679"/>
      <c r="V228" s="734"/>
      <c r="W228" s="739"/>
      <c r="X228" s="572"/>
    </row>
    <row r="229" spans="1:24" s="589" customFormat="1" x14ac:dyDescent="0.25">
      <c r="A229" s="740"/>
      <c r="B229" s="605" t="s">
        <v>282</v>
      </c>
      <c r="C229" s="605"/>
      <c r="D229" s="605"/>
      <c r="E229" s="605"/>
      <c r="F229" s="605"/>
      <c r="G229" s="605"/>
      <c r="H229" s="605"/>
      <c r="I229" s="605"/>
      <c r="J229" s="605"/>
      <c r="K229" s="605"/>
      <c r="L229" s="605"/>
      <c r="M229" s="605"/>
      <c r="N229" s="605"/>
      <c r="O229" s="605"/>
      <c r="P229" s="605"/>
      <c r="Q229" s="605"/>
      <c r="R229" s="605"/>
      <c r="S229" s="611">
        <v>0</v>
      </c>
      <c r="T229" s="729">
        <v>0</v>
      </c>
      <c r="U229" s="605"/>
      <c r="V229" s="730"/>
      <c r="W229" s="741"/>
      <c r="X229" s="588"/>
    </row>
    <row r="230" spans="1:24" s="589" customFormat="1" x14ac:dyDescent="0.25">
      <c r="A230" s="727"/>
      <c r="B230" s="605" t="s">
        <v>86</v>
      </c>
      <c r="C230" s="635"/>
      <c r="D230" s="635"/>
      <c r="E230" s="635"/>
      <c r="F230" s="743"/>
      <c r="G230" s="605"/>
      <c r="H230" s="605"/>
      <c r="I230" s="605"/>
      <c r="J230" s="605"/>
      <c r="K230" s="605"/>
      <c r="L230" s="605"/>
      <c r="M230" s="605"/>
      <c r="N230" s="605"/>
      <c r="O230" s="605"/>
      <c r="P230" s="605"/>
      <c r="Q230" s="605"/>
      <c r="R230" s="605"/>
      <c r="S230" s="605"/>
      <c r="T230" s="744">
        <v>0</v>
      </c>
      <c r="U230" s="605"/>
      <c r="V230" s="730"/>
      <c r="W230" s="741"/>
      <c r="X230" s="588"/>
    </row>
    <row r="231" spans="1:24" s="589" customFormat="1" x14ac:dyDescent="0.25">
      <c r="A231" s="727"/>
      <c r="B231" s="605" t="s">
        <v>87</v>
      </c>
      <c r="C231" s="635"/>
      <c r="D231" s="635"/>
      <c r="E231" s="635"/>
      <c r="F231" s="743"/>
      <c r="G231" s="605"/>
      <c r="H231" s="605"/>
      <c r="I231" s="605"/>
      <c r="J231" s="605"/>
      <c r="K231" s="605"/>
      <c r="L231" s="605"/>
      <c r="M231" s="605"/>
      <c r="N231" s="605"/>
      <c r="O231" s="605"/>
      <c r="P231" s="605"/>
      <c r="Q231" s="605"/>
      <c r="R231" s="605"/>
      <c r="S231" s="605"/>
      <c r="T231" s="744">
        <v>0</v>
      </c>
      <c r="U231" s="605"/>
      <c r="V231" s="730"/>
      <c r="W231" s="741"/>
      <c r="X231" s="588"/>
    </row>
    <row r="232" spans="1:24" x14ac:dyDescent="0.25">
      <c r="A232" s="732"/>
      <c r="B232" s="623" t="s">
        <v>216</v>
      </c>
      <c r="C232" s="745"/>
      <c r="D232" s="745"/>
      <c r="E232" s="745"/>
      <c r="F232" s="746"/>
      <c r="G232" s="679"/>
      <c r="H232" s="679"/>
      <c r="I232" s="679"/>
      <c r="J232" s="679"/>
      <c r="K232" s="679"/>
      <c r="L232" s="679"/>
      <c r="M232" s="679"/>
      <c r="N232" s="679"/>
      <c r="O232" s="679"/>
      <c r="P232" s="679"/>
      <c r="Q232" s="679"/>
      <c r="R232" s="679"/>
      <c r="S232" s="681"/>
      <c r="T232" s="747"/>
      <c r="U232" s="679"/>
      <c r="V232" s="734"/>
      <c r="W232" s="739"/>
      <c r="X232" s="572"/>
    </row>
    <row r="233" spans="1:24" s="589" customFormat="1" x14ac:dyDescent="0.25">
      <c r="A233" s="727"/>
      <c r="B233" s="605" t="s">
        <v>282</v>
      </c>
      <c r="C233" s="635"/>
      <c r="D233" s="635"/>
      <c r="E233" s="635"/>
      <c r="F233" s="743"/>
      <c r="G233" s="605"/>
      <c r="H233" s="605"/>
      <c r="I233" s="605"/>
      <c r="J233" s="605"/>
      <c r="K233" s="605"/>
      <c r="L233" s="605"/>
      <c r="M233" s="605"/>
      <c r="N233" s="605"/>
      <c r="O233" s="605"/>
      <c r="P233" s="605"/>
      <c r="Q233" s="605"/>
      <c r="R233" s="605"/>
      <c r="S233" s="611">
        <v>4</v>
      </c>
      <c r="T233" s="729">
        <v>388</v>
      </c>
      <c r="U233" s="605"/>
      <c r="V233" s="730"/>
      <c r="W233" s="741"/>
      <c r="X233" s="588"/>
    </row>
    <row r="234" spans="1:24" s="589" customFormat="1" x14ac:dyDescent="0.25">
      <c r="A234" s="727"/>
      <c r="B234" s="605" t="s">
        <v>217</v>
      </c>
      <c r="C234" s="635"/>
      <c r="D234" s="635"/>
      <c r="E234" s="635"/>
      <c r="F234" s="743"/>
      <c r="G234" s="605"/>
      <c r="H234" s="605"/>
      <c r="I234" s="605"/>
      <c r="J234" s="605"/>
      <c r="K234" s="605"/>
      <c r="L234" s="605"/>
      <c r="M234" s="605"/>
      <c r="N234" s="605"/>
      <c r="O234" s="605"/>
      <c r="P234" s="605"/>
      <c r="Q234" s="605"/>
      <c r="R234" s="605"/>
      <c r="S234" s="605"/>
      <c r="T234" s="744">
        <v>0.63</v>
      </c>
      <c r="U234" s="605"/>
      <c r="V234" s="730"/>
      <c r="W234" s="741"/>
      <c r="X234" s="588"/>
    </row>
    <row r="235" spans="1:24" x14ac:dyDescent="0.25">
      <c r="A235" s="732"/>
      <c r="B235" s="737"/>
      <c r="C235" s="745"/>
      <c r="D235" s="745"/>
      <c r="E235" s="745"/>
      <c r="F235" s="746"/>
      <c r="G235" s="679"/>
      <c r="H235" s="679"/>
      <c r="I235" s="679"/>
      <c r="J235" s="679"/>
      <c r="K235" s="679"/>
      <c r="L235" s="679"/>
      <c r="M235" s="679"/>
      <c r="N235" s="679"/>
      <c r="O235" s="679"/>
      <c r="P235" s="679"/>
      <c r="Q235" s="679"/>
      <c r="R235" s="679"/>
      <c r="S235" s="681"/>
      <c r="T235" s="747"/>
      <c r="U235" s="679"/>
      <c r="V235" s="734"/>
      <c r="W235" s="739"/>
      <c r="X235" s="572"/>
    </row>
    <row r="236" spans="1:24" x14ac:dyDescent="0.25">
      <c r="A236" s="732"/>
      <c r="B236" s="737"/>
      <c r="C236" s="745"/>
      <c r="D236" s="745"/>
      <c r="E236" s="745"/>
      <c r="F236" s="746"/>
      <c r="G236" s="679"/>
      <c r="H236" s="679"/>
      <c r="I236" s="679"/>
      <c r="J236" s="679"/>
      <c r="K236" s="679"/>
      <c r="L236" s="679"/>
      <c r="M236" s="679"/>
      <c r="N236" s="679"/>
      <c r="O236" s="679"/>
      <c r="P236" s="679"/>
      <c r="Q236" s="679"/>
      <c r="R236" s="679"/>
      <c r="S236" s="679"/>
      <c r="T236" s="748"/>
      <c r="U236" s="679"/>
      <c r="V236" s="734"/>
      <c r="W236" s="739"/>
      <c r="X236" s="572"/>
    </row>
    <row r="237" spans="1:24" ht="18.75" x14ac:dyDescent="0.3">
      <c r="A237" s="732"/>
      <c r="B237" s="749" t="s">
        <v>168</v>
      </c>
      <c r="C237" s="745"/>
      <c r="D237" s="745"/>
      <c r="E237" s="745"/>
      <c r="F237" s="746"/>
      <c r="G237" s="679"/>
      <c r="H237" s="679"/>
      <c r="I237" s="679"/>
      <c r="J237" s="679"/>
      <c r="K237" s="679"/>
      <c r="L237" s="679"/>
      <c r="M237" s="679"/>
      <c r="N237" s="679"/>
      <c r="O237" s="679"/>
      <c r="P237" s="535" t="s">
        <v>341</v>
      </c>
      <c r="Q237" s="679"/>
      <c r="R237" s="679"/>
      <c r="S237" s="679"/>
      <c r="T237" s="748"/>
      <c r="U237" s="679"/>
      <c r="V237" s="734"/>
      <c r="W237" s="739"/>
      <c r="X237" s="572"/>
    </row>
    <row r="238" spans="1:24" x14ac:dyDescent="0.25">
      <c r="A238" s="750"/>
      <c r="B238" s="718"/>
      <c r="C238" s="751"/>
      <c r="D238" s="751"/>
      <c r="E238" s="751"/>
      <c r="F238" s="752"/>
      <c r="G238" s="664"/>
      <c r="H238" s="664"/>
      <c r="I238" s="664"/>
      <c r="J238" s="664"/>
      <c r="K238" s="664"/>
      <c r="L238" s="664"/>
      <c r="M238" s="664"/>
      <c r="N238" s="664"/>
      <c r="O238" s="664"/>
      <c r="P238" s="664"/>
      <c r="Q238" s="664"/>
      <c r="R238" s="664"/>
      <c r="S238" s="664"/>
      <c r="T238" s="753"/>
      <c r="U238" s="664"/>
      <c r="V238" s="719"/>
      <c r="W238" s="754"/>
      <c r="X238" s="572"/>
    </row>
    <row r="239" spans="1:24" x14ac:dyDescent="0.25">
      <c r="A239" s="597"/>
      <c r="B239" s="669" t="s">
        <v>297</v>
      </c>
      <c r="C239" s="670"/>
      <c r="D239" s="670"/>
      <c r="E239" s="670"/>
      <c r="F239" s="721"/>
      <c r="G239" s="670"/>
      <c r="H239" s="670"/>
      <c r="I239" s="670"/>
      <c r="J239" s="670"/>
      <c r="K239" s="670"/>
      <c r="L239" s="670"/>
      <c r="M239" s="670"/>
      <c r="N239" s="670"/>
      <c r="O239" s="670"/>
      <c r="P239" s="670"/>
      <c r="Q239" s="670"/>
      <c r="R239" s="721" t="s">
        <v>102</v>
      </c>
      <c r="S239" s="670" t="s">
        <v>103</v>
      </c>
      <c r="T239" s="721" t="s">
        <v>109</v>
      </c>
      <c r="U239" s="670" t="s">
        <v>103</v>
      </c>
      <c r="V239" s="598"/>
      <c r="W239" s="755"/>
      <c r="X239" s="572"/>
    </row>
    <row r="240" spans="1:24" s="589" customFormat="1" x14ac:dyDescent="0.25">
      <c r="A240" s="585"/>
      <c r="B240" s="673" t="s">
        <v>88</v>
      </c>
      <c r="C240" s="756"/>
      <c r="D240" s="756"/>
      <c r="E240" s="756"/>
      <c r="F240" s="602"/>
      <c r="G240" s="756"/>
      <c r="H240" s="756"/>
      <c r="I240" s="756"/>
      <c r="J240" s="756"/>
      <c r="K240" s="756"/>
      <c r="L240" s="756"/>
      <c r="M240" s="756"/>
      <c r="N240" s="756"/>
      <c r="O240" s="756"/>
      <c r="P240" s="756"/>
      <c r="Q240" s="756"/>
      <c r="R240" s="673">
        <f t="shared" ref="R240:R247" si="1">+R252+R264+R276</f>
        <v>4147</v>
      </c>
      <c r="S240" s="757">
        <f t="shared" ref="S240:S247" si="2">R240/$R$249</f>
        <v>0.98855780691299167</v>
      </c>
      <c r="T240" s="674">
        <f t="shared" ref="T240:T247" si="3">+T252+T264+T276</f>
        <v>562908</v>
      </c>
      <c r="U240" s="757">
        <f t="shared" ref="U240:U247" si="4">T240/$T$249</f>
        <v>0.98783691533924489</v>
      </c>
      <c r="V240" s="725"/>
      <c r="W240" s="758"/>
      <c r="X240" s="588"/>
    </row>
    <row r="241" spans="1:25" s="589" customFormat="1" x14ac:dyDescent="0.25">
      <c r="A241" s="604"/>
      <c r="B241" s="662" t="s">
        <v>89</v>
      </c>
      <c r="C241" s="759"/>
      <c r="D241" s="759"/>
      <c r="E241" s="759"/>
      <c r="F241" s="605"/>
      <c r="G241" s="760"/>
      <c r="H241" s="759"/>
      <c r="I241" s="759"/>
      <c r="J241" s="759"/>
      <c r="K241" s="759"/>
      <c r="L241" s="759"/>
      <c r="M241" s="759"/>
      <c r="N241" s="759"/>
      <c r="O241" s="759"/>
      <c r="P241" s="759"/>
      <c r="Q241" s="759"/>
      <c r="R241" s="662">
        <f t="shared" si="1"/>
        <v>36</v>
      </c>
      <c r="S241" s="760">
        <f t="shared" si="2"/>
        <v>8.5816448152562577E-3</v>
      </c>
      <c r="T241" s="663">
        <f t="shared" si="3"/>
        <v>4738</v>
      </c>
      <c r="U241" s="760">
        <f t="shared" si="4"/>
        <v>8.3146292198322692E-3</v>
      </c>
      <c r="V241" s="730"/>
      <c r="W241" s="741"/>
      <c r="X241" s="588"/>
      <c r="Y241" s="685"/>
    </row>
    <row r="242" spans="1:25" s="589" customFormat="1" x14ac:dyDescent="0.25">
      <c r="A242" s="604"/>
      <c r="B242" s="662" t="s">
        <v>90</v>
      </c>
      <c r="C242" s="759"/>
      <c r="D242" s="759"/>
      <c r="E242" s="759"/>
      <c r="F242" s="605"/>
      <c r="G242" s="760"/>
      <c r="H242" s="759"/>
      <c r="I242" s="759"/>
      <c r="J242" s="759"/>
      <c r="K242" s="759"/>
      <c r="L242" s="759"/>
      <c r="M242" s="759"/>
      <c r="N242" s="759"/>
      <c r="O242" s="759"/>
      <c r="P242" s="759"/>
      <c r="Q242" s="759"/>
      <c r="R242" s="662">
        <f t="shared" si="1"/>
        <v>7</v>
      </c>
      <c r="S242" s="760">
        <f t="shared" si="2"/>
        <v>1.6686531585220501E-3</v>
      </c>
      <c r="T242" s="663">
        <f t="shared" si="3"/>
        <v>1166</v>
      </c>
      <c r="U242" s="760">
        <f t="shared" si="4"/>
        <v>2.0461919945809256E-3</v>
      </c>
      <c r="V242" s="730"/>
      <c r="W242" s="741"/>
      <c r="X242" s="588"/>
    </row>
    <row r="243" spans="1:25" s="589" customFormat="1" x14ac:dyDescent="0.25">
      <c r="A243" s="604"/>
      <c r="B243" s="662" t="s">
        <v>156</v>
      </c>
      <c r="C243" s="759"/>
      <c r="D243" s="759"/>
      <c r="E243" s="759"/>
      <c r="F243" s="605"/>
      <c r="G243" s="760"/>
      <c r="H243" s="759"/>
      <c r="I243" s="759"/>
      <c r="J243" s="759"/>
      <c r="K243" s="759"/>
      <c r="L243" s="759"/>
      <c r="M243" s="759"/>
      <c r="N243" s="759"/>
      <c r="O243" s="759"/>
      <c r="P243" s="759"/>
      <c r="Q243" s="759"/>
      <c r="R243" s="662">
        <f t="shared" si="1"/>
        <v>0</v>
      </c>
      <c r="S243" s="760">
        <f t="shared" si="2"/>
        <v>0</v>
      </c>
      <c r="T243" s="663">
        <f t="shared" si="3"/>
        <v>0</v>
      </c>
      <c r="U243" s="760">
        <f t="shared" si="4"/>
        <v>0</v>
      </c>
      <c r="V243" s="730"/>
      <c r="W243" s="741"/>
      <c r="X243" s="588"/>
      <c r="Y243" s="685"/>
    </row>
    <row r="244" spans="1:25" s="589" customFormat="1" x14ac:dyDescent="0.25">
      <c r="A244" s="604"/>
      <c r="B244" s="662" t="s">
        <v>157</v>
      </c>
      <c r="C244" s="759"/>
      <c r="D244" s="759"/>
      <c r="E244" s="759"/>
      <c r="F244" s="605"/>
      <c r="G244" s="760"/>
      <c r="H244" s="759"/>
      <c r="I244" s="759"/>
      <c r="J244" s="759"/>
      <c r="K244" s="759"/>
      <c r="L244" s="759"/>
      <c r="M244" s="759"/>
      <c r="N244" s="759"/>
      <c r="O244" s="759"/>
      <c r="P244" s="759"/>
      <c r="Q244" s="759"/>
      <c r="R244" s="662">
        <f t="shared" si="1"/>
        <v>3</v>
      </c>
      <c r="S244" s="760">
        <f t="shared" si="2"/>
        <v>7.1513706793802144E-4</v>
      </c>
      <c r="T244" s="663">
        <f t="shared" si="3"/>
        <v>307</v>
      </c>
      <c r="U244" s="760">
        <f t="shared" si="4"/>
        <v>5.3874866409634999E-4</v>
      </c>
      <c r="V244" s="730"/>
      <c r="W244" s="741"/>
      <c r="X244" s="588"/>
    </row>
    <row r="245" spans="1:25" s="589" customFormat="1" x14ac:dyDescent="0.25">
      <c r="A245" s="604"/>
      <c r="B245" s="662" t="s">
        <v>158</v>
      </c>
      <c r="C245" s="759"/>
      <c r="D245" s="759"/>
      <c r="E245" s="759"/>
      <c r="F245" s="605"/>
      <c r="G245" s="760"/>
      <c r="H245" s="759"/>
      <c r="I245" s="759"/>
      <c r="J245" s="759"/>
      <c r="K245" s="759"/>
      <c r="L245" s="759"/>
      <c r="M245" s="759"/>
      <c r="N245" s="759"/>
      <c r="O245" s="759"/>
      <c r="P245" s="759"/>
      <c r="Q245" s="759"/>
      <c r="R245" s="662">
        <f t="shared" si="1"/>
        <v>0</v>
      </c>
      <c r="S245" s="760">
        <f t="shared" si="2"/>
        <v>0</v>
      </c>
      <c r="T245" s="663">
        <f t="shared" si="3"/>
        <v>0</v>
      </c>
      <c r="U245" s="760">
        <f t="shared" si="4"/>
        <v>0</v>
      </c>
      <c r="V245" s="730"/>
      <c r="W245" s="741"/>
      <c r="X245" s="588"/>
      <c r="Y245" s="685"/>
    </row>
    <row r="246" spans="1:25" s="589" customFormat="1" x14ac:dyDescent="0.25">
      <c r="A246" s="604"/>
      <c r="B246" s="662" t="s">
        <v>159</v>
      </c>
      <c r="C246" s="759"/>
      <c r="D246" s="759"/>
      <c r="E246" s="759"/>
      <c r="F246" s="605"/>
      <c r="G246" s="760"/>
      <c r="H246" s="759"/>
      <c r="I246" s="759"/>
      <c r="J246" s="759"/>
      <c r="K246" s="759"/>
      <c r="L246" s="759"/>
      <c r="M246" s="759"/>
      <c r="N246" s="759"/>
      <c r="O246" s="759"/>
      <c r="P246" s="759"/>
      <c r="Q246" s="759"/>
      <c r="R246" s="662">
        <f t="shared" si="1"/>
        <v>1</v>
      </c>
      <c r="S246" s="760">
        <f t="shared" si="2"/>
        <v>2.3837902264600716E-4</v>
      </c>
      <c r="T246" s="663">
        <f t="shared" si="3"/>
        <v>89</v>
      </c>
      <c r="U246" s="760">
        <f t="shared" si="4"/>
        <v>1.5618446613868128E-4</v>
      </c>
      <c r="V246" s="730"/>
      <c r="W246" s="741"/>
      <c r="X246" s="588"/>
    </row>
    <row r="247" spans="1:25" s="589" customFormat="1" x14ac:dyDescent="0.25">
      <c r="A247" s="604"/>
      <c r="B247" s="662" t="s">
        <v>160</v>
      </c>
      <c r="C247" s="759"/>
      <c r="D247" s="759"/>
      <c r="E247" s="759"/>
      <c r="F247" s="605"/>
      <c r="G247" s="760"/>
      <c r="H247" s="759"/>
      <c r="I247" s="759"/>
      <c r="J247" s="759"/>
      <c r="K247" s="759"/>
      <c r="L247" s="759"/>
      <c r="M247" s="759"/>
      <c r="N247" s="759"/>
      <c r="O247" s="759"/>
      <c r="P247" s="759"/>
      <c r="Q247" s="759"/>
      <c r="R247" s="673">
        <f t="shared" si="1"/>
        <v>1</v>
      </c>
      <c r="S247" s="760">
        <f t="shared" si="2"/>
        <v>2.3837902264600716E-4</v>
      </c>
      <c r="T247" s="674">
        <f t="shared" si="3"/>
        <v>631</v>
      </c>
      <c r="U247" s="757">
        <f t="shared" si="4"/>
        <v>1.1073303161068301E-3</v>
      </c>
      <c r="V247" s="730"/>
      <c r="W247" s="741"/>
      <c r="X247" s="588"/>
      <c r="Y247" s="685"/>
    </row>
    <row r="248" spans="1:25" s="589" customFormat="1" x14ac:dyDescent="0.25">
      <c r="A248" s="604"/>
      <c r="B248" s="662"/>
      <c r="C248" s="759"/>
      <c r="D248" s="759"/>
      <c r="E248" s="759"/>
      <c r="F248" s="605"/>
      <c r="G248" s="760"/>
      <c r="H248" s="759"/>
      <c r="I248" s="759"/>
      <c r="J248" s="759"/>
      <c r="K248" s="759"/>
      <c r="L248" s="759"/>
      <c r="M248" s="759"/>
      <c r="N248" s="759"/>
      <c r="O248" s="759"/>
      <c r="P248" s="759"/>
      <c r="Q248" s="759"/>
      <c r="R248" s="662"/>
      <c r="S248" s="760"/>
      <c r="T248" s="663"/>
      <c r="U248" s="760"/>
      <c r="V248" s="730"/>
      <c r="W248" s="741"/>
      <c r="X248" s="588"/>
    </row>
    <row r="249" spans="1:25" s="589" customFormat="1" x14ac:dyDescent="0.25">
      <c r="A249" s="604"/>
      <c r="B249" s="605"/>
      <c r="C249" s="605"/>
      <c r="D249" s="605"/>
      <c r="E249" s="605"/>
      <c r="F249" s="605"/>
      <c r="G249" s="605"/>
      <c r="H249" s="761"/>
      <c r="I249" s="761"/>
      <c r="J249" s="761"/>
      <c r="K249" s="761"/>
      <c r="L249" s="761"/>
      <c r="M249" s="761"/>
      <c r="N249" s="761"/>
      <c r="O249" s="761"/>
      <c r="P249" s="761"/>
      <c r="Q249" s="761"/>
      <c r="R249" s="662">
        <f>SUM(R240:R248)</f>
        <v>4195</v>
      </c>
      <c r="S249" s="760">
        <f>SUM(S240:S248)</f>
        <v>1</v>
      </c>
      <c r="T249" s="663">
        <f>SUM(T240:T248)</f>
        <v>569839</v>
      </c>
      <c r="U249" s="760">
        <f>SUM(U240:U248)</f>
        <v>0.99999999999999989</v>
      </c>
      <c r="V249" s="605"/>
      <c r="W249" s="607"/>
      <c r="X249" s="588"/>
    </row>
    <row r="250" spans="1:25" x14ac:dyDescent="0.25">
      <c r="A250" s="574"/>
      <c r="B250" s="664"/>
      <c r="C250" s="664"/>
      <c r="D250" s="664"/>
      <c r="E250" s="664"/>
      <c r="F250" s="664"/>
      <c r="G250" s="664"/>
      <c r="H250" s="762"/>
      <c r="I250" s="762"/>
      <c r="J250" s="762"/>
      <c r="K250" s="762"/>
      <c r="L250" s="762"/>
      <c r="M250" s="762"/>
      <c r="N250" s="762"/>
      <c r="O250" s="762"/>
      <c r="P250" s="762"/>
      <c r="Q250" s="762"/>
      <c r="R250" s="665"/>
      <c r="S250" s="763"/>
      <c r="T250" s="764"/>
      <c r="U250" s="763"/>
      <c r="V250" s="664"/>
      <c r="W250" s="664"/>
      <c r="X250" s="572"/>
    </row>
    <row r="251" spans="1:25" x14ac:dyDescent="0.25">
      <c r="A251" s="597"/>
      <c r="B251" s="669" t="s">
        <v>162</v>
      </c>
      <c r="C251" s="670"/>
      <c r="D251" s="670"/>
      <c r="E251" s="670"/>
      <c r="F251" s="721"/>
      <c r="G251" s="670"/>
      <c r="H251" s="670"/>
      <c r="I251" s="670"/>
      <c r="J251" s="670"/>
      <c r="K251" s="670"/>
      <c r="L251" s="670"/>
      <c r="M251" s="670"/>
      <c r="N251" s="670"/>
      <c r="O251" s="670"/>
      <c r="P251" s="670"/>
      <c r="Q251" s="670"/>
      <c r="R251" s="721" t="s">
        <v>102</v>
      </c>
      <c r="S251" s="670" t="s">
        <v>103</v>
      </c>
      <c r="T251" s="721" t="s">
        <v>109</v>
      </c>
      <c r="U251" s="670" t="s">
        <v>103</v>
      </c>
      <c r="V251" s="598"/>
      <c r="W251" s="755"/>
      <c r="X251" s="572"/>
    </row>
    <row r="252" spans="1:25" s="589" customFormat="1" x14ac:dyDescent="0.25">
      <c r="A252" s="585"/>
      <c r="B252" s="673" t="s">
        <v>88</v>
      </c>
      <c r="C252" s="756"/>
      <c r="D252" s="756"/>
      <c r="E252" s="756"/>
      <c r="F252" s="602"/>
      <c r="G252" s="756"/>
      <c r="H252" s="756"/>
      <c r="I252" s="756"/>
      <c r="J252" s="756"/>
      <c r="K252" s="756"/>
      <c r="L252" s="756"/>
      <c r="M252" s="756"/>
      <c r="N252" s="756"/>
      <c r="O252" s="756"/>
      <c r="P252" s="756"/>
      <c r="Q252" s="756"/>
      <c r="R252" s="673">
        <v>4094</v>
      </c>
      <c r="S252" s="757">
        <f>R252/$R$261</f>
        <v>0.99032414126753754</v>
      </c>
      <c r="T252" s="674">
        <v>555722</v>
      </c>
      <c r="U252" s="757">
        <f t="shared" ref="U252:U259" si="5">T252/$T$261</f>
        <v>0.99025465483231201</v>
      </c>
      <c r="V252" s="725"/>
      <c r="W252" s="758"/>
      <c r="X252" s="588"/>
    </row>
    <row r="253" spans="1:25" s="589" customFormat="1" x14ac:dyDescent="0.25">
      <c r="A253" s="604"/>
      <c r="B253" s="662" t="s">
        <v>89</v>
      </c>
      <c r="C253" s="759"/>
      <c r="D253" s="759"/>
      <c r="E253" s="759"/>
      <c r="F253" s="605"/>
      <c r="G253" s="760"/>
      <c r="H253" s="759"/>
      <c r="I253" s="759"/>
      <c r="J253" s="759"/>
      <c r="K253" s="759"/>
      <c r="L253" s="759"/>
      <c r="M253" s="759"/>
      <c r="N253" s="759"/>
      <c r="O253" s="759"/>
      <c r="P253" s="759"/>
      <c r="Q253" s="759"/>
      <c r="R253" s="662">
        <v>35</v>
      </c>
      <c r="S253" s="760">
        <f t="shared" ref="S253:S259" si="6">R253/$R$261</f>
        <v>8.4663763909046934E-3</v>
      </c>
      <c r="T253" s="663">
        <v>4621</v>
      </c>
      <c r="U253" s="760">
        <f t="shared" si="5"/>
        <v>8.2342731797195607E-3</v>
      </c>
      <c r="V253" s="730"/>
      <c r="W253" s="741"/>
      <c r="X253" s="588"/>
      <c r="Y253" s="685"/>
    </row>
    <row r="254" spans="1:25" s="589" customFormat="1" x14ac:dyDescent="0.25">
      <c r="A254" s="604"/>
      <c r="B254" s="662" t="s">
        <v>90</v>
      </c>
      <c r="C254" s="759"/>
      <c r="D254" s="759"/>
      <c r="E254" s="759"/>
      <c r="F254" s="605"/>
      <c r="G254" s="760"/>
      <c r="H254" s="759"/>
      <c r="I254" s="759"/>
      <c r="J254" s="759"/>
      <c r="K254" s="759"/>
      <c r="L254" s="759"/>
      <c r="M254" s="759"/>
      <c r="N254" s="759"/>
      <c r="O254" s="759"/>
      <c r="P254" s="759"/>
      <c r="Q254" s="759"/>
      <c r="R254" s="662">
        <v>4</v>
      </c>
      <c r="S254" s="760">
        <f t="shared" si="6"/>
        <v>9.6758587324625057E-4</v>
      </c>
      <c r="T254" s="663">
        <v>709</v>
      </c>
      <c r="U254" s="760">
        <f t="shared" si="5"/>
        <v>1.2633844805066369E-3</v>
      </c>
      <c r="V254" s="730"/>
      <c r="W254" s="741"/>
      <c r="X254" s="588"/>
    </row>
    <row r="255" spans="1:25" s="589" customFormat="1" x14ac:dyDescent="0.25">
      <c r="A255" s="604"/>
      <c r="B255" s="662" t="s">
        <v>156</v>
      </c>
      <c r="C255" s="759"/>
      <c r="D255" s="759"/>
      <c r="E255" s="759"/>
      <c r="F255" s="605"/>
      <c r="G255" s="760"/>
      <c r="H255" s="759"/>
      <c r="I255" s="759"/>
      <c r="J255" s="759"/>
      <c r="K255" s="759"/>
      <c r="L255" s="759"/>
      <c r="M255" s="759"/>
      <c r="N255" s="759"/>
      <c r="O255" s="759"/>
      <c r="P255" s="759"/>
      <c r="Q255" s="759"/>
      <c r="R255" s="662">
        <v>0</v>
      </c>
      <c r="S255" s="760">
        <f t="shared" si="6"/>
        <v>0</v>
      </c>
      <c r="T255" s="663">
        <v>0</v>
      </c>
      <c r="U255" s="760">
        <f t="shared" si="5"/>
        <v>0</v>
      </c>
      <c r="V255" s="730"/>
      <c r="W255" s="741"/>
      <c r="X255" s="588"/>
      <c r="Y255" s="685"/>
    </row>
    <row r="256" spans="1:25" s="589" customFormat="1" x14ac:dyDescent="0.25">
      <c r="A256" s="604"/>
      <c r="B256" s="662" t="s">
        <v>157</v>
      </c>
      <c r="C256" s="759"/>
      <c r="D256" s="759"/>
      <c r="E256" s="759"/>
      <c r="F256" s="605"/>
      <c r="G256" s="760"/>
      <c r="H256" s="759"/>
      <c r="I256" s="759"/>
      <c r="J256" s="759"/>
      <c r="K256" s="759"/>
      <c r="L256" s="759"/>
      <c r="M256" s="759"/>
      <c r="N256" s="759"/>
      <c r="O256" s="759"/>
      <c r="P256" s="759"/>
      <c r="Q256" s="759"/>
      <c r="R256" s="662">
        <v>1</v>
      </c>
      <c r="S256" s="760">
        <f t="shared" si="6"/>
        <v>2.4189646831156264E-4</v>
      </c>
      <c r="T256" s="663">
        <v>139</v>
      </c>
      <c r="U256" s="760">
        <f t="shared" si="5"/>
        <v>2.4768750746180892E-4</v>
      </c>
      <c r="V256" s="730"/>
      <c r="W256" s="741"/>
      <c r="X256" s="588"/>
    </row>
    <row r="257" spans="1:25" s="589" customFormat="1" x14ac:dyDescent="0.25">
      <c r="A257" s="604"/>
      <c r="B257" s="662" t="s">
        <v>158</v>
      </c>
      <c r="C257" s="759"/>
      <c r="D257" s="759"/>
      <c r="E257" s="759"/>
      <c r="F257" s="605"/>
      <c r="G257" s="760"/>
      <c r="H257" s="759"/>
      <c r="I257" s="759"/>
      <c r="J257" s="759"/>
      <c r="K257" s="759"/>
      <c r="L257" s="759"/>
      <c r="M257" s="759"/>
      <c r="N257" s="759"/>
      <c r="O257" s="759"/>
      <c r="P257" s="759"/>
      <c r="Q257" s="759"/>
      <c r="R257" s="662">
        <v>0</v>
      </c>
      <c r="S257" s="760">
        <f t="shared" si="6"/>
        <v>0</v>
      </c>
      <c r="T257" s="663">
        <v>0</v>
      </c>
      <c r="U257" s="760">
        <f t="shared" si="5"/>
        <v>0</v>
      </c>
      <c r="V257" s="730"/>
      <c r="W257" s="741"/>
      <c r="X257" s="588"/>
      <c r="Y257" s="685"/>
    </row>
    <row r="258" spans="1:25" s="589" customFormat="1" x14ac:dyDescent="0.25">
      <c r="A258" s="604"/>
      <c r="B258" s="662" t="s">
        <v>159</v>
      </c>
      <c r="C258" s="759"/>
      <c r="D258" s="759"/>
      <c r="E258" s="759"/>
      <c r="F258" s="605"/>
      <c r="G258" s="760"/>
      <c r="H258" s="759"/>
      <c r="I258" s="759"/>
      <c r="J258" s="759"/>
      <c r="K258" s="759"/>
      <c r="L258" s="759"/>
      <c r="M258" s="759"/>
      <c r="N258" s="759"/>
      <c r="O258" s="759"/>
      <c r="P258" s="759"/>
      <c r="Q258" s="759"/>
      <c r="R258" s="662">
        <v>0</v>
      </c>
      <c r="S258" s="760">
        <f t="shared" si="6"/>
        <v>0</v>
      </c>
      <c r="T258" s="663">
        <v>0</v>
      </c>
      <c r="U258" s="760">
        <f t="shared" si="5"/>
        <v>0</v>
      </c>
      <c r="V258" s="730"/>
      <c r="W258" s="741"/>
      <c r="X258" s="588"/>
    </row>
    <row r="259" spans="1:25" s="589" customFormat="1" x14ac:dyDescent="0.25">
      <c r="A259" s="604"/>
      <c r="B259" s="662" t="s">
        <v>160</v>
      </c>
      <c r="C259" s="759"/>
      <c r="D259" s="759"/>
      <c r="E259" s="759"/>
      <c r="F259" s="605"/>
      <c r="G259" s="760"/>
      <c r="H259" s="759"/>
      <c r="I259" s="759"/>
      <c r="J259" s="759"/>
      <c r="K259" s="759"/>
      <c r="L259" s="759"/>
      <c r="M259" s="759"/>
      <c r="N259" s="759"/>
      <c r="O259" s="759"/>
      <c r="P259" s="759"/>
      <c r="Q259" s="759"/>
      <c r="R259" s="662">
        <v>0</v>
      </c>
      <c r="S259" s="760">
        <f t="shared" si="6"/>
        <v>0</v>
      </c>
      <c r="T259" s="663">
        <v>0</v>
      </c>
      <c r="U259" s="760">
        <f t="shared" si="5"/>
        <v>0</v>
      </c>
      <c r="V259" s="730"/>
      <c r="W259" s="741"/>
      <c r="X259" s="588"/>
      <c r="Y259" s="685"/>
    </row>
    <row r="260" spans="1:25" s="589" customFormat="1" x14ac:dyDescent="0.25">
      <c r="A260" s="604"/>
      <c r="B260" s="662"/>
      <c r="C260" s="759"/>
      <c r="D260" s="759"/>
      <c r="E260" s="759"/>
      <c r="F260" s="605"/>
      <c r="G260" s="760"/>
      <c r="H260" s="759"/>
      <c r="I260" s="759"/>
      <c r="J260" s="759"/>
      <c r="K260" s="759"/>
      <c r="L260" s="759"/>
      <c r="M260" s="759"/>
      <c r="N260" s="759"/>
      <c r="O260" s="759"/>
      <c r="P260" s="759"/>
      <c r="Q260" s="759"/>
      <c r="R260" s="662"/>
      <c r="S260" s="760"/>
      <c r="T260" s="663"/>
      <c r="U260" s="760"/>
      <c r="V260" s="730"/>
      <c r="W260" s="741"/>
      <c r="X260" s="588"/>
    </row>
    <row r="261" spans="1:25" s="589" customFormat="1" x14ac:dyDescent="0.25">
      <c r="A261" s="604"/>
      <c r="B261" s="605"/>
      <c r="C261" s="605"/>
      <c r="D261" s="605"/>
      <c r="E261" s="605"/>
      <c r="F261" s="605"/>
      <c r="G261" s="605"/>
      <c r="H261" s="761"/>
      <c r="I261" s="761"/>
      <c r="J261" s="761"/>
      <c r="K261" s="761"/>
      <c r="L261" s="761"/>
      <c r="M261" s="761"/>
      <c r="N261" s="761"/>
      <c r="O261" s="761"/>
      <c r="P261" s="761"/>
      <c r="Q261" s="761"/>
      <c r="R261" s="662">
        <f>SUM(R252:R260)</f>
        <v>4134</v>
      </c>
      <c r="S261" s="760">
        <f>SUM(S252:S260)</f>
        <v>1</v>
      </c>
      <c r="T261" s="663">
        <f>SUM(T252:T260)</f>
        <v>561191</v>
      </c>
      <c r="U261" s="760">
        <f>SUM(U252:U260)</f>
        <v>1</v>
      </c>
      <c r="V261" s="605"/>
      <c r="W261" s="607"/>
      <c r="X261" s="588"/>
    </row>
    <row r="262" spans="1:25" x14ac:dyDescent="0.25">
      <c r="A262" s="574"/>
      <c r="B262" s="664"/>
      <c r="C262" s="664"/>
      <c r="D262" s="664"/>
      <c r="E262" s="664"/>
      <c r="F262" s="664"/>
      <c r="G262" s="664"/>
      <c r="H262" s="762"/>
      <c r="I262" s="762"/>
      <c r="J262" s="762"/>
      <c r="K262" s="762"/>
      <c r="L262" s="762"/>
      <c r="M262" s="762"/>
      <c r="N262" s="762"/>
      <c r="O262" s="762"/>
      <c r="P262" s="762"/>
      <c r="Q262" s="762"/>
      <c r="R262" s="665"/>
      <c r="S262" s="763"/>
      <c r="T262" s="764"/>
      <c r="U262" s="763"/>
      <c r="V262" s="664"/>
      <c r="W262" s="664"/>
      <c r="X262" s="572"/>
    </row>
    <row r="263" spans="1:25" x14ac:dyDescent="0.25">
      <c r="A263" s="597"/>
      <c r="B263" s="669" t="s">
        <v>236</v>
      </c>
      <c r="C263" s="670"/>
      <c r="D263" s="670"/>
      <c r="E263" s="670"/>
      <c r="F263" s="721"/>
      <c r="G263" s="670"/>
      <c r="H263" s="670"/>
      <c r="I263" s="670"/>
      <c r="J263" s="670"/>
      <c r="K263" s="670"/>
      <c r="L263" s="670"/>
      <c r="M263" s="670"/>
      <c r="N263" s="670"/>
      <c r="O263" s="670"/>
      <c r="P263" s="670"/>
      <c r="Q263" s="670"/>
      <c r="R263" s="721" t="s">
        <v>102</v>
      </c>
      <c r="S263" s="670" t="s">
        <v>103</v>
      </c>
      <c r="T263" s="721" t="s">
        <v>109</v>
      </c>
      <c r="U263" s="670" t="s">
        <v>103</v>
      </c>
      <c r="V263" s="598"/>
      <c r="W263" s="601"/>
      <c r="X263" s="572"/>
    </row>
    <row r="264" spans="1:25" s="589" customFormat="1" x14ac:dyDescent="0.25">
      <c r="A264" s="585"/>
      <c r="B264" s="673" t="s">
        <v>88</v>
      </c>
      <c r="C264" s="756"/>
      <c r="D264" s="756"/>
      <c r="E264" s="756"/>
      <c r="F264" s="602"/>
      <c r="G264" s="756"/>
      <c r="H264" s="756"/>
      <c r="I264" s="756"/>
      <c r="J264" s="756"/>
      <c r="K264" s="756"/>
      <c r="L264" s="756"/>
      <c r="M264" s="756"/>
      <c r="N264" s="756"/>
      <c r="O264" s="756"/>
      <c r="P264" s="756"/>
      <c r="Q264" s="756"/>
      <c r="R264" s="673">
        <v>52</v>
      </c>
      <c r="S264" s="757">
        <f t="shared" ref="S264:S270" si="7">R264/$R$273</f>
        <v>0.8666666666666667</v>
      </c>
      <c r="T264" s="674">
        <v>7155</v>
      </c>
      <c r="U264" s="757">
        <f t="shared" ref="U264:U271" si="8">T264/$T$273</f>
        <v>0.83033538354415692</v>
      </c>
      <c r="V264" s="602"/>
      <c r="W264" s="602"/>
      <c r="X264" s="588"/>
    </row>
    <row r="265" spans="1:25" s="589" customFormat="1" x14ac:dyDescent="0.25">
      <c r="A265" s="604"/>
      <c r="B265" s="662" t="s">
        <v>89</v>
      </c>
      <c r="C265" s="759"/>
      <c r="D265" s="759"/>
      <c r="E265" s="759"/>
      <c r="F265" s="605"/>
      <c r="G265" s="760"/>
      <c r="H265" s="759"/>
      <c r="I265" s="759"/>
      <c r="J265" s="759"/>
      <c r="K265" s="759"/>
      <c r="L265" s="759"/>
      <c r="M265" s="759"/>
      <c r="N265" s="759"/>
      <c r="O265" s="759"/>
      <c r="P265" s="759"/>
      <c r="Q265" s="759"/>
      <c r="R265" s="662">
        <v>1</v>
      </c>
      <c r="S265" s="760">
        <f t="shared" si="7"/>
        <v>1.6666666666666666E-2</v>
      </c>
      <c r="T265" s="663">
        <v>117</v>
      </c>
      <c r="U265" s="760">
        <f t="shared" si="8"/>
        <v>1.3577811303237786E-2</v>
      </c>
      <c r="V265" s="605"/>
      <c r="W265" s="607"/>
      <c r="X265" s="588"/>
    </row>
    <row r="266" spans="1:25" s="589" customFormat="1" x14ac:dyDescent="0.25">
      <c r="A266" s="604"/>
      <c r="B266" s="662" t="s">
        <v>90</v>
      </c>
      <c r="C266" s="759"/>
      <c r="D266" s="759"/>
      <c r="E266" s="759"/>
      <c r="F266" s="605"/>
      <c r="G266" s="760"/>
      <c r="H266" s="759"/>
      <c r="I266" s="759"/>
      <c r="J266" s="759"/>
      <c r="K266" s="759"/>
      <c r="L266" s="759"/>
      <c r="M266" s="759"/>
      <c r="N266" s="759"/>
      <c r="O266" s="759"/>
      <c r="P266" s="759"/>
      <c r="Q266" s="759"/>
      <c r="R266" s="662">
        <v>3</v>
      </c>
      <c r="S266" s="760">
        <f t="shared" si="7"/>
        <v>0.05</v>
      </c>
      <c r="T266" s="663">
        <v>457</v>
      </c>
      <c r="U266" s="760">
        <f t="shared" si="8"/>
        <v>5.3034698851108272E-2</v>
      </c>
      <c r="V266" s="605"/>
      <c r="W266" s="607"/>
      <c r="X266" s="588"/>
    </row>
    <row r="267" spans="1:25" s="589" customFormat="1" x14ac:dyDescent="0.25">
      <c r="A267" s="604"/>
      <c r="B267" s="662" t="s">
        <v>156</v>
      </c>
      <c r="C267" s="759"/>
      <c r="D267" s="759"/>
      <c r="E267" s="759"/>
      <c r="F267" s="605"/>
      <c r="G267" s="760"/>
      <c r="H267" s="759"/>
      <c r="I267" s="759"/>
      <c r="J267" s="759"/>
      <c r="K267" s="759"/>
      <c r="L267" s="759"/>
      <c r="M267" s="759"/>
      <c r="N267" s="759"/>
      <c r="O267" s="759"/>
      <c r="P267" s="759"/>
      <c r="Q267" s="759"/>
      <c r="R267" s="662">
        <v>0</v>
      </c>
      <c r="S267" s="760">
        <f t="shared" si="7"/>
        <v>0</v>
      </c>
      <c r="T267" s="663">
        <v>0</v>
      </c>
      <c r="U267" s="760">
        <f t="shared" si="8"/>
        <v>0</v>
      </c>
      <c r="V267" s="605"/>
      <c r="W267" s="607"/>
      <c r="X267" s="588"/>
    </row>
    <row r="268" spans="1:25" s="589" customFormat="1" x14ac:dyDescent="0.25">
      <c r="A268" s="604"/>
      <c r="B268" s="662" t="s">
        <v>157</v>
      </c>
      <c r="C268" s="759"/>
      <c r="D268" s="759"/>
      <c r="E268" s="759"/>
      <c r="F268" s="605"/>
      <c r="G268" s="760"/>
      <c r="H268" s="759"/>
      <c r="I268" s="759"/>
      <c r="J268" s="759"/>
      <c r="K268" s="759"/>
      <c r="L268" s="759"/>
      <c r="M268" s="759"/>
      <c r="N268" s="759"/>
      <c r="O268" s="759"/>
      <c r="P268" s="759"/>
      <c r="Q268" s="759"/>
      <c r="R268" s="662">
        <v>2</v>
      </c>
      <c r="S268" s="760">
        <f t="shared" si="7"/>
        <v>3.3333333333333333E-2</v>
      </c>
      <c r="T268" s="663">
        <v>168</v>
      </c>
      <c r="U268" s="760">
        <f t="shared" si="8"/>
        <v>1.949634443541836E-2</v>
      </c>
      <c r="V268" s="605"/>
      <c r="W268" s="607"/>
      <c r="X268" s="588"/>
    </row>
    <row r="269" spans="1:25" s="589" customFormat="1" x14ac:dyDescent="0.25">
      <c r="A269" s="604"/>
      <c r="B269" s="662" t="s">
        <v>158</v>
      </c>
      <c r="C269" s="759"/>
      <c r="D269" s="759"/>
      <c r="E269" s="759"/>
      <c r="F269" s="605"/>
      <c r="G269" s="760"/>
      <c r="H269" s="759"/>
      <c r="I269" s="759"/>
      <c r="J269" s="759"/>
      <c r="K269" s="759"/>
      <c r="L269" s="759"/>
      <c r="M269" s="759"/>
      <c r="N269" s="759"/>
      <c r="O269" s="759"/>
      <c r="P269" s="759"/>
      <c r="Q269" s="759"/>
      <c r="R269" s="662">
        <v>0</v>
      </c>
      <c r="S269" s="760">
        <f t="shared" si="7"/>
        <v>0</v>
      </c>
      <c r="T269" s="663">
        <v>0</v>
      </c>
      <c r="U269" s="760">
        <f t="shared" si="8"/>
        <v>0</v>
      </c>
      <c r="V269" s="605"/>
      <c r="W269" s="607"/>
      <c r="X269" s="588"/>
    </row>
    <row r="270" spans="1:25" s="589" customFormat="1" x14ac:dyDescent="0.25">
      <c r="A270" s="604"/>
      <c r="B270" s="662" t="s">
        <v>159</v>
      </c>
      <c r="C270" s="759"/>
      <c r="D270" s="759"/>
      <c r="E270" s="759"/>
      <c r="F270" s="605"/>
      <c r="G270" s="760"/>
      <c r="H270" s="759"/>
      <c r="I270" s="759"/>
      <c r="J270" s="759"/>
      <c r="K270" s="759"/>
      <c r="L270" s="759"/>
      <c r="M270" s="759"/>
      <c r="N270" s="759"/>
      <c r="O270" s="759"/>
      <c r="P270" s="759"/>
      <c r="Q270" s="759"/>
      <c r="R270" s="662">
        <v>1</v>
      </c>
      <c r="S270" s="760">
        <f t="shared" si="7"/>
        <v>1.6666666666666666E-2</v>
      </c>
      <c r="T270" s="663">
        <v>89</v>
      </c>
      <c r="U270" s="760">
        <f t="shared" si="8"/>
        <v>1.0328420564001392E-2</v>
      </c>
      <c r="V270" s="605"/>
      <c r="W270" s="607"/>
      <c r="X270" s="588"/>
    </row>
    <row r="271" spans="1:25" s="589" customFormat="1" x14ac:dyDescent="0.25">
      <c r="A271" s="604"/>
      <c r="B271" s="662" t="s">
        <v>160</v>
      </c>
      <c r="C271" s="759"/>
      <c r="D271" s="759"/>
      <c r="E271" s="759"/>
      <c r="F271" s="605"/>
      <c r="G271" s="760"/>
      <c r="H271" s="759"/>
      <c r="I271" s="759"/>
      <c r="J271" s="759"/>
      <c r="K271" s="759"/>
      <c r="L271" s="759"/>
      <c r="M271" s="759"/>
      <c r="N271" s="759"/>
      <c r="O271" s="759"/>
      <c r="P271" s="759"/>
      <c r="Q271" s="759"/>
      <c r="R271" s="662">
        <v>1</v>
      </c>
      <c r="S271" s="760">
        <f>R271/$R$273</f>
        <v>1.6666666666666666E-2</v>
      </c>
      <c r="T271" s="663">
        <v>631</v>
      </c>
      <c r="U271" s="760">
        <f t="shared" si="8"/>
        <v>7.3227341302077295E-2</v>
      </c>
      <c r="V271" s="605"/>
      <c r="W271" s="607"/>
      <c r="X271" s="588"/>
    </row>
    <row r="272" spans="1:25" s="589" customFormat="1" x14ac:dyDescent="0.25">
      <c r="A272" s="604"/>
      <c r="B272" s="662"/>
      <c r="C272" s="759"/>
      <c r="D272" s="759"/>
      <c r="E272" s="759"/>
      <c r="F272" s="605"/>
      <c r="G272" s="760"/>
      <c r="H272" s="759"/>
      <c r="I272" s="759"/>
      <c r="J272" s="759"/>
      <c r="K272" s="759"/>
      <c r="L272" s="759"/>
      <c r="M272" s="759"/>
      <c r="N272" s="759"/>
      <c r="O272" s="759"/>
      <c r="P272" s="759"/>
      <c r="Q272" s="759"/>
      <c r="R272" s="662"/>
      <c r="S272" s="760"/>
      <c r="T272" s="663"/>
      <c r="U272" s="760"/>
      <c r="V272" s="605"/>
      <c r="W272" s="607"/>
      <c r="X272" s="588"/>
    </row>
    <row r="273" spans="1:24" s="589" customFormat="1" x14ac:dyDescent="0.25">
      <c r="A273" s="604"/>
      <c r="B273" s="605"/>
      <c r="C273" s="605"/>
      <c r="D273" s="605"/>
      <c r="E273" s="605"/>
      <c r="F273" s="605"/>
      <c r="G273" s="605"/>
      <c r="H273" s="761"/>
      <c r="I273" s="761"/>
      <c r="J273" s="761"/>
      <c r="K273" s="761"/>
      <c r="L273" s="761"/>
      <c r="M273" s="761"/>
      <c r="N273" s="761"/>
      <c r="O273" s="761"/>
      <c r="P273" s="761"/>
      <c r="Q273" s="761"/>
      <c r="R273" s="662">
        <f>SUM(R264:R272)</f>
        <v>60</v>
      </c>
      <c r="S273" s="760">
        <f>SUM(S264:S272)</f>
        <v>1.0000000000000002</v>
      </c>
      <c r="T273" s="663">
        <f>SUM(T264:T272)</f>
        <v>8617</v>
      </c>
      <c r="U273" s="760">
        <f>SUM(U264:U272)</f>
        <v>1</v>
      </c>
      <c r="V273" s="605"/>
      <c r="W273" s="607"/>
      <c r="X273" s="588"/>
    </row>
    <row r="274" spans="1:24" x14ac:dyDescent="0.25">
      <c r="A274" s="574"/>
      <c r="B274" s="664"/>
      <c r="C274" s="664"/>
      <c r="D274" s="664"/>
      <c r="E274" s="664"/>
      <c r="F274" s="664"/>
      <c r="G274" s="664"/>
      <c r="H274" s="762"/>
      <c r="I274" s="762"/>
      <c r="J274" s="762"/>
      <c r="K274" s="762"/>
      <c r="L274" s="762"/>
      <c r="M274" s="762"/>
      <c r="N274" s="762"/>
      <c r="O274" s="762"/>
      <c r="P274" s="762"/>
      <c r="Q274" s="762"/>
      <c r="R274" s="665"/>
      <c r="S274" s="763"/>
      <c r="T274" s="764"/>
      <c r="U274" s="763"/>
      <c r="V274" s="664"/>
      <c r="W274" s="664"/>
      <c r="X274" s="572"/>
    </row>
    <row r="275" spans="1:24" x14ac:dyDescent="0.25">
      <c r="A275" s="597"/>
      <c r="B275" s="669" t="s">
        <v>163</v>
      </c>
      <c r="C275" s="598"/>
      <c r="D275" s="598"/>
      <c r="E275" s="598"/>
      <c r="F275" s="598"/>
      <c r="G275" s="598"/>
      <c r="H275" s="765"/>
      <c r="I275" s="765"/>
      <c r="J275" s="765"/>
      <c r="K275" s="765"/>
      <c r="L275" s="765"/>
      <c r="M275" s="765"/>
      <c r="N275" s="765"/>
      <c r="O275" s="765"/>
      <c r="P275" s="765"/>
      <c r="Q275" s="765"/>
      <c r="R275" s="721" t="s">
        <v>102</v>
      </c>
      <c r="S275" s="670" t="s">
        <v>103</v>
      </c>
      <c r="T275" s="721" t="s">
        <v>109</v>
      </c>
      <c r="U275" s="670" t="s">
        <v>103</v>
      </c>
      <c r="V275" s="598"/>
      <c r="W275" s="601"/>
      <c r="X275" s="572"/>
    </row>
    <row r="276" spans="1:24" s="589" customFormat="1" x14ac:dyDescent="0.25">
      <c r="A276" s="585"/>
      <c r="B276" s="673" t="s">
        <v>88</v>
      </c>
      <c r="C276" s="602"/>
      <c r="D276" s="602"/>
      <c r="E276" s="602"/>
      <c r="F276" s="602"/>
      <c r="G276" s="602"/>
      <c r="H276" s="766"/>
      <c r="I276" s="766"/>
      <c r="J276" s="766"/>
      <c r="K276" s="766"/>
      <c r="L276" s="766"/>
      <c r="M276" s="766"/>
      <c r="N276" s="766"/>
      <c r="O276" s="766"/>
      <c r="P276" s="766"/>
      <c r="Q276" s="766"/>
      <c r="R276" s="673">
        <v>1</v>
      </c>
      <c r="S276" s="757">
        <v>1</v>
      </c>
      <c r="T276" s="674">
        <v>31</v>
      </c>
      <c r="U276" s="757">
        <v>1</v>
      </c>
      <c r="V276" s="602"/>
      <c r="W276" s="602"/>
      <c r="X276" s="588"/>
    </row>
    <row r="277" spans="1:24" s="589" customFormat="1" x14ac:dyDescent="0.25">
      <c r="A277" s="604"/>
      <c r="B277" s="662" t="s">
        <v>89</v>
      </c>
      <c r="C277" s="605"/>
      <c r="D277" s="605"/>
      <c r="E277" s="605"/>
      <c r="F277" s="605"/>
      <c r="G277" s="605"/>
      <c r="H277" s="761"/>
      <c r="I277" s="761"/>
      <c r="J277" s="761"/>
      <c r="K277" s="761"/>
      <c r="L277" s="761"/>
      <c r="M277" s="761"/>
      <c r="N277" s="761"/>
      <c r="O277" s="761"/>
      <c r="P277" s="761"/>
      <c r="Q277" s="761"/>
      <c r="R277" s="662">
        <v>0</v>
      </c>
      <c r="S277" s="760">
        <v>0</v>
      </c>
      <c r="T277" s="663">
        <v>0</v>
      </c>
      <c r="U277" s="760">
        <v>0</v>
      </c>
      <c r="V277" s="605"/>
      <c r="W277" s="607"/>
      <c r="X277" s="588"/>
    </row>
    <row r="278" spans="1:24" s="589" customFormat="1" x14ac:dyDescent="0.25">
      <c r="A278" s="604"/>
      <c r="B278" s="662" t="s">
        <v>90</v>
      </c>
      <c r="C278" s="605"/>
      <c r="D278" s="605"/>
      <c r="E278" s="605"/>
      <c r="F278" s="605"/>
      <c r="G278" s="605"/>
      <c r="H278" s="761"/>
      <c r="I278" s="761"/>
      <c r="J278" s="761"/>
      <c r="K278" s="761"/>
      <c r="L278" s="761"/>
      <c r="M278" s="761"/>
      <c r="N278" s="761"/>
      <c r="O278" s="761"/>
      <c r="P278" s="761"/>
      <c r="Q278" s="761"/>
      <c r="R278" s="662">
        <v>0</v>
      </c>
      <c r="S278" s="760">
        <v>0</v>
      </c>
      <c r="T278" s="663">
        <v>0</v>
      </c>
      <c r="U278" s="760">
        <v>0</v>
      </c>
      <c r="V278" s="605"/>
      <c r="W278" s="607"/>
      <c r="X278" s="588"/>
    </row>
    <row r="279" spans="1:24" s="589" customFormat="1" x14ac:dyDescent="0.25">
      <c r="A279" s="604"/>
      <c r="B279" s="662" t="s">
        <v>156</v>
      </c>
      <c r="C279" s="605"/>
      <c r="D279" s="605"/>
      <c r="E279" s="605"/>
      <c r="F279" s="605"/>
      <c r="G279" s="605"/>
      <c r="H279" s="761"/>
      <c r="I279" s="761"/>
      <c r="J279" s="761"/>
      <c r="K279" s="761"/>
      <c r="L279" s="761"/>
      <c r="M279" s="761"/>
      <c r="N279" s="761"/>
      <c r="O279" s="761"/>
      <c r="P279" s="761"/>
      <c r="Q279" s="761"/>
      <c r="R279" s="662">
        <v>0</v>
      </c>
      <c r="S279" s="760">
        <v>0</v>
      </c>
      <c r="T279" s="663">
        <v>0</v>
      </c>
      <c r="U279" s="760">
        <v>0</v>
      </c>
      <c r="V279" s="605"/>
      <c r="W279" s="607"/>
      <c r="X279" s="588"/>
    </row>
    <row r="280" spans="1:24" s="589" customFormat="1" x14ac:dyDescent="0.25">
      <c r="A280" s="604"/>
      <c r="B280" s="662" t="s">
        <v>157</v>
      </c>
      <c r="C280" s="605"/>
      <c r="D280" s="605"/>
      <c r="E280" s="605"/>
      <c r="F280" s="605"/>
      <c r="G280" s="605"/>
      <c r="H280" s="761"/>
      <c r="I280" s="761"/>
      <c r="J280" s="761"/>
      <c r="K280" s="761"/>
      <c r="L280" s="761"/>
      <c r="M280" s="761"/>
      <c r="N280" s="761"/>
      <c r="O280" s="761"/>
      <c r="P280" s="761"/>
      <c r="Q280" s="761"/>
      <c r="R280" s="662">
        <v>0</v>
      </c>
      <c r="S280" s="760">
        <v>0</v>
      </c>
      <c r="T280" s="663">
        <v>0</v>
      </c>
      <c r="U280" s="760">
        <v>0</v>
      </c>
      <c r="V280" s="605"/>
      <c r="W280" s="607"/>
      <c r="X280" s="588"/>
    </row>
    <row r="281" spans="1:24" s="589" customFormat="1" x14ac:dyDescent="0.25">
      <c r="A281" s="604"/>
      <c r="B281" s="662" t="s">
        <v>158</v>
      </c>
      <c r="C281" s="605"/>
      <c r="D281" s="605"/>
      <c r="E281" s="605"/>
      <c r="F281" s="605"/>
      <c r="G281" s="605"/>
      <c r="H281" s="761"/>
      <c r="I281" s="761"/>
      <c r="J281" s="761"/>
      <c r="K281" s="761"/>
      <c r="L281" s="761"/>
      <c r="M281" s="761"/>
      <c r="N281" s="761"/>
      <c r="O281" s="761"/>
      <c r="P281" s="761"/>
      <c r="Q281" s="761"/>
      <c r="R281" s="662">
        <v>0</v>
      </c>
      <c r="S281" s="760">
        <v>0</v>
      </c>
      <c r="T281" s="663">
        <v>0</v>
      </c>
      <c r="U281" s="760">
        <v>0</v>
      </c>
      <c r="V281" s="605"/>
      <c r="W281" s="607"/>
      <c r="X281" s="588"/>
    </row>
    <row r="282" spans="1:24" s="589" customFormat="1" x14ac:dyDescent="0.25">
      <c r="A282" s="604"/>
      <c r="B282" s="662" t="s">
        <v>159</v>
      </c>
      <c r="C282" s="605"/>
      <c r="D282" s="605"/>
      <c r="E282" s="605"/>
      <c r="F282" s="605"/>
      <c r="G282" s="605"/>
      <c r="H282" s="761"/>
      <c r="I282" s="761"/>
      <c r="J282" s="761"/>
      <c r="K282" s="761"/>
      <c r="L282" s="761"/>
      <c r="M282" s="761"/>
      <c r="N282" s="761"/>
      <c r="O282" s="761"/>
      <c r="P282" s="761"/>
      <c r="Q282" s="761"/>
      <c r="R282" s="662">
        <v>0</v>
      </c>
      <c r="S282" s="760">
        <v>0</v>
      </c>
      <c r="T282" s="663">
        <v>0</v>
      </c>
      <c r="U282" s="760">
        <v>0</v>
      </c>
      <c r="V282" s="605"/>
      <c r="W282" s="607"/>
      <c r="X282" s="588"/>
    </row>
    <row r="283" spans="1:24" s="589" customFormat="1" x14ac:dyDescent="0.25">
      <c r="A283" s="604"/>
      <c r="B283" s="662" t="s">
        <v>160</v>
      </c>
      <c r="C283" s="605"/>
      <c r="D283" s="605"/>
      <c r="E283" s="605"/>
      <c r="F283" s="605"/>
      <c r="G283" s="605"/>
      <c r="H283" s="761"/>
      <c r="I283" s="761"/>
      <c r="J283" s="761"/>
      <c r="K283" s="761"/>
      <c r="L283" s="761"/>
      <c r="M283" s="761"/>
      <c r="N283" s="761"/>
      <c r="O283" s="761"/>
      <c r="P283" s="761"/>
      <c r="Q283" s="761"/>
      <c r="R283" s="662">
        <v>0</v>
      </c>
      <c r="S283" s="760">
        <v>0</v>
      </c>
      <c r="T283" s="663">
        <v>0</v>
      </c>
      <c r="U283" s="760">
        <v>0</v>
      </c>
      <c r="V283" s="605"/>
      <c r="W283" s="607"/>
      <c r="X283" s="588"/>
    </row>
    <row r="284" spans="1:24" s="589" customFormat="1" x14ac:dyDescent="0.25">
      <c r="A284" s="604"/>
      <c r="B284" s="662"/>
      <c r="C284" s="605"/>
      <c r="D284" s="605"/>
      <c r="E284" s="605"/>
      <c r="F284" s="605"/>
      <c r="G284" s="605"/>
      <c r="H284" s="761"/>
      <c r="I284" s="761"/>
      <c r="J284" s="761"/>
      <c r="K284" s="761"/>
      <c r="L284" s="761"/>
      <c r="M284" s="761"/>
      <c r="N284" s="761"/>
      <c r="O284" s="761"/>
      <c r="P284" s="761"/>
      <c r="Q284" s="761"/>
      <c r="R284" s="662"/>
      <c r="S284" s="760"/>
      <c r="T284" s="663"/>
      <c r="U284" s="760"/>
      <c r="V284" s="605"/>
      <c r="W284" s="607"/>
      <c r="X284" s="588"/>
    </row>
    <row r="285" spans="1:24" s="589" customFormat="1" x14ac:dyDescent="0.25">
      <c r="A285" s="604"/>
      <c r="B285" s="605" t="s">
        <v>114</v>
      </c>
      <c r="C285" s="605"/>
      <c r="D285" s="605"/>
      <c r="E285" s="605"/>
      <c r="F285" s="605"/>
      <c r="G285" s="605"/>
      <c r="H285" s="761"/>
      <c r="I285" s="761"/>
      <c r="J285" s="761"/>
      <c r="K285" s="761"/>
      <c r="L285" s="761"/>
      <c r="M285" s="761"/>
      <c r="N285" s="761"/>
      <c r="O285" s="761"/>
      <c r="P285" s="761"/>
      <c r="Q285" s="761"/>
      <c r="R285" s="662">
        <f>SUM(R276:R283)</f>
        <v>1</v>
      </c>
      <c r="S285" s="760">
        <f>SUM(S276:S283)</f>
        <v>1</v>
      </c>
      <c r="T285" s="663">
        <f>SUM(T276:T283)</f>
        <v>31</v>
      </c>
      <c r="U285" s="760">
        <f>SUM(U276:U283)</f>
        <v>1</v>
      </c>
      <c r="V285" s="605"/>
      <c r="W285" s="607"/>
      <c r="X285" s="588"/>
    </row>
    <row r="286" spans="1:24" s="589" customFormat="1" x14ac:dyDescent="0.25">
      <c r="A286" s="604"/>
      <c r="B286" s="605"/>
      <c r="C286" s="605"/>
      <c r="D286" s="605"/>
      <c r="E286" s="605"/>
      <c r="F286" s="605"/>
      <c r="G286" s="605"/>
      <c r="H286" s="761"/>
      <c r="I286" s="761"/>
      <c r="J286" s="761"/>
      <c r="K286" s="761"/>
      <c r="L286" s="761"/>
      <c r="M286" s="761"/>
      <c r="N286" s="761"/>
      <c r="O286" s="761"/>
      <c r="P286" s="761"/>
      <c r="Q286" s="761"/>
      <c r="R286" s="662"/>
      <c r="S286" s="760"/>
      <c r="T286" s="663"/>
      <c r="U286" s="760"/>
      <c r="V286" s="605"/>
      <c r="W286" s="607"/>
      <c r="X286" s="588"/>
    </row>
    <row r="287" spans="1:24" s="589" customFormat="1" x14ac:dyDescent="0.25">
      <c r="A287" s="604"/>
      <c r="B287" s="610" t="s">
        <v>164</v>
      </c>
      <c r="C287" s="605"/>
      <c r="D287" s="605"/>
      <c r="E287" s="605"/>
      <c r="F287" s="605"/>
      <c r="G287" s="605"/>
      <c r="H287" s="761"/>
      <c r="I287" s="761"/>
      <c r="J287" s="761"/>
      <c r="K287" s="761"/>
      <c r="L287" s="761"/>
      <c r="M287" s="761"/>
      <c r="N287" s="761"/>
      <c r="O287" s="761"/>
      <c r="P287" s="761"/>
      <c r="Q287" s="761"/>
      <c r="R287" s="767">
        <f>R285+R273+R261</f>
        <v>4195</v>
      </c>
      <c r="S287" s="760"/>
      <c r="T287" s="768">
        <f>+T285+T273+T261</f>
        <v>569839</v>
      </c>
      <c r="U287" s="760"/>
      <c r="V287" s="605"/>
      <c r="W287" s="607"/>
      <c r="X287" s="588"/>
    </row>
    <row r="288" spans="1:24" s="589" customFormat="1" x14ac:dyDescent="0.25">
      <c r="A288" s="585"/>
      <c r="B288" s="602"/>
      <c r="C288" s="602"/>
      <c r="D288" s="602"/>
      <c r="E288" s="602"/>
      <c r="F288" s="602"/>
      <c r="G288" s="602"/>
      <c r="H288" s="766"/>
      <c r="I288" s="766"/>
      <c r="J288" s="766"/>
      <c r="K288" s="766"/>
      <c r="L288" s="766"/>
      <c r="M288" s="766"/>
      <c r="N288" s="766"/>
      <c r="O288" s="766"/>
      <c r="P288" s="766"/>
      <c r="Q288" s="766"/>
      <c r="R288" s="766"/>
      <c r="S288" s="766"/>
      <c r="T288" s="674"/>
      <c r="U288" s="766"/>
      <c r="V288" s="602"/>
      <c r="W288" s="602"/>
      <c r="X288" s="588"/>
    </row>
    <row r="289" spans="1:24" s="589" customFormat="1" x14ac:dyDescent="0.25">
      <c r="A289" s="585"/>
      <c r="B289" s="586"/>
      <c r="C289" s="586"/>
      <c r="D289" s="586"/>
      <c r="E289" s="586"/>
      <c r="F289" s="586"/>
      <c r="G289" s="586"/>
      <c r="H289" s="769"/>
      <c r="I289" s="769"/>
      <c r="J289" s="769"/>
      <c r="K289" s="769"/>
      <c r="L289" s="769"/>
      <c r="M289" s="769"/>
      <c r="N289" s="769"/>
      <c r="O289" s="769"/>
      <c r="P289" s="769"/>
      <c r="Q289" s="769"/>
      <c r="R289" s="769"/>
      <c r="S289" s="769"/>
      <c r="T289" s="770"/>
      <c r="U289" s="769"/>
      <c r="V289" s="586"/>
      <c r="W289" s="586"/>
      <c r="X289" s="588"/>
    </row>
    <row r="290" spans="1:24" s="589" customFormat="1" x14ac:dyDescent="0.25">
      <c r="A290" s="585"/>
      <c r="B290" s="584" t="s">
        <v>91</v>
      </c>
      <c r="C290" s="586"/>
      <c r="D290" s="586"/>
      <c r="E290" s="586"/>
      <c r="F290" s="592" t="s">
        <v>97</v>
      </c>
      <c r="G290" s="586"/>
      <c r="H290" s="584" t="s">
        <v>99</v>
      </c>
      <c r="I290" s="584"/>
      <c r="J290" s="584"/>
      <c r="K290" s="586"/>
      <c r="L290" s="586"/>
      <c r="M290" s="586"/>
      <c r="N290" s="586"/>
      <c r="O290" s="586"/>
      <c r="P290" s="586"/>
      <c r="Q290" s="586"/>
      <c r="R290" s="586"/>
      <c r="S290" s="586"/>
      <c r="T290" s="586"/>
      <c r="U290" s="586"/>
      <c r="V290" s="586"/>
      <c r="W290" s="586"/>
      <c r="X290" s="588"/>
    </row>
    <row r="291" spans="1:24" s="589" customFormat="1" x14ac:dyDescent="0.25">
      <c r="A291" s="585"/>
      <c r="B291" s="586"/>
      <c r="C291" s="586"/>
      <c r="D291" s="586"/>
      <c r="E291" s="586"/>
      <c r="F291" s="586"/>
      <c r="G291" s="586"/>
      <c r="H291" s="586"/>
      <c r="I291" s="586"/>
      <c r="J291" s="586"/>
      <c r="K291" s="586"/>
      <c r="L291" s="586"/>
      <c r="M291" s="586"/>
      <c r="N291" s="586"/>
      <c r="O291" s="586"/>
      <c r="P291" s="586"/>
      <c r="Q291" s="586"/>
      <c r="R291" s="586"/>
      <c r="S291" s="586"/>
      <c r="T291" s="586"/>
      <c r="U291" s="586"/>
      <c r="V291" s="586"/>
      <c r="W291" s="586"/>
      <c r="X291" s="588"/>
    </row>
    <row r="292" spans="1:24" s="589" customFormat="1" x14ac:dyDescent="0.25">
      <c r="A292" s="585"/>
      <c r="B292" s="584" t="s">
        <v>319</v>
      </c>
      <c r="C292" s="584"/>
      <c r="D292" s="584"/>
      <c r="E292" s="584"/>
      <c r="F292" s="771" t="s">
        <v>266</v>
      </c>
      <c r="G292" s="584"/>
      <c r="H292" s="584" t="s">
        <v>267</v>
      </c>
      <c r="I292" s="584"/>
      <c r="J292" s="584"/>
      <c r="K292" s="586"/>
      <c r="L292" s="586"/>
      <c r="M292" s="586"/>
      <c r="N292" s="586"/>
      <c r="O292" s="586"/>
      <c r="P292" s="586"/>
      <c r="Q292" s="586"/>
      <c r="R292" s="586"/>
      <c r="S292" s="586"/>
      <c r="T292" s="586"/>
      <c r="U292" s="586"/>
      <c r="V292" s="586"/>
      <c r="W292" s="586"/>
      <c r="X292" s="588"/>
    </row>
    <row r="293" spans="1:24" s="589" customFormat="1" x14ac:dyDescent="0.25">
      <c r="A293" s="585"/>
      <c r="B293" s="584" t="s">
        <v>320</v>
      </c>
      <c r="C293" s="584"/>
      <c r="D293" s="584"/>
      <c r="E293" s="584"/>
      <c r="F293" s="771" t="s">
        <v>147</v>
      </c>
      <c r="G293" s="584"/>
      <c r="H293" s="584" t="s">
        <v>153</v>
      </c>
      <c r="I293" s="584"/>
      <c r="J293" s="584"/>
      <c r="K293" s="586"/>
      <c r="L293" s="586"/>
      <c r="M293" s="586"/>
      <c r="N293" s="586"/>
      <c r="O293" s="586"/>
      <c r="P293" s="586"/>
      <c r="Q293" s="586"/>
      <c r="R293" s="586"/>
      <c r="S293" s="586"/>
      <c r="T293" s="586"/>
      <c r="U293" s="586"/>
      <c r="V293" s="586"/>
      <c r="W293" s="586"/>
      <c r="X293" s="588"/>
    </row>
    <row r="294" spans="1:24" s="589" customFormat="1" x14ac:dyDescent="0.25">
      <c r="A294" s="585"/>
      <c r="B294" s="584"/>
      <c r="C294" s="584"/>
      <c r="D294" s="584"/>
      <c r="E294" s="584"/>
      <c r="F294" s="584"/>
      <c r="G294" s="584"/>
      <c r="H294" s="586"/>
      <c r="I294" s="586"/>
      <c r="J294" s="586"/>
      <c r="K294" s="586"/>
      <c r="L294" s="586"/>
      <c r="M294" s="586"/>
      <c r="N294" s="586"/>
      <c r="O294" s="586"/>
      <c r="P294" s="586"/>
      <c r="Q294" s="586"/>
      <c r="R294" s="586"/>
      <c r="S294" s="586"/>
      <c r="T294" s="586"/>
      <c r="U294" s="586"/>
      <c r="V294" s="586"/>
      <c r="W294" s="586"/>
      <c r="X294" s="588"/>
    </row>
    <row r="295" spans="1:24" s="589" customFormat="1" x14ac:dyDescent="0.25">
      <c r="A295" s="585"/>
      <c r="B295" s="584"/>
      <c r="C295" s="584"/>
      <c r="D295" s="584"/>
      <c r="E295" s="584"/>
      <c r="F295" s="584"/>
      <c r="G295" s="584"/>
      <c r="H295" s="586"/>
      <c r="I295" s="586"/>
      <c r="J295" s="586"/>
      <c r="K295" s="586"/>
      <c r="L295" s="586"/>
      <c r="M295" s="586"/>
      <c r="N295" s="586"/>
      <c r="O295" s="586"/>
      <c r="P295" s="586"/>
      <c r="Q295" s="586"/>
      <c r="R295" s="586"/>
      <c r="S295" s="586"/>
      <c r="T295" s="586"/>
      <c r="U295" s="586"/>
      <c r="V295" s="586"/>
      <c r="W295" s="586"/>
      <c r="X295" s="588"/>
    </row>
    <row r="296" spans="1:24" s="589" customFormat="1" ht="19.5" thickBot="1" x14ac:dyDescent="0.35">
      <c r="A296" s="585"/>
      <c r="B296" s="772" t="str">
        <f>B201</f>
        <v>PM15 INVESTOR REPORT QUARTER ENDING MAY 2019</v>
      </c>
      <c r="C296" s="584"/>
      <c r="D296" s="584"/>
      <c r="E296" s="584"/>
      <c r="F296" s="584"/>
      <c r="G296" s="584"/>
      <c r="H296" s="586"/>
      <c r="I296" s="586"/>
      <c r="J296" s="586"/>
      <c r="K296" s="586"/>
      <c r="L296" s="586"/>
      <c r="M296" s="586"/>
      <c r="N296" s="586"/>
      <c r="O296" s="586"/>
      <c r="P296" s="586"/>
      <c r="Q296" s="586"/>
      <c r="R296" s="586"/>
      <c r="S296" s="586"/>
      <c r="T296" s="586"/>
      <c r="U296" s="586"/>
      <c r="V296" s="586"/>
      <c r="W296" s="586"/>
      <c r="X296" s="588"/>
    </row>
    <row r="297" spans="1:24" x14ac:dyDescent="0.25">
      <c r="A297" s="773"/>
      <c r="B297" s="773"/>
      <c r="C297" s="773"/>
      <c r="D297" s="773"/>
      <c r="E297" s="773"/>
      <c r="F297" s="773"/>
      <c r="G297" s="773"/>
      <c r="H297" s="773"/>
      <c r="I297" s="773"/>
      <c r="J297" s="773"/>
      <c r="K297" s="773"/>
      <c r="L297" s="773"/>
      <c r="M297" s="773"/>
      <c r="N297" s="773"/>
      <c r="O297" s="773"/>
      <c r="P297" s="773"/>
      <c r="Q297" s="773"/>
      <c r="R297" s="773"/>
      <c r="S297" s="773"/>
      <c r="T297" s="773"/>
      <c r="U297" s="773"/>
      <c r="V297" s="773"/>
      <c r="W297" s="773"/>
    </row>
  </sheetData>
  <hyperlinks>
    <hyperlink ref="I9" r:id="rId1" xr:uid="{00000000-0004-0000-2E00-000000000000}"/>
    <hyperlink ref="P237" r:id="rId2" xr:uid="{00000000-0004-0000-2E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5" max="14" man="1"/>
    <brk id="201" max="14" man="1"/>
  </rowBreaks>
  <drawing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0A96D-3AC9-4227-BD34-6F6BB01FDB14}">
  <sheetPr>
    <tabColor theme="1"/>
  </sheetPr>
  <dimension ref="A1:IV300"/>
  <sheetViews>
    <sheetView showGridLines="0" showOutlineSymbols="0" zoomScale="70" zoomScaleNormal="70" workbookViewId="0"/>
  </sheetViews>
  <sheetFormatPr defaultColWidth="9.6640625" defaultRowHeight="15.75" x14ac:dyDescent="0.25"/>
  <cols>
    <col min="1" max="1" width="4" style="573" customWidth="1"/>
    <col min="2" max="2" width="71.21875" style="573" customWidth="1"/>
    <col min="3" max="3" width="2.21875" style="573" customWidth="1"/>
    <col min="4" max="4" width="19.33203125" style="573" customWidth="1"/>
    <col min="5" max="5" width="2.21875" style="573" customWidth="1"/>
    <col min="6" max="6" width="25.109375" style="573" customWidth="1"/>
    <col min="7" max="7" width="2.21875" style="573" customWidth="1"/>
    <col min="8" max="8" width="16.21875" style="573" customWidth="1"/>
    <col min="9" max="9" width="2.88671875" style="573" customWidth="1"/>
    <col min="10" max="10" width="16.21875" style="573" customWidth="1"/>
    <col min="11" max="11" width="2.21875" style="573" customWidth="1"/>
    <col min="12" max="12" width="17.88671875" style="573" customWidth="1"/>
    <col min="13" max="13" width="2.33203125" style="573" customWidth="1"/>
    <col min="14" max="14" width="14.88671875" style="573" customWidth="1"/>
    <col min="15" max="15" width="2.33203125" style="573" customWidth="1"/>
    <col min="16" max="16" width="15.5546875" style="573" customWidth="1"/>
    <col min="17" max="17" width="2.21875" style="573" customWidth="1"/>
    <col min="18" max="18" width="15.5546875" style="573" customWidth="1"/>
    <col min="19" max="20" width="12.6640625" style="573" customWidth="1"/>
    <col min="21" max="21" width="7.77734375" style="573" customWidth="1"/>
    <col min="22" max="22" width="14.6640625" style="573" customWidth="1"/>
    <col min="23" max="23" width="11.77734375" style="573" customWidth="1"/>
    <col min="24" max="16384" width="9.6640625" style="573"/>
  </cols>
  <sheetData>
    <row r="1" spans="1:24" ht="21" x14ac:dyDescent="0.35">
      <c r="A1" s="569"/>
      <c r="B1" s="570" t="s">
        <v>237</v>
      </c>
      <c r="C1" s="571"/>
      <c r="D1" s="571"/>
      <c r="E1" s="571"/>
      <c r="F1" s="571"/>
      <c r="G1" s="571"/>
      <c r="H1" s="571"/>
      <c r="I1" s="571"/>
      <c r="J1" s="571"/>
      <c r="K1" s="571"/>
      <c r="L1" s="571"/>
      <c r="M1" s="571"/>
      <c r="N1" s="571"/>
      <c r="O1" s="571"/>
      <c r="P1" s="571"/>
      <c r="Q1" s="571"/>
      <c r="R1" s="571"/>
      <c r="S1" s="571"/>
      <c r="T1" s="571"/>
      <c r="U1" s="571"/>
      <c r="V1" s="571"/>
      <c r="W1" s="571"/>
      <c r="X1" s="572"/>
    </row>
    <row r="2" spans="1:24" x14ac:dyDescent="0.25">
      <c r="A2" s="574"/>
      <c r="B2" s="575"/>
      <c r="C2" s="576"/>
      <c r="D2" s="576"/>
      <c r="E2" s="576"/>
      <c r="F2" s="576"/>
      <c r="G2" s="576"/>
      <c r="H2" s="576"/>
      <c r="I2" s="576"/>
      <c r="J2" s="576"/>
      <c r="K2" s="576"/>
      <c r="L2" s="576"/>
      <c r="M2" s="576"/>
      <c r="N2" s="576"/>
      <c r="O2" s="576"/>
      <c r="P2" s="576"/>
      <c r="Q2" s="576"/>
      <c r="R2" s="576"/>
      <c r="S2" s="576"/>
      <c r="T2" s="576"/>
      <c r="U2" s="576"/>
      <c r="V2" s="576"/>
      <c r="W2" s="576"/>
      <c r="X2" s="572"/>
    </row>
    <row r="3" spans="1:24" x14ac:dyDescent="0.25">
      <c r="A3" s="577"/>
      <c r="B3" s="578" t="s">
        <v>238</v>
      </c>
      <c r="C3" s="576"/>
      <c r="D3" s="576"/>
      <c r="E3" s="576"/>
      <c r="F3" s="576"/>
      <c r="G3" s="576"/>
      <c r="H3" s="576"/>
      <c r="I3" s="576"/>
      <c r="J3" s="576"/>
      <c r="K3" s="576"/>
      <c r="L3" s="576"/>
      <c r="M3" s="576"/>
      <c r="N3" s="576"/>
      <c r="O3" s="576"/>
      <c r="P3" s="576"/>
      <c r="Q3" s="576"/>
      <c r="R3" s="576"/>
      <c r="S3" s="576"/>
      <c r="T3" s="576"/>
      <c r="U3" s="576"/>
      <c r="V3" s="576"/>
      <c r="W3" s="576"/>
      <c r="X3" s="572"/>
    </row>
    <row r="4" spans="1:24" x14ac:dyDescent="0.25">
      <c r="A4" s="574"/>
      <c r="B4" s="575"/>
      <c r="C4" s="576"/>
      <c r="D4" s="576"/>
      <c r="E4" s="576"/>
      <c r="F4" s="576"/>
      <c r="G4" s="576"/>
      <c r="H4" s="576"/>
      <c r="I4" s="576"/>
      <c r="J4" s="576"/>
      <c r="K4" s="576"/>
      <c r="L4" s="576"/>
      <c r="M4" s="576"/>
      <c r="N4" s="576"/>
      <c r="O4" s="576"/>
      <c r="P4" s="576"/>
      <c r="Q4" s="576"/>
      <c r="R4" s="576"/>
      <c r="S4" s="576"/>
      <c r="T4" s="576"/>
      <c r="U4" s="576"/>
      <c r="V4" s="576"/>
      <c r="W4" s="576"/>
      <c r="X4" s="572"/>
    </row>
    <row r="5" spans="1:24" x14ac:dyDescent="0.25">
      <c r="A5" s="574"/>
      <c r="B5" s="579" t="s">
        <v>137</v>
      </c>
      <c r="C5" s="576"/>
      <c r="D5" s="576"/>
      <c r="E5" s="576"/>
      <c r="F5" s="576"/>
      <c r="G5" s="576"/>
      <c r="H5" s="576"/>
      <c r="I5" s="576"/>
      <c r="J5" s="576"/>
      <c r="K5" s="576"/>
      <c r="L5" s="576"/>
      <c r="M5" s="576"/>
      <c r="N5" s="576"/>
      <c r="O5" s="576"/>
      <c r="P5" s="576"/>
      <c r="Q5" s="576"/>
      <c r="R5" s="576"/>
      <c r="S5" s="576"/>
      <c r="T5" s="576"/>
      <c r="U5" s="576"/>
      <c r="V5" s="576"/>
      <c r="W5" s="576"/>
      <c r="X5" s="572"/>
    </row>
    <row r="6" spans="1:24" x14ac:dyDescent="0.25">
      <c r="A6" s="574"/>
      <c r="B6" s="579" t="s">
        <v>139</v>
      </c>
      <c r="C6" s="576"/>
      <c r="D6" s="576"/>
      <c r="E6" s="576"/>
      <c r="F6" s="576"/>
      <c r="G6" s="576"/>
      <c r="H6" s="576"/>
      <c r="I6" s="576"/>
      <c r="J6" s="576"/>
      <c r="K6" s="576"/>
      <c r="L6" s="576"/>
      <c r="M6" s="576"/>
      <c r="N6" s="576"/>
      <c r="O6" s="576"/>
      <c r="P6" s="576"/>
      <c r="Q6" s="576"/>
      <c r="R6" s="576"/>
      <c r="S6" s="576"/>
      <c r="T6" s="576"/>
      <c r="U6" s="576"/>
      <c r="V6" s="576"/>
      <c r="W6" s="576"/>
      <c r="X6" s="572"/>
    </row>
    <row r="7" spans="1:24" x14ac:dyDescent="0.25">
      <c r="A7" s="574"/>
      <c r="B7" s="579" t="s">
        <v>138</v>
      </c>
      <c r="C7" s="576"/>
      <c r="D7" s="576"/>
      <c r="E7" s="576"/>
      <c r="F7" s="576"/>
      <c r="G7" s="576"/>
      <c r="H7" s="576"/>
      <c r="I7" s="576"/>
      <c r="J7" s="576"/>
      <c r="K7" s="576"/>
      <c r="L7" s="576"/>
      <c r="M7" s="576"/>
      <c r="N7" s="576"/>
      <c r="O7" s="576"/>
      <c r="P7" s="576"/>
      <c r="Q7" s="576"/>
      <c r="R7" s="576"/>
      <c r="S7" s="576"/>
      <c r="T7" s="576"/>
      <c r="U7" s="576"/>
      <c r="V7" s="576"/>
      <c r="W7" s="576"/>
      <c r="X7" s="572"/>
    </row>
    <row r="8" spans="1:24" x14ac:dyDescent="0.25">
      <c r="A8" s="574"/>
      <c r="B8" s="580"/>
      <c r="C8" s="576"/>
      <c r="D8" s="576"/>
      <c r="E8" s="576"/>
      <c r="F8" s="576"/>
      <c r="G8" s="576"/>
      <c r="H8" s="576"/>
      <c r="I8" s="576"/>
      <c r="J8" s="576"/>
      <c r="K8" s="576"/>
      <c r="L8" s="576"/>
      <c r="M8" s="576"/>
      <c r="N8" s="576"/>
      <c r="O8" s="576"/>
      <c r="P8" s="576"/>
      <c r="Q8" s="576"/>
      <c r="R8" s="576"/>
      <c r="S8" s="576"/>
      <c r="T8" s="576"/>
      <c r="U8" s="576"/>
      <c r="V8" s="576"/>
      <c r="W8" s="576"/>
      <c r="X8" s="572"/>
    </row>
    <row r="9" spans="1:24" ht="18.75" x14ac:dyDescent="0.3">
      <c r="A9" s="574"/>
      <c r="B9" s="581" t="s">
        <v>166</v>
      </c>
      <c r="C9" s="576"/>
      <c r="D9" s="576"/>
      <c r="E9" s="576"/>
      <c r="F9" s="576"/>
      <c r="G9" s="576"/>
      <c r="H9" s="576"/>
      <c r="I9" s="513" t="s">
        <v>341</v>
      </c>
      <c r="J9" s="576"/>
      <c r="K9" s="576"/>
      <c r="L9" s="582"/>
      <c r="M9" s="576"/>
      <c r="N9" s="582"/>
      <c r="O9" s="576"/>
      <c r="P9" s="576"/>
      <c r="Q9" s="576"/>
      <c r="R9" s="576"/>
      <c r="S9" s="576"/>
      <c r="T9" s="576"/>
      <c r="U9" s="576"/>
      <c r="V9" s="576"/>
      <c r="W9" s="576"/>
      <c r="X9" s="572"/>
    </row>
    <row r="10" spans="1:24" x14ac:dyDescent="0.25">
      <c r="A10" s="574"/>
      <c r="B10" s="580"/>
      <c r="C10" s="583"/>
      <c r="D10" s="583"/>
      <c r="E10" s="583"/>
      <c r="F10" s="576"/>
      <c r="G10" s="576"/>
      <c r="H10" s="576"/>
      <c r="I10" s="576"/>
      <c r="J10" s="576"/>
      <c r="K10" s="576"/>
      <c r="L10" s="576"/>
      <c r="M10" s="576"/>
      <c r="N10" s="576"/>
      <c r="O10" s="576"/>
      <c r="P10" s="576"/>
      <c r="Q10" s="576"/>
      <c r="R10" s="576"/>
      <c r="S10" s="576"/>
      <c r="T10" s="576"/>
      <c r="U10" s="576"/>
      <c r="V10" s="576"/>
      <c r="W10" s="576"/>
      <c r="X10" s="572"/>
    </row>
    <row r="11" spans="1:24" x14ac:dyDescent="0.25">
      <c r="A11" s="574"/>
      <c r="B11" s="584" t="s">
        <v>0</v>
      </c>
      <c r="C11" s="576"/>
      <c r="D11" s="576"/>
      <c r="E11" s="576"/>
      <c r="F11" s="576"/>
      <c r="G11" s="576"/>
      <c r="H11" s="576"/>
      <c r="I11" s="576"/>
      <c r="J11" s="576"/>
      <c r="K11" s="576"/>
      <c r="L11" s="576"/>
      <c r="M11" s="576"/>
      <c r="N11" s="576"/>
      <c r="O11" s="576"/>
      <c r="P11" s="576"/>
      <c r="Q11" s="576"/>
      <c r="R11" s="576"/>
      <c r="S11" s="576"/>
      <c r="T11" s="576"/>
      <c r="U11" s="576"/>
      <c r="V11" s="576"/>
      <c r="W11" s="576"/>
      <c r="X11" s="572"/>
    </row>
    <row r="12" spans="1:24" ht="16.5" thickBot="1" x14ac:dyDescent="0.3">
      <c r="A12" s="574"/>
      <c r="B12" s="583"/>
      <c r="C12" s="576"/>
      <c r="D12" s="576"/>
      <c r="E12" s="576"/>
      <c r="F12" s="576"/>
      <c r="G12" s="576"/>
      <c r="H12" s="576"/>
      <c r="I12" s="576"/>
      <c r="J12" s="576"/>
      <c r="K12" s="576"/>
      <c r="L12" s="576"/>
      <c r="M12" s="576"/>
      <c r="N12" s="576"/>
      <c r="O12" s="576"/>
      <c r="P12" s="576"/>
      <c r="Q12" s="576"/>
      <c r="R12" s="576"/>
      <c r="S12" s="576"/>
      <c r="T12" s="576"/>
      <c r="U12" s="576"/>
      <c r="V12" s="576"/>
      <c r="W12" s="576"/>
      <c r="X12" s="572"/>
    </row>
    <row r="13" spans="1:24" x14ac:dyDescent="0.25">
      <c r="A13" s="569"/>
      <c r="B13" s="571"/>
      <c r="C13" s="571"/>
      <c r="D13" s="571"/>
      <c r="E13" s="571"/>
      <c r="F13" s="571"/>
      <c r="G13" s="571"/>
      <c r="H13" s="571"/>
      <c r="I13" s="571"/>
      <c r="J13" s="571"/>
      <c r="K13" s="571"/>
      <c r="L13" s="571"/>
      <c r="M13" s="571"/>
      <c r="N13" s="571"/>
      <c r="O13" s="571"/>
      <c r="P13" s="571"/>
      <c r="Q13" s="571"/>
      <c r="R13" s="571"/>
      <c r="S13" s="571"/>
      <c r="T13" s="571"/>
      <c r="U13" s="571"/>
      <c r="V13" s="571"/>
      <c r="W13" s="571"/>
      <c r="X13" s="572"/>
    </row>
    <row r="14" spans="1:24" s="589" customFormat="1" x14ac:dyDescent="0.25">
      <c r="A14" s="585"/>
      <c r="B14" s="584" t="s">
        <v>1</v>
      </c>
      <c r="C14" s="586"/>
      <c r="D14" s="586"/>
      <c r="E14" s="586"/>
      <c r="F14" s="586"/>
      <c r="G14" s="586"/>
      <c r="H14" s="586"/>
      <c r="I14" s="586"/>
      <c r="J14" s="586"/>
      <c r="K14" s="586"/>
      <c r="L14" s="586"/>
      <c r="M14" s="586"/>
      <c r="N14" s="586"/>
      <c r="O14" s="586"/>
      <c r="P14" s="586"/>
      <c r="Q14" s="586"/>
      <c r="R14" s="586"/>
      <c r="S14" s="586"/>
      <c r="T14" s="586"/>
      <c r="U14" s="586"/>
      <c r="V14" s="587" t="s">
        <v>239</v>
      </c>
      <c r="W14" s="586"/>
      <c r="X14" s="588"/>
    </row>
    <row r="15" spans="1:24" s="589" customFormat="1" x14ac:dyDescent="0.25">
      <c r="A15" s="585"/>
      <c r="B15" s="584" t="s">
        <v>2</v>
      </c>
      <c r="C15" s="586"/>
      <c r="D15" s="586"/>
      <c r="E15" s="586"/>
      <c r="F15" s="586"/>
      <c r="G15" s="586"/>
      <c r="H15" s="590"/>
      <c r="I15" s="590"/>
      <c r="J15" s="590"/>
      <c r="K15" s="590"/>
      <c r="L15" s="590"/>
      <c r="M15" s="590"/>
      <c r="N15" s="590"/>
      <c r="O15" s="590"/>
      <c r="P15" s="590"/>
      <c r="Q15" s="590"/>
      <c r="R15" s="590" t="s">
        <v>104</v>
      </c>
      <c r="S15" s="591">
        <v>0.47189999999999999</v>
      </c>
      <c r="T15" s="592" t="s">
        <v>140</v>
      </c>
      <c r="U15" s="591">
        <v>0.52810000000000001</v>
      </c>
      <c r="V15" s="587"/>
      <c r="W15" s="586"/>
      <c r="X15" s="588"/>
    </row>
    <row r="16" spans="1:24" s="589" customFormat="1" x14ac:dyDescent="0.25">
      <c r="A16" s="585"/>
      <c r="B16" s="584" t="s">
        <v>3</v>
      </c>
      <c r="C16" s="586"/>
      <c r="D16" s="586"/>
      <c r="E16" s="586"/>
      <c r="F16" s="586"/>
      <c r="G16" s="586"/>
      <c r="H16" s="590"/>
      <c r="I16" s="590"/>
      <c r="J16" s="590"/>
      <c r="K16" s="590"/>
      <c r="L16" s="590"/>
      <c r="M16" s="590"/>
      <c r="N16" s="590"/>
      <c r="O16" s="590"/>
      <c r="P16" s="590"/>
      <c r="Q16" s="590"/>
      <c r="R16" s="590" t="s">
        <v>104</v>
      </c>
      <c r="S16" s="591">
        <v>0.58230000000000004</v>
      </c>
      <c r="T16" s="592" t="s">
        <v>140</v>
      </c>
      <c r="U16" s="591">
        <v>0.41770000000000002</v>
      </c>
      <c r="V16" s="587"/>
      <c r="W16" s="586"/>
      <c r="X16" s="588"/>
    </row>
    <row r="17" spans="1:24" s="589" customFormat="1" x14ac:dyDescent="0.25">
      <c r="A17" s="585"/>
      <c r="B17" s="584" t="s">
        <v>4</v>
      </c>
      <c r="C17" s="586"/>
      <c r="D17" s="586"/>
      <c r="E17" s="586"/>
      <c r="F17" s="586"/>
      <c r="G17" s="586"/>
      <c r="H17" s="586"/>
      <c r="I17" s="586"/>
      <c r="J17" s="586"/>
      <c r="K17" s="586"/>
      <c r="L17" s="586"/>
      <c r="M17" s="586"/>
      <c r="N17" s="586"/>
      <c r="O17" s="586"/>
      <c r="P17" s="586"/>
      <c r="Q17" s="586"/>
      <c r="R17" s="586"/>
      <c r="S17" s="586"/>
      <c r="T17" s="586"/>
      <c r="U17" s="586"/>
      <c r="V17" s="593">
        <v>39282</v>
      </c>
      <c r="W17" s="586"/>
      <c r="X17" s="588"/>
    </row>
    <row r="18" spans="1:24" s="589" customFormat="1" x14ac:dyDescent="0.25">
      <c r="A18" s="585"/>
      <c r="B18" s="584" t="s">
        <v>5</v>
      </c>
      <c r="C18" s="586"/>
      <c r="D18" s="586"/>
      <c r="E18" s="586"/>
      <c r="F18" s="586"/>
      <c r="G18" s="586"/>
      <c r="H18" s="586"/>
      <c r="I18" s="586"/>
      <c r="J18" s="586"/>
      <c r="K18" s="586"/>
      <c r="L18" s="586"/>
      <c r="M18" s="586"/>
      <c r="N18" s="586"/>
      <c r="O18" s="586"/>
      <c r="P18" s="586"/>
      <c r="Q18" s="586"/>
      <c r="R18" s="586"/>
      <c r="S18" s="586"/>
      <c r="T18" s="586"/>
      <c r="U18" s="586"/>
      <c r="V18" s="593">
        <v>43726</v>
      </c>
      <c r="W18" s="586"/>
      <c r="X18" s="588"/>
    </row>
    <row r="19" spans="1:24" s="589" customFormat="1" x14ac:dyDescent="0.25">
      <c r="A19" s="585"/>
      <c r="B19" s="586"/>
      <c r="C19" s="586"/>
      <c r="D19" s="586"/>
      <c r="E19" s="586"/>
      <c r="F19" s="586"/>
      <c r="G19" s="586"/>
      <c r="H19" s="586"/>
      <c r="I19" s="586"/>
      <c r="J19" s="586"/>
      <c r="K19" s="586"/>
      <c r="L19" s="586"/>
      <c r="M19" s="586"/>
      <c r="N19" s="586"/>
      <c r="O19" s="586"/>
      <c r="P19" s="586"/>
      <c r="Q19" s="586"/>
      <c r="R19" s="586"/>
      <c r="S19" s="586"/>
      <c r="T19" s="586"/>
      <c r="U19" s="586"/>
      <c r="V19" s="594"/>
      <c r="W19" s="586"/>
      <c r="X19" s="588"/>
    </row>
    <row r="20" spans="1:24" s="589" customFormat="1" x14ac:dyDescent="0.25">
      <c r="A20" s="585"/>
      <c r="B20" s="595" t="s">
        <v>6</v>
      </c>
      <c r="C20" s="586"/>
      <c r="D20" s="586"/>
      <c r="E20" s="586"/>
      <c r="F20" s="586"/>
      <c r="G20" s="586"/>
      <c r="H20" s="586"/>
      <c r="I20" s="586"/>
      <c r="J20" s="586"/>
      <c r="K20" s="586"/>
      <c r="L20" s="586"/>
      <c r="M20" s="586"/>
      <c r="N20" s="586"/>
      <c r="O20" s="586"/>
      <c r="P20" s="586"/>
      <c r="Q20" s="586"/>
      <c r="R20" s="586"/>
      <c r="S20" s="586"/>
      <c r="T20" s="594" t="s">
        <v>105</v>
      </c>
      <c r="U20" s="586"/>
      <c r="V20" s="586"/>
      <c r="W20" s="586"/>
      <c r="X20" s="588"/>
    </row>
    <row r="21" spans="1:24" x14ac:dyDescent="0.25">
      <c r="A21" s="574"/>
      <c r="B21" s="576"/>
      <c r="C21" s="576"/>
      <c r="D21" s="576"/>
      <c r="E21" s="576"/>
      <c r="F21" s="576"/>
      <c r="G21" s="576"/>
      <c r="H21" s="576"/>
      <c r="I21" s="576"/>
      <c r="J21" s="576"/>
      <c r="K21" s="576"/>
      <c r="L21" s="576"/>
      <c r="M21" s="576"/>
      <c r="N21" s="576"/>
      <c r="O21" s="576"/>
      <c r="P21" s="576"/>
      <c r="Q21" s="576"/>
      <c r="R21" s="576"/>
      <c r="S21" s="576"/>
      <c r="T21" s="576"/>
      <c r="U21" s="576"/>
      <c r="V21" s="596"/>
      <c r="W21" s="576"/>
      <c r="X21" s="572"/>
    </row>
    <row r="22" spans="1:24" x14ac:dyDescent="0.25">
      <c r="A22" s="597"/>
      <c r="B22" s="598"/>
      <c r="C22" s="599"/>
      <c r="D22" s="599" t="s">
        <v>177</v>
      </c>
      <c r="E22" s="599"/>
      <c r="F22" s="599" t="s">
        <v>178</v>
      </c>
      <c r="G22" s="599"/>
      <c r="H22" s="599" t="s">
        <v>179</v>
      </c>
      <c r="I22" s="599"/>
      <c r="J22" s="599" t="s">
        <v>219</v>
      </c>
      <c r="K22" s="599"/>
      <c r="L22" s="599" t="s">
        <v>180</v>
      </c>
      <c r="M22" s="599"/>
      <c r="N22" s="599" t="s">
        <v>181</v>
      </c>
      <c r="O22" s="599"/>
      <c r="P22" s="599" t="s">
        <v>182</v>
      </c>
      <c r="Q22" s="599"/>
      <c r="R22" s="599"/>
      <c r="S22" s="600"/>
      <c r="T22" s="600"/>
      <c r="U22" s="598"/>
      <c r="V22" s="598"/>
      <c r="W22" s="601"/>
      <c r="X22" s="572"/>
    </row>
    <row r="23" spans="1:24" s="589" customFormat="1" x14ac:dyDescent="0.25">
      <c r="A23" s="585"/>
      <c r="B23" s="602" t="s">
        <v>7</v>
      </c>
      <c r="C23" s="603"/>
      <c r="D23" s="603" t="s">
        <v>212</v>
      </c>
      <c r="E23" s="603"/>
      <c r="F23" s="603" t="s">
        <v>141</v>
      </c>
      <c r="G23" s="603"/>
      <c r="H23" s="603" t="s">
        <v>141</v>
      </c>
      <c r="I23" s="603"/>
      <c r="J23" s="603" t="s">
        <v>141</v>
      </c>
      <c r="K23" s="603"/>
      <c r="L23" s="603" t="s">
        <v>183</v>
      </c>
      <c r="M23" s="603"/>
      <c r="N23" s="603" t="s">
        <v>183</v>
      </c>
      <c r="O23" s="603"/>
      <c r="P23" s="603" t="s">
        <v>142</v>
      </c>
      <c r="Q23" s="603"/>
      <c r="R23" s="603"/>
      <c r="S23" s="603"/>
      <c r="T23" s="603"/>
      <c r="U23" s="602"/>
      <c r="V23" s="602"/>
      <c r="W23" s="602"/>
      <c r="X23" s="588"/>
    </row>
    <row r="24" spans="1:24" s="589" customFormat="1" x14ac:dyDescent="0.25">
      <c r="A24" s="604"/>
      <c r="B24" s="605" t="s">
        <v>8</v>
      </c>
      <c r="C24" s="606"/>
      <c r="D24" s="606" t="s">
        <v>213</v>
      </c>
      <c r="E24" s="606"/>
      <c r="F24" s="606" t="s">
        <v>143</v>
      </c>
      <c r="G24" s="606"/>
      <c r="H24" s="606" t="s">
        <v>143</v>
      </c>
      <c r="I24" s="606"/>
      <c r="J24" s="606" t="s">
        <v>143</v>
      </c>
      <c r="K24" s="606"/>
      <c r="L24" s="606" t="s">
        <v>165</v>
      </c>
      <c r="M24" s="606"/>
      <c r="N24" s="606" t="s">
        <v>165</v>
      </c>
      <c r="O24" s="606"/>
      <c r="P24" s="606" t="s">
        <v>144</v>
      </c>
      <c r="Q24" s="606"/>
      <c r="R24" s="606"/>
      <c r="S24" s="606"/>
      <c r="T24" s="606"/>
      <c r="U24" s="605"/>
      <c r="V24" s="605"/>
      <c r="W24" s="607"/>
      <c r="X24" s="588"/>
    </row>
    <row r="25" spans="1:24" s="589" customFormat="1" x14ac:dyDescent="0.25">
      <c r="A25" s="608"/>
      <c r="B25" s="605" t="s">
        <v>190</v>
      </c>
      <c r="C25" s="609"/>
      <c r="D25" s="606" t="s">
        <v>214</v>
      </c>
      <c r="E25" s="606"/>
      <c r="F25" s="606" t="s">
        <v>143</v>
      </c>
      <c r="G25" s="606"/>
      <c r="H25" s="606" t="s">
        <v>143</v>
      </c>
      <c r="I25" s="606"/>
      <c r="J25" s="606" t="s">
        <v>143</v>
      </c>
      <c r="K25" s="606"/>
      <c r="L25" s="606" t="s">
        <v>165</v>
      </c>
      <c r="M25" s="606"/>
      <c r="N25" s="606" t="s">
        <v>165</v>
      </c>
      <c r="O25" s="606"/>
      <c r="P25" s="606" t="s">
        <v>144</v>
      </c>
      <c r="Q25" s="606"/>
      <c r="R25" s="606"/>
      <c r="S25" s="609"/>
      <c r="T25" s="606"/>
      <c r="U25" s="605"/>
      <c r="V25" s="605"/>
      <c r="W25" s="607"/>
      <c r="X25" s="588"/>
    </row>
    <row r="26" spans="1:24" s="589" customFormat="1" x14ac:dyDescent="0.25">
      <c r="A26" s="608"/>
      <c r="B26" s="610" t="s">
        <v>9</v>
      </c>
      <c r="C26" s="609"/>
      <c r="D26" s="609" t="s">
        <v>141</v>
      </c>
      <c r="E26" s="609"/>
      <c r="F26" s="609" t="s">
        <v>141</v>
      </c>
      <c r="G26" s="609"/>
      <c r="H26" s="609" t="s">
        <v>141</v>
      </c>
      <c r="I26" s="609"/>
      <c r="J26" s="609" t="s">
        <v>141</v>
      </c>
      <c r="K26" s="609"/>
      <c r="L26" s="609" t="s">
        <v>183</v>
      </c>
      <c r="M26" s="609"/>
      <c r="N26" s="609" t="s">
        <v>183</v>
      </c>
      <c r="O26" s="609"/>
      <c r="P26" s="609" t="s">
        <v>142</v>
      </c>
      <c r="Q26" s="609"/>
      <c r="R26" s="609"/>
      <c r="S26" s="609"/>
      <c r="T26" s="606"/>
      <c r="U26" s="605"/>
      <c r="V26" s="605"/>
      <c r="W26" s="607"/>
      <c r="X26" s="588"/>
    </row>
    <row r="27" spans="1:24" s="589" customFormat="1" x14ac:dyDescent="0.25">
      <c r="A27" s="604"/>
      <c r="B27" s="610" t="s">
        <v>191</v>
      </c>
      <c r="C27" s="606"/>
      <c r="D27" s="609" t="s">
        <v>143</v>
      </c>
      <c r="E27" s="609"/>
      <c r="F27" s="609" t="s">
        <v>143</v>
      </c>
      <c r="G27" s="609"/>
      <c r="H27" s="609" t="s">
        <v>143</v>
      </c>
      <c r="I27" s="609"/>
      <c r="J27" s="609" t="s">
        <v>143</v>
      </c>
      <c r="K27" s="609"/>
      <c r="L27" s="609" t="s">
        <v>329</v>
      </c>
      <c r="M27" s="609"/>
      <c r="N27" s="609" t="s">
        <v>329</v>
      </c>
      <c r="O27" s="609"/>
      <c r="P27" s="609" t="s">
        <v>307</v>
      </c>
      <c r="Q27" s="609"/>
      <c r="R27" s="609"/>
      <c r="S27" s="606"/>
      <c r="T27" s="611"/>
      <c r="U27" s="605"/>
      <c r="V27" s="605"/>
      <c r="W27" s="607"/>
      <c r="X27" s="588"/>
    </row>
    <row r="28" spans="1:24" s="589" customFormat="1" x14ac:dyDescent="0.25">
      <c r="A28" s="604"/>
      <c r="B28" s="610" t="s">
        <v>192</v>
      </c>
      <c r="C28" s="606"/>
      <c r="D28" s="609" t="s">
        <v>143</v>
      </c>
      <c r="E28" s="609"/>
      <c r="F28" s="609" t="s">
        <v>143</v>
      </c>
      <c r="G28" s="609"/>
      <c r="H28" s="609" t="s">
        <v>143</v>
      </c>
      <c r="I28" s="609"/>
      <c r="J28" s="609" t="s">
        <v>143</v>
      </c>
      <c r="K28" s="609"/>
      <c r="L28" s="609" t="s">
        <v>143</v>
      </c>
      <c r="M28" s="609"/>
      <c r="N28" s="609" t="s">
        <v>143</v>
      </c>
      <c r="O28" s="609"/>
      <c r="P28" s="609" t="s">
        <v>330</v>
      </c>
      <c r="Q28" s="609"/>
      <c r="R28" s="609"/>
      <c r="S28" s="606"/>
      <c r="T28" s="611"/>
      <c r="U28" s="605"/>
      <c r="V28" s="605"/>
      <c r="W28" s="607"/>
      <c r="X28" s="588"/>
    </row>
    <row r="29" spans="1:24" s="589" customFormat="1" x14ac:dyDescent="0.25">
      <c r="A29" s="604"/>
      <c r="B29" s="605" t="s">
        <v>10</v>
      </c>
      <c r="C29" s="612"/>
      <c r="D29" s="606" t="s">
        <v>242</v>
      </c>
      <c r="E29" s="606"/>
      <c r="F29" s="611" t="s">
        <v>244</v>
      </c>
      <c r="G29" s="606"/>
      <c r="H29" s="606" t="s">
        <v>245</v>
      </c>
      <c r="I29" s="606"/>
      <c r="J29" s="606" t="s">
        <v>247</v>
      </c>
      <c r="K29" s="606"/>
      <c r="L29" s="606" t="s">
        <v>248</v>
      </c>
      <c r="M29" s="606"/>
      <c r="N29" s="606" t="s">
        <v>249</v>
      </c>
      <c r="O29" s="606"/>
      <c r="P29" s="606" t="s">
        <v>250</v>
      </c>
      <c r="Q29" s="606"/>
      <c r="R29" s="606"/>
      <c r="S29" s="613"/>
      <c r="T29" s="613"/>
      <c r="U29" s="612"/>
      <c r="V29" s="613"/>
      <c r="W29" s="614"/>
      <c r="X29" s="588"/>
    </row>
    <row r="30" spans="1:24" s="589" customFormat="1" x14ac:dyDescent="0.25">
      <c r="A30" s="604"/>
      <c r="B30" s="605" t="s">
        <v>10</v>
      </c>
      <c r="C30" s="612"/>
      <c r="D30" s="606" t="s">
        <v>243</v>
      </c>
      <c r="E30" s="606"/>
      <c r="F30" s="611" t="s">
        <v>118</v>
      </c>
      <c r="G30" s="606"/>
      <c r="H30" s="606" t="s">
        <v>118</v>
      </c>
      <c r="I30" s="606"/>
      <c r="J30" s="606" t="s">
        <v>246</v>
      </c>
      <c r="K30" s="606"/>
      <c r="L30" s="606" t="s">
        <v>118</v>
      </c>
      <c r="M30" s="606"/>
      <c r="N30" s="606" t="s">
        <v>118</v>
      </c>
      <c r="O30" s="606"/>
      <c r="P30" s="606" t="s">
        <v>118</v>
      </c>
      <c r="Q30" s="606"/>
      <c r="R30" s="606"/>
      <c r="S30" s="613"/>
      <c r="T30" s="613"/>
      <c r="U30" s="612"/>
      <c r="V30" s="613"/>
      <c r="W30" s="614"/>
      <c r="X30" s="588"/>
    </row>
    <row r="31" spans="1:24" s="589" customFormat="1" x14ac:dyDescent="0.25">
      <c r="A31" s="608"/>
      <c r="B31" s="605" t="s">
        <v>133</v>
      </c>
      <c r="C31" s="615"/>
      <c r="D31" s="616">
        <v>1000000</v>
      </c>
      <c r="E31" s="612"/>
      <c r="F31" s="613">
        <v>209500</v>
      </c>
      <c r="G31" s="613"/>
      <c r="H31" s="617">
        <v>110000</v>
      </c>
      <c r="I31" s="617"/>
      <c r="J31" s="616">
        <v>150000</v>
      </c>
      <c r="K31" s="613"/>
      <c r="L31" s="613">
        <v>17000</v>
      </c>
      <c r="M31" s="613"/>
      <c r="N31" s="617">
        <v>85500</v>
      </c>
      <c r="O31" s="613"/>
      <c r="P31" s="617">
        <v>110500</v>
      </c>
      <c r="Q31" s="613"/>
      <c r="R31" s="617"/>
      <c r="S31" s="618"/>
      <c r="T31" s="618"/>
      <c r="U31" s="615"/>
      <c r="V31" s="618"/>
      <c r="W31" s="614"/>
      <c r="X31" s="588"/>
    </row>
    <row r="32" spans="1:24" s="589" customFormat="1" x14ac:dyDescent="0.25">
      <c r="A32" s="604"/>
      <c r="B32" s="605" t="s">
        <v>132</v>
      </c>
      <c r="C32" s="612"/>
      <c r="D32" s="616">
        <f>D31*D38</f>
        <v>493232.2</v>
      </c>
      <c r="E32" s="612"/>
      <c r="F32" s="613">
        <f>F31*F38</f>
        <v>103332.64870000001</v>
      </c>
      <c r="G32" s="613"/>
      <c r="H32" s="617">
        <f>H31*H38</f>
        <v>54256.928</v>
      </c>
      <c r="I32" s="617"/>
      <c r="J32" s="616">
        <f>J31*J38</f>
        <v>73984.83</v>
      </c>
      <c r="K32" s="613"/>
      <c r="L32" s="613">
        <f>L31*L38</f>
        <v>17000</v>
      </c>
      <c r="M32" s="613"/>
      <c r="N32" s="617">
        <f>N31*N38</f>
        <v>85500</v>
      </c>
      <c r="O32" s="613"/>
      <c r="P32" s="617">
        <f>P31*P38</f>
        <v>110500</v>
      </c>
      <c r="Q32" s="613"/>
      <c r="R32" s="617"/>
      <c r="S32" s="613"/>
      <c r="T32" s="613"/>
      <c r="U32" s="612"/>
      <c r="V32" s="613"/>
      <c r="W32" s="614"/>
      <c r="X32" s="588"/>
    </row>
    <row r="33" spans="1:27" s="589" customFormat="1" x14ac:dyDescent="0.25">
      <c r="A33" s="604"/>
      <c r="B33" s="610" t="s">
        <v>134</v>
      </c>
      <c r="C33" s="612"/>
      <c r="D33" s="619">
        <f>D37*D31</f>
        <v>480814.89999999997</v>
      </c>
      <c r="E33" s="615"/>
      <c r="F33" s="618">
        <f>F37*F31</f>
        <v>100731.2453</v>
      </c>
      <c r="G33" s="618"/>
      <c r="H33" s="620">
        <f>H31*H37</f>
        <v>52891.058000000005</v>
      </c>
      <c r="I33" s="620"/>
      <c r="J33" s="619">
        <f>J37*J31</f>
        <v>72122.235000000001</v>
      </c>
      <c r="K33" s="618"/>
      <c r="L33" s="618">
        <f>L31*L37</f>
        <v>17000</v>
      </c>
      <c r="M33" s="618"/>
      <c r="N33" s="620">
        <f>N31*N37</f>
        <v>85500</v>
      </c>
      <c r="O33" s="618"/>
      <c r="P33" s="620">
        <f>P31*P37</f>
        <v>110500</v>
      </c>
      <c r="Q33" s="618"/>
      <c r="R33" s="620"/>
      <c r="S33" s="613"/>
      <c r="T33" s="613"/>
      <c r="U33" s="612"/>
      <c r="V33" s="613"/>
      <c r="W33" s="614"/>
      <c r="X33" s="588"/>
    </row>
    <row r="34" spans="1:27" s="589" customFormat="1" x14ac:dyDescent="0.25">
      <c r="A34" s="608"/>
      <c r="B34" s="605" t="s">
        <v>286</v>
      </c>
      <c r="C34" s="615"/>
      <c r="D34" s="613">
        <v>492951</v>
      </c>
      <c r="E34" s="612"/>
      <c r="F34" s="613">
        <v>209500</v>
      </c>
      <c r="G34" s="613"/>
      <c r="H34" s="613">
        <v>74677</v>
      </c>
      <c r="I34" s="613"/>
      <c r="J34" s="613">
        <v>73943</v>
      </c>
      <c r="K34" s="613"/>
      <c r="L34" s="613">
        <v>17000</v>
      </c>
      <c r="M34" s="613"/>
      <c r="N34" s="613">
        <v>58045</v>
      </c>
      <c r="O34" s="613"/>
      <c r="P34" s="613">
        <v>75017</v>
      </c>
      <c r="Q34" s="613"/>
      <c r="R34" s="613"/>
      <c r="S34" s="618"/>
      <c r="T34" s="618"/>
      <c r="U34" s="615"/>
      <c r="V34" s="613">
        <f>SUM(C34:R34)</f>
        <v>1001133</v>
      </c>
      <c r="W34" s="614"/>
      <c r="X34" s="588"/>
    </row>
    <row r="35" spans="1:27" s="589" customFormat="1" x14ac:dyDescent="0.25">
      <c r="A35" s="608"/>
      <c r="B35" s="605" t="s">
        <v>287</v>
      </c>
      <c r="C35" s="615"/>
      <c r="D35" s="613">
        <f>D34*D38</f>
        <v>243139.30622220002</v>
      </c>
      <c r="E35" s="612"/>
      <c r="F35" s="613">
        <f>F34*F38</f>
        <v>103332.64870000001</v>
      </c>
      <c r="G35" s="613"/>
      <c r="H35" s="613">
        <f>H34*H38</f>
        <v>36834.041929599996</v>
      </c>
      <c r="I35" s="613"/>
      <c r="J35" s="613">
        <f>J34*J38</f>
        <v>36471.068564599998</v>
      </c>
      <c r="K35" s="613"/>
      <c r="L35" s="613">
        <f>L34*L38</f>
        <v>17000</v>
      </c>
      <c r="M35" s="613"/>
      <c r="N35" s="613">
        <f>N34*N38</f>
        <v>58045</v>
      </c>
      <c r="O35" s="613"/>
      <c r="P35" s="613">
        <f>P34*P38</f>
        <v>75017</v>
      </c>
      <c r="Q35" s="613"/>
      <c r="R35" s="613"/>
      <c r="S35" s="613"/>
      <c r="T35" s="613"/>
      <c r="U35" s="612"/>
      <c r="V35" s="613">
        <f>SUM(C35:R35)</f>
        <v>569839.06541640009</v>
      </c>
      <c r="W35" s="614"/>
      <c r="X35" s="588"/>
    </row>
    <row r="36" spans="1:27" s="589" customFormat="1" x14ac:dyDescent="0.25">
      <c r="A36" s="608"/>
      <c r="B36" s="610" t="s">
        <v>288</v>
      </c>
      <c r="C36" s="615"/>
      <c r="D36" s="618">
        <f>D34*D37</f>
        <v>237018.18576989998</v>
      </c>
      <c r="E36" s="615"/>
      <c r="F36" s="618">
        <f>F34*F37</f>
        <v>100731.2453</v>
      </c>
      <c r="G36" s="618"/>
      <c r="H36" s="618">
        <f>H34*H37</f>
        <v>35906.777620600005</v>
      </c>
      <c r="I36" s="618"/>
      <c r="J36" s="618">
        <f>J34*J37</f>
        <v>35552.896150699999</v>
      </c>
      <c r="K36" s="618"/>
      <c r="L36" s="618">
        <f>L34*L37</f>
        <v>17000</v>
      </c>
      <c r="M36" s="618"/>
      <c r="N36" s="618">
        <f>N34*N37</f>
        <v>58045</v>
      </c>
      <c r="O36" s="618"/>
      <c r="P36" s="618">
        <f>P34*P37</f>
        <v>75017</v>
      </c>
      <c r="Q36" s="618"/>
      <c r="R36" s="618"/>
      <c r="S36" s="621"/>
      <c r="T36" s="621"/>
      <c r="U36" s="612"/>
      <c r="V36" s="618">
        <f>SUM(C36:R36)</f>
        <v>559271.10484119994</v>
      </c>
      <c r="W36" s="614"/>
      <c r="X36" s="588"/>
    </row>
    <row r="37" spans="1:27" s="629" customFormat="1" x14ac:dyDescent="0.25">
      <c r="A37" s="622"/>
      <c r="B37" s="623" t="s">
        <v>130</v>
      </c>
      <c r="C37" s="624"/>
      <c r="D37" s="625">
        <v>0.48081489999999999</v>
      </c>
      <c r="E37" s="625"/>
      <c r="F37" s="625">
        <v>0.48081740000000001</v>
      </c>
      <c r="G37" s="625"/>
      <c r="H37" s="625">
        <v>0.48082780000000003</v>
      </c>
      <c r="I37" s="625"/>
      <c r="J37" s="625">
        <v>0.48081489999999999</v>
      </c>
      <c r="K37" s="625"/>
      <c r="L37" s="625">
        <v>1</v>
      </c>
      <c r="M37" s="625"/>
      <c r="N37" s="625">
        <v>1</v>
      </c>
      <c r="O37" s="625"/>
      <c r="P37" s="625">
        <v>1</v>
      </c>
      <c r="Q37" s="625"/>
      <c r="R37" s="625"/>
      <c r="S37" s="626"/>
      <c r="T37" s="626"/>
      <c r="U37" s="624"/>
      <c r="V37" s="624"/>
      <c r="W37" s="627"/>
      <c r="X37" s="628"/>
    </row>
    <row r="38" spans="1:27" s="629" customFormat="1" x14ac:dyDescent="0.25">
      <c r="A38" s="622"/>
      <c r="B38" s="623" t="s">
        <v>131</v>
      </c>
      <c r="C38" s="624"/>
      <c r="D38" s="625">
        <v>0.49323220000000001</v>
      </c>
      <c r="E38" s="625"/>
      <c r="F38" s="625">
        <v>0.49323460000000002</v>
      </c>
      <c r="G38" s="625"/>
      <c r="H38" s="625">
        <v>0.49324479999999998</v>
      </c>
      <c r="I38" s="625"/>
      <c r="J38" s="625">
        <v>0.49323220000000001</v>
      </c>
      <c r="K38" s="625"/>
      <c r="L38" s="625">
        <v>1</v>
      </c>
      <c r="M38" s="625"/>
      <c r="N38" s="625">
        <v>1</v>
      </c>
      <c r="O38" s="625"/>
      <c r="P38" s="625">
        <v>1</v>
      </c>
      <c r="Q38" s="625"/>
      <c r="R38" s="625"/>
      <c r="S38" s="630"/>
      <c r="T38" s="631"/>
      <c r="U38" s="624"/>
      <c r="V38" s="630"/>
      <c r="W38" s="627"/>
      <c r="X38" s="628"/>
    </row>
    <row r="39" spans="1:27" s="629" customFormat="1" x14ac:dyDescent="0.25">
      <c r="A39" s="622"/>
      <c r="B39" s="624" t="s">
        <v>11</v>
      </c>
      <c r="C39" s="624"/>
      <c r="D39" s="626" t="s">
        <v>304</v>
      </c>
      <c r="E39" s="624"/>
      <c r="F39" s="626" t="s">
        <v>256</v>
      </c>
      <c r="G39" s="626"/>
      <c r="H39" s="626" t="s">
        <v>257</v>
      </c>
      <c r="I39" s="626"/>
      <c r="J39" s="626" t="s">
        <v>258</v>
      </c>
      <c r="K39" s="626"/>
      <c r="L39" s="626" t="s">
        <v>259</v>
      </c>
      <c r="M39" s="626"/>
      <c r="N39" s="626" t="s">
        <v>259</v>
      </c>
      <c r="O39" s="626"/>
      <c r="P39" s="626" t="s">
        <v>260</v>
      </c>
      <c r="Q39" s="626"/>
      <c r="R39" s="626"/>
      <c r="S39" s="630"/>
      <c r="T39" s="631"/>
      <c r="U39" s="624"/>
      <c r="V39" s="624"/>
      <c r="W39" s="627"/>
      <c r="X39" s="628"/>
    </row>
    <row r="40" spans="1:27" s="589" customFormat="1" x14ac:dyDescent="0.25">
      <c r="A40" s="604"/>
      <c r="B40" s="605" t="s">
        <v>12</v>
      </c>
      <c r="C40" s="605"/>
      <c r="D40" s="632">
        <v>2.3751299999999999E-2</v>
      </c>
      <c r="E40" s="605"/>
      <c r="F40" s="632">
        <v>1.04613E-2</v>
      </c>
      <c r="G40" s="633"/>
      <c r="H40" s="632">
        <v>0</v>
      </c>
      <c r="I40" s="632"/>
      <c r="J40" s="632">
        <v>2.6302499999999999E-2</v>
      </c>
      <c r="K40" s="633"/>
      <c r="L40" s="632">
        <v>1.32613E-2</v>
      </c>
      <c r="M40" s="633"/>
      <c r="N40" s="632">
        <v>2.2200000000000002E-3</v>
      </c>
      <c r="O40" s="633"/>
      <c r="P40" s="632">
        <v>7.8200000000000006E-3</v>
      </c>
      <c r="Q40" s="633"/>
      <c r="R40" s="632"/>
      <c r="S40" s="633"/>
      <c r="T40" s="632"/>
      <c r="U40" s="605"/>
      <c r="V40" s="611"/>
      <c r="W40" s="607"/>
      <c r="X40" s="588"/>
      <c r="AA40" s="589" t="s">
        <v>193</v>
      </c>
    </row>
    <row r="41" spans="1:27" s="589" customFormat="1" x14ac:dyDescent="0.25">
      <c r="A41" s="604"/>
      <c r="B41" s="605" t="s">
        <v>13</v>
      </c>
      <c r="C41" s="605"/>
      <c r="D41" s="632">
        <v>2.6196299999999999E-2</v>
      </c>
      <c r="E41" s="605"/>
      <c r="F41" s="632">
        <v>1.10463E-2</v>
      </c>
      <c r="G41" s="633"/>
      <c r="H41" s="632">
        <v>0</v>
      </c>
      <c r="I41" s="632"/>
      <c r="J41" s="632">
        <v>2.8308799999999999E-2</v>
      </c>
      <c r="K41" s="633"/>
      <c r="L41" s="632">
        <v>1.3846300000000001E-2</v>
      </c>
      <c r="M41" s="633"/>
      <c r="N41" s="632">
        <v>2.3E-3</v>
      </c>
      <c r="O41" s="633"/>
      <c r="P41" s="632">
        <v>7.9000000000000008E-3</v>
      </c>
      <c r="Q41" s="633"/>
      <c r="R41" s="632"/>
      <c r="S41" s="633"/>
      <c r="T41" s="632"/>
      <c r="U41" s="605"/>
      <c r="V41" s="633" t="s">
        <v>193</v>
      </c>
      <c r="W41" s="607"/>
      <c r="X41" s="588"/>
    </row>
    <row r="42" spans="1:27" s="589" customFormat="1" x14ac:dyDescent="0.25">
      <c r="A42" s="604"/>
      <c r="B42" s="605" t="s">
        <v>289</v>
      </c>
      <c r="C42" s="605"/>
      <c r="D42" s="611" t="s">
        <v>311</v>
      </c>
      <c r="E42" s="605"/>
      <c r="F42" s="611" t="s">
        <v>256</v>
      </c>
      <c r="G42" s="611"/>
      <c r="H42" s="611" t="s">
        <v>261</v>
      </c>
      <c r="I42" s="611"/>
      <c r="J42" s="611" t="s">
        <v>261</v>
      </c>
      <c r="K42" s="611"/>
      <c r="L42" s="611" t="s">
        <v>259</v>
      </c>
      <c r="M42" s="611"/>
      <c r="N42" s="611" t="s">
        <v>263</v>
      </c>
      <c r="O42" s="611"/>
      <c r="P42" s="611" t="s">
        <v>264</v>
      </c>
      <c r="Q42" s="611"/>
      <c r="R42" s="611"/>
      <c r="S42" s="633"/>
      <c r="T42" s="632"/>
      <c r="U42" s="605"/>
      <c r="V42" s="605"/>
      <c r="W42" s="607"/>
      <c r="X42" s="588"/>
    </row>
    <row r="43" spans="1:27" s="589" customFormat="1" x14ac:dyDescent="0.25">
      <c r="A43" s="604"/>
      <c r="B43" s="605" t="s">
        <v>290</v>
      </c>
      <c r="C43" s="634"/>
      <c r="D43" s="632">
        <v>9.8581999999999993E-3</v>
      </c>
      <c r="E43" s="632"/>
      <c r="F43" s="632">
        <v>1.04613E-2</v>
      </c>
      <c r="G43" s="632"/>
      <c r="H43" s="632">
        <v>1.0611300000000001E-2</v>
      </c>
      <c r="I43" s="632"/>
      <c r="J43" s="632">
        <v>1.0641299999999999E-2</v>
      </c>
      <c r="K43" s="632"/>
      <c r="L43" s="632">
        <f>+L40</f>
        <v>1.32613E-2</v>
      </c>
      <c r="M43" s="632"/>
      <c r="N43" s="632">
        <v>1.39953E-2</v>
      </c>
      <c r="O43" s="632"/>
      <c r="P43" s="632">
        <v>2.0155300000000001E-2</v>
      </c>
      <c r="Q43" s="633"/>
      <c r="R43" s="632"/>
      <c r="S43" s="611"/>
      <c r="T43" s="611"/>
      <c r="U43" s="605"/>
      <c r="V43" s="633">
        <f>SUMPRODUCT(D43:R43,D35:R35)/V35</f>
        <v>1.1944873981419997E-2</v>
      </c>
      <c r="W43" s="607"/>
      <c r="X43" s="588"/>
    </row>
    <row r="44" spans="1:27" s="589" customFormat="1" x14ac:dyDescent="0.25">
      <c r="A44" s="604"/>
      <c r="B44" s="605" t="s">
        <v>291</v>
      </c>
      <c r="C44" s="634"/>
      <c r="D44" s="632">
        <v>1.04432E-2</v>
      </c>
      <c r="E44" s="632"/>
      <c r="F44" s="632">
        <f>+F41</f>
        <v>1.10463E-2</v>
      </c>
      <c r="G44" s="632"/>
      <c r="H44" s="632">
        <v>1.1196299999999999E-2</v>
      </c>
      <c r="I44" s="632"/>
      <c r="J44" s="632">
        <v>1.12263E-2</v>
      </c>
      <c r="K44" s="632"/>
      <c r="L44" s="632">
        <f>+L41</f>
        <v>1.3846300000000001E-2</v>
      </c>
      <c r="M44" s="632"/>
      <c r="N44" s="632">
        <v>1.4580299999999999E-2</v>
      </c>
      <c r="O44" s="632"/>
      <c r="P44" s="632">
        <v>2.07403E-2</v>
      </c>
      <c r="Q44" s="633"/>
      <c r="R44" s="632"/>
      <c r="S44" s="611"/>
      <c r="T44" s="611"/>
      <c r="U44" s="605"/>
      <c r="V44" s="605"/>
      <c r="W44" s="607"/>
      <c r="X44" s="588"/>
    </row>
    <row r="45" spans="1:27" s="589" customFormat="1" x14ac:dyDescent="0.25">
      <c r="A45" s="604"/>
      <c r="B45" s="605" t="s">
        <v>14</v>
      </c>
      <c r="C45" s="605"/>
      <c r="D45" s="634">
        <v>40709</v>
      </c>
      <c r="E45" s="634"/>
      <c r="F45" s="634">
        <v>40709</v>
      </c>
      <c r="G45" s="634"/>
      <c r="H45" s="634">
        <v>40709</v>
      </c>
      <c r="I45" s="634"/>
      <c r="J45" s="634">
        <v>40709</v>
      </c>
      <c r="K45" s="634"/>
      <c r="L45" s="634">
        <v>40709</v>
      </c>
      <c r="M45" s="634"/>
      <c r="N45" s="634">
        <v>40709</v>
      </c>
      <c r="O45" s="634"/>
      <c r="P45" s="634">
        <v>40709</v>
      </c>
      <c r="Q45" s="634"/>
      <c r="R45" s="634"/>
      <c r="S45" s="611"/>
      <c r="T45" s="611"/>
      <c r="U45" s="605"/>
      <c r="V45" s="605"/>
      <c r="W45" s="607"/>
      <c r="X45" s="588"/>
    </row>
    <row r="46" spans="1:27" s="589" customFormat="1" x14ac:dyDescent="0.25">
      <c r="A46" s="604"/>
      <c r="B46" s="605" t="s">
        <v>15</v>
      </c>
      <c r="C46" s="605"/>
      <c r="D46" s="634">
        <v>41075</v>
      </c>
      <c r="E46" s="634"/>
      <c r="F46" s="634">
        <v>41075</v>
      </c>
      <c r="G46" s="634"/>
      <c r="H46" s="634">
        <v>41075</v>
      </c>
      <c r="I46" s="634"/>
      <c r="J46" s="634">
        <v>41075</v>
      </c>
      <c r="K46" s="611"/>
      <c r="L46" s="634">
        <v>41075</v>
      </c>
      <c r="M46" s="611"/>
      <c r="N46" s="634">
        <v>41075</v>
      </c>
      <c r="O46" s="611"/>
      <c r="P46" s="634">
        <v>41075</v>
      </c>
      <c r="Q46" s="611"/>
      <c r="R46" s="634"/>
      <c r="S46" s="611"/>
      <c r="T46" s="611"/>
      <c r="U46" s="605"/>
      <c r="V46" s="605"/>
      <c r="W46" s="607"/>
      <c r="X46" s="588"/>
    </row>
    <row r="47" spans="1:27" s="589" customFormat="1" x14ac:dyDescent="0.25">
      <c r="A47" s="604"/>
      <c r="B47" s="605" t="s">
        <v>119</v>
      </c>
      <c r="C47" s="605"/>
      <c r="D47" s="611" t="s">
        <v>304</v>
      </c>
      <c r="E47" s="605"/>
      <c r="F47" s="611" t="s">
        <v>256</v>
      </c>
      <c r="G47" s="611"/>
      <c r="H47" s="611" t="s">
        <v>257</v>
      </c>
      <c r="I47" s="611"/>
      <c r="J47" s="611" t="s">
        <v>258</v>
      </c>
      <c r="K47" s="611"/>
      <c r="L47" s="611" t="s">
        <v>259</v>
      </c>
      <c r="M47" s="611"/>
      <c r="N47" s="611" t="s">
        <v>259</v>
      </c>
      <c r="O47" s="611"/>
      <c r="P47" s="611" t="s">
        <v>260</v>
      </c>
      <c r="Q47" s="611"/>
      <c r="R47" s="611"/>
      <c r="S47" s="635"/>
      <c r="T47" s="635"/>
      <c r="U47" s="635"/>
      <c r="V47" s="635"/>
      <c r="W47" s="607"/>
      <c r="X47" s="588"/>
    </row>
    <row r="48" spans="1:27" s="589" customFormat="1" x14ac:dyDescent="0.25">
      <c r="A48" s="604"/>
      <c r="B48" s="605" t="s">
        <v>292</v>
      </c>
      <c r="C48" s="605"/>
      <c r="D48" s="611" t="s">
        <v>311</v>
      </c>
      <c r="E48" s="605"/>
      <c r="F48" s="611" t="s">
        <v>256</v>
      </c>
      <c r="G48" s="611"/>
      <c r="H48" s="611" t="s">
        <v>261</v>
      </c>
      <c r="I48" s="611"/>
      <c r="J48" s="611" t="s">
        <v>261</v>
      </c>
      <c r="K48" s="611"/>
      <c r="L48" s="611" t="s">
        <v>259</v>
      </c>
      <c r="M48" s="611"/>
      <c r="N48" s="611" t="s">
        <v>263</v>
      </c>
      <c r="O48" s="611"/>
      <c r="P48" s="611" t="s">
        <v>264</v>
      </c>
      <c r="Q48" s="611"/>
      <c r="R48" s="611"/>
      <c r="S48" s="605"/>
      <c r="T48" s="605"/>
      <c r="U48" s="605"/>
      <c r="V48" s="633"/>
      <c r="W48" s="607"/>
      <c r="X48" s="588"/>
    </row>
    <row r="49" spans="1:25" s="589" customFormat="1" x14ac:dyDescent="0.25">
      <c r="A49" s="604"/>
      <c r="B49" s="605"/>
      <c r="C49" s="605"/>
      <c r="D49" s="611"/>
      <c r="E49" s="605"/>
      <c r="F49" s="611"/>
      <c r="G49" s="611"/>
      <c r="H49" s="611"/>
      <c r="I49" s="611"/>
      <c r="J49" s="611"/>
      <c r="K49" s="611"/>
      <c r="L49" s="611"/>
      <c r="M49" s="611"/>
      <c r="N49" s="611"/>
      <c r="O49" s="611"/>
      <c r="P49" s="611"/>
      <c r="Q49" s="611"/>
      <c r="R49" s="611"/>
      <c r="S49" s="605"/>
      <c r="T49" s="605"/>
      <c r="U49" s="605"/>
      <c r="V49" s="633" t="s">
        <v>193</v>
      </c>
      <c r="W49" s="607"/>
      <c r="X49" s="588"/>
    </row>
    <row r="50" spans="1:25" s="589" customFormat="1" x14ac:dyDescent="0.25">
      <c r="A50" s="604"/>
      <c r="B50" s="605" t="s">
        <v>169</v>
      </c>
      <c r="C50" s="605"/>
      <c r="D50" s="611"/>
      <c r="E50" s="605"/>
      <c r="F50" s="611"/>
      <c r="G50" s="611"/>
      <c r="H50" s="611"/>
      <c r="I50" s="611"/>
      <c r="J50" s="611"/>
      <c r="K50" s="611"/>
      <c r="L50" s="611"/>
      <c r="M50" s="611"/>
      <c r="N50" s="611"/>
      <c r="O50" s="611"/>
      <c r="P50" s="611"/>
      <c r="Q50" s="611"/>
      <c r="R50" s="611"/>
      <c r="S50" s="605"/>
      <c r="T50" s="605"/>
      <c r="U50" s="605"/>
      <c r="V50" s="633">
        <f>SUM(L34:R34)/SUM(D34:J34)</f>
        <v>0.17632136449250416</v>
      </c>
      <c r="W50" s="607"/>
      <c r="X50" s="588"/>
    </row>
    <row r="51" spans="1:25" s="589" customFormat="1" x14ac:dyDescent="0.25">
      <c r="A51" s="604"/>
      <c r="B51" s="605" t="s">
        <v>170</v>
      </c>
      <c r="C51" s="605"/>
      <c r="D51" s="605"/>
      <c r="E51" s="605"/>
      <c r="F51" s="636"/>
      <c r="G51" s="605"/>
      <c r="H51" s="605"/>
      <c r="I51" s="605"/>
      <c r="J51" s="605"/>
      <c r="K51" s="605"/>
      <c r="L51" s="605"/>
      <c r="M51" s="605"/>
      <c r="N51" s="605"/>
      <c r="O51" s="605"/>
      <c r="P51" s="605"/>
      <c r="Q51" s="605"/>
      <c r="R51" s="605"/>
      <c r="S51" s="605"/>
      <c r="T51" s="605"/>
      <c r="U51" s="605"/>
      <c r="V51" s="633">
        <f>SUM(L36:R36)/SUM(D36:J36)</f>
        <v>0.36671227063296624</v>
      </c>
      <c r="W51" s="607"/>
      <c r="X51" s="588"/>
    </row>
    <row r="52" spans="1:25" s="589" customFormat="1" x14ac:dyDescent="0.25">
      <c r="A52" s="604"/>
      <c r="B52" s="605" t="s">
        <v>171</v>
      </c>
      <c r="C52" s="605"/>
      <c r="D52" s="605"/>
      <c r="E52" s="605"/>
      <c r="F52" s="605"/>
      <c r="G52" s="605"/>
      <c r="H52" s="605"/>
      <c r="I52" s="605"/>
      <c r="J52" s="605"/>
      <c r="K52" s="605"/>
      <c r="L52" s="605"/>
      <c r="M52" s="605"/>
      <c r="N52" s="605"/>
      <c r="O52" s="605"/>
      <c r="P52" s="605"/>
      <c r="Q52" s="605"/>
      <c r="R52" s="605"/>
      <c r="S52" s="605"/>
      <c r="T52" s="611"/>
      <c r="U52" s="611"/>
      <c r="V52" s="613" t="s">
        <v>268</v>
      </c>
      <c r="W52" s="607"/>
      <c r="X52" s="588"/>
    </row>
    <row r="53" spans="1:25" s="589" customFormat="1" x14ac:dyDescent="0.25">
      <c r="A53" s="604"/>
      <c r="B53" s="605"/>
      <c r="C53" s="605"/>
      <c r="D53" s="605"/>
      <c r="E53" s="605"/>
      <c r="F53" s="605"/>
      <c r="G53" s="605"/>
      <c r="H53" s="605"/>
      <c r="I53" s="605"/>
      <c r="J53" s="605"/>
      <c r="K53" s="605"/>
      <c r="L53" s="605"/>
      <c r="M53" s="605"/>
      <c r="N53" s="605"/>
      <c r="O53" s="605"/>
      <c r="P53" s="605"/>
      <c r="Q53" s="605"/>
      <c r="R53" s="605"/>
      <c r="S53" s="605"/>
      <c r="T53" s="605"/>
      <c r="U53" s="605"/>
      <c r="V53" s="637"/>
      <c r="W53" s="607"/>
      <c r="X53" s="588"/>
    </row>
    <row r="54" spans="1:25" s="589" customFormat="1" x14ac:dyDescent="0.25">
      <c r="A54" s="604"/>
      <c r="B54" s="605" t="s">
        <v>202</v>
      </c>
      <c r="C54" s="605"/>
      <c r="D54" s="605"/>
      <c r="E54" s="605"/>
      <c r="F54" s="605"/>
      <c r="G54" s="605"/>
      <c r="H54" s="605"/>
      <c r="I54" s="605"/>
      <c r="J54" s="605"/>
      <c r="K54" s="605"/>
      <c r="L54" s="605"/>
      <c r="M54" s="605"/>
      <c r="N54" s="605"/>
      <c r="O54" s="605"/>
      <c r="P54" s="605"/>
      <c r="Q54" s="605"/>
      <c r="R54" s="605"/>
      <c r="S54" s="605"/>
      <c r="T54" s="605"/>
      <c r="U54" s="605"/>
      <c r="V54" s="621" t="s">
        <v>203</v>
      </c>
      <c r="W54" s="607"/>
      <c r="X54" s="588"/>
    </row>
    <row r="55" spans="1:25" s="589" customFormat="1" x14ac:dyDescent="0.25">
      <c r="A55" s="604"/>
      <c r="B55" s="605" t="s">
        <v>270</v>
      </c>
      <c r="C55" s="605"/>
      <c r="D55" s="605"/>
      <c r="E55" s="605"/>
      <c r="F55" s="605"/>
      <c r="G55" s="605"/>
      <c r="H55" s="605"/>
      <c r="I55" s="605"/>
      <c r="J55" s="605"/>
      <c r="K55" s="605"/>
      <c r="L55" s="605"/>
      <c r="M55" s="605"/>
      <c r="N55" s="605"/>
      <c r="O55" s="605"/>
      <c r="P55" s="605"/>
      <c r="Q55" s="605"/>
      <c r="R55" s="605"/>
      <c r="S55" s="605"/>
      <c r="T55" s="611"/>
      <c r="U55" s="611"/>
      <c r="V55" s="638" t="s">
        <v>111</v>
      </c>
      <c r="W55" s="607"/>
      <c r="X55" s="588"/>
    </row>
    <row r="56" spans="1:25" s="589" customFormat="1" x14ac:dyDescent="0.25">
      <c r="A56" s="604"/>
      <c r="B56" s="610" t="s">
        <v>201</v>
      </c>
      <c r="C56" s="610"/>
      <c r="D56" s="610"/>
      <c r="E56" s="610"/>
      <c r="F56" s="610"/>
      <c r="G56" s="610"/>
      <c r="H56" s="610"/>
      <c r="I56" s="610"/>
      <c r="J56" s="610"/>
      <c r="K56" s="610"/>
      <c r="L56" s="610"/>
      <c r="M56" s="610"/>
      <c r="N56" s="610"/>
      <c r="O56" s="610"/>
      <c r="P56" s="610"/>
      <c r="Q56" s="610"/>
      <c r="R56" s="610"/>
      <c r="S56" s="610"/>
      <c r="T56" s="639"/>
      <c r="U56" s="639"/>
      <c r="V56" s="640">
        <v>43724</v>
      </c>
      <c r="W56" s="607"/>
      <c r="X56" s="588"/>
    </row>
    <row r="57" spans="1:25" s="589" customFormat="1" x14ac:dyDescent="0.25">
      <c r="A57" s="604"/>
      <c r="B57" s="605" t="s">
        <v>121</v>
      </c>
      <c r="C57" s="605"/>
      <c r="D57" s="605"/>
      <c r="E57" s="605"/>
      <c r="F57" s="605"/>
      <c r="G57" s="605"/>
      <c r="H57" s="641"/>
      <c r="I57" s="641"/>
      <c r="J57" s="641"/>
      <c r="K57" s="641"/>
      <c r="L57" s="641"/>
      <c r="M57" s="641"/>
      <c r="N57" s="641"/>
      <c r="O57" s="641"/>
      <c r="P57" s="641"/>
      <c r="Q57" s="641"/>
      <c r="R57" s="605">
        <f>+V57-T57+1</f>
        <v>94</v>
      </c>
      <c r="S57" s="641"/>
      <c r="T57" s="642">
        <v>43539</v>
      </c>
      <c r="U57" s="643"/>
      <c r="V57" s="642">
        <v>43632</v>
      </c>
      <c r="W57" s="607"/>
      <c r="X57" s="588"/>
    </row>
    <row r="58" spans="1:25" s="589" customFormat="1" x14ac:dyDescent="0.25">
      <c r="A58" s="604"/>
      <c r="B58" s="605" t="s">
        <v>122</v>
      </c>
      <c r="C58" s="605"/>
      <c r="D58" s="605"/>
      <c r="E58" s="605"/>
      <c r="F58" s="605"/>
      <c r="G58" s="605"/>
      <c r="H58" s="605"/>
      <c r="I58" s="605"/>
      <c r="J58" s="605"/>
      <c r="K58" s="605"/>
      <c r="L58" s="605"/>
      <c r="M58" s="605"/>
      <c r="N58" s="605"/>
      <c r="O58" s="605"/>
      <c r="P58" s="605"/>
      <c r="Q58" s="605"/>
      <c r="R58" s="605">
        <f>+V58-T58+1</f>
        <v>91</v>
      </c>
      <c r="S58" s="605"/>
      <c r="T58" s="642">
        <v>43633</v>
      </c>
      <c r="U58" s="643"/>
      <c r="V58" s="642">
        <v>43723</v>
      </c>
      <c r="W58" s="607"/>
      <c r="X58" s="588"/>
    </row>
    <row r="59" spans="1:25" s="589" customFormat="1" x14ac:dyDescent="0.25">
      <c r="A59" s="604"/>
      <c r="B59" s="605" t="s">
        <v>223</v>
      </c>
      <c r="C59" s="605"/>
      <c r="D59" s="605"/>
      <c r="E59" s="605"/>
      <c r="F59" s="605"/>
      <c r="G59" s="605"/>
      <c r="H59" s="605"/>
      <c r="I59" s="605"/>
      <c r="J59" s="605"/>
      <c r="K59" s="605"/>
      <c r="L59" s="605"/>
      <c r="M59" s="605"/>
      <c r="N59" s="605"/>
      <c r="O59" s="605"/>
      <c r="P59" s="605"/>
      <c r="Q59" s="605"/>
      <c r="R59" s="605"/>
      <c r="S59" s="605"/>
      <c r="T59" s="642"/>
      <c r="U59" s="643"/>
      <c r="V59" s="642" t="s">
        <v>120</v>
      </c>
      <c r="W59" s="607"/>
      <c r="X59" s="588"/>
    </row>
    <row r="60" spans="1:25" s="589" customFormat="1" x14ac:dyDescent="0.25">
      <c r="A60" s="604"/>
      <c r="B60" s="605" t="s">
        <v>271</v>
      </c>
      <c r="C60" s="605"/>
      <c r="D60" s="605"/>
      <c r="E60" s="605"/>
      <c r="F60" s="605"/>
      <c r="G60" s="605"/>
      <c r="H60" s="605"/>
      <c r="I60" s="605"/>
      <c r="J60" s="605"/>
      <c r="K60" s="605"/>
      <c r="L60" s="605"/>
      <c r="M60" s="605"/>
      <c r="N60" s="605"/>
      <c r="O60" s="605"/>
      <c r="P60" s="605"/>
      <c r="Q60" s="605"/>
      <c r="R60" s="605"/>
      <c r="S60" s="605"/>
      <c r="T60" s="642"/>
      <c r="U60" s="643"/>
      <c r="V60" s="642" t="s">
        <v>154</v>
      </c>
      <c r="W60" s="607"/>
      <c r="X60" s="588"/>
      <c r="Y60" s="644"/>
    </row>
    <row r="61" spans="1:25" s="589" customFormat="1" x14ac:dyDescent="0.25">
      <c r="A61" s="604"/>
      <c r="B61" s="605" t="s">
        <v>16</v>
      </c>
      <c r="C61" s="605"/>
      <c r="D61" s="605"/>
      <c r="E61" s="605"/>
      <c r="F61" s="605"/>
      <c r="G61" s="605"/>
      <c r="H61" s="605"/>
      <c r="I61" s="605"/>
      <c r="J61" s="605"/>
      <c r="K61" s="605"/>
      <c r="L61" s="605"/>
      <c r="M61" s="605"/>
      <c r="N61" s="605"/>
      <c r="O61" s="605"/>
      <c r="P61" s="605"/>
      <c r="Q61" s="605"/>
      <c r="R61" s="605"/>
      <c r="S61" s="605"/>
      <c r="T61" s="642"/>
      <c r="U61" s="643"/>
      <c r="V61" s="642">
        <v>43709</v>
      </c>
      <c r="W61" s="607"/>
      <c r="X61" s="588"/>
    </row>
    <row r="62" spans="1:25" s="589" customFormat="1" x14ac:dyDescent="0.25">
      <c r="A62" s="585"/>
      <c r="B62" s="602"/>
      <c r="C62" s="602"/>
      <c r="D62" s="602"/>
      <c r="E62" s="602"/>
      <c r="F62" s="602"/>
      <c r="G62" s="602"/>
      <c r="H62" s="602"/>
      <c r="I62" s="602"/>
      <c r="J62" s="602"/>
      <c r="K62" s="602"/>
      <c r="L62" s="602"/>
      <c r="M62" s="602"/>
      <c r="N62" s="602"/>
      <c r="O62" s="602"/>
      <c r="P62" s="602"/>
      <c r="Q62" s="602"/>
      <c r="R62" s="602"/>
      <c r="S62" s="602"/>
      <c r="T62" s="645"/>
      <c r="U62" s="646"/>
      <c r="V62" s="645"/>
      <c r="W62" s="602"/>
      <c r="X62" s="588"/>
    </row>
    <row r="63" spans="1:25" s="589" customFormat="1" x14ac:dyDescent="0.25">
      <c r="A63" s="585"/>
      <c r="B63" s="586"/>
      <c r="C63" s="586"/>
      <c r="D63" s="586"/>
      <c r="E63" s="586"/>
      <c r="F63" s="586"/>
      <c r="G63" s="586"/>
      <c r="H63" s="586"/>
      <c r="I63" s="586"/>
      <c r="J63" s="586"/>
      <c r="K63" s="586"/>
      <c r="L63" s="586"/>
      <c r="M63" s="586"/>
      <c r="N63" s="586"/>
      <c r="O63" s="586"/>
      <c r="P63" s="586"/>
      <c r="Q63" s="586"/>
      <c r="R63" s="586"/>
      <c r="S63" s="586"/>
      <c r="T63" s="647"/>
      <c r="U63" s="648"/>
      <c r="V63" s="647"/>
      <c r="W63" s="586"/>
      <c r="X63" s="588"/>
    </row>
    <row r="64" spans="1:25" s="589" customFormat="1" ht="19.5" thickBot="1" x14ac:dyDescent="0.35">
      <c r="A64" s="649"/>
      <c r="B64" s="568" t="s">
        <v>349</v>
      </c>
      <c r="C64" s="650"/>
      <c r="D64" s="650"/>
      <c r="E64" s="650"/>
      <c r="F64" s="650"/>
      <c r="G64" s="650"/>
      <c r="H64" s="650"/>
      <c r="I64" s="650"/>
      <c r="J64" s="650"/>
      <c r="K64" s="650"/>
      <c r="L64" s="650"/>
      <c r="M64" s="650"/>
      <c r="N64" s="650"/>
      <c r="O64" s="650"/>
      <c r="P64" s="650"/>
      <c r="Q64" s="650"/>
      <c r="R64" s="650"/>
      <c r="S64" s="650"/>
      <c r="T64" s="650"/>
      <c r="U64" s="650"/>
      <c r="V64" s="651"/>
      <c r="W64" s="652"/>
      <c r="X64" s="588"/>
    </row>
    <row r="65" spans="1:24" x14ac:dyDescent="0.25">
      <c r="A65" s="597"/>
      <c r="B65" s="653" t="s">
        <v>17</v>
      </c>
      <c r="C65" s="654"/>
      <c r="D65" s="654"/>
      <c r="E65" s="654"/>
      <c r="F65" s="654"/>
      <c r="G65" s="654"/>
      <c r="H65" s="654"/>
      <c r="I65" s="654"/>
      <c r="J65" s="654"/>
      <c r="K65" s="654"/>
      <c r="L65" s="654"/>
      <c r="M65" s="654"/>
      <c r="N65" s="654"/>
      <c r="O65" s="654"/>
      <c r="P65" s="654"/>
      <c r="Q65" s="654"/>
      <c r="R65" s="654"/>
      <c r="S65" s="654"/>
      <c r="T65" s="654"/>
      <c r="U65" s="654"/>
      <c r="V65" s="655"/>
      <c r="W65" s="654"/>
      <c r="X65" s="572"/>
    </row>
    <row r="66" spans="1:24" x14ac:dyDescent="0.25">
      <c r="A66" s="574"/>
      <c r="B66" s="583"/>
      <c r="C66" s="576"/>
      <c r="D66" s="576"/>
      <c r="E66" s="576"/>
      <c r="F66" s="576"/>
      <c r="G66" s="576"/>
      <c r="H66" s="576"/>
      <c r="I66" s="576"/>
      <c r="J66" s="576"/>
      <c r="K66" s="576"/>
      <c r="L66" s="576"/>
      <c r="M66" s="576"/>
      <c r="N66" s="576"/>
      <c r="O66" s="576"/>
      <c r="P66" s="576"/>
      <c r="Q66" s="576"/>
      <c r="R66" s="576"/>
      <c r="S66" s="576"/>
      <c r="T66" s="576"/>
      <c r="U66" s="576"/>
      <c r="V66" s="656"/>
      <c r="W66" s="576"/>
      <c r="X66" s="572"/>
    </row>
    <row r="67" spans="1:24" s="629" customFormat="1" ht="47.25" x14ac:dyDescent="0.25">
      <c r="A67" s="657"/>
      <c r="B67" s="658" t="s">
        <v>18</v>
      </c>
      <c r="C67" s="659"/>
      <c r="D67" s="659"/>
      <c r="E67" s="659"/>
      <c r="F67" s="659"/>
      <c r="G67" s="659"/>
      <c r="H67" s="659"/>
      <c r="I67" s="659"/>
      <c r="J67" s="659"/>
      <c r="K67" s="659"/>
      <c r="L67" s="659" t="s">
        <v>94</v>
      </c>
      <c r="M67" s="659"/>
      <c r="N67" s="659" t="s">
        <v>96</v>
      </c>
      <c r="O67" s="659"/>
      <c r="P67" s="659" t="s">
        <v>98</v>
      </c>
      <c r="Q67" s="659"/>
      <c r="R67" s="659" t="s">
        <v>100</v>
      </c>
      <c r="S67" s="659"/>
      <c r="T67" s="659" t="s">
        <v>106</v>
      </c>
      <c r="U67" s="659"/>
      <c r="V67" s="660" t="s">
        <v>112</v>
      </c>
      <c r="W67" s="661"/>
      <c r="X67" s="628"/>
    </row>
    <row r="68" spans="1:24" s="589" customFormat="1" x14ac:dyDescent="0.25">
      <c r="A68" s="604"/>
      <c r="B68" s="605" t="s">
        <v>19</v>
      </c>
      <c r="C68" s="662"/>
      <c r="D68" s="662"/>
      <c r="E68" s="662"/>
      <c r="F68" s="662"/>
      <c r="G68" s="662"/>
      <c r="H68" s="662"/>
      <c r="I68" s="662"/>
      <c r="J68" s="662"/>
      <c r="K68" s="662"/>
      <c r="L68" s="662">
        <v>812446</v>
      </c>
      <c r="M68" s="662"/>
      <c r="N68" s="663">
        <v>569839</v>
      </c>
      <c r="O68" s="662"/>
      <c r="P68" s="662">
        <v>10568</v>
      </c>
      <c r="Q68" s="662"/>
      <c r="R68" s="662">
        <v>0</v>
      </c>
      <c r="S68" s="662"/>
      <c r="T68" s="662">
        <v>0</v>
      </c>
      <c r="U68" s="662"/>
      <c r="V68" s="663">
        <f>+N68-P68+R68-T68</f>
        <v>559271</v>
      </c>
      <c r="W68" s="607"/>
      <c r="X68" s="588"/>
    </row>
    <row r="69" spans="1:24" s="589" customFormat="1" x14ac:dyDescent="0.25">
      <c r="A69" s="604"/>
      <c r="B69" s="605" t="s">
        <v>20</v>
      </c>
      <c r="C69" s="662"/>
      <c r="D69" s="662"/>
      <c r="E69" s="662"/>
      <c r="F69" s="662"/>
      <c r="G69" s="662"/>
      <c r="H69" s="662"/>
      <c r="I69" s="662"/>
      <c r="J69" s="662"/>
      <c r="K69" s="662"/>
      <c r="L69" s="662">
        <v>0</v>
      </c>
      <c r="M69" s="662"/>
      <c r="N69" s="663">
        <v>0</v>
      </c>
      <c r="O69" s="662"/>
      <c r="P69" s="662">
        <v>0</v>
      </c>
      <c r="Q69" s="662"/>
      <c r="R69" s="662">
        <v>0</v>
      </c>
      <c r="S69" s="662"/>
      <c r="T69" s="662">
        <v>0</v>
      </c>
      <c r="U69" s="662"/>
      <c r="V69" s="663">
        <f>+L69-P69</f>
        <v>0</v>
      </c>
      <c r="W69" s="607"/>
      <c r="X69" s="588"/>
    </row>
    <row r="70" spans="1:24" s="589" customFormat="1" x14ac:dyDescent="0.25">
      <c r="A70" s="604"/>
      <c r="B70" s="605"/>
      <c r="C70" s="662"/>
      <c r="D70" s="662"/>
      <c r="E70" s="662"/>
      <c r="F70" s="662"/>
      <c r="G70" s="662"/>
      <c r="H70" s="662"/>
      <c r="I70" s="662"/>
      <c r="J70" s="662"/>
      <c r="K70" s="662"/>
      <c r="L70" s="662"/>
      <c r="M70" s="662"/>
      <c r="N70" s="663"/>
      <c r="O70" s="662"/>
      <c r="P70" s="662"/>
      <c r="Q70" s="662"/>
      <c r="R70" s="662"/>
      <c r="S70" s="662"/>
      <c r="T70" s="662"/>
      <c r="U70" s="662"/>
      <c r="V70" s="663"/>
      <c r="W70" s="607"/>
      <c r="X70" s="588"/>
    </row>
    <row r="71" spans="1:24" s="589" customFormat="1" x14ac:dyDescent="0.25">
      <c r="A71" s="604"/>
      <c r="B71" s="605" t="s">
        <v>21</v>
      </c>
      <c r="C71" s="662"/>
      <c r="D71" s="662"/>
      <c r="E71" s="662"/>
      <c r="F71" s="662"/>
      <c r="G71" s="662"/>
      <c r="H71" s="662"/>
      <c r="I71" s="662"/>
      <c r="J71" s="662"/>
      <c r="K71" s="662"/>
      <c r="L71" s="662">
        <f>SUM(L68:L70)</f>
        <v>812446</v>
      </c>
      <c r="M71" s="662"/>
      <c r="N71" s="662">
        <f>N68+N69</f>
        <v>569839</v>
      </c>
      <c r="O71" s="662"/>
      <c r="P71" s="662">
        <f>SUM(P68:P70)</f>
        <v>10568</v>
      </c>
      <c r="Q71" s="662"/>
      <c r="R71" s="662">
        <f>SUM(R68:R70)</f>
        <v>0</v>
      </c>
      <c r="S71" s="662"/>
      <c r="T71" s="662">
        <f>SUM(T68:T70)</f>
        <v>0</v>
      </c>
      <c r="U71" s="662"/>
      <c r="V71" s="662">
        <f>SUM(V68:V70)</f>
        <v>559271</v>
      </c>
      <c r="W71" s="607"/>
      <c r="X71" s="588"/>
    </row>
    <row r="72" spans="1:24" x14ac:dyDescent="0.25">
      <c r="A72" s="574"/>
      <c r="B72" s="664"/>
      <c r="C72" s="665"/>
      <c r="D72" s="665"/>
      <c r="E72" s="665"/>
      <c r="F72" s="665"/>
      <c r="G72" s="665"/>
      <c r="H72" s="665"/>
      <c r="I72" s="665"/>
      <c r="J72" s="665"/>
      <c r="K72" s="665"/>
      <c r="L72" s="665"/>
      <c r="M72" s="665"/>
      <c r="N72" s="665"/>
      <c r="O72" s="665"/>
      <c r="P72" s="665"/>
      <c r="Q72" s="665"/>
      <c r="R72" s="665"/>
      <c r="S72" s="665"/>
      <c r="T72" s="665"/>
      <c r="U72" s="665"/>
      <c r="V72" s="666"/>
      <c r="W72" s="664"/>
      <c r="X72" s="572"/>
    </row>
    <row r="73" spans="1:24" x14ac:dyDescent="0.25">
      <c r="A73" s="574"/>
      <c r="B73" s="578" t="s">
        <v>22</v>
      </c>
      <c r="C73" s="667"/>
      <c r="D73" s="667"/>
      <c r="E73" s="667"/>
      <c r="F73" s="667"/>
      <c r="G73" s="667"/>
      <c r="H73" s="667"/>
      <c r="I73" s="667"/>
      <c r="J73" s="667"/>
      <c r="K73" s="667"/>
      <c r="L73" s="667"/>
      <c r="M73" s="667"/>
      <c r="N73" s="667"/>
      <c r="O73" s="667"/>
      <c r="P73" s="667"/>
      <c r="Q73" s="667"/>
      <c r="R73" s="667"/>
      <c r="S73" s="667"/>
      <c r="T73" s="667"/>
      <c r="U73" s="667"/>
      <c r="V73" s="668"/>
      <c r="W73" s="576"/>
      <c r="X73" s="572"/>
    </row>
    <row r="74" spans="1:24" x14ac:dyDescent="0.25">
      <c r="A74" s="574"/>
      <c r="B74" s="576"/>
      <c r="C74" s="667"/>
      <c r="D74" s="667"/>
      <c r="E74" s="667"/>
      <c r="F74" s="667"/>
      <c r="G74" s="667"/>
      <c r="H74" s="667"/>
      <c r="I74" s="667"/>
      <c r="J74" s="667"/>
      <c r="K74" s="667"/>
      <c r="L74" s="667"/>
      <c r="M74" s="667"/>
      <c r="N74" s="667"/>
      <c r="O74" s="667"/>
      <c r="P74" s="667"/>
      <c r="Q74" s="667"/>
      <c r="R74" s="667"/>
      <c r="S74" s="667"/>
      <c r="T74" s="667"/>
      <c r="U74" s="667"/>
      <c r="V74" s="668"/>
      <c r="W74" s="576"/>
      <c r="X74" s="572"/>
    </row>
    <row r="75" spans="1:24" s="589" customFormat="1" x14ac:dyDescent="0.25">
      <c r="A75" s="604"/>
      <c r="B75" s="605" t="s">
        <v>19</v>
      </c>
      <c r="C75" s="662"/>
      <c r="D75" s="662"/>
      <c r="E75" s="662"/>
      <c r="F75" s="662"/>
      <c r="G75" s="662"/>
      <c r="H75" s="662"/>
      <c r="I75" s="662"/>
      <c r="J75" s="662"/>
      <c r="K75" s="662"/>
      <c r="L75" s="662"/>
      <c r="M75" s="662"/>
      <c r="N75" s="662"/>
      <c r="O75" s="662"/>
      <c r="P75" s="662"/>
      <c r="Q75" s="662"/>
      <c r="R75" s="662"/>
      <c r="S75" s="662"/>
      <c r="T75" s="662"/>
      <c r="U75" s="662"/>
      <c r="V75" s="662"/>
      <c r="W75" s="607"/>
      <c r="X75" s="588"/>
    </row>
    <row r="76" spans="1:24" s="589" customFormat="1" x14ac:dyDescent="0.25">
      <c r="A76" s="604"/>
      <c r="B76" s="605" t="s">
        <v>20</v>
      </c>
      <c r="C76" s="662"/>
      <c r="D76" s="662"/>
      <c r="E76" s="662"/>
      <c r="F76" s="662"/>
      <c r="G76" s="662"/>
      <c r="H76" s="662"/>
      <c r="I76" s="662"/>
      <c r="J76" s="662"/>
      <c r="K76" s="662"/>
      <c r="L76" s="662"/>
      <c r="M76" s="662"/>
      <c r="N76" s="662"/>
      <c r="O76" s="662"/>
      <c r="P76" s="662"/>
      <c r="Q76" s="662"/>
      <c r="R76" s="662"/>
      <c r="S76" s="662"/>
      <c r="T76" s="662"/>
      <c r="U76" s="662"/>
      <c r="V76" s="662"/>
      <c r="W76" s="607"/>
      <c r="X76" s="588"/>
    </row>
    <row r="77" spans="1:24" s="589" customFormat="1" x14ac:dyDescent="0.25">
      <c r="A77" s="604"/>
      <c r="B77" s="605"/>
      <c r="C77" s="662"/>
      <c r="D77" s="662"/>
      <c r="E77" s="662"/>
      <c r="F77" s="662"/>
      <c r="G77" s="662"/>
      <c r="H77" s="662"/>
      <c r="I77" s="662"/>
      <c r="J77" s="662"/>
      <c r="K77" s="662"/>
      <c r="L77" s="662"/>
      <c r="M77" s="662"/>
      <c r="N77" s="662"/>
      <c r="O77" s="662"/>
      <c r="P77" s="662"/>
      <c r="Q77" s="662"/>
      <c r="R77" s="662"/>
      <c r="S77" s="662"/>
      <c r="T77" s="662"/>
      <c r="U77" s="662"/>
      <c r="V77" s="662"/>
      <c r="W77" s="607"/>
      <c r="X77" s="588"/>
    </row>
    <row r="78" spans="1:24" s="589" customFormat="1" x14ac:dyDescent="0.25">
      <c r="A78" s="604"/>
      <c r="B78" s="605" t="s">
        <v>21</v>
      </c>
      <c r="C78" s="662"/>
      <c r="D78" s="662"/>
      <c r="E78" s="662"/>
      <c r="F78" s="662"/>
      <c r="G78" s="662"/>
      <c r="H78" s="662"/>
      <c r="I78" s="662"/>
      <c r="J78" s="662"/>
      <c r="K78" s="662"/>
      <c r="L78" s="662"/>
      <c r="M78" s="662"/>
      <c r="N78" s="662"/>
      <c r="O78" s="662"/>
      <c r="P78" s="662"/>
      <c r="Q78" s="662"/>
      <c r="R78" s="662"/>
      <c r="S78" s="662"/>
      <c r="T78" s="662"/>
      <c r="U78" s="662"/>
      <c r="V78" s="662"/>
      <c r="W78" s="607"/>
      <c r="X78" s="588"/>
    </row>
    <row r="79" spans="1:24" s="589" customFormat="1" x14ac:dyDescent="0.25">
      <c r="A79" s="604"/>
      <c r="B79" s="605"/>
      <c r="C79" s="662"/>
      <c r="D79" s="662"/>
      <c r="E79" s="662"/>
      <c r="F79" s="662"/>
      <c r="G79" s="662"/>
      <c r="H79" s="662"/>
      <c r="I79" s="662"/>
      <c r="J79" s="662"/>
      <c r="K79" s="662"/>
      <c r="L79" s="662"/>
      <c r="M79" s="662"/>
      <c r="N79" s="662"/>
      <c r="O79" s="662"/>
      <c r="P79" s="662"/>
      <c r="Q79" s="662"/>
      <c r="R79" s="662"/>
      <c r="S79" s="662"/>
      <c r="T79" s="662"/>
      <c r="U79" s="662"/>
      <c r="V79" s="662"/>
      <c r="W79" s="607"/>
      <c r="X79" s="588"/>
    </row>
    <row r="80" spans="1:24" s="589" customFormat="1" x14ac:dyDescent="0.25">
      <c r="A80" s="604"/>
      <c r="B80" s="605" t="s">
        <v>23</v>
      </c>
      <c r="C80" s="662"/>
      <c r="D80" s="662"/>
      <c r="E80" s="662"/>
      <c r="F80" s="662"/>
      <c r="G80" s="662"/>
      <c r="H80" s="662"/>
      <c r="I80" s="662"/>
      <c r="J80" s="662"/>
      <c r="K80" s="662"/>
      <c r="L80" s="662">
        <v>0</v>
      </c>
      <c r="M80" s="662"/>
      <c r="N80" s="662">
        <v>0</v>
      </c>
      <c r="O80" s="662"/>
      <c r="P80" s="662"/>
      <c r="Q80" s="662"/>
      <c r="R80" s="662"/>
      <c r="S80" s="662"/>
      <c r="T80" s="662"/>
      <c r="U80" s="662"/>
      <c r="V80" s="663">
        <v>0</v>
      </c>
      <c r="W80" s="607"/>
      <c r="X80" s="588"/>
    </row>
    <row r="81" spans="1:24" s="589" customFormat="1" x14ac:dyDescent="0.25">
      <c r="A81" s="604"/>
      <c r="B81" s="605" t="s">
        <v>117</v>
      </c>
      <c r="C81" s="662"/>
      <c r="D81" s="662"/>
      <c r="E81" s="662"/>
      <c r="F81" s="662"/>
      <c r="G81" s="662"/>
      <c r="H81" s="662"/>
      <c r="I81" s="662"/>
      <c r="J81" s="662"/>
      <c r="K81" s="662"/>
      <c r="L81" s="662">
        <v>188687</v>
      </c>
      <c r="M81" s="662"/>
      <c r="N81" s="662">
        <v>0</v>
      </c>
      <c r="O81" s="662"/>
      <c r="P81" s="662">
        <v>0</v>
      </c>
      <c r="Q81" s="662"/>
      <c r="R81" s="662"/>
      <c r="S81" s="662"/>
      <c r="T81" s="662"/>
      <c r="U81" s="662"/>
      <c r="V81" s="662">
        <f>SUM(N81:R81)</f>
        <v>0</v>
      </c>
      <c r="W81" s="607"/>
      <c r="X81" s="588"/>
    </row>
    <row r="82" spans="1:24" s="589" customFormat="1" x14ac:dyDescent="0.25">
      <c r="A82" s="604"/>
      <c r="B82" s="605" t="s">
        <v>146</v>
      </c>
      <c r="C82" s="662"/>
      <c r="D82" s="662"/>
      <c r="E82" s="662"/>
      <c r="F82" s="662"/>
      <c r="G82" s="662"/>
      <c r="H82" s="662"/>
      <c r="I82" s="662"/>
      <c r="J82" s="662"/>
      <c r="K82" s="662"/>
      <c r="L82" s="662">
        <v>0</v>
      </c>
      <c r="M82" s="662"/>
      <c r="N82" s="662">
        <v>0</v>
      </c>
      <c r="O82" s="662"/>
      <c r="P82" s="662">
        <v>0</v>
      </c>
      <c r="Q82" s="662"/>
      <c r="R82" s="662"/>
      <c r="S82" s="662"/>
      <c r="T82" s="662"/>
      <c r="U82" s="662"/>
      <c r="V82" s="662">
        <f>+N82+P82</f>
        <v>0</v>
      </c>
      <c r="W82" s="607"/>
      <c r="X82" s="588"/>
    </row>
    <row r="83" spans="1:24" s="589" customFormat="1" x14ac:dyDescent="0.25">
      <c r="A83" s="604"/>
      <c r="B83" s="605" t="s">
        <v>25</v>
      </c>
      <c r="C83" s="662"/>
      <c r="D83" s="662"/>
      <c r="E83" s="662"/>
      <c r="F83" s="662"/>
      <c r="G83" s="662"/>
      <c r="H83" s="662"/>
      <c r="I83" s="662"/>
      <c r="J83" s="662"/>
      <c r="K83" s="662"/>
      <c r="L83" s="662">
        <v>0</v>
      </c>
      <c r="M83" s="662"/>
      <c r="N83" s="662">
        <v>0</v>
      </c>
      <c r="O83" s="662"/>
      <c r="P83" s="662"/>
      <c r="Q83" s="662"/>
      <c r="R83" s="662"/>
      <c r="S83" s="662"/>
      <c r="T83" s="662"/>
      <c r="U83" s="662"/>
      <c r="V83" s="662">
        <v>0</v>
      </c>
      <c r="W83" s="607"/>
      <c r="X83" s="588"/>
    </row>
    <row r="84" spans="1:24" s="589" customFormat="1" x14ac:dyDescent="0.25">
      <c r="A84" s="604"/>
      <c r="B84" s="605" t="s">
        <v>26</v>
      </c>
      <c r="C84" s="662"/>
      <c r="D84" s="662"/>
      <c r="E84" s="662"/>
      <c r="F84" s="662"/>
      <c r="G84" s="662"/>
      <c r="H84" s="662"/>
      <c r="I84" s="662"/>
      <c r="J84" s="662"/>
      <c r="K84" s="662"/>
      <c r="L84" s="662">
        <f>SUM(L71:L83)</f>
        <v>1001133</v>
      </c>
      <c r="M84" s="662"/>
      <c r="N84" s="662">
        <f>SUM(N71:N83)</f>
        <v>569839</v>
      </c>
      <c r="O84" s="662"/>
      <c r="P84" s="662"/>
      <c r="Q84" s="662"/>
      <c r="R84" s="662"/>
      <c r="S84" s="662"/>
      <c r="T84" s="662"/>
      <c r="U84" s="662"/>
      <c r="V84" s="662">
        <f>SUM(V71:V83)</f>
        <v>559271</v>
      </c>
      <c r="W84" s="607"/>
      <c r="X84" s="588"/>
    </row>
    <row r="85" spans="1:24" x14ac:dyDescent="0.25">
      <c r="A85" s="574"/>
      <c r="B85" s="664"/>
      <c r="C85" s="665"/>
      <c r="D85" s="665"/>
      <c r="E85" s="665"/>
      <c r="F85" s="665"/>
      <c r="G85" s="665"/>
      <c r="H85" s="665"/>
      <c r="I85" s="665"/>
      <c r="J85" s="665"/>
      <c r="K85" s="665"/>
      <c r="L85" s="665"/>
      <c r="M85" s="665"/>
      <c r="N85" s="665"/>
      <c r="O85" s="665"/>
      <c r="P85" s="665"/>
      <c r="Q85" s="665"/>
      <c r="R85" s="665"/>
      <c r="S85" s="665"/>
      <c r="T85" s="665"/>
      <c r="U85" s="665"/>
      <c r="V85" s="666"/>
      <c r="W85" s="664"/>
      <c r="X85" s="572"/>
    </row>
    <row r="86" spans="1:24" x14ac:dyDescent="0.25">
      <c r="A86" s="574"/>
      <c r="B86" s="576"/>
      <c r="C86" s="576"/>
      <c r="D86" s="576"/>
      <c r="E86" s="576"/>
      <c r="F86" s="576"/>
      <c r="G86" s="576"/>
      <c r="H86" s="576"/>
      <c r="I86" s="576"/>
      <c r="J86" s="576"/>
      <c r="K86" s="576"/>
      <c r="L86" s="576"/>
      <c r="M86" s="576"/>
      <c r="N86" s="576"/>
      <c r="O86" s="576"/>
      <c r="P86" s="576"/>
      <c r="Q86" s="576"/>
      <c r="R86" s="576"/>
      <c r="S86" s="576"/>
      <c r="T86" s="576"/>
      <c r="U86" s="576"/>
      <c r="V86" s="576"/>
      <c r="W86" s="576"/>
      <c r="X86" s="572"/>
    </row>
    <row r="87" spans="1:24" x14ac:dyDescent="0.25">
      <c r="A87" s="597"/>
      <c r="B87" s="669" t="s">
        <v>27</v>
      </c>
      <c r="C87" s="669"/>
      <c r="D87" s="669"/>
      <c r="E87" s="669"/>
      <c r="F87" s="669"/>
      <c r="G87" s="669"/>
      <c r="H87" s="670"/>
      <c r="I87" s="670"/>
      <c r="J87" s="670"/>
      <c r="K87" s="670"/>
      <c r="L87" s="671" t="s">
        <v>95</v>
      </c>
      <c r="M87" s="670"/>
      <c r="N87" s="672">
        <f>+T205</f>
        <v>43707</v>
      </c>
      <c r="O87" s="670"/>
      <c r="P87" s="670"/>
      <c r="Q87" s="670"/>
      <c r="R87" s="670"/>
      <c r="S87" s="670"/>
      <c r="T87" s="670" t="s">
        <v>107</v>
      </c>
      <c r="U87" s="670"/>
      <c r="V87" s="670" t="s">
        <v>113</v>
      </c>
      <c r="W87" s="601"/>
      <c r="X87" s="572"/>
    </row>
    <row r="88" spans="1:24" s="589" customFormat="1" x14ac:dyDescent="0.25">
      <c r="A88" s="585"/>
      <c r="B88" s="602" t="s">
        <v>28</v>
      </c>
      <c r="C88" s="602"/>
      <c r="D88" s="602"/>
      <c r="E88" s="602"/>
      <c r="F88" s="602"/>
      <c r="G88" s="602"/>
      <c r="H88" s="602"/>
      <c r="I88" s="602"/>
      <c r="J88" s="602"/>
      <c r="K88" s="602"/>
      <c r="L88" s="602"/>
      <c r="M88" s="602"/>
      <c r="N88" s="602"/>
      <c r="O88" s="602"/>
      <c r="P88" s="602"/>
      <c r="Q88" s="602"/>
      <c r="R88" s="602"/>
      <c r="S88" s="602"/>
      <c r="T88" s="673">
        <v>0</v>
      </c>
      <c r="U88" s="602"/>
      <c r="V88" s="674">
        <v>0</v>
      </c>
      <c r="W88" s="602"/>
      <c r="X88" s="588"/>
    </row>
    <row r="89" spans="1:24" s="589" customFormat="1" x14ac:dyDescent="0.25">
      <c r="A89" s="604"/>
      <c r="B89" s="605" t="s">
        <v>29</v>
      </c>
      <c r="C89" s="605"/>
      <c r="D89" s="605"/>
      <c r="E89" s="605"/>
      <c r="F89" s="605"/>
      <c r="G89" s="605"/>
      <c r="H89" s="635"/>
      <c r="I89" s="635"/>
      <c r="J89" s="635"/>
      <c r="K89" s="675"/>
      <c r="L89" s="635"/>
      <c r="M89" s="605"/>
      <c r="N89" s="676"/>
      <c r="O89" s="605"/>
      <c r="P89" s="605"/>
      <c r="Q89" s="605"/>
      <c r="R89" s="605"/>
      <c r="S89" s="605"/>
      <c r="T89" s="662">
        <f>10568-63</f>
        <v>10505</v>
      </c>
      <c r="U89" s="605"/>
      <c r="V89" s="663"/>
      <c r="W89" s="607"/>
      <c r="X89" s="588"/>
    </row>
    <row r="90" spans="1:24" s="589" customFormat="1" x14ac:dyDescent="0.25">
      <c r="A90" s="604"/>
      <c r="B90" s="605" t="s">
        <v>215</v>
      </c>
      <c r="C90" s="605"/>
      <c r="D90" s="605"/>
      <c r="E90" s="605"/>
      <c r="F90" s="605"/>
      <c r="G90" s="605"/>
      <c r="H90" s="635"/>
      <c r="I90" s="635"/>
      <c r="J90" s="635"/>
      <c r="K90" s="675"/>
      <c r="L90" s="635"/>
      <c r="M90" s="605"/>
      <c r="N90" s="676"/>
      <c r="O90" s="605"/>
      <c r="P90" s="605"/>
      <c r="Q90" s="605"/>
      <c r="R90" s="605"/>
      <c r="S90" s="605"/>
      <c r="T90" s="662"/>
      <c r="U90" s="605"/>
      <c r="V90" s="663">
        <f>2985+2551-686-1000</f>
        <v>3850</v>
      </c>
      <c r="W90" s="607"/>
      <c r="X90" s="588"/>
    </row>
    <row r="91" spans="1:24" s="589" customFormat="1" x14ac:dyDescent="0.25">
      <c r="A91" s="604"/>
      <c r="B91" s="605" t="s">
        <v>210</v>
      </c>
      <c r="C91" s="605"/>
      <c r="D91" s="605"/>
      <c r="E91" s="605"/>
      <c r="F91" s="605"/>
      <c r="G91" s="605"/>
      <c r="H91" s="635"/>
      <c r="I91" s="635"/>
      <c r="J91" s="635"/>
      <c r="K91" s="675"/>
      <c r="L91" s="635"/>
      <c r="M91" s="605"/>
      <c r="N91" s="676"/>
      <c r="O91" s="605"/>
      <c r="P91" s="605"/>
      <c r="Q91" s="605"/>
      <c r="R91" s="605"/>
      <c r="S91" s="605"/>
      <c r="T91" s="662"/>
      <c r="U91" s="605"/>
      <c r="V91" s="663">
        <f>28+39</f>
        <v>67</v>
      </c>
      <c r="W91" s="607"/>
      <c r="X91" s="588"/>
    </row>
    <row r="92" spans="1:24" s="589" customFormat="1" x14ac:dyDescent="0.25">
      <c r="A92" s="604"/>
      <c r="B92" s="605" t="s">
        <v>211</v>
      </c>
      <c r="C92" s="605"/>
      <c r="D92" s="605"/>
      <c r="E92" s="605"/>
      <c r="F92" s="605"/>
      <c r="G92" s="605"/>
      <c r="H92" s="635"/>
      <c r="I92" s="635"/>
      <c r="J92" s="635"/>
      <c r="K92" s="675"/>
      <c r="L92" s="635"/>
      <c r="M92" s="605"/>
      <c r="N92" s="676"/>
      <c r="O92" s="605"/>
      <c r="P92" s="605"/>
      <c r="Q92" s="605"/>
      <c r="R92" s="605"/>
      <c r="S92" s="605"/>
      <c r="T92" s="662"/>
      <c r="U92" s="605"/>
      <c r="V92" s="663">
        <v>48</v>
      </c>
      <c r="W92" s="607"/>
      <c r="X92" s="588"/>
    </row>
    <row r="93" spans="1:24" s="589" customFormat="1" x14ac:dyDescent="0.25">
      <c r="A93" s="604"/>
      <c r="B93" s="605" t="s">
        <v>233</v>
      </c>
      <c r="C93" s="605"/>
      <c r="D93" s="605"/>
      <c r="E93" s="605"/>
      <c r="F93" s="605"/>
      <c r="G93" s="605"/>
      <c r="H93" s="635"/>
      <c r="I93" s="635"/>
      <c r="J93" s="635"/>
      <c r="K93" s="675"/>
      <c r="L93" s="635"/>
      <c r="M93" s="605"/>
      <c r="N93" s="676"/>
      <c r="O93" s="605"/>
      <c r="P93" s="605"/>
      <c r="Q93" s="605"/>
      <c r="R93" s="605"/>
      <c r="S93" s="605"/>
      <c r="T93" s="662"/>
      <c r="U93" s="605"/>
      <c r="V93" s="663">
        <v>0</v>
      </c>
      <c r="W93" s="607"/>
      <c r="X93" s="588"/>
    </row>
    <row r="94" spans="1:24" s="589" customFormat="1" x14ac:dyDescent="0.25">
      <c r="A94" s="604"/>
      <c r="B94" s="605" t="s">
        <v>235</v>
      </c>
      <c r="C94" s="605"/>
      <c r="D94" s="605"/>
      <c r="E94" s="605"/>
      <c r="F94" s="605"/>
      <c r="G94" s="605"/>
      <c r="H94" s="635"/>
      <c r="I94" s="635"/>
      <c r="J94" s="635"/>
      <c r="K94" s="675"/>
      <c r="L94" s="635"/>
      <c r="M94" s="605"/>
      <c r="N94" s="676"/>
      <c r="O94" s="605"/>
      <c r="P94" s="605"/>
      <c r="Q94" s="605"/>
      <c r="R94" s="605"/>
      <c r="S94" s="605"/>
      <c r="T94" s="662"/>
      <c r="U94" s="605"/>
      <c r="V94" s="663">
        <v>0</v>
      </c>
      <c r="W94" s="607"/>
      <c r="X94" s="588"/>
    </row>
    <row r="95" spans="1:24" s="589" customFormat="1" x14ac:dyDescent="0.25">
      <c r="A95" s="604"/>
      <c r="B95" s="605" t="s">
        <v>135</v>
      </c>
      <c r="C95" s="605"/>
      <c r="D95" s="605"/>
      <c r="E95" s="605"/>
      <c r="F95" s="605"/>
      <c r="G95" s="605"/>
      <c r="H95" s="605"/>
      <c r="I95" s="605"/>
      <c r="J95" s="605"/>
      <c r="K95" s="605"/>
      <c r="L95" s="605"/>
      <c r="M95" s="605"/>
      <c r="N95" s="605"/>
      <c r="O95" s="605"/>
      <c r="P95" s="605"/>
      <c r="Q95" s="605"/>
      <c r="R95" s="605"/>
      <c r="S95" s="605"/>
      <c r="T95" s="662"/>
      <c r="U95" s="605"/>
      <c r="V95" s="663">
        <v>0</v>
      </c>
      <c r="W95" s="607"/>
      <c r="X95" s="588"/>
    </row>
    <row r="96" spans="1:24" s="589" customFormat="1" x14ac:dyDescent="0.25">
      <c r="A96" s="604"/>
      <c r="B96" s="605" t="s">
        <v>272</v>
      </c>
      <c r="C96" s="605"/>
      <c r="D96" s="605"/>
      <c r="E96" s="605"/>
      <c r="F96" s="605"/>
      <c r="G96" s="605"/>
      <c r="H96" s="605"/>
      <c r="I96" s="605"/>
      <c r="J96" s="605"/>
      <c r="K96" s="605"/>
      <c r="L96" s="605"/>
      <c r="M96" s="605"/>
      <c r="N96" s="605"/>
      <c r="O96" s="605"/>
      <c r="P96" s="605"/>
      <c r="Q96" s="605"/>
      <c r="R96" s="605"/>
      <c r="S96" s="605"/>
      <c r="T96" s="662"/>
      <c r="U96" s="605"/>
      <c r="V96" s="663">
        <v>0</v>
      </c>
      <c r="W96" s="607"/>
      <c r="X96" s="588"/>
    </row>
    <row r="97" spans="1:25" s="589" customFormat="1" x14ac:dyDescent="0.25">
      <c r="A97" s="604"/>
      <c r="B97" s="605" t="s">
        <v>30</v>
      </c>
      <c r="C97" s="605"/>
      <c r="D97" s="605"/>
      <c r="E97" s="605"/>
      <c r="F97" s="605"/>
      <c r="G97" s="605"/>
      <c r="H97" s="605"/>
      <c r="I97" s="605"/>
      <c r="J97" s="605"/>
      <c r="K97" s="605"/>
      <c r="L97" s="605"/>
      <c r="M97" s="605"/>
      <c r="N97" s="605"/>
      <c r="O97" s="605"/>
      <c r="P97" s="605"/>
      <c r="Q97" s="605"/>
      <c r="R97" s="605"/>
      <c r="S97" s="605"/>
      <c r="T97" s="662">
        <f>SUM(T88:T96)</f>
        <v>10505</v>
      </c>
      <c r="U97" s="605"/>
      <c r="V97" s="662">
        <f>SUM(V88:V96)</f>
        <v>3965</v>
      </c>
      <c r="W97" s="607"/>
      <c r="X97" s="588"/>
    </row>
    <row r="98" spans="1:25" s="589" customFormat="1" x14ac:dyDescent="0.25">
      <c r="A98" s="604"/>
      <c r="B98" s="605" t="s">
        <v>161</v>
      </c>
      <c r="C98" s="605"/>
      <c r="D98" s="605"/>
      <c r="E98" s="605"/>
      <c r="F98" s="605"/>
      <c r="G98" s="605"/>
      <c r="H98" s="605"/>
      <c r="I98" s="605"/>
      <c r="J98" s="605"/>
      <c r="K98" s="605"/>
      <c r="L98" s="605"/>
      <c r="M98" s="605"/>
      <c r="N98" s="605"/>
      <c r="O98" s="605"/>
      <c r="P98" s="605"/>
      <c r="Q98" s="605"/>
      <c r="R98" s="605"/>
      <c r="S98" s="605"/>
      <c r="T98" s="662">
        <f>-V98</f>
        <v>0</v>
      </c>
      <c r="U98" s="605"/>
      <c r="V98" s="662">
        <v>0</v>
      </c>
      <c r="W98" s="607"/>
      <c r="X98" s="588"/>
    </row>
    <row r="99" spans="1:25" s="589" customFormat="1" x14ac:dyDescent="0.25">
      <c r="A99" s="604"/>
      <c r="B99" s="605" t="s">
        <v>31</v>
      </c>
      <c r="C99" s="605"/>
      <c r="D99" s="605"/>
      <c r="E99" s="605"/>
      <c r="F99" s="605"/>
      <c r="G99" s="605"/>
      <c r="H99" s="605"/>
      <c r="I99" s="605"/>
      <c r="J99" s="605"/>
      <c r="K99" s="605"/>
      <c r="L99" s="605"/>
      <c r="M99" s="605"/>
      <c r="N99" s="605"/>
      <c r="O99" s="605"/>
      <c r="P99" s="605"/>
      <c r="Q99" s="605"/>
      <c r="R99" s="605"/>
      <c r="S99" s="605"/>
      <c r="T99" s="662">
        <f>-V99</f>
        <v>0</v>
      </c>
      <c r="U99" s="605"/>
      <c r="V99" s="663">
        <v>0</v>
      </c>
      <c r="W99" s="607"/>
      <c r="X99" s="588"/>
    </row>
    <row r="100" spans="1:25" s="589" customFormat="1" x14ac:dyDescent="0.25">
      <c r="A100" s="604"/>
      <c r="B100" s="605" t="s">
        <v>274</v>
      </c>
      <c r="C100" s="605"/>
      <c r="D100" s="605"/>
      <c r="E100" s="605"/>
      <c r="F100" s="605"/>
      <c r="G100" s="605"/>
      <c r="H100" s="605"/>
      <c r="I100" s="605"/>
      <c r="J100" s="605"/>
      <c r="K100" s="605"/>
      <c r="L100" s="605"/>
      <c r="M100" s="605"/>
      <c r="N100" s="605"/>
      <c r="O100" s="605"/>
      <c r="P100" s="605"/>
      <c r="Q100" s="605"/>
      <c r="R100" s="605"/>
      <c r="S100" s="605"/>
      <c r="T100" s="662"/>
      <c r="U100" s="605"/>
      <c r="V100" s="663">
        <v>-254</v>
      </c>
      <c r="W100" s="607"/>
      <c r="X100" s="588"/>
    </row>
    <row r="101" spans="1:25" s="589" customFormat="1" x14ac:dyDescent="0.25">
      <c r="A101" s="604"/>
      <c r="B101" s="605" t="s">
        <v>32</v>
      </c>
      <c r="C101" s="605"/>
      <c r="D101" s="605"/>
      <c r="E101" s="605"/>
      <c r="F101" s="605"/>
      <c r="G101" s="605"/>
      <c r="H101" s="605"/>
      <c r="I101" s="605"/>
      <c r="J101" s="605"/>
      <c r="K101" s="605"/>
      <c r="L101" s="605"/>
      <c r="M101" s="605"/>
      <c r="N101" s="605"/>
      <c r="O101" s="605"/>
      <c r="P101" s="605"/>
      <c r="Q101" s="605"/>
      <c r="R101" s="605"/>
      <c r="S101" s="605"/>
      <c r="T101" s="662">
        <f>T97+T99+T98</f>
        <v>10505</v>
      </c>
      <c r="U101" s="605"/>
      <c r="V101" s="662">
        <f>V97+V99+V98+V100</f>
        <v>3711</v>
      </c>
      <c r="W101" s="607"/>
      <c r="X101" s="588"/>
    </row>
    <row r="102" spans="1:25" x14ac:dyDescent="0.25">
      <c r="A102" s="677"/>
      <c r="B102" s="678" t="s">
        <v>33</v>
      </c>
      <c r="C102" s="679"/>
      <c r="D102" s="679"/>
      <c r="E102" s="679"/>
      <c r="F102" s="679"/>
      <c r="G102" s="679"/>
      <c r="H102" s="679"/>
      <c r="I102" s="679"/>
      <c r="J102" s="679"/>
      <c r="K102" s="679"/>
      <c r="L102" s="679"/>
      <c r="M102" s="679"/>
      <c r="N102" s="679"/>
      <c r="O102" s="679"/>
      <c r="P102" s="679"/>
      <c r="Q102" s="679"/>
      <c r="R102" s="679"/>
      <c r="S102" s="679"/>
      <c r="T102" s="680"/>
      <c r="U102" s="681"/>
      <c r="V102" s="682"/>
      <c r="W102" s="683"/>
      <c r="X102" s="572"/>
    </row>
    <row r="103" spans="1:25" s="589" customFormat="1" x14ac:dyDescent="0.25">
      <c r="A103" s="604">
        <v>1</v>
      </c>
      <c r="B103" s="605" t="s">
        <v>34</v>
      </c>
      <c r="C103" s="605"/>
      <c r="D103" s="605"/>
      <c r="E103" s="605"/>
      <c r="F103" s="605"/>
      <c r="G103" s="605"/>
      <c r="H103" s="605"/>
      <c r="I103" s="605"/>
      <c r="J103" s="605"/>
      <c r="K103" s="605"/>
      <c r="L103" s="605"/>
      <c r="M103" s="605"/>
      <c r="N103" s="605"/>
      <c r="O103" s="605"/>
      <c r="P103" s="605"/>
      <c r="Q103" s="605"/>
      <c r="R103" s="605"/>
      <c r="S103" s="605"/>
      <c r="T103" s="605"/>
      <c r="U103" s="605"/>
      <c r="V103" s="663">
        <v>0</v>
      </c>
      <c r="W103" s="607"/>
      <c r="X103" s="588"/>
    </row>
    <row r="104" spans="1:25" s="589" customFormat="1" x14ac:dyDescent="0.25">
      <c r="A104" s="604">
        <f>+A103+1</f>
        <v>2</v>
      </c>
      <c r="B104" s="605" t="s">
        <v>314</v>
      </c>
      <c r="C104" s="605"/>
      <c r="D104" s="605"/>
      <c r="E104" s="605"/>
      <c r="F104" s="605"/>
      <c r="G104" s="605"/>
      <c r="H104" s="605"/>
      <c r="I104" s="605"/>
      <c r="J104" s="605"/>
      <c r="K104" s="605"/>
      <c r="L104" s="605"/>
      <c r="M104" s="605"/>
      <c r="N104" s="605"/>
      <c r="O104" s="605"/>
      <c r="P104" s="605"/>
      <c r="Q104" s="605"/>
      <c r="R104" s="605"/>
      <c r="S104" s="605"/>
      <c r="T104" s="605"/>
      <c r="U104" s="605"/>
      <c r="V104" s="663">
        <v>-2</v>
      </c>
      <c r="W104" s="607"/>
      <c r="X104" s="588"/>
    </row>
    <row r="105" spans="1:25" s="589" customFormat="1" x14ac:dyDescent="0.25">
      <c r="A105" s="604">
        <f>+A104+1</f>
        <v>3</v>
      </c>
      <c r="B105" s="684" t="s">
        <v>316</v>
      </c>
      <c r="C105" s="605"/>
      <c r="D105" s="605"/>
      <c r="E105" s="605"/>
      <c r="F105" s="605"/>
      <c r="G105" s="605"/>
      <c r="H105" s="605"/>
      <c r="I105" s="605"/>
      <c r="J105" s="605"/>
      <c r="K105" s="605"/>
      <c r="L105" s="605"/>
      <c r="M105" s="605"/>
      <c r="N105" s="605"/>
      <c r="O105" s="605"/>
      <c r="P105" s="605"/>
      <c r="Q105" s="605"/>
      <c r="R105" s="605"/>
      <c r="S105" s="605"/>
      <c r="T105" s="605"/>
      <c r="U105" s="605"/>
      <c r="V105" s="663">
        <f>-219-76-8</f>
        <v>-303</v>
      </c>
      <c r="W105" s="607"/>
      <c r="X105" s="588"/>
    </row>
    <row r="106" spans="1:25" s="589" customFormat="1" x14ac:dyDescent="0.25">
      <c r="A106" s="604" t="s">
        <v>127</v>
      </c>
      <c r="B106" s="605" t="s">
        <v>116</v>
      </c>
      <c r="C106" s="605"/>
      <c r="D106" s="605"/>
      <c r="E106" s="605"/>
      <c r="F106" s="605"/>
      <c r="G106" s="605"/>
      <c r="H106" s="605"/>
      <c r="I106" s="605"/>
      <c r="J106" s="605"/>
      <c r="K106" s="605"/>
      <c r="L106" s="605"/>
      <c r="M106" s="605"/>
      <c r="N106" s="605"/>
      <c r="O106" s="605"/>
      <c r="P106" s="605"/>
      <c r="Q106" s="605"/>
      <c r="R106" s="605"/>
      <c r="S106" s="605"/>
      <c r="T106" s="605"/>
      <c r="U106" s="605"/>
      <c r="V106" s="663">
        <v>0</v>
      </c>
      <c r="W106" s="607"/>
      <c r="X106" s="588"/>
    </row>
    <row r="107" spans="1:25" s="589" customFormat="1" x14ac:dyDescent="0.25">
      <c r="A107" s="604" t="s">
        <v>128</v>
      </c>
      <c r="B107" s="605" t="s">
        <v>220</v>
      </c>
      <c r="C107" s="605"/>
      <c r="D107" s="605"/>
      <c r="E107" s="605"/>
      <c r="F107" s="605"/>
      <c r="G107" s="605"/>
      <c r="H107" s="605"/>
      <c r="I107" s="605"/>
      <c r="J107" s="605"/>
      <c r="K107" s="605"/>
      <c r="L107" s="605"/>
      <c r="M107" s="605"/>
      <c r="N107" s="605"/>
      <c r="O107" s="605"/>
      <c r="P107" s="605"/>
      <c r="Q107" s="605"/>
      <c r="R107" s="605"/>
      <c r="S107" s="605"/>
      <c r="T107" s="605"/>
      <c r="U107" s="605"/>
      <c r="V107" s="663">
        <f>-1062+270</f>
        <v>-792</v>
      </c>
      <c r="W107" s="607"/>
      <c r="X107" s="588"/>
      <c r="Y107" s="685"/>
    </row>
    <row r="108" spans="1:25" s="589" customFormat="1" x14ac:dyDescent="0.25">
      <c r="A108" s="604" t="s">
        <v>150</v>
      </c>
      <c r="B108" s="605" t="s">
        <v>184</v>
      </c>
      <c r="C108" s="605"/>
      <c r="D108" s="605"/>
      <c r="E108" s="605"/>
      <c r="F108" s="605"/>
      <c r="G108" s="605"/>
      <c r="H108" s="605"/>
      <c r="I108" s="605"/>
      <c r="J108" s="605"/>
      <c r="K108" s="605"/>
      <c r="L108" s="605"/>
      <c r="M108" s="605"/>
      <c r="N108" s="605"/>
      <c r="O108" s="605"/>
      <c r="P108" s="605"/>
      <c r="Q108" s="605"/>
      <c r="R108" s="605"/>
      <c r="S108" s="605"/>
      <c r="T108" s="605"/>
      <c r="U108" s="605"/>
      <c r="V108" s="663">
        <v>-270</v>
      </c>
      <c r="W108" s="607"/>
      <c r="X108" s="588"/>
      <c r="Y108" s="685"/>
    </row>
    <row r="109" spans="1:25" s="589" customFormat="1" x14ac:dyDescent="0.25">
      <c r="A109" s="604" t="s">
        <v>205</v>
      </c>
      <c r="B109" s="605" t="s">
        <v>185</v>
      </c>
      <c r="C109" s="605"/>
      <c r="D109" s="605"/>
      <c r="E109" s="605"/>
      <c r="F109" s="605"/>
      <c r="G109" s="605"/>
      <c r="H109" s="605"/>
      <c r="I109" s="605"/>
      <c r="J109" s="605"/>
      <c r="K109" s="605"/>
      <c r="L109" s="605"/>
      <c r="M109" s="605"/>
      <c r="N109" s="605"/>
      <c r="O109" s="605"/>
      <c r="P109" s="605"/>
      <c r="Q109" s="605"/>
      <c r="R109" s="605"/>
      <c r="S109" s="605"/>
      <c r="T109" s="605"/>
      <c r="U109" s="605"/>
      <c r="V109" s="663">
        <v>-203</v>
      </c>
      <c r="W109" s="607"/>
      <c r="X109" s="588"/>
      <c r="Y109" s="685"/>
    </row>
    <row r="110" spans="1:25" s="589" customFormat="1" x14ac:dyDescent="0.25">
      <c r="A110" s="604" t="s">
        <v>206</v>
      </c>
      <c r="B110" s="605" t="s">
        <v>186</v>
      </c>
      <c r="C110" s="605"/>
      <c r="D110" s="605"/>
      <c r="E110" s="605"/>
      <c r="F110" s="605"/>
      <c r="G110" s="605"/>
      <c r="H110" s="605"/>
      <c r="I110" s="605"/>
      <c r="J110" s="605"/>
      <c r="K110" s="605"/>
      <c r="L110" s="605"/>
      <c r="M110" s="605"/>
      <c r="N110" s="605"/>
      <c r="O110" s="605"/>
      <c r="P110" s="605"/>
      <c r="Q110" s="605"/>
      <c r="R110" s="605"/>
      <c r="S110" s="605"/>
      <c r="T110" s="605"/>
      <c r="U110" s="605"/>
      <c r="V110" s="663">
        <v>-56</v>
      </c>
      <c r="W110" s="607"/>
      <c r="X110" s="588"/>
      <c r="Y110" s="685"/>
    </row>
    <row r="111" spans="1:25" s="589" customFormat="1" x14ac:dyDescent="0.25">
      <c r="A111" s="604">
        <v>6</v>
      </c>
      <c r="B111" s="605" t="s">
        <v>196</v>
      </c>
      <c r="C111" s="605"/>
      <c r="D111" s="605"/>
      <c r="E111" s="605"/>
      <c r="F111" s="605"/>
      <c r="G111" s="605"/>
      <c r="H111" s="605"/>
      <c r="I111" s="605"/>
      <c r="J111" s="605"/>
      <c r="K111" s="605"/>
      <c r="L111" s="605"/>
      <c r="M111" s="605"/>
      <c r="N111" s="605"/>
      <c r="O111" s="605"/>
      <c r="P111" s="605"/>
      <c r="Q111" s="605"/>
      <c r="R111" s="605"/>
      <c r="S111" s="605"/>
      <c r="T111" s="605"/>
      <c r="U111" s="605"/>
      <c r="V111" s="663">
        <v>-377</v>
      </c>
      <c r="W111" s="607"/>
      <c r="X111" s="588"/>
      <c r="Y111" s="685"/>
    </row>
    <row r="112" spans="1:25" s="589" customFormat="1" x14ac:dyDescent="0.25">
      <c r="A112" s="604">
        <v>7</v>
      </c>
      <c r="B112" s="684" t="s">
        <v>315</v>
      </c>
      <c r="C112" s="605"/>
      <c r="D112" s="605"/>
      <c r="E112" s="605"/>
      <c r="F112" s="605"/>
      <c r="G112" s="605"/>
      <c r="H112" s="605"/>
      <c r="I112" s="605"/>
      <c r="J112" s="605"/>
      <c r="K112" s="605"/>
      <c r="L112" s="605"/>
      <c r="M112" s="605"/>
      <c r="N112" s="605"/>
      <c r="O112" s="605"/>
      <c r="P112" s="605"/>
      <c r="Q112" s="605"/>
      <c r="R112" s="605"/>
      <c r="S112" s="605"/>
      <c r="T112" s="605"/>
      <c r="U112" s="605"/>
      <c r="V112" s="663">
        <v>0</v>
      </c>
      <c r="W112" s="607"/>
      <c r="X112" s="588"/>
      <c r="Y112" s="685"/>
    </row>
    <row r="113" spans="1:24" s="589" customFormat="1" x14ac:dyDescent="0.25">
      <c r="A113" s="604">
        <v>8</v>
      </c>
      <c r="B113" s="605" t="s">
        <v>35</v>
      </c>
      <c r="C113" s="605"/>
      <c r="D113" s="605"/>
      <c r="E113" s="605"/>
      <c r="F113" s="605"/>
      <c r="G113" s="605"/>
      <c r="H113" s="605"/>
      <c r="I113" s="605"/>
      <c r="J113" s="605"/>
      <c r="K113" s="605"/>
      <c r="L113" s="605"/>
      <c r="M113" s="605"/>
      <c r="N113" s="605"/>
      <c r="O113" s="605"/>
      <c r="P113" s="605"/>
      <c r="Q113" s="605"/>
      <c r="R113" s="605"/>
      <c r="S113" s="605"/>
      <c r="T113" s="605"/>
      <c r="U113" s="605"/>
      <c r="V113" s="663">
        <v>-9</v>
      </c>
      <c r="W113" s="607"/>
      <c r="X113" s="588"/>
    </row>
    <row r="114" spans="1:24" s="589" customFormat="1" x14ac:dyDescent="0.25">
      <c r="A114" s="604">
        <f t="shared" ref="A114:A122" si="0">+A113+1</f>
        <v>9</v>
      </c>
      <c r="B114" s="605" t="s">
        <v>45</v>
      </c>
      <c r="C114" s="605"/>
      <c r="D114" s="605"/>
      <c r="E114" s="605"/>
      <c r="F114" s="605"/>
      <c r="G114" s="605"/>
      <c r="H114" s="605"/>
      <c r="I114" s="605"/>
      <c r="J114" s="605"/>
      <c r="K114" s="605"/>
      <c r="L114" s="605"/>
      <c r="M114" s="605"/>
      <c r="N114" s="605"/>
      <c r="O114" s="605"/>
      <c r="P114" s="605"/>
      <c r="Q114" s="605"/>
      <c r="R114" s="605"/>
      <c r="S114" s="605"/>
      <c r="T114" s="662">
        <f>-V114</f>
        <v>63</v>
      </c>
      <c r="U114" s="605"/>
      <c r="V114" s="663">
        <v>-63</v>
      </c>
      <c r="W114" s="607"/>
      <c r="X114" s="588"/>
    </row>
    <row r="115" spans="1:24" s="589" customFormat="1" x14ac:dyDescent="0.25">
      <c r="A115" s="604">
        <f t="shared" si="0"/>
        <v>10</v>
      </c>
      <c r="B115" s="605" t="s">
        <v>125</v>
      </c>
      <c r="C115" s="605"/>
      <c r="D115" s="605"/>
      <c r="E115" s="605"/>
      <c r="F115" s="605"/>
      <c r="G115" s="605"/>
      <c r="H115" s="605"/>
      <c r="I115" s="605"/>
      <c r="J115" s="605"/>
      <c r="K115" s="605"/>
      <c r="L115" s="605"/>
      <c r="M115" s="605"/>
      <c r="N115" s="605"/>
      <c r="O115" s="605"/>
      <c r="P115" s="605"/>
      <c r="Q115" s="605"/>
      <c r="R115" s="605"/>
      <c r="S115" s="605"/>
      <c r="T115" s="605"/>
      <c r="U115" s="605"/>
      <c r="V115" s="663">
        <v>0</v>
      </c>
      <c r="W115" s="607"/>
      <c r="X115" s="588"/>
    </row>
    <row r="116" spans="1:24" s="589" customFormat="1" x14ac:dyDescent="0.25">
      <c r="A116" s="604">
        <f t="shared" si="0"/>
        <v>11</v>
      </c>
      <c r="B116" s="605" t="s">
        <v>225</v>
      </c>
      <c r="C116" s="605"/>
      <c r="D116" s="605"/>
      <c r="E116" s="605"/>
      <c r="F116" s="605"/>
      <c r="G116" s="605"/>
      <c r="H116" s="605"/>
      <c r="I116" s="605"/>
      <c r="J116" s="605"/>
      <c r="K116" s="605"/>
      <c r="L116" s="605"/>
      <c r="M116" s="605"/>
      <c r="N116" s="605"/>
      <c r="O116" s="605"/>
      <c r="P116" s="605"/>
      <c r="Q116" s="605"/>
      <c r="R116" s="605"/>
      <c r="S116" s="605"/>
      <c r="T116" s="605"/>
      <c r="U116" s="605"/>
      <c r="V116" s="663">
        <v>0</v>
      </c>
      <c r="W116" s="607"/>
      <c r="X116" s="588"/>
    </row>
    <row r="117" spans="1:24" s="589" customFormat="1" x14ac:dyDescent="0.25">
      <c r="A117" s="604">
        <f t="shared" si="0"/>
        <v>12</v>
      </c>
      <c r="B117" s="605" t="s">
        <v>36</v>
      </c>
      <c r="C117" s="605"/>
      <c r="D117" s="605"/>
      <c r="E117" s="605"/>
      <c r="F117" s="605"/>
      <c r="G117" s="605"/>
      <c r="H117" s="605"/>
      <c r="I117" s="605"/>
      <c r="J117" s="605"/>
      <c r="K117" s="605"/>
      <c r="L117" s="605"/>
      <c r="M117" s="605"/>
      <c r="N117" s="605"/>
      <c r="O117" s="605"/>
      <c r="P117" s="605"/>
      <c r="Q117" s="605"/>
      <c r="R117" s="605"/>
      <c r="S117" s="605"/>
      <c r="T117" s="605"/>
      <c r="U117" s="605"/>
      <c r="V117" s="663">
        <v>0</v>
      </c>
      <c r="W117" s="607"/>
      <c r="X117" s="588"/>
    </row>
    <row r="118" spans="1:24" s="589" customFormat="1" x14ac:dyDescent="0.25">
      <c r="A118" s="604">
        <f t="shared" si="0"/>
        <v>13</v>
      </c>
      <c r="B118" s="605" t="s">
        <v>149</v>
      </c>
      <c r="C118" s="605"/>
      <c r="D118" s="605"/>
      <c r="E118" s="605"/>
      <c r="F118" s="605"/>
      <c r="G118" s="605"/>
      <c r="H118" s="605"/>
      <c r="I118" s="605"/>
      <c r="J118" s="605"/>
      <c r="K118" s="605"/>
      <c r="L118" s="605"/>
      <c r="M118" s="605"/>
      <c r="N118" s="605"/>
      <c r="O118" s="605"/>
      <c r="P118" s="605"/>
      <c r="Q118" s="605"/>
      <c r="R118" s="605"/>
      <c r="S118" s="605"/>
      <c r="T118" s="605"/>
      <c r="U118" s="605"/>
      <c r="V118" s="663">
        <v>-219</v>
      </c>
      <c r="W118" s="607"/>
      <c r="X118" s="588"/>
    </row>
    <row r="119" spans="1:24" s="589" customFormat="1" x14ac:dyDescent="0.25">
      <c r="A119" s="604">
        <f t="shared" si="0"/>
        <v>14</v>
      </c>
      <c r="B119" s="605" t="s">
        <v>353</v>
      </c>
      <c r="C119" s="605"/>
      <c r="D119" s="605"/>
      <c r="E119" s="605"/>
      <c r="F119" s="605"/>
      <c r="G119" s="605"/>
      <c r="H119" s="605"/>
      <c r="I119" s="605"/>
      <c r="J119" s="605"/>
      <c r="K119" s="605"/>
      <c r="L119" s="605"/>
      <c r="M119" s="605"/>
      <c r="N119" s="605"/>
      <c r="O119" s="605"/>
      <c r="P119" s="605"/>
      <c r="Q119" s="605"/>
      <c r="R119" s="605"/>
      <c r="S119" s="605"/>
      <c r="T119" s="605"/>
      <c r="U119" s="605"/>
      <c r="V119" s="663">
        <v>-227</v>
      </c>
      <c r="W119" s="607"/>
      <c r="X119" s="588"/>
    </row>
    <row r="120" spans="1:24" s="589" customFormat="1" x14ac:dyDescent="0.25">
      <c r="A120" s="604">
        <f t="shared" si="0"/>
        <v>15</v>
      </c>
      <c r="B120" s="605" t="s">
        <v>350</v>
      </c>
      <c r="C120" s="605"/>
      <c r="D120" s="605"/>
      <c r="E120" s="605"/>
      <c r="F120" s="605"/>
      <c r="G120" s="605"/>
      <c r="H120" s="605"/>
      <c r="I120" s="605"/>
      <c r="J120" s="605"/>
      <c r="K120" s="605"/>
      <c r="L120" s="605"/>
      <c r="M120" s="605"/>
      <c r="N120" s="605"/>
      <c r="O120" s="605"/>
      <c r="P120" s="605"/>
      <c r="Q120" s="605"/>
      <c r="R120" s="605"/>
      <c r="S120" s="605"/>
      <c r="T120" s="605"/>
      <c r="U120" s="605"/>
      <c r="V120" s="663">
        <v>0</v>
      </c>
      <c r="W120" s="607"/>
      <c r="X120" s="588"/>
    </row>
    <row r="121" spans="1:24" s="589" customFormat="1" x14ac:dyDescent="0.25">
      <c r="A121" s="604">
        <f t="shared" si="0"/>
        <v>16</v>
      </c>
      <c r="B121" s="605" t="s">
        <v>352</v>
      </c>
      <c r="C121" s="605"/>
      <c r="D121" s="605"/>
      <c r="E121" s="605"/>
      <c r="F121" s="605"/>
      <c r="G121" s="605"/>
      <c r="H121" s="605"/>
      <c r="I121" s="605"/>
      <c r="J121" s="605"/>
      <c r="K121" s="605"/>
      <c r="L121" s="605"/>
      <c r="M121" s="605"/>
      <c r="N121" s="605"/>
      <c r="O121" s="605"/>
      <c r="P121" s="605"/>
      <c r="Q121" s="605"/>
      <c r="R121" s="605"/>
      <c r="S121" s="605"/>
      <c r="T121" s="605"/>
      <c r="U121" s="605"/>
      <c r="V121" s="663">
        <v>0</v>
      </c>
      <c r="W121" s="607"/>
      <c r="X121" s="588"/>
    </row>
    <row r="122" spans="1:24" s="589" customFormat="1" x14ac:dyDescent="0.25">
      <c r="A122" s="604">
        <f t="shared" si="0"/>
        <v>17</v>
      </c>
      <c r="B122" s="605" t="s">
        <v>351</v>
      </c>
      <c r="C122" s="605"/>
      <c r="D122" s="605"/>
      <c r="E122" s="605"/>
      <c r="F122" s="605"/>
      <c r="G122" s="605"/>
      <c r="H122" s="605"/>
      <c r="I122" s="605"/>
      <c r="J122" s="605"/>
      <c r="K122" s="605"/>
      <c r="L122" s="605"/>
      <c r="M122" s="605"/>
      <c r="N122" s="605"/>
      <c r="O122" s="605"/>
      <c r="P122" s="605"/>
      <c r="Q122" s="605"/>
      <c r="R122" s="605"/>
      <c r="S122" s="605"/>
      <c r="T122" s="605"/>
      <c r="U122" s="605"/>
      <c r="V122" s="663">
        <f>-V101-SUM(V103:V121)</f>
        <v>-1190</v>
      </c>
      <c r="W122" s="607"/>
      <c r="X122" s="588"/>
    </row>
    <row r="123" spans="1:24" x14ac:dyDescent="0.25">
      <c r="A123" s="677"/>
      <c r="B123" s="678" t="s">
        <v>37</v>
      </c>
      <c r="C123" s="679"/>
      <c r="D123" s="679"/>
      <c r="E123" s="679"/>
      <c r="F123" s="679"/>
      <c r="G123" s="679"/>
      <c r="H123" s="679"/>
      <c r="I123" s="679"/>
      <c r="J123" s="679"/>
      <c r="K123" s="679"/>
      <c r="L123" s="679"/>
      <c r="M123" s="679"/>
      <c r="N123" s="679"/>
      <c r="O123" s="679"/>
      <c r="P123" s="679"/>
      <c r="Q123" s="679"/>
      <c r="R123" s="679"/>
      <c r="S123" s="679"/>
      <c r="T123" s="681"/>
      <c r="U123" s="681"/>
      <c r="V123" s="686"/>
      <c r="W123" s="683"/>
      <c r="X123" s="572"/>
    </row>
    <row r="124" spans="1:24" s="589" customFormat="1" x14ac:dyDescent="0.25">
      <c r="A124" s="604"/>
      <c r="B124" s="605" t="s">
        <v>173</v>
      </c>
      <c r="C124" s="605"/>
      <c r="D124" s="605"/>
      <c r="E124" s="605"/>
      <c r="F124" s="605"/>
      <c r="G124" s="605"/>
      <c r="H124" s="605"/>
      <c r="I124" s="605"/>
      <c r="J124" s="605"/>
      <c r="K124" s="605"/>
      <c r="L124" s="605"/>
      <c r="M124" s="605"/>
      <c r="N124" s="605"/>
      <c r="O124" s="605"/>
      <c r="P124" s="605"/>
      <c r="Q124" s="605"/>
      <c r="R124" s="605"/>
      <c r="S124" s="605"/>
      <c r="T124" s="662">
        <f>-T189</f>
        <v>0</v>
      </c>
      <c r="U124" s="662"/>
      <c r="V124" s="663"/>
      <c r="W124" s="607"/>
      <c r="X124" s="588"/>
    </row>
    <row r="125" spans="1:24" s="589" customFormat="1" x14ac:dyDescent="0.25">
      <c r="A125" s="604"/>
      <c r="B125" s="605" t="s">
        <v>174</v>
      </c>
      <c r="C125" s="605"/>
      <c r="D125" s="605"/>
      <c r="E125" s="605"/>
      <c r="F125" s="605"/>
      <c r="G125" s="605"/>
      <c r="H125" s="605"/>
      <c r="I125" s="605"/>
      <c r="J125" s="605"/>
      <c r="K125" s="605"/>
      <c r="L125" s="605"/>
      <c r="M125" s="605"/>
      <c r="N125" s="605"/>
      <c r="O125" s="605"/>
      <c r="P125" s="605"/>
      <c r="Q125" s="605"/>
      <c r="R125" s="605"/>
      <c r="S125" s="605"/>
      <c r="T125" s="662">
        <v>0</v>
      </c>
      <c r="U125" s="662"/>
      <c r="V125" s="663"/>
      <c r="W125" s="607"/>
      <c r="X125" s="588"/>
    </row>
    <row r="126" spans="1:24" s="589" customFormat="1" x14ac:dyDescent="0.25">
      <c r="A126" s="604"/>
      <c r="B126" s="605" t="s">
        <v>38</v>
      </c>
      <c r="C126" s="605"/>
      <c r="D126" s="605"/>
      <c r="E126" s="605"/>
      <c r="F126" s="605"/>
      <c r="G126" s="605"/>
      <c r="H126" s="605"/>
      <c r="I126" s="605"/>
      <c r="J126" s="605"/>
      <c r="K126" s="605"/>
      <c r="L126" s="605"/>
      <c r="M126" s="605"/>
      <c r="N126" s="605"/>
      <c r="O126" s="605"/>
      <c r="P126" s="605"/>
      <c r="Q126" s="605"/>
      <c r="R126" s="605"/>
      <c r="S126" s="605"/>
      <c r="T126" s="662">
        <f>-S189</f>
        <v>0</v>
      </c>
      <c r="U126" s="662"/>
      <c r="V126" s="663"/>
      <c r="W126" s="607"/>
      <c r="X126" s="588"/>
    </row>
    <row r="127" spans="1:24" s="589" customFormat="1" x14ac:dyDescent="0.25">
      <c r="A127" s="604"/>
      <c r="B127" s="605" t="s">
        <v>197</v>
      </c>
      <c r="C127" s="605"/>
      <c r="D127" s="605"/>
      <c r="E127" s="605"/>
      <c r="F127" s="605"/>
      <c r="G127" s="605"/>
      <c r="H127" s="605"/>
      <c r="I127" s="605"/>
      <c r="J127" s="605"/>
      <c r="K127" s="605"/>
      <c r="L127" s="605"/>
      <c r="M127" s="605"/>
      <c r="N127" s="605"/>
      <c r="O127" s="605"/>
      <c r="P127" s="605"/>
      <c r="Q127" s="605"/>
      <c r="R127" s="605"/>
      <c r="S127" s="605"/>
      <c r="T127" s="662">
        <v>-6121</v>
      </c>
      <c r="U127" s="662"/>
      <c r="V127" s="663"/>
      <c r="W127" s="607"/>
      <c r="X127" s="588"/>
    </row>
    <row r="128" spans="1:24" s="589" customFormat="1" x14ac:dyDescent="0.25">
      <c r="A128" s="604"/>
      <c r="B128" s="605" t="s">
        <v>195</v>
      </c>
      <c r="C128" s="605"/>
      <c r="D128" s="605"/>
      <c r="E128" s="605"/>
      <c r="F128" s="605"/>
      <c r="G128" s="605"/>
      <c r="H128" s="605"/>
      <c r="I128" s="605"/>
      <c r="J128" s="605"/>
      <c r="K128" s="605"/>
      <c r="L128" s="605"/>
      <c r="M128" s="605"/>
      <c r="N128" s="605"/>
      <c r="O128" s="605"/>
      <c r="P128" s="605"/>
      <c r="Q128" s="605"/>
      <c r="R128" s="605"/>
      <c r="S128" s="605"/>
      <c r="T128" s="662">
        <v>-2602</v>
      </c>
      <c r="U128" s="662"/>
      <c r="V128" s="663"/>
      <c r="W128" s="607"/>
      <c r="X128" s="588"/>
    </row>
    <row r="129" spans="1:24" s="589" customFormat="1" x14ac:dyDescent="0.25">
      <c r="A129" s="604"/>
      <c r="B129" s="605" t="s">
        <v>194</v>
      </c>
      <c r="C129" s="605"/>
      <c r="D129" s="605"/>
      <c r="E129" s="605"/>
      <c r="F129" s="605"/>
      <c r="G129" s="605"/>
      <c r="H129" s="605"/>
      <c r="I129" s="605"/>
      <c r="J129" s="605"/>
      <c r="K129" s="605"/>
      <c r="L129" s="605"/>
      <c r="M129" s="605"/>
      <c r="N129" s="605"/>
      <c r="O129" s="605"/>
      <c r="P129" s="605"/>
      <c r="Q129" s="605"/>
      <c r="R129" s="605"/>
      <c r="S129" s="605"/>
      <c r="T129" s="662">
        <v>-927</v>
      </c>
      <c r="U129" s="662"/>
      <c r="V129" s="663"/>
      <c r="W129" s="607"/>
      <c r="X129" s="588"/>
    </row>
    <row r="130" spans="1:24" s="589" customFormat="1" x14ac:dyDescent="0.25">
      <c r="A130" s="604"/>
      <c r="B130" s="605" t="s">
        <v>222</v>
      </c>
      <c r="C130" s="605"/>
      <c r="D130" s="605"/>
      <c r="E130" s="605"/>
      <c r="F130" s="605"/>
      <c r="G130" s="605"/>
      <c r="H130" s="605"/>
      <c r="I130" s="605"/>
      <c r="J130" s="605"/>
      <c r="K130" s="605"/>
      <c r="L130" s="605"/>
      <c r="M130" s="605"/>
      <c r="N130" s="605"/>
      <c r="O130" s="605"/>
      <c r="P130" s="605"/>
      <c r="Q130" s="605"/>
      <c r="R130" s="605"/>
      <c r="S130" s="605"/>
      <c r="T130" s="662">
        <v>-918</v>
      </c>
      <c r="U130" s="662"/>
      <c r="V130" s="663"/>
      <c r="W130" s="607"/>
      <c r="X130" s="588"/>
    </row>
    <row r="131" spans="1:24" s="589" customFormat="1" x14ac:dyDescent="0.25">
      <c r="A131" s="604"/>
      <c r="B131" s="605" t="s">
        <v>189</v>
      </c>
      <c r="C131" s="605"/>
      <c r="D131" s="605"/>
      <c r="E131" s="605"/>
      <c r="F131" s="605"/>
      <c r="G131" s="605"/>
      <c r="H131" s="605"/>
      <c r="I131" s="605"/>
      <c r="J131" s="605"/>
      <c r="K131" s="605"/>
      <c r="L131" s="605"/>
      <c r="M131" s="605"/>
      <c r="N131" s="605"/>
      <c r="O131" s="605"/>
      <c r="P131" s="605"/>
      <c r="Q131" s="605"/>
      <c r="R131" s="605"/>
      <c r="S131" s="605"/>
      <c r="T131" s="662">
        <v>0</v>
      </c>
      <c r="U131" s="662"/>
      <c r="V131" s="663"/>
      <c r="W131" s="607"/>
      <c r="X131" s="588"/>
    </row>
    <row r="132" spans="1:24" s="589" customFormat="1" x14ac:dyDescent="0.25">
      <c r="A132" s="604"/>
      <c r="B132" s="605" t="s">
        <v>188</v>
      </c>
      <c r="C132" s="605"/>
      <c r="D132" s="605"/>
      <c r="E132" s="605"/>
      <c r="F132" s="605"/>
      <c r="G132" s="605"/>
      <c r="H132" s="605"/>
      <c r="I132" s="605"/>
      <c r="J132" s="605"/>
      <c r="K132" s="605"/>
      <c r="L132" s="605"/>
      <c r="M132" s="605"/>
      <c r="N132" s="605"/>
      <c r="O132" s="605"/>
      <c r="P132" s="605"/>
      <c r="Q132" s="605"/>
      <c r="R132" s="605"/>
      <c r="S132" s="605"/>
      <c r="T132" s="662">
        <v>0</v>
      </c>
      <c r="U132" s="662"/>
      <c r="V132" s="663"/>
      <c r="W132" s="607"/>
      <c r="X132" s="588"/>
    </row>
    <row r="133" spans="1:24" s="589" customFormat="1" x14ac:dyDescent="0.25">
      <c r="A133" s="604"/>
      <c r="B133" s="605" t="s">
        <v>187</v>
      </c>
      <c r="C133" s="605"/>
      <c r="D133" s="605"/>
      <c r="E133" s="605"/>
      <c r="F133" s="605"/>
      <c r="G133" s="605"/>
      <c r="H133" s="605"/>
      <c r="I133" s="605"/>
      <c r="J133" s="605"/>
      <c r="K133" s="605"/>
      <c r="L133" s="605"/>
      <c r="M133" s="605"/>
      <c r="N133" s="605"/>
      <c r="O133" s="605"/>
      <c r="P133" s="605"/>
      <c r="Q133" s="605"/>
      <c r="R133" s="605"/>
      <c r="S133" s="605"/>
      <c r="T133" s="662">
        <v>0</v>
      </c>
      <c r="U133" s="662"/>
      <c r="V133" s="663"/>
      <c r="W133" s="607"/>
      <c r="X133" s="588"/>
    </row>
    <row r="134" spans="1:24" s="589" customFormat="1" x14ac:dyDescent="0.25">
      <c r="A134" s="604"/>
      <c r="B134" s="605" t="s">
        <v>39</v>
      </c>
      <c r="C134" s="605"/>
      <c r="D134" s="605"/>
      <c r="E134" s="605"/>
      <c r="F134" s="605"/>
      <c r="G134" s="605"/>
      <c r="H134" s="605"/>
      <c r="I134" s="605"/>
      <c r="J134" s="605"/>
      <c r="K134" s="605"/>
      <c r="L134" s="605"/>
      <c r="M134" s="605"/>
      <c r="N134" s="605"/>
      <c r="O134" s="605"/>
      <c r="P134" s="605"/>
      <c r="Q134" s="605"/>
      <c r="R134" s="605"/>
      <c r="S134" s="605"/>
      <c r="T134" s="662">
        <f>SUM(T124:T133)</f>
        <v>-10568</v>
      </c>
      <c r="U134" s="662"/>
      <c r="V134" s="662">
        <f>SUM(V102:V132)</f>
        <v>-3711</v>
      </c>
      <c r="W134" s="607"/>
      <c r="X134" s="588"/>
    </row>
    <row r="135" spans="1:24" s="589" customFormat="1" x14ac:dyDescent="0.25">
      <c r="A135" s="604"/>
      <c r="B135" s="605" t="s">
        <v>40</v>
      </c>
      <c r="C135" s="605"/>
      <c r="D135" s="605"/>
      <c r="E135" s="605"/>
      <c r="F135" s="605"/>
      <c r="G135" s="605"/>
      <c r="H135" s="605"/>
      <c r="I135" s="605"/>
      <c r="J135" s="605"/>
      <c r="K135" s="605"/>
      <c r="L135" s="605"/>
      <c r="M135" s="605"/>
      <c r="N135" s="605"/>
      <c r="O135" s="605"/>
      <c r="P135" s="605"/>
      <c r="Q135" s="605"/>
      <c r="R135" s="605"/>
      <c r="S135" s="605"/>
      <c r="T135" s="662">
        <f>T101+T134+T114</f>
        <v>0</v>
      </c>
      <c r="U135" s="662"/>
      <c r="V135" s="662">
        <f>V101+V134</f>
        <v>0</v>
      </c>
      <c r="W135" s="607"/>
      <c r="X135" s="588"/>
    </row>
    <row r="136" spans="1:24" s="589" customFormat="1" x14ac:dyDescent="0.25">
      <c r="A136" s="585"/>
      <c r="B136" s="602"/>
      <c r="C136" s="602"/>
      <c r="D136" s="602"/>
      <c r="E136" s="602"/>
      <c r="F136" s="602"/>
      <c r="G136" s="602"/>
      <c r="H136" s="602"/>
      <c r="I136" s="602"/>
      <c r="J136" s="602"/>
      <c r="K136" s="602"/>
      <c r="L136" s="602"/>
      <c r="M136" s="602"/>
      <c r="N136" s="602"/>
      <c r="O136" s="602"/>
      <c r="P136" s="602"/>
      <c r="Q136" s="602"/>
      <c r="R136" s="602"/>
      <c r="S136" s="602"/>
      <c r="T136" s="673"/>
      <c r="U136" s="673"/>
      <c r="V136" s="673"/>
      <c r="W136" s="602"/>
      <c r="X136" s="588"/>
    </row>
    <row r="137" spans="1:24" s="589" customFormat="1" x14ac:dyDescent="0.25">
      <c r="A137" s="585"/>
      <c r="B137" s="586"/>
      <c r="C137" s="586"/>
      <c r="D137" s="586"/>
      <c r="E137" s="586"/>
      <c r="F137" s="586"/>
      <c r="G137" s="586"/>
      <c r="H137" s="586"/>
      <c r="I137" s="586"/>
      <c r="J137" s="586"/>
      <c r="K137" s="586"/>
      <c r="L137" s="586"/>
      <c r="M137" s="586"/>
      <c r="N137" s="586"/>
      <c r="O137" s="586"/>
      <c r="P137" s="586"/>
      <c r="Q137" s="586"/>
      <c r="R137" s="586"/>
      <c r="S137" s="586"/>
      <c r="T137" s="586"/>
      <c r="U137" s="586"/>
      <c r="V137" s="687"/>
      <c r="W137" s="586"/>
      <c r="X137" s="588"/>
    </row>
    <row r="138" spans="1:24" s="589" customFormat="1" ht="19.5" thickBot="1" x14ac:dyDescent="0.35">
      <c r="A138" s="649"/>
      <c r="B138" s="568" t="str">
        <f>B64</f>
        <v>PM15 INVESTOR REPORT QUARTER ENDING AUGUST 2019</v>
      </c>
      <c r="C138" s="650"/>
      <c r="D138" s="650"/>
      <c r="E138" s="650"/>
      <c r="F138" s="650"/>
      <c r="G138" s="650"/>
      <c r="H138" s="650"/>
      <c r="I138" s="650"/>
      <c r="J138" s="650"/>
      <c r="K138" s="650"/>
      <c r="L138" s="650"/>
      <c r="M138" s="650"/>
      <c r="N138" s="650"/>
      <c r="O138" s="650"/>
      <c r="P138" s="650"/>
      <c r="Q138" s="650"/>
      <c r="R138" s="650"/>
      <c r="S138" s="650"/>
      <c r="T138" s="650"/>
      <c r="U138" s="650"/>
      <c r="V138" s="688"/>
      <c r="W138" s="652"/>
      <c r="X138" s="588"/>
    </row>
    <row r="139" spans="1:24" x14ac:dyDescent="0.25">
      <c r="A139" s="689"/>
      <c r="B139" s="690" t="s">
        <v>41</v>
      </c>
      <c r="C139" s="691"/>
      <c r="D139" s="691"/>
      <c r="E139" s="691"/>
      <c r="F139" s="691"/>
      <c r="G139" s="691"/>
      <c r="H139" s="691"/>
      <c r="I139" s="691"/>
      <c r="J139" s="691"/>
      <c r="K139" s="691"/>
      <c r="L139" s="691"/>
      <c r="M139" s="691"/>
      <c r="N139" s="691"/>
      <c r="O139" s="691"/>
      <c r="P139" s="691"/>
      <c r="Q139" s="691"/>
      <c r="R139" s="691"/>
      <c r="S139" s="691"/>
      <c r="T139" s="691"/>
      <c r="U139" s="691"/>
      <c r="V139" s="692"/>
      <c r="W139" s="691"/>
      <c r="X139" s="572"/>
    </row>
    <row r="140" spans="1:24" x14ac:dyDescent="0.25">
      <c r="A140" s="574"/>
      <c r="B140" s="693"/>
      <c r="C140" s="576"/>
      <c r="D140" s="576"/>
      <c r="E140" s="576"/>
      <c r="F140" s="576"/>
      <c r="G140" s="576"/>
      <c r="H140" s="576"/>
      <c r="I140" s="576"/>
      <c r="J140" s="576"/>
      <c r="K140" s="576"/>
      <c r="L140" s="576"/>
      <c r="M140" s="576"/>
      <c r="N140" s="576"/>
      <c r="O140" s="576"/>
      <c r="P140" s="576"/>
      <c r="Q140" s="576"/>
      <c r="R140" s="576"/>
      <c r="S140" s="576"/>
      <c r="T140" s="576"/>
      <c r="U140" s="576"/>
      <c r="V140" s="656"/>
      <c r="W140" s="576"/>
      <c r="X140" s="572"/>
    </row>
    <row r="141" spans="1:24" x14ac:dyDescent="0.25">
      <c r="A141" s="574"/>
      <c r="B141" s="694" t="s">
        <v>42</v>
      </c>
      <c r="C141" s="576"/>
      <c r="D141" s="576"/>
      <c r="E141" s="576"/>
      <c r="F141" s="576"/>
      <c r="G141" s="576"/>
      <c r="H141" s="576"/>
      <c r="I141" s="576"/>
      <c r="J141" s="576"/>
      <c r="K141" s="576"/>
      <c r="L141" s="576"/>
      <c r="M141" s="576"/>
      <c r="N141" s="576"/>
      <c r="O141" s="576"/>
      <c r="P141" s="576"/>
      <c r="Q141" s="576"/>
      <c r="R141" s="576"/>
      <c r="S141" s="576"/>
      <c r="T141" s="576"/>
      <c r="U141" s="576"/>
      <c r="V141" s="656"/>
      <c r="W141" s="576"/>
      <c r="X141" s="572"/>
    </row>
    <row r="142" spans="1:24" s="589" customFormat="1" x14ac:dyDescent="0.25">
      <c r="A142" s="604"/>
      <c r="B142" s="605" t="s">
        <v>43</v>
      </c>
      <c r="C142" s="605"/>
      <c r="D142" s="605"/>
      <c r="E142" s="605"/>
      <c r="F142" s="605"/>
      <c r="G142" s="605"/>
      <c r="H142" s="605"/>
      <c r="I142" s="605"/>
      <c r="J142" s="605"/>
      <c r="K142" s="605"/>
      <c r="L142" s="605"/>
      <c r="M142" s="605"/>
      <c r="N142" s="605"/>
      <c r="O142" s="605"/>
      <c r="P142" s="605"/>
      <c r="Q142" s="605"/>
      <c r="R142" s="605"/>
      <c r="S142" s="605"/>
      <c r="T142" s="605"/>
      <c r="U142" s="605"/>
      <c r="V142" s="663">
        <f>+V34*0.019</f>
        <v>19021.526999999998</v>
      </c>
      <c r="W142" s="607"/>
      <c r="X142" s="588"/>
    </row>
    <row r="143" spans="1:24" s="589" customFormat="1" x14ac:dyDescent="0.25">
      <c r="A143" s="604"/>
      <c r="B143" s="605" t="s">
        <v>44</v>
      </c>
      <c r="C143" s="605"/>
      <c r="D143" s="605"/>
      <c r="E143" s="605"/>
      <c r="F143" s="605"/>
      <c r="G143" s="605"/>
      <c r="H143" s="605"/>
      <c r="I143" s="605"/>
      <c r="J143" s="605"/>
      <c r="K143" s="605"/>
      <c r="L143" s="605"/>
      <c r="M143" s="605"/>
      <c r="N143" s="605"/>
      <c r="O143" s="605"/>
      <c r="P143" s="605"/>
      <c r="Q143" s="605"/>
      <c r="R143" s="605"/>
      <c r="S143" s="605"/>
      <c r="T143" s="605"/>
      <c r="U143" s="605"/>
      <c r="V143" s="663">
        <v>19022</v>
      </c>
      <c r="W143" s="607"/>
      <c r="X143" s="588"/>
    </row>
    <row r="144" spans="1:24" s="589" customFormat="1" x14ac:dyDescent="0.25">
      <c r="A144" s="604"/>
      <c r="B144" s="605" t="s">
        <v>136</v>
      </c>
      <c r="C144" s="605"/>
      <c r="D144" s="605"/>
      <c r="E144" s="605"/>
      <c r="F144" s="605"/>
      <c r="G144" s="605"/>
      <c r="H144" s="605"/>
      <c r="I144" s="605"/>
      <c r="J144" s="605"/>
      <c r="K144" s="605"/>
      <c r="L144" s="605"/>
      <c r="M144" s="605"/>
      <c r="N144" s="605"/>
      <c r="O144" s="605"/>
      <c r="P144" s="605"/>
      <c r="Q144" s="605"/>
      <c r="R144" s="605"/>
      <c r="S144" s="605"/>
      <c r="T144" s="605"/>
      <c r="U144" s="605"/>
      <c r="V144" s="663"/>
      <c r="W144" s="607"/>
      <c r="X144" s="588"/>
    </row>
    <row r="145" spans="1:25" s="589" customFormat="1" x14ac:dyDescent="0.25">
      <c r="A145" s="604"/>
      <c r="B145" s="605" t="s">
        <v>123</v>
      </c>
      <c r="C145" s="605"/>
      <c r="D145" s="605"/>
      <c r="E145" s="605"/>
      <c r="F145" s="605"/>
      <c r="G145" s="605"/>
      <c r="H145" s="605"/>
      <c r="I145" s="605"/>
      <c r="J145" s="605"/>
      <c r="K145" s="605"/>
      <c r="L145" s="605"/>
      <c r="M145" s="605"/>
      <c r="N145" s="605"/>
      <c r="O145" s="605"/>
      <c r="P145" s="605"/>
      <c r="Q145" s="605"/>
      <c r="R145" s="605"/>
      <c r="S145" s="605"/>
      <c r="T145" s="605"/>
      <c r="U145" s="605"/>
      <c r="V145" s="663">
        <v>0</v>
      </c>
      <c r="W145" s="607"/>
      <c r="X145" s="588"/>
    </row>
    <row r="146" spans="1:25" s="589" customFormat="1" x14ac:dyDescent="0.25">
      <c r="A146" s="604"/>
      <c r="B146" s="605" t="s">
        <v>124</v>
      </c>
      <c r="C146" s="605"/>
      <c r="D146" s="605"/>
      <c r="E146" s="605"/>
      <c r="F146" s="605"/>
      <c r="G146" s="605"/>
      <c r="H146" s="605"/>
      <c r="I146" s="605"/>
      <c r="J146" s="605"/>
      <c r="K146" s="605"/>
      <c r="L146" s="605"/>
      <c r="M146" s="605"/>
      <c r="N146" s="605"/>
      <c r="O146" s="605"/>
      <c r="P146" s="605"/>
      <c r="Q146" s="605"/>
      <c r="R146" s="605"/>
      <c r="S146" s="605"/>
      <c r="T146" s="605"/>
      <c r="U146" s="605"/>
      <c r="V146" s="663">
        <v>0</v>
      </c>
      <c r="W146" s="607"/>
      <c r="X146" s="588"/>
    </row>
    <row r="147" spans="1:25" s="589" customFormat="1" x14ac:dyDescent="0.25">
      <c r="A147" s="604"/>
      <c r="B147" s="605" t="s">
        <v>175</v>
      </c>
      <c r="C147" s="605"/>
      <c r="D147" s="605"/>
      <c r="E147" s="605"/>
      <c r="F147" s="605"/>
      <c r="G147" s="605"/>
      <c r="H147" s="605"/>
      <c r="I147" s="605"/>
      <c r="J147" s="605"/>
      <c r="K147" s="605"/>
      <c r="L147" s="605"/>
      <c r="M147" s="605"/>
      <c r="N147" s="605"/>
      <c r="O147" s="605"/>
      <c r="P147" s="605"/>
      <c r="Q147" s="605"/>
      <c r="R147" s="605"/>
      <c r="S147" s="605"/>
      <c r="T147" s="605"/>
      <c r="U147" s="605"/>
      <c r="V147" s="663">
        <v>0</v>
      </c>
      <c r="W147" s="607"/>
      <c r="X147" s="588"/>
    </row>
    <row r="148" spans="1:25" s="589" customFormat="1" x14ac:dyDescent="0.25">
      <c r="A148" s="604"/>
      <c r="B148" s="605" t="s">
        <v>45</v>
      </c>
      <c r="C148" s="605"/>
      <c r="D148" s="605"/>
      <c r="E148" s="605"/>
      <c r="F148" s="605"/>
      <c r="G148" s="605"/>
      <c r="H148" s="605"/>
      <c r="I148" s="605"/>
      <c r="J148" s="605"/>
      <c r="K148" s="605"/>
      <c r="L148" s="605"/>
      <c r="M148" s="605"/>
      <c r="N148" s="605"/>
      <c r="O148" s="605"/>
      <c r="P148" s="605"/>
      <c r="Q148" s="605"/>
      <c r="R148" s="605"/>
      <c r="S148" s="605"/>
      <c r="T148" s="605"/>
      <c r="U148" s="605"/>
      <c r="V148" s="663">
        <v>0</v>
      </c>
      <c r="W148" s="607"/>
      <c r="X148" s="588"/>
    </row>
    <row r="149" spans="1:25" s="589" customFormat="1" x14ac:dyDescent="0.25">
      <c r="A149" s="604"/>
      <c r="B149" s="605" t="s">
        <v>129</v>
      </c>
      <c r="C149" s="605"/>
      <c r="D149" s="605"/>
      <c r="E149" s="605"/>
      <c r="F149" s="605"/>
      <c r="G149" s="605"/>
      <c r="H149" s="605"/>
      <c r="I149" s="605"/>
      <c r="J149" s="605"/>
      <c r="K149" s="605"/>
      <c r="L149" s="605"/>
      <c r="M149" s="605"/>
      <c r="N149" s="605"/>
      <c r="O149" s="605"/>
      <c r="P149" s="605"/>
      <c r="Q149" s="605"/>
      <c r="R149" s="605"/>
      <c r="S149" s="605"/>
      <c r="T149" s="605"/>
      <c r="U149" s="605"/>
      <c r="V149" s="663">
        <v>0</v>
      </c>
      <c r="W149" s="607"/>
      <c r="X149" s="588"/>
    </row>
    <row r="150" spans="1:25" s="589" customFormat="1" x14ac:dyDescent="0.25">
      <c r="A150" s="604"/>
      <c r="B150" s="605" t="s">
        <v>241</v>
      </c>
      <c r="C150" s="605"/>
      <c r="D150" s="605"/>
      <c r="E150" s="605"/>
      <c r="F150" s="605"/>
      <c r="G150" s="605"/>
      <c r="H150" s="605"/>
      <c r="I150" s="605"/>
      <c r="J150" s="605"/>
      <c r="K150" s="605"/>
      <c r="L150" s="605"/>
      <c r="M150" s="605"/>
      <c r="N150" s="605"/>
      <c r="O150" s="605"/>
      <c r="P150" s="605"/>
      <c r="Q150" s="605"/>
      <c r="R150" s="605"/>
      <c r="S150" s="605"/>
      <c r="T150" s="605"/>
      <c r="U150" s="605"/>
      <c r="V150" s="663">
        <v>0</v>
      </c>
      <c r="W150" s="607"/>
      <c r="X150" s="588"/>
      <c r="Y150" s="685"/>
    </row>
    <row r="151" spans="1:25" s="589" customFormat="1" x14ac:dyDescent="0.25">
      <c r="A151" s="604"/>
      <c r="B151" s="605" t="s">
        <v>46</v>
      </c>
      <c r="C151" s="605"/>
      <c r="D151" s="605"/>
      <c r="E151" s="605"/>
      <c r="F151" s="605"/>
      <c r="G151" s="605"/>
      <c r="H151" s="605"/>
      <c r="I151" s="605"/>
      <c r="J151" s="605"/>
      <c r="K151" s="605"/>
      <c r="L151" s="605"/>
      <c r="M151" s="605"/>
      <c r="N151" s="605"/>
      <c r="O151" s="605"/>
      <c r="P151" s="605"/>
      <c r="Q151" s="605"/>
      <c r="R151" s="605"/>
      <c r="S151" s="605"/>
      <c r="T151" s="605"/>
      <c r="U151" s="605"/>
      <c r="V151" s="663">
        <f>SUM(V143:V150)</f>
        <v>19022</v>
      </c>
      <c r="W151" s="607"/>
      <c r="X151" s="588"/>
    </row>
    <row r="152" spans="1:25" x14ac:dyDescent="0.25">
      <c r="A152" s="677"/>
      <c r="B152" s="679"/>
      <c r="C152" s="679"/>
      <c r="D152" s="679"/>
      <c r="E152" s="679"/>
      <c r="F152" s="679"/>
      <c r="G152" s="679"/>
      <c r="H152" s="679"/>
      <c r="I152" s="679"/>
      <c r="J152" s="679"/>
      <c r="K152" s="679"/>
      <c r="L152" s="679"/>
      <c r="M152" s="679"/>
      <c r="N152" s="679"/>
      <c r="O152" s="679"/>
      <c r="P152" s="679"/>
      <c r="Q152" s="679"/>
      <c r="R152" s="679"/>
      <c r="S152" s="679"/>
      <c r="T152" s="679"/>
      <c r="U152" s="679"/>
      <c r="V152" s="695"/>
      <c r="W152" s="683"/>
      <c r="X152" s="572"/>
    </row>
    <row r="153" spans="1:25" x14ac:dyDescent="0.25">
      <c r="A153" s="677"/>
      <c r="B153" s="678" t="s">
        <v>269</v>
      </c>
      <c r="C153" s="679"/>
      <c r="D153" s="679"/>
      <c r="E153" s="679"/>
      <c r="F153" s="679"/>
      <c r="G153" s="679"/>
      <c r="H153" s="679"/>
      <c r="I153" s="679"/>
      <c r="J153" s="679"/>
      <c r="K153" s="679"/>
      <c r="L153" s="679"/>
      <c r="M153" s="679"/>
      <c r="N153" s="679"/>
      <c r="O153" s="679"/>
      <c r="P153" s="679"/>
      <c r="Q153" s="679"/>
      <c r="R153" s="679"/>
      <c r="S153" s="679"/>
      <c r="T153" s="679"/>
      <c r="U153" s="679"/>
      <c r="V153" s="695"/>
      <c r="W153" s="683"/>
      <c r="X153" s="572"/>
    </row>
    <row r="154" spans="1:25" s="589" customFormat="1" x14ac:dyDescent="0.25">
      <c r="A154" s="604"/>
      <c r="B154" s="605" t="s">
        <v>155</v>
      </c>
      <c r="C154" s="605"/>
      <c r="D154" s="605"/>
      <c r="E154" s="605"/>
      <c r="F154" s="605"/>
      <c r="G154" s="605"/>
      <c r="H154" s="605"/>
      <c r="I154" s="605"/>
      <c r="J154" s="605"/>
      <c r="K154" s="605"/>
      <c r="L154" s="605"/>
      <c r="M154" s="605"/>
      <c r="N154" s="605"/>
      <c r="O154" s="605"/>
      <c r="P154" s="605"/>
      <c r="Q154" s="605"/>
      <c r="R154" s="605"/>
      <c r="S154" s="605"/>
      <c r="T154" s="605"/>
      <c r="U154" s="605"/>
      <c r="V154" s="663">
        <v>0</v>
      </c>
      <c r="W154" s="607"/>
      <c r="X154" s="588"/>
    </row>
    <row r="155" spans="1:25" s="589" customFormat="1" x14ac:dyDescent="0.25">
      <c r="A155" s="604"/>
      <c r="B155" s="605" t="s">
        <v>172</v>
      </c>
      <c r="C155" s="605"/>
      <c r="D155" s="605"/>
      <c r="E155" s="605"/>
      <c r="F155" s="605"/>
      <c r="G155" s="605"/>
      <c r="H155" s="605"/>
      <c r="I155" s="605"/>
      <c r="J155" s="605"/>
      <c r="K155" s="605"/>
      <c r="L155" s="605"/>
      <c r="M155" s="605"/>
      <c r="N155" s="605"/>
      <c r="O155" s="605"/>
      <c r="P155" s="605"/>
      <c r="Q155" s="605"/>
      <c r="R155" s="605"/>
      <c r="S155" s="605"/>
      <c r="T155" s="605"/>
      <c r="U155" s="605"/>
      <c r="V155" s="663">
        <v>0</v>
      </c>
      <c r="W155" s="607"/>
      <c r="X155" s="588"/>
    </row>
    <row r="156" spans="1:25" s="589" customFormat="1" x14ac:dyDescent="0.25">
      <c r="A156" s="604"/>
      <c r="B156" s="605" t="s">
        <v>226</v>
      </c>
      <c r="C156" s="605"/>
      <c r="D156" s="605"/>
      <c r="E156" s="605"/>
      <c r="F156" s="605"/>
      <c r="G156" s="605"/>
      <c r="H156" s="605"/>
      <c r="I156" s="605"/>
      <c r="J156" s="605"/>
      <c r="K156" s="605"/>
      <c r="L156" s="605"/>
      <c r="M156" s="605"/>
      <c r="N156" s="605"/>
      <c r="O156" s="605"/>
      <c r="P156" s="605"/>
      <c r="Q156" s="605"/>
      <c r="R156" s="605"/>
      <c r="S156" s="605"/>
      <c r="T156" s="605"/>
      <c r="U156" s="605"/>
      <c r="V156" s="663">
        <v>0</v>
      </c>
      <c r="W156" s="607"/>
      <c r="X156" s="588"/>
    </row>
    <row r="157" spans="1:25" x14ac:dyDescent="0.25">
      <c r="A157" s="677"/>
      <c r="B157" s="679"/>
      <c r="C157" s="679"/>
      <c r="D157" s="679"/>
      <c r="E157" s="679"/>
      <c r="F157" s="679"/>
      <c r="G157" s="679"/>
      <c r="H157" s="679"/>
      <c r="I157" s="679"/>
      <c r="J157" s="679"/>
      <c r="K157" s="679"/>
      <c r="L157" s="679"/>
      <c r="M157" s="679"/>
      <c r="N157" s="679"/>
      <c r="O157" s="679"/>
      <c r="P157" s="679"/>
      <c r="Q157" s="679"/>
      <c r="R157" s="679"/>
      <c r="S157" s="679"/>
      <c r="T157" s="679"/>
      <c r="U157" s="679"/>
      <c r="V157" s="695"/>
      <c r="W157" s="683"/>
      <c r="X157" s="572"/>
    </row>
    <row r="158" spans="1:25" x14ac:dyDescent="0.25">
      <c r="A158" s="574"/>
      <c r="B158" s="664"/>
      <c r="C158" s="664"/>
      <c r="D158" s="664"/>
      <c r="E158" s="664"/>
      <c r="F158" s="664"/>
      <c r="G158" s="664"/>
      <c r="H158" s="664"/>
      <c r="I158" s="664"/>
      <c r="J158" s="664"/>
      <c r="K158" s="664"/>
      <c r="L158" s="664"/>
      <c r="M158" s="664"/>
      <c r="N158" s="664"/>
      <c r="O158" s="664"/>
      <c r="P158" s="664"/>
      <c r="Q158" s="664"/>
      <c r="R158" s="664"/>
      <c r="S158" s="664"/>
      <c r="T158" s="664"/>
      <c r="U158" s="664"/>
      <c r="V158" s="696"/>
      <c r="W158" s="664"/>
      <c r="X158" s="572"/>
    </row>
    <row r="159" spans="1:25" x14ac:dyDescent="0.25">
      <c r="A159" s="574"/>
      <c r="B159" s="694" t="s">
        <v>24</v>
      </c>
      <c r="C159" s="576"/>
      <c r="D159" s="576"/>
      <c r="E159" s="576"/>
      <c r="F159" s="576"/>
      <c r="G159" s="576"/>
      <c r="H159" s="576"/>
      <c r="I159" s="576"/>
      <c r="J159" s="576"/>
      <c r="K159" s="576"/>
      <c r="L159" s="576"/>
      <c r="M159" s="576"/>
      <c r="N159" s="576"/>
      <c r="O159" s="576"/>
      <c r="P159" s="576"/>
      <c r="Q159" s="576"/>
      <c r="R159" s="576"/>
      <c r="S159" s="576"/>
      <c r="T159" s="576"/>
      <c r="U159" s="576"/>
      <c r="V159" s="656"/>
      <c r="W159" s="576"/>
      <c r="X159" s="572"/>
    </row>
    <row r="160" spans="1:25" s="589" customFormat="1" x14ac:dyDescent="0.25">
      <c r="A160" s="604"/>
      <c r="B160" s="605" t="s">
        <v>47</v>
      </c>
      <c r="C160" s="605"/>
      <c r="D160" s="605"/>
      <c r="E160" s="605"/>
      <c r="F160" s="605"/>
      <c r="G160" s="605"/>
      <c r="H160" s="605"/>
      <c r="I160" s="605"/>
      <c r="J160" s="605"/>
      <c r="K160" s="605"/>
      <c r="L160" s="605"/>
      <c r="M160" s="605"/>
      <c r="N160" s="605"/>
      <c r="O160" s="605"/>
      <c r="P160" s="605"/>
      <c r="Q160" s="605"/>
      <c r="R160" s="605"/>
      <c r="S160" s="605"/>
      <c r="T160" s="605"/>
      <c r="U160" s="605"/>
      <c r="V160" s="697" t="s">
        <v>118</v>
      </c>
      <c r="W160" s="607"/>
      <c r="X160" s="588"/>
    </row>
    <row r="161" spans="1:256" s="589" customFormat="1" x14ac:dyDescent="0.25">
      <c r="A161" s="604"/>
      <c r="B161" s="605" t="s">
        <v>48</v>
      </c>
      <c r="C161" s="605"/>
      <c r="D161" s="605"/>
      <c r="E161" s="605"/>
      <c r="F161" s="605"/>
      <c r="G161" s="605"/>
      <c r="H161" s="605"/>
      <c r="I161" s="605"/>
      <c r="J161" s="605"/>
      <c r="K161" s="605"/>
      <c r="L161" s="605"/>
      <c r="M161" s="605"/>
      <c r="N161" s="605"/>
      <c r="O161" s="605"/>
      <c r="P161" s="605"/>
      <c r="Q161" s="605"/>
      <c r="R161" s="605"/>
      <c r="S161" s="605"/>
      <c r="T161" s="605"/>
      <c r="U161" s="605"/>
      <c r="V161" s="697" t="s">
        <v>118</v>
      </c>
      <c r="W161" s="607"/>
      <c r="X161" s="588"/>
    </row>
    <row r="162" spans="1:256" s="589" customFormat="1" x14ac:dyDescent="0.25">
      <c r="A162" s="604"/>
      <c r="B162" s="605" t="s">
        <v>49</v>
      </c>
      <c r="C162" s="605"/>
      <c r="D162" s="605"/>
      <c r="E162" s="605"/>
      <c r="F162" s="605"/>
      <c r="G162" s="605"/>
      <c r="H162" s="605"/>
      <c r="I162" s="605"/>
      <c r="J162" s="605"/>
      <c r="K162" s="605"/>
      <c r="L162" s="605"/>
      <c r="M162" s="605"/>
      <c r="N162" s="605"/>
      <c r="O162" s="605"/>
      <c r="P162" s="605"/>
      <c r="Q162" s="605"/>
      <c r="R162" s="605"/>
      <c r="S162" s="605"/>
      <c r="T162" s="605"/>
      <c r="U162" s="605"/>
      <c r="V162" s="697" t="s">
        <v>118</v>
      </c>
      <c r="W162" s="607"/>
      <c r="X162" s="588"/>
    </row>
    <row r="163" spans="1:256" s="589" customFormat="1" x14ac:dyDescent="0.25">
      <c r="A163" s="604"/>
      <c r="B163" s="605" t="s">
        <v>50</v>
      </c>
      <c r="C163" s="605"/>
      <c r="D163" s="605"/>
      <c r="E163" s="605"/>
      <c r="F163" s="605"/>
      <c r="G163" s="605"/>
      <c r="H163" s="605"/>
      <c r="I163" s="605"/>
      <c r="J163" s="605"/>
      <c r="K163" s="605"/>
      <c r="L163" s="605"/>
      <c r="M163" s="605"/>
      <c r="N163" s="605"/>
      <c r="O163" s="605"/>
      <c r="P163" s="605"/>
      <c r="Q163" s="605"/>
      <c r="R163" s="605"/>
      <c r="S163" s="605"/>
      <c r="T163" s="605"/>
      <c r="U163" s="605"/>
      <c r="V163" s="697" t="s">
        <v>118</v>
      </c>
      <c r="W163" s="607"/>
      <c r="X163" s="588"/>
    </row>
    <row r="164" spans="1:256" x14ac:dyDescent="0.25">
      <c r="A164" s="574"/>
      <c r="B164" s="664"/>
      <c r="C164" s="664"/>
      <c r="D164" s="664"/>
      <c r="E164" s="664"/>
      <c r="F164" s="664"/>
      <c r="G164" s="664"/>
      <c r="H164" s="664"/>
      <c r="I164" s="664"/>
      <c r="J164" s="664"/>
      <c r="K164" s="664"/>
      <c r="L164" s="664"/>
      <c r="M164" s="664"/>
      <c r="N164" s="664"/>
      <c r="O164" s="664"/>
      <c r="P164" s="664"/>
      <c r="Q164" s="664"/>
      <c r="R164" s="664"/>
      <c r="S164" s="664"/>
      <c r="T164" s="664"/>
      <c r="U164" s="664"/>
      <c r="V164" s="696"/>
      <c r="W164" s="664"/>
      <c r="X164" s="572"/>
    </row>
    <row r="165" spans="1:256" x14ac:dyDescent="0.25">
      <c r="A165" s="574"/>
      <c r="B165" s="694" t="s">
        <v>51</v>
      </c>
      <c r="C165" s="576"/>
      <c r="D165" s="576"/>
      <c r="E165" s="576"/>
      <c r="F165" s="576"/>
      <c r="G165" s="576"/>
      <c r="H165" s="576"/>
      <c r="I165" s="576"/>
      <c r="J165" s="576"/>
      <c r="K165" s="576"/>
      <c r="L165" s="576"/>
      <c r="M165" s="576"/>
      <c r="N165" s="576"/>
      <c r="O165" s="576"/>
      <c r="P165" s="576"/>
      <c r="Q165" s="576"/>
      <c r="R165" s="576"/>
      <c r="S165" s="576"/>
      <c r="T165" s="576"/>
      <c r="U165" s="576"/>
      <c r="V165" s="698"/>
      <c r="W165" s="576"/>
      <c r="X165" s="572"/>
    </row>
    <row r="166" spans="1:256" s="589" customFormat="1" x14ac:dyDescent="0.25">
      <c r="A166" s="604"/>
      <c r="B166" s="605" t="s">
        <v>52</v>
      </c>
      <c r="C166" s="605"/>
      <c r="D166" s="605"/>
      <c r="E166" s="605"/>
      <c r="F166" s="605"/>
      <c r="G166" s="605"/>
      <c r="H166" s="605"/>
      <c r="I166" s="605"/>
      <c r="J166" s="605"/>
      <c r="K166" s="605"/>
      <c r="L166" s="605"/>
      <c r="M166" s="605"/>
      <c r="N166" s="605"/>
      <c r="O166" s="605"/>
      <c r="P166" s="605"/>
      <c r="Q166" s="605"/>
      <c r="R166" s="605"/>
      <c r="S166" s="605"/>
      <c r="T166" s="605"/>
      <c r="U166" s="605"/>
      <c r="V166" s="663">
        <v>0</v>
      </c>
      <c r="W166" s="607"/>
      <c r="X166" s="588"/>
    </row>
    <row r="167" spans="1:256" s="589" customFormat="1" x14ac:dyDescent="0.25">
      <c r="A167" s="604"/>
      <c r="B167" s="605" t="s">
        <v>53</v>
      </c>
      <c r="C167" s="605"/>
      <c r="D167" s="605"/>
      <c r="E167" s="605"/>
      <c r="F167" s="605"/>
      <c r="G167" s="605"/>
      <c r="H167" s="605"/>
      <c r="I167" s="605"/>
      <c r="J167" s="605"/>
      <c r="K167" s="605"/>
      <c r="L167" s="605"/>
      <c r="M167" s="605"/>
      <c r="N167" s="605"/>
      <c r="O167" s="605"/>
      <c r="P167" s="605"/>
      <c r="Q167" s="605"/>
      <c r="R167" s="605"/>
      <c r="S167" s="605"/>
      <c r="T167" s="605"/>
      <c r="U167" s="605"/>
      <c r="V167" s="663">
        <v>63</v>
      </c>
      <c r="W167" s="607"/>
      <c r="X167" s="588"/>
    </row>
    <row r="168" spans="1:256" s="589" customFormat="1" x14ac:dyDescent="0.25">
      <c r="A168" s="604"/>
      <c r="B168" s="605" t="s">
        <v>54</v>
      </c>
      <c r="C168" s="605"/>
      <c r="D168" s="605"/>
      <c r="E168" s="605"/>
      <c r="F168" s="605"/>
      <c r="G168" s="605"/>
      <c r="H168" s="605"/>
      <c r="I168" s="605"/>
      <c r="J168" s="605"/>
      <c r="K168" s="605"/>
      <c r="L168" s="605"/>
      <c r="M168" s="605"/>
      <c r="N168" s="605"/>
      <c r="O168" s="605"/>
      <c r="P168" s="605"/>
      <c r="Q168" s="605"/>
      <c r="R168" s="605"/>
      <c r="S168" s="605"/>
      <c r="T168" s="605"/>
      <c r="U168" s="605"/>
      <c r="V168" s="663">
        <f>V167+V166</f>
        <v>63</v>
      </c>
      <c r="W168" s="607"/>
      <c r="X168" s="588"/>
    </row>
    <row r="169" spans="1:256" s="589" customFormat="1" x14ac:dyDescent="0.25">
      <c r="A169" s="604"/>
      <c r="B169" s="605" t="s">
        <v>303</v>
      </c>
      <c r="C169" s="605"/>
      <c r="D169" s="605"/>
      <c r="E169" s="605"/>
      <c r="F169" s="605"/>
      <c r="G169" s="605"/>
      <c r="H169" s="605"/>
      <c r="I169" s="605"/>
      <c r="J169" s="605"/>
      <c r="K169" s="605"/>
      <c r="L169" s="605"/>
      <c r="M169" s="605"/>
      <c r="N169" s="605"/>
      <c r="O169" s="605"/>
      <c r="P169" s="605"/>
      <c r="Q169" s="605"/>
      <c r="R169" s="605"/>
      <c r="S169" s="605"/>
      <c r="T169" s="605"/>
      <c r="U169" s="605"/>
      <c r="V169" s="663">
        <f>V114</f>
        <v>-63</v>
      </c>
      <c r="W169" s="607"/>
      <c r="X169" s="588"/>
    </row>
    <row r="170" spans="1:256" s="589" customFormat="1" x14ac:dyDescent="0.25">
      <c r="A170" s="604"/>
      <c r="B170" s="605" t="s">
        <v>55</v>
      </c>
      <c r="C170" s="605"/>
      <c r="D170" s="605"/>
      <c r="E170" s="605"/>
      <c r="F170" s="605"/>
      <c r="G170" s="605"/>
      <c r="H170" s="605"/>
      <c r="I170" s="605"/>
      <c r="J170" s="605"/>
      <c r="K170" s="605"/>
      <c r="L170" s="605"/>
      <c r="M170" s="605"/>
      <c r="N170" s="605"/>
      <c r="O170" s="605"/>
      <c r="P170" s="605"/>
      <c r="Q170" s="605"/>
      <c r="R170" s="605"/>
      <c r="S170" s="605"/>
      <c r="T170" s="605"/>
      <c r="U170" s="605"/>
      <c r="V170" s="663">
        <f>V168+V169</f>
        <v>0</v>
      </c>
      <c r="W170" s="607"/>
      <c r="X170" s="588"/>
    </row>
    <row r="171" spans="1:256" s="589" customFormat="1" x14ac:dyDescent="0.25">
      <c r="A171" s="604"/>
      <c r="B171" s="605" t="s">
        <v>274</v>
      </c>
      <c r="C171" s="605"/>
      <c r="D171" s="605"/>
      <c r="E171" s="605"/>
      <c r="F171" s="605"/>
      <c r="G171" s="605"/>
      <c r="H171" s="605"/>
      <c r="I171" s="605"/>
      <c r="J171" s="605"/>
      <c r="K171" s="605"/>
      <c r="L171" s="605"/>
      <c r="M171" s="605"/>
      <c r="N171" s="605"/>
      <c r="O171" s="605"/>
      <c r="P171" s="605"/>
      <c r="Q171" s="605"/>
      <c r="R171" s="605"/>
      <c r="S171" s="605"/>
      <c r="T171" s="605"/>
      <c r="U171" s="605"/>
      <c r="V171" s="663">
        <f>-V100</f>
        <v>254</v>
      </c>
      <c r="W171" s="607"/>
      <c r="X171" s="588"/>
    </row>
    <row r="172" spans="1:256" ht="16.5" thickBot="1" x14ac:dyDescent="0.3">
      <c r="A172" s="574"/>
      <c r="B172" s="664"/>
      <c r="C172" s="664"/>
      <c r="D172" s="664"/>
      <c r="E172" s="664"/>
      <c r="F172" s="664"/>
      <c r="G172" s="664"/>
      <c r="H172" s="664"/>
      <c r="I172" s="664"/>
      <c r="J172" s="664"/>
      <c r="K172" s="664"/>
      <c r="L172" s="664"/>
      <c r="M172" s="664"/>
      <c r="N172" s="664"/>
      <c r="O172" s="664"/>
      <c r="P172" s="664"/>
      <c r="Q172" s="664"/>
      <c r="R172" s="664"/>
      <c r="S172" s="664"/>
      <c r="T172" s="664"/>
      <c r="U172" s="664"/>
      <c r="V172" s="696"/>
      <c r="W172" s="664"/>
      <c r="X172" s="572"/>
    </row>
    <row r="173" spans="1:256" x14ac:dyDescent="0.25">
      <c r="A173" s="569"/>
      <c r="B173" s="571"/>
      <c r="C173" s="571"/>
      <c r="D173" s="571"/>
      <c r="E173" s="571"/>
      <c r="F173" s="571"/>
      <c r="G173" s="571"/>
      <c r="H173" s="571"/>
      <c r="I173" s="571"/>
      <c r="J173" s="571"/>
      <c r="K173" s="571"/>
      <c r="L173" s="571"/>
      <c r="M173" s="571"/>
      <c r="N173" s="571"/>
      <c r="O173" s="571"/>
      <c r="P173" s="571"/>
      <c r="Q173" s="571"/>
      <c r="R173" s="571"/>
      <c r="S173" s="571"/>
      <c r="T173" s="571"/>
      <c r="U173" s="571"/>
      <c r="V173" s="699"/>
      <c r="W173" s="571"/>
      <c r="X173" s="572"/>
    </row>
    <row r="174" spans="1:256" s="701" customFormat="1" x14ac:dyDescent="0.25">
      <c r="A174" s="574"/>
      <c r="B174" s="694" t="s">
        <v>230</v>
      </c>
      <c r="C174" s="664"/>
      <c r="D174" s="664"/>
      <c r="E174" s="664"/>
      <c r="F174" s="664"/>
      <c r="G174" s="664"/>
      <c r="H174" s="664"/>
      <c r="I174" s="664"/>
      <c r="J174" s="664"/>
      <c r="K174" s="664"/>
      <c r="L174" s="664"/>
      <c r="M174" s="664"/>
      <c r="N174" s="664"/>
      <c r="O174" s="664"/>
      <c r="P174" s="664"/>
      <c r="Q174" s="664"/>
      <c r="R174" s="664"/>
      <c r="S174" s="664"/>
      <c r="T174" s="664"/>
      <c r="U174" s="664"/>
      <c r="V174" s="700"/>
      <c r="W174" s="664"/>
      <c r="X174" s="572"/>
      <c r="Y174" s="573"/>
      <c r="Z174" s="573"/>
      <c r="AA174" s="573"/>
      <c r="AB174" s="573"/>
      <c r="AC174" s="573"/>
      <c r="AD174" s="573"/>
      <c r="AE174" s="573"/>
      <c r="AF174" s="573"/>
      <c r="AG174" s="573"/>
      <c r="AH174" s="573"/>
      <c r="AI174" s="573"/>
      <c r="AJ174" s="573"/>
      <c r="AK174" s="573"/>
      <c r="AL174" s="573"/>
      <c r="AM174" s="573"/>
      <c r="AN174" s="573"/>
      <c r="AO174" s="573"/>
      <c r="AP174" s="573"/>
      <c r="AQ174" s="573"/>
      <c r="AR174" s="573"/>
      <c r="AS174" s="573"/>
      <c r="AT174" s="573"/>
      <c r="AU174" s="573"/>
      <c r="AV174" s="573"/>
      <c r="AW174" s="573"/>
      <c r="AX174" s="573"/>
      <c r="AY174" s="573"/>
      <c r="AZ174" s="573"/>
      <c r="BA174" s="573"/>
      <c r="BB174" s="573"/>
      <c r="BC174" s="573"/>
      <c r="BD174" s="573"/>
      <c r="BE174" s="573"/>
      <c r="BF174" s="573"/>
      <c r="BG174" s="573"/>
      <c r="BH174" s="573"/>
      <c r="BI174" s="573"/>
      <c r="BJ174" s="573"/>
      <c r="BK174" s="573"/>
      <c r="BL174" s="573"/>
      <c r="BM174" s="573"/>
      <c r="BN174" s="573"/>
      <c r="BO174" s="573"/>
      <c r="BP174" s="573"/>
      <c r="BQ174" s="573"/>
      <c r="BR174" s="573"/>
      <c r="BS174" s="573"/>
      <c r="BT174" s="573"/>
      <c r="BU174" s="573"/>
      <c r="BV174" s="573"/>
      <c r="BW174" s="573"/>
      <c r="BX174" s="573"/>
      <c r="BY174" s="573"/>
      <c r="BZ174" s="573"/>
      <c r="CA174" s="573"/>
      <c r="CB174" s="573"/>
      <c r="CC174" s="573"/>
      <c r="CD174" s="573"/>
      <c r="CE174" s="573"/>
      <c r="CF174" s="573"/>
      <c r="CG174" s="573"/>
      <c r="CH174" s="573"/>
      <c r="CI174" s="573"/>
      <c r="CJ174" s="573"/>
      <c r="CK174" s="573"/>
      <c r="CL174" s="573"/>
      <c r="CM174" s="573"/>
      <c r="CN174" s="573"/>
      <c r="CO174" s="573"/>
      <c r="CP174" s="573"/>
      <c r="CQ174" s="573"/>
      <c r="CR174" s="573"/>
      <c r="CS174" s="573"/>
      <c r="CT174" s="573"/>
      <c r="CU174" s="573"/>
      <c r="CV174" s="573"/>
      <c r="CW174" s="573"/>
      <c r="CX174" s="573"/>
      <c r="CY174" s="573"/>
      <c r="CZ174" s="573"/>
      <c r="DA174" s="573"/>
      <c r="DB174" s="573"/>
      <c r="DC174" s="573"/>
      <c r="DD174" s="573"/>
      <c r="DE174" s="573"/>
      <c r="DF174" s="573"/>
      <c r="DG174" s="573"/>
      <c r="DH174" s="573"/>
      <c r="DI174" s="573"/>
      <c r="DJ174" s="573"/>
      <c r="DK174" s="573"/>
      <c r="DL174" s="573"/>
      <c r="DM174" s="573"/>
      <c r="DN174" s="573"/>
      <c r="DO174" s="573"/>
      <c r="DP174" s="573"/>
      <c r="DQ174" s="573"/>
      <c r="DR174" s="573"/>
      <c r="DS174" s="573"/>
      <c r="DT174" s="573"/>
      <c r="DU174" s="573"/>
      <c r="DV174" s="573"/>
      <c r="DW174" s="573"/>
      <c r="DX174" s="573"/>
      <c r="DY174" s="573"/>
      <c r="DZ174" s="573"/>
      <c r="EA174" s="573"/>
      <c r="EB174" s="573"/>
      <c r="EC174" s="573"/>
      <c r="ED174" s="573"/>
      <c r="EE174" s="573"/>
      <c r="EF174" s="573"/>
      <c r="EG174" s="573"/>
      <c r="EH174" s="573"/>
      <c r="EI174" s="573"/>
      <c r="EJ174" s="573"/>
      <c r="EK174" s="573"/>
      <c r="EL174" s="573"/>
      <c r="EM174" s="573"/>
      <c r="EN174" s="573"/>
      <c r="EO174" s="573"/>
      <c r="EP174" s="573"/>
      <c r="EQ174" s="573"/>
      <c r="ER174" s="573"/>
      <c r="ES174" s="573"/>
      <c r="ET174" s="573"/>
      <c r="EU174" s="573"/>
      <c r="EV174" s="573"/>
      <c r="EW174" s="573"/>
      <c r="EX174" s="573"/>
      <c r="EY174" s="573"/>
      <c r="EZ174" s="573"/>
      <c r="FA174" s="573"/>
      <c r="FB174" s="573"/>
      <c r="FC174" s="573"/>
      <c r="FD174" s="573"/>
      <c r="FE174" s="573"/>
      <c r="FF174" s="573"/>
      <c r="FG174" s="573"/>
      <c r="FH174" s="573"/>
      <c r="FI174" s="573"/>
      <c r="FJ174" s="573"/>
      <c r="FK174" s="573"/>
      <c r="FL174" s="573"/>
      <c r="FM174" s="573"/>
      <c r="FN174" s="573"/>
      <c r="FO174" s="573"/>
      <c r="FP174" s="573"/>
      <c r="FQ174" s="573"/>
      <c r="FR174" s="573"/>
      <c r="FS174" s="573"/>
      <c r="FT174" s="573"/>
      <c r="FU174" s="573"/>
      <c r="FV174" s="573"/>
      <c r="FW174" s="573"/>
      <c r="FX174" s="573"/>
      <c r="FY174" s="573"/>
      <c r="FZ174" s="573"/>
      <c r="GA174" s="573"/>
      <c r="GB174" s="573"/>
      <c r="GC174" s="573"/>
      <c r="GD174" s="573"/>
      <c r="GE174" s="573"/>
      <c r="GF174" s="573"/>
      <c r="GG174" s="573"/>
      <c r="GH174" s="573"/>
      <c r="GI174" s="573"/>
      <c r="GJ174" s="573"/>
      <c r="GK174" s="573"/>
      <c r="GL174" s="573"/>
      <c r="GM174" s="573"/>
      <c r="GN174" s="573"/>
      <c r="GO174" s="573"/>
      <c r="GP174" s="573"/>
      <c r="GQ174" s="573"/>
      <c r="GR174" s="573"/>
      <c r="GS174" s="573"/>
      <c r="GT174" s="573"/>
      <c r="GU174" s="573"/>
      <c r="GV174" s="573"/>
      <c r="GW174" s="573"/>
      <c r="GX174" s="573"/>
      <c r="GY174" s="573"/>
      <c r="GZ174" s="573"/>
      <c r="HA174" s="573"/>
      <c r="HB174" s="573"/>
      <c r="HC174" s="573"/>
      <c r="HD174" s="573"/>
      <c r="HE174" s="573"/>
      <c r="HF174" s="573"/>
      <c r="HG174" s="573"/>
      <c r="HH174" s="573"/>
      <c r="HI174" s="573"/>
      <c r="HJ174" s="573"/>
      <c r="HK174" s="573"/>
      <c r="HL174" s="573"/>
      <c r="HM174" s="573"/>
      <c r="HN174" s="573"/>
      <c r="HO174" s="573"/>
      <c r="HP174" s="573"/>
      <c r="HQ174" s="573"/>
      <c r="HR174" s="573"/>
      <c r="HS174" s="573"/>
      <c r="HT174" s="573"/>
      <c r="HU174" s="573"/>
      <c r="HV174" s="573"/>
      <c r="HW174" s="573"/>
      <c r="HX174" s="573"/>
      <c r="HY174" s="573"/>
      <c r="HZ174" s="573"/>
      <c r="IA174" s="573"/>
      <c r="IB174" s="573"/>
      <c r="IC174" s="573"/>
      <c r="ID174" s="573"/>
      <c r="IE174" s="573"/>
      <c r="IF174" s="573"/>
      <c r="IG174" s="573"/>
      <c r="IH174" s="573"/>
      <c r="II174" s="573"/>
      <c r="IJ174" s="573"/>
      <c r="IK174" s="573"/>
      <c r="IL174" s="573"/>
      <c r="IM174" s="573"/>
      <c r="IN174" s="573"/>
      <c r="IO174" s="573"/>
      <c r="IP174" s="573"/>
      <c r="IQ174" s="573"/>
      <c r="IR174" s="573"/>
      <c r="IS174" s="573"/>
      <c r="IT174" s="573"/>
      <c r="IU174" s="573"/>
      <c r="IV174" s="573"/>
    </row>
    <row r="175" spans="1:256" s="702" customFormat="1" x14ac:dyDescent="0.25">
      <c r="A175" s="604"/>
      <c r="B175" s="605" t="s">
        <v>231</v>
      </c>
      <c r="C175" s="605"/>
      <c r="D175" s="605"/>
      <c r="E175" s="605"/>
      <c r="F175" s="605"/>
      <c r="G175" s="605"/>
      <c r="H175" s="605"/>
      <c r="I175" s="605"/>
      <c r="J175" s="605"/>
      <c r="K175" s="605"/>
      <c r="L175" s="605"/>
      <c r="M175" s="605"/>
      <c r="N175" s="605"/>
      <c r="O175" s="605"/>
      <c r="P175" s="605"/>
      <c r="Q175" s="605"/>
      <c r="R175" s="605"/>
      <c r="S175" s="605"/>
      <c r="T175" s="605"/>
      <c r="U175" s="605"/>
      <c r="V175" s="663">
        <f>+'Aug 08'!V173</f>
        <v>0</v>
      </c>
      <c r="W175" s="607"/>
      <c r="X175" s="588"/>
      <c r="Y175" s="589"/>
      <c r="Z175" s="589"/>
      <c r="AA175" s="589"/>
      <c r="AB175" s="589"/>
      <c r="AC175" s="589"/>
      <c r="AD175" s="589"/>
      <c r="AE175" s="589"/>
      <c r="AF175" s="589"/>
      <c r="AG175" s="589"/>
      <c r="AH175" s="589"/>
      <c r="AI175" s="589"/>
      <c r="AJ175" s="589"/>
      <c r="AK175" s="589"/>
      <c r="AL175" s="589"/>
      <c r="AM175" s="589"/>
      <c r="AN175" s="589"/>
      <c r="AO175" s="589"/>
      <c r="AP175" s="589"/>
      <c r="AQ175" s="589"/>
      <c r="AR175" s="589"/>
      <c r="AS175" s="589"/>
      <c r="AT175" s="589"/>
      <c r="AU175" s="589"/>
      <c r="AV175" s="589"/>
      <c r="AW175" s="589"/>
      <c r="AX175" s="589"/>
      <c r="AY175" s="589"/>
      <c r="AZ175" s="589"/>
      <c r="BA175" s="589"/>
      <c r="BB175" s="589"/>
      <c r="BC175" s="589"/>
      <c r="BD175" s="589"/>
      <c r="BE175" s="589"/>
      <c r="BF175" s="589"/>
      <c r="BG175" s="589"/>
      <c r="BH175" s="589"/>
      <c r="BI175" s="589"/>
      <c r="BJ175" s="589"/>
      <c r="BK175" s="589"/>
      <c r="BL175" s="589"/>
      <c r="BM175" s="589"/>
      <c r="BN175" s="589"/>
      <c r="BO175" s="589"/>
      <c r="BP175" s="589"/>
      <c r="BQ175" s="589"/>
      <c r="BR175" s="589"/>
      <c r="BS175" s="589"/>
      <c r="BT175" s="589"/>
      <c r="BU175" s="589"/>
      <c r="BV175" s="589"/>
      <c r="BW175" s="589"/>
      <c r="BX175" s="589"/>
      <c r="BY175" s="589"/>
      <c r="BZ175" s="589"/>
      <c r="CA175" s="589"/>
      <c r="CB175" s="589"/>
      <c r="CC175" s="589"/>
      <c r="CD175" s="589"/>
      <c r="CE175" s="589"/>
      <c r="CF175" s="589"/>
      <c r="CG175" s="589"/>
      <c r="CH175" s="589"/>
      <c r="CI175" s="589"/>
      <c r="CJ175" s="589"/>
      <c r="CK175" s="589"/>
      <c r="CL175" s="589"/>
      <c r="CM175" s="589"/>
      <c r="CN175" s="589"/>
      <c r="CO175" s="589"/>
      <c r="CP175" s="589"/>
      <c r="CQ175" s="589"/>
      <c r="CR175" s="589"/>
      <c r="CS175" s="589"/>
      <c r="CT175" s="589"/>
      <c r="CU175" s="589"/>
      <c r="CV175" s="589"/>
      <c r="CW175" s="589"/>
      <c r="CX175" s="589"/>
      <c r="CY175" s="589"/>
      <c r="CZ175" s="589"/>
      <c r="DA175" s="589"/>
      <c r="DB175" s="589"/>
      <c r="DC175" s="589"/>
      <c r="DD175" s="589"/>
      <c r="DE175" s="589"/>
      <c r="DF175" s="589"/>
      <c r="DG175" s="589"/>
      <c r="DH175" s="589"/>
      <c r="DI175" s="589"/>
      <c r="DJ175" s="589"/>
      <c r="DK175" s="589"/>
      <c r="DL175" s="589"/>
      <c r="DM175" s="589"/>
      <c r="DN175" s="589"/>
      <c r="DO175" s="589"/>
      <c r="DP175" s="589"/>
      <c r="DQ175" s="589"/>
      <c r="DR175" s="589"/>
      <c r="DS175" s="589"/>
      <c r="DT175" s="589"/>
      <c r="DU175" s="589"/>
      <c r="DV175" s="589"/>
      <c r="DW175" s="589"/>
      <c r="DX175" s="589"/>
      <c r="DY175" s="589"/>
      <c r="DZ175" s="589"/>
      <c r="EA175" s="589"/>
      <c r="EB175" s="589"/>
      <c r="EC175" s="589"/>
      <c r="ED175" s="589"/>
      <c r="EE175" s="589"/>
      <c r="EF175" s="589"/>
      <c r="EG175" s="589"/>
      <c r="EH175" s="589"/>
      <c r="EI175" s="589"/>
      <c r="EJ175" s="589"/>
      <c r="EK175" s="589"/>
      <c r="EL175" s="589"/>
      <c r="EM175" s="589"/>
      <c r="EN175" s="589"/>
      <c r="EO175" s="589"/>
      <c r="EP175" s="589"/>
      <c r="EQ175" s="589"/>
      <c r="ER175" s="589"/>
      <c r="ES175" s="589"/>
      <c r="ET175" s="589"/>
      <c r="EU175" s="589"/>
      <c r="EV175" s="589"/>
      <c r="EW175" s="589"/>
      <c r="EX175" s="589"/>
      <c r="EY175" s="589"/>
      <c r="EZ175" s="589"/>
      <c r="FA175" s="589"/>
      <c r="FB175" s="589"/>
      <c r="FC175" s="589"/>
      <c r="FD175" s="589"/>
      <c r="FE175" s="589"/>
      <c r="FF175" s="589"/>
      <c r="FG175" s="589"/>
      <c r="FH175" s="589"/>
      <c r="FI175" s="589"/>
      <c r="FJ175" s="589"/>
      <c r="FK175" s="589"/>
      <c r="FL175" s="589"/>
      <c r="FM175" s="589"/>
      <c r="FN175" s="589"/>
      <c r="FO175" s="589"/>
      <c r="FP175" s="589"/>
      <c r="FQ175" s="589"/>
      <c r="FR175" s="589"/>
      <c r="FS175" s="589"/>
      <c r="FT175" s="589"/>
      <c r="FU175" s="589"/>
      <c r="FV175" s="589"/>
      <c r="FW175" s="589"/>
      <c r="FX175" s="589"/>
      <c r="FY175" s="589"/>
      <c r="FZ175" s="589"/>
      <c r="GA175" s="589"/>
      <c r="GB175" s="589"/>
      <c r="GC175" s="589"/>
      <c r="GD175" s="589"/>
      <c r="GE175" s="589"/>
      <c r="GF175" s="589"/>
      <c r="GG175" s="589"/>
      <c r="GH175" s="589"/>
      <c r="GI175" s="589"/>
      <c r="GJ175" s="589"/>
      <c r="GK175" s="589"/>
      <c r="GL175" s="589"/>
      <c r="GM175" s="589"/>
      <c r="GN175" s="589"/>
      <c r="GO175" s="589"/>
      <c r="GP175" s="589"/>
      <c r="GQ175" s="589"/>
      <c r="GR175" s="589"/>
      <c r="GS175" s="589"/>
      <c r="GT175" s="589"/>
      <c r="GU175" s="589"/>
      <c r="GV175" s="589"/>
      <c r="GW175" s="589"/>
      <c r="GX175" s="589"/>
      <c r="GY175" s="589"/>
      <c r="GZ175" s="589"/>
      <c r="HA175" s="589"/>
      <c r="HB175" s="589"/>
      <c r="HC175" s="589"/>
      <c r="HD175" s="589"/>
      <c r="HE175" s="589"/>
      <c r="HF175" s="589"/>
      <c r="HG175" s="589"/>
      <c r="HH175" s="589"/>
      <c r="HI175" s="589"/>
      <c r="HJ175" s="589"/>
      <c r="HK175" s="589"/>
      <c r="HL175" s="589"/>
      <c r="HM175" s="589"/>
      <c r="HN175" s="589"/>
      <c r="HO175" s="589"/>
      <c r="HP175" s="589"/>
      <c r="HQ175" s="589"/>
      <c r="HR175" s="589"/>
      <c r="HS175" s="589"/>
      <c r="HT175" s="589"/>
      <c r="HU175" s="589"/>
      <c r="HV175" s="589"/>
      <c r="HW175" s="589"/>
      <c r="HX175" s="589"/>
      <c r="HY175" s="589"/>
      <c r="HZ175" s="589"/>
      <c r="IA175" s="589"/>
      <c r="IB175" s="589"/>
      <c r="IC175" s="589"/>
      <c r="ID175" s="589"/>
      <c r="IE175" s="589"/>
      <c r="IF175" s="589"/>
      <c r="IG175" s="589"/>
      <c r="IH175" s="589"/>
      <c r="II175" s="589"/>
      <c r="IJ175" s="589"/>
      <c r="IK175" s="589"/>
      <c r="IL175" s="589"/>
      <c r="IM175" s="589"/>
      <c r="IN175" s="589"/>
      <c r="IO175" s="589"/>
      <c r="IP175" s="589"/>
      <c r="IQ175" s="589"/>
      <c r="IR175" s="589"/>
      <c r="IS175" s="589"/>
      <c r="IT175" s="589"/>
      <c r="IU175" s="589"/>
      <c r="IV175" s="589"/>
    </row>
    <row r="176" spans="1:256" s="702" customFormat="1" x14ac:dyDescent="0.25">
      <c r="A176" s="604"/>
      <c r="B176" s="605" t="s">
        <v>234</v>
      </c>
      <c r="C176" s="605"/>
      <c r="D176" s="605"/>
      <c r="E176" s="605"/>
      <c r="F176" s="605"/>
      <c r="G176" s="605"/>
      <c r="H176" s="605"/>
      <c r="I176" s="605"/>
      <c r="J176" s="605"/>
      <c r="K176" s="605"/>
      <c r="L176" s="605"/>
      <c r="M176" s="605"/>
      <c r="N176" s="605"/>
      <c r="O176" s="605"/>
      <c r="P176" s="605"/>
      <c r="Q176" s="605"/>
      <c r="R176" s="605"/>
      <c r="S176" s="605"/>
      <c r="T176" s="605"/>
      <c r="U176" s="605"/>
      <c r="V176" s="663">
        <f>+V94</f>
        <v>0</v>
      </c>
      <c r="W176" s="607"/>
      <c r="X176" s="588"/>
      <c r="Y176" s="589"/>
      <c r="Z176" s="589"/>
      <c r="AA176" s="589"/>
      <c r="AB176" s="589"/>
      <c r="AC176" s="589"/>
      <c r="AD176" s="589"/>
      <c r="AE176" s="589"/>
      <c r="AF176" s="589"/>
      <c r="AG176" s="589"/>
      <c r="AH176" s="589"/>
      <c r="AI176" s="589"/>
      <c r="AJ176" s="589"/>
      <c r="AK176" s="589"/>
      <c r="AL176" s="589"/>
      <c r="AM176" s="589"/>
      <c r="AN176" s="589"/>
      <c r="AO176" s="589"/>
      <c r="AP176" s="589"/>
      <c r="AQ176" s="589"/>
      <c r="AR176" s="589"/>
      <c r="AS176" s="589"/>
      <c r="AT176" s="589"/>
      <c r="AU176" s="589"/>
      <c r="AV176" s="589"/>
      <c r="AW176" s="589"/>
      <c r="AX176" s="589"/>
      <c r="AY176" s="589"/>
      <c r="AZ176" s="589"/>
      <c r="BA176" s="589"/>
      <c r="BB176" s="589"/>
      <c r="BC176" s="589"/>
      <c r="BD176" s="589"/>
      <c r="BE176" s="589"/>
      <c r="BF176" s="589"/>
      <c r="BG176" s="589"/>
      <c r="BH176" s="589"/>
      <c r="BI176" s="589"/>
      <c r="BJ176" s="589"/>
      <c r="BK176" s="589"/>
      <c r="BL176" s="589"/>
      <c r="BM176" s="589"/>
      <c r="BN176" s="589"/>
      <c r="BO176" s="589"/>
      <c r="BP176" s="589"/>
      <c r="BQ176" s="589"/>
      <c r="BR176" s="589"/>
      <c r="BS176" s="589"/>
      <c r="BT176" s="589"/>
      <c r="BU176" s="589"/>
      <c r="BV176" s="589"/>
      <c r="BW176" s="589"/>
      <c r="BX176" s="589"/>
      <c r="BY176" s="589"/>
      <c r="BZ176" s="589"/>
      <c r="CA176" s="589"/>
      <c r="CB176" s="589"/>
      <c r="CC176" s="589"/>
      <c r="CD176" s="589"/>
      <c r="CE176" s="589"/>
      <c r="CF176" s="589"/>
      <c r="CG176" s="589"/>
      <c r="CH176" s="589"/>
      <c r="CI176" s="589"/>
      <c r="CJ176" s="589"/>
      <c r="CK176" s="589"/>
      <c r="CL176" s="589"/>
      <c r="CM176" s="589"/>
      <c r="CN176" s="589"/>
      <c r="CO176" s="589"/>
      <c r="CP176" s="589"/>
      <c r="CQ176" s="589"/>
      <c r="CR176" s="589"/>
      <c r="CS176" s="589"/>
      <c r="CT176" s="589"/>
      <c r="CU176" s="589"/>
      <c r="CV176" s="589"/>
      <c r="CW176" s="589"/>
      <c r="CX176" s="589"/>
      <c r="CY176" s="589"/>
      <c r="CZ176" s="589"/>
      <c r="DA176" s="589"/>
      <c r="DB176" s="589"/>
      <c r="DC176" s="589"/>
      <c r="DD176" s="589"/>
      <c r="DE176" s="589"/>
      <c r="DF176" s="589"/>
      <c r="DG176" s="589"/>
      <c r="DH176" s="589"/>
      <c r="DI176" s="589"/>
      <c r="DJ176" s="589"/>
      <c r="DK176" s="589"/>
      <c r="DL176" s="589"/>
      <c r="DM176" s="589"/>
      <c r="DN176" s="589"/>
      <c r="DO176" s="589"/>
      <c r="DP176" s="589"/>
      <c r="DQ176" s="589"/>
      <c r="DR176" s="589"/>
      <c r="DS176" s="589"/>
      <c r="DT176" s="589"/>
      <c r="DU176" s="589"/>
      <c r="DV176" s="589"/>
      <c r="DW176" s="589"/>
      <c r="DX176" s="589"/>
      <c r="DY176" s="589"/>
      <c r="DZ176" s="589"/>
      <c r="EA176" s="589"/>
      <c r="EB176" s="589"/>
      <c r="EC176" s="589"/>
      <c r="ED176" s="589"/>
      <c r="EE176" s="589"/>
      <c r="EF176" s="589"/>
      <c r="EG176" s="589"/>
      <c r="EH176" s="589"/>
      <c r="EI176" s="589"/>
      <c r="EJ176" s="589"/>
      <c r="EK176" s="589"/>
      <c r="EL176" s="589"/>
      <c r="EM176" s="589"/>
      <c r="EN176" s="589"/>
      <c r="EO176" s="589"/>
      <c r="EP176" s="589"/>
      <c r="EQ176" s="589"/>
      <c r="ER176" s="589"/>
      <c r="ES176" s="589"/>
      <c r="ET176" s="589"/>
      <c r="EU176" s="589"/>
      <c r="EV176" s="589"/>
      <c r="EW176" s="589"/>
      <c r="EX176" s="589"/>
      <c r="EY176" s="589"/>
      <c r="EZ176" s="589"/>
      <c r="FA176" s="589"/>
      <c r="FB176" s="589"/>
      <c r="FC176" s="589"/>
      <c r="FD176" s="589"/>
      <c r="FE176" s="589"/>
      <c r="FF176" s="589"/>
      <c r="FG176" s="589"/>
      <c r="FH176" s="589"/>
      <c r="FI176" s="589"/>
      <c r="FJ176" s="589"/>
      <c r="FK176" s="589"/>
      <c r="FL176" s="589"/>
      <c r="FM176" s="589"/>
      <c r="FN176" s="589"/>
      <c r="FO176" s="589"/>
      <c r="FP176" s="589"/>
      <c r="FQ176" s="589"/>
      <c r="FR176" s="589"/>
      <c r="FS176" s="589"/>
      <c r="FT176" s="589"/>
      <c r="FU176" s="589"/>
      <c r="FV176" s="589"/>
      <c r="FW176" s="589"/>
      <c r="FX176" s="589"/>
      <c r="FY176" s="589"/>
      <c r="FZ176" s="589"/>
      <c r="GA176" s="589"/>
      <c r="GB176" s="589"/>
      <c r="GC176" s="589"/>
      <c r="GD176" s="589"/>
      <c r="GE176" s="589"/>
      <c r="GF176" s="589"/>
      <c r="GG176" s="589"/>
      <c r="GH176" s="589"/>
      <c r="GI176" s="589"/>
      <c r="GJ176" s="589"/>
      <c r="GK176" s="589"/>
      <c r="GL176" s="589"/>
      <c r="GM176" s="589"/>
      <c r="GN176" s="589"/>
      <c r="GO176" s="589"/>
      <c r="GP176" s="589"/>
      <c r="GQ176" s="589"/>
      <c r="GR176" s="589"/>
      <c r="GS176" s="589"/>
      <c r="GT176" s="589"/>
      <c r="GU176" s="589"/>
      <c r="GV176" s="589"/>
      <c r="GW176" s="589"/>
      <c r="GX176" s="589"/>
      <c r="GY176" s="589"/>
      <c r="GZ176" s="589"/>
      <c r="HA176" s="589"/>
      <c r="HB176" s="589"/>
      <c r="HC176" s="589"/>
      <c r="HD176" s="589"/>
      <c r="HE176" s="589"/>
      <c r="HF176" s="589"/>
      <c r="HG176" s="589"/>
      <c r="HH176" s="589"/>
      <c r="HI176" s="589"/>
      <c r="HJ176" s="589"/>
      <c r="HK176" s="589"/>
      <c r="HL176" s="589"/>
      <c r="HM176" s="589"/>
      <c r="HN176" s="589"/>
      <c r="HO176" s="589"/>
      <c r="HP176" s="589"/>
      <c r="HQ176" s="589"/>
      <c r="HR176" s="589"/>
      <c r="HS176" s="589"/>
      <c r="HT176" s="589"/>
      <c r="HU176" s="589"/>
      <c r="HV176" s="589"/>
      <c r="HW176" s="589"/>
      <c r="HX176" s="589"/>
      <c r="HY176" s="589"/>
      <c r="HZ176" s="589"/>
      <c r="IA176" s="589"/>
      <c r="IB176" s="589"/>
      <c r="IC176" s="589"/>
      <c r="ID176" s="589"/>
      <c r="IE176" s="589"/>
      <c r="IF176" s="589"/>
      <c r="IG176" s="589"/>
      <c r="IH176" s="589"/>
      <c r="II176" s="589"/>
      <c r="IJ176" s="589"/>
      <c r="IK176" s="589"/>
      <c r="IL176" s="589"/>
      <c r="IM176" s="589"/>
      <c r="IN176" s="589"/>
      <c r="IO176" s="589"/>
      <c r="IP176" s="589"/>
      <c r="IQ176" s="589"/>
      <c r="IR176" s="589"/>
      <c r="IS176" s="589"/>
      <c r="IT176" s="589"/>
      <c r="IU176" s="589"/>
      <c r="IV176" s="589"/>
    </row>
    <row r="177" spans="1:256" s="702" customFormat="1" x14ac:dyDescent="0.25">
      <c r="A177" s="604"/>
      <c r="B177" s="605" t="s">
        <v>232</v>
      </c>
      <c r="C177" s="605"/>
      <c r="D177" s="605"/>
      <c r="E177" s="605"/>
      <c r="F177" s="605"/>
      <c r="G177" s="605"/>
      <c r="H177" s="605"/>
      <c r="I177" s="605"/>
      <c r="J177" s="605"/>
      <c r="K177" s="605"/>
      <c r="L177" s="605"/>
      <c r="M177" s="605"/>
      <c r="N177" s="605"/>
      <c r="O177" s="605"/>
      <c r="P177" s="605"/>
      <c r="Q177" s="605"/>
      <c r="R177" s="605"/>
      <c r="S177" s="605"/>
      <c r="T177" s="605"/>
      <c r="U177" s="605"/>
      <c r="V177" s="663">
        <f>+V175-V176</f>
        <v>0</v>
      </c>
      <c r="W177" s="607"/>
      <c r="X177" s="588"/>
      <c r="Y177" s="589"/>
      <c r="Z177" s="589"/>
      <c r="AA177" s="589"/>
      <c r="AB177" s="589"/>
      <c r="AC177" s="589"/>
      <c r="AD177" s="589"/>
      <c r="AE177" s="589"/>
      <c r="AF177" s="589"/>
      <c r="AG177" s="589"/>
      <c r="AH177" s="589"/>
      <c r="AI177" s="589"/>
      <c r="AJ177" s="589"/>
      <c r="AK177" s="589"/>
      <c r="AL177" s="589"/>
      <c r="AM177" s="589"/>
      <c r="AN177" s="589"/>
      <c r="AO177" s="589"/>
      <c r="AP177" s="589"/>
      <c r="AQ177" s="589"/>
      <c r="AR177" s="589"/>
      <c r="AS177" s="589"/>
      <c r="AT177" s="589"/>
      <c r="AU177" s="589"/>
      <c r="AV177" s="589"/>
      <c r="AW177" s="589"/>
      <c r="AX177" s="589"/>
      <c r="AY177" s="589"/>
      <c r="AZ177" s="589"/>
      <c r="BA177" s="589"/>
      <c r="BB177" s="589"/>
      <c r="BC177" s="589"/>
      <c r="BD177" s="589"/>
      <c r="BE177" s="589"/>
      <c r="BF177" s="589"/>
      <c r="BG177" s="589"/>
      <c r="BH177" s="589"/>
      <c r="BI177" s="589"/>
      <c r="BJ177" s="589"/>
      <c r="BK177" s="589"/>
      <c r="BL177" s="589"/>
      <c r="BM177" s="589"/>
      <c r="BN177" s="589"/>
      <c r="BO177" s="589"/>
      <c r="BP177" s="589"/>
      <c r="BQ177" s="589"/>
      <c r="BR177" s="589"/>
      <c r="BS177" s="589"/>
      <c r="BT177" s="589"/>
      <c r="BU177" s="589"/>
      <c r="BV177" s="589"/>
      <c r="BW177" s="589"/>
      <c r="BX177" s="589"/>
      <c r="BY177" s="589"/>
      <c r="BZ177" s="589"/>
      <c r="CA177" s="589"/>
      <c r="CB177" s="589"/>
      <c r="CC177" s="589"/>
      <c r="CD177" s="589"/>
      <c r="CE177" s="589"/>
      <c r="CF177" s="589"/>
      <c r="CG177" s="589"/>
      <c r="CH177" s="589"/>
      <c r="CI177" s="589"/>
      <c r="CJ177" s="589"/>
      <c r="CK177" s="589"/>
      <c r="CL177" s="589"/>
      <c r="CM177" s="589"/>
      <c r="CN177" s="589"/>
      <c r="CO177" s="589"/>
      <c r="CP177" s="589"/>
      <c r="CQ177" s="589"/>
      <c r="CR177" s="589"/>
      <c r="CS177" s="589"/>
      <c r="CT177" s="589"/>
      <c r="CU177" s="589"/>
      <c r="CV177" s="589"/>
      <c r="CW177" s="589"/>
      <c r="CX177" s="589"/>
      <c r="CY177" s="589"/>
      <c r="CZ177" s="589"/>
      <c r="DA177" s="589"/>
      <c r="DB177" s="589"/>
      <c r="DC177" s="589"/>
      <c r="DD177" s="589"/>
      <c r="DE177" s="589"/>
      <c r="DF177" s="589"/>
      <c r="DG177" s="589"/>
      <c r="DH177" s="589"/>
      <c r="DI177" s="589"/>
      <c r="DJ177" s="589"/>
      <c r="DK177" s="589"/>
      <c r="DL177" s="589"/>
      <c r="DM177" s="589"/>
      <c r="DN177" s="589"/>
      <c r="DO177" s="589"/>
      <c r="DP177" s="589"/>
      <c r="DQ177" s="589"/>
      <c r="DR177" s="589"/>
      <c r="DS177" s="589"/>
      <c r="DT177" s="589"/>
      <c r="DU177" s="589"/>
      <c r="DV177" s="589"/>
      <c r="DW177" s="589"/>
      <c r="DX177" s="589"/>
      <c r="DY177" s="589"/>
      <c r="DZ177" s="589"/>
      <c r="EA177" s="589"/>
      <c r="EB177" s="589"/>
      <c r="EC177" s="589"/>
      <c r="ED177" s="589"/>
      <c r="EE177" s="589"/>
      <c r="EF177" s="589"/>
      <c r="EG177" s="589"/>
      <c r="EH177" s="589"/>
      <c r="EI177" s="589"/>
      <c r="EJ177" s="589"/>
      <c r="EK177" s="589"/>
      <c r="EL177" s="589"/>
      <c r="EM177" s="589"/>
      <c r="EN177" s="589"/>
      <c r="EO177" s="589"/>
      <c r="EP177" s="589"/>
      <c r="EQ177" s="589"/>
      <c r="ER177" s="589"/>
      <c r="ES177" s="589"/>
      <c r="ET177" s="589"/>
      <c r="EU177" s="589"/>
      <c r="EV177" s="589"/>
      <c r="EW177" s="589"/>
      <c r="EX177" s="589"/>
      <c r="EY177" s="589"/>
      <c r="EZ177" s="589"/>
      <c r="FA177" s="589"/>
      <c r="FB177" s="589"/>
      <c r="FC177" s="589"/>
      <c r="FD177" s="589"/>
      <c r="FE177" s="589"/>
      <c r="FF177" s="589"/>
      <c r="FG177" s="589"/>
      <c r="FH177" s="589"/>
      <c r="FI177" s="589"/>
      <c r="FJ177" s="589"/>
      <c r="FK177" s="589"/>
      <c r="FL177" s="589"/>
      <c r="FM177" s="589"/>
      <c r="FN177" s="589"/>
      <c r="FO177" s="589"/>
      <c r="FP177" s="589"/>
      <c r="FQ177" s="589"/>
      <c r="FR177" s="589"/>
      <c r="FS177" s="589"/>
      <c r="FT177" s="589"/>
      <c r="FU177" s="589"/>
      <c r="FV177" s="589"/>
      <c r="FW177" s="589"/>
      <c r="FX177" s="589"/>
      <c r="FY177" s="589"/>
      <c r="FZ177" s="589"/>
      <c r="GA177" s="589"/>
      <c r="GB177" s="589"/>
      <c r="GC177" s="589"/>
      <c r="GD177" s="589"/>
      <c r="GE177" s="589"/>
      <c r="GF177" s="589"/>
      <c r="GG177" s="589"/>
      <c r="GH177" s="589"/>
      <c r="GI177" s="589"/>
      <c r="GJ177" s="589"/>
      <c r="GK177" s="589"/>
      <c r="GL177" s="589"/>
      <c r="GM177" s="589"/>
      <c r="GN177" s="589"/>
      <c r="GO177" s="589"/>
      <c r="GP177" s="589"/>
      <c r="GQ177" s="589"/>
      <c r="GR177" s="589"/>
      <c r="GS177" s="589"/>
      <c r="GT177" s="589"/>
      <c r="GU177" s="589"/>
      <c r="GV177" s="589"/>
      <c r="GW177" s="589"/>
      <c r="GX177" s="589"/>
      <c r="GY177" s="589"/>
      <c r="GZ177" s="589"/>
      <c r="HA177" s="589"/>
      <c r="HB177" s="589"/>
      <c r="HC177" s="589"/>
      <c r="HD177" s="589"/>
      <c r="HE177" s="589"/>
      <c r="HF177" s="589"/>
      <c r="HG177" s="589"/>
      <c r="HH177" s="589"/>
      <c r="HI177" s="589"/>
      <c r="HJ177" s="589"/>
      <c r="HK177" s="589"/>
      <c r="HL177" s="589"/>
      <c r="HM177" s="589"/>
      <c r="HN177" s="589"/>
      <c r="HO177" s="589"/>
      <c r="HP177" s="589"/>
      <c r="HQ177" s="589"/>
      <c r="HR177" s="589"/>
      <c r="HS177" s="589"/>
      <c r="HT177" s="589"/>
      <c r="HU177" s="589"/>
      <c r="HV177" s="589"/>
      <c r="HW177" s="589"/>
      <c r="HX177" s="589"/>
      <c r="HY177" s="589"/>
      <c r="HZ177" s="589"/>
      <c r="IA177" s="589"/>
      <c r="IB177" s="589"/>
      <c r="IC177" s="589"/>
      <c r="ID177" s="589"/>
      <c r="IE177" s="589"/>
      <c r="IF177" s="589"/>
      <c r="IG177" s="589"/>
      <c r="IH177" s="589"/>
      <c r="II177" s="589"/>
      <c r="IJ177" s="589"/>
      <c r="IK177" s="589"/>
      <c r="IL177" s="589"/>
      <c r="IM177" s="589"/>
      <c r="IN177" s="589"/>
      <c r="IO177" s="589"/>
      <c r="IP177" s="589"/>
      <c r="IQ177" s="589"/>
      <c r="IR177" s="589"/>
      <c r="IS177" s="589"/>
      <c r="IT177" s="589"/>
      <c r="IU177" s="589"/>
      <c r="IV177" s="589"/>
    </row>
    <row r="178" spans="1:256" s="704" customFormat="1" ht="16.5" thickBot="1" x14ac:dyDescent="0.3">
      <c r="A178" s="703"/>
      <c r="B178" s="664"/>
      <c r="C178" s="664"/>
      <c r="D178" s="664"/>
      <c r="E178" s="664"/>
      <c r="F178" s="664"/>
      <c r="G178" s="664"/>
      <c r="H178" s="664"/>
      <c r="I178" s="664"/>
      <c r="J178" s="664"/>
      <c r="K178" s="664"/>
      <c r="L178" s="664"/>
      <c r="M178" s="664"/>
      <c r="N178" s="664"/>
      <c r="O178" s="664"/>
      <c r="P178" s="664"/>
      <c r="Q178" s="664"/>
      <c r="R178" s="664"/>
      <c r="S178" s="664"/>
      <c r="T178" s="664"/>
      <c r="U178" s="664"/>
      <c r="V178" s="696"/>
      <c r="W178" s="664"/>
      <c r="X178" s="572"/>
      <c r="Y178" s="573"/>
      <c r="Z178" s="573"/>
      <c r="AA178" s="573"/>
      <c r="AB178" s="573"/>
      <c r="AC178" s="573"/>
      <c r="AD178" s="573"/>
      <c r="AE178" s="573"/>
      <c r="AF178" s="573"/>
      <c r="AG178" s="573"/>
      <c r="AH178" s="573"/>
      <c r="AI178" s="573"/>
      <c r="AJ178" s="573"/>
      <c r="AK178" s="573"/>
      <c r="AL178" s="573"/>
      <c r="AM178" s="573"/>
      <c r="AN178" s="573"/>
      <c r="AO178" s="573"/>
      <c r="AP178" s="573"/>
      <c r="AQ178" s="573"/>
      <c r="AR178" s="573"/>
      <c r="AS178" s="573"/>
      <c r="AT178" s="573"/>
      <c r="AU178" s="573"/>
      <c r="AV178" s="573"/>
      <c r="AW178" s="573"/>
      <c r="AX178" s="573"/>
      <c r="AY178" s="573"/>
      <c r="AZ178" s="573"/>
      <c r="BA178" s="573"/>
      <c r="BB178" s="573"/>
      <c r="BC178" s="573"/>
      <c r="BD178" s="573"/>
      <c r="BE178" s="573"/>
      <c r="BF178" s="573"/>
      <c r="BG178" s="573"/>
      <c r="BH178" s="573"/>
      <c r="BI178" s="573"/>
      <c r="BJ178" s="573"/>
      <c r="BK178" s="573"/>
      <c r="BL178" s="573"/>
      <c r="BM178" s="573"/>
      <c r="BN178" s="573"/>
      <c r="BO178" s="573"/>
      <c r="BP178" s="573"/>
      <c r="BQ178" s="573"/>
      <c r="BR178" s="573"/>
      <c r="BS178" s="573"/>
      <c r="BT178" s="573"/>
      <c r="BU178" s="573"/>
      <c r="BV178" s="573"/>
      <c r="BW178" s="573"/>
      <c r="BX178" s="573"/>
      <c r="BY178" s="573"/>
      <c r="BZ178" s="573"/>
      <c r="CA178" s="573"/>
      <c r="CB178" s="573"/>
      <c r="CC178" s="573"/>
      <c r="CD178" s="573"/>
      <c r="CE178" s="573"/>
      <c r="CF178" s="573"/>
      <c r="CG178" s="573"/>
      <c r="CH178" s="573"/>
      <c r="CI178" s="573"/>
      <c r="CJ178" s="573"/>
      <c r="CK178" s="573"/>
      <c r="CL178" s="573"/>
      <c r="CM178" s="573"/>
      <c r="CN178" s="573"/>
      <c r="CO178" s="573"/>
      <c r="CP178" s="573"/>
      <c r="CQ178" s="573"/>
      <c r="CR178" s="573"/>
      <c r="CS178" s="573"/>
      <c r="CT178" s="573"/>
      <c r="CU178" s="573"/>
      <c r="CV178" s="573"/>
      <c r="CW178" s="573"/>
      <c r="CX178" s="573"/>
      <c r="CY178" s="573"/>
      <c r="CZ178" s="573"/>
      <c r="DA178" s="573"/>
      <c r="DB178" s="573"/>
      <c r="DC178" s="573"/>
      <c r="DD178" s="573"/>
      <c r="DE178" s="573"/>
      <c r="DF178" s="573"/>
      <c r="DG178" s="573"/>
      <c r="DH178" s="573"/>
      <c r="DI178" s="573"/>
      <c r="DJ178" s="573"/>
      <c r="DK178" s="573"/>
      <c r="DL178" s="573"/>
      <c r="DM178" s="573"/>
      <c r="DN178" s="573"/>
      <c r="DO178" s="573"/>
      <c r="DP178" s="573"/>
      <c r="DQ178" s="573"/>
      <c r="DR178" s="573"/>
      <c r="DS178" s="573"/>
      <c r="DT178" s="573"/>
      <c r="DU178" s="573"/>
      <c r="DV178" s="573"/>
      <c r="DW178" s="573"/>
      <c r="DX178" s="573"/>
      <c r="DY178" s="573"/>
      <c r="DZ178" s="573"/>
      <c r="EA178" s="573"/>
      <c r="EB178" s="573"/>
      <c r="EC178" s="573"/>
      <c r="ED178" s="573"/>
      <c r="EE178" s="573"/>
      <c r="EF178" s="573"/>
      <c r="EG178" s="573"/>
      <c r="EH178" s="573"/>
      <c r="EI178" s="573"/>
      <c r="EJ178" s="573"/>
      <c r="EK178" s="573"/>
      <c r="EL178" s="573"/>
      <c r="EM178" s="573"/>
      <c r="EN178" s="573"/>
      <c r="EO178" s="573"/>
      <c r="EP178" s="573"/>
      <c r="EQ178" s="573"/>
      <c r="ER178" s="573"/>
      <c r="ES178" s="573"/>
      <c r="ET178" s="573"/>
      <c r="EU178" s="573"/>
      <c r="EV178" s="573"/>
      <c r="EW178" s="573"/>
      <c r="EX178" s="573"/>
      <c r="EY178" s="573"/>
      <c r="EZ178" s="573"/>
      <c r="FA178" s="573"/>
      <c r="FB178" s="573"/>
      <c r="FC178" s="573"/>
      <c r="FD178" s="573"/>
      <c r="FE178" s="573"/>
      <c r="FF178" s="573"/>
      <c r="FG178" s="573"/>
      <c r="FH178" s="573"/>
      <c r="FI178" s="573"/>
      <c r="FJ178" s="573"/>
      <c r="FK178" s="573"/>
      <c r="FL178" s="573"/>
      <c r="FM178" s="573"/>
      <c r="FN178" s="573"/>
      <c r="FO178" s="573"/>
      <c r="FP178" s="573"/>
      <c r="FQ178" s="573"/>
      <c r="FR178" s="573"/>
      <c r="FS178" s="573"/>
      <c r="FT178" s="573"/>
      <c r="FU178" s="573"/>
      <c r="FV178" s="573"/>
      <c r="FW178" s="573"/>
      <c r="FX178" s="573"/>
      <c r="FY178" s="573"/>
      <c r="FZ178" s="573"/>
      <c r="GA178" s="573"/>
      <c r="GB178" s="573"/>
      <c r="GC178" s="573"/>
      <c r="GD178" s="573"/>
      <c r="GE178" s="573"/>
      <c r="GF178" s="573"/>
      <c r="GG178" s="573"/>
      <c r="GH178" s="573"/>
      <c r="GI178" s="573"/>
      <c r="GJ178" s="573"/>
      <c r="GK178" s="573"/>
      <c r="GL178" s="573"/>
      <c r="GM178" s="573"/>
      <c r="GN178" s="573"/>
      <c r="GO178" s="573"/>
      <c r="GP178" s="573"/>
      <c r="GQ178" s="573"/>
      <c r="GR178" s="573"/>
      <c r="GS178" s="573"/>
      <c r="GT178" s="573"/>
      <c r="GU178" s="573"/>
      <c r="GV178" s="573"/>
      <c r="GW178" s="573"/>
      <c r="GX178" s="573"/>
      <c r="GY178" s="573"/>
      <c r="GZ178" s="573"/>
      <c r="HA178" s="573"/>
      <c r="HB178" s="573"/>
      <c r="HC178" s="573"/>
      <c r="HD178" s="573"/>
      <c r="HE178" s="573"/>
      <c r="HF178" s="573"/>
      <c r="HG178" s="573"/>
      <c r="HH178" s="573"/>
      <c r="HI178" s="573"/>
      <c r="HJ178" s="573"/>
      <c r="HK178" s="573"/>
      <c r="HL178" s="573"/>
      <c r="HM178" s="573"/>
      <c r="HN178" s="573"/>
      <c r="HO178" s="573"/>
      <c r="HP178" s="573"/>
      <c r="HQ178" s="573"/>
      <c r="HR178" s="573"/>
      <c r="HS178" s="573"/>
      <c r="HT178" s="573"/>
      <c r="HU178" s="573"/>
      <c r="HV178" s="573"/>
      <c r="HW178" s="573"/>
      <c r="HX178" s="573"/>
      <c r="HY178" s="573"/>
      <c r="HZ178" s="573"/>
      <c r="IA178" s="573"/>
      <c r="IB178" s="573"/>
      <c r="IC178" s="573"/>
      <c r="ID178" s="573"/>
      <c r="IE178" s="573"/>
      <c r="IF178" s="573"/>
      <c r="IG178" s="573"/>
      <c r="IH178" s="573"/>
      <c r="II178" s="573"/>
      <c r="IJ178" s="573"/>
      <c r="IK178" s="573"/>
      <c r="IL178" s="573"/>
      <c r="IM178" s="573"/>
      <c r="IN178" s="573"/>
      <c r="IO178" s="573"/>
      <c r="IP178" s="573"/>
      <c r="IQ178" s="573"/>
      <c r="IR178" s="573"/>
      <c r="IS178" s="573"/>
      <c r="IT178" s="573"/>
      <c r="IU178" s="573"/>
      <c r="IV178" s="573"/>
    </row>
    <row r="179" spans="1:256" s="705" customFormat="1" x14ac:dyDescent="0.25">
      <c r="A179" s="569"/>
      <c r="B179" s="571"/>
      <c r="C179" s="571"/>
      <c r="D179" s="571"/>
      <c r="E179" s="571"/>
      <c r="F179" s="571"/>
      <c r="G179" s="571"/>
      <c r="H179" s="571"/>
      <c r="I179" s="571"/>
      <c r="J179" s="571"/>
      <c r="K179" s="571"/>
      <c r="L179" s="571"/>
      <c r="M179" s="571"/>
      <c r="N179" s="571"/>
      <c r="O179" s="571"/>
      <c r="P179" s="571"/>
      <c r="Q179" s="571"/>
      <c r="R179" s="571"/>
      <c r="S179" s="571"/>
      <c r="T179" s="571"/>
      <c r="U179" s="571"/>
      <c r="V179" s="699"/>
      <c r="W179" s="571"/>
      <c r="X179" s="572"/>
      <c r="Y179" s="573"/>
      <c r="Z179" s="573"/>
      <c r="AA179" s="573"/>
      <c r="AB179" s="573"/>
      <c r="AC179" s="573"/>
      <c r="AD179" s="573"/>
      <c r="AE179" s="573"/>
      <c r="AF179" s="573"/>
      <c r="AG179" s="573"/>
      <c r="AH179" s="573"/>
      <c r="AI179" s="573"/>
      <c r="AJ179" s="573"/>
      <c r="AK179" s="573"/>
      <c r="AL179" s="573"/>
      <c r="AM179" s="573"/>
      <c r="AN179" s="573"/>
      <c r="AO179" s="573"/>
      <c r="AP179" s="573"/>
      <c r="AQ179" s="573"/>
      <c r="AR179" s="573"/>
      <c r="AS179" s="573"/>
      <c r="AT179" s="573"/>
      <c r="AU179" s="573"/>
      <c r="AV179" s="573"/>
      <c r="AW179" s="573"/>
      <c r="AX179" s="573"/>
      <c r="AY179" s="573"/>
      <c r="AZ179" s="573"/>
      <c r="BA179" s="573"/>
      <c r="BB179" s="573"/>
      <c r="BC179" s="573"/>
      <c r="BD179" s="573"/>
      <c r="BE179" s="573"/>
      <c r="BF179" s="573"/>
      <c r="BG179" s="573"/>
      <c r="BH179" s="573"/>
      <c r="BI179" s="573"/>
      <c r="BJ179" s="573"/>
      <c r="BK179" s="573"/>
      <c r="BL179" s="573"/>
      <c r="BM179" s="573"/>
      <c r="BN179" s="573"/>
      <c r="BO179" s="573"/>
      <c r="BP179" s="573"/>
      <c r="BQ179" s="573"/>
      <c r="BR179" s="573"/>
      <c r="BS179" s="573"/>
      <c r="BT179" s="573"/>
      <c r="BU179" s="573"/>
      <c r="BV179" s="573"/>
      <c r="BW179" s="573"/>
      <c r="BX179" s="573"/>
      <c r="BY179" s="573"/>
      <c r="BZ179" s="573"/>
      <c r="CA179" s="573"/>
      <c r="CB179" s="573"/>
      <c r="CC179" s="573"/>
      <c r="CD179" s="573"/>
      <c r="CE179" s="573"/>
      <c r="CF179" s="573"/>
      <c r="CG179" s="573"/>
      <c r="CH179" s="573"/>
      <c r="CI179" s="573"/>
      <c r="CJ179" s="573"/>
      <c r="CK179" s="573"/>
      <c r="CL179" s="573"/>
      <c r="CM179" s="573"/>
      <c r="CN179" s="573"/>
      <c r="CO179" s="573"/>
      <c r="CP179" s="573"/>
      <c r="CQ179" s="573"/>
      <c r="CR179" s="573"/>
      <c r="CS179" s="573"/>
      <c r="CT179" s="573"/>
      <c r="CU179" s="573"/>
      <c r="CV179" s="573"/>
      <c r="CW179" s="573"/>
      <c r="CX179" s="573"/>
      <c r="CY179" s="573"/>
      <c r="CZ179" s="573"/>
      <c r="DA179" s="573"/>
      <c r="DB179" s="573"/>
      <c r="DC179" s="573"/>
      <c r="DD179" s="573"/>
      <c r="DE179" s="573"/>
      <c r="DF179" s="573"/>
      <c r="DG179" s="573"/>
      <c r="DH179" s="573"/>
      <c r="DI179" s="573"/>
      <c r="DJ179" s="573"/>
      <c r="DK179" s="573"/>
      <c r="DL179" s="573"/>
      <c r="DM179" s="573"/>
      <c r="DN179" s="573"/>
      <c r="DO179" s="573"/>
      <c r="DP179" s="573"/>
      <c r="DQ179" s="573"/>
      <c r="DR179" s="573"/>
      <c r="DS179" s="573"/>
      <c r="DT179" s="573"/>
      <c r="DU179" s="573"/>
      <c r="DV179" s="573"/>
      <c r="DW179" s="573"/>
      <c r="DX179" s="573"/>
      <c r="DY179" s="573"/>
      <c r="DZ179" s="573"/>
      <c r="EA179" s="573"/>
      <c r="EB179" s="573"/>
      <c r="EC179" s="573"/>
      <c r="ED179" s="573"/>
      <c r="EE179" s="573"/>
      <c r="EF179" s="573"/>
      <c r="EG179" s="573"/>
      <c r="EH179" s="573"/>
      <c r="EI179" s="573"/>
      <c r="EJ179" s="573"/>
      <c r="EK179" s="573"/>
      <c r="EL179" s="573"/>
      <c r="EM179" s="573"/>
      <c r="EN179" s="573"/>
      <c r="EO179" s="573"/>
      <c r="EP179" s="573"/>
      <c r="EQ179" s="573"/>
      <c r="ER179" s="573"/>
      <c r="ES179" s="573"/>
      <c r="ET179" s="573"/>
      <c r="EU179" s="573"/>
      <c r="EV179" s="573"/>
      <c r="EW179" s="573"/>
      <c r="EX179" s="573"/>
      <c r="EY179" s="573"/>
      <c r="EZ179" s="573"/>
      <c r="FA179" s="573"/>
      <c r="FB179" s="573"/>
      <c r="FC179" s="573"/>
      <c r="FD179" s="573"/>
      <c r="FE179" s="573"/>
      <c r="FF179" s="573"/>
      <c r="FG179" s="573"/>
      <c r="FH179" s="573"/>
      <c r="FI179" s="573"/>
      <c r="FJ179" s="573"/>
      <c r="FK179" s="573"/>
      <c r="FL179" s="573"/>
      <c r="FM179" s="573"/>
      <c r="FN179" s="573"/>
      <c r="FO179" s="573"/>
      <c r="FP179" s="573"/>
      <c r="FQ179" s="573"/>
      <c r="FR179" s="573"/>
      <c r="FS179" s="573"/>
      <c r="FT179" s="573"/>
      <c r="FU179" s="573"/>
      <c r="FV179" s="573"/>
      <c r="FW179" s="573"/>
      <c r="FX179" s="573"/>
      <c r="FY179" s="573"/>
      <c r="FZ179" s="573"/>
      <c r="GA179" s="573"/>
      <c r="GB179" s="573"/>
      <c r="GC179" s="573"/>
      <c r="GD179" s="573"/>
      <c r="GE179" s="573"/>
      <c r="GF179" s="573"/>
      <c r="GG179" s="573"/>
      <c r="GH179" s="573"/>
      <c r="GI179" s="573"/>
      <c r="GJ179" s="573"/>
      <c r="GK179" s="573"/>
      <c r="GL179" s="573"/>
      <c r="GM179" s="573"/>
      <c r="GN179" s="573"/>
      <c r="GO179" s="573"/>
      <c r="GP179" s="573"/>
      <c r="GQ179" s="573"/>
      <c r="GR179" s="573"/>
      <c r="GS179" s="573"/>
      <c r="GT179" s="573"/>
      <c r="GU179" s="573"/>
      <c r="GV179" s="573"/>
      <c r="GW179" s="573"/>
      <c r="GX179" s="573"/>
      <c r="GY179" s="573"/>
      <c r="GZ179" s="573"/>
      <c r="HA179" s="573"/>
      <c r="HB179" s="573"/>
      <c r="HC179" s="573"/>
      <c r="HD179" s="573"/>
      <c r="HE179" s="573"/>
      <c r="HF179" s="573"/>
      <c r="HG179" s="573"/>
      <c r="HH179" s="573"/>
      <c r="HI179" s="573"/>
      <c r="HJ179" s="573"/>
      <c r="HK179" s="573"/>
      <c r="HL179" s="573"/>
      <c r="HM179" s="573"/>
      <c r="HN179" s="573"/>
      <c r="HO179" s="573"/>
      <c r="HP179" s="573"/>
      <c r="HQ179" s="573"/>
      <c r="HR179" s="573"/>
      <c r="HS179" s="573"/>
      <c r="HT179" s="573"/>
      <c r="HU179" s="573"/>
      <c r="HV179" s="573"/>
      <c r="HW179" s="573"/>
      <c r="HX179" s="573"/>
      <c r="HY179" s="573"/>
      <c r="HZ179" s="573"/>
      <c r="IA179" s="573"/>
      <c r="IB179" s="573"/>
      <c r="IC179" s="573"/>
      <c r="ID179" s="573"/>
      <c r="IE179" s="573"/>
      <c r="IF179" s="573"/>
      <c r="IG179" s="573"/>
      <c r="IH179" s="573"/>
      <c r="II179" s="573"/>
      <c r="IJ179" s="573"/>
      <c r="IK179" s="573"/>
      <c r="IL179" s="573"/>
      <c r="IM179" s="573"/>
      <c r="IN179" s="573"/>
      <c r="IO179" s="573"/>
      <c r="IP179" s="573"/>
      <c r="IQ179" s="573"/>
      <c r="IR179" s="573"/>
      <c r="IS179" s="573"/>
      <c r="IT179" s="573"/>
      <c r="IU179" s="573"/>
      <c r="IV179" s="573"/>
    </row>
    <row r="180" spans="1:256" x14ac:dyDescent="0.25">
      <c r="A180" s="574"/>
      <c r="B180" s="694" t="s">
        <v>56</v>
      </c>
      <c r="C180" s="576"/>
      <c r="D180" s="576"/>
      <c r="E180" s="576"/>
      <c r="F180" s="576"/>
      <c r="G180" s="576"/>
      <c r="H180" s="576"/>
      <c r="I180" s="576"/>
      <c r="J180" s="576"/>
      <c r="K180" s="576"/>
      <c r="L180" s="576"/>
      <c r="M180" s="576"/>
      <c r="N180" s="576"/>
      <c r="O180" s="576"/>
      <c r="P180" s="576"/>
      <c r="Q180" s="576"/>
      <c r="R180" s="576"/>
      <c r="S180" s="576"/>
      <c r="T180" s="576"/>
      <c r="U180" s="576"/>
      <c r="V180" s="656"/>
      <c r="W180" s="576"/>
      <c r="X180" s="572"/>
    </row>
    <row r="181" spans="1:256" x14ac:dyDescent="0.25">
      <c r="A181" s="574"/>
      <c r="B181" s="693"/>
      <c r="C181" s="576"/>
      <c r="D181" s="576"/>
      <c r="E181" s="576"/>
      <c r="F181" s="576"/>
      <c r="G181" s="576"/>
      <c r="H181" s="576"/>
      <c r="I181" s="576"/>
      <c r="J181" s="576"/>
      <c r="K181" s="576"/>
      <c r="L181" s="576"/>
      <c r="M181" s="576"/>
      <c r="N181" s="576"/>
      <c r="O181" s="576"/>
      <c r="P181" s="576"/>
      <c r="Q181" s="576"/>
      <c r="R181" s="576"/>
      <c r="S181" s="576"/>
      <c r="T181" s="576"/>
      <c r="U181" s="576"/>
      <c r="V181" s="656"/>
      <c r="W181" s="576"/>
      <c r="X181" s="572"/>
    </row>
    <row r="182" spans="1:256" s="589" customFormat="1" x14ac:dyDescent="0.25">
      <c r="A182" s="604"/>
      <c r="B182" s="605" t="s">
        <v>57</v>
      </c>
      <c r="C182" s="605"/>
      <c r="D182" s="605"/>
      <c r="E182" s="605"/>
      <c r="F182" s="605"/>
      <c r="G182" s="605"/>
      <c r="H182" s="605"/>
      <c r="I182" s="605"/>
      <c r="J182" s="605"/>
      <c r="K182" s="605"/>
      <c r="L182" s="605"/>
      <c r="M182" s="605"/>
      <c r="N182" s="605"/>
      <c r="O182" s="605"/>
      <c r="P182" s="605"/>
      <c r="Q182" s="605"/>
      <c r="R182" s="605"/>
      <c r="S182" s="605"/>
      <c r="T182" s="605"/>
      <c r="U182" s="605"/>
      <c r="V182" s="663">
        <f>V71</f>
        <v>559271</v>
      </c>
      <c r="W182" s="607"/>
      <c r="X182" s="588"/>
    </row>
    <row r="183" spans="1:256" s="589" customFormat="1" x14ac:dyDescent="0.25">
      <c r="A183" s="604"/>
      <c r="B183" s="605" t="s">
        <v>58</v>
      </c>
      <c r="C183" s="605"/>
      <c r="D183" s="605"/>
      <c r="E183" s="605"/>
      <c r="F183" s="605"/>
      <c r="G183" s="605"/>
      <c r="H183" s="605"/>
      <c r="I183" s="605"/>
      <c r="J183" s="605"/>
      <c r="K183" s="605"/>
      <c r="L183" s="605"/>
      <c r="M183" s="605"/>
      <c r="N183" s="605"/>
      <c r="O183" s="605"/>
      <c r="P183" s="605"/>
      <c r="Q183" s="605"/>
      <c r="R183" s="605"/>
      <c r="S183" s="605"/>
      <c r="T183" s="605"/>
      <c r="U183" s="605"/>
      <c r="V183" s="663">
        <f>V84</f>
        <v>559271</v>
      </c>
      <c r="W183" s="607"/>
      <c r="X183" s="588"/>
    </row>
    <row r="184" spans="1:256" ht="16.5" thickBot="1" x14ac:dyDescent="0.3">
      <c r="A184" s="574"/>
      <c r="B184" s="664"/>
      <c r="C184" s="664"/>
      <c r="D184" s="664"/>
      <c r="E184" s="664"/>
      <c r="F184" s="664"/>
      <c r="G184" s="664"/>
      <c r="H184" s="664"/>
      <c r="I184" s="664"/>
      <c r="J184" s="664"/>
      <c r="K184" s="664"/>
      <c r="L184" s="664"/>
      <c r="M184" s="664"/>
      <c r="N184" s="664"/>
      <c r="O184" s="664"/>
      <c r="P184" s="664"/>
      <c r="Q184" s="664"/>
      <c r="R184" s="664"/>
      <c r="S184" s="664"/>
      <c r="T184" s="664"/>
      <c r="U184" s="664"/>
      <c r="V184" s="696"/>
      <c r="W184" s="664"/>
      <c r="X184" s="572"/>
    </row>
    <row r="185" spans="1:256" x14ac:dyDescent="0.25">
      <c r="A185" s="569"/>
      <c r="B185" s="571"/>
      <c r="C185" s="571"/>
      <c r="D185" s="571"/>
      <c r="E185" s="571"/>
      <c r="F185" s="571"/>
      <c r="G185" s="571"/>
      <c r="H185" s="571"/>
      <c r="I185" s="571"/>
      <c r="J185" s="571"/>
      <c r="K185" s="571"/>
      <c r="L185" s="571"/>
      <c r="M185" s="571"/>
      <c r="N185" s="571"/>
      <c r="O185" s="571"/>
      <c r="P185" s="571"/>
      <c r="Q185" s="571"/>
      <c r="R185" s="571"/>
      <c r="S185" s="571"/>
      <c r="T185" s="571"/>
      <c r="U185" s="571"/>
      <c r="V185" s="699"/>
      <c r="W185" s="571"/>
      <c r="X185" s="572"/>
    </row>
    <row r="186" spans="1:256" s="629" customFormat="1" x14ac:dyDescent="0.25">
      <c r="A186" s="657"/>
      <c r="B186" s="694" t="s">
        <v>59</v>
      </c>
      <c r="C186" s="661"/>
      <c r="D186" s="661"/>
      <c r="E186" s="661"/>
      <c r="F186" s="661"/>
      <c r="G186" s="661"/>
      <c r="H186" s="706"/>
      <c r="I186" s="706"/>
      <c r="J186" s="706"/>
      <c r="K186" s="706"/>
      <c r="L186" s="706"/>
      <c r="M186" s="706"/>
      <c r="N186" s="706"/>
      <c r="O186" s="706"/>
      <c r="P186" s="706"/>
      <c r="Q186" s="706"/>
      <c r="R186" s="706"/>
      <c r="S186" s="706" t="s">
        <v>101</v>
      </c>
      <c r="T186" s="706" t="s">
        <v>176</v>
      </c>
      <c r="U186" s="578"/>
      <c r="V186" s="707" t="s">
        <v>114</v>
      </c>
      <c r="W186" s="578"/>
      <c r="X186" s="628"/>
    </row>
    <row r="187" spans="1:256" s="589" customFormat="1" x14ac:dyDescent="0.25">
      <c r="A187" s="604"/>
      <c r="B187" s="605" t="s">
        <v>60</v>
      </c>
      <c r="C187" s="605"/>
      <c r="D187" s="605"/>
      <c r="E187" s="605"/>
      <c r="F187" s="605"/>
      <c r="G187" s="605"/>
      <c r="H187" s="605"/>
      <c r="I187" s="605"/>
      <c r="J187" s="605"/>
      <c r="K187" s="605"/>
      <c r="L187" s="605"/>
      <c r="M187" s="605"/>
      <c r="N187" s="605"/>
      <c r="O187" s="605"/>
      <c r="P187" s="605"/>
      <c r="Q187" s="605"/>
      <c r="R187" s="605"/>
      <c r="S187" s="663">
        <f>+V34*0.16</f>
        <v>160181.28</v>
      </c>
      <c r="T187" s="635"/>
      <c r="U187" s="605"/>
      <c r="V187" s="663"/>
      <c r="W187" s="607"/>
      <c r="X187" s="588"/>
    </row>
    <row r="188" spans="1:256" s="589" customFormat="1" x14ac:dyDescent="0.25">
      <c r="A188" s="604"/>
      <c r="B188" s="605" t="s">
        <v>61</v>
      </c>
      <c r="C188" s="605"/>
      <c r="D188" s="605"/>
      <c r="E188" s="605"/>
      <c r="F188" s="605"/>
      <c r="G188" s="605"/>
      <c r="H188" s="605"/>
      <c r="I188" s="605"/>
      <c r="J188" s="605"/>
      <c r="K188" s="605"/>
      <c r="L188" s="605"/>
      <c r="M188" s="605"/>
      <c r="N188" s="605"/>
      <c r="O188" s="605"/>
      <c r="P188" s="605"/>
      <c r="Q188" s="605"/>
      <c r="R188" s="605"/>
      <c r="S188" s="663">
        <f>+'May 19'!S187</f>
        <v>14163</v>
      </c>
      <c r="T188" s="663">
        <f>+'May 19'!T187</f>
        <v>6098</v>
      </c>
      <c r="U188" s="605"/>
      <c r="V188" s="663">
        <f>S188+T188</f>
        <v>20261</v>
      </c>
      <c r="W188" s="607"/>
      <c r="X188" s="588"/>
    </row>
    <row r="189" spans="1:256" s="589" customFormat="1" x14ac:dyDescent="0.25">
      <c r="A189" s="604"/>
      <c r="B189" s="605" t="s">
        <v>62</v>
      </c>
      <c r="C189" s="605"/>
      <c r="D189" s="605"/>
      <c r="E189" s="605"/>
      <c r="F189" s="605"/>
      <c r="G189" s="605"/>
      <c r="H189" s="605"/>
      <c r="I189" s="605"/>
      <c r="J189" s="605"/>
      <c r="K189" s="605"/>
      <c r="L189" s="605"/>
      <c r="M189" s="605"/>
      <c r="N189" s="605"/>
      <c r="O189" s="605"/>
      <c r="P189" s="605"/>
      <c r="Q189" s="605"/>
      <c r="R189" s="605"/>
      <c r="S189" s="662">
        <v>0</v>
      </c>
      <c r="T189" s="662">
        <v>0</v>
      </c>
      <c r="U189" s="605"/>
      <c r="V189" s="663">
        <f>S189+T189</f>
        <v>0</v>
      </c>
      <c r="W189" s="607"/>
      <c r="X189" s="588"/>
    </row>
    <row r="190" spans="1:256" s="589" customFormat="1" x14ac:dyDescent="0.25">
      <c r="A190" s="604"/>
      <c r="B190" s="605" t="s">
        <v>63</v>
      </c>
      <c r="C190" s="605"/>
      <c r="D190" s="605"/>
      <c r="E190" s="605"/>
      <c r="F190" s="605"/>
      <c r="G190" s="605"/>
      <c r="H190" s="605"/>
      <c r="I190" s="605"/>
      <c r="J190" s="605"/>
      <c r="K190" s="605"/>
      <c r="L190" s="605"/>
      <c r="M190" s="605"/>
      <c r="N190" s="605"/>
      <c r="O190" s="605"/>
      <c r="P190" s="605"/>
      <c r="Q190" s="605"/>
      <c r="R190" s="605"/>
      <c r="S190" s="663">
        <f>S188+S189</f>
        <v>14163</v>
      </c>
      <c r="T190" s="663">
        <f>T189+T188</f>
        <v>6098</v>
      </c>
      <c r="U190" s="605"/>
      <c r="V190" s="663">
        <f>S190+T190</f>
        <v>20261</v>
      </c>
      <c r="W190" s="607"/>
      <c r="X190" s="588"/>
    </row>
    <row r="191" spans="1:256" s="589" customFormat="1" x14ac:dyDescent="0.25">
      <c r="A191" s="604"/>
      <c r="B191" s="605" t="s">
        <v>64</v>
      </c>
      <c r="C191" s="605"/>
      <c r="D191" s="605"/>
      <c r="E191" s="605"/>
      <c r="F191" s="605"/>
      <c r="G191" s="605"/>
      <c r="H191" s="605"/>
      <c r="I191" s="605"/>
      <c r="J191" s="605"/>
      <c r="K191" s="605"/>
      <c r="L191" s="605"/>
      <c r="M191" s="605"/>
      <c r="N191" s="605"/>
      <c r="O191" s="605"/>
      <c r="P191" s="605"/>
      <c r="Q191" s="605"/>
      <c r="R191" s="605"/>
      <c r="S191" s="663">
        <f>S187-S190-T190</f>
        <v>139920.28</v>
      </c>
      <c r="T191" s="635"/>
      <c r="U191" s="605"/>
      <c r="V191" s="663"/>
      <c r="W191" s="607"/>
      <c r="X191" s="588"/>
    </row>
    <row r="192" spans="1:256" ht="16.5" thickBot="1" x14ac:dyDescent="0.3">
      <c r="A192" s="574"/>
      <c r="B192" s="664"/>
      <c r="C192" s="664"/>
      <c r="D192" s="664"/>
      <c r="E192" s="664"/>
      <c r="F192" s="664"/>
      <c r="G192" s="664"/>
      <c r="H192" s="664"/>
      <c r="I192" s="664"/>
      <c r="J192" s="664"/>
      <c r="K192" s="664"/>
      <c r="L192" s="664"/>
      <c r="M192" s="664"/>
      <c r="N192" s="664"/>
      <c r="O192" s="664"/>
      <c r="P192" s="664"/>
      <c r="Q192" s="664"/>
      <c r="R192" s="664"/>
      <c r="S192" s="664"/>
      <c r="T192" s="664"/>
      <c r="U192" s="664"/>
      <c r="V192" s="696"/>
      <c r="W192" s="664"/>
      <c r="X192" s="572"/>
    </row>
    <row r="193" spans="1:24" x14ac:dyDescent="0.25">
      <c r="A193" s="569"/>
      <c r="B193" s="571"/>
      <c r="C193" s="571"/>
      <c r="D193" s="571"/>
      <c r="E193" s="571"/>
      <c r="F193" s="571"/>
      <c r="G193" s="571"/>
      <c r="H193" s="571"/>
      <c r="I193" s="571"/>
      <c r="J193" s="571"/>
      <c r="K193" s="571"/>
      <c r="L193" s="571"/>
      <c r="M193" s="571"/>
      <c r="N193" s="571"/>
      <c r="O193" s="571"/>
      <c r="P193" s="571"/>
      <c r="Q193" s="571"/>
      <c r="R193" s="571"/>
      <c r="S193" s="571"/>
      <c r="T193" s="571"/>
      <c r="U193" s="571"/>
      <c r="V193" s="699"/>
      <c r="W193" s="571"/>
      <c r="X193" s="572"/>
    </row>
    <row r="194" spans="1:24" x14ac:dyDescent="0.25">
      <c r="A194" s="574"/>
      <c r="B194" s="694" t="s">
        <v>65</v>
      </c>
      <c r="C194" s="576"/>
      <c r="D194" s="576"/>
      <c r="E194" s="576"/>
      <c r="F194" s="576"/>
      <c r="G194" s="576"/>
      <c r="H194" s="576"/>
      <c r="I194" s="576"/>
      <c r="J194" s="576"/>
      <c r="K194" s="576"/>
      <c r="L194" s="576"/>
      <c r="M194" s="576"/>
      <c r="N194" s="576"/>
      <c r="O194" s="576"/>
      <c r="P194" s="576"/>
      <c r="Q194" s="576"/>
      <c r="R194" s="576"/>
      <c r="S194" s="576"/>
      <c r="T194" s="576"/>
      <c r="U194" s="576"/>
      <c r="V194" s="708"/>
      <c r="W194" s="576"/>
      <c r="X194" s="572"/>
    </row>
    <row r="195" spans="1:24" s="589" customFormat="1" x14ac:dyDescent="0.25">
      <c r="A195" s="604"/>
      <c r="B195" s="605" t="s">
        <v>66</v>
      </c>
      <c r="C195" s="605"/>
      <c r="D195" s="605"/>
      <c r="E195" s="605"/>
      <c r="F195" s="605"/>
      <c r="G195" s="605"/>
      <c r="H195" s="605"/>
      <c r="I195" s="605"/>
      <c r="J195" s="605"/>
      <c r="K195" s="605"/>
      <c r="L195" s="605"/>
      <c r="M195" s="605"/>
      <c r="N195" s="605"/>
      <c r="O195" s="605"/>
      <c r="P195" s="605"/>
      <c r="Q195" s="605"/>
      <c r="R195" s="605"/>
      <c r="S195" s="605"/>
      <c r="T195" s="605"/>
      <c r="U195" s="605"/>
      <c r="V195" s="697">
        <f>(V101+V103+V104+V105+V106)/-(V107+V108)</f>
        <v>3.207156308851224</v>
      </c>
      <c r="W195" s="607" t="s">
        <v>115</v>
      </c>
      <c r="X195" s="588"/>
    </row>
    <row r="196" spans="1:24" s="589" customFormat="1" x14ac:dyDescent="0.25">
      <c r="A196" s="604"/>
      <c r="B196" s="605" t="s">
        <v>67</v>
      </c>
      <c r="C196" s="605"/>
      <c r="D196" s="605"/>
      <c r="E196" s="605"/>
      <c r="F196" s="605"/>
      <c r="G196" s="605"/>
      <c r="H196" s="605"/>
      <c r="I196" s="605"/>
      <c r="J196" s="605"/>
      <c r="K196" s="605"/>
      <c r="L196" s="605"/>
      <c r="M196" s="605"/>
      <c r="N196" s="605"/>
      <c r="O196" s="605"/>
      <c r="P196" s="605"/>
      <c r="Q196" s="605"/>
      <c r="R196" s="605"/>
      <c r="S196" s="605"/>
      <c r="T196" s="605"/>
      <c r="U196" s="605"/>
      <c r="V196" s="709">
        <v>2.25</v>
      </c>
      <c r="W196" s="607" t="s">
        <v>115</v>
      </c>
      <c r="X196" s="588"/>
    </row>
    <row r="197" spans="1:24" s="589" customFormat="1" x14ac:dyDescent="0.25">
      <c r="A197" s="604"/>
      <c r="B197" s="605" t="s">
        <v>68</v>
      </c>
      <c r="C197" s="605"/>
      <c r="D197" s="605"/>
      <c r="E197" s="605"/>
      <c r="F197" s="605"/>
      <c r="G197" s="605"/>
      <c r="H197" s="605"/>
      <c r="I197" s="605"/>
      <c r="J197" s="605"/>
      <c r="K197" s="605"/>
      <c r="L197" s="605"/>
      <c r="M197" s="605"/>
      <c r="N197" s="605"/>
      <c r="O197" s="605"/>
      <c r="P197" s="605"/>
      <c r="Q197" s="605"/>
      <c r="R197" s="605"/>
      <c r="S197" s="605"/>
      <c r="T197" s="605"/>
      <c r="U197" s="605"/>
      <c r="V197" s="697">
        <f>(V101+V103+V104+V105+V106+V107+V108)/-(V109+V110)</f>
        <v>9.0501930501930499</v>
      </c>
      <c r="W197" s="607" t="s">
        <v>115</v>
      </c>
      <c r="X197" s="588"/>
    </row>
    <row r="198" spans="1:24" s="589" customFormat="1" x14ac:dyDescent="0.25">
      <c r="A198" s="604"/>
      <c r="B198" s="605" t="s">
        <v>69</v>
      </c>
      <c r="C198" s="605"/>
      <c r="D198" s="605"/>
      <c r="E198" s="605"/>
      <c r="F198" s="605"/>
      <c r="G198" s="605"/>
      <c r="H198" s="605"/>
      <c r="I198" s="605"/>
      <c r="J198" s="605"/>
      <c r="K198" s="605"/>
      <c r="L198" s="605"/>
      <c r="M198" s="605"/>
      <c r="N198" s="605"/>
      <c r="O198" s="605"/>
      <c r="P198" s="605"/>
      <c r="Q198" s="605"/>
      <c r="R198" s="605"/>
      <c r="S198" s="605"/>
      <c r="T198" s="605"/>
      <c r="U198" s="605"/>
      <c r="V198" s="709">
        <v>10.029999999999999</v>
      </c>
      <c r="W198" s="607" t="s">
        <v>115</v>
      </c>
      <c r="X198" s="588"/>
    </row>
    <row r="199" spans="1:24" s="589" customFormat="1" x14ac:dyDescent="0.25">
      <c r="A199" s="604"/>
      <c r="B199" s="605" t="s">
        <v>198</v>
      </c>
      <c r="C199" s="605"/>
      <c r="D199" s="605"/>
      <c r="E199" s="605"/>
      <c r="F199" s="605"/>
      <c r="G199" s="605"/>
      <c r="H199" s="605"/>
      <c r="I199" s="605"/>
      <c r="J199" s="605"/>
      <c r="K199" s="605"/>
      <c r="L199" s="605"/>
      <c r="M199" s="605"/>
      <c r="N199" s="605"/>
      <c r="O199" s="605"/>
      <c r="P199" s="605"/>
      <c r="Q199" s="605"/>
      <c r="R199" s="605"/>
      <c r="S199" s="605"/>
      <c r="T199" s="605"/>
      <c r="U199" s="605"/>
      <c r="V199" s="697">
        <f>(V101+V103+V104+V105+V106+V107+V108+V109+V110)/-(V111)</f>
        <v>5.5305039787798407</v>
      </c>
      <c r="W199" s="607" t="s">
        <v>115</v>
      </c>
      <c r="X199" s="588"/>
    </row>
    <row r="200" spans="1:24" s="589" customFormat="1" x14ac:dyDescent="0.25">
      <c r="A200" s="604"/>
      <c r="B200" s="605" t="s">
        <v>199</v>
      </c>
      <c r="C200" s="605"/>
      <c r="D200" s="605"/>
      <c r="E200" s="605"/>
      <c r="F200" s="605"/>
      <c r="G200" s="605"/>
      <c r="H200" s="605"/>
      <c r="I200" s="605"/>
      <c r="J200" s="605"/>
      <c r="K200" s="605"/>
      <c r="L200" s="605"/>
      <c r="M200" s="605"/>
      <c r="N200" s="605"/>
      <c r="O200" s="605"/>
      <c r="P200" s="605"/>
      <c r="Q200" s="605"/>
      <c r="R200" s="605"/>
      <c r="S200" s="605"/>
      <c r="T200" s="605"/>
      <c r="U200" s="605"/>
      <c r="V200" s="709">
        <v>7.08</v>
      </c>
      <c r="W200" s="607" t="s">
        <v>115</v>
      </c>
      <c r="X200" s="588"/>
    </row>
    <row r="201" spans="1:24" s="589" customFormat="1" x14ac:dyDescent="0.25">
      <c r="A201" s="604"/>
      <c r="B201" s="605"/>
      <c r="C201" s="605"/>
      <c r="D201" s="605"/>
      <c r="E201" s="605"/>
      <c r="F201" s="605"/>
      <c r="G201" s="605"/>
      <c r="H201" s="605"/>
      <c r="I201" s="605"/>
      <c r="J201" s="605"/>
      <c r="K201" s="605"/>
      <c r="L201" s="605"/>
      <c r="M201" s="605"/>
      <c r="N201" s="605"/>
      <c r="O201" s="605"/>
      <c r="P201" s="605"/>
      <c r="Q201" s="605"/>
      <c r="R201" s="605"/>
      <c r="S201" s="605"/>
      <c r="T201" s="605"/>
      <c r="U201" s="605"/>
      <c r="V201" s="605"/>
      <c r="W201" s="607"/>
      <c r="X201" s="588"/>
    </row>
    <row r="202" spans="1:24" s="589" customFormat="1" x14ac:dyDescent="0.25">
      <c r="A202" s="585"/>
      <c r="B202" s="602"/>
      <c r="C202" s="602"/>
      <c r="D202" s="602"/>
      <c r="E202" s="602"/>
      <c r="F202" s="602"/>
      <c r="G202" s="602"/>
      <c r="H202" s="602"/>
      <c r="I202" s="602"/>
      <c r="J202" s="602"/>
      <c r="K202" s="602"/>
      <c r="L202" s="602"/>
      <c r="M202" s="602"/>
      <c r="N202" s="602"/>
      <c r="O202" s="602"/>
      <c r="P202" s="602"/>
      <c r="Q202" s="602"/>
      <c r="R202" s="602"/>
      <c r="S202" s="602"/>
      <c r="T202" s="602"/>
      <c r="U202" s="602"/>
      <c r="V202" s="602"/>
      <c r="W202" s="602"/>
      <c r="X202" s="588"/>
    </row>
    <row r="203" spans="1:24" s="589" customFormat="1" x14ac:dyDescent="0.25">
      <c r="A203" s="585"/>
      <c r="B203" s="586"/>
      <c r="C203" s="586"/>
      <c r="D203" s="586"/>
      <c r="E203" s="586"/>
      <c r="F203" s="586"/>
      <c r="G203" s="586"/>
      <c r="H203" s="586"/>
      <c r="I203" s="586"/>
      <c r="J203" s="586"/>
      <c r="K203" s="586"/>
      <c r="L203" s="586"/>
      <c r="M203" s="586"/>
      <c r="N203" s="586"/>
      <c r="O203" s="586"/>
      <c r="P203" s="586"/>
      <c r="Q203" s="586"/>
      <c r="R203" s="586"/>
      <c r="S203" s="586"/>
      <c r="T203" s="586"/>
      <c r="U203" s="586"/>
      <c r="V203" s="586"/>
      <c r="W203" s="586"/>
      <c r="X203" s="588"/>
    </row>
    <row r="204" spans="1:24" s="589" customFormat="1" ht="19.5" thickBot="1" x14ac:dyDescent="0.35">
      <c r="A204" s="649"/>
      <c r="B204" s="568" t="str">
        <f>B138</f>
        <v>PM15 INVESTOR REPORT QUARTER ENDING AUGUST 2019</v>
      </c>
      <c r="C204" s="650"/>
      <c r="D204" s="650"/>
      <c r="E204" s="650"/>
      <c r="F204" s="650"/>
      <c r="G204" s="650"/>
      <c r="H204" s="650"/>
      <c r="I204" s="650"/>
      <c r="J204" s="650"/>
      <c r="K204" s="650"/>
      <c r="L204" s="650"/>
      <c r="M204" s="650"/>
      <c r="N204" s="650"/>
      <c r="O204" s="650"/>
      <c r="P204" s="650"/>
      <c r="Q204" s="650"/>
      <c r="R204" s="650"/>
      <c r="S204" s="650"/>
      <c r="T204" s="650"/>
      <c r="U204" s="650"/>
      <c r="V204" s="650"/>
      <c r="W204" s="652"/>
      <c r="X204" s="588"/>
    </row>
    <row r="205" spans="1:24" x14ac:dyDescent="0.25">
      <c r="A205" s="689"/>
      <c r="B205" s="690" t="s">
        <v>70</v>
      </c>
      <c r="C205" s="710"/>
      <c r="D205" s="710"/>
      <c r="E205" s="710"/>
      <c r="F205" s="710"/>
      <c r="G205" s="711"/>
      <c r="H205" s="711"/>
      <c r="I205" s="711"/>
      <c r="J205" s="711"/>
      <c r="K205" s="711"/>
      <c r="L205" s="711"/>
      <c r="M205" s="711"/>
      <c r="N205" s="711"/>
      <c r="O205" s="711"/>
      <c r="P205" s="711"/>
      <c r="Q205" s="711"/>
      <c r="R205" s="711"/>
      <c r="S205" s="711"/>
      <c r="T205" s="711">
        <v>43707</v>
      </c>
      <c r="U205" s="691"/>
      <c r="V205" s="691"/>
      <c r="W205" s="691"/>
      <c r="X205" s="572"/>
    </row>
    <row r="206" spans="1:24" x14ac:dyDescent="0.25">
      <c r="A206" s="712"/>
      <c r="B206" s="713"/>
      <c r="C206" s="714"/>
      <c r="D206" s="714"/>
      <c r="E206" s="714"/>
      <c r="F206" s="714"/>
      <c r="G206" s="715"/>
      <c r="H206" s="715"/>
      <c r="I206" s="715"/>
      <c r="J206" s="715"/>
      <c r="K206" s="715"/>
      <c r="L206" s="715"/>
      <c r="M206" s="715"/>
      <c r="N206" s="715"/>
      <c r="O206" s="715"/>
      <c r="P206" s="715"/>
      <c r="Q206" s="715"/>
      <c r="R206" s="715"/>
      <c r="S206" s="715"/>
      <c r="T206" s="715"/>
      <c r="U206" s="576"/>
      <c r="V206" s="576"/>
      <c r="W206" s="576"/>
      <c r="X206" s="572"/>
    </row>
    <row r="207" spans="1:24" s="589" customFormat="1" x14ac:dyDescent="0.25">
      <c r="A207" s="604"/>
      <c r="B207" s="605" t="s">
        <v>71</v>
      </c>
      <c r="C207" s="716"/>
      <c r="D207" s="716"/>
      <c r="E207" s="716"/>
      <c r="F207" s="716"/>
      <c r="G207" s="639"/>
      <c r="H207" s="639"/>
      <c r="I207" s="639"/>
      <c r="J207" s="639"/>
      <c r="K207" s="639"/>
      <c r="L207" s="639"/>
      <c r="M207" s="639"/>
      <c r="N207" s="639"/>
      <c r="O207" s="639"/>
      <c r="P207" s="639"/>
      <c r="Q207" s="639"/>
      <c r="R207" s="639"/>
      <c r="S207" s="639"/>
      <c r="T207" s="633">
        <v>5.3830000000000003E-2</v>
      </c>
      <c r="U207" s="605"/>
      <c r="V207" s="605"/>
      <c r="W207" s="607"/>
      <c r="X207" s="588"/>
    </row>
    <row r="208" spans="1:24" s="589" customFormat="1" x14ac:dyDescent="0.25">
      <c r="A208" s="604"/>
      <c r="B208" s="605" t="s">
        <v>151</v>
      </c>
      <c r="C208" s="716"/>
      <c r="D208" s="716"/>
      <c r="E208" s="716"/>
      <c r="F208" s="716"/>
      <c r="G208" s="639"/>
      <c r="H208" s="639"/>
      <c r="I208" s="639"/>
      <c r="J208" s="639"/>
      <c r="K208" s="639"/>
      <c r="L208" s="639"/>
      <c r="M208" s="639"/>
      <c r="N208" s="639"/>
      <c r="O208" s="639"/>
      <c r="P208" s="639"/>
      <c r="Q208" s="639"/>
      <c r="R208" s="639"/>
      <c r="S208" s="639"/>
      <c r="T208" s="633">
        <v>6.25E-2</v>
      </c>
      <c r="U208" s="605"/>
      <c r="V208" s="605"/>
      <c r="W208" s="607"/>
      <c r="X208" s="588"/>
    </row>
    <row r="209" spans="1:24" s="589" customFormat="1" x14ac:dyDescent="0.25">
      <c r="A209" s="604"/>
      <c r="B209" s="605" t="s">
        <v>72</v>
      </c>
      <c r="C209" s="716"/>
      <c r="D209" s="716"/>
      <c r="E209" s="716"/>
      <c r="F209" s="716"/>
      <c r="G209" s="639"/>
      <c r="H209" s="639"/>
      <c r="I209" s="639"/>
      <c r="J209" s="639"/>
      <c r="K209" s="639"/>
      <c r="L209" s="639"/>
      <c r="M209" s="639"/>
      <c r="N209" s="639"/>
      <c r="O209" s="639"/>
      <c r="P209" s="639"/>
      <c r="Q209" s="639"/>
      <c r="R209" s="639"/>
      <c r="S209" s="639"/>
      <c r="T209" s="633">
        <f>T207-T208</f>
        <v>-8.6699999999999972E-3</v>
      </c>
      <c r="U209" s="605"/>
      <c r="V209" s="605"/>
      <c r="W209" s="607"/>
      <c r="X209" s="588"/>
    </row>
    <row r="210" spans="1:24" s="589" customFormat="1" x14ac:dyDescent="0.25">
      <c r="A210" s="604"/>
      <c r="B210" s="605" t="s">
        <v>73</v>
      </c>
      <c r="C210" s="716"/>
      <c r="D210" s="716"/>
      <c r="E210" s="716"/>
      <c r="F210" s="716"/>
      <c r="G210" s="639"/>
      <c r="H210" s="639"/>
      <c r="I210" s="639"/>
      <c r="J210" s="639"/>
      <c r="K210" s="639"/>
      <c r="L210" s="639"/>
      <c r="M210" s="639"/>
      <c r="N210" s="639"/>
      <c r="O210" s="639"/>
      <c r="P210" s="639"/>
      <c r="Q210" s="639"/>
      <c r="R210" s="639"/>
      <c r="S210" s="639"/>
      <c r="T210" s="633">
        <v>2.7810000000000001E-2</v>
      </c>
      <c r="U210" s="605"/>
      <c r="V210" s="605"/>
      <c r="W210" s="607"/>
      <c r="X210" s="588"/>
    </row>
    <row r="211" spans="1:24" s="589" customFormat="1" x14ac:dyDescent="0.25">
      <c r="A211" s="604"/>
      <c r="B211" s="605" t="s">
        <v>218</v>
      </c>
      <c r="C211" s="716"/>
      <c r="D211" s="716"/>
      <c r="E211" s="716"/>
      <c r="F211" s="716"/>
      <c r="G211" s="639"/>
      <c r="H211" s="639"/>
      <c r="I211" s="639"/>
      <c r="J211" s="639"/>
      <c r="K211" s="639"/>
      <c r="L211" s="639"/>
      <c r="M211" s="639"/>
      <c r="N211" s="639"/>
      <c r="O211" s="639"/>
      <c r="P211" s="639"/>
      <c r="Q211" s="639"/>
      <c r="R211" s="639"/>
      <c r="S211" s="639"/>
      <c r="T211" s="633">
        <f>V43</f>
        <v>1.1944873981419997E-2</v>
      </c>
      <c r="U211" s="605"/>
      <c r="V211" s="605"/>
      <c r="W211" s="607"/>
      <c r="X211" s="588"/>
    </row>
    <row r="212" spans="1:24" s="589" customFormat="1" x14ac:dyDescent="0.25">
      <c r="A212" s="604"/>
      <c r="B212" s="605" t="s">
        <v>74</v>
      </c>
      <c r="C212" s="716"/>
      <c r="D212" s="716"/>
      <c r="E212" s="716"/>
      <c r="F212" s="716"/>
      <c r="G212" s="639"/>
      <c r="H212" s="639"/>
      <c r="I212" s="639"/>
      <c r="J212" s="639"/>
      <c r="K212" s="639"/>
      <c r="L212" s="639"/>
      <c r="M212" s="639"/>
      <c r="N212" s="639"/>
      <c r="O212" s="639"/>
      <c r="P212" s="639"/>
      <c r="Q212" s="639"/>
      <c r="R212" s="639"/>
      <c r="S212" s="639"/>
      <c r="T212" s="633">
        <f>T210-T211</f>
        <v>1.5865126018580006E-2</v>
      </c>
      <c r="U212" s="605"/>
      <c r="V212" s="605"/>
      <c r="W212" s="607"/>
      <c r="X212" s="588"/>
    </row>
    <row r="213" spans="1:24" s="589" customFormat="1" x14ac:dyDescent="0.25">
      <c r="A213" s="604"/>
      <c r="B213" s="605" t="s">
        <v>227</v>
      </c>
      <c r="C213" s="716"/>
      <c r="D213" s="716"/>
      <c r="E213" s="716"/>
      <c r="F213" s="716"/>
      <c r="G213" s="639"/>
      <c r="H213" s="639"/>
      <c r="I213" s="639"/>
      <c r="J213" s="639"/>
      <c r="K213" s="639"/>
      <c r="L213" s="639"/>
      <c r="M213" s="639"/>
      <c r="N213" s="639"/>
      <c r="O213" s="639"/>
      <c r="P213" s="639"/>
      <c r="Q213" s="639"/>
      <c r="R213" s="639"/>
      <c r="S213" s="639"/>
      <c r="T213" s="633">
        <f>V101/N71</f>
        <v>6.5123657734904071E-3</v>
      </c>
      <c r="U213" s="605"/>
      <c r="V213" s="605"/>
      <c r="W213" s="607"/>
      <c r="X213" s="588"/>
    </row>
    <row r="214" spans="1:24" s="589" customFormat="1" x14ac:dyDescent="0.25">
      <c r="A214" s="604"/>
      <c r="B214" s="605" t="s">
        <v>207</v>
      </c>
      <c r="C214" s="716"/>
      <c r="D214" s="716"/>
      <c r="E214" s="716"/>
      <c r="F214" s="716"/>
      <c r="G214" s="639"/>
      <c r="H214" s="639"/>
      <c r="I214" s="639"/>
      <c r="J214" s="639"/>
      <c r="K214" s="639"/>
      <c r="L214" s="639"/>
      <c r="M214" s="639"/>
      <c r="N214" s="639"/>
      <c r="O214" s="639"/>
      <c r="P214" s="639"/>
      <c r="Q214" s="639"/>
      <c r="R214" s="639"/>
      <c r="S214" s="639"/>
      <c r="T214" s="717">
        <v>51105</v>
      </c>
      <c r="U214" s="605"/>
      <c r="V214" s="605"/>
      <c r="W214" s="607"/>
      <c r="X214" s="588"/>
    </row>
    <row r="215" spans="1:24" s="589" customFormat="1" x14ac:dyDescent="0.25">
      <c r="A215" s="604"/>
      <c r="B215" s="605" t="s">
        <v>208</v>
      </c>
      <c r="C215" s="716"/>
      <c r="D215" s="716"/>
      <c r="E215" s="716"/>
      <c r="F215" s="716"/>
      <c r="G215" s="639"/>
      <c r="H215" s="639"/>
      <c r="I215" s="639"/>
      <c r="J215" s="639"/>
      <c r="K215" s="639"/>
      <c r="L215" s="639"/>
      <c r="M215" s="639"/>
      <c r="N215" s="639"/>
      <c r="O215" s="639"/>
      <c r="P215" s="639"/>
      <c r="Q215" s="639"/>
      <c r="R215" s="639"/>
      <c r="S215" s="639"/>
      <c r="T215" s="717">
        <v>51105</v>
      </c>
      <c r="U215" s="605"/>
      <c r="V215" s="605"/>
      <c r="W215" s="607"/>
      <c r="X215" s="588"/>
    </row>
    <row r="216" spans="1:24" s="589" customFormat="1" x14ac:dyDescent="0.25">
      <c r="A216" s="604"/>
      <c r="B216" s="605" t="s">
        <v>209</v>
      </c>
      <c r="C216" s="716"/>
      <c r="D216" s="716"/>
      <c r="E216" s="716"/>
      <c r="F216" s="716"/>
      <c r="G216" s="639"/>
      <c r="H216" s="639"/>
      <c r="I216" s="639"/>
      <c r="J216" s="639"/>
      <c r="K216" s="639"/>
      <c r="L216" s="639"/>
      <c r="M216" s="639"/>
      <c r="N216" s="639"/>
      <c r="O216" s="639"/>
      <c r="P216" s="639"/>
      <c r="Q216" s="639"/>
      <c r="R216" s="639"/>
      <c r="S216" s="639"/>
      <c r="T216" s="717">
        <v>51105</v>
      </c>
      <c r="U216" s="605"/>
      <c r="V216" s="605"/>
      <c r="W216" s="607"/>
      <c r="X216" s="588"/>
    </row>
    <row r="217" spans="1:24" s="589" customFormat="1" x14ac:dyDescent="0.25">
      <c r="A217" s="604"/>
      <c r="B217" s="605" t="s">
        <v>75</v>
      </c>
      <c r="C217" s="716"/>
      <c r="D217" s="716"/>
      <c r="E217" s="716"/>
      <c r="F217" s="716"/>
      <c r="G217" s="639"/>
      <c r="H217" s="639"/>
      <c r="I217" s="639"/>
      <c r="J217" s="639"/>
      <c r="K217" s="639"/>
      <c r="L217" s="639"/>
      <c r="M217" s="639"/>
      <c r="N217" s="639"/>
      <c r="O217" s="639"/>
      <c r="P217" s="639"/>
      <c r="Q217" s="639"/>
      <c r="R217" s="639"/>
      <c r="S217" s="639"/>
      <c r="T217" s="637">
        <v>21.06</v>
      </c>
      <c r="U217" s="605" t="s">
        <v>110</v>
      </c>
      <c r="V217" s="605"/>
      <c r="W217" s="607"/>
      <c r="X217" s="588"/>
    </row>
    <row r="218" spans="1:24" s="589" customFormat="1" x14ac:dyDescent="0.25">
      <c r="A218" s="604"/>
      <c r="B218" s="605" t="s">
        <v>76</v>
      </c>
      <c r="C218" s="716"/>
      <c r="D218" s="716"/>
      <c r="E218" s="716"/>
      <c r="F218" s="716"/>
      <c r="G218" s="639"/>
      <c r="H218" s="639"/>
      <c r="I218" s="639"/>
      <c r="J218" s="639"/>
      <c r="K218" s="639"/>
      <c r="L218" s="639"/>
      <c r="M218" s="639"/>
      <c r="N218" s="639"/>
      <c r="O218" s="639"/>
      <c r="P218" s="639"/>
      <c r="Q218" s="639"/>
      <c r="R218" s="639"/>
      <c r="S218" s="639"/>
      <c r="T218" s="637">
        <v>9.3000000000000007</v>
      </c>
      <c r="U218" s="605" t="s">
        <v>110</v>
      </c>
      <c r="V218" s="605"/>
      <c r="W218" s="607"/>
      <c r="X218" s="588"/>
    </row>
    <row r="219" spans="1:24" s="589" customFormat="1" x14ac:dyDescent="0.25">
      <c r="A219" s="604"/>
      <c r="B219" s="605" t="s">
        <v>77</v>
      </c>
      <c r="C219" s="716"/>
      <c r="D219" s="716"/>
      <c r="E219" s="716"/>
      <c r="F219" s="716"/>
      <c r="G219" s="639"/>
      <c r="H219" s="639"/>
      <c r="I219" s="639"/>
      <c r="J219" s="639"/>
      <c r="K219" s="639"/>
      <c r="L219" s="639"/>
      <c r="M219" s="639"/>
      <c r="N219" s="639"/>
      <c r="O219" s="639"/>
      <c r="P219" s="639"/>
      <c r="Q219" s="639"/>
      <c r="R219" s="639"/>
      <c r="S219" s="639"/>
      <c r="T219" s="633">
        <f>+P68/N68</f>
        <v>1.8545589192736897E-2</v>
      </c>
      <c r="U219" s="605"/>
      <c r="V219" s="605"/>
      <c r="W219" s="607"/>
      <c r="X219" s="588"/>
    </row>
    <row r="220" spans="1:24" s="589" customFormat="1" x14ac:dyDescent="0.25">
      <c r="A220" s="604"/>
      <c r="B220" s="605" t="s">
        <v>78</v>
      </c>
      <c r="C220" s="716"/>
      <c r="D220" s="716"/>
      <c r="E220" s="716"/>
      <c r="F220" s="716"/>
      <c r="G220" s="639"/>
      <c r="H220" s="639"/>
      <c r="I220" s="639"/>
      <c r="J220" s="639"/>
      <c r="K220" s="639"/>
      <c r="L220" s="639"/>
      <c r="M220" s="639"/>
      <c r="N220" s="639"/>
      <c r="O220" s="639"/>
      <c r="P220" s="639"/>
      <c r="Q220" s="639"/>
      <c r="R220" s="639"/>
      <c r="S220" s="639"/>
      <c r="T220" s="633">
        <v>4.8300000000000003E-2</v>
      </c>
      <c r="U220" s="605"/>
      <c r="V220" s="605"/>
      <c r="W220" s="607"/>
      <c r="X220" s="588"/>
    </row>
    <row r="221" spans="1:24" x14ac:dyDescent="0.25">
      <c r="A221" s="712"/>
      <c r="B221" s="718"/>
      <c r="C221" s="718"/>
      <c r="D221" s="718"/>
      <c r="E221" s="718"/>
      <c r="F221" s="718"/>
      <c r="G221" s="664"/>
      <c r="H221" s="664"/>
      <c r="I221" s="664"/>
      <c r="J221" s="664"/>
      <c r="K221" s="664"/>
      <c r="L221" s="664"/>
      <c r="M221" s="664"/>
      <c r="N221" s="664"/>
      <c r="O221" s="664"/>
      <c r="P221" s="664"/>
      <c r="Q221" s="664"/>
      <c r="R221" s="664"/>
      <c r="S221" s="664"/>
      <c r="T221" s="696"/>
      <c r="U221" s="664"/>
      <c r="V221" s="719"/>
      <c r="W221" s="664"/>
      <c r="X221" s="572"/>
    </row>
    <row r="222" spans="1:24" x14ac:dyDescent="0.25">
      <c r="A222" s="720"/>
      <c r="B222" s="669" t="s">
        <v>79</v>
      </c>
      <c r="C222" s="670"/>
      <c r="D222" s="670"/>
      <c r="E222" s="670"/>
      <c r="F222" s="721"/>
      <c r="G222" s="670"/>
      <c r="H222" s="670"/>
      <c r="I222" s="670"/>
      <c r="J222" s="670"/>
      <c r="K222" s="670"/>
      <c r="L222" s="670"/>
      <c r="M222" s="670"/>
      <c r="N222" s="670"/>
      <c r="O222" s="670"/>
      <c r="P222" s="670"/>
      <c r="Q222" s="670"/>
      <c r="R222" s="670"/>
      <c r="S222" s="670" t="s">
        <v>102</v>
      </c>
      <c r="T222" s="721" t="s">
        <v>108</v>
      </c>
      <c r="U222" s="598"/>
      <c r="V222" s="598"/>
      <c r="W222" s="601"/>
      <c r="X222" s="572"/>
    </row>
    <row r="223" spans="1:24" s="589" customFormat="1" x14ac:dyDescent="0.25">
      <c r="A223" s="722"/>
      <c r="B223" s="602" t="s">
        <v>80</v>
      </c>
      <c r="C223" s="673"/>
      <c r="D223" s="673"/>
      <c r="E223" s="673"/>
      <c r="F223" s="602"/>
      <c r="G223" s="602"/>
      <c r="H223" s="723"/>
      <c r="I223" s="723"/>
      <c r="J223" s="723"/>
      <c r="K223" s="723"/>
      <c r="L223" s="723"/>
      <c r="M223" s="723"/>
      <c r="N223" s="723"/>
      <c r="O223" s="723"/>
      <c r="P223" s="723"/>
      <c r="Q223" s="723"/>
      <c r="R223" s="723"/>
      <c r="S223" s="723">
        <v>1</v>
      </c>
      <c r="T223" s="724">
        <v>50</v>
      </c>
      <c r="U223" s="602"/>
      <c r="V223" s="725"/>
      <c r="W223" s="726"/>
      <c r="X223" s="588"/>
    </row>
    <row r="224" spans="1:24" s="589" customFormat="1" x14ac:dyDescent="0.25">
      <c r="A224" s="727"/>
      <c r="B224" s="605" t="s">
        <v>145</v>
      </c>
      <c r="C224" s="662"/>
      <c r="D224" s="662"/>
      <c r="E224" s="662"/>
      <c r="F224" s="605"/>
      <c r="G224" s="605"/>
      <c r="H224" s="611"/>
      <c r="I224" s="611"/>
      <c r="J224" s="611"/>
      <c r="K224" s="611"/>
      <c r="L224" s="611"/>
      <c r="M224" s="611"/>
      <c r="N224" s="611"/>
      <c r="O224" s="611"/>
      <c r="P224" s="611"/>
      <c r="Q224" s="611"/>
      <c r="R224" s="611"/>
      <c r="S224" s="728">
        <f>+R276</f>
        <v>71</v>
      </c>
      <c r="T224" s="729">
        <f>+T276</f>
        <v>9825</v>
      </c>
      <c r="U224" s="605"/>
      <c r="V224" s="730"/>
      <c r="W224" s="731"/>
      <c r="X224" s="588"/>
    </row>
    <row r="225" spans="1:24" s="589" customFormat="1" x14ac:dyDescent="0.25">
      <c r="A225" s="727"/>
      <c r="B225" s="605" t="s">
        <v>81</v>
      </c>
      <c r="C225" s="662"/>
      <c r="D225" s="662"/>
      <c r="E225" s="662"/>
      <c r="F225" s="605"/>
      <c r="G225" s="605"/>
      <c r="H225" s="611"/>
      <c r="I225" s="611"/>
      <c r="J225" s="611"/>
      <c r="K225" s="611"/>
      <c r="L225" s="611"/>
      <c r="M225" s="611"/>
      <c r="N225" s="611"/>
      <c r="O225" s="611"/>
      <c r="P225" s="611"/>
      <c r="Q225" s="611"/>
      <c r="R225" s="611"/>
      <c r="S225" s="728">
        <f>+R288</f>
        <v>1</v>
      </c>
      <c r="T225" s="729">
        <f>+T288</f>
        <v>31</v>
      </c>
      <c r="U225" s="605"/>
      <c r="V225" s="730"/>
      <c r="W225" s="731"/>
      <c r="X225" s="588"/>
    </row>
    <row r="226" spans="1:24" x14ac:dyDescent="0.25">
      <c r="A226" s="732"/>
      <c r="B226" s="623" t="s">
        <v>82</v>
      </c>
      <c r="C226" s="733"/>
      <c r="D226" s="733"/>
      <c r="E226" s="733"/>
      <c r="F226" s="679"/>
      <c r="G226" s="679"/>
      <c r="H226" s="679"/>
      <c r="I226" s="679"/>
      <c r="J226" s="679"/>
      <c r="K226" s="679"/>
      <c r="L226" s="679"/>
      <c r="M226" s="679"/>
      <c r="N226" s="679"/>
      <c r="O226" s="679"/>
      <c r="P226" s="679"/>
      <c r="Q226" s="679"/>
      <c r="R226" s="679"/>
      <c r="S226" s="681"/>
      <c r="T226" s="729">
        <v>0</v>
      </c>
      <c r="U226" s="679"/>
      <c r="V226" s="734"/>
      <c r="W226" s="735"/>
      <c r="X226" s="572"/>
    </row>
    <row r="227" spans="1:24" x14ac:dyDescent="0.25">
      <c r="A227" s="732"/>
      <c r="B227" s="623" t="s">
        <v>228</v>
      </c>
      <c r="C227" s="733"/>
      <c r="D227" s="733"/>
      <c r="E227" s="733"/>
      <c r="F227" s="679"/>
      <c r="G227" s="679"/>
      <c r="H227" s="679"/>
      <c r="I227" s="679"/>
      <c r="J227" s="679"/>
      <c r="K227" s="679"/>
      <c r="L227" s="679"/>
      <c r="M227" s="679"/>
      <c r="N227" s="679"/>
      <c r="O227" s="679"/>
      <c r="P227" s="679"/>
      <c r="Q227" s="679"/>
      <c r="R227" s="679"/>
      <c r="S227" s="681"/>
      <c r="T227" s="729">
        <f>+N81</f>
        <v>0</v>
      </c>
      <c r="U227" s="679"/>
      <c r="V227" s="734"/>
      <c r="W227" s="735"/>
      <c r="X227" s="572"/>
    </row>
    <row r="228" spans="1:24" x14ac:dyDescent="0.25">
      <c r="A228" s="736"/>
      <c r="B228" s="623" t="s">
        <v>83</v>
      </c>
      <c r="C228" s="737"/>
      <c r="D228" s="737"/>
      <c r="E228" s="737"/>
      <c r="F228" s="737"/>
      <c r="G228" s="679"/>
      <c r="H228" s="679"/>
      <c r="I228" s="679"/>
      <c r="J228" s="679"/>
      <c r="K228" s="679"/>
      <c r="L228" s="679"/>
      <c r="M228" s="679"/>
      <c r="N228" s="679"/>
      <c r="O228" s="679"/>
      <c r="P228" s="679"/>
      <c r="Q228" s="679"/>
      <c r="R228" s="679"/>
      <c r="S228" s="681"/>
      <c r="T228" s="738"/>
      <c r="U228" s="679"/>
      <c r="V228" s="734"/>
      <c r="W228" s="739"/>
      <c r="X228" s="572"/>
    </row>
    <row r="229" spans="1:24" s="589" customFormat="1" x14ac:dyDescent="0.25">
      <c r="A229" s="740"/>
      <c r="B229" s="605" t="s">
        <v>84</v>
      </c>
      <c r="C229" s="605"/>
      <c r="D229" s="605"/>
      <c r="E229" s="605"/>
      <c r="F229" s="605"/>
      <c r="G229" s="605"/>
      <c r="H229" s="605"/>
      <c r="I229" s="605"/>
      <c r="J229" s="605"/>
      <c r="K229" s="605"/>
      <c r="L229" s="605"/>
      <c r="M229" s="605"/>
      <c r="N229" s="605"/>
      <c r="O229" s="605"/>
      <c r="P229" s="605"/>
      <c r="Q229" s="605"/>
      <c r="R229" s="605"/>
      <c r="S229" s="611"/>
      <c r="T229" s="729">
        <f>V167</f>
        <v>63</v>
      </c>
      <c r="U229" s="605"/>
      <c r="V229" s="730"/>
      <c r="W229" s="741"/>
      <c r="X229" s="588"/>
    </row>
    <row r="230" spans="1:24" s="589" customFormat="1" x14ac:dyDescent="0.25">
      <c r="A230" s="727"/>
      <c r="B230" s="605" t="s">
        <v>85</v>
      </c>
      <c r="C230" s="662"/>
      <c r="D230" s="662"/>
      <c r="E230" s="662"/>
      <c r="F230" s="662"/>
      <c r="G230" s="605"/>
      <c r="H230" s="605"/>
      <c r="I230" s="605"/>
      <c r="J230" s="605"/>
      <c r="K230" s="605"/>
      <c r="L230" s="605"/>
      <c r="M230" s="605"/>
      <c r="N230" s="605"/>
      <c r="O230" s="605"/>
      <c r="P230" s="605"/>
      <c r="Q230" s="605"/>
      <c r="R230" s="605"/>
      <c r="S230" s="611"/>
      <c r="T230" s="729">
        <f>'May 19'!T227+T229</f>
        <v>9713</v>
      </c>
      <c r="U230" s="605"/>
      <c r="V230" s="730"/>
      <c r="W230" s="741"/>
      <c r="X230" s="588"/>
    </row>
    <row r="231" spans="1:24" x14ac:dyDescent="0.25">
      <c r="A231" s="736"/>
      <c r="B231" s="623" t="s">
        <v>285</v>
      </c>
      <c r="C231" s="737"/>
      <c r="D231" s="737"/>
      <c r="E231" s="737"/>
      <c r="F231" s="737"/>
      <c r="G231" s="679"/>
      <c r="H231" s="679"/>
      <c r="I231" s="679"/>
      <c r="J231" s="679"/>
      <c r="K231" s="679"/>
      <c r="L231" s="679"/>
      <c r="M231" s="679"/>
      <c r="N231" s="679"/>
      <c r="O231" s="679"/>
      <c r="P231" s="679"/>
      <c r="Q231" s="679"/>
      <c r="R231" s="679"/>
      <c r="S231" s="742"/>
      <c r="T231" s="738"/>
      <c r="U231" s="679"/>
      <c r="V231" s="734"/>
      <c r="W231" s="739"/>
      <c r="X231" s="572"/>
    </row>
    <row r="232" spans="1:24" s="589" customFormat="1" x14ac:dyDescent="0.25">
      <c r="A232" s="740"/>
      <c r="B232" s="605" t="s">
        <v>282</v>
      </c>
      <c r="C232" s="605"/>
      <c r="D232" s="605"/>
      <c r="E232" s="605"/>
      <c r="F232" s="605"/>
      <c r="G232" s="605"/>
      <c r="H232" s="605"/>
      <c r="I232" s="605"/>
      <c r="J232" s="605"/>
      <c r="K232" s="605"/>
      <c r="L232" s="605"/>
      <c r="M232" s="605"/>
      <c r="N232" s="605"/>
      <c r="O232" s="605"/>
      <c r="P232" s="605"/>
      <c r="Q232" s="605"/>
      <c r="R232" s="605"/>
      <c r="S232" s="611">
        <v>0</v>
      </c>
      <c r="T232" s="729">
        <v>0</v>
      </c>
      <c r="U232" s="605"/>
      <c r="V232" s="730"/>
      <c r="W232" s="741"/>
      <c r="X232" s="588"/>
    </row>
    <row r="233" spans="1:24" s="589" customFormat="1" x14ac:dyDescent="0.25">
      <c r="A233" s="727"/>
      <c r="B233" s="605" t="s">
        <v>86</v>
      </c>
      <c r="C233" s="635"/>
      <c r="D233" s="635"/>
      <c r="E233" s="635"/>
      <c r="F233" s="743"/>
      <c r="G233" s="605"/>
      <c r="H233" s="605"/>
      <c r="I233" s="605"/>
      <c r="J233" s="605"/>
      <c r="K233" s="605"/>
      <c r="L233" s="605"/>
      <c r="M233" s="605"/>
      <c r="N233" s="605"/>
      <c r="O233" s="605"/>
      <c r="P233" s="605"/>
      <c r="Q233" s="605"/>
      <c r="R233" s="605"/>
      <c r="S233" s="605"/>
      <c r="T233" s="744">
        <v>0</v>
      </c>
      <c r="U233" s="605"/>
      <c r="V233" s="730"/>
      <c r="W233" s="741"/>
      <c r="X233" s="588"/>
    </row>
    <row r="234" spans="1:24" s="589" customFormat="1" x14ac:dyDescent="0.25">
      <c r="A234" s="727"/>
      <c r="B234" s="605" t="s">
        <v>87</v>
      </c>
      <c r="C234" s="635"/>
      <c r="D234" s="635"/>
      <c r="E234" s="635"/>
      <c r="F234" s="743"/>
      <c r="G234" s="605"/>
      <c r="H234" s="605"/>
      <c r="I234" s="605"/>
      <c r="J234" s="605"/>
      <c r="K234" s="605"/>
      <c r="L234" s="605"/>
      <c r="M234" s="605"/>
      <c r="N234" s="605"/>
      <c r="O234" s="605"/>
      <c r="P234" s="605"/>
      <c r="Q234" s="605"/>
      <c r="R234" s="605"/>
      <c r="S234" s="605"/>
      <c r="T234" s="744">
        <v>0</v>
      </c>
      <c r="U234" s="605"/>
      <c r="V234" s="730"/>
      <c r="W234" s="741"/>
      <c r="X234" s="588"/>
    </row>
    <row r="235" spans="1:24" x14ac:dyDescent="0.25">
      <c r="A235" s="732"/>
      <c r="B235" s="623" t="s">
        <v>216</v>
      </c>
      <c r="C235" s="745"/>
      <c r="D235" s="745"/>
      <c r="E235" s="745"/>
      <c r="F235" s="746"/>
      <c r="G235" s="679"/>
      <c r="H235" s="679"/>
      <c r="I235" s="679"/>
      <c r="J235" s="679"/>
      <c r="K235" s="679"/>
      <c r="L235" s="679"/>
      <c r="M235" s="679"/>
      <c r="N235" s="679"/>
      <c r="O235" s="679"/>
      <c r="P235" s="679"/>
      <c r="Q235" s="679"/>
      <c r="R235" s="679"/>
      <c r="S235" s="681"/>
      <c r="T235" s="747"/>
      <c r="U235" s="679"/>
      <c r="V235" s="734"/>
      <c r="W235" s="739"/>
      <c r="X235" s="572"/>
    </row>
    <row r="236" spans="1:24" s="589" customFormat="1" x14ac:dyDescent="0.25">
      <c r="A236" s="727"/>
      <c r="B236" s="605" t="s">
        <v>282</v>
      </c>
      <c r="C236" s="635"/>
      <c r="D236" s="635"/>
      <c r="E236" s="635"/>
      <c r="F236" s="743"/>
      <c r="G236" s="605"/>
      <c r="H236" s="605"/>
      <c r="I236" s="605"/>
      <c r="J236" s="605"/>
      <c r="K236" s="605"/>
      <c r="L236" s="605"/>
      <c r="M236" s="605"/>
      <c r="N236" s="605"/>
      <c r="O236" s="605"/>
      <c r="P236" s="605"/>
      <c r="Q236" s="605"/>
      <c r="R236" s="605"/>
      <c r="S236" s="611">
        <v>1</v>
      </c>
      <c r="T236" s="729">
        <v>56</v>
      </c>
      <c r="U236" s="605"/>
      <c r="V236" s="730"/>
      <c r="W236" s="741"/>
      <c r="X236" s="588"/>
    </row>
    <row r="237" spans="1:24" s="589" customFormat="1" x14ac:dyDescent="0.25">
      <c r="A237" s="727"/>
      <c r="B237" s="605" t="s">
        <v>217</v>
      </c>
      <c r="C237" s="635"/>
      <c r="D237" s="635"/>
      <c r="E237" s="635"/>
      <c r="F237" s="743"/>
      <c r="G237" s="605"/>
      <c r="H237" s="605"/>
      <c r="I237" s="605"/>
      <c r="J237" s="605"/>
      <c r="K237" s="605"/>
      <c r="L237" s="605"/>
      <c r="M237" s="605"/>
      <c r="N237" s="605"/>
      <c r="O237" s="605"/>
      <c r="P237" s="605"/>
      <c r="Q237" s="605"/>
      <c r="R237" s="605"/>
      <c r="S237" s="605"/>
      <c r="T237" s="744">
        <v>0</v>
      </c>
      <c r="U237" s="605"/>
      <c r="V237" s="730"/>
      <c r="W237" s="741"/>
      <c r="X237" s="588"/>
    </row>
    <row r="238" spans="1:24" x14ac:dyDescent="0.25">
      <c r="A238" s="732"/>
      <c r="B238" s="737"/>
      <c r="C238" s="745"/>
      <c r="D238" s="745"/>
      <c r="E238" s="745"/>
      <c r="F238" s="746"/>
      <c r="G238" s="679"/>
      <c r="H238" s="679"/>
      <c r="I238" s="679"/>
      <c r="J238" s="679"/>
      <c r="K238" s="679"/>
      <c r="L238" s="679"/>
      <c r="M238" s="679"/>
      <c r="N238" s="679"/>
      <c r="O238" s="679"/>
      <c r="P238" s="679"/>
      <c r="Q238" s="679"/>
      <c r="R238" s="679"/>
      <c r="S238" s="681"/>
      <c r="T238" s="747"/>
      <c r="U238" s="679"/>
      <c r="V238" s="734"/>
      <c r="W238" s="739"/>
      <c r="X238" s="572"/>
    </row>
    <row r="239" spans="1:24" x14ac:dyDescent="0.25">
      <c r="A239" s="732"/>
      <c r="B239" s="737"/>
      <c r="C239" s="745"/>
      <c r="D239" s="745"/>
      <c r="E239" s="745"/>
      <c r="F239" s="746"/>
      <c r="G239" s="679"/>
      <c r="H239" s="679"/>
      <c r="I239" s="679"/>
      <c r="J239" s="679"/>
      <c r="K239" s="679"/>
      <c r="L239" s="679"/>
      <c r="M239" s="679"/>
      <c r="N239" s="679"/>
      <c r="O239" s="679"/>
      <c r="P239" s="679"/>
      <c r="Q239" s="679"/>
      <c r="R239" s="679"/>
      <c r="S239" s="679"/>
      <c r="T239" s="748"/>
      <c r="U239" s="679"/>
      <c r="V239" s="734"/>
      <c r="W239" s="739"/>
      <c r="X239" s="572"/>
    </row>
    <row r="240" spans="1:24" ht="18.75" x14ac:dyDescent="0.3">
      <c r="A240" s="732"/>
      <c r="B240" s="749" t="s">
        <v>168</v>
      </c>
      <c r="C240" s="745"/>
      <c r="D240" s="745"/>
      <c r="E240" s="745"/>
      <c r="F240" s="746"/>
      <c r="G240" s="679"/>
      <c r="H240" s="679"/>
      <c r="I240" s="679"/>
      <c r="J240" s="679"/>
      <c r="K240" s="679"/>
      <c r="L240" s="679"/>
      <c r="M240" s="679"/>
      <c r="N240" s="679"/>
      <c r="O240" s="679"/>
      <c r="P240" s="535" t="s">
        <v>341</v>
      </c>
      <c r="Q240" s="679"/>
      <c r="R240" s="679"/>
      <c r="S240" s="679"/>
      <c r="T240" s="748"/>
      <c r="U240" s="679"/>
      <c r="V240" s="734"/>
      <c r="W240" s="739"/>
      <c r="X240" s="572"/>
    </row>
    <row r="241" spans="1:25" x14ac:dyDescent="0.25">
      <c r="A241" s="750"/>
      <c r="B241" s="718"/>
      <c r="C241" s="751"/>
      <c r="D241" s="751"/>
      <c r="E241" s="751"/>
      <c r="F241" s="752"/>
      <c r="G241" s="664"/>
      <c r="H241" s="664"/>
      <c r="I241" s="664"/>
      <c r="J241" s="664"/>
      <c r="K241" s="664"/>
      <c r="L241" s="664"/>
      <c r="M241" s="664"/>
      <c r="N241" s="664"/>
      <c r="O241" s="664"/>
      <c r="P241" s="664"/>
      <c r="Q241" s="664"/>
      <c r="R241" s="664"/>
      <c r="S241" s="664"/>
      <c r="T241" s="753"/>
      <c r="U241" s="664"/>
      <c r="V241" s="719"/>
      <c r="W241" s="754"/>
      <c r="X241" s="572"/>
    </row>
    <row r="242" spans="1:25" x14ac:dyDescent="0.25">
      <c r="A242" s="597"/>
      <c r="B242" s="669" t="s">
        <v>297</v>
      </c>
      <c r="C242" s="670"/>
      <c r="D242" s="670"/>
      <c r="E242" s="670"/>
      <c r="F242" s="721"/>
      <c r="G242" s="670"/>
      <c r="H242" s="670"/>
      <c r="I242" s="670"/>
      <c r="J242" s="670"/>
      <c r="K242" s="670"/>
      <c r="L242" s="670"/>
      <c r="M242" s="670"/>
      <c r="N242" s="670"/>
      <c r="O242" s="670"/>
      <c r="P242" s="670"/>
      <c r="Q242" s="670"/>
      <c r="R242" s="721" t="s">
        <v>102</v>
      </c>
      <c r="S242" s="670" t="s">
        <v>103</v>
      </c>
      <c r="T242" s="721" t="s">
        <v>109</v>
      </c>
      <c r="U242" s="670" t="s">
        <v>103</v>
      </c>
      <c r="V242" s="598"/>
      <c r="W242" s="755"/>
      <c r="X242" s="572"/>
    </row>
    <row r="243" spans="1:25" s="589" customFormat="1" x14ac:dyDescent="0.25">
      <c r="A243" s="585"/>
      <c r="B243" s="673" t="s">
        <v>88</v>
      </c>
      <c r="C243" s="756"/>
      <c r="D243" s="756"/>
      <c r="E243" s="756"/>
      <c r="F243" s="602"/>
      <c r="G243" s="756"/>
      <c r="H243" s="756"/>
      <c r="I243" s="756"/>
      <c r="J243" s="756"/>
      <c r="K243" s="756"/>
      <c r="L243" s="756"/>
      <c r="M243" s="756"/>
      <c r="N243" s="756"/>
      <c r="O243" s="756"/>
      <c r="P243" s="756"/>
      <c r="Q243" s="756"/>
      <c r="R243" s="673">
        <f t="shared" ref="R243:R250" si="1">+R255+R267+R279</f>
        <v>4062</v>
      </c>
      <c r="S243" s="757">
        <f t="shared" ref="S243:S250" si="2">R243/$R$252</f>
        <v>0.98496605237633361</v>
      </c>
      <c r="T243" s="674">
        <f t="shared" ref="T243:T250" si="3">+T255+T267+T279</f>
        <v>550638</v>
      </c>
      <c r="U243" s="757">
        <f t="shared" ref="U243:U250" si="4">T243/$T$252</f>
        <v>0.98456383399103475</v>
      </c>
      <c r="V243" s="725"/>
      <c r="W243" s="758"/>
      <c r="X243" s="588"/>
    </row>
    <row r="244" spans="1:25" s="589" customFormat="1" x14ac:dyDescent="0.25">
      <c r="A244" s="604"/>
      <c r="B244" s="662" t="s">
        <v>89</v>
      </c>
      <c r="C244" s="759"/>
      <c r="D244" s="759"/>
      <c r="E244" s="759"/>
      <c r="F244" s="605"/>
      <c r="G244" s="760"/>
      <c r="H244" s="759"/>
      <c r="I244" s="759"/>
      <c r="J244" s="759"/>
      <c r="K244" s="759"/>
      <c r="L244" s="759"/>
      <c r="M244" s="759"/>
      <c r="N244" s="759"/>
      <c r="O244" s="759"/>
      <c r="P244" s="759"/>
      <c r="Q244" s="759"/>
      <c r="R244" s="662">
        <f t="shared" si="1"/>
        <v>35</v>
      </c>
      <c r="S244" s="760">
        <f t="shared" si="2"/>
        <v>8.4869059165858397E-3</v>
      </c>
      <c r="T244" s="663">
        <f t="shared" si="3"/>
        <v>5030</v>
      </c>
      <c r="U244" s="760">
        <f t="shared" si="4"/>
        <v>8.9938509237918653E-3</v>
      </c>
      <c r="V244" s="730"/>
      <c r="W244" s="741"/>
      <c r="X244" s="588"/>
      <c r="Y244" s="685"/>
    </row>
    <row r="245" spans="1:25" s="589" customFormat="1" x14ac:dyDescent="0.25">
      <c r="A245" s="604"/>
      <c r="B245" s="662" t="s">
        <v>90</v>
      </c>
      <c r="C245" s="759"/>
      <c r="D245" s="759"/>
      <c r="E245" s="759"/>
      <c r="F245" s="605"/>
      <c r="G245" s="760"/>
      <c r="H245" s="759"/>
      <c r="I245" s="759"/>
      <c r="J245" s="759"/>
      <c r="K245" s="759"/>
      <c r="L245" s="759"/>
      <c r="M245" s="759"/>
      <c r="N245" s="759"/>
      <c r="O245" s="759"/>
      <c r="P245" s="759"/>
      <c r="Q245" s="759"/>
      <c r="R245" s="662">
        <f t="shared" si="1"/>
        <v>9</v>
      </c>
      <c r="S245" s="760">
        <f t="shared" si="2"/>
        <v>2.1823472356935015E-3</v>
      </c>
      <c r="T245" s="663">
        <f t="shared" si="3"/>
        <v>1026</v>
      </c>
      <c r="U245" s="760">
        <f t="shared" si="4"/>
        <v>1.8345310234215613E-3</v>
      </c>
      <c r="V245" s="730"/>
      <c r="W245" s="741"/>
      <c r="X245" s="588"/>
    </row>
    <row r="246" spans="1:25" s="589" customFormat="1" x14ac:dyDescent="0.25">
      <c r="A246" s="604"/>
      <c r="B246" s="662" t="s">
        <v>156</v>
      </c>
      <c r="C246" s="759"/>
      <c r="D246" s="759"/>
      <c r="E246" s="759"/>
      <c r="F246" s="605"/>
      <c r="G246" s="760"/>
      <c r="H246" s="759"/>
      <c r="I246" s="759"/>
      <c r="J246" s="759"/>
      <c r="K246" s="759"/>
      <c r="L246" s="759"/>
      <c r="M246" s="759"/>
      <c r="N246" s="759"/>
      <c r="O246" s="759"/>
      <c r="P246" s="759"/>
      <c r="Q246" s="759"/>
      <c r="R246" s="662">
        <f t="shared" si="1"/>
        <v>5</v>
      </c>
      <c r="S246" s="760">
        <f t="shared" si="2"/>
        <v>1.2124151309408342E-3</v>
      </c>
      <c r="T246" s="663">
        <f t="shared" si="3"/>
        <v>594</v>
      </c>
      <c r="U246" s="760">
        <f t="shared" si="4"/>
        <v>1.0620969082966933E-3</v>
      </c>
      <c r="V246" s="730"/>
      <c r="W246" s="741"/>
      <c r="X246" s="588"/>
      <c r="Y246" s="685"/>
    </row>
    <row r="247" spans="1:25" s="589" customFormat="1" x14ac:dyDescent="0.25">
      <c r="A247" s="604"/>
      <c r="B247" s="662" t="s">
        <v>157</v>
      </c>
      <c r="C247" s="759"/>
      <c r="D247" s="759"/>
      <c r="E247" s="759"/>
      <c r="F247" s="605"/>
      <c r="G247" s="760"/>
      <c r="H247" s="759"/>
      <c r="I247" s="759"/>
      <c r="J247" s="759"/>
      <c r="K247" s="759"/>
      <c r="L247" s="759"/>
      <c r="M247" s="759"/>
      <c r="N247" s="759"/>
      <c r="O247" s="759"/>
      <c r="P247" s="759"/>
      <c r="Q247" s="759"/>
      <c r="R247" s="662">
        <f t="shared" si="1"/>
        <v>8</v>
      </c>
      <c r="S247" s="760">
        <f t="shared" si="2"/>
        <v>1.9398642095053346E-3</v>
      </c>
      <c r="T247" s="663">
        <f t="shared" si="3"/>
        <v>981</v>
      </c>
      <c r="U247" s="760">
        <f t="shared" si="4"/>
        <v>1.7540691364293876E-3</v>
      </c>
      <c r="V247" s="730"/>
      <c r="W247" s="741"/>
      <c r="X247" s="588"/>
    </row>
    <row r="248" spans="1:25" s="589" customFormat="1" x14ac:dyDescent="0.25">
      <c r="A248" s="604"/>
      <c r="B248" s="662" t="s">
        <v>158</v>
      </c>
      <c r="C248" s="759"/>
      <c r="D248" s="759"/>
      <c r="E248" s="759"/>
      <c r="F248" s="605"/>
      <c r="G248" s="760"/>
      <c r="H248" s="759"/>
      <c r="I248" s="759"/>
      <c r="J248" s="759"/>
      <c r="K248" s="759"/>
      <c r="L248" s="759"/>
      <c r="M248" s="759"/>
      <c r="N248" s="759"/>
      <c r="O248" s="759"/>
      <c r="P248" s="759"/>
      <c r="Q248" s="759"/>
      <c r="R248" s="662">
        <f t="shared" si="1"/>
        <v>0</v>
      </c>
      <c r="S248" s="760">
        <f t="shared" si="2"/>
        <v>0</v>
      </c>
      <c r="T248" s="663">
        <f t="shared" si="3"/>
        <v>0</v>
      </c>
      <c r="U248" s="760">
        <f t="shared" si="4"/>
        <v>0</v>
      </c>
      <c r="V248" s="730"/>
      <c r="W248" s="741"/>
      <c r="X248" s="588"/>
      <c r="Y248" s="685"/>
    </row>
    <row r="249" spans="1:25" s="589" customFormat="1" x14ac:dyDescent="0.25">
      <c r="A249" s="604"/>
      <c r="B249" s="662" t="s">
        <v>159</v>
      </c>
      <c r="C249" s="759"/>
      <c r="D249" s="759"/>
      <c r="E249" s="759"/>
      <c r="F249" s="605"/>
      <c r="G249" s="760"/>
      <c r="H249" s="759"/>
      <c r="I249" s="759"/>
      <c r="J249" s="759"/>
      <c r="K249" s="759"/>
      <c r="L249" s="759"/>
      <c r="M249" s="759"/>
      <c r="N249" s="759"/>
      <c r="O249" s="759"/>
      <c r="P249" s="759"/>
      <c r="Q249" s="759"/>
      <c r="R249" s="662">
        <f t="shared" si="1"/>
        <v>3</v>
      </c>
      <c r="S249" s="760">
        <f t="shared" si="2"/>
        <v>7.2744907856450052E-4</v>
      </c>
      <c r="T249" s="663">
        <f t="shared" si="3"/>
        <v>282</v>
      </c>
      <c r="U249" s="760">
        <f t="shared" si="4"/>
        <v>5.0422782515095548E-4</v>
      </c>
      <c r="V249" s="730"/>
      <c r="W249" s="741"/>
      <c r="X249" s="588"/>
    </row>
    <row r="250" spans="1:25" s="589" customFormat="1" x14ac:dyDescent="0.25">
      <c r="A250" s="604"/>
      <c r="B250" s="662" t="s">
        <v>160</v>
      </c>
      <c r="C250" s="759"/>
      <c r="D250" s="759"/>
      <c r="E250" s="759"/>
      <c r="F250" s="605"/>
      <c r="G250" s="760"/>
      <c r="H250" s="759"/>
      <c r="I250" s="759"/>
      <c r="J250" s="759"/>
      <c r="K250" s="759"/>
      <c r="L250" s="759"/>
      <c r="M250" s="759"/>
      <c r="N250" s="759"/>
      <c r="O250" s="759"/>
      <c r="P250" s="759"/>
      <c r="Q250" s="759"/>
      <c r="R250" s="673">
        <f t="shared" si="1"/>
        <v>2</v>
      </c>
      <c r="S250" s="760">
        <f t="shared" si="2"/>
        <v>4.8496605237633366E-4</v>
      </c>
      <c r="T250" s="674">
        <f t="shared" si="3"/>
        <v>720</v>
      </c>
      <c r="U250" s="757">
        <f t="shared" si="4"/>
        <v>1.2873901918747798E-3</v>
      </c>
      <c r="V250" s="730"/>
      <c r="W250" s="741"/>
      <c r="X250" s="588"/>
      <c r="Y250" s="685"/>
    </row>
    <row r="251" spans="1:25" s="589" customFormat="1" x14ac:dyDescent="0.25">
      <c r="A251" s="604"/>
      <c r="B251" s="662"/>
      <c r="C251" s="759"/>
      <c r="D251" s="759"/>
      <c r="E251" s="759"/>
      <c r="F251" s="605"/>
      <c r="G251" s="760"/>
      <c r="H251" s="759"/>
      <c r="I251" s="759"/>
      <c r="J251" s="759"/>
      <c r="K251" s="759"/>
      <c r="L251" s="759"/>
      <c r="M251" s="759"/>
      <c r="N251" s="759"/>
      <c r="O251" s="759"/>
      <c r="P251" s="759"/>
      <c r="Q251" s="759"/>
      <c r="R251" s="662"/>
      <c r="S251" s="760"/>
      <c r="T251" s="663"/>
      <c r="U251" s="760"/>
      <c r="V251" s="730"/>
      <c r="W251" s="741"/>
      <c r="X251" s="588"/>
    </row>
    <row r="252" spans="1:25" s="589" customFormat="1" x14ac:dyDescent="0.25">
      <c r="A252" s="604"/>
      <c r="B252" s="605"/>
      <c r="C252" s="605"/>
      <c r="D252" s="605"/>
      <c r="E252" s="605"/>
      <c r="F252" s="605"/>
      <c r="G252" s="605"/>
      <c r="H252" s="761"/>
      <c r="I252" s="761"/>
      <c r="J252" s="761"/>
      <c r="K252" s="761"/>
      <c r="L252" s="761"/>
      <c r="M252" s="761"/>
      <c r="N252" s="761"/>
      <c r="O252" s="761"/>
      <c r="P252" s="761"/>
      <c r="Q252" s="761"/>
      <c r="R252" s="662">
        <f>SUM(R243:R251)</f>
        <v>4124</v>
      </c>
      <c r="S252" s="760">
        <f>SUM(S243:S251)</f>
        <v>1</v>
      </c>
      <c r="T252" s="663">
        <f>SUM(T243:T251)</f>
        <v>559271</v>
      </c>
      <c r="U252" s="760">
        <f>SUM(U243:U251)</f>
        <v>1</v>
      </c>
      <c r="V252" s="605"/>
      <c r="W252" s="607"/>
      <c r="X252" s="588"/>
    </row>
    <row r="253" spans="1:25" x14ac:dyDescent="0.25">
      <c r="A253" s="574"/>
      <c r="B253" s="664"/>
      <c r="C253" s="664"/>
      <c r="D253" s="664"/>
      <c r="E253" s="664"/>
      <c r="F253" s="664"/>
      <c r="G253" s="664"/>
      <c r="H253" s="762"/>
      <c r="I253" s="762"/>
      <c r="J253" s="762"/>
      <c r="K253" s="762"/>
      <c r="L253" s="762"/>
      <c r="M253" s="762"/>
      <c r="N253" s="762"/>
      <c r="O253" s="762"/>
      <c r="P253" s="762"/>
      <c r="Q253" s="762"/>
      <c r="R253" s="665"/>
      <c r="S253" s="763"/>
      <c r="T253" s="764"/>
      <c r="U253" s="763"/>
      <c r="V253" s="664"/>
      <c r="W253" s="664"/>
      <c r="X253" s="572"/>
    </row>
    <row r="254" spans="1:25" x14ac:dyDescent="0.25">
      <c r="A254" s="597"/>
      <c r="B254" s="669" t="s">
        <v>162</v>
      </c>
      <c r="C254" s="670"/>
      <c r="D254" s="670"/>
      <c r="E254" s="670"/>
      <c r="F254" s="721"/>
      <c r="G254" s="670"/>
      <c r="H254" s="670"/>
      <c r="I254" s="670"/>
      <c r="J254" s="670"/>
      <c r="K254" s="670"/>
      <c r="L254" s="670"/>
      <c r="M254" s="670"/>
      <c r="N254" s="670"/>
      <c r="O254" s="670"/>
      <c r="P254" s="670"/>
      <c r="Q254" s="670"/>
      <c r="R254" s="721" t="s">
        <v>102</v>
      </c>
      <c r="S254" s="670" t="s">
        <v>103</v>
      </c>
      <c r="T254" s="721" t="s">
        <v>109</v>
      </c>
      <c r="U254" s="670" t="s">
        <v>103</v>
      </c>
      <c r="V254" s="598"/>
      <c r="W254" s="755"/>
      <c r="X254" s="572"/>
    </row>
    <row r="255" spans="1:25" s="589" customFormat="1" x14ac:dyDescent="0.25">
      <c r="A255" s="585"/>
      <c r="B255" s="673" t="s">
        <v>88</v>
      </c>
      <c r="C255" s="756"/>
      <c r="D255" s="756"/>
      <c r="E255" s="756"/>
      <c r="F255" s="602"/>
      <c r="G255" s="756"/>
      <c r="H255" s="756"/>
      <c r="I255" s="756"/>
      <c r="J255" s="756"/>
      <c r="K255" s="756"/>
      <c r="L255" s="756"/>
      <c r="M255" s="756"/>
      <c r="N255" s="756"/>
      <c r="O255" s="756"/>
      <c r="P255" s="756"/>
      <c r="Q255" s="756"/>
      <c r="R255" s="673">
        <v>4011</v>
      </c>
      <c r="S255" s="757">
        <f>R255/$R$264</f>
        <v>0.98988153998025663</v>
      </c>
      <c r="T255" s="674">
        <v>543635</v>
      </c>
      <c r="U255" s="757">
        <f t="shared" ref="U255:U262" si="5">T255/$T$264</f>
        <v>0.98947971933784118</v>
      </c>
      <c r="V255" s="725"/>
      <c r="W255" s="758"/>
      <c r="X255" s="588"/>
    </row>
    <row r="256" spans="1:25" s="589" customFormat="1" x14ac:dyDescent="0.25">
      <c r="A256" s="604"/>
      <c r="B256" s="662" t="s">
        <v>89</v>
      </c>
      <c r="C256" s="759"/>
      <c r="D256" s="759"/>
      <c r="E256" s="759"/>
      <c r="F256" s="605"/>
      <c r="G256" s="760"/>
      <c r="H256" s="759"/>
      <c r="I256" s="759"/>
      <c r="J256" s="759"/>
      <c r="K256" s="759"/>
      <c r="L256" s="759"/>
      <c r="M256" s="759"/>
      <c r="N256" s="759"/>
      <c r="O256" s="759"/>
      <c r="P256" s="759"/>
      <c r="Q256" s="759"/>
      <c r="R256" s="662">
        <v>33</v>
      </c>
      <c r="S256" s="760">
        <f t="shared" ref="S256:S262" si="6">R256/$R$264</f>
        <v>8.1441263573543924E-3</v>
      </c>
      <c r="T256" s="663">
        <v>4862</v>
      </c>
      <c r="U256" s="760">
        <f t="shared" si="5"/>
        <v>8.8494125569924375E-3</v>
      </c>
      <c r="V256" s="730"/>
      <c r="W256" s="741"/>
      <c r="X256" s="588"/>
      <c r="Y256" s="685"/>
    </row>
    <row r="257" spans="1:25" s="589" customFormat="1" x14ac:dyDescent="0.25">
      <c r="A257" s="604"/>
      <c r="B257" s="662" t="s">
        <v>90</v>
      </c>
      <c r="C257" s="759"/>
      <c r="D257" s="759"/>
      <c r="E257" s="759"/>
      <c r="F257" s="605"/>
      <c r="G257" s="760"/>
      <c r="H257" s="759"/>
      <c r="I257" s="759"/>
      <c r="J257" s="759"/>
      <c r="K257" s="759"/>
      <c r="L257" s="759"/>
      <c r="M257" s="759"/>
      <c r="N257" s="759"/>
      <c r="O257" s="759"/>
      <c r="P257" s="759"/>
      <c r="Q257" s="759"/>
      <c r="R257" s="662">
        <v>5</v>
      </c>
      <c r="S257" s="760">
        <f t="shared" si="6"/>
        <v>1.2339585389930898E-3</v>
      </c>
      <c r="T257" s="663">
        <v>570</v>
      </c>
      <c r="U257" s="760">
        <f t="shared" si="5"/>
        <v>1.0374671241229307E-3</v>
      </c>
      <c r="V257" s="730"/>
      <c r="W257" s="741"/>
      <c r="X257" s="588"/>
    </row>
    <row r="258" spans="1:25" s="589" customFormat="1" x14ac:dyDescent="0.25">
      <c r="A258" s="604"/>
      <c r="B258" s="662" t="s">
        <v>156</v>
      </c>
      <c r="C258" s="759"/>
      <c r="D258" s="759"/>
      <c r="E258" s="759"/>
      <c r="F258" s="605"/>
      <c r="G258" s="760"/>
      <c r="H258" s="759"/>
      <c r="I258" s="759"/>
      <c r="J258" s="759"/>
      <c r="K258" s="759"/>
      <c r="L258" s="759"/>
      <c r="M258" s="759"/>
      <c r="N258" s="759"/>
      <c r="O258" s="759"/>
      <c r="P258" s="759"/>
      <c r="Q258" s="759"/>
      <c r="R258" s="662">
        <v>2</v>
      </c>
      <c r="S258" s="760">
        <f t="shared" si="6"/>
        <v>4.935834155972359E-4</v>
      </c>
      <c r="T258" s="663">
        <v>209</v>
      </c>
      <c r="U258" s="760">
        <f t="shared" si="5"/>
        <v>3.8040461217840794E-4</v>
      </c>
      <c r="V258" s="730"/>
      <c r="W258" s="741"/>
      <c r="X258" s="588"/>
      <c r="Y258" s="685"/>
    </row>
    <row r="259" spans="1:25" s="589" customFormat="1" x14ac:dyDescent="0.25">
      <c r="A259" s="604"/>
      <c r="B259" s="662" t="s">
        <v>157</v>
      </c>
      <c r="C259" s="759"/>
      <c r="D259" s="759"/>
      <c r="E259" s="759"/>
      <c r="F259" s="605"/>
      <c r="G259" s="760"/>
      <c r="H259" s="759"/>
      <c r="I259" s="759"/>
      <c r="J259" s="759"/>
      <c r="K259" s="759"/>
      <c r="L259" s="759"/>
      <c r="M259" s="759"/>
      <c r="N259" s="759"/>
      <c r="O259" s="759"/>
      <c r="P259" s="759"/>
      <c r="Q259" s="759"/>
      <c r="R259" s="662">
        <v>0</v>
      </c>
      <c r="S259" s="760">
        <f t="shared" si="6"/>
        <v>0</v>
      </c>
      <c r="T259" s="663">
        <v>0</v>
      </c>
      <c r="U259" s="760">
        <f t="shared" si="5"/>
        <v>0</v>
      </c>
      <c r="V259" s="730"/>
      <c r="W259" s="741"/>
      <c r="X259" s="588"/>
    </row>
    <row r="260" spans="1:25" s="589" customFormat="1" x14ac:dyDescent="0.25">
      <c r="A260" s="604"/>
      <c r="B260" s="662" t="s">
        <v>158</v>
      </c>
      <c r="C260" s="759"/>
      <c r="D260" s="759"/>
      <c r="E260" s="759"/>
      <c r="F260" s="605"/>
      <c r="G260" s="760"/>
      <c r="H260" s="759"/>
      <c r="I260" s="759"/>
      <c r="J260" s="759"/>
      <c r="K260" s="759"/>
      <c r="L260" s="759"/>
      <c r="M260" s="759"/>
      <c r="N260" s="759"/>
      <c r="O260" s="759"/>
      <c r="P260" s="759"/>
      <c r="Q260" s="759"/>
      <c r="R260" s="662">
        <v>0</v>
      </c>
      <c r="S260" s="760">
        <f t="shared" si="6"/>
        <v>0</v>
      </c>
      <c r="T260" s="663">
        <v>0</v>
      </c>
      <c r="U260" s="760">
        <f t="shared" si="5"/>
        <v>0</v>
      </c>
      <c r="V260" s="730"/>
      <c r="W260" s="741"/>
      <c r="X260" s="588"/>
      <c r="Y260" s="685"/>
    </row>
    <row r="261" spans="1:25" s="589" customFormat="1" x14ac:dyDescent="0.25">
      <c r="A261" s="604"/>
      <c r="B261" s="662" t="s">
        <v>159</v>
      </c>
      <c r="C261" s="759"/>
      <c r="D261" s="759"/>
      <c r="E261" s="759"/>
      <c r="F261" s="605"/>
      <c r="G261" s="760"/>
      <c r="H261" s="759"/>
      <c r="I261" s="759"/>
      <c r="J261" s="759"/>
      <c r="K261" s="759"/>
      <c r="L261" s="759"/>
      <c r="M261" s="759"/>
      <c r="N261" s="759"/>
      <c r="O261" s="759"/>
      <c r="P261" s="759"/>
      <c r="Q261" s="759"/>
      <c r="R261" s="662">
        <v>1</v>
      </c>
      <c r="S261" s="760">
        <f t="shared" si="6"/>
        <v>2.4679170779861795E-4</v>
      </c>
      <c r="T261" s="663">
        <v>139</v>
      </c>
      <c r="U261" s="760">
        <f t="shared" si="5"/>
        <v>2.5299636886506557E-4</v>
      </c>
      <c r="V261" s="730"/>
      <c r="W261" s="741"/>
      <c r="X261" s="588"/>
    </row>
    <row r="262" spans="1:25" s="589" customFormat="1" x14ac:dyDescent="0.25">
      <c r="A262" s="604"/>
      <c r="B262" s="662" t="s">
        <v>160</v>
      </c>
      <c r="C262" s="759"/>
      <c r="D262" s="759"/>
      <c r="E262" s="759"/>
      <c r="F262" s="605"/>
      <c r="G262" s="760"/>
      <c r="H262" s="759"/>
      <c r="I262" s="759"/>
      <c r="J262" s="759"/>
      <c r="K262" s="759"/>
      <c r="L262" s="759"/>
      <c r="M262" s="759"/>
      <c r="N262" s="759"/>
      <c r="O262" s="759"/>
      <c r="P262" s="759"/>
      <c r="Q262" s="759"/>
      <c r="R262" s="662">
        <v>0</v>
      </c>
      <c r="S262" s="760">
        <f t="shared" si="6"/>
        <v>0</v>
      </c>
      <c r="T262" s="663">
        <v>0</v>
      </c>
      <c r="U262" s="760">
        <f t="shared" si="5"/>
        <v>0</v>
      </c>
      <c r="V262" s="730"/>
      <c r="W262" s="741"/>
      <c r="X262" s="588"/>
      <c r="Y262" s="685"/>
    </row>
    <row r="263" spans="1:25" s="589" customFormat="1" x14ac:dyDescent="0.25">
      <c r="A263" s="604"/>
      <c r="B263" s="662"/>
      <c r="C263" s="759"/>
      <c r="D263" s="759"/>
      <c r="E263" s="759"/>
      <c r="F263" s="605"/>
      <c r="G263" s="760"/>
      <c r="H263" s="759"/>
      <c r="I263" s="759"/>
      <c r="J263" s="759"/>
      <c r="K263" s="759"/>
      <c r="L263" s="759"/>
      <c r="M263" s="759"/>
      <c r="N263" s="759"/>
      <c r="O263" s="759"/>
      <c r="P263" s="759"/>
      <c r="Q263" s="759"/>
      <c r="R263" s="662"/>
      <c r="S263" s="760"/>
      <c r="T263" s="663"/>
      <c r="U263" s="760"/>
      <c r="V263" s="730"/>
      <c r="W263" s="741"/>
      <c r="X263" s="588"/>
    </row>
    <row r="264" spans="1:25" s="589" customFormat="1" x14ac:dyDescent="0.25">
      <c r="A264" s="604"/>
      <c r="B264" s="605"/>
      <c r="C264" s="605"/>
      <c r="D264" s="605"/>
      <c r="E264" s="605"/>
      <c r="F264" s="605"/>
      <c r="G264" s="605"/>
      <c r="H264" s="761"/>
      <c r="I264" s="761"/>
      <c r="J264" s="761"/>
      <c r="K264" s="761"/>
      <c r="L264" s="761"/>
      <c r="M264" s="761"/>
      <c r="N264" s="761"/>
      <c r="O264" s="761"/>
      <c r="P264" s="761"/>
      <c r="Q264" s="761"/>
      <c r="R264" s="662">
        <f>SUM(R255:R263)</f>
        <v>4052</v>
      </c>
      <c r="S264" s="760">
        <f>SUM(S255:S263)</f>
        <v>1</v>
      </c>
      <c r="T264" s="663">
        <f>SUM(T255:T263)</f>
        <v>549415</v>
      </c>
      <c r="U264" s="760">
        <f>SUM(U255:U263)</f>
        <v>1</v>
      </c>
      <c r="V264" s="605"/>
      <c r="W264" s="607"/>
      <c r="X264" s="588"/>
    </row>
    <row r="265" spans="1:25" x14ac:dyDescent="0.25">
      <c r="A265" s="574"/>
      <c r="B265" s="664"/>
      <c r="C265" s="664"/>
      <c r="D265" s="664"/>
      <c r="E265" s="664"/>
      <c r="F265" s="664"/>
      <c r="G265" s="664"/>
      <c r="H265" s="762"/>
      <c r="I265" s="762"/>
      <c r="J265" s="762"/>
      <c r="K265" s="762"/>
      <c r="L265" s="762"/>
      <c r="M265" s="762"/>
      <c r="N265" s="762"/>
      <c r="O265" s="762"/>
      <c r="P265" s="762"/>
      <c r="Q265" s="762"/>
      <c r="R265" s="665"/>
      <c r="S265" s="763"/>
      <c r="T265" s="764"/>
      <c r="U265" s="763"/>
      <c r="V265" s="664"/>
      <c r="W265" s="664"/>
      <c r="X265" s="572"/>
    </row>
    <row r="266" spans="1:25" x14ac:dyDescent="0.25">
      <c r="A266" s="597"/>
      <c r="B266" s="669" t="s">
        <v>236</v>
      </c>
      <c r="C266" s="670"/>
      <c r="D266" s="670"/>
      <c r="E266" s="670"/>
      <c r="F266" s="721"/>
      <c r="G266" s="670"/>
      <c r="H266" s="670"/>
      <c r="I266" s="670"/>
      <c r="J266" s="670"/>
      <c r="K266" s="670"/>
      <c r="L266" s="670"/>
      <c r="M266" s="670"/>
      <c r="N266" s="670"/>
      <c r="O266" s="670"/>
      <c r="P266" s="670"/>
      <c r="Q266" s="670"/>
      <c r="R266" s="721" t="s">
        <v>102</v>
      </c>
      <c r="S266" s="670" t="s">
        <v>103</v>
      </c>
      <c r="T266" s="721" t="s">
        <v>109</v>
      </c>
      <c r="U266" s="670" t="s">
        <v>103</v>
      </c>
      <c r="V266" s="598"/>
      <c r="W266" s="601"/>
      <c r="X266" s="572"/>
    </row>
    <row r="267" spans="1:25" s="589" customFormat="1" x14ac:dyDescent="0.25">
      <c r="A267" s="585"/>
      <c r="B267" s="673" t="s">
        <v>88</v>
      </c>
      <c r="C267" s="756"/>
      <c r="D267" s="756"/>
      <c r="E267" s="756"/>
      <c r="F267" s="602"/>
      <c r="G267" s="756"/>
      <c r="H267" s="756"/>
      <c r="I267" s="756"/>
      <c r="J267" s="756"/>
      <c r="K267" s="756"/>
      <c r="L267" s="756"/>
      <c r="M267" s="756"/>
      <c r="N267" s="756"/>
      <c r="O267" s="756"/>
      <c r="P267" s="756"/>
      <c r="Q267" s="756"/>
      <c r="R267" s="673">
        <v>50</v>
      </c>
      <c r="S267" s="757">
        <f t="shared" ref="S267:S273" si="7">R267/$R$276</f>
        <v>0.70422535211267601</v>
      </c>
      <c r="T267" s="674">
        <v>6972</v>
      </c>
      <c r="U267" s="757">
        <f t="shared" ref="U267:U274" si="8">T267/$T$276</f>
        <v>0.70961832061068697</v>
      </c>
      <c r="V267" s="602"/>
      <c r="W267" s="602"/>
      <c r="X267" s="588"/>
    </row>
    <row r="268" spans="1:25" s="589" customFormat="1" x14ac:dyDescent="0.25">
      <c r="A268" s="604"/>
      <c r="B268" s="662" t="s">
        <v>89</v>
      </c>
      <c r="C268" s="759"/>
      <c r="D268" s="759"/>
      <c r="E268" s="759"/>
      <c r="F268" s="605"/>
      <c r="G268" s="760"/>
      <c r="H268" s="759"/>
      <c r="I268" s="759"/>
      <c r="J268" s="759"/>
      <c r="K268" s="759"/>
      <c r="L268" s="759"/>
      <c r="M268" s="759"/>
      <c r="N268" s="759"/>
      <c r="O268" s="759"/>
      <c r="P268" s="759"/>
      <c r="Q268" s="759"/>
      <c r="R268" s="662">
        <v>2</v>
      </c>
      <c r="S268" s="760">
        <f t="shared" si="7"/>
        <v>2.8169014084507043E-2</v>
      </c>
      <c r="T268" s="663">
        <v>168</v>
      </c>
      <c r="U268" s="760">
        <f t="shared" si="8"/>
        <v>1.7099236641221375E-2</v>
      </c>
      <c r="V268" s="605"/>
      <c r="W268" s="607"/>
      <c r="X268" s="588"/>
    </row>
    <row r="269" spans="1:25" s="589" customFormat="1" x14ac:dyDescent="0.25">
      <c r="A269" s="604"/>
      <c r="B269" s="662" t="s">
        <v>90</v>
      </c>
      <c r="C269" s="759"/>
      <c r="D269" s="759"/>
      <c r="E269" s="759"/>
      <c r="F269" s="605"/>
      <c r="G269" s="760"/>
      <c r="H269" s="759"/>
      <c r="I269" s="759"/>
      <c r="J269" s="759"/>
      <c r="K269" s="759"/>
      <c r="L269" s="759"/>
      <c r="M269" s="759"/>
      <c r="N269" s="759"/>
      <c r="O269" s="759"/>
      <c r="P269" s="759"/>
      <c r="Q269" s="759"/>
      <c r="R269" s="662">
        <v>4</v>
      </c>
      <c r="S269" s="760">
        <f t="shared" si="7"/>
        <v>5.6338028169014086E-2</v>
      </c>
      <c r="T269" s="663">
        <v>456</v>
      </c>
      <c r="U269" s="760">
        <f t="shared" si="8"/>
        <v>4.6412213740458015E-2</v>
      </c>
      <c r="V269" s="605"/>
      <c r="W269" s="607"/>
      <c r="X269" s="588"/>
    </row>
    <row r="270" spans="1:25" s="589" customFormat="1" x14ac:dyDescent="0.25">
      <c r="A270" s="604"/>
      <c r="B270" s="662" t="s">
        <v>156</v>
      </c>
      <c r="C270" s="759"/>
      <c r="D270" s="759"/>
      <c r="E270" s="759"/>
      <c r="F270" s="605"/>
      <c r="G270" s="760"/>
      <c r="H270" s="759"/>
      <c r="I270" s="759"/>
      <c r="J270" s="759"/>
      <c r="K270" s="759"/>
      <c r="L270" s="759"/>
      <c r="M270" s="759"/>
      <c r="N270" s="759"/>
      <c r="O270" s="759"/>
      <c r="P270" s="759"/>
      <c r="Q270" s="759"/>
      <c r="R270" s="662">
        <v>3</v>
      </c>
      <c r="S270" s="760">
        <f t="shared" si="7"/>
        <v>4.2253521126760563E-2</v>
      </c>
      <c r="T270" s="663">
        <v>385</v>
      </c>
      <c r="U270" s="760">
        <f t="shared" si="8"/>
        <v>3.9185750636132319E-2</v>
      </c>
      <c r="V270" s="605"/>
      <c r="W270" s="607"/>
      <c r="X270" s="588"/>
    </row>
    <row r="271" spans="1:25" s="589" customFormat="1" x14ac:dyDescent="0.25">
      <c r="A271" s="604"/>
      <c r="B271" s="662" t="s">
        <v>157</v>
      </c>
      <c r="C271" s="759"/>
      <c r="D271" s="759"/>
      <c r="E271" s="759"/>
      <c r="F271" s="605"/>
      <c r="G271" s="760"/>
      <c r="H271" s="759"/>
      <c r="I271" s="759"/>
      <c r="J271" s="759"/>
      <c r="K271" s="759"/>
      <c r="L271" s="759"/>
      <c r="M271" s="759"/>
      <c r="N271" s="759"/>
      <c r="O271" s="759"/>
      <c r="P271" s="759"/>
      <c r="Q271" s="759"/>
      <c r="R271" s="662">
        <v>8</v>
      </c>
      <c r="S271" s="760">
        <f t="shared" si="7"/>
        <v>0.11267605633802817</v>
      </c>
      <c r="T271" s="663">
        <v>981</v>
      </c>
      <c r="U271" s="760">
        <f t="shared" si="8"/>
        <v>9.9847328244274808E-2</v>
      </c>
      <c r="V271" s="605"/>
      <c r="W271" s="607"/>
      <c r="X271" s="588"/>
    </row>
    <row r="272" spans="1:25" s="589" customFormat="1" x14ac:dyDescent="0.25">
      <c r="A272" s="604"/>
      <c r="B272" s="662" t="s">
        <v>158</v>
      </c>
      <c r="C272" s="759"/>
      <c r="D272" s="759"/>
      <c r="E272" s="759"/>
      <c r="F272" s="605"/>
      <c r="G272" s="760"/>
      <c r="H272" s="759"/>
      <c r="I272" s="759"/>
      <c r="J272" s="759"/>
      <c r="K272" s="759"/>
      <c r="L272" s="759"/>
      <c r="M272" s="759"/>
      <c r="N272" s="759"/>
      <c r="O272" s="759"/>
      <c r="P272" s="759"/>
      <c r="Q272" s="759"/>
      <c r="R272" s="662">
        <v>0</v>
      </c>
      <c r="S272" s="760">
        <f t="shared" si="7"/>
        <v>0</v>
      </c>
      <c r="T272" s="663">
        <v>0</v>
      </c>
      <c r="U272" s="760">
        <f t="shared" si="8"/>
        <v>0</v>
      </c>
      <c r="V272" s="605"/>
      <c r="W272" s="607"/>
      <c r="X272" s="588"/>
    </row>
    <row r="273" spans="1:24" s="589" customFormat="1" x14ac:dyDescent="0.25">
      <c r="A273" s="604"/>
      <c r="B273" s="662" t="s">
        <v>159</v>
      </c>
      <c r="C273" s="759"/>
      <c r="D273" s="759"/>
      <c r="E273" s="759"/>
      <c r="F273" s="605"/>
      <c r="G273" s="760"/>
      <c r="H273" s="759"/>
      <c r="I273" s="759"/>
      <c r="J273" s="759"/>
      <c r="K273" s="759"/>
      <c r="L273" s="759"/>
      <c r="M273" s="759"/>
      <c r="N273" s="759"/>
      <c r="O273" s="759"/>
      <c r="P273" s="759"/>
      <c r="Q273" s="759"/>
      <c r="R273" s="662">
        <v>2</v>
      </c>
      <c r="S273" s="760">
        <f t="shared" si="7"/>
        <v>2.8169014084507043E-2</v>
      </c>
      <c r="T273" s="663">
        <v>143</v>
      </c>
      <c r="U273" s="760">
        <f t="shared" si="8"/>
        <v>1.4554707379134861E-2</v>
      </c>
      <c r="V273" s="605"/>
      <c r="W273" s="607"/>
      <c r="X273" s="588"/>
    </row>
    <row r="274" spans="1:24" s="589" customFormat="1" x14ac:dyDescent="0.25">
      <c r="A274" s="604"/>
      <c r="B274" s="662" t="s">
        <v>160</v>
      </c>
      <c r="C274" s="759"/>
      <c r="D274" s="759"/>
      <c r="E274" s="759"/>
      <c r="F274" s="605"/>
      <c r="G274" s="760"/>
      <c r="H274" s="759"/>
      <c r="I274" s="759"/>
      <c r="J274" s="759"/>
      <c r="K274" s="759"/>
      <c r="L274" s="759"/>
      <c r="M274" s="759"/>
      <c r="N274" s="759"/>
      <c r="O274" s="759"/>
      <c r="P274" s="759"/>
      <c r="Q274" s="759"/>
      <c r="R274" s="662">
        <v>2</v>
      </c>
      <c r="S274" s="760">
        <f>R274/$R$276</f>
        <v>2.8169014084507043E-2</v>
      </c>
      <c r="T274" s="663">
        <v>720</v>
      </c>
      <c r="U274" s="760">
        <f t="shared" si="8"/>
        <v>7.3282442748091606E-2</v>
      </c>
      <c r="V274" s="605"/>
      <c r="W274" s="607"/>
      <c r="X274" s="588"/>
    </row>
    <row r="275" spans="1:24" s="589" customFormat="1" x14ac:dyDescent="0.25">
      <c r="A275" s="604"/>
      <c r="B275" s="662"/>
      <c r="C275" s="759"/>
      <c r="D275" s="759"/>
      <c r="E275" s="759"/>
      <c r="F275" s="605"/>
      <c r="G275" s="760"/>
      <c r="H275" s="759"/>
      <c r="I275" s="759"/>
      <c r="J275" s="759"/>
      <c r="K275" s="759"/>
      <c r="L275" s="759"/>
      <c r="M275" s="759"/>
      <c r="N275" s="759"/>
      <c r="O275" s="759"/>
      <c r="P275" s="759"/>
      <c r="Q275" s="759"/>
      <c r="R275" s="662"/>
      <c r="S275" s="760"/>
      <c r="T275" s="663"/>
      <c r="U275" s="760"/>
      <c r="V275" s="605"/>
      <c r="W275" s="607"/>
      <c r="X275" s="588"/>
    </row>
    <row r="276" spans="1:24" s="589" customFormat="1" x14ac:dyDescent="0.25">
      <c r="A276" s="604"/>
      <c r="B276" s="605"/>
      <c r="C276" s="605"/>
      <c r="D276" s="605"/>
      <c r="E276" s="605"/>
      <c r="F276" s="605"/>
      <c r="G276" s="605"/>
      <c r="H276" s="761"/>
      <c r="I276" s="761"/>
      <c r="J276" s="761"/>
      <c r="K276" s="761"/>
      <c r="L276" s="761"/>
      <c r="M276" s="761"/>
      <c r="N276" s="761"/>
      <c r="O276" s="761"/>
      <c r="P276" s="761"/>
      <c r="Q276" s="761"/>
      <c r="R276" s="662">
        <f>SUM(R267:R275)</f>
        <v>71</v>
      </c>
      <c r="S276" s="760">
        <f>SUM(S267:S275)</f>
        <v>0.99999999999999989</v>
      </c>
      <c r="T276" s="663">
        <f>SUM(T267:T275)</f>
        <v>9825</v>
      </c>
      <c r="U276" s="760">
        <f>SUM(U267:U275)</f>
        <v>0.99999999999999989</v>
      </c>
      <c r="V276" s="605"/>
      <c r="W276" s="607"/>
      <c r="X276" s="588"/>
    </row>
    <row r="277" spans="1:24" x14ac:dyDescent="0.25">
      <c r="A277" s="574"/>
      <c r="B277" s="664"/>
      <c r="C277" s="664"/>
      <c r="D277" s="664"/>
      <c r="E277" s="664"/>
      <c r="F277" s="664"/>
      <c r="G277" s="664"/>
      <c r="H277" s="762"/>
      <c r="I277" s="762"/>
      <c r="J277" s="762"/>
      <c r="K277" s="762"/>
      <c r="L277" s="762"/>
      <c r="M277" s="762"/>
      <c r="N277" s="762"/>
      <c r="O277" s="762"/>
      <c r="P277" s="762"/>
      <c r="Q277" s="762"/>
      <c r="R277" s="665"/>
      <c r="S277" s="763"/>
      <c r="T277" s="764"/>
      <c r="U277" s="763"/>
      <c r="V277" s="664"/>
      <c r="W277" s="664"/>
      <c r="X277" s="572"/>
    </row>
    <row r="278" spans="1:24" x14ac:dyDescent="0.25">
      <c r="A278" s="597"/>
      <c r="B278" s="669" t="s">
        <v>163</v>
      </c>
      <c r="C278" s="598"/>
      <c r="D278" s="598"/>
      <c r="E278" s="598"/>
      <c r="F278" s="598"/>
      <c r="G278" s="598"/>
      <c r="H278" s="765"/>
      <c r="I278" s="765"/>
      <c r="J278" s="765"/>
      <c r="K278" s="765"/>
      <c r="L278" s="765"/>
      <c r="M278" s="765"/>
      <c r="N278" s="765"/>
      <c r="O278" s="765"/>
      <c r="P278" s="765"/>
      <c r="Q278" s="765"/>
      <c r="R278" s="721" t="s">
        <v>102</v>
      </c>
      <c r="S278" s="670" t="s">
        <v>103</v>
      </c>
      <c r="T278" s="721" t="s">
        <v>109</v>
      </c>
      <c r="U278" s="670" t="s">
        <v>103</v>
      </c>
      <c r="V278" s="598"/>
      <c r="W278" s="601"/>
      <c r="X278" s="572"/>
    </row>
    <row r="279" spans="1:24" s="589" customFormat="1" x14ac:dyDescent="0.25">
      <c r="A279" s="585"/>
      <c r="B279" s="673" t="s">
        <v>88</v>
      </c>
      <c r="C279" s="602"/>
      <c r="D279" s="602"/>
      <c r="E279" s="602"/>
      <c r="F279" s="602"/>
      <c r="G279" s="602"/>
      <c r="H279" s="766"/>
      <c r="I279" s="766"/>
      <c r="J279" s="766"/>
      <c r="K279" s="766"/>
      <c r="L279" s="766"/>
      <c r="M279" s="766"/>
      <c r="N279" s="766"/>
      <c r="O279" s="766"/>
      <c r="P279" s="766"/>
      <c r="Q279" s="766"/>
      <c r="R279" s="673">
        <v>1</v>
      </c>
      <c r="S279" s="757">
        <v>1</v>
      </c>
      <c r="T279" s="674">
        <v>31</v>
      </c>
      <c r="U279" s="757">
        <v>1</v>
      </c>
      <c r="V279" s="602"/>
      <c r="W279" s="602"/>
      <c r="X279" s="588"/>
    </row>
    <row r="280" spans="1:24" s="589" customFormat="1" x14ac:dyDescent="0.25">
      <c r="A280" s="604"/>
      <c r="B280" s="662" t="s">
        <v>89</v>
      </c>
      <c r="C280" s="605"/>
      <c r="D280" s="605"/>
      <c r="E280" s="605"/>
      <c r="F280" s="605"/>
      <c r="G280" s="605"/>
      <c r="H280" s="761"/>
      <c r="I280" s="761"/>
      <c r="J280" s="761"/>
      <c r="K280" s="761"/>
      <c r="L280" s="761"/>
      <c r="M280" s="761"/>
      <c r="N280" s="761"/>
      <c r="O280" s="761"/>
      <c r="P280" s="761"/>
      <c r="Q280" s="761"/>
      <c r="R280" s="662">
        <v>0</v>
      </c>
      <c r="S280" s="760">
        <v>0</v>
      </c>
      <c r="T280" s="663">
        <v>0</v>
      </c>
      <c r="U280" s="760">
        <v>0</v>
      </c>
      <c r="V280" s="605"/>
      <c r="W280" s="607"/>
      <c r="X280" s="588"/>
    </row>
    <row r="281" spans="1:24" s="589" customFormat="1" x14ac:dyDescent="0.25">
      <c r="A281" s="604"/>
      <c r="B281" s="662" t="s">
        <v>90</v>
      </c>
      <c r="C281" s="605"/>
      <c r="D281" s="605"/>
      <c r="E281" s="605"/>
      <c r="F281" s="605"/>
      <c r="G281" s="605"/>
      <c r="H281" s="761"/>
      <c r="I281" s="761"/>
      <c r="J281" s="761"/>
      <c r="K281" s="761"/>
      <c r="L281" s="761"/>
      <c r="M281" s="761"/>
      <c r="N281" s="761"/>
      <c r="O281" s="761"/>
      <c r="P281" s="761"/>
      <c r="Q281" s="761"/>
      <c r="R281" s="662">
        <v>0</v>
      </c>
      <c r="S281" s="760">
        <v>0</v>
      </c>
      <c r="T281" s="663">
        <v>0</v>
      </c>
      <c r="U281" s="760">
        <v>0</v>
      </c>
      <c r="V281" s="605"/>
      <c r="W281" s="607"/>
      <c r="X281" s="588"/>
    </row>
    <row r="282" spans="1:24" s="589" customFormat="1" x14ac:dyDescent="0.25">
      <c r="A282" s="604"/>
      <c r="B282" s="662" t="s">
        <v>156</v>
      </c>
      <c r="C282" s="605"/>
      <c r="D282" s="605"/>
      <c r="E282" s="605"/>
      <c r="F282" s="605"/>
      <c r="G282" s="605"/>
      <c r="H282" s="761"/>
      <c r="I282" s="761"/>
      <c r="J282" s="761"/>
      <c r="K282" s="761"/>
      <c r="L282" s="761"/>
      <c r="M282" s="761"/>
      <c r="N282" s="761"/>
      <c r="O282" s="761"/>
      <c r="P282" s="761"/>
      <c r="Q282" s="761"/>
      <c r="R282" s="662">
        <v>0</v>
      </c>
      <c r="S282" s="760">
        <v>0</v>
      </c>
      <c r="T282" s="663">
        <v>0</v>
      </c>
      <c r="U282" s="760">
        <v>0</v>
      </c>
      <c r="V282" s="605"/>
      <c r="W282" s="607"/>
      <c r="X282" s="588"/>
    </row>
    <row r="283" spans="1:24" s="589" customFormat="1" x14ac:dyDescent="0.25">
      <c r="A283" s="604"/>
      <c r="B283" s="662" t="s">
        <v>157</v>
      </c>
      <c r="C283" s="605"/>
      <c r="D283" s="605"/>
      <c r="E283" s="605"/>
      <c r="F283" s="605"/>
      <c r="G283" s="605"/>
      <c r="H283" s="761"/>
      <c r="I283" s="761"/>
      <c r="J283" s="761"/>
      <c r="K283" s="761"/>
      <c r="L283" s="761"/>
      <c r="M283" s="761"/>
      <c r="N283" s="761"/>
      <c r="O283" s="761"/>
      <c r="P283" s="761"/>
      <c r="Q283" s="761"/>
      <c r="R283" s="662">
        <v>0</v>
      </c>
      <c r="S283" s="760">
        <v>0</v>
      </c>
      <c r="T283" s="663">
        <v>0</v>
      </c>
      <c r="U283" s="760">
        <v>0</v>
      </c>
      <c r="V283" s="605"/>
      <c r="W283" s="607"/>
      <c r="X283" s="588"/>
    </row>
    <row r="284" spans="1:24" s="589" customFormat="1" x14ac:dyDescent="0.25">
      <c r="A284" s="604"/>
      <c r="B284" s="662" t="s">
        <v>158</v>
      </c>
      <c r="C284" s="605"/>
      <c r="D284" s="605"/>
      <c r="E284" s="605"/>
      <c r="F284" s="605"/>
      <c r="G284" s="605"/>
      <c r="H284" s="761"/>
      <c r="I284" s="761"/>
      <c r="J284" s="761"/>
      <c r="K284" s="761"/>
      <c r="L284" s="761"/>
      <c r="M284" s="761"/>
      <c r="N284" s="761"/>
      <c r="O284" s="761"/>
      <c r="P284" s="761"/>
      <c r="Q284" s="761"/>
      <c r="R284" s="662">
        <v>0</v>
      </c>
      <c r="S284" s="760">
        <v>0</v>
      </c>
      <c r="T284" s="663">
        <v>0</v>
      </c>
      <c r="U284" s="760">
        <v>0</v>
      </c>
      <c r="V284" s="605"/>
      <c r="W284" s="607"/>
      <c r="X284" s="588"/>
    </row>
    <row r="285" spans="1:24" s="589" customFormat="1" x14ac:dyDescent="0.25">
      <c r="A285" s="604"/>
      <c r="B285" s="662" t="s">
        <v>159</v>
      </c>
      <c r="C285" s="605"/>
      <c r="D285" s="605"/>
      <c r="E285" s="605"/>
      <c r="F285" s="605"/>
      <c r="G285" s="605"/>
      <c r="H285" s="761"/>
      <c r="I285" s="761"/>
      <c r="J285" s="761"/>
      <c r="K285" s="761"/>
      <c r="L285" s="761"/>
      <c r="M285" s="761"/>
      <c r="N285" s="761"/>
      <c r="O285" s="761"/>
      <c r="P285" s="761"/>
      <c r="Q285" s="761"/>
      <c r="R285" s="662">
        <v>0</v>
      </c>
      <c r="S285" s="760">
        <v>0</v>
      </c>
      <c r="T285" s="663">
        <v>0</v>
      </c>
      <c r="U285" s="760">
        <v>0</v>
      </c>
      <c r="V285" s="605"/>
      <c r="W285" s="607"/>
      <c r="X285" s="588"/>
    </row>
    <row r="286" spans="1:24" s="589" customFormat="1" x14ac:dyDescent="0.25">
      <c r="A286" s="604"/>
      <c r="B286" s="662" t="s">
        <v>160</v>
      </c>
      <c r="C286" s="605"/>
      <c r="D286" s="605"/>
      <c r="E286" s="605"/>
      <c r="F286" s="605"/>
      <c r="G286" s="605"/>
      <c r="H286" s="761"/>
      <c r="I286" s="761"/>
      <c r="J286" s="761"/>
      <c r="K286" s="761"/>
      <c r="L286" s="761"/>
      <c r="M286" s="761"/>
      <c r="N286" s="761"/>
      <c r="O286" s="761"/>
      <c r="P286" s="761"/>
      <c r="Q286" s="761"/>
      <c r="R286" s="662">
        <v>0</v>
      </c>
      <c r="S286" s="760">
        <v>0</v>
      </c>
      <c r="T286" s="663">
        <v>0</v>
      </c>
      <c r="U286" s="760">
        <v>0</v>
      </c>
      <c r="V286" s="605"/>
      <c r="W286" s="607"/>
      <c r="X286" s="588"/>
    </row>
    <row r="287" spans="1:24" s="589" customFormat="1" x14ac:dyDescent="0.25">
      <c r="A287" s="604"/>
      <c r="B287" s="662"/>
      <c r="C287" s="605"/>
      <c r="D287" s="605"/>
      <c r="E287" s="605"/>
      <c r="F287" s="605"/>
      <c r="G287" s="605"/>
      <c r="H287" s="761"/>
      <c r="I287" s="761"/>
      <c r="J287" s="761"/>
      <c r="K287" s="761"/>
      <c r="L287" s="761"/>
      <c r="M287" s="761"/>
      <c r="N287" s="761"/>
      <c r="O287" s="761"/>
      <c r="P287" s="761"/>
      <c r="Q287" s="761"/>
      <c r="R287" s="662"/>
      <c r="S287" s="760"/>
      <c r="T287" s="663"/>
      <c r="U287" s="760"/>
      <c r="V287" s="605"/>
      <c r="W287" s="607"/>
      <c r="X287" s="588"/>
    </row>
    <row r="288" spans="1:24" s="589" customFormat="1" x14ac:dyDescent="0.25">
      <c r="A288" s="604"/>
      <c r="B288" s="605" t="s">
        <v>114</v>
      </c>
      <c r="C288" s="605"/>
      <c r="D288" s="605"/>
      <c r="E288" s="605"/>
      <c r="F288" s="605"/>
      <c r="G288" s="605"/>
      <c r="H288" s="761"/>
      <c r="I288" s="761"/>
      <c r="J288" s="761"/>
      <c r="K288" s="761"/>
      <c r="L288" s="761"/>
      <c r="M288" s="761"/>
      <c r="N288" s="761"/>
      <c r="O288" s="761"/>
      <c r="P288" s="761"/>
      <c r="Q288" s="761"/>
      <c r="R288" s="662">
        <f>SUM(R279:R286)</f>
        <v>1</v>
      </c>
      <c r="S288" s="760">
        <f>SUM(S279:S286)</f>
        <v>1</v>
      </c>
      <c r="T288" s="663">
        <f>SUM(T279:T286)</f>
        <v>31</v>
      </c>
      <c r="U288" s="760">
        <f>SUM(U279:U286)</f>
        <v>1</v>
      </c>
      <c r="V288" s="605"/>
      <c r="W288" s="607"/>
      <c r="X288" s="588"/>
    </row>
    <row r="289" spans="1:24" s="589" customFormat="1" x14ac:dyDescent="0.25">
      <c r="A289" s="604"/>
      <c r="B289" s="605"/>
      <c r="C289" s="605"/>
      <c r="D289" s="605"/>
      <c r="E289" s="605"/>
      <c r="F289" s="605"/>
      <c r="G289" s="605"/>
      <c r="H289" s="761"/>
      <c r="I289" s="761"/>
      <c r="J289" s="761"/>
      <c r="K289" s="761"/>
      <c r="L289" s="761"/>
      <c r="M289" s="761"/>
      <c r="N289" s="761"/>
      <c r="O289" s="761"/>
      <c r="P289" s="761"/>
      <c r="Q289" s="761"/>
      <c r="R289" s="662"/>
      <c r="S289" s="760"/>
      <c r="T289" s="663"/>
      <c r="U289" s="760"/>
      <c r="V289" s="605"/>
      <c r="W289" s="607"/>
      <c r="X289" s="588"/>
    </row>
    <row r="290" spans="1:24" s="589" customFormat="1" x14ac:dyDescent="0.25">
      <c r="A290" s="604"/>
      <c r="B290" s="610" t="s">
        <v>164</v>
      </c>
      <c r="C290" s="605"/>
      <c r="D290" s="605"/>
      <c r="E290" s="605"/>
      <c r="F290" s="605"/>
      <c r="G290" s="605"/>
      <c r="H290" s="761"/>
      <c r="I290" s="761"/>
      <c r="J290" s="761"/>
      <c r="K290" s="761"/>
      <c r="L290" s="761"/>
      <c r="M290" s="761"/>
      <c r="N290" s="761"/>
      <c r="O290" s="761"/>
      <c r="P290" s="761"/>
      <c r="Q290" s="761"/>
      <c r="R290" s="767">
        <f>R288+R276+R264</f>
        <v>4124</v>
      </c>
      <c r="S290" s="760"/>
      <c r="T290" s="768">
        <f>+T288+T276+T264</f>
        <v>559271</v>
      </c>
      <c r="U290" s="760"/>
      <c r="V290" s="605"/>
      <c r="W290" s="607"/>
      <c r="X290" s="588"/>
    </row>
    <row r="291" spans="1:24" s="589" customFormat="1" x14ac:dyDescent="0.25">
      <c r="A291" s="585"/>
      <c r="B291" s="602"/>
      <c r="C291" s="602"/>
      <c r="D291" s="602"/>
      <c r="E291" s="602"/>
      <c r="F291" s="602"/>
      <c r="G291" s="602"/>
      <c r="H291" s="766"/>
      <c r="I291" s="766"/>
      <c r="J291" s="766"/>
      <c r="K291" s="766"/>
      <c r="L291" s="766"/>
      <c r="M291" s="766"/>
      <c r="N291" s="766"/>
      <c r="O291" s="766"/>
      <c r="P291" s="766"/>
      <c r="Q291" s="766"/>
      <c r="R291" s="766"/>
      <c r="S291" s="766"/>
      <c r="T291" s="674"/>
      <c r="U291" s="766"/>
      <c r="V291" s="602"/>
      <c r="W291" s="602"/>
      <c r="X291" s="588"/>
    </row>
    <row r="292" spans="1:24" s="589" customFormat="1" x14ac:dyDescent="0.25">
      <c r="A292" s="585"/>
      <c r="B292" s="586"/>
      <c r="C292" s="586"/>
      <c r="D292" s="586"/>
      <c r="E292" s="586"/>
      <c r="F292" s="586"/>
      <c r="G292" s="586"/>
      <c r="H292" s="769"/>
      <c r="I292" s="769"/>
      <c r="J292" s="769"/>
      <c r="K292" s="769"/>
      <c r="L292" s="769"/>
      <c r="M292" s="769"/>
      <c r="N292" s="769"/>
      <c r="O292" s="769"/>
      <c r="P292" s="769"/>
      <c r="Q292" s="769"/>
      <c r="R292" s="769"/>
      <c r="S292" s="769"/>
      <c r="T292" s="770"/>
      <c r="U292" s="769"/>
      <c r="V292" s="586"/>
      <c r="W292" s="586"/>
      <c r="X292" s="588"/>
    </row>
    <row r="293" spans="1:24" s="589" customFormat="1" x14ac:dyDescent="0.25">
      <c r="A293" s="585"/>
      <c r="B293" s="584" t="s">
        <v>91</v>
      </c>
      <c r="C293" s="586"/>
      <c r="D293" s="586"/>
      <c r="E293" s="586"/>
      <c r="F293" s="592" t="s">
        <v>97</v>
      </c>
      <c r="G293" s="586"/>
      <c r="H293" s="584" t="s">
        <v>99</v>
      </c>
      <c r="I293" s="584"/>
      <c r="J293" s="584"/>
      <c r="K293" s="586"/>
      <c r="L293" s="586"/>
      <c r="M293" s="586"/>
      <c r="N293" s="586"/>
      <c r="O293" s="586"/>
      <c r="P293" s="586"/>
      <c r="Q293" s="586"/>
      <c r="R293" s="586"/>
      <c r="S293" s="586"/>
      <c r="T293" s="586"/>
      <c r="U293" s="586"/>
      <c r="V293" s="586"/>
      <c r="W293" s="586"/>
      <c r="X293" s="588"/>
    </row>
    <row r="294" spans="1:24" s="589" customFormat="1" x14ac:dyDescent="0.25">
      <c r="A294" s="585"/>
      <c r="B294" s="586"/>
      <c r="C294" s="586"/>
      <c r="D294" s="586"/>
      <c r="E294" s="586"/>
      <c r="F294" s="586"/>
      <c r="G294" s="586"/>
      <c r="H294" s="586"/>
      <c r="I294" s="586"/>
      <c r="J294" s="586"/>
      <c r="K294" s="586"/>
      <c r="L294" s="586"/>
      <c r="M294" s="586"/>
      <c r="N294" s="586"/>
      <c r="O294" s="586"/>
      <c r="P294" s="586"/>
      <c r="Q294" s="586"/>
      <c r="R294" s="586"/>
      <c r="S294" s="586"/>
      <c r="T294" s="586"/>
      <c r="U294" s="586"/>
      <c r="V294" s="586"/>
      <c r="W294" s="586"/>
      <c r="X294" s="588"/>
    </row>
    <row r="295" spans="1:24" s="589" customFormat="1" x14ac:dyDescent="0.25">
      <c r="A295" s="585"/>
      <c r="B295" s="584" t="s">
        <v>319</v>
      </c>
      <c r="C295" s="584"/>
      <c r="D295" s="584"/>
      <c r="E295" s="584"/>
      <c r="F295" s="771" t="s">
        <v>266</v>
      </c>
      <c r="G295" s="584"/>
      <c r="H295" s="584" t="s">
        <v>267</v>
      </c>
      <c r="I295" s="584"/>
      <c r="J295" s="584"/>
      <c r="K295" s="586"/>
      <c r="L295" s="586"/>
      <c r="M295" s="586"/>
      <c r="N295" s="586"/>
      <c r="O295" s="586"/>
      <c r="P295" s="586"/>
      <c r="Q295" s="586"/>
      <c r="R295" s="586"/>
      <c r="S295" s="586"/>
      <c r="T295" s="586"/>
      <c r="U295" s="586"/>
      <c r="V295" s="586"/>
      <c r="W295" s="586"/>
      <c r="X295" s="588"/>
    </row>
    <row r="296" spans="1:24" s="589" customFormat="1" x14ac:dyDescent="0.25">
      <c r="A296" s="585"/>
      <c r="B296" s="584" t="s">
        <v>320</v>
      </c>
      <c r="C296" s="584"/>
      <c r="D296" s="584"/>
      <c r="E296" s="584"/>
      <c r="F296" s="771" t="s">
        <v>147</v>
      </c>
      <c r="G296" s="584"/>
      <c r="H296" s="584" t="s">
        <v>153</v>
      </c>
      <c r="I296" s="584"/>
      <c r="J296" s="584"/>
      <c r="K296" s="586"/>
      <c r="L296" s="586"/>
      <c r="M296" s="586"/>
      <c r="N296" s="586"/>
      <c r="O296" s="586"/>
      <c r="P296" s="586"/>
      <c r="Q296" s="586"/>
      <c r="R296" s="586"/>
      <c r="S296" s="586"/>
      <c r="T296" s="586"/>
      <c r="U296" s="586"/>
      <c r="V296" s="586"/>
      <c r="W296" s="586"/>
      <c r="X296" s="588"/>
    </row>
    <row r="297" spans="1:24" s="589" customFormat="1" x14ac:dyDescent="0.25">
      <c r="A297" s="585"/>
      <c r="B297" s="584"/>
      <c r="C297" s="584"/>
      <c r="D297" s="584"/>
      <c r="E297" s="584"/>
      <c r="F297" s="584"/>
      <c r="G297" s="584"/>
      <c r="H297" s="586"/>
      <c r="I297" s="586"/>
      <c r="J297" s="586"/>
      <c r="K297" s="586"/>
      <c r="L297" s="586"/>
      <c r="M297" s="586"/>
      <c r="N297" s="586"/>
      <c r="O297" s="586"/>
      <c r="P297" s="586"/>
      <c r="Q297" s="586"/>
      <c r="R297" s="586"/>
      <c r="S297" s="586"/>
      <c r="T297" s="586"/>
      <c r="U297" s="586"/>
      <c r="V297" s="586"/>
      <c r="W297" s="586"/>
      <c r="X297" s="588"/>
    </row>
    <row r="298" spans="1:24" s="589" customFormat="1" x14ac:dyDescent="0.25">
      <c r="A298" s="585"/>
      <c r="B298" s="584"/>
      <c r="C298" s="584"/>
      <c r="D298" s="584"/>
      <c r="E298" s="584"/>
      <c r="F298" s="584"/>
      <c r="G298" s="584"/>
      <c r="H298" s="586"/>
      <c r="I298" s="586"/>
      <c r="J298" s="586"/>
      <c r="K298" s="586"/>
      <c r="L298" s="586"/>
      <c r="M298" s="586"/>
      <c r="N298" s="586"/>
      <c r="O298" s="586"/>
      <c r="P298" s="586"/>
      <c r="Q298" s="586"/>
      <c r="R298" s="586"/>
      <c r="S298" s="586"/>
      <c r="T298" s="586"/>
      <c r="U298" s="586"/>
      <c r="V298" s="586"/>
      <c r="W298" s="586"/>
      <c r="X298" s="588"/>
    </row>
    <row r="299" spans="1:24" s="589" customFormat="1" ht="19.5" thickBot="1" x14ac:dyDescent="0.35">
      <c r="A299" s="585"/>
      <c r="B299" s="772" t="str">
        <f>B204</f>
        <v>PM15 INVESTOR REPORT QUARTER ENDING AUGUST 2019</v>
      </c>
      <c r="C299" s="584"/>
      <c r="D299" s="584"/>
      <c r="E299" s="584"/>
      <c r="F299" s="584"/>
      <c r="G299" s="584"/>
      <c r="H299" s="586"/>
      <c r="I299" s="586"/>
      <c r="J299" s="586"/>
      <c r="K299" s="586"/>
      <c r="L299" s="586"/>
      <c r="M299" s="586"/>
      <c r="N299" s="586"/>
      <c r="O299" s="586"/>
      <c r="P299" s="586"/>
      <c r="Q299" s="586"/>
      <c r="R299" s="586"/>
      <c r="S299" s="586"/>
      <c r="T299" s="586"/>
      <c r="U299" s="586"/>
      <c r="V299" s="586"/>
      <c r="W299" s="586"/>
      <c r="X299" s="588"/>
    </row>
    <row r="300" spans="1:24" x14ac:dyDescent="0.25">
      <c r="A300" s="773"/>
      <c r="B300" s="773"/>
      <c r="C300" s="773"/>
      <c r="D300" s="773"/>
      <c r="E300" s="773"/>
      <c r="F300" s="773"/>
      <c r="G300" s="773"/>
      <c r="H300" s="773"/>
      <c r="I300" s="773"/>
      <c r="J300" s="773"/>
      <c r="K300" s="773"/>
      <c r="L300" s="773"/>
      <c r="M300" s="773"/>
      <c r="N300" s="773"/>
      <c r="O300" s="773"/>
      <c r="P300" s="773"/>
      <c r="Q300" s="773"/>
      <c r="R300" s="773"/>
      <c r="S300" s="773"/>
      <c r="T300" s="773"/>
      <c r="U300" s="773"/>
      <c r="V300" s="773"/>
      <c r="W300" s="773"/>
    </row>
  </sheetData>
  <hyperlinks>
    <hyperlink ref="I9" r:id="rId1" xr:uid="{253D04DE-4A0B-4F57-B8E6-220DC29D4390}"/>
    <hyperlink ref="P240" r:id="rId2" xr:uid="{F5F72E57-432B-4537-8975-43A4E85C672A}"/>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8" max="14" man="1"/>
    <brk id="204" max="14" man="1"/>
  </rowBreaks>
  <drawing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ABE9D-EE86-4813-9FFE-1241EDC45560}">
  <sheetPr>
    <tabColor rgb="FF89CB31"/>
  </sheetPr>
  <dimension ref="A1:IV300"/>
  <sheetViews>
    <sheetView showGridLines="0" showOutlineSymbols="0" zoomScale="70" zoomScaleNormal="70" workbookViewId="0"/>
  </sheetViews>
  <sheetFormatPr defaultColWidth="9.6640625" defaultRowHeight="15.75" x14ac:dyDescent="0.25"/>
  <cols>
    <col min="1" max="1" width="4" style="573" customWidth="1"/>
    <col min="2" max="2" width="71.21875" style="573" customWidth="1"/>
    <col min="3" max="3" width="2.21875" style="573" customWidth="1"/>
    <col min="4" max="4" width="19.33203125" style="573" customWidth="1"/>
    <col min="5" max="5" width="2.21875" style="573" customWidth="1"/>
    <col min="6" max="6" width="25.109375" style="573" customWidth="1"/>
    <col min="7" max="7" width="2.21875" style="573" customWidth="1"/>
    <col min="8" max="8" width="16.21875" style="573" customWidth="1"/>
    <col min="9" max="9" width="2.88671875" style="573" customWidth="1"/>
    <col min="10" max="10" width="16.21875" style="573" customWidth="1"/>
    <col min="11" max="11" width="2.21875" style="573" customWidth="1"/>
    <col min="12" max="12" width="17.88671875" style="573" customWidth="1"/>
    <col min="13" max="13" width="2.33203125" style="573" customWidth="1"/>
    <col min="14" max="14" width="14.88671875" style="573" customWidth="1"/>
    <col min="15" max="15" width="2.33203125" style="573" customWidth="1"/>
    <col min="16" max="16" width="15.5546875" style="573" customWidth="1"/>
    <col min="17" max="17" width="2.21875" style="573" customWidth="1"/>
    <col min="18" max="18" width="15.5546875" style="573" customWidth="1"/>
    <col min="19" max="20" width="12.6640625" style="573" customWidth="1"/>
    <col min="21" max="21" width="7.77734375" style="573" customWidth="1"/>
    <col min="22" max="22" width="14.6640625" style="573" customWidth="1"/>
    <col min="23" max="23" width="11.77734375" style="573" customWidth="1"/>
    <col min="24" max="16384" width="9.6640625" style="573"/>
  </cols>
  <sheetData>
    <row r="1" spans="1:24" ht="21" x14ac:dyDescent="0.35">
      <c r="A1" s="569"/>
      <c r="B1" s="570" t="s">
        <v>237</v>
      </c>
      <c r="C1" s="571"/>
      <c r="D1" s="571"/>
      <c r="E1" s="571"/>
      <c r="F1" s="571"/>
      <c r="G1" s="571"/>
      <c r="H1" s="571"/>
      <c r="I1" s="571"/>
      <c r="J1" s="571"/>
      <c r="K1" s="571"/>
      <c r="L1" s="571"/>
      <c r="M1" s="571"/>
      <c r="N1" s="571"/>
      <c r="O1" s="571"/>
      <c r="P1" s="571"/>
      <c r="Q1" s="571"/>
      <c r="R1" s="571"/>
      <c r="S1" s="571"/>
      <c r="T1" s="571"/>
      <c r="U1" s="571"/>
      <c r="V1" s="571"/>
      <c r="W1" s="571"/>
      <c r="X1" s="572"/>
    </row>
    <row r="2" spans="1:24" x14ac:dyDescent="0.25">
      <c r="A2" s="574"/>
      <c r="B2" s="575"/>
      <c r="C2" s="576"/>
      <c r="D2" s="576"/>
      <c r="E2" s="576"/>
      <c r="F2" s="576"/>
      <c r="G2" s="576"/>
      <c r="H2" s="576"/>
      <c r="I2" s="576"/>
      <c r="J2" s="576"/>
      <c r="K2" s="576"/>
      <c r="L2" s="576"/>
      <c r="M2" s="576"/>
      <c r="N2" s="576"/>
      <c r="O2" s="576"/>
      <c r="P2" s="576"/>
      <c r="Q2" s="576"/>
      <c r="R2" s="576"/>
      <c r="S2" s="576"/>
      <c r="T2" s="576"/>
      <c r="U2" s="576"/>
      <c r="V2" s="576"/>
      <c r="W2" s="576"/>
      <c r="X2" s="572"/>
    </row>
    <row r="3" spans="1:24" x14ac:dyDescent="0.25">
      <c r="A3" s="577"/>
      <c r="B3" s="578" t="s">
        <v>238</v>
      </c>
      <c r="C3" s="576"/>
      <c r="D3" s="576"/>
      <c r="E3" s="576"/>
      <c r="F3" s="576"/>
      <c r="G3" s="576"/>
      <c r="H3" s="576"/>
      <c r="I3" s="576"/>
      <c r="J3" s="576"/>
      <c r="K3" s="576"/>
      <c r="L3" s="576"/>
      <c r="M3" s="576"/>
      <c r="N3" s="576"/>
      <c r="O3" s="576"/>
      <c r="P3" s="576"/>
      <c r="Q3" s="576"/>
      <c r="R3" s="576"/>
      <c r="S3" s="576"/>
      <c r="T3" s="576"/>
      <c r="U3" s="576"/>
      <c r="V3" s="576"/>
      <c r="W3" s="576"/>
      <c r="X3" s="572"/>
    </row>
    <row r="4" spans="1:24" x14ac:dyDescent="0.25">
      <c r="A4" s="574"/>
      <c r="B4" s="575"/>
      <c r="C4" s="576"/>
      <c r="D4" s="576"/>
      <c r="E4" s="576"/>
      <c r="F4" s="576"/>
      <c r="G4" s="576"/>
      <c r="H4" s="576"/>
      <c r="I4" s="576"/>
      <c r="J4" s="576"/>
      <c r="K4" s="576"/>
      <c r="L4" s="576"/>
      <c r="M4" s="576"/>
      <c r="N4" s="576"/>
      <c r="O4" s="576"/>
      <c r="P4" s="576"/>
      <c r="Q4" s="576"/>
      <c r="R4" s="576"/>
      <c r="S4" s="576"/>
      <c r="T4" s="576"/>
      <c r="U4" s="576"/>
      <c r="V4" s="576"/>
      <c r="W4" s="576"/>
      <c r="X4" s="572"/>
    </row>
    <row r="5" spans="1:24" x14ac:dyDescent="0.25">
      <c r="A5" s="574"/>
      <c r="B5" s="579" t="s">
        <v>137</v>
      </c>
      <c r="C5" s="576"/>
      <c r="D5" s="576"/>
      <c r="E5" s="576"/>
      <c r="F5" s="576"/>
      <c r="G5" s="576"/>
      <c r="H5" s="576"/>
      <c r="I5" s="576"/>
      <c r="J5" s="576"/>
      <c r="K5" s="576"/>
      <c r="L5" s="576"/>
      <c r="M5" s="576"/>
      <c r="N5" s="576"/>
      <c r="O5" s="576"/>
      <c r="P5" s="576"/>
      <c r="Q5" s="576"/>
      <c r="R5" s="576"/>
      <c r="S5" s="576"/>
      <c r="T5" s="576"/>
      <c r="U5" s="576"/>
      <c r="V5" s="576"/>
      <c r="W5" s="576"/>
      <c r="X5" s="572"/>
    </row>
    <row r="6" spans="1:24" x14ac:dyDescent="0.25">
      <c r="A6" s="574"/>
      <c r="B6" s="579" t="s">
        <v>139</v>
      </c>
      <c r="C6" s="576"/>
      <c r="D6" s="576"/>
      <c r="E6" s="576"/>
      <c r="F6" s="576"/>
      <c r="G6" s="576"/>
      <c r="H6" s="576"/>
      <c r="I6" s="576"/>
      <c r="J6" s="576"/>
      <c r="K6" s="576"/>
      <c r="L6" s="576"/>
      <c r="M6" s="576"/>
      <c r="N6" s="576"/>
      <c r="O6" s="576"/>
      <c r="P6" s="576"/>
      <c r="Q6" s="576"/>
      <c r="R6" s="576"/>
      <c r="S6" s="576"/>
      <c r="T6" s="576"/>
      <c r="U6" s="576"/>
      <c r="V6" s="576"/>
      <c r="W6" s="576"/>
      <c r="X6" s="572"/>
    </row>
    <row r="7" spans="1:24" x14ac:dyDescent="0.25">
      <c r="A7" s="574"/>
      <c r="B7" s="579" t="s">
        <v>138</v>
      </c>
      <c r="C7" s="576"/>
      <c r="D7" s="576"/>
      <c r="E7" s="576"/>
      <c r="F7" s="576"/>
      <c r="G7" s="576"/>
      <c r="H7" s="576"/>
      <c r="I7" s="576"/>
      <c r="J7" s="576"/>
      <c r="K7" s="576"/>
      <c r="L7" s="576"/>
      <c r="M7" s="576"/>
      <c r="N7" s="576"/>
      <c r="O7" s="576"/>
      <c r="P7" s="576"/>
      <c r="Q7" s="576"/>
      <c r="R7" s="576"/>
      <c r="S7" s="576"/>
      <c r="T7" s="576"/>
      <c r="U7" s="576"/>
      <c r="V7" s="576"/>
      <c r="W7" s="576"/>
      <c r="X7" s="572"/>
    </row>
    <row r="8" spans="1:24" x14ac:dyDescent="0.25">
      <c r="A8" s="574"/>
      <c r="B8" s="580"/>
      <c r="C8" s="576"/>
      <c r="D8" s="576"/>
      <c r="E8" s="576"/>
      <c r="F8" s="576"/>
      <c r="G8" s="576"/>
      <c r="H8" s="576"/>
      <c r="I8" s="576"/>
      <c r="J8" s="576"/>
      <c r="K8" s="576"/>
      <c r="L8" s="576"/>
      <c r="M8" s="576"/>
      <c r="N8" s="576"/>
      <c r="O8" s="576"/>
      <c r="P8" s="576"/>
      <c r="Q8" s="576"/>
      <c r="R8" s="576"/>
      <c r="S8" s="576"/>
      <c r="T8" s="576"/>
      <c r="U8" s="576"/>
      <c r="V8" s="576"/>
      <c r="W8" s="576"/>
      <c r="X8" s="572"/>
    </row>
    <row r="9" spans="1:24" ht="18.75" x14ac:dyDescent="0.3">
      <c r="A9" s="574"/>
      <c r="B9" s="581" t="s">
        <v>166</v>
      </c>
      <c r="C9" s="576"/>
      <c r="D9" s="576"/>
      <c r="E9" s="576"/>
      <c r="F9" s="576"/>
      <c r="G9" s="576"/>
      <c r="H9" s="576"/>
      <c r="I9" s="513" t="s">
        <v>341</v>
      </c>
      <c r="J9" s="576"/>
      <c r="K9" s="576"/>
      <c r="L9" s="582"/>
      <c r="M9" s="576"/>
      <c r="N9" s="582"/>
      <c r="O9" s="576"/>
      <c r="P9" s="576"/>
      <c r="Q9" s="576"/>
      <c r="R9" s="576"/>
      <c r="S9" s="576"/>
      <c r="T9" s="576"/>
      <c r="U9" s="576"/>
      <c r="V9" s="576"/>
      <c r="W9" s="576"/>
      <c r="X9" s="572"/>
    </row>
    <row r="10" spans="1:24" x14ac:dyDescent="0.25">
      <c r="A10" s="574"/>
      <c r="B10" s="580"/>
      <c r="C10" s="583"/>
      <c r="D10" s="583"/>
      <c r="E10" s="583"/>
      <c r="F10" s="576"/>
      <c r="G10" s="576"/>
      <c r="H10" s="576"/>
      <c r="I10" s="576"/>
      <c r="J10" s="576"/>
      <c r="K10" s="576"/>
      <c r="L10" s="576"/>
      <c r="M10" s="576"/>
      <c r="N10" s="576"/>
      <c r="O10" s="576"/>
      <c r="P10" s="576"/>
      <c r="Q10" s="576"/>
      <c r="R10" s="576"/>
      <c r="S10" s="576"/>
      <c r="T10" s="576"/>
      <c r="U10" s="576"/>
      <c r="V10" s="576"/>
      <c r="W10" s="576"/>
      <c r="X10" s="572"/>
    </row>
    <row r="11" spans="1:24" x14ac:dyDescent="0.25">
      <c r="A11" s="574"/>
      <c r="B11" s="584" t="s">
        <v>0</v>
      </c>
      <c r="C11" s="576"/>
      <c r="D11" s="576"/>
      <c r="E11" s="576"/>
      <c r="F11" s="576"/>
      <c r="G11" s="576"/>
      <c r="H11" s="576"/>
      <c r="I11" s="576"/>
      <c r="J11" s="576"/>
      <c r="K11" s="576"/>
      <c r="L11" s="576"/>
      <c r="M11" s="576"/>
      <c r="N11" s="576"/>
      <c r="O11" s="576"/>
      <c r="P11" s="576"/>
      <c r="Q11" s="576"/>
      <c r="R11" s="576"/>
      <c r="S11" s="576"/>
      <c r="T11" s="576"/>
      <c r="U11" s="576"/>
      <c r="V11" s="576"/>
      <c r="W11" s="576"/>
      <c r="X11" s="572"/>
    </row>
    <row r="12" spans="1:24" ht="16.5" thickBot="1" x14ac:dyDescent="0.3">
      <c r="A12" s="574"/>
      <c r="B12" s="583"/>
      <c r="C12" s="576"/>
      <c r="D12" s="576"/>
      <c r="E12" s="576"/>
      <c r="F12" s="576"/>
      <c r="G12" s="576"/>
      <c r="H12" s="576"/>
      <c r="I12" s="576"/>
      <c r="J12" s="576"/>
      <c r="K12" s="576"/>
      <c r="L12" s="576"/>
      <c r="M12" s="576"/>
      <c r="N12" s="576"/>
      <c r="O12" s="576"/>
      <c r="P12" s="576"/>
      <c r="Q12" s="576"/>
      <c r="R12" s="576"/>
      <c r="S12" s="576"/>
      <c r="T12" s="576"/>
      <c r="U12" s="576"/>
      <c r="V12" s="576"/>
      <c r="W12" s="576"/>
      <c r="X12" s="572"/>
    </row>
    <row r="13" spans="1:24" x14ac:dyDescent="0.25">
      <c r="A13" s="569"/>
      <c r="B13" s="571"/>
      <c r="C13" s="571"/>
      <c r="D13" s="571"/>
      <c r="E13" s="571"/>
      <c r="F13" s="571"/>
      <c r="G13" s="571"/>
      <c r="H13" s="571"/>
      <c r="I13" s="571"/>
      <c r="J13" s="571"/>
      <c r="K13" s="571"/>
      <c r="L13" s="571"/>
      <c r="M13" s="571"/>
      <c r="N13" s="571"/>
      <c r="O13" s="571"/>
      <c r="P13" s="571"/>
      <c r="Q13" s="571"/>
      <c r="R13" s="571"/>
      <c r="S13" s="571"/>
      <c r="T13" s="571"/>
      <c r="U13" s="571"/>
      <c r="V13" s="571"/>
      <c r="W13" s="571"/>
      <c r="X13" s="572"/>
    </row>
    <row r="14" spans="1:24" s="589" customFormat="1" x14ac:dyDescent="0.25">
      <c r="A14" s="585"/>
      <c r="B14" s="584" t="s">
        <v>1</v>
      </c>
      <c r="C14" s="586"/>
      <c r="D14" s="586"/>
      <c r="E14" s="586"/>
      <c r="F14" s="586"/>
      <c r="G14" s="586"/>
      <c r="H14" s="586"/>
      <c r="I14" s="586"/>
      <c r="J14" s="586"/>
      <c r="K14" s="586"/>
      <c r="L14" s="586"/>
      <c r="M14" s="586"/>
      <c r="N14" s="586"/>
      <c r="O14" s="586"/>
      <c r="P14" s="586"/>
      <c r="Q14" s="586"/>
      <c r="R14" s="586"/>
      <c r="S14" s="586"/>
      <c r="T14" s="586"/>
      <c r="U14" s="586"/>
      <c r="V14" s="587" t="s">
        <v>239</v>
      </c>
      <c r="W14" s="586"/>
      <c r="X14" s="588"/>
    </row>
    <row r="15" spans="1:24" s="589" customFormat="1" x14ac:dyDescent="0.25">
      <c r="A15" s="585"/>
      <c r="B15" s="584" t="s">
        <v>2</v>
      </c>
      <c r="C15" s="586"/>
      <c r="D15" s="586"/>
      <c r="E15" s="586"/>
      <c r="F15" s="586"/>
      <c r="G15" s="586"/>
      <c r="H15" s="590"/>
      <c r="I15" s="590"/>
      <c r="J15" s="590"/>
      <c r="K15" s="590"/>
      <c r="L15" s="590"/>
      <c r="M15" s="590"/>
      <c r="N15" s="590"/>
      <c r="O15" s="590"/>
      <c r="P15" s="590"/>
      <c r="Q15" s="590"/>
      <c r="R15" s="590" t="s">
        <v>104</v>
      </c>
      <c r="S15" s="591">
        <v>0.47189999999999999</v>
      </c>
      <c r="T15" s="592" t="s">
        <v>140</v>
      </c>
      <c r="U15" s="591">
        <v>0.52810000000000001</v>
      </c>
      <c r="V15" s="587"/>
      <c r="W15" s="586"/>
      <c r="X15" s="588"/>
    </row>
    <row r="16" spans="1:24" s="589" customFormat="1" x14ac:dyDescent="0.25">
      <c r="A16" s="585"/>
      <c r="B16" s="584" t="s">
        <v>3</v>
      </c>
      <c r="C16" s="586"/>
      <c r="D16" s="586"/>
      <c r="E16" s="586"/>
      <c r="F16" s="586"/>
      <c r="G16" s="586"/>
      <c r="H16" s="590"/>
      <c r="I16" s="590"/>
      <c r="J16" s="590"/>
      <c r="K16" s="590"/>
      <c r="L16" s="590"/>
      <c r="M16" s="590"/>
      <c r="N16" s="590"/>
      <c r="O16" s="590"/>
      <c r="P16" s="590"/>
      <c r="Q16" s="590"/>
      <c r="R16" s="590" t="s">
        <v>104</v>
      </c>
      <c r="S16" s="591">
        <v>0.58509999999999995</v>
      </c>
      <c r="T16" s="592" t="s">
        <v>140</v>
      </c>
      <c r="U16" s="591">
        <v>0.41489999999999999</v>
      </c>
      <c r="V16" s="587"/>
      <c r="W16" s="586"/>
      <c r="X16" s="588"/>
    </row>
    <row r="17" spans="1:24" s="589" customFormat="1" x14ac:dyDescent="0.25">
      <c r="A17" s="585"/>
      <c r="B17" s="584" t="s">
        <v>4</v>
      </c>
      <c r="C17" s="586"/>
      <c r="D17" s="586"/>
      <c r="E17" s="586"/>
      <c r="F17" s="586"/>
      <c r="G17" s="586"/>
      <c r="H17" s="586"/>
      <c r="I17" s="586"/>
      <c r="J17" s="586"/>
      <c r="K17" s="586"/>
      <c r="L17" s="586"/>
      <c r="M17" s="586"/>
      <c r="N17" s="586"/>
      <c r="O17" s="586"/>
      <c r="P17" s="586"/>
      <c r="Q17" s="586"/>
      <c r="R17" s="586"/>
      <c r="S17" s="586"/>
      <c r="T17" s="586"/>
      <c r="U17" s="586"/>
      <c r="V17" s="593">
        <v>39282</v>
      </c>
      <c r="W17" s="586"/>
      <c r="X17" s="588"/>
    </row>
    <row r="18" spans="1:24" s="589" customFormat="1" x14ac:dyDescent="0.25">
      <c r="A18" s="585"/>
      <c r="B18" s="584" t="s">
        <v>5</v>
      </c>
      <c r="C18" s="586"/>
      <c r="D18" s="586"/>
      <c r="E18" s="586"/>
      <c r="F18" s="586"/>
      <c r="G18" s="586"/>
      <c r="H18" s="586"/>
      <c r="I18" s="586"/>
      <c r="J18" s="586"/>
      <c r="K18" s="586"/>
      <c r="L18" s="586"/>
      <c r="M18" s="586"/>
      <c r="N18" s="586"/>
      <c r="O18" s="586"/>
      <c r="P18" s="586"/>
      <c r="Q18" s="586"/>
      <c r="R18" s="586"/>
      <c r="S18" s="586"/>
      <c r="T18" s="586"/>
      <c r="U18" s="586"/>
      <c r="V18" s="593">
        <v>43818</v>
      </c>
      <c r="W18" s="586"/>
      <c r="X18" s="588"/>
    </row>
    <row r="19" spans="1:24" s="589" customFormat="1" x14ac:dyDescent="0.25">
      <c r="A19" s="585"/>
      <c r="B19" s="586"/>
      <c r="C19" s="586"/>
      <c r="D19" s="586"/>
      <c r="E19" s="586"/>
      <c r="F19" s="586"/>
      <c r="G19" s="586"/>
      <c r="H19" s="586"/>
      <c r="I19" s="586"/>
      <c r="J19" s="586"/>
      <c r="K19" s="586"/>
      <c r="L19" s="586"/>
      <c r="M19" s="586"/>
      <c r="N19" s="586"/>
      <c r="O19" s="586"/>
      <c r="P19" s="586"/>
      <c r="Q19" s="586"/>
      <c r="R19" s="586"/>
      <c r="S19" s="586"/>
      <c r="T19" s="586"/>
      <c r="U19" s="586"/>
      <c r="V19" s="594"/>
      <c r="W19" s="586"/>
      <c r="X19" s="588"/>
    </row>
    <row r="20" spans="1:24" s="589" customFormat="1" x14ac:dyDescent="0.25">
      <c r="A20" s="585"/>
      <c r="B20" s="595" t="s">
        <v>6</v>
      </c>
      <c r="C20" s="586"/>
      <c r="D20" s="586"/>
      <c r="E20" s="586"/>
      <c r="F20" s="586"/>
      <c r="G20" s="586"/>
      <c r="H20" s="586"/>
      <c r="I20" s="586"/>
      <c r="J20" s="586"/>
      <c r="K20" s="586"/>
      <c r="L20" s="586"/>
      <c r="M20" s="586"/>
      <c r="N20" s="586"/>
      <c r="O20" s="586"/>
      <c r="P20" s="586"/>
      <c r="Q20" s="586"/>
      <c r="R20" s="586"/>
      <c r="S20" s="586"/>
      <c r="T20" s="594" t="s">
        <v>105</v>
      </c>
      <c r="U20" s="586"/>
      <c r="V20" s="586"/>
      <c r="W20" s="586"/>
      <c r="X20" s="588"/>
    </row>
    <row r="21" spans="1:24" x14ac:dyDescent="0.25">
      <c r="A21" s="574"/>
      <c r="B21" s="576"/>
      <c r="C21" s="576"/>
      <c r="D21" s="576"/>
      <c r="E21" s="576"/>
      <c r="F21" s="576"/>
      <c r="G21" s="576"/>
      <c r="H21" s="576"/>
      <c r="I21" s="576"/>
      <c r="J21" s="576"/>
      <c r="K21" s="576"/>
      <c r="L21" s="576"/>
      <c r="M21" s="576"/>
      <c r="N21" s="576"/>
      <c r="O21" s="576"/>
      <c r="P21" s="576"/>
      <c r="Q21" s="576"/>
      <c r="R21" s="576"/>
      <c r="S21" s="576"/>
      <c r="T21" s="576"/>
      <c r="U21" s="576"/>
      <c r="V21" s="596"/>
      <c r="W21" s="576"/>
      <c r="X21" s="572"/>
    </row>
    <row r="22" spans="1:24" x14ac:dyDescent="0.25">
      <c r="A22" s="597"/>
      <c r="B22" s="598"/>
      <c r="C22" s="599"/>
      <c r="D22" s="599" t="s">
        <v>177</v>
      </c>
      <c r="E22" s="599"/>
      <c r="F22" s="599" t="s">
        <v>178</v>
      </c>
      <c r="G22" s="599"/>
      <c r="H22" s="599" t="s">
        <v>179</v>
      </c>
      <c r="I22" s="599"/>
      <c r="J22" s="599" t="s">
        <v>219</v>
      </c>
      <c r="K22" s="599"/>
      <c r="L22" s="599" t="s">
        <v>180</v>
      </c>
      <c r="M22" s="599"/>
      <c r="N22" s="599" t="s">
        <v>181</v>
      </c>
      <c r="O22" s="599"/>
      <c r="P22" s="599" t="s">
        <v>182</v>
      </c>
      <c r="Q22" s="599"/>
      <c r="R22" s="599"/>
      <c r="S22" s="600"/>
      <c r="T22" s="600"/>
      <c r="U22" s="598"/>
      <c r="V22" s="598"/>
      <c r="W22" s="601"/>
      <c r="X22" s="572"/>
    </row>
    <row r="23" spans="1:24" s="589" customFormat="1" x14ac:dyDescent="0.25">
      <c r="A23" s="585"/>
      <c r="B23" s="602" t="s">
        <v>7</v>
      </c>
      <c r="C23" s="603"/>
      <c r="D23" s="603" t="s">
        <v>212</v>
      </c>
      <c r="E23" s="603"/>
      <c r="F23" s="603" t="s">
        <v>141</v>
      </c>
      <c r="G23" s="603"/>
      <c r="H23" s="603" t="s">
        <v>141</v>
      </c>
      <c r="I23" s="603"/>
      <c r="J23" s="603" t="s">
        <v>141</v>
      </c>
      <c r="K23" s="603"/>
      <c r="L23" s="603" t="s">
        <v>183</v>
      </c>
      <c r="M23" s="603"/>
      <c r="N23" s="603" t="s">
        <v>183</v>
      </c>
      <c r="O23" s="603"/>
      <c r="P23" s="603" t="s">
        <v>142</v>
      </c>
      <c r="Q23" s="603"/>
      <c r="R23" s="603"/>
      <c r="S23" s="603"/>
      <c r="T23" s="603"/>
      <c r="U23" s="602"/>
      <c r="V23" s="602"/>
      <c r="W23" s="602"/>
      <c r="X23" s="588"/>
    </row>
    <row r="24" spans="1:24" s="589" customFormat="1" x14ac:dyDescent="0.25">
      <c r="A24" s="604"/>
      <c r="B24" s="605" t="s">
        <v>8</v>
      </c>
      <c r="C24" s="606"/>
      <c r="D24" s="606" t="s">
        <v>213</v>
      </c>
      <c r="E24" s="606"/>
      <c r="F24" s="606" t="s">
        <v>143</v>
      </c>
      <c r="G24" s="606"/>
      <c r="H24" s="606" t="s">
        <v>143</v>
      </c>
      <c r="I24" s="606"/>
      <c r="J24" s="606" t="s">
        <v>143</v>
      </c>
      <c r="K24" s="606"/>
      <c r="L24" s="606" t="s">
        <v>165</v>
      </c>
      <c r="M24" s="606"/>
      <c r="N24" s="606" t="s">
        <v>165</v>
      </c>
      <c r="O24" s="606"/>
      <c r="P24" s="606" t="s">
        <v>144</v>
      </c>
      <c r="Q24" s="606"/>
      <c r="R24" s="606"/>
      <c r="S24" s="606"/>
      <c r="T24" s="606"/>
      <c r="U24" s="605"/>
      <c r="V24" s="605"/>
      <c r="W24" s="607"/>
      <c r="X24" s="588"/>
    </row>
    <row r="25" spans="1:24" s="589" customFormat="1" x14ac:dyDescent="0.25">
      <c r="A25" s="608"/>
      <c r="B25" s="605" t="s">
        <v>190</v>
      </c>
      <c r="C25" s="609"/>
      <c r="D25" s="606" t="s">
        <v>214</v>
      </c>
      <c r="E25" s="606"/>
      <c r="F25" s="606" t="s">
        <v>143</v>
      </c>
      <c r="G25" s="606"/>
      <c r="H25" s="606" t="s">
        <v>143</v>
      </c>
      <c r="I25" s="606"/>
      <c r="J25" s="606" t="s">
        <v>143</v>
      </c>
      <c r="K25" s="606"/>
      <c r="L25" s="606" t="s">
        <v>165</v>
      </c>
      <c r="M25" s="606"/>
      <c r="N25" s="606" t="s">
        <v>165</v>
      </c>
      <c r="O25" s="606"/>
      <c r="P25" s="606" t="s">
        <v>144</v>
      </c>
      <c r="Q25" s="606"/>
      <c r="R25" s="606"/>
      <c r="S25" s="609"/>
      <c r="T25" s="606"/>
      <c r="U25" s="605"/>
      <c r="V25" s="605"/>
      <c r="W25" s="607"/>
      <c r="X25" s="588"/>
    </row>
    <row r="26" spans="1:24" s="589" customFormat="1" x14ac:dyDescent="0.25">
      <c r="A26" s="608"/>
      <c r="B26" s="610" t="s">
        <v>9</v>
      </c>
      <c r="C26" s="609"/>
      <c r="D26" s="609" t="s">
        <v>141</v>
      </c>
      <c r="E26" s="609"/>
      <c r="F26" s="609" t="s">
        <v>141</v>
      </c>
      <c r="G26" s="609"/>
      <c r="H26" s="609" t="s">
        <v>141</v>
      </c>
      <c r="I26" s="609"/>
      <c r="J26" s="609" t="s">
        <v>141</v>
      </c>
      <c r="K26" s="609"/>
      <c r="L26" s="609" t="s">
        <v>183</v>
      </c>
      <c r="M26" s="609"/>
      <c r="N26" s="609" t="s">
        <v>183</v>
      </c>
      <c r="O26" s="609"/>
      <c r="P26" s="609" t="s">
        <v>142</v>
      </c>
      <c r="Q26" s="609"/>
      <c r="R26" s="609"/>
      <c r="S26" s="609"/>
      <c r="T26" s="606"/>
      <c r="U26" s="605"/>
      <c r="V26" s="605"/>
      <c r="W26" s="607"/>
      <c r="X26" s="588"/>
    </row>
    <row r="27" spans="1:24" s="589" customFormat="1" x14ac:dyDescent="0.25">
      <c r="A27" s="604"/>
      <c r="B27" s="610" t="s">
        <v>191</v>
      </c>
      <c r="C27" s="606"/>
      <c r="D27" s="609" t="s">
        <v>143</v>
      </c>
      <c r="E27" s="609"/>
      <c r="F27" s="609" t="s">
        <v>143</v>
      </c>
      <c r="G27" s="609"/>
      <c r="H27" s="609" t="s">
        <v>143</v>
      </c>
      <c r="I27" s="609"/>
      <c r="J27" s="609" t="s">
        <v>143</v>
      </c>
      <c r="K27" s="609"/>
      <c r="L27" s="609" t="s">
        <v>329</v>
      </c>
      <c r="M27" s="609"/>
      <c r="N27" s="609" t="s">
        <v>329</v>
      </c>
      <c r="O27" s="609"/>
      <c r="P27" s="609" t="s">
        <v>307</v>
      </c>
      <c r="Q27" s="609"/>
      <c r="R27" s="609"/>
      <c r="S27" s="606"/>
      <c r="T27" s="611"/>
      <c r="U27" s="605"/>
      <c r="V27" s="605"/>
      <c r="W27" s="607"/>
      <c r="X27" s="588"/>
    </row>
    <row r="28" spans="1:24" s="589" customFormat="1" x14ac:dyDescent="0.25">
      <c r="A28" s="604"/>
      <c r="B28" s="610" t="s">
        <v>192</v>
      </c>
      <c r="C28" s="606"/>
      <c r="D28" s="609" t="s">
        <v>143</v>
      </c>
      <c r="E28" s="609"/>
      <c r="F28" s="609" t="s">
        <v>143</v>
      </c>
      <c r="G28" s="609"/>
      <c r="H28" s="609" t="s">
        <v>143</v>
      </c>
      <c r="I28" s="609"/>
      <c r="J28" s="609" t="s">
        <v>143</v>
      </c>
      <c r="K28" s="609"/>
      <c r="L28" s="609" t="s">
        <v>143</v>
      </c>
      <c r="M28" s="609"/>
      <c r="N28" s="609" t="s">
        <v>143</v>
      </c>
      <c r="O28" s="609"/>
      <c r="P28" s="609" t="s">
        <v>330</v>
      </c>
      <c r="Q28" s="609"/>
      <c r="R28" s="609"/>
      <c r="S28" s="606"/>
      <c r="T28" s="611"/>
      <c r="U28" s="605"/>
      <c r="V28" s="605"/>
      <c r="W28" s="607"/>
      <c r="X28" s="588"/>
    </row>
    <row r="29" spans="1:24" s="589" customFormat="1" x14ac:dyDescent="0.25">
      <c r="A29" s="604"/>
      <c r="B29" s="605" t="s">
        <v>10</v>
      </c>
      <c r="C29" s="612"/>
      <c r="D29" s="606" t="s">
        <v>242</v>
      </c>
      <c r="E29" s="606"/>
      <c r="F29" s="611" t="s">
        <v>244</v>
      </c>
      <c r="G29" s="606"/>
      <c r="H29" s="606" t="s">
        <v>245</v>
      </c>
      <c r="I29" s="606"/>
      <c r="J29" s="606" t="s">
        <v>247</v>
      </c>
      <c r="K29" s="606"/>
      <c r="L29" s="606" t="s">
        <v>248</v>
      </c>
      <c r="M29" s="606"/>
      <c r="N29" s="606" t="s">
        <v>249</v>
      </c>
      <c r="O29" s="606"/>
      <c r="P29" s="606" t="s">
        <v>250</v>
      </c>
      <c r="Q29" s="606"/>
      <c r="R29" s="606"/>
      <c r="S29" s="613"/>
      <c r="T29" s="613"/>
      <c r="U29" s="612"/>
      <c r="V29" s="613"/>
      <c r="W29" s="614"/>
      <c r="X29" s="588"/>
    </row>
    <row r="30" spans="1:24" s="589" customFormat="1" x14ac:dyDescent="0.25">
      <c r="A30" s="604"/>
      <c r="B30" s="605" t="s">
        <v>10</v>
      </c>
      <c r="C30" s="612"/>
      <c r="D30" s="606" t="s">
        <v>243</v>
      </c>
      <c r="E30" s="606"/>
      <c r="F30" s="611" t="s">
        <v>118</v>
      </c>
      <c r="G30" s="606"/>
      <c r="H30" s="606" t="s">
        <v>118</v>
      </c>
      <c r="I30" s="606"/>
      <c r="J30" s="606" t="s">
        <v>246</v>
      </c>
      <c r="K30" s="606"/>
      <c r="L30" s="606" t="s">
        <v>118</v>
      </c>
      <c r="M30" s="606"/>
      <c r="N30" s="606" t="s">
        <v>118</v>
      </c>
      <c r="O30" s="606"/>
      <c r="P30" s="606" t="s">
        <v>118</v>
      </c>
      <c r="Q30" s="606"/>
      <c r="R30" s="606"/>
      <c r="S30" s="613"/>
      <c r="T30" s="613"/>
      <c r="U30" s="612"/>
      <c r="V30" s="613"/>
      <c r="W30" s="614"/>
      <c r="X30" s="588"/>
    </row>
    <row r="31" spans="1:24" s="589" customFormat="1" x14ac:dyDescent="0.25">
      <c r="A31" s="608"/>
      <c r="B31" s="605" t="s">
        <v>133</v>
      </c>
      <c r="C31" s="615"/>
      <c r="D31" s="616">
        <v>1000000</v>
      </c>
      <c r="E31" s="612"/>
      <c r="F31" s="613">
        <v>209500</v>
      </c>
      <c r="G31" s="613"/>
      <c r="H31" s="617">
        <v>110000</v>
      </c>
      <c r="I31" s="617"/>
      <c r="J31" s="616">
        <v>150000</v>
      </c>
      <c r="K31" s="613"/>
      <c r="L31" s="613">
        <v>17000</v>
      </c>
      <c r="M31" s="613"/>
      <c r="N31" s="617">
        <v>85500</v>
      </c>
      <c r="O31" s="613"/>
      <c r="P31" s="617">
        <v>110500</v>
      </c>
      <c r="Q31" s="613"/>
      <c r="R31" s="617"/>
      <c r="S31" s="618"/>
      <c r="T31" s="618"/>
      <c r="U31" s="615"/>
      <c r="V31" s="618"/>
      <c r="W31" s="614"/>
      <c r="X31" s="588"/>
    </row>
    <row r="32" spans="1:24" s="589" customFormat="1" x14ac:dyDescent="0.25">
      <c r="A32" s="604"/>
      <c r="B32" s="605" t="s">
        <v>132</v>
      </c>
      <c r="C32" s="612"/>
      <c r="D32" s="616">
        <f>D31*D38</f>
        <v>480814.89999999997</v>
      </c>
      <c r="E32" s="612"/>
      <c r="F32" s="613">
        <f>F31*F38</f>
        <v>100731.2453</v>
      </c>
      <c r="G32" s="613"/>
      <c r="H32" s="617">
        <f>H31*H38</f>
        <v>52891.058000000005</v>
      </c>
      <c r="I32" s="617"/>
      <c r="J32" s="616">
        <f>J31*J38</f>
        <v>72122.235000000001</v>
      </c>
      <c r="K32" s="613"/>
      <c r="L32" s="613">
        <f>L31*L38</f>
        <v>17000</v>
      </c>
      <c r="M32" s="613"/>
      <c r="N32" s="617">
        <f>N31*N38</f>
        <v>85500</v>
      </c>
      <c r="O32" s="613"/>
      <c r="P32" s="617">
        <f>P31*P38</f>
        <v>110500</v>
      </c>
      <c r="Q32" s="613"/>
      <c r="R32" s="617"/>
      <c r="S32" s="613"/>
      <c r="T32" s="613"/>
      <c r="U32" s="612"/>
      <c r="V32" s="613"/>
      <c r="W32" s="614"/>
      <c r="X32" s="588"/>
    </row>
    <row r="33" spans="1:27" s="589" customFormat="1" x14ac:dyDescent="0.25">
      <c r="A33" s="604"/>
      <c r="B33" s="610" t="s">
        <v>134</v>
      </c>
      <c r="C33" s="612"/>
      <c r="D33" s="619">
        <f>D37*D31</f>
        <v>466671.80000000005</v>
      </c>
      <c r="E33" s="615"/>
      <c r="F33" s="618">
        <f>F37*F31</f>
        <v>97768.286800000002</v>
      </c>
      <c r="G33" s="618"/>
      <c r="H33" s="620">
        <f>H31*H37</f>
        <v>51335.35</v>
      </c>
      <c r="I33" s="620"/>
      <c r="J33" s="619">
        <f>J37*J31</f>
        <v>70000.77</v>
      </c>
      <c r="K33" s="618"/>
      <c r="L33" s="618">
        <f>L31*L37</f>
        <v>17000</v>
      </c>
      <c r="M33" s="618"/>
      <c r="N33" s="620">
        <f>N31*N37</f>
        <v>85500</v>
      </c>
      <c r="O33" s="618"/>
      <c r="P33" s="620">
        <f>P31*P37</f>
        <v>110500</v>
      </c>
      <c r="Q33" s="618"/>
      <c r="R33" s="620"/>
      <c r="S33" s="613"/>
      <c r="T33" s="613"/>
      <c r="U33" s="612"/>
      <c r="V33" s="613"/>
      <c r="W33" s="614"/>
      <c r="X33" s="588"/>
    </row>
    <row r="34" spans="1:27" s="589" customFormat="1" x14ac:dyDescent="0.25">
      <c r="A34" s="608"/>
      <c r="B34" s="605" t="s">
        <v>286</v>
      </c>
      <c r="C34" s="615"/>
      <c r="D34" s="613">
        <v>492951</v>
      </c>
      <c r="E34" s="612"/>
      <c r="F34" s="613">
        <v>209500</v>
      </c>
      <c r="G34" s="613"/>
      <c r="H34" s="613">
        <v>74677</v>
      </c>
      <c r="I34" s="613"/>
      <c r="J34" s="613">
        <v>73943</v>
      </c>
      <c r="K34" s="613"/>
      <c r="L34" s="613">
        <v>17000</v>
      </c>
      <c r="M34" s="613"/>
      <c r="N34" s="613">
        <v>58045</v>
      </c>
      <c r="O34" s="613"/>
      <c r="P34" s="613">
        <v>75017</v>
      </c>
      <c r="Q34" s="613"/>
      <c r="R34" s="613"/>
      <c r="S34" s="618"/>
      <c r="T34" s="618"/>
      <c r="U34" s="615"/>
      <c r="V34" s="613">
        <f>SUM(C34:R34)</f>
        <v>1001133</v>
      </c>
      <c r="W34" s="614"/>
      <c r="X34" s="588"/>
    </row>
    <row r="35" spans="1:27" s="589" customFormat="1" x14ac:dyDescent="0.25">
      <c r="A35" s="608"/>
      <c r="B35" s="605" t="s">
        <v>287</v>
      </c>
      <c r="C35" s="615"/>
      <c r="D35" s="613">
        <f>D34*D38</f>
        <v>237018.18576989998</v>
      </c>
      <c r="E35" s="612"/>
      <c r="F35" s="613">
        <f>F34*F38</f>
        <v>100731.2453</v>
      </c>
      <c r="G35" s="613"/>
      <c r="H35" s="613">
        <f>H34*H38</f>
        <v>35906.777620600005</v>
      </c>
      <c r="I35" s="613"/>
      <c r="J35" s="613">
        <f>J34*J38</f>
        <v>35552.896150699999</v>
      </c>
      <c r="K35" s="613"/>
      <c r="L35" s="613">
        <f>L34*L38</f>
        <v>17000</v>
      </c>
      <c r="M35" s="613"/>
      <c r="N35" s="613">
        <f>N34*N38</f>
        <v>58045</v>
      </c>
      <c r="O35" s="613"/>
      <c r="P35" s="613">
        <f>P34*P38</f>
        <v>75017</v>
      </c>
      <c r="Q35" s="613"/>
      <c r="R35" s="613"/>
      <c r="S35" s="613"/>
      <c r="T35" s="613"/>
      <c r="U35" s="612"/>
      <c r="V35" s="613">
        <f>SUM(C35:R35)</f>
        <v>559271.10484119994</v>
      </c>
      <c r="W35" s="614"/>
      <c r="X35" s="588"/>
    </row>
    <row r="36" spans="1:27" s="589" customFormat="1" x14ac:dyDescent="0.25">
      <c r="A36" s="608"/>
      <c r="B36" s="610" t="s">
        <v>288</v>
      </c>
      <c r="C36" s="615"/>
      <c r="D36" s="618">
        <f>D34*D37</f>
        <v>230046.33048180002</v>
      </c>
      <c r="E36" s="615"/>
      <c r="F36" s="618">
        <f>F34*F37</f>
        <v>97768.286800000002</v>
      </c>
      <c r="G36" s="618"/>
      <c r="H36" s="618">
        <f>H34*H37</f>
        <v>34850.635745</v>
      </c>
      <c r="I36" s="618"/>
      <c r="J36" s="618">
        <f>J34*J37</f>
        <v>34507.112907400005</v>
      </c>
      <c r="K36" s="618"/>
      <c r="L36" s="618">
        <f>L34*L37</f>
        <v>17000</v>
      </c>
      <c r="M36" s="618"/>
      <c r="N36" s="618">
        <f>N34*N37</f>
        <v>58045</v>
      </c>
      <c r="O36" s="618"/>
      <c r="P36" s="618">
        <f>P34*P37</f>
        <v>75017</v>
      </c>
      <c r="Q36" s="618"/>
      <c r="R36" s="618"/>
      <c r="S36" s="621"/>
      <c r="T36" s="621"/>
      <c r="U36" s="612"/>
      <c r="V36" s="618">
        <f>SUM(C36:R36)</f>
        <v>547234.3659342</v>
      </c>
      <c r="W36" s="614"/>
      <c r="X36" s="588"/>
    </row>
    <row r="37" spans="1:27" s="629" customFormat="1" x14ac:dyDescent="0.25">
      <c r="A37" s="622"/>
      <c r="B37" s="623" t="s">
        <v>130</v>
      </c>
      <c r="C37" s="624"/>
      <c r="D37" s="625">
        <v>0.46667180000000003</v>
      </c>
      <c r="E37" s="625"/>
      <c r="F37" s="625">
        <v>0.46667439999999999</v>
      </c>
      <c r="G37" s="625"/>
      <c r="H37" s="625">
        <v>0.46668500000000002</v>
      </c>
      <c r="I37" s="625"/>
      <c r="J37" s="625">
        <v>0.46667180000000003</v>
      </c>
      <c r="K37" s="625"/>
      <c r="L37" s="625">
        <v>1</v>
      </c>
      <c r="M37" s="625"/>
      <c r="N37" s="625">
        <v>1</v>
      </c>
      <c r="O37" s="625"/>
      <c r="P37" s="625">
        <v>1</v>
      </c>
      <c r="Q37" s="625"/>
      <c r="R37" s="625"/>
      <c r="S37" s="626"/>
      <c r="T37" s="626"/>
      <c r="U37" s="624"/>
      <c r="V37" s="624"/>
      <c r="W37" s="627"/>
      <c r="X37" s="628"/>
    </row>
    <row r="38" spans="1:27" s="629" customFormat="1" x14ac:dyDescent="0.25">
      <c r="A38" s="622"/>
      <c r="B38" s="623" t="s">
        <v>131</v>
      </c>
      <c r="C38" s="624"/>
      <c r="D38" s="625">
        <v>0.48081489999999999</v>
      </c>
      <c r="E38" s="625"/>
      <c r="F38" s="625">
        <v>0.48081740000000001</v>
      </c>
      <c r="G38" s="625"/>
      <c r="H38" s="625">
        <v>0.48082780000000003</v>
      </c>
      <c r="I38" s="625"/>
      <c r="J38" s="625">
        <v>0.48081489999999999</v>
      </c>
      <c r="K38" s="625"/>
      <c r="L38" s="625">
        <v>1</v>
      </c>
      <c r="M38" s="625"/>
      <c r="N38" s="625">
        <v>1</v>
      </c>
      <c r="O38" s="625"/>
      <c r="P38" s="625">
        <v>1</v>
      </c>
      <c r="Q38" s="625"/>
      <c r="R38" s="625"/>
      <c r="S38" s="630"/>
      <c r="T38" s="631"/>
      <c r="U38" s="624"/>
      <c r="V38" s="630"/>
      <c r="W38" s="627"/>
      <c r="X38" s="628"/>
    </row>
    <row r="39" spans="1:27" s="629" customFormat="1" x14ac:dyDescent="0.25">
      <c r="A39" s="622"/>
      <c r="B39" s="624" t="s">
        <v>11</v>
      </c>
      <c r="C39" s="624"/>
      <c r="D39" s="626" t="s">
        <v>304</v>
      </c>
      <c r="E39" s="624"/>
      <c r="F39" s="626" t="s">
        <v>256</v>
      </c>
      <c r="G39" s="626"/>
      <c r="H39" s="626" t="s">
        <v>257</v>
      </c>
      <c r="I39" s="626"/>
      <c r="J39" s="626" t="s">
        <v>258</v>
      </c>
      <c r="K39" s="626"/>
      <c r="L39" s="626" t="s">
        <v>259</v>
      </c>
      <c r="M39" s="626"/>
      <c r="N39" s="626" t="s">
        <v>259</v>
      </c>
      <c r="O39" s="626"/>
      <c r="P39" s="626" t="s">
        <v>260</v>
      </c>
      <c r="Q39" s="626"/>
      <c r="R39" s="626"/>
      <c r="S39" s="630"/>
      <c r="T39" s="631"/>
      <c r="U39" s="624"/>
      <c r="V39" s="624"/>
      <c r="W39" s="627"/>
      <c r="X39" s="628"/>
    </row>
    <row r="40" spans="1:27" s="589" customFormat="1" x14ac:dyDescent="0.25">
      <c r="A40" s="604"/>
      <c r="B40" s="605" t="s">
        <v>12</v>
      </c>
      <c r="C40" s="605"/>
      <c r="D40" s="632">
        <v>1.94538E-2</v>
      </c>
      <c r="E40" s="605"/>
      <c r="F40" s="632">
        <v>1.0413800000000001E-2</v>
      </c>
      <c r="G40" s="633"/>
      <c r="H40" s="632">
        <v>0</v>
      </c>
      <c r="I40" s="632"/>
      <c r="J40" s="632">
        <v>2.3385E-2</v>
      </c>
      <c r="K40" s="633"/>
      <c r="L40" s="632">
        <v>1.32138E-2</v>
      </c>
      <c r="M40" s="633"/>
      <c r="N40" s="632">
        <v>1.07E-3</v>
      </c>
      <c r="O40" s="633"/>
      <c r="P40" s="632">
        <v>6.6699999999999997E-3</v>
      </c>
      <c r="Q40" s="633"/>
      <c r="R40" s="632"/>
      <c r="S40" s="633"/>
      <c r="T40" s="632"/>
      <c r="U40" s="605"/>
      <c r="V40" s="611"/>
      <c r="W40" s="607"/>
      <c r="X40" s="588"/>
      <c r="AA40" s="589" t="s">
        <v>193</v>
      </c>
    </row>
    <row r="41" spans="1:27" s="589" customFormat="1" x14ac:dyDescent="0.25">
      <c r="A41" s="604"/>
      <c r="B41" s="605" t="s">
        <v>13</v>
      </c>
      <c r="C41" s="605"/>
      <c r="D41" s="632">
        <v>2.3751299999999999E-2</v>
      </c>
      <c r="E41" s="605"/>
      <c r="F41" s="632">
        <v>1.04613E-2</v>
      </c>
      <c r="G41" s="633"/>
      <c r="H41" s="632">
        <v>0</v>
      </c>
      <c r="I41" s="632"/>
      <c r="J41" s="632">
        <v>2.6302499999999999E-2</v>
      </c>
      <c r="K41" s="633"/>
      <c r="L41" s="632">
        <v>1.32613E-2</v>
      </c>
      <c r="M41" s="633"/>
      <c r="N41" s="632">
        <v>2.2200000000000002E-3</v>
      </c>
      <c r="O41" s="633"/>
      <c r="P41" s="632">
        <v>7.8200000000000006E-3</v>
      </c>
      <c r="Q41" s="633"/>
      <c r="R41" s="632"/>
      <c r="S41" s="633"/>
      <c r="T41" s="632"/>
      <c r="U41" s="605"/>
      <c r="V41" s="633" t="s">
        <v>193</v>
      </c>
      <c r="W41" s="607"/>
      <c r="X41" s="588"/>
    </row>
    <row r="42" spans="1:27" s="589" customFormat="1" x14ac:dyDescent="0.25">
      <c r="A42" s="604"/>
      <c r="B42" s="605" t="s">
        <v>289</v>
      </c>
      <c r="C42" s="605"/>
      <c r="D42" s="611" t="s">
        <v>311</v>
      </c>
      <c r="E42" s="605"/>
      <c r="F42" s="611" t="s">
        <v>256</v>
      </c>
      <c r="G42" s="611"/>
      <c r="H42" s="611" t="s">
        <v>261</v>
      </c>
      <c r="I42" s="611"/>
      <c r="J42" s="611" t="s">
        <v>261</v>
      </c>
      <c r="K42" s="611"/>
      <c r="L42" s="611" t="s">
        <v>259</v>
      </c>
      <c r="M42" s="611"/>
      <c r="N42" s="611" t="s">
        <v>263</v>
      </c>
      <c r="O42" s="611"/>
      <c r="P42" s="611" t="s">
        <v>264</v>
      </c>
      <c r="Q42" s="611"/>
      <c r="R42" s="611"/>
      <c r="S42" s="633"/>
      <c r="T42" s="632"/>
      <c r="U42" s="605"/>
      <c r="V42" s="605"/>
      <c r="W42" s="607"/>
      <c r="X42" s="588"/>
    </row>
    <row r="43" spans="1:27" s="589" customFormat="1" x14ac:dyDescent="0.25">
      <c r="A43" s="604"/>
      <c r="B43" s="605" t="s">
        <v>290</v>
      </c>
      <c r="C43" s="634"/>
      <c r="D43" s="632">
        <v>9.8107000000000003E-3</v>
      </c>
      <c r="E43" s="632"/>
      <c r="F43" s="632">
        <f>+F40</f>
        <v>1.0413800000000001E-2</v>
      </c>
      <c r="G43" s="632"/>
      <c r="H43" s="632">
        <v>1.05638E-2</v>
      </c>
      <c r="I43" s="632"/>
      <c r="J43" s="632">
        <v>1.05938E-2</v>
      </c>
      <c r="K43" s="632"/>
      <c r="L43" s="632">
        <f>+L40</f>
        <v>1.32138E-2</v>
      </c>
      <c r="M43" s="632"/>
      <c r="N43" s="632">
        <v>1.39478E-2</v>
      </c>
      <c r="O43" s="632"/>
      <c r="P43" s="632">
        <v>2.0107799999999999E-2</v>
      </c>
      <c r="Q43" s="633"/>
      <c r="R43" s="632"/>
      <c r="S43" s="611"/>
      <c r="T43" s="611"/>
      <c r="U43" s="605"/>
      <c r="V43" s="633">
        <f>SUMPRODUCT(D43:R43,D35:R35)/V35</f>
        <v>1.1931464135988924E-2</v>
      </c>
      <c r="W43" s="607"/>
      <c r="X43" s="588"/>
    </row>
    <row r="44" spans="1:27" s="589" customFormat="1" x14ac:dyDescent="0.25">
      <c r="A44" s="604"/>
      <c r="B44" s="605" t="s">
        <v>291</v>
      </c>
      <c r="C44" s="634"/>
      <c r="D44" s="632">
        <v>9.8581999999999993E-3</v>
      </c>
      <c r="E44" s="632"/>
      <c r="F44" s="632">
        <f>+F41</f>
        <v>1.04613E-2</v>
      </c>
      <c r="G44" s="632"/>
      <c r="H44" s="632">
        <v>1.0611300000000001E-2</v>
      </c>
      <c r="I44" s="632"/>
      <c r="J44" s="632">
        <v>1.0641299999999999E-2</v>
      </c>
      <c r="K44" s="632"/>
      <c r="L44" s="632">
        <f>+L41</f>
        <v>1.32613E-2</v>
      </c>
      <c r="M44" s="632"/>
      <c r="N44" s="632">
        <v>1.39953E-2</v>
      </c>
      <c r="O44" s="632"/>
      <c r="P44" s="632">
        <v>2.0155300000000001E-2</v>
      </c>
      <c r="Q44" s="633"/>
      <c r="R44" s="632"/>
      <c r="S44" s="611"/>
      <c r="T44" s="611"/>
      <c r="U44" s="605"/>
      <c r="V44" s="605"/>
      <c r="W44" s="607"/>
      <c r="X44" s="588"/>
    </row>
    <row r="45" spans="1:27" s="589" customFormat="1" x14ac:dyDescent="0.25">
      <c r="A45" s="604"/>
      <c r="B45" s="605" t="s">
        <v>14</v>
      </c>
      <c r="C45" s="605"/>
      <c r="D45" s="634">
        <v>40709</v>
      </c>
      <c r="E45" s="634"/>
      <c r="F45" s="634">
        <v>40709</v>
      </c>
      <c r="G45" s="634"/>
      <c r="H45" s="634">
        <v>40709</v>
      </c>
      <c r="I45" s="634"/>
      <c r="J45" s="634">
        <v>40709</v>
      </c>
      <c r="K45" s="634"/>
      <c r="L45" s="634">
        <v>40709</v>
      </c>
      <c r="M45" s="634"/>
      <c r="N45" s="634">
        <v>40709</v>
      </c>
      <c r="O45" s="634"/>
      <c r="P45" s="634">
        <v>40709</v>
      </c>
      <c r="Q45" s="634"/>
      <c r="R45" s="634"/>
      <c r="S45" s="611"/>
      <c r="T45" s="611"/>
      <c r="U45" s="605"/>
      <c r="V45" s="605"/>
      <c r="W45" s="607"/>
      <c r="X45" s="588"/>
    </row>
    <row r="46" spans="1:27" s="589" customFormat="1" x14ac:dyDescent="0.25">
      <c r="A46" s="604"/>
      <c r="B46" s="605" t="s">
        <v>15</v>
      </c>
      <c r="C46" s="605"/>
      <c r="D46" s="634">
        <v>41075</v>
      </c>
      <c r="E46" s="634"/>
      <c r="F46" s="634">
        <v>41075</v>
      </c>
      <c r="G46" s="634"/>
      <c r="H46" s="634">
        <v>41075</v>
      </c>
      <c r="I46" s="634"/>
      <c r="J46" s="634">
        <v>41075</v>
      </c>
      <c r="K46" s="611"/>
      <c r="L46" s="634">
        <v>41075</v>
      </c>
      <c r="M46" s="611"/>
      <c r="N46" s="634">
        <v>41075</v>
      </c>
      <c r="O46" s="611"/>
      <c r="P46" s="634">
        <v>41075</v>
      </c>
      <c r="Q46" s="611"/>
      <c r="R46" s="634"/>
      <c r="S46" s="611"/>
      <c r="T46" s="611"/>
      <c r="U46" s="605"/>
      <c r="V46" s="605"/>
      <c r="W46" s="607"/>
      <c r="X46" s="588"/>
    </row>
    <row r="47" spans="1:27" s="589" customFormat="1" x14ac:dyDescent="0.25">
      <c r="A47" s="604"/>
      <c r="B47" s="605" t="s">
        <v>119</v>
      </c>
      <c r="C47" s="605"/>
      <c r="D47" s="611" t="s">
        <v>304</v>
      </c>
      <c r="E47" s="605"/>
      <c r="F47" s="611" t="s">
        <v>256</v>
      </c>
      <c r="G47" s="611"/>
      <c r="H47" s="611" t="s">
        <v>257</v>
      </c>
      <c r="I47" s="611"/>
      <c r="J47" s="611" t="s">
        <v>258</v>
      </c>
      <c r="K47" s="611"/>
      <c r="L47" s="611" t="s">
        <v>259</v>
      </c>
      <c r="M47" s="611"/>
      <c r="N47" s="611" t="s">
        <v>259</v>
      </c>
      <c r="O47" s="611"/>
      <c r="P47" s="611" t="s">
        <v>260</v>
      </c>
      <c r="Q47" s="611"/>
      <c r="R47" s="611"/>
      <c r="S47" s="635"/>
      <c r="T47" s="635"/>
      <c r="U47" s="635"/>
      <c r="V47" s="635"/>
      <c r="W47" s="607"/>
      <c r="X47" s="588"/>
    </row>
    <row r="48" spans="1:27" s="589" customFormat="1" x14ac:dyDescent="0.25">
      <c r="A48" s="604"/>
      <c r="B48" s="605" t="s">
        <v>292</v>
      </c>
      <c r="C48" s="605"/>
      <c r="D48" s="611" t="s">
        <v>311</v>
      </c>
      <c r="E48" s="605"/>
      <c r="F48" s="611" t="s">
        <v>256</v>
      </c>
      <c r="G48" s="611"/>
      <c r="H48" s="611" t="s">
        <v>261</v>
      </c>
      <c r="I48" s="611"/>
      <c r="J48" s="611" t="s">
        <v>261</v>
      </c>
      <c r="K48" s="611"/>
      <c r="L48" s="611" t="s">
        <v>259</v>
      </c>
      <c r="M48" s="611"/>
      <c r="N48" s="611" t="s">
        <v>263</v>
      </c>
      <c r="O48" s="611"/>
      <c r="P48" s="611" t="s">
        <v>264</v>
      </c>
      <c r="Q48" s="611"/>
      <c r="R48" s="611"/>
      <c r="S48" s="605"/>
      <c r="T48" s="605"/>
      <c r="U48" s="605"/>
      <c r="V48" s="633"/>
      <c r="W48" s="607"/>
      <c r="X48" s="588"/>
    </row>
    <row r="49" spans="1:25" s="589" customFormat="1" x14ac:dyDescent="0.25">
      <c r="A49" s="604"/>
      <c r="B49" s="605"/>
      <c r="C49" s="605"/>
      <c r="D49" s="611"/>
      <c r="E49" s="605"/>
      <c r="F49" s="611"/>
      <c r="G49" s="611"/>
      <c r="H49" s="611"/>
      <c r="I49" s="611"/>
      <c r="J49" s="611"/>
      <c r="K49" s="611"/>
      <c r="L49" s="611"/>
      <c r="M49" s="611"/>
      <c r="N49" s="611"/>
      <c r="O49" s="611"/>
      <c r="P49" s="611"/>
      <c r="Q49" s="611"/>
      <c r="R49" s="611"/>
      <c r="S49" s="605"/>
      <c r="T49" s="605"/>
      <c r="U49" s="605"/>
      <c r="V49" s="633" t="s">
        <v>193</v>
      </c>
      <c r="W49" s="607"/>
      <c r="X49" s="588"/>
    </row>
    <row r="50" spans="1:25" s="589" customFormat="1" x14ac:dyDescent="0.25">
      <c r="A50" s="604"/>
      <c r="B50" s="605" t="s">
        <v>169</v>
      </c>
      <c r="C50" s="605"/>
      <c r="D50" s="611"/>
      <c r="E50" s="605"/>
      <c r="F50" s="611"/>
      <c r="G50" s="611"/>
      <c r="H50" s="611"/>
      <c r="I50" s="611"/>
      <c r="J50" s="611"/>
      <c r="K50" s="611"/>
      <c r="L50" s="611"/>
      <c r="M50" s="611"/>
      <c r="N50" s="611"/>
      <c r="O50" s="611"/>
      <c r="P50" s="611"/>
      <c r="Q50" s="611"/>
      <c r="R50" s="611"/>
      <c r="S50" s="605"/>
      <c r="T50" s="605"/>
      <c r="U50" s="605"/>
      <c r="V50" s="633">
        <f>SUM(L34:R34)/SUM(D34:J34)</f>
        <v>0.17632136449250416</v>
      </c>
      <c r="W50" s="607"/>
      <c r="X50" s="588"/>
    </row>
    <row r="51" spans="1:25" s="589" customFormat="1" x14ac:dyDescent="0.25">
      <c r="A51" s="604"/>
      <c r="B51" s="605" t="s">
        <v>170</v>
      </c>
      <c r="C51" s="605"/>
      <c r="D51" s="605"/>
      <c r="E51" s="605"/>
      <c r="F51" s="636"/>
      <c r="G51" s="605"/>
      <c r="H51" s="605"/>
      <c r="I51" s="605"/>
      <c r="J51" s="605"/>
      <c r="K51" s="605"/>
      <c r="L51" s="605"/>
      <c r="M51" s="605"/>
      <c r="N51" s="605"/>
      <c r="O51" s="605"/>
      <c r="P51" s="605"/>
      <c r="Q51" s="605"/>
      <c r="R51" s="605"/>
      <c r="S51" s="605"/>
      <c r="T51" s="605"/>
      <c r="U51" s="605"/>
      <c r="V51" s="633">
        <f>SUM(L36:R36)/SUM(D36:J36)</f>
        <v>0.37782588334673045</v>
      </c>
      <c r="W51" s="607"/>
      <c r="X51" s="588"/>
    </row>
    <row r="52" spans="1:25" s="589" customFormat="1" x14ac:dyDescent="0.25">
      <c r="A52" s="604"/>
      <c r="B52" s="605" t="s">
        <v>171</v>
      </c>
      <c r="C52" s="605"/>
      <c r="D52" s="605"/>
      <c r="E52" s="605"/>
      <c r="F52" s="605"/>
      <c r="G52" s="605"/>
      <c r="H52" s="605"/>
      <c r="I52" s="605"/>
      <c r="J52" s="605"/>
      <c r="K52" s="605"/>
      <c r="L52" s="605"/>
      <c r="M52" s="605"/>
      <c r="N52" s="605"/>
      <c r="O52" s="605"/>
      <c r="P52" s="605"/>
      <c r="Q52" s="605"/>
      <c r="R52" s="605"/>
      <c r="S52" s="605"/>
      <c r="T52" s="611"/>
      <c r="U52" s="611"/>
      <c r="V52" s="613" t="s">
        <v>268</v>
      </c>
      <c r="W52" s="607"/>
      <c r="X52" s="588"/>
    </row>
    <row r="53" spans="1:25" s="589" customFormat="1" x14ac:dyDescent="0.25">
      <c r="A53" s="604"/>
      <c r="B53" s="605"/>
      <c r="C53" s="605"/>
      <c r="D53" s="605"/>
      <c r="E53" s="605"/>
      <c r="F53" s="605"/>
      <c r="G53" s="605"/>
      <c r="H53" s="605"/>
      <c r="I53" s="605"/>
      <c r="J53" s="605"/>
      <c r="K53" s="605"/>
      <c r="L53" s="605"/>
      <c r="M53" s="605"/>
      <c r="N53" s="605"/>
      <c r="O53" s="605"/>
      <c r="P53" s="605"/>
      <c r="Q53" s="605"/>
      <c r="R53" s="605"/>
      <c r="S53" s="605"/>
      <c r="T53" s="605"/>
      <c r="U53" s="605"/>
      <c r="V53" s="637"/>
      <c r="W53" s="607"/>
      <c r="X53" s="588"/>
    </row>
    <row r="54" spans="1:25" s="589" customFormat="1" x14ac:dyDescent="0.25">
      <c r="A54" s="604"/>
      <c r="B54" s="605" t="s">
        <v>202</v>
      </c>
      <c r="C54" s="605"/>
      <c r="D54" s="605"/>
      <c r="E54" s="605"/>
      <c r="F54" s="605"/>
      <c r="G54" s="605"/>
      <c r="H54" s="605"/>
      <c r="I54" s="605"/>
      <c r="J54" s="605"/>
      <c r="K54" s="605"/>
      <c r="L54" s="605"/>
      <c r="M54" s="605"/>
      <c r="N54" s="605"/>
      <c r="O54" s="605"/>
      <c r="P54" s="605"/>
      <c r="Q54" s="605"/>
      <c r="R54" s="605"/>
      <c r="S54" s="605"/>
      <c r="T54" s="605"/>
      <c r="U54" s="605"/>
      <c r="V54" s="621" t="s">
        <v>203</v>
      </c>
      <c r="W54" s="607"/>
      <c r="X54" s="588"/>
    </row>
    <row r="55" spans="1:25" s="589" customFormat="1" x14ac:dyDescent="0.25">
      <c r="A55" s="604"/>
      <c r="B55" s="605" t="s">
        <v>270</v>
      </c>
      <c r="C55" s="605"/>
      <c r="D55" s="605"/>
      <c r="E55" s="605"/>
      <c r="F55" s="605"/>
      <c r="G55" s="605"/>
      <c r="H55" s="605"/>
      <c r="I55" s="605"/>
      <c r="J55" s="605"/>
      <c r="K55" s="605"/>
      <c r="L55" s="605"/>
      <c r="M55" s="605"/>
      <c r="N55" s="605"/>
      <c r="O55" s="605"/>
      <c r="P55" s="605"/>
      <c r="Q55" s="605"/>
      <c r="R55" s="605"/>
      <c r="S55" s="605"/>
      <c r="T55" s="611"/>
      <c r="U55" s="611"/>
      <c r="V55" s="638" t="s">
        <v>111</v>
      </c>
      <c r="W55" s="607"/>
      <c r="X55" s="588"/>
    </row>
    <row r="56" spans="1:25" s="589" customFormat="1" x14ac:dyDescent="0.25">
      <c r="A56" s="604"/>
      <c r="B56" s="610" t="s">
        <v>201</v>
      </c>
      <c r="C56" s="610"/>
      <c r="D56" s="610"/>
      <c r="E56" s="610"/>
      <c r="F56" s="610"/>
      <c r="G56" s="610"/>
      <c r="H56" s="610"/>
      <c r="I56" s="610"/>
      <c r="J56" s="610"/>
      <c r="K56" s="610"/>
      <c r="L56" s="610"/>
      <c r="M56" s="610"/>
      <c r="N56" s="610"/>
      <c r="O56" s="610"/>
      <c r="P56" s="610"/>
      <c r="Q56" s="610"/>
      <c r="R56" s="610"/>
      <c r="S56" s="610"/>
      <c r="T56" s="639"/>
      <c r="U56" s="639"/>
      <c r="V56" s="640">
        <v>43815</v>
      </c>
      <c r="W56" s="607"/>
      <c r="X56" s="588"/>
    </row>
    <row r="57" spans="1:25" s="589" customFormat="1" x14ac:dyDescent="0.25">
      <c r="A57" s="604"/>
      <c r="B57" s="605" t="s">
        <v>121</v>
      </c>
      <c r="C57" s="605"/>
      <c r="D57" s="605"/>
      <c r="E57" s="605"/>
      <c r="F57" s="605"/>
      <c r="G57" s="605"/>
      <c r="H57" s="641"/>
      <c r="I57" s="641"/>
      <c r="J57" s="641"/>
      <c r="K57" s="641"/>
      <c r="L57" s="641"/>
      <c r="M57" s="641"/>
      <c r="N57" s="641"/>
      <c r="O57" s="641"/>
      <c r="P57" s="641"/>
      <c r="Q57" s="641"/>
      <c r="R57" s="605">
        <f>+V57-T57+1</f>
        <v>91</v>
      </c>
      <c r="S57" s="641"/>
      <c r="T57" s="642">
        <v>43633</v>
      </c>
      <c r="U57" s="643"/>
      <c r="V57" s="642">
        <v>43723</v>
      </c>
      <c r="W57" s="607"/>
      <c r="X57" s="588"/>
    </row>
    <row r="58" spans="1:25" s="589" customFormat="1" x14ac:dyDescent="0.25">
      <c r="A58" s="604"/>
      <c r="B58" s="605" t="s">
        <v>122</v>
      </c>
      <c r="C58" s="605"/>
      <c r="D58" s="605"/>
      <c r="E58" s="605"/>
      <c r="F58" s="605"/>
      <c r="G58" s="605"/>
      <c r="H58" s="605"/>
      <c r="I58" s="605"/>
      <c r="J58" s="605"/>
      <c r="K58" s="605"/>
      <c r="L58" s="605"/>
      <c r="M58" s="605"/>
      <c r="N58" s="605"/>
      <c r="O58" s="605"/>
      <c r="P58" s="605"/>
      <c r="Q58" s="605"/>
      <c r="R58" s="605">
        <f>+V58-T58+1</f>
        <v>91</v>
      </c>
      <c r="S58" s="605"/>
      <c r="T58" s="642">
        <v>43724</v>
      </c>
      <c r="U58" s="643"/>
      <c r="V58" s="642">
        <v>43814</v>
      </c>
      <c r="W58" s="607"/>
      <c r="X58" s="588"/>
    </row>
    <row r="59" spans="1:25" s="589" customFormat="1" x14ac:dyDescent="0.25">
      <c r="A59" s="604"/>
      <c r="B59" s="605" t="s">
        <v>223</v>
      </c>
      <c r="C59" s="605"/>
      <c r="D59" s="605"/>
      <c r="E59" s="605"/>
      <c r="F59" s="605"/>
      <c r="G59" s="605"/>
      <c r="H59" s="605"/>
      <c r="I59" s="605"/>
      <c r="J59" s="605"/>
      <c r="K59" s="605"/>
      <c r="L59" s="605"/>
      <c r="M59" s="605"/>
      <c r="N59" s="605"/>
      <c r="O59" s="605"/>
      <c r="P59" s="605"/>
      <c r="Q59" s="605"/>
      <c r="R59" s="605"/>
      <c r="S59" s="605"/>
      <c r="T59" s="642"/>
      <c r="U59" s="643"/>
      <c r="V59" s="642" t="s">
        <v>120</v>
      </c>
      <c r="W59" s="607"/>
      <c r="X59" s="588"/>
    </row>
    <row r="60" spans="1:25" s="589" customFormat="1" x14ac:dyDescent="0.25">
      <c r="A60" s="604"/>
      <c r="B60" s="605" t="s">
        <v>271</v>
      </c>
      <c r="C60" s="605"/>
      <c r="D60" s="605"/>
      <c r="E60" s="605"/>
      <c r="F60" s="605"/>
      <c r="G60" s="605"/>
      <c r="H60" s="605"/>
      <c r="I60" s="605"/>
      <c r="J60" s="605"/>
      <c r="K60" s="605"/>
      <c r="L60" s="605"/>
      <c r="M60" s="605"/>
      <c r="N60" s="605"/>
      <c r="O60" s="605"/>
      <c r="P60" s="605"/>
      <c r="Q60" s="605"/>
      <c r="R60" s="605"/>
      <c r="S60" s="605"/>
      <c r="T60" s="642"/>
      <c r="U60" s="643"/>
      <c r="V60" s="642" t="s">
        <v>154</v>
      </c>
      <c r="W60" s="607"/>
      <c r="X60" s="588"/>
      <c r="Y60" s="644"/>
    </row>
    <row r="61" spans="1:25" s="589" customFormat="1" x14ac:dyDescent="0.25">
      <c r="A61" s="604"/>
      <c r="B61" s="605" t="s">
        <v>16</v>
      </c>
      <c r="C61" s="605"/>
      <c r="D61" s="605"/>
      <c r="E61" s="605"/>
      <c r="F61" s="605"/>
      <c r="G61" s="605"/>
      <c r="H61" s="605"/>
      <c r="I61" s="605"/>
      <c r="J61" s="605"/>
      <c r="K61" s="605"/>
      <c r="L61" s="605"/>
      <c r="M61" s="605"/>
      <c r="N61" s="605"/>
      <c r="O61" s="605"/>
      <c r="P61" s="605"/>
      <c r="Q61" s="605"/>
      <c r="R61" s="605"/>
      <c r="S61" s="605"/>
      <c r="T61" s="642"/>
      <c r="U61" s="643"/>
      <c r="V61" s="642">
        <v>43801</v>
      </c>
      <c r="W61" s="607"/>
      <c r="X61" s="588"/>
    </row>
    <row r="62" spans="1:25" s="589" customFormat="1" x14ac:dyDescent="0.25">
      <c r="A62" s="585"/>
      <c r="B62" s="602"/>
      <c r="C62" s="602"/>
      <c r="D62" s="602"/>
      <c r="E62" s="602"/>
      <c r="F62" s="602"/>
      <c r="G62" s="602"/>
      <c r="H62" s="602"/>
      <c r="I62" s="602"/>
      <c r="J62" s="602"/>
      <c r="K62" s="602"/>
      <c r="L62" s="602"/>
      <c r="M62" s="602"/>
      <c r="N62" s="602"/>
      <c r="O62" s="602"/>
      <c r="P62" s="602"/>
      <c r="Q62" s="602"/>
      <c r="R62" s="602"/>
      <c r="S62" s="602"/>
      <c r="T62" s="645"/>
      <c r="U62" s="646"/>
      <c r="V62" s="645"/>
      <c r="W62" s="602"/>
      <c r="X62" s="588"/>
    </row>
    <row r="63" spans="1:25" s="589" customFormat="1" x14ac:dyDescent="0.25">
      <c r="A63" s="585"/>
      <c r="B63" s="586"/>
      <c r="C63" s="586"/>
      <c r="D63" s="586"/>
      <c r="E63" s="586"/>
      <c r="F63" s="586"/>
      <c r="G63" s="586"/>
      <c r="H63" s="586"/>
      <c r="I63" s="586"/>
      <c r="J63" s="586"/>
      <c r="K63" s="586"/>
      <c r="L63" s="586"/>
      <c r="M63" s="586"/>
      <c r="N63" s="586"/>
      <c r="O63" s="586"/>
      <c r="P63" s="586"/>
      <c r="Q63" s="586"/>
      <c r="R63" s="586"/>
      <c r="S63" s="586"/>
      <c r="T63" s="647"/>
      <c r="U63" s="648"/>
      <c r="V63" s="647"/>
      <c r="W63" s="586"/>
      <c r="X63" s="588"/>
    </row>
    <row r="64" spans="1:25" s="589" customFormat="1" ht="19.5" thickBot="1" x14ac:dyDescent="0.35">
      <c r="A64" s="649"/>
      <c r="B64" s="568" t="s">
        <v>354</v>
      </c>
      <c r="C64" s="650"/>
      <c r="D64" s="650"/>
      <c r="E64" s="650"/>
      <c r="F64" s="650"/>
      <c r="G64" s="650"/>
      <c r="H64" s="650"/>
      <c r="I64" s="650"/>
      <c r="J64" s="650"/>
      <c r="K64" s="650"/>
      <c r="L64" s="650"/>
      <c r="M64" s="650"/>
      <c r="N64" s="650"/>
      <c r="O64" s="650"/>
      <c r="P64" s="650"/>
      <c r="Q64" s="650"/>
      <c r="R64" s="650"/>
      <c r="S64" s="650"/>
      <c r="T64" s="650"/>
      <c r="U64" s="650"/>
      <c r="V64" s="651"/>
      <c r="W64" s="652"/>
      <c r="X64" s="588"/>
    </row>
    <row r="65" spans="1:24" x14ac:dyDescent="0.25">
      <c r="A65" s="597"/>
      <c r="B65" s="653" t="s">
        <v>17</v>
      </c>
      <c r="C65" s="654"/>
      <c r="D65" s="654"/>
      <c r="E65" s="654"/>
      <c r="F65" s="654"/>
      <c r="G65" s="654"/>
      <c r="H65" s="654"/>
      <c r="I65" s="654"/>
      <c r="J65" s="654"/>
      <c r="K65" s="654"/>
      <c r="L65" s="654"/>
      <c r="M65" s="654"/>
      <c r="N65" s="654"/>
      <c r="O65" s="654"/>
      <c r="P65" s="654"/>
      <c r="Q65" s="654"/>
      <c r="R65" s="654"/>
      <c r="S65" s="654"/>
      <c r="T65" s="654"/>
      <c r="U65" s="654"/>
      <c r="V65" s="655"/>
      <c r="W65" s="654"/>
      <c r="X65" s="572"/>
    </row>
    <row r="66" spans="1:24" x14ac:dyDescent="0.25">
      <c r="A66" s="574"/>
      <c r="B66" s="583"/>
      <c r="C66" s="576"/>
      <c r="D66" s="576"/>
      <c r="E66" s="576"/>
      <c r="F66" s="576"/>
      <c r="G66" s="576"/>
      <c r="H66" s="576"/>
      <c r="I66" s="576"/>
      <c r="J66" s="576"/>
      <c r="K66" s="576"/>
      <c r="L66" s="576"/>
      <c r="M66" s="576"/>
      <c r="N66" s="576"/>
      <c r="O66" s="576"/>
      <c r="P66" s="576"/>
      <c r="Q66" s="576"/>
      <c r="R66" s="576"/>
      <c r="S66" s="576"/>
      <c r="T66" s="576"/>
      <c r="U66" s="576"/>
      <c r="V66" s="656"/>
      <c r="W66" s="576"/>
      <c r="X66" s="572"/>
    </row>
    <row r="67" spans="1:24" s="629" customFormat="1" ht="47.25" x14ac:dyDescent="0.25">
      <c r="A67" s="657"/>
      <c r="B67" s="658" t="s">
        <v>18</v>
      </c>
      <c r="C67" s="659"/>
      <c r="D67" s="659"/>
      <c r="E67" s="659"/>
      <c r="F67" s="659"/>
      <c r="G67" s="659"/>
      <c r="H67" s="659"/>
      <c r="I67" s="659"/>
      <c r="J67" s="659"/>
      <c r="K67" s="659"/>
      <c r="L67" s="659" t="s">
        <v>94</v>
      </c>
      <c r="M67" s="659"/>
      <c r="N67" s="659" t="s">
        <v>96</v>
      </c>
      <c r="O67" s="659"/>
      <c r="P67" s="659" t="s">
        <v>98</v>
      </c>
      <c r="Q67" s="659"/>
      <c r="R67" s="659" t="s">
        <v>100</v>
      </c>
      <c r="S67" s="659"/>
      <c r="T67" s="659" t="s">
        <v>106</v>
      </c>
      <c r="U67" s="659"/>
      <c r="V67" s="660" t="s">
        <v>112</v>
      </c>
      <c r="W67" s="661"/>
      <c r="X67" s="628"/>
    </row>
    <row r="68" spans="1:24" s="589" customFormat="1" x14ac:dyDescent="0.25">
      <c r="A68" s="604"/>
      <c r="B68" s="605" t="s">
        <v>19</v>
      </c>
      <c r="C68" s="662"/>
      <c r="D68" s="662"/>
      <c r="E68" s="662"/>
      <c r="F68" s="662"/>
      <c r="G68" s="662"/>
      <c r="H68" s="662"/>
      <c r="I68" s="662"/>
      <c r="J68" s="662"/>
      <c r="K68" s="662"/>
      <c r="L68" s="662">
        <v>812446</v>
      </c>
      <c r="M68" s="662"/>
      <c r="N68" s="663">
        <v>559271</v>
      </c>
      <c r="O68" s="662"/>
      <c r="P68" s="662">
        <v>12037</v>
      </c>
      <c r="Q68" s="662"/>
      <c r="R68" s="662">
        <v>0</v>
      </c>
      <c r="S68" s="662"/>
      <c r="T68" s="662">
        <v>0</v>
      </c>
      <c r="U68" s="662"/>
      <c r="V68" s="663">
        <f>+N68-P68+R68-T68</f>
        <v>547234</v>
      </c>
      <c r="W68" s="607"/>
      <c r="X68" s="588"/>
    </row>
    <row r="69" spans="1:24" s="589" customFormat="1" x14ac:dyDescent="0.25">
      <c r="A69" s="604"/>
      <c r="B69" s="605" t="s">
        <v>20</v>
      </c>
      <c r="C69" s="662"/>
      <c r="D69" s="662"/>
      <c r="E69" s="662"/>
      <c r="F69" s="662"/>
      <c r="G69" s="662"/>
      <c r="H69" s="662"/>
      <c r="I69" s="662"/>
      <c r="J69" s="662"/>
      <c r="K69" s="662"/>
      <c r="L69" s="662">
        <v>0</v>
      </c>
      <c r="M69" s="662"/>
      <c r="N69" s="663">
        <v>0</v>
      </c>
      <c r="O69" s="662"/>
      <c r="P69" s="662">
        <v>0</v>
      </c>
      <c r="Q69" s="662"/>
      <c r="R69" s="662">
        <v>0</v>
      </c>
      <c r="S69" s="662"/>
      <c r="T69" s="662">
        <v>0</v>
      </c>
      <c r="U69" s="662"/>
      <c r="V69" s="663">
        <f>+L69-P69</f>
        <v>0</v>
      </c>
      <c r="W69" s="607"/>
      <c r="X69" s="588"/>
    </row>
    <row r="70" spans="1:24" s="589" customFormat="1" x14ac:dyDescent="0.25">
      <c r="A70" s="604"/>
      <c r="B70" s="605"/>
      <c r="C70" s="662"/>
      <c r="D70" s="662"/>
      <c r="E70" s="662"/>
      <c r="F70" s="662"/>
      <c r="G70" s="662"/>
      <c r="H70" s="662"/>
      <c r="I70" s="662"/>
      <c r="J70" s="662"/>
      <c r="K70" s="662"/>
      <c r="L70" s="662"/>
      <c r="M70" s="662"/>
      <c r="N70" s="663"/>
      <c r="O70" s="662"/>
      <c r="P70" s="662"/>
      <c r="Q70" s="662"/>
      <c r="R70" s="662"/>
      <c r="S70" s="662"/>
      <c r="T70" s="662"/>
      <c r="U70" s="662"/>
      <c r="V70" s="663"/>
      <c r="W70" s="607"/>
      <c r="X70" s="588"/>
    </row>
    <row r="71" spans="1:24" s="589" customFormat="1" x14ac:dyDescent="0.25">
      <c r="A71" s="604"/>
      <c r="B71" s="605" t="s">
        <v>21</v>
      </c>
      <c r="C71" s="662"/>
      <c r="D71" s="662"/>
      <c r="E71" s="662"/>
      <c r="F71" s="662"/>
      <c r="G71" s="662"/>
      <c r="H71" s="662"/>
      <c r="I71" s="662"/>
      <c r="J71" s="662"/>
      <c r="K71" s="662"/>
      <c r="L71" s="662">
        <f>SUM(L68:L70)</f>
        <v>812446</v>
      </c>
      <c r="M71" s="662"/>
      <c r="N71" s="662">
        <f>N68+N69</f>
        <v>559271</v>
      </c>
      <c r="O71" s="662"/>
      <c r="P71" s="662">
        <f>SUM(P68:P70)</f>
        <v>12037</v>
      </c>
      <c r="Q71" s="662"/>
      <c r="R71" s="662">
        <f>SUM(R68:R70)</f>
        <v>0</v>
      </c>
      <c r="S71" s="662"/>
      <c r="T71" s="662">
        <f>SUM(T68:T70)</f>
        <v>0</v>
      </c>
      <c r="U71" s="662"/>
      <c r="V71" s="662">
        <f>SUM(V68:V70)</f>
        <v>547234</v>
      </c>
      <c r="W71" s="607"/>
      <c r="X71" s="588"/>
    </row>
    <row r="72" spans="1:24" x14ac:dyDescent="0.25">
      <c r="A72" s="574"/>
      <c r="B72" s="664"/>
      <c r="C72" s="665"/>
      <c r="D72" s="665"/>
      <c r="E72" s="665"/>
      <c r="F72" s="665"/>
      <c r="G72" s="665"/>
      <c r="H72" s="665"/>
      <c r="I72" s="665"/>
      <c r="J72" s="665"/>
      <c r="K72" s="665"/>
      <c r="L72" s="665"/>
      <c r="M72" s="665"/>
      <c r="N72" s="665"/>
      <c r="O72" s="665"/>
      <c r="P72" s="665"/>
      <c r="Q72" s="665"/>
      <c r="R72" s="665"/>
      <c r="S72" s="665"/>
      <c r="T72" s="665"/>
      <c r="U72" s="665"/>
      <c r="V72" s="666"/>
      <c r="W72" s="664"/>
      <c r="X72" s="572"/>
    </row>
    <row r="73" spans="1:24" x14ac:dyDescent="0.25">
      <c r="A73" s="574"/>
      <c r="B73" s="578" t="s">
        <v>22</v>
      </c>
      <c r="C73" s="667"/>
      <c r="D73" s="667"/>
      <c r="E73" s="667"/>
      <c r="F73" s="667"/>
      <c r="G73" s="667"/>
      <c r="H73" s="667"/>
      <c r="I73" s="667"/>
      <c r="J73" s="667"/>
      <c r="K73" s="667"/>
      <c r="L73" s="667"/>
      <c r="M73" s="667"/>
      <c r="N73" s="667"/>
      <c r="O73" s="667"/>
      <c r="P73" s="667"/>
      <c r="Q73" s="667"/>
      <c r="R73" s="667"/>
      <c r="S73" s="667"/>
      <c r="T73" s="667"/>
      <c r="U73" s="667"/>
      <c r="V73" s="668"/>
      <c r="W73" s="576"/>
      <c r="X73" s="572"/>
    </row>
    <row r="74" spans="1:24" x14ac:dyDescent="0.25">
      <c r="A74" s="574"/>
      <c r="B74" s="576"/>
      <c r="C74" s="667"/>
      <c r="D74" s="667"/>
      <c r="E74" s="667"/>
      <c r="F74" s="667"/>
      <c r="G74" s="667"/>
      <c r="H74" s="667"/>
      <c r="I74" s="667"/>
      <c r="J74" s="667"/>
      <c r="K74" s="667"/>
      <c r="L74" s="667"/>
      <c r="M74" s="667"/>
      <c r="N74" s="667"/>
      <c r="O74" s="667"/>
      <c r="P74" s="667"/>
      <c r="Q74" s="667"/>
      <c r="R74" s="667"/>
      <c r="S74" s="667"/>
      <c r="T74" s="667"/>
      <c r="U74" s="667"/>
      <c r="V74" s="668"/>
      <c r="W74" s="576"/>
      <c r="X74" s="572"/>
    </row>
    <row r="75" spans="1:24" s="589" customFormat="1" x14ac:dyDescent="0.25">
      <c r="A75" s="604"/>
      <c r="B75" s="605" t="s">
        <v>19</v>
      </c>
      <c r="C75" s="662"/>
      <c r="D75" s="662"/>
      <c r="E75" s="662"/>
      <c r="F75" s="662"/>
      <c r="G75" s="662"/>
      <c r="H75" s="662"/>
      <c r="I75" s="662"/>
      <c r="J75" s="662"/>
      <c r="K75" s="662"/>
      <c r="L75" s="662"/>
      <c r="M75" s="662"/>
      <c r="N75" s="662"/>
      <c r="O75" s="662"/>
      <c r="P75" s="662"/>
      <c r="Q75" s="662"/>
      <c r="R75" s="662"/>
      <c r="S75" s="662"/>
      <c r="T75" s="662"/>
      <c r="U75" s="662"/>
      <c r="V75" s="662"/>
      <c r="W75" s="607"/>
      <c r="X75" s="588"/>
    </row>
    <row r="76" spans="1:24" s="589" customFormat="1" x14ac:dyDescent="0.25">
      <c r="A76" s="604"/>
      <c r="B76" s="605" t="s">
        <v>20</v>
      </c>
      <c r="C76" s="662"/>
      <c r="D76" s="662"/>
      <c r="E76" s="662"/>
      <c r="F76" s="662"/>
      <c r="G76" s="662"/>
      <c r="H76" s="662"/>
      <c r="I76" s="662"/>
      <c r="J76" s="662"/>
      <c r="K76" s="662"/>
      <c r="L76" s="662"/>
      <c r="M76" s="662"/>
      <c r="N76" s="662"/>
      <c r="O76" s="662"/>
      <c r="P76" s="662"/>
      <c r="Q76" s="662"/>
      <c r="R76" s="662"/>
      <c r="S76" s="662"/>
      <c r="T76" s="662"/>
      <c r="U76" s="662"/>
      <c r="V76" s="662"/>
      <c r="W76" s="607"/>
      <c r="X76" s="588"/>
    </row>
    <row r="77" spans="1:24" s="589" customFormat="1" x14ac:dyDescent="0.25">
      <c r="A77" s="604"/>
      <c r="B77" s="605"/>
      <c r="C77" s="662"/>
      <c r="D77" s="662"/>
      <c r="E77" s="662"/>
      <c r="F77" s="662"/>
      <c r="G77" s="662"/>
      <c r="H77" s="662"/>
      <c r="I77" s="662"/>
      <c r="J77" s="662"/>
      <c r="K77" s="662"/>
      <c r="L77" s="662"/>
      <c r="M77" s="662"/>
      <c r="N77" s="662"/>
      <c r="O77" s="662"/>
      <c r="P77" s="662"/>
      <c r="Q77" s="662"/>
      <c r="R77" s="662"/>
      <c r="S77" s="662"/>
      <c r="T77" s="662"/>
      <c r="U77" s="662"/>
      <c r="V77" s="662"/>
      <c r="W77" s="607"/>
      <c r="X77" s="588"/>
    </row>
    <row r="78" spans="1:24" s="589" customFormat="1" x14ac:dyDescent="0.25">
      <c r="A78" s="604"/>
      <c r="B78" s="605" t="s">
        <v>21</v>
      </c>
      <c r="C78" s="662"/>
      <c r="D78" s="662"/>
      <c r="E78" s="662"/>
      <c r="F78" s="662"/>
      <c r="G78" s="662"/>
      <c r="H78" s="662"/>
      <c r="I78" s="662"/>
      <c r="J78" s="662"/>
      <c r="K78" s="662"/>
      <c r="L78" s="662"/>
      <c r="M78" s="662"/>
      <c r="N78" s="662"/>
      <c r="O78" s="662"/>
      <c r="P78" s="662"/>
      <c r="Q78" s="662"/>
      <c r="R78" s="662"/>
      <c r="S78" s="662"/>
      <c r="T78" s="662"/>
      <c r="U78" s="662"/>
      <c r="V78" s="662"/>
      <c r="W78" s="607"/>
      <c r="X78" s="588"/>
    </row>
    <row r="79" spans="1:24" s="589" customFormat="1" x14ac:dyDescent="0.25">
      <c r="A79" s="604"/>
      <c r="B79" s="605"/>
      <c r="C79" s="662"/>
      <c r="D79" s="662"/>
      <c r="E79" s="662"/>
      <c r="F79" s="662"/>
      <c r="G79" s="662"/>
      <c r="H79" s="662"/>
      <c r="I79" s="662"/>
      <c r="J79" s="662"/>
      <c r="K79" s="662"/>
      <c r="L79" s="662"/>
      <c r="M79" s="662"/>
      <c r="N79" s="662"/>
      <c r="O79" s="662"/>
      <c r="P79" s="662"/>
      <c r="Q79" s="662"/>
      <c r="R79" s="662"/>
      <c r="S79" s="662"/>
      <c r="T79" s="662"/>
      <c r="U79" s="662"/>
      <c r="V79" s="662"/>
      <c r="W79" s="607"/>
      <c r="X79" s="588"/>
    </row>
    <row r="80" spans="1:24" s="589" customFormat="1" x14ac:dyDescent="0.25">
      <c r="A80" s="604"/>
      <c r="B80" s="605" t="s">
        <v>23</v>
      </c>
      <c r="C80" s="662"/>
      <c r="D80" s="662"/>
      <c r="E80" s="662"/>
      <c r="F80" s="662"/>
      <c r="G80" s="662"/>
      <c r="H80" s="662"/>
      <c r="I80" s="662"/>
      <c r="J80" s="662"/>
      <c r="K80" s="662"/>
      <c r="L80" s="662">
        <v>0</v>
      </c>
      <c r="M80" s="662"/>
      <c r="N80" s="662">
        <v>0</v>
      </c>
      <c r="O80" s="662"/>
      <c r="P80" s="662"/>
      <c r="Q80" s="662"/>
      <c r="R80" s="662"/>
      <c r="S80" s="662"/>
      <c r="T80" s="662"/>
      <c r="U80" s="662"/>
      <c r="V80" s="663">
        <v>0</v>
      </c>
      <c r="W80" s="607"/>
      <c r="X80" s="588"/>
    </row>
    <row r="81" spans="1:24" s="589" customFormat="1" x14ac:dyDescent="0.25">
      <c r="A81" s="604"/>
      <c r="B81" s="605" t="s">
        <v>117</v>
      </c>
      <c r="C81" s="662"/>
      <c r="D81" s="662"/>
      <c r="E81" s="662"/>
      <c r="F81" s="662"/>
      <c r="G81" s="662"/>
      <c r="H81" s="662"/>
      <c r="I81" s="662"/>
      <c r="J81" s="662"/>
      <c r="K81" s="662"/>
      <c r="L81" s="662">
        <v>188687</v>
      </c>
      <c r="M81" s="662"/>
      <c r="N81" s="662">
        <v>0</v>
      </c>
      <c r="O81" s="662"/>
      <c r="P81" s="662">
        <v>0</v>
      </c>
      <c r="Q81" s="662"/>
      <c r="R81" s="662"/>
      <c r="S81" s="662"/>
      <c r="T81" s="662"/>
      <c r="U81" s="662"/>
      <c r="V81" s="662">
        <f>SUM(N81:R81)</f>
        <v>0</v>
      </c>
      <c r="W81" s="607"/>
      <c r="X81" s="588"/>
    </row>
    <row r="82" spans="1:24" s="589" customFormat="1" x14ac:dyDescent="0.25">
      <c r="A82" s="604"/>
      <c r="B82" s="605" t="s">
        <v>146</v>
      </c>
      <c r="C82" s="662"/>
      <c r="D82" s="662"/>
      <c r="E82" s="662"/>
      <c r="F82" s="662"/>
      <c r="G82" s="662"/>
      <c r="H82" s="662"/>
      <c r="I82" s="662"/>
      <c r="J82" s="662"/>
      <c r="K82" s="662"/>
      <c r="L82" s="662">
        <v>0</v>
      </c>
      <c r="M82" s="662"/>
      <c r="N82" s="662">
        <v>0</v>
      </c>
      <c r="O82" s="662"/>
      <c r="P82" s="662">
        <v>0</v>
      </c>
      <c r="Q82" s="662"/>
      <c r="R82" s="662"/>
      <c r="S82" s="662"/>
      <c r="T82" s="662"/>
      <c r="U82" s="662"/>
      <c r="V82" s="662">
        <f>+N82+P82</f>
        <v>0</v>
      </c>
      <c r="W82" s="607"/>
      <c r="X82" s="588"/>
    </row>
    <row r="83" spans="1:24" s="589" customFormat="1" x14ac:dyDescent="0.25">
      <c r="A83" s="604"/>
      <c r="B83" s="605" t="s">
        <v>25</v>
      </c>
      <c r="C83" s="662"/>
      <c r="D83" s="662"/>
      <c r="E83" s="662"/>
      <c r="F83" s="662"/>
      <c r="G83" s="662"/>
      <c r="H83" s="662"/>
      <c r="I83" s="662"/>
      <c r="J83" s="662"/>
      <c r="K83" s="662"/>
      <c r="L83" s="662">
        <v>0</v>
      </c>
      <c r="M83" s="662"/>
      <c r="N83" s="662">
        <v>0</v>
      </c>
      <c r="O83" s="662"/>
      <c r="P83" s="662"/>
      <c r="Q83" s="662"/>
      <c r="R83" s="662"/>
      <c r="S83" s="662"/>
      <c r="T83" s="662"/>
      <c r="U83" s="662"/>
      <c r="V83" s="662">
        <v>0</v>
      </c>
      <c r="W83" s="607"/>
      <c r="X83" s="588"/>
    </row>
    <row r="84" spans="1:24" s="589" customFormat="1" x14ac:dyDescent="0.25">
      <c r="A84" s="604"/>
      <c r="B84" s="605" t="s">
        <v>26</v>
      </c>
      <c r="C84" s="662"/>
      <c r="D84" s="662"/>
      <c r="E84" s="662"/>
      <c r="F84" s="662"/>
      <c r="G84" s="662"/>
      <c r="H84" s="662"/>
      <c r="I84" s="662"/>
      <c r="J84" s="662"/>
      <c r="K84" s="662"/>
      <c r="L84" s="662">
        <f>SUM(L71:L83)</f>
        <v>1001133</v>
      </c>
      <c r="M84" s="662"/>
      <c r="N84" s="662">
        <f>SUM(N71:N83)</f>
        <v>559271</v>
      </c>
      <c r="O84" s="662"/>
      <c r="P84" s="662"/>
      <c r="Q84" s="662"/>
      <c r="R84" s="662"/>
      <c r="S84" s="662"/>
      <c r="T84" s="662"/>
      <c r="U84" s="662"/>
      <c r="V84" s="662">
        <f>SUM(V71:V83)</f>
        <v>547234</v>
      </c>
      <c r="W84" s="607"/>
      <c r="X84" s="588"/>
    </row>
    <row r="85" spans="1:24" x14ac:dyDescent="0.25">
      <c r="A85" s="574"/>
      <c r="B85" s="664"/>
      <c r="C85" s="665"/>
      <c r="D85" s="665"/>
      <c r="E85" s="665"/>
      <c r="F85" s="665"/>
      <c r="G85" s="665"/>
      <c r="H85" s="665"/>
      <c r="I85" s="665"/>
      <c r="J85" s="665"/>
      <c r="K85" s="665"/>
      <c r="L85" s="665"/>
      <c r="M85" s="665"/>
      <c r="N85" s="665"/>
      <c r="O85" s="665"/>
      <c r="P85" s="665"/>
      <c r="Q85" s="665"/>
      <c r="R85" s="665"/>
      <c r="S85" s="665"/>
      <c r="T85" s="665"/>
      <c r="U85" s="665"/>
      <c r="V85" s="666"/>
      <c r="W85" s="664"/>
      <c r="X85" s="572"/>
    </row>
    <row r="86" spans="1:24" x14ac:dyDescent="0.25">
      <c r="A86" s="574"/>
      <c r="B86" s="576"/>
      <c r="C86" s="576"/>
      <c r="D86" s="576"/>
      <c r="E86" s="576"/>
      <c r="F86" s="576"/>
      <c r="G86" s="576"/>
      <c r="H86" s="576"/>
      <c r="I86" s="576"/>
      <c r="J86" s="576"/>
      <c r="K86" s="576"/>
      <c r="L86" s="576"/>
      <c r="M86" s="576"/>
      <c r="N86" s="576"/>
      <c r="O86" s="576"/>
      <c r="P86" s="576"/>
      <c r="Q86" s="576"/>
      <c r="R86" s="576"/>
      <c r="S86" s="576"/>
      <c r="T86" s="576"/>
      <c r="U86" s="576"/>
      <c r="V86" s="576"/>
      <c r="W86" s="576"/>
      <c r="X86" s="572"/>
    </row>
    <row r="87" spans="1:24" x14ac:dyDescent="0.25">
      <c r="A87" s="597"/>
      <c r="B87" s="669" t="s">
        <v>27</v>
      </c>
      <c r="C87" s="669"/>
      <c r="D87" s="669"/>
      <c r="E87" s="669"/>
      <c r="F87" s="669"/>
      <c r="G87" s="669"/>
      <c r="H87" s="670"/>
      <c r="I87" s="670"/>
      <c r="J87" s="670"/>
      <c r="K87" s="670"/>
      <c r="L87" s="671" t="s">
        <v>95</v>
      </c>
      <c r="M87" s="670"/>
      <c r="N87" s="672">
        <f>+T205</f>
        <v>43798</v>
      </c>
      <c r="O87" s="670"/>
      <c r="P87" s="670"/>
      <c r="Q87" s="670"/>
      <c r="R87" s="670"/>
      <c r="S87" s="670"/>
      <c r="T87" s="670" t="s">
        <v>107</v>
      </c>
      <c r="U87" s="670"/>
      <c r="V87" s="670" t="s">
        <v>113</v>
      </c>
      <c r="W87" s="601"/>
      <c r="X87" s="572"/>
    </row>
    <row r="88" spans="1:24" s="589" customFormat="1" x14ac:dyDescent="0.25">
      <c r="A88" s="585"/>
      <c r="B88" s="602" t="s">
        <v>28</v>
      </c>
      <c r="C88" s="602"/>
      <c r="D88" s="602"/>
      <c r="E88" s="602"/>
      <c r="F88" s="602"/>
      <c r="G88" s="602"/>
      <c r="H88" s="602"/>
      <c r="I88" s="602"/>
      <c r="J88" s="602"/>
      <c r="K88" s="602"/>
      <c r="L88" s="602"/>
      <c r="M88" s="602"/>
      <c r="N88" s="602"/>
      <c r="O88" s="602"/>
      <c r="P88" s="602"/>
      <c r="Q88" s="602"/>
      <c r="R88" s="602"/>
      <c r="S88" s="602"/>
      <c r="T88" s="673">
        <v>0</v>
      </c>
      <c r="U88" s="602"/>
      <c r="V88" s="674">
        <v>0</v>
      </c>
      <c r="W88" s="602"/>
      <c r="X88" s="588"/>
    </row>
    <row r="89" spans="1:24" s="589" customFormat="1" x14ac:dyDescent="0.25">
      <c r="A89" s="604"/>
      <c r="B89" s="605" t="s">
        <v>29</v>
      </c>
      <c r="C89" s="605"/>
      <c r="D89" s="605"/>
      <c r="E89" s="605"/>
      <c r="F89" s="605"/>
      <c r="G89" s="605"/>
      <c r="H89" s="635"/>
      <c r="I89" s="635"/>
      <c r="J89" s="635"/>
      <c r="K89" s="675"/>
      <c r="L89" s="635"/>
      <c r="M89" s="605"/>
      <c r="N89" s="676"/>
      <c r="O89" s="605"/>
      <c r="P89" s="605"/>
      <c r="Q89" s="605"/>
      <c r="R89" s="605"/>
      <c r="S89" s="605"/>
      <c r="T89" s="662">
        <f>12037-151</f>
        <v>11886</v>
      </c>
      <c r="U89" s="605"/>
      <c r="V89" s="663"/>
      <c r="W89" s="607"/>
      <c r="X89" s="588"/>
    </row>
    <row r="90" spans="1:24" s="589" customFormat="1" x14ac:dyDescent="0.25">
      <c r="A90" s="604"/>
      <c r="B90" s="605" t="s">
        <v>215</v>
      </c>
      <c r="C90" s="605"/>
      <c r="D90" s="605"/>
      <c r="E90" s="605"/>
      <c r="F90" s="605"/>
      <c r="G90" s="605"/>
      <c r="H90" s="635"/>
      <c r="I90" s="635"/>
      <c r="J90" s="635"/>
      <c r="K90" s="675"/>
      <c r="L90" s="635"/>
      <c r="M90" s="605"/>
      <c r="N90" s="676"/>
      <c r="O90" s="605"/>
      <c r="P90" s="605"/>
      <c r="Q90" s="605"/>
      <c r="R90" s="605"/>
      <c r="S90" s="605"/>
      <c r="T90" s="662"/>
      <c r="U90" s="605"/>
      <c r="V90" s="663">
        <f>2804+2447-582-689</f>
        <v>3980</v>
      </c>
      <c r="W90" s="607"/>
      <c r="X90" s="588"/>
    </row>
    <row r="91" spans="1:24" s="589" customFormat="1" x14ac:dyDescent="0.25">
      <c r="A91" s="604"/>
      <c r="B91" s="605" t="s">
        <v>210</v>
      </c>
      <c r="C91" s="605"/>
      <c r="D91" s="605"/>
      <c r="E91" s="605"/>
      <c r="F91" s="605"/>
      <c r="G91" s="605"/>
      <c r="H91" s="635"/>
      <c r="I91" s="635"/>
      <c r="J91" s="635"/>
      <c r="K91" s="675"/>
      <c r="L91" s="635"/>
      <c r="M91" s="605"/>
      <c r="N91" s="676"/>
      <c r="O91" s="605"/>
      <c r="P91" s="605"/>
      <c r="Q91" s="605"/>
      <c r="R91" s="605"/>
      <c r="S91" s="605"/>
      <c r="T91" s="662"/>
      <c r="U91" s="605"/>
      <c r="V91" s="663">
        <f>80+38</f>
        <v>118</v>
      </c>
      <c r="W91" s="607"/>
      <c r="X91" s="588"/>
    </row>
    <row r="92" spans="1:24" s="589" customFormat="1" x14ac:dyDescent="0.25">
      <c r="A92" s="604"/>
      <c r="B92" s="605" t="s">
        <v>211</v>
      </c>
      <c r="C92" s="605"/>
      <c r="D92" s="605"/>
      <c r="E92" s="605"/>
      <c r="F92" s="605"/>
      <c r="G92" s="605"/>
      <c r="H92" s="635"/>
      <c r="I92" s="635"/>
      <c r="J92" s="635"/>
      <c r="K92" s="675"/>
      <c r="L92" s="635"/>
      <c r="M92" s="605"/>
      <c r="N92" s="676"/>
      <c r="O92" s="605"/>
      <c r="P92" s="605"/>
      <c r="Q92" s="605"/>
      <c r="R92" s="605"/>
      <c r="S92" s="605"/>
      <c r="T92" s="662"/>
      <c r="U92" s="605"/>
      <c r="V92" s="663">
        <v>52</v>
      </c>
      <c r="W92" s="607"/>
      <c r="X92" s="588"/>
    </row>
    <row r="93" spans="1:24" s="589" customFormat="1" x14ac:dyDescent="0.25">
      <c r="A93" s="604"/>
      <c r="B93" s="605" t="s">
        <v>233</v>
      </c>
      <c r="C93" s="605"/>
      <c r="D93" s="605"/>
      <c r="E93" s="605"/>
      <c r="F93" s="605"/>
      <c r="G93" s="605"/>
      <c r="H93" s="635"/>
      <c r="I93" s="635"/>
      <c r="J93" s="635"/>
      <c r="K93" s="675"/>
      <c r="L93" s="635"/>
      <c r="M93" s="605"/>
      <c r="N93" s="676"/>
      <c r="O93" s="605"/>
      <c r="P93" s="605"/>
      <c r="Q93" s="605"/>
      <c r="R93" s="605"/>
      <c r="S93" s="605"/>
      <c r="T93" s="662"/>
      <c r="U93" s="605"/>
      <c r="V93" s="663">
        <v>0</v>
      </c>
      <c r="W93" s="607"/>
      <c r="X93" s="588"/>
    </row>
    <row r="94" spans="1:24" s="589" customFormat="1" x14ac:dyDescent="0.25">
      <c r="A94" s="604"/>
      <c r="B94" s="605" t="s">
        <v>235</v>
      </c>
      <c r="C94" s="605"/>
      <c r="D94" s="605"/>
      <c r="E94" s="605"/>
      <c r="F94" s="605"/>
      <c r="G94" s="605"/>
      <c r="H94" s="635"/>
      <c r="I94" s="635"/>
      <c r="J94" s="635"/>
      <c r="K94" s="675"/>
      <c r="L94" s="635"/>
      <c r="M94" s="605"/>
      <c r="N94" s="676"/>
      <c r="O94" s="605"/>
      <c r="P94" s="605"/>
      <c r="Q94" s="605"/>
      <c r="R94" s="605"/>
      <c r="S94" s="605"/>
      <c r="T94" s="662"/>
      <c r="U94" s="605"/>
      <c r="V94" s="663">
        <v>0</v>
      </c>
      <c r="W94" s="607"/>
      <c r="X94" s="588"/>
    </row>
    <row r="95" spans="1:24" s="589" customFormat="1" x14ac:dyDescent="0.25">
      <c r="A95" s="604"/>
      <c r="B95" s="605" t="s">
        <v>135</v>
      </c>
      <c r="C95" s="605"/>
      <c r="D95" s="605"/>
      <c r="E95" s="605"/>
      <c r="F95" s="605"/>
      <c r="G95" s="605"/>
      <c r="H95" s="605"/>
      <c r="I95" s="605"/>
      <c r="J95" s="605"/>
      <c r="K95" s="605"/>
      <c r="L95" s="605"/>
      <c r="M95" s="605"/>
      <c r="N95" s="605"/>
      <c r="O95" s="605"/>
      <c r="P95" s="605"/>
      <c r="Q95" s="605"/>
      <c r="R95" s="605"/>
      <c r="S95" s="605"/>
      <c r="T95" s="662"/>
      <c r="U95" s="605"/>
      <c r="V95" s="663">
        <v>0</v>
      </c>
      <c r="W95" s="607"/>
      <c r="X95" s="588"/>
    </row>
    <row r="96" spans="1:24" s="589" customFormat="1" x14ac:dyDescent="0.25">
      <c r="A96" s="604"/>
      <c r="B96" s="605" t="s">
        <v>272</v>
      </c>
      <c r="C96" s="605"/>
      <c r="D96" s="605"/>
      <c r="E96" s="605"/>
      <c r="F96" s="605"/>
      <c r="G96" s="605"/>
      <c r="H96" s="605"/>
      <c r="I96" s="605"/>
      <c r="J96" s="605"/>
      <c r="K96" s="605"/>
      <c r="L96" s="605"/>
      <c r="M96" s="605"/>
      <c r="N96" s="605"/>
      <c r="O96" s="605"/>
      <c r="P96" s="605"/>
      <c r="Q96" s="605"/>
      <c r="R96" s="605"/>
      <c r="S96" s="605"/>
      <c r="T96" s="662"/>
      <c r="U96" s="605"/>
      <c r="V96" s="663">
        <v>0</v>
      </c>
      <c r="W96" s="607"/>
      <c r="X96" s="588"/>
    </row>
    <row r="97" spans="1:25" s="589" customFormat="1" x14ac:dyDescent="0.25">
      <c r="A97" s="604"/>
      <c r="B97" s="605" t="s">
        <v>30</v>
      </c>
      <c r="C97" s="605"/>
      <c r="D97" s="605"/>
      <c r="E97" s="605"/>
      <c r="F97" s="605"/>
      <c r="G97" s="605"/>
      <c r="H97" s="605"/>
      <c r="I97" s="605"/>
      <c r="J97" s="605"/>
      <c r="K97" s="605"/>
      <c r="L97" s="605"/>
      <c r="M97" s="605"/>
      <c r="N97" s="605"/>
      <c r="O97" s="605"/>
      <c r="P97" s="605"/>
      <c r="Q97" s="605"/>
      <c r="R97" s="605"/>
      <c r="S97" s="605"/>
      <c r="T97" s="662">
        <f>SUM(T88:T96)</f>
        <v>11886</v>
      </c>
      <c r="U97" s="605"/>
      <c r="V97" s="662">
        <f>SUM(V88:V96)</f>
        <v>4150</v>
      </c>
      <c r="W97" s="607"/>
      <c r="X97" s="588"/>
    </row>
    <row r="98" spans="1:25" s="589" customFormat="1" x14ac:dyDescent="0.25">
      <c r="A98" s="604"/>
      <c r="B98" s="605" t="s">
        <v>161</v>
      </c>
      <c r="C98" s="605"/>
      <c r="D98" s="605"/>
      <c r="E98" s="605"/>
      <c r="F98" s="605"/>
      <c r="G98" s="605"/>
      <c r="H98" s="605"/>
      <c r="I98" s="605"/>
      <c r="J98" s="605"/>
      <c r="K98" s="605"/>
      <c r="L98" s="605"/>
      <c r="M98" s="605"/>
      <c r="N98" s="605"/>
      <c r="O98" s="605"/>
      <c r="P98" s="605"/>
      <c r="Q98" s="605"/>
      <c r="R98" s="605"/>
      <c r="S98" s="605"/>
      <c r="T98" s="662">
        <f>-V98</f>
        <v>0</v>
      </c>
      <c r="U98" s="605"/>
      <c r="V98" s="662">
        <v>0</v>
      </c>
      <c r="W98" s="607"/>
      <c r="X98" s="588"/>
    </row>
    <row r="99" spans="1:25" s="589" customFormat="1" x14ac:dyDescent="0.25">
      <c r="A99" s="604"/>
      <c r="B99" s="605" t="s">
        <v>31</v>
      </c>
      <c r="C99" s="605"/>
      <c r="D99" s="605"/>
      <c r="E99" s="605"/>
      <c r="F99" s="605"/>
      <c r="G99" s="605"/>
      <c r="H99" s="605"/>
      <c r="I99" s="605"/>
      <c r="J99" s="605"/>
      <c r="K99" s="605"/>
      <c r="L99" s="605"/>
      <c r="M99" s="605"/>
      <c r="N99" s="605"/>
      <c r="O99" s="605"/>
      <c r="P99" s="605"/>
      <c r="Q99" s="605"/>
      <c r="R99" s="605"/>
      <c r="S99" s="605"/>
      <c r="T99" s="662">
        <f>-V99</f>
        <v>0</v>
      </c>
      <c r="U99" s="605"/>
      <c r="V99" s="663">
        <v>0</v>
      </c>
      <c r="W99" s="607"/>
      <c r="X99" s="588"/>
    </row>
    <row r="100" spans="1:25" s="589" customFormat="1" x14ac:dyDescent="0.25">
      <c r="A100" s="604"/>
      <c r="B100" s="605" t="s">
        <v>274</v>
      </c>
      <c r="C100" s="605"/>
      <c r="D100" s="605"/>
      <c r="E100" s="605"/>
      <c r="F100" s="605"/>
      <c r="G100" s="605"/>
      <c r="H100" s="605"/>
      <c r="I100" s="605"/>
      <c r="J100" s="605"/>
      <c r="K100" s="605"/>
      <c r="L100" s="605"/>
      <c r="M100" s="605"/>
      <c r="N100" s="605"/>
      <c r="O100" s="605"/>
      <c r="P100" s="605"/>
      <c r="Q100" s="605"/>
      <c r="R100" s="605"/>
      <c r="S100" s="605"/>
      <c r="T100" s="662"/>
      <c r="U100" s="605"/>
      <c r="V100" s="663">
        <v>-1</v>
      </c>
      <c r="W100" s="607"/>
      <c r="X100" s="588"/>
    </row>
    <row r="101" spans="1:25" s="589" customFormat="1" x14ac:dyDescent="0.25">
      <c r="A101" s="604"/>
      <c r="B101" s="605" t="s">
        <v>32</v>
      </c>
      <c r="C101" s="605"/>
      <c r="D101" s="605"/>
      <c r="E101" s="605"/>
      <c r="F101" s="605"/>
      <c r="G101" s="605"/>
      <c r="H101" s="605"/>
      <c r="I101" s="605"/>
      <c r="J101" s="605"/>
      <c r="K101" s="605"/>
      <c r="L101" s="605"/>
      <c r="M101" s="605"/>
      <c r="N101" s="605"/>
      <c r="O101" s="605"/>
      <c r="P101" s="605"/>
      <c r="Q101" s="605"/>
      <c r="R101" s="605"/>
      <c r="S101" s="605"/>
      <c r="T101" s="662">
        <f>T97+T99+T98</f>
        <v>11886</v>
      </c>
      <c r="U101" s="605"/>
      <c r="V101" s="662">
        <f>V97+V99+V98+V100</f>
        <v>4149</v>
      </c>
      <c r="W101" s="607"/>
      <c r="X101" s="588"/>
    </row>
    <row r="102" spans="1:25" x14ac:dyDescent="0.25">
      <c r="A102" s="677"/>
      <c r="B102" s="678" t="s">
        <v>33</v>
      </c>
      <c r="C102" s="679"/>
      <c r="D102" s="679"/>
      <c r="E102" s="679"/>
      <c r="F102" s="679"/>
      <c r="G102" s="679"/>
      <c r="H102" s="679"/>
      <c r="I102" s="679"/>
      <c r="J102" s="679"/>
      <c r="K102" s="679"/>
      <c r="L102" s="679"/>
      <c r="M102" s="679"/>
      <c r="N102" s="679"/>
      <c r="O102" s="679"/>
      <c r="P102" s="679"/>
      <c r="Q102" s="679"/>
      <c r="R102" s="679"/>
      <c r="S102" s="679"/>
      <c r="T102" s="680"/>
      <c r="U102" s="681"/>
      <c r="V102" s="682"/>
      <c r="W102" s="683"/>
      <c r="X102" s="572"/>
    </row>
    <row r="103" spans="1:25" s="589" customFormat="1" x14ac:dyDescent="0.25">
      <c r="A103" s="604">
        <v>1</v>
      </c>
      <c r="B103" s="605" t="s">
        <v>34</v>
      </c>
      <c r="C103" s="605"/>
      <c r="D103" s="605"/>
      <c r="E103" s="605"/>
      <c r="F103" s="605"/>
      <c r="G103" s="605"/>
      <c r="H103" s="605"/>
      <c r="I103" s="605"/>
      <c r="J103" s="605"/>
      <c r="K103" s="605"/>
      <c r="L103" s="605"/>
      <c r="M103" s="605"/>
      <c r="N103" s="605"/>
      <c r="O103" s="605"/>
      <c r="P103" s="605"/>
      <c r="Q103" s="605"/>
      <c r="R103" s="605"/>
      <c r="S103" s="605"/>
      <c r="T103" s="605"/>
      <c r="U103" s="605"/>
      <c r="V103" s="663">
        <v>0</v>
      </c>
      <c r="W103" s="607"/>
      <c r="X103" s="588"/>
    </row>
    <row r="104" spans="1:25" s="589" customFormat="1" x14ac:dyDescent="0.25">
      <c r="A104" s="604">
        <f>+A103+1</f>
        <v>2</v>
      </c>
      <c r="B104" s="605" t="s">
        <v>314</v>
      </c>
      <c r="C104" s="605"/>
      <c r="D104" s="605"/>
      <c r="E104" s="605"/>
      <c r="F104" s="605"/>
      <c r="G104" s="605"/>
      <c r="H104" s="605"/>
      <c r="I104" s="605"/>
      <c r="J104" s="605"/>
      <c r="K104" s="605"/>
      <c r="L104" s="605"/>
      <c r="M104" s="605"/>
      <c r="N104" s="605"/>
      <c r="O104" s="605"/>
      <c r="P104" s="605"/>
      <c r="Q104" s="605"/>
      <c r="R104" s="605"/>
      <c r="S104" s="605"/>
      <c r="T104" s="605"/>
      <c r="U104" s="605"/>
      <c r="V104" s="663">
        <v>-2</v>
      </c>
      <c r="W104" s="607"/>
      <c r="X104" s="588"/>
    </row>
    <row r="105" spans="1:25" s="589" customFormat="1" x14ac:dyDescent="0.25">
      <c r="A105" s="604">
        <f>+A104+1</f>
        <v>3</v>
      </c>
      <c r="B105" s="684" t="s">
        <v>316</v>
      </c>
      <c r="C105" s="605"/>
      <c r="D105" s="605"/>
      <c r="E105" s="605"/>
      <c r="F105" s="605"/>
      <c r="G105" s="605"/>
      <c r="H105" s="605"/>
      <c r="I105" s="605"/>
      <c r="J105" s="605"/>
      <c r="K105" s="605"/>
      <c r="L105" s="605"/>
      <c r="M105" s="605"/>
      <c r="N105" s="605"/>
      <c r="O105" s="605"/>
      <c r="P105" s="605"/>
      <c r="Q105" s="605"/>
      <c r="R105" s="605"/>
      <c r="S105" s="605"/>
      <c r="T105" s="605"/>
      <c r="U105" s="605"/>
      <c r="V105" s="663">
        <f>-213-70-8</f>
        <v>-291</v>
      </c>
      <c r="W105" s="607"/>
      <c r="X105" s="588"/>
    </row>
    <row r="106" spans="1:25" s="589" customFormat="1" x14ac:dyDescent="0.25">
      <c r="A106" s="604" t="s">
        <v>127</v>
      </c>
      <c r="B106" s="605" t="s">
        <v>116</v>
      </c>
      <c r="C106" s="605"/>
      <c r="D106" s="605"/>
      <c r="E106" s="605"/>
      <c r="F106" s="605"/>
      <c r="G106" s="605"/>
      <c r="H106" s="605"/>
      <c r="I106" s="605"/>
      <c r="J106" s="605"/>
      <c r="K106" s="605"/>
      <c r="L106" s="605"/>
      <c r="M106" s="605"/>
      <c r="N106" s="605"/>
      <c r="O106" s="605"/>
      <c r="P106" s="605"/>
      <c r="Q106" s="605"/>
      <c r="R106" s="605"/>
      <c r="S106" s="605"/>
      <c r="T106" s="605"/>
      <c r="U106" s="605"/>
      <c r="V106" s="663">
        <v>0</v>
      </c>
      <c r="W106" s="607"/>
      <c r="X106" s="588"/>
    </row>
    <row r="107" spans="1:25" s="589" customFormat="1" x14ac:dyDescent="0.25">
      <c r="A107" s="604" t="s">
        <v>128</v>
      </c>
      <c r="B107" s="605" t="s">
        <v>220</v>
      </c>
      <c r="C107" s="605"/>
      <c r="D107" s="605"/>
      <c r="E107" s="605"/>
      <c r="F107" s="605"/>
      <c r="G107" s="605"/>
      <c r="H107" s="605"/>
      <c r="I107" s="605"/>
      <c r="J107" s="605"/>
      <c r="K107" s="605"/>
      <c r="L107" s="605"/>
      <c r="M107" s="605"/>
      <c r="N107" s="605"/>
      <c r="O107" s="605"/>
      <c r="P107" s="605"/>
      <c r="Q107" s="605"/>
      <c r="R107" s="605"/>
      <c r="S107" s="605"/>
      <c r="T107" s="605"/>
      <c r="U107" s="605"/>
      <c r="V107" s="663">
        <f>-1030+261</f>
        <v>-769</v>
      </c>
      <c r="W107" s="607"/>
      <c r="X107" s="588"/>
      <c r="Y107" s="685"/>
    </row>
    <row r="108" spans="1:25" s="589" customFormat="1" x14ac:dyDescent="0.25">
      <c r="A108" s="604" t="s">
        <v>150</v>
      </c>
      <c r="B108" s="605" t="s">
        <v>184</v>
      </c>
      <c r="C108" s="605"/>
      <c r="D108" s="605"/>
      <c r="E108" s="605"/>
      <c r="F108" s="605"/>
      <c r="G108" s="605"/>
      <c r="H108" s="605"/>
      <c r="I108" s="605"/>
      <c r="J108" s="605"/>
      <c r="K108" s="605"/>
      <c r="L108" s="605"/>
      <c r="M108" s="605"/>
      <c r="N108" s="605"/>
      <c r="O108" s="605"/>
      <c r="P108" s="605"/>
      <c r="Q108" s="605"/>
      <c r="R108" s="605"/>
      <c r="S108" s="605"/>
      <c r="T108" s="605"/>
      <c r="U108" s="605"/>
      <c r="V108" s="663">
        <v>-261</v>
      </c>
      <c r="W108" s="607"/>
      <c r="X108" s="588"/>
      <c r="Y108" s="685"/>
    </row>
    <row r="109" spans="1:25" s="589" customFormat="1" x14ac:dyDescent="0.25">
      <c r="A109" s="604" t="s">
        <v>205</v>
      </c>
      <c r="B109" s="605" t="s">
        <v>185</v>
      </c>
      <c r="C109" s="605"/>
      <c r="D109" s="605"/>
      <c r="E109" s="605"/>
      <c r="F109" s="605"/>
      <c r="G109" s="605"/>
      <c r="H109" s="605"/>
      <c r="I109" s="605"/>
      <c r="J109" s="605"/>
      <c r="K109" s="605"/>
      <c r="L109" s="605"/>
      <c r="M109" s="605"/>
      <c r="N109" s="605"/>
      <c r="O109" s="605"/>
      <c r="P109" s="605"/>
      <c r="Q109" s="605"/>
      <c r="R109" s="605"/>
      <c r="S109" s="605"/>
      <c r="T109" s="605"/>
      <c r="U109" s="605"/>
      <c r="V109" s="663">
        <v>-202</v>
      </c>
      <c r="W109" s="607"/>
      <c r="X109" s="588"/>
      <c r="Y109" s="685"/>
    </row>
    <row r="110" spans="1:25" s="589" customFormat="1" x14ac:dyDescent="0.25">
      <c r="A110" s="604" t="s">
        <v>206</v>
      </c>
      <c r="B110" s="605" t="s">
        <v>186</v>
      </c>
      <c r="C110" s="605"/>
      <c r="D110" s="605"/>
      <c r="E110" s="605"/>
      <c r="F110" s="605"/>
      <c r="G110" s="605"/>
      <c r="H110" s="605"/>
      <c r="I110" s="605"/>
      <c r="J110" s="605"/>
      <c r="K110" s="605"/>
      <c r="L110" s="605"/>
      <c r="M110" s="605"/>
      <c r="N110" s="605"/>
      <c r="O110" s="605"/>
      <c r="P110" s="605"/>
      <c r="Q110" s="605"/>
      <c r="R110" s="605"/>
      <c r="S110" s="605"/>
      <c r="T110" s="605"/>
      <c r="U110" s="605"/>
      <c r="V110" s="663">
        <v>-56</v>
      </c>
      <c r="W110" s="607"/>
      <c r="X110" s="588"/>
      <c r="Y110" s="685"/>
    </row>
    <row r="111" spans="1:25" s="589" customFormat="1" x14ac:dyDescent="0.25">
      <c r="A111" s="604">
        <v>6</v>
      </c>
      <c r="B111" s="605" t="s">
        <v>196</v>
      </c>
      <c r="C111" s="605"/>
      <c r="D111" s="605"/>
      <c r="E111" s="605"/>
      <c r="F111" s="605"/>
      <c r="G111" s="605"/>
      <c r="H111" s="605"/>
      <c r="I111" s="605"/>
      <c r="J111" s="605"/>
      <c r="K111" s="605"/>
      <c r="L111" s="605"/>
      <c r="M111" s="605"/>
      <c r="N111" s="605"/>
      <c r="O111" s="605"/>
      <c r="P111" s="605"/>
      <c r="Q111" s="605"/>
      <c r="R111" s="605"/>
      <c r="S111" s="605"/>
      <c r="T111" s="605"/>
      <c r="U111" s="605"/>
      <c r="V111" s="663">
        <v>-376</v>
      </c>
      <c r="W111" s="607"/>
      <c r="X111" s="588"/>
      <c r="Y111" s="685"/>
    </row>
    <row r="112" spans="1:25" s="589" customFormat="1" x14ac:dyDescent="0.25">
      <c r="A112" s="604">
        <v>7</v>
      </c>
      <c r="B112" s="684" t="s">
        <v>315</v>
      </c>
      <c r="C112" s="605"/>
      <c r="D112" s="605"/>
      <c r="E112" s="605"/>
      <c r="F112" s="605"/>
      <c r="G112" s="605"/>
      <c r="H112" s="605"/>
      <c r="I112" s="605"/>
      <c r="J112" s="605"/>
      <c r="K112" s="605"/>
      <c r="L112" s="605"/>
      <c r="M112" s="605"/>
      <c r="N112" s="605"/>
      <c r="O112" s="605"/>
      <c r="P112" s="605"/>
      <c r="Q112" s="605"/>
      <c r="R112" s="605"/>
      <c r="S112" s="605"/>
      <c r="T112" s="605"/>
      <c r="U112" s="605"/>
      <c r="V112" s="663">
        <v>0</v>
      </c>
      <c r="W112" s="607"/>
      <c r="X112" s="588"/>
      <c r="Y112" s="685"/>
    </row>
    <row r="113" spans="1:24" s="589" customFormat="1" x14ac:dyDescent="0.25">
      <c r="A113" s="604">
        <v>8</v>
      </c>
      <c r="B113" s="605" t="s">
        <v>35</v>
      </c>
      <c r="C113" s="605"/>
      <c r="D113" s="605"/>
      <c r="E113" s="605"/>
      <c r="F113" s="605"/>
      <c r="G113" s="605"/>
      <c r="H113" s="605"/>
      <c r="I113" s="605"/>
      <c r="J113" s="605"/>
      <c r="K113" s="605"/>
      <c r="L113" s="605"/>
      <c r="M113" s="605"/>
      <c r="N113" s="605"/>
      <c r="O113" s="605"/>
      <c r="P113" s="605"/>
      <c r="Q113" s="605"/>
      <c r="R113" s="605"/>
      <c r="S113" s="605"/>
      <c r="T113" s="605"/>
      <c r="U113" s="605"/>
      <c r="V113" s="663">
        <v>-9</v>
      </c>
      <c r="W113" s="607"/>
      <c r="X113" s="588"/>
    </row>
    <row r="114" spans="1:24" s="589" customFormat="1" x14ac:dyDescent="0.25">
      <c r="A114" s="604">
        <f t="shared" ref="A114:A122" si="0">+A113+1</f>
        <v>9</v>
      </c>
      <c r="B114" s="605" t="s">
        <v>45</v>
      </c>
      <c r="C114" s="605"/>
      <c r="D114" s="605"/>
      <c r="E114" s="605"/>
      <c r="F114" s="605"/>
      <c r="G114" s="605"/>
      <c r="H114" s="605"/>
      <c r="I114" s="605"/>
      <c r="J114" s="605"/>
      <c r="K114" s="605"/>
      <c r="L114" s="605"/>
      <c r="M114" s="605"/>
      <c r="N114" s="605"/>
      <c r="O114" s="605"/>
      <c r="P114" s="605"/>
      <c r="Q114" s="605"/>
      <c r="R114" s="605"/>
      <c r="S114" s="605"/>
      <c r="T114" s="662">
        <f>-V114</f>
        <v>151</v>
      </c>
      <c r="U114" s="605"/>
      <c r="V114" s="663">
        <v>-151</v>
      </c>
      <c r="W114" s="607"/>
      <c r="X114" s="588"/>
    </row>
    <row r="115" spans="1:24" s="589" customFormat="1" x14ac:dyDescent="0.25">
      <c r="A115" s="604">
        <f t="shared" si="0"/>
        <v>10</v>
      </c>
      <c r="B115" s="605" t="s">
        <v>125</v>
      </c>
      <c r="C115" s="605"/>
      <c r="D115" s="605"/>
      <c r="E115" s="605"/>
      <c r="F115" s="605"/>
      <c r="G115" s="605"/>
      <c r="H115" s="605"/>
      <c r="I115" s="605"/>
      <c r="J115" s="605"/>
      <c r="K115" s="605"/>
      <c r="L115" s="605"/>
      <c r="M115" s="605"/>
      <c r="N115" s="605"/>
      <c r="O115" s="605"/>
      <c r="P115" s="605"/>
      <c r="Q115" s="605"/>
      <c r="R115" s="605"/>
      <c r="S115" s="605"/>
      <c r="T115" s="605"/>
      <c r="U115" s="605"/>
      <c r="V115" s="663">
        <v>0</v>
      </c>
      <c r="W115" s="607"/>
      <c r="X115" s="588"/>
    </row>
    <row r="116" spans="1:24" s="589" customFormat="1" x14ac:dyDescent="0.25">
      <c r="A116" s="604">
        <f t="shared" si="0"/>
        <v>11</v>
      </c>
      <c r="B116" s="605" t="s">
        <v>225</v>
      </c>
      <c r="C116" s="605"/>
      <c r="D116" s="605"/>
      <c r="E116" s="605"/>
      <c r="F116" s="605"/>
      <c r="G116" s="605"/>
      <c r="H116" s="605"/>
      <c r="I116" s="605"/>
      <c r="J116" s="605"/>
      <c r="K116" s="605"/>
      <c r="L116" s="605"/>
      <c r="M116" s="605"/>
      <c r="N116" s="605"/>
      <c r="O116" s="605"/>
      <c r="P116" s="605"/>
      <c r="Q116" s="605"/>
      <c r="R116" s="605"/>
      <c r="S116" s="605"/>
      <c r="T116" s="605"/>
      <c r="U116" s="605"/>
      <c r="V116" s="663">
        <v>0</v>
      </c>
      <c r="W116" s="607"/>
      <c r="X116" s="588"/>
    </row>
    <row r="117" spans="1:24" s="589" customFormat="1" x14ac:dyDescent="0.25">
      <c r="A117" s="604">
        <f t="shared" si="0"/>
        <v>12</v>
      </c>
      <c r="B117" s="605" t="s">
        <v>36</v>
      </c>
      <c r="C117" s="605"/>
      <c r="D117" s="605"/>
      <c r="E117" s="605"/>
      <c r="F117" s="605"/>
      <c r="G117" s="605"/>
      <c r="H117" s="605"/>
      <c r="I117" s="605"/>
      <c r="J117" s="605"/>
      <c r="K117" s="605"/>
      <c r="L117" s="605"/>
      <c r="M117" s="605"/>
      <c r="N117" s="605"/>
      <c r="O117" s="605"/>
      <c r="P117" s="605"/>
      <c r="Q117" s="605"/>
      <c r="R117" s="605"/>
      <c r="S117" s="605"/>
      <c r="T117" s="605"/>
      <c r="U117" s="605"/>
      <c r="V117" s="663">
        <v>0</v>
      </c>
      <c r="W117" s="607"/>
      <c r="X117" s="588"/>
    </row>
    <row r="118" spans="1:24" s="589" customFormat="1" x14ac:dyDescent="0.25">
      <c r="A118" s="604">
        <f t="shared" si="0"/>
        <v>13</v>
      </c>
      <c r="B118" s="605" t="s">
        <v>149</v>
      </c>
      <c r="C118" s="605"/>
      <c r="D118" s="605"/>
      <c r="E118" s="605"/>
      <c r="F118" s="605"/>
      <c r="G118" s="605"/>
      <c r="H118" s="605"/>
      <c r="I118" s="605"/>
      <c r="J118" s="605"/>
      <c r="K118" s="605"/>
      <c r="L118" s="605"/>
      <c r="M118" s="605"/>
      <c r="N118" s="605"/>
      <c r="O118" s="605"/>
      <c r="P118" s="605"/>
      <c r="Q118" s="605"/>
      <c r="R118" s="605"/>
      <c r="S118" s="605"/>
      <c r="T118" s="605"/>
      <c r="U118" s="605"/>
      <c r="V118" s="663">
        <v>-213</v>
      </c>
      <c r="W118" s="607"/>
      <c r="X118" s="588"/>
    </row>
    <row r="119" spans="1:24" s="589" customFormat="1" x14ac:dyDescent="0.25">
      <c r="A119" s="604">
        <f t="shared" si="0"/>
        <v>14</v>
      </c>
      <c r="B119" s="605" t="s">
        <v>353</v>
      </c>
      <c r="C119" s="605"/>
      <c r="D119" s="605"/>
      <c r="E119" s="605"/>
      <c r="F119" s="605"/>
      <c r="G119" s="605"/>
      <c r="H119" s="605"/>
      <c r="I119" s="605"/>
      <c r="J119" s="605"/>
      <c r="K119" s="605"/>
      <c r="L119" s="605"/>
      <c r="M119" s="605"/>
      <c r="N119" s="605"/>
      <c r="O119" s="605"/>
      <c r="P119" s="605"/>
      <c r="Q119" s="605"/>
      <c r="R119" s="605"/>
      <c r="S119" s="605"/>
      <c r="T119" s="605"/>
      <c r="U119" s="605"/>
      <c r="V119" s="663">
        <v>-227</v>
      </c>
      <c r="W119" s="607"/>
      <c r="X119" s="588"/>
    </row>
    <row r="120" spans="1:24" s="589" customFormat="1" x14ac:dyDescent="0.25">
      <c r="A120" s="604">
        <f t="shared" si="0"/>
        <v>15</v>
      </c>
      <c r="B120" s="605" t="s">
        <v>350</v>
      </c>
      <c r="C120" s="605"/>
      <c r="D120" s="605"/>
      <c r="E120" s="605"/>
      <c r="F120" s="605"/>
      <c r="G120" s="605"/>
      <c r="H120" s="605"/>
      <c r="I120" s="605"/>
      <c r="J120" s="605"/>
      <c r="K120" s="605"/>
      <c r="L120" s="605"/>
      <c r="M120" s="605"/>
      <c r="N120" s="605"/>
      <c r="O120" s="605"/>
      <c r="P120" s="605"/>
      <c r="Q120" s="605"/>
      <c r="R120" s="605"/>
      <c r="S120" s="605"/>
      <c r="T120" s="605"/>
      <c r="U120" s="605"/>
      <c r="V120" s="663">
        <v>0</v>
      </c>
      <c r="W120" s="607"/>
      <c r="X120" s="588"/>
    </row>
    <row r="121" spans="1:24" s="589" customFormat="1" x14ac:dyDescent="0.25">
      <c r="A121" s="604">
        <f t="shared" si="0"/>
        <v>16</v>
      </c>
      <c r="B121" s="605" t="s">
        <v>352</v>
      </c>
      <c r="C121" s="605"/>
      <c r="D121" s="605"/>
      <c r="E121" s="605"/>
      <c r="F121" s="605"/>
      <c r="G121" s="605"/>
      <c r="H121" s="605"/>
      <c r="I121" s="605"/>
      <c r="J121" s="605"/>
      <c r="K121" s="605"/>
      <c r="L121" s="605"/>
      <c r="M121" s="605"/>
      <c r="N121" s="605"/>
      <c r="O121" s="605"/>
      <c r="P121" s="605"/>
      <c r="Q121" s="605"/>
      <c r="R121" s="605"/>
      <c r="S121" s="605"/>
      <c r="T121" s="605"/>
      <c r="U121" s="605"/>
      <c r="V121" s="663">
        <v>0</v>
      </c>
      <c r="W121" s="607"/>
      <c r="X121" s="588"/>
    </row>
    <row r="122" spans="1:24" s="589" customFormat="1" x14ac:dyDescent="0.25">
      <c r="A122" s="604">
        <f t="shared" si="0"/>
        <v>17</v>
      </c>
      <c r="B122" s="605" t="s">
        <v>351</v>
      </c>
      <c r="C122" s="605"/>
      <c r="D122" s="605"/>
      <c r="E122" s="605"/>
      <c r="F122" s="605"/>
      <c r="G122" s="605"/>
      <c r="H122" s="605"/>
      <c r="I122" s="605"/>
      <c r="J122" s="605"/>
      <c r="K122" s="605"/>
      <c r="L122" s="605"/>
      <c r="M122" s="605"/>
      <c r="N122" s="605"/>
      <c r="O122" s="605"/>
      <c r="P122" s="605"/>
      <c r="Q122" s="605"/>
      <c r="R122" s="605"/>
      <c r="S122" s="605"/>
      <c r="T122" s="605"/>
      <c r="U122" s="605"/>
      <c r="V122" s="663">
        <f>-V101-SUM(V103:V121)</f>
        <v>-1592</v>
      </c>
      <c r="W122" s="607"/>
      <c r="X122" s="588"/>
    </row>
    <row r="123" spans="1:24" x14ac:dyDescent="0.25">
      <c r="A123" s="677"/>
      <c r="B123" s="678" t="s">
        <v>37</v>
      </c>
      <c r="C123" s="679"/>
      <c r="D123" s="679"/>
      <c r="E123" s="679"/>
      <c r="F123" s="679"/>
      <c r="G123" s="679"/>
      <c r="H123" s="679"/>
      <c r="I123" s="679"/>
      <c r="J123" s="679"/>
      <c r="K123" s="679"/>
      <c r="L123" s="679"/>
      <c r="M123" s="679"/>
      <c r="N123" s="679"/>
      <c r="O123" s="679"/>
      <c r="P123" s="679"/>
      <c r="Q123" s="679"/>
      <c r="R123" s="679"/>
      <c r="S123" s="679"/>
      <c r="T123" s="681"/>
      <c r="U123" s="681"/>
      <c r="V123" s="686"/>
      <c r="W123" s="683"/>
      <c r="X123" s="572"/>
    </row>
    <row r="124" spans="1:24" s="589" customFormat="1" x14ac:dyDescent="0.25">
      <c r="A124" s="604"/>
      <c r="B124" s="605" t="s">
        <v>173</v>
      </c>
      <c r="C124" s="605"/>
      <c r="D124" s="605"/>
      <c r="E124" s="605"/>
      <c r="F124" s="605"/>
      <c r="G124" s="605"/>
      <c r="H124" s="605"/>
      <c r="I124" s="605"/>
      <c r="J124" s="605"/>
      <c r="K124" s="605"/>
      <c r="L124" s="605"/>
      <c r="M124" s="605"/>
      <c r="N124" s="605"/>
      <c r="O124" s="605"/>
      <c r="P124" s="605"/>
      <c r="Q124" s="605"/>
      <c r="R124" s="605"/>
      <c r="S124" s="605"/>
      <c r="T124" s="662">
        <f>-T189</f>
        <v>0</v>
      </c>
      <c r="U124" s="662"/>
      <c r="V124" s="663"/>
      <c r="W124" s="607"/>
      <c r="X124" s="588"/>
    </row>
    <row r="125" spans="1:24" s="589" customFormat="1" x14ac:dyDescent="0.25">
      <c r="A125" s="604"/>
      <c r="B125" s="605" t="s">
        <v>174</v>
      </c>
      <c r="C125" s="605"/>
      <c r="D125" s="605"/>
      <c r="E125" s="605"/>
      <c r="F125" s="605"/>
      <c r="G125" s="605"/>
      <c r="H125" s="605"/>
      <c r="I125" s="605"/>
      <c r="J125" s="605"/>
      <c r="K125" s="605"/>
      <c r="L125" s="605"/>
      <c r="M125" s="605"/>
      <c r="N125" s="605"/>
      <c r="O125" s="605"/>
      <c r="P125" s="605"/>
      <c r="Q125" s="605"/>
      <c r="R125" s="605"/>
      <c r="S125" s="605"/>
      <c r="T125" s="662">
        <v>0</v>
      </c>
      <c r="U125" s="662"/>
      <c r="V125" s="663"/>
      <c r="W125" s="607"/>
      <c r="X125" s="588"/>
    </row>
    <row r="126" spans="1:24" s="589" customFormat="1" x14ac:dyDescent="0.25">
      <c r="A126" s="604"/>
      <c r="B126" s="605" t="s">
        <v>38</v>
      </c>
      <c r="C126" s="605"/>
      <c r="D126" s="605"/>
      <c r="E126" s="605"/>
      <c r="F126" s="605"/>
      <c r="G126" s="605"/>
      <c r="H126" s="605"/>
      <c r="I126" s="605"/>
      <c r="J126" s="605"/>
      <c r="K126" s="605"/>
      <c r="L126" s="605"/>
      <c r="M126" s="605"/>
      <c r="N126" s="605"/>
      <c r="O126" s="605"/>
      <c r="P126" s="605"/>
      <c r="Q126" s="605"/>
      <c r="R126" s="605"/>
      <c r="S126" s="605"/>
      <c r="T126" s="662">
        <f>-S189</f>
        <v>0</v>
      </c>
      <c r="U126" s="662"/>
      <c r="V126" s="663"/>
      <c r="W126" s="607"/>
      <c r="X126" s="588"/>
    </row>
    <row r="127" spans="1:24" s="589" customFormat="1" x14ac:dyDescent="0.25">
      <c r="A127" s="604"/>
      <c r="B127" s="605" t="s">
        <v>197</v>
      </c>
      <c r="C127" s="605"/>
      <c r="D127" s="605"/>
      <c r="E127" s="605"/>
      <c r="F127" s="605"/>
      <c r="G127" s="605"/>
      <c r="H127" s="605"/>
      <c r="I127" s="605"/>
      <c r="J127" s="605"/>
      <c r="K127" s="605"/>
      <c r="L127" s="605"/>
      <c r="M127" s="605"/>
      <c r="N127" s="605"/>
      <c r="O127" s="605"/>
      <c r="P127" s="605"/>
      <c r="Q127" s="605"/>
      <c r="R127" s="605"/>
      <c r="S127" s="605"/>
      <c r="T127" s="662">
        <v>-6972</v>
      </c>
      <c r="U127" s="662"/>
      <c r="V127" s="663"/>
      <c r="W127" s="607"/>
      <c r="X127" s="588"/>
    </row>
    <row r="128" spans="1:24" s="589" customFormat="1" x14ac:dyDescent="0.25">
      <c r="A128" s="604"/>
      <c r="B128" s="605" t="s">
        <v>195</v>
      </c>
      <c r="C128" s="605"/>
      <c r="D128" s="605"/>
      <c r="E128" s="605"/>
      <c r="F128" s="605"/>
      <c r="G128" s="605"/>
      <c r="H128" s="605"/>
      <c r="I128" s="605"/>
      <c r="J128" s="605"/>
      <c r="K128" s="605"/>
      <c r="L128" s="605"/>
      <c r="M128" s="605"/>
      <c r="N128" s="605"/>
      <c r="O128" s="605"/>
      <c r="P128" s="605"/>
      <c r="Q128" s="605"/>
      <c r="R128" s="605"/>
      <c r="S128" s="605"/>
      <c r="T128" s="662">
        <v>-2963</v>
      </c>
      <c r="U128" s="662"/>
      <c r="V128" s="663"/>
      <c r="W128" s="607"/>
      <c r="X128" s="588"/>
    </row>
    <row r="129" spans="1:24" s="589" customFormat="1" x14ac:dyDescent="0.25">
      <c r="A129" s="604"/>
      <c r="B129" s="605" t="s">
        <v>194</v>
      </c>
      <c r="C129" s="605"/>
      <c r="D129" s="605"/>
      <c r="E129" s="605"/>
      <c r="F129" s="605"/>
      <c r="G129" s="605"/>
      <c r="H129" s="605"/>
      <c r="I129" s="605"/>
      <c r="J129" s="605"/>
      <c r="K129" s="605"/>
      <c r="L129" s="605"/>
      <c r="M129" s="605"/>
      <c r="N129" s="605"/>
      <c r="O129" s="605"/>
      <c r="P129" s="605"/>
      <c r="Q129" s="605"/>
      <c r="R129" s="605"/>
      <c r="S129" s="605"/>
      <c r="T129" s="662">
        <v>-1056</v>
      </c>
      <c r="U129" s="662"/>
      <c r="V129" s="663"/>
      <c r="W129" s="607"/>
      <c r="X129" s="588"/>
    </row>
    <row r="130" spans="1:24" s="589" customFormat="1" x14ac:dyDescent="0.25">
      <c r="A130" s="604"/>
      <c r="B130" s="605" t="s">
        <v>222</v>
      </c>
      <c r="C130" s="605"/>
      <c r="D130" s="605"/>
      <c r="E130" s="605"/>
      <c r="F130" s="605"/>
      <c r="G130" s="605"/>
      <c r="H130" s="605"/>
      <c r="I130" s="605"/>
      <c r="J130" s="605"/>
      <c r="K130" s="605"/>
      <c r="L130" s="605"/>
      <c r="M130" s="605"/>
      <c r="N130" s="605"/>
      <c r="O130" s="605"/>
      <c r="P130" s="605"/>
      <c r="Q130" s="605"/>
      <c r="R130" s="605"/>
      <c r="S130" s="605"/>
      <c r="T130" s="662">
        <v>-1046</v>
      </c>
      <c r="U130" s="662"/>
      <c r="V130" s="663"/>
      <c r="W130" s="607"/>
      <c r="X130" s="588"/>
    </row>
    <row r="131" spans="1:24" s="589" customFormat="1" x14ac:dyDescent="0.25">
      <c r="A131" s="604"/>
      <c r="B131" s="605" t="s">
        <v>189</v>
      </c>
      <c r="C131" s="605"/>
      <c r="D131" s="605"/>
      <c r="E131" s="605"/>
      <c r="F131" s="605"/>
      <c r="G131" s="605"/>
      <c r="H131" s="605"/>
      <c r="I131" s="605"/>
      <c r="J131" s="605"/>
      <c r="K131" s="605"/>
      <c r="L131" s="605"/>
      <c r="M131" s="605"/>
      <c r="N131" s="605"/>
      <c r="O131" s="605"/>
      <c r="P131" s="605"/>
      <c r="Q131" s="605"/>
      <c r="R131" s="605"/>
      <c r="S131" s="605"/>
      <c r="T131" s="662">
        <v>0</v>
      </c>
      <c r="U131" s="662"/>
      <c r="V131" s="663"/>
      <c r="W131" s="607"/>
      <c r="X131" s="588"/>
    </row>
    <row r="132" spans="1:24" s="589" customFormat="1" x14ac:dyDescent="0.25">
      <c r="A132" s="604"/>
      <c r="B132" s="605" t="s">
        <v>188</v>
      </c>
      <c r="C132" s="605"/>
      <c r="D132" s="605"/>
      <c r="E132" s="605"/>
      <c r="F132" s="605"/>
      <c r="G132" s="605"/>
      <c r="H132" s="605"/>
      <c r="I132" s="605"/>
      <c r="J132" s="605"/>
      <c r="K132" s="605"/>
      <c r="L132" s="605"/>
      <c r="M132" s="605"/>
      <c r="N132" s="605"/>
      <c r="O132" s="605"/>
      <c r="P132" s="605"/>
      <c r="Q132" s="605"/>
      <c r="R132" s="605"/>
      <c r="S132" s="605"/>
      <c r="T132" s="662">
        <v>0</v>
      </c>
      <c r="U132" s="662"/>
      <c r="V132" s="663"/>
      <c r="W132" s="607"/>
      <c r="X132" s="588"/>
    </row>
    <row r="133" spans="1:24" s="589" customFormat="1" x14ac:dyDescent="0.25">
      <c r="A133" s="604"/>
      <c r="B133" s="605" t="s">
        <v>187</v>
      </c>
      <c r="C133" s="605"/>
      <c r="D133" s="605"/>
      <c r="E133" s="605"/>
      <c r="F133" s="605"/>
      <c r="G133" s="605"/>
      <c r="H133" s="605"/>
      <c r="I133" s="605"/>
      <c r="J133" s="605"/>
      <c r="K133" s="605"/>
      <c r="L133" s="605"/>
      <c r="M133" s="605"/>
      <c r="N133" s="605"/>
      <c r="O133" s="605"/>
      <c r="P133" s="605"/>
      <c r="Q133" s="605"/>
      <c r="R133" s="605"/>
      <c r="S133" s="605"/>
      <c r="T133" s="662">
        <v>0</v>
      </c>
      <c r="U133" s="662"/>
      <c r="V133" s="663"/>
      <c r="W133" s="607"/>
      <c r="X133" s="588"/>
    </row>
    <row r="134" spans="1:24" s="589" customFormat="1" x14ac:dyDescent="0.25">
      <c r="A134" s="604"/>
      <c r="B134" s="605" t="s">
        <v>39</v>
      </c>
      <c r="C134" s="605"/>
      <c r="D134" s="605"/>
      <c r="E134" s="605"/>
      <c r="F134" s="605"/>
      <c r="G134" s="605"/>
      <c r="H134" s="605"/>
      <c r="I134" s="605"/>
      <c r="J134" s="605"/>
      <c r="K134" s="605"/>
      <c r="L134" s="605"/>
      <c r="M134" s="605"/>
      <c r="N134" s="605"/>
      <c r="O134" s="605"/>
      <c r="P134" s="605"/>
      <c r="Q134" s="605"/>
      <c r="R134" s="605"/>
      <c r="S134" s="605"/>
      <c r="T134" s="662">
        <f>SUM(T124:T133)</f>
        <v>-12037</v>
      </c>
      <c r="U134" s="662"/>
      <c r="V134" s="662">
        <f>SUM(V102:V132)</f>
        <v>-4149</v>
      </c>
      <c r="W134" s="607"/>
      <c r="X134" s="588"/>
    </row>
    <row r="135" spans="1:24" s="589" customFormat="1" x14ac:dyDescent="0.25">
      <c r="A135" s="604"/>
      <c r="B135" s="605" t="s">
        <v>40</v>
      </c>
      <c r="C135" s="605"/>
      <c r="D135" s="605"/>
      <c r="E135" s="605"/>
      <c r="F135" s="605"/>
      <c r="G135" s="605"/>
      <c r="H135" s="605"/>
      <c r="I135" s="605"/>
      <c r="J135" s="605"/>
      <c r="K135" s="605"/>
      <c r="L135" s="605"/>
      <c r="M135" s="605"/>
      <c r="N135" s="605"/>
      <c r="O135" s="605"/>
      <c r="P135" s="605"/>
      <c r="Q135" s="605"/>
      <c r="R135" s="605"/>
      <c r="S135" s="605"/>
      <c r="T135" s="662">
        <f>T101+T134+T114</f>
        <v>0</v>
      </c>
      <c r="U135" s="662"/>
      <c r="V135" s="662">
        <f>V101+V134</f>
        <v>0</v>
      </c>
      <c r="W135" s="607"/>
      <c r="X135" s="588"/>
    </row>
    <row r="136" spans="1:24" s="589" customFormat="1" x14ac:dyDescent="0.25">
      <c r="A136" s="585"/>
      <c r="B136" s="602"/>
      <c r="C136" s="602"/>
      <c r="D136" s="602"/>
      <c r="E136" s="602"/>
      <c r="F136" s="602"/>
      <c r="G136" s="602"/>
      <c r="H136" s="602"/>
      <c r="I136" s="602"/>
      <c r="J136" s="602"/>
      <c r="K136" s="602"/>
      <c r="L136" s="602"/>
      <c r="M136" s="602"/>
      <c r="N136" s="602"/>
      <c r="O136" s="602"/>
      <c r="P136" s="602"/>
      <c r="Q136" s="602"/>
      <c r="R136" s="602"/>
      <c r="S136" s="602"/>
      <c r="T136" s="673"/>
      <c r="U136" s="673"/>
      <c r="V136" s="673"/>
      <c r="W136" s="602"/>
      <c r="X136" s="588"/>
    </row>
    <row r="137" spans="1:24" s="589" customFormat="1" x14ac:dyDescent="0.25">
      <c r="A137" s="585"/>
      <c r="B137" s="586"/>
      <c r="C137" s="586"/>
      <c r="D137" s="586"/>
      <c r="E137" s="586"/>
      <c r="F137" s="586"/>
      <c r="G137" s="586"/>
      <c r="H137" s="586"/>
      <c r="I137" s="586"/>
      <c r="J137" s="586"/>
      <c r="K137" s="586"/>
      <c r="L137" s="586"/>
      <c r="M137" s="586"/>
      <c r="N137" s="586"/>
      <c r="O137" s="586"/>
      <c r="P137" s="586"/>
      <c r="Q137" s="586"/>
      <c r="R137" s="586"/>
      <c r="S137" s="586"/>
      <c r="T137" s="586"/>
      <c r="U137" s="586"/>
      <c r="V137" s="687"/>
      <c r="W137" s="586"/>
      <c r="X137" s="588"/>
    </row>
    <row r="138" spans="1:24" s="589" customFormat="1" ht="19.5" thickBot="1" x14ac:dyDescent="0.35">
      <c r="A138" s="649"/>
      <c r="B138" s="568" t="str">
        <f>B64</f>
        <v>PM15 INVESTOR REPORT QUARTER ENDING NOVEMBER 2019</v>
      </c>
      <c r="C138" s="650"/>
      <c r="D138" s="650"/>
      <c r="E138" s="650"/>
      <c r="F138" s="650"/>
      <c r="G138" s="650"/>
      <c r="H138" s="650"/>
      <c r="I138" s="650"/>
      <c r="J138" s="650"/>
      <c r="K138" s="650"/>
      <c r="L138" s="650"/>
      <c r="M138" s="650"/>
      <c r="N138" s="650"/>
      <c r="O138" s="650"/>
      <c r="P138" s="650"/>
      <c r="Q138" s="650"/>
      <c r="R138" s="650"/>
      <c r="S138" s="650"/>
      <c r="T138" s="650"/>
      <c r="U138" s="650"/>
      <c r="V138" s="688"/>
      <c r="W138" s="652"/>
      <c r="X138" s="588"/>
    </row>
    <row r="139" spans="1:24" x14ac:dyDescent="0.25">
      <c r="A139" s="689"/>
      <c r="B139" s="690" t="s">
        <v>41</v>
      </c>
      <c r="C139" s="691"/>
      <c r="D139" s="691"/>
      <c r="E139" s="691"/>
      <c r="F139" s="691"/>
      <c r="G139" s="691"/>
      <c r="H139" s="691"/>
      <c r="I139" s="691"/>
      <c r="J139" s="691"/>
      <c r="K139" s="691"/>
      <c r="L139" s="691"/>
      <c r="M139" s="691"/>
      <c r="N139" s="691"/>
      <c r="O139" s="691"/>
      <c r="P139" s="691"/>
      <c r="Q139" s="691"/>
      <c r="R139" s="691"/>
      <c r="S139" s="691"/>
      <c r="T139" s="691"/>
      <c r="U139" s="691"/>
      <c r="V139" s="692"/>
      <c r="W139" s="691"/>
      <c r="X139" s="572"/>
    </row>
    <row r="140" spans="1:24" x14ac:dyDescent="0.25">
      <c r="A140" s="574"/>
      <c r="B140" s="693"/>
      <c r="C140" s="576"/>
      <c r="D140" s="576"/>
      <c r="E140" s="576"/>
      <c r="F140" s="576"/>
      <c r="G140" s="576"/>
      <c r="H140" s="576"/>
      <c r="I140" s="576"/>
      <c r="J140" s="576"/>
      <c r="K140" s="576"/>
      <c r="L140" s="576"/>
      <c r="M140" s="576"/>
      <c r="N140" s="576"/>
      <c r="O140" s="576"/>
      <c r="P140" s="576"/>
      <c r="Q140" s="576"/>
      <c r="R140" s="576"/>
      <c r="S140" s="576"/>
      <c r="T140" s="576"/>
      <c r="U140" s="576"/>
      <c r="V140" s="656"/>
      <c r="W140" s="576"/>
      <c r="X140" s="572"/>
    </row>
    <row r="141" spans="1:24" x14ac:dyDescent="0.25">
      <c r="A141" s="574"/>
      <c r="B141" s="694" t="s">
        <v>42</v>
      </c>
      <c r="C141" s="576"/>
      <c r="D141" s="576"/>
      <c r="E141" s="576"/>
      <c r="F141" s="576"/>
      <c r="G141" s="576"/>
      <c r="H141" s="576"/>
      <c r="I141" s="576"/>
      <c r="J141" s="576"/>
      <c r="K141" s="576"/>
      <c r="L141" s="576"/>
      <c r="M141" s="576"/>
      <c r="N141" s="576"/>
      <c r="O141" s="576"/>
      <c r="P141" s="576"/>
      <c r="Q141" s="576"/>
      <c r="R141" s="576"/>
      <c r="S141" s="576"/>
      <c r="T141" s="576"/>
      <c r="U141" s="576"/>
      <c r="V141" s="656"/>
      <c r="W141" s="576"/>
      <c r="X141" s="572"/>
    </row>
    <row r="142" spans="1:24" s="589" customFormat="1" x14ac:dyDescent="0.25">
      <c r="A142" s="604"/>
      <c r="B142" s="605" t="s">
        <v>43</v>
      </c>
      <c r="C142" s="605"/>
      <c r="D142" s="605"/>
      <c r="E142" s="605"/>
      <c r="F142" s="605"/>
      <c r="G142" s="605"/>
      <c r="H142" s="605"/>
      <c r="I142" s="605"/>
      <c r="J142" s="605"/>
      <c r="K142" s="605"/>
      <c r="L142" s="605"/>
      <c r="M142" s="605"/>
      <c r="N142" s="605"/>
      <c r="O142" s="605"/>
      <c r="P142" s="605"/>
      <c r="Q142" s="605"/>
      <c r="R142" s="605"/>
      <c r="S142" s="605"/>
      <c r="T142" s="605"/>
      <c r="U142" s="605"/>
      <c r="V142" s="663">
        <f>+V34*0.019</f>
        <v>19021.526999999998</v>
      </c>
      <c r="W142" s="607"/>
      <c r="X142" s="588"/>
    </row>
    <row r="143" spans="1:24" s="589" customFormat="1" x14ac:dyDescent="0.25">
      <c r="A143" s="604"/>
      <c r="B143" s="605" t="s">
        <v>44</v>
      </c>
      <c r="C143" s="605"/>
      <c r="D143" s="605"/>
      <c r="E143" s="605"/>
      <c r="F143" s="605"/>
      <c r="G143" s="605"/>
      <c r="H143" s="605"/>
      <c r="I143" s="605"/>
      <c r="J143" s="605"/>
      <c r="K143" s="605"/>
      <c r="L143" s="605"/>
      <c r="M143" s="605"/>
      <c r="N143" s="605"/>
      <c r="O143" s="605"/>
      <c r="P143" s="605"/>
      <c r="Q143" s="605"/>
      <c r="R143" s="605"/>
      <c r="S143" s="605"/>
      <c r="T143" s="605"/>
      <c r="U143" s="605"/>
      <c r="V143" s="663">
        <v>19022</v>
      </c>
      <c r="W143" s="607"/>
      <c r="X143" s="588"/>
    </row>
    <row r="144" spans="1:24" s="589" customFormat="1" x14ac:dyDescent="0.25">
      <c r="A144" s="604"/>
      <c r="B144" s="605" t="s">
        <v>136</v>
      </c>
      <c r="C144" s="605"/>
      <c r="D144" s="605"/>
      <c r="E144" s="605"/>
      <c r="F144" s="605"/>
      <c r="G144" s="605"/>
      <c r="H144" s="605"/>
      <c r="I144" s="605"/>
      <c r="J144" s="605"/>
      <c r="K144" s="605"/>
      <c r="L144" s="605"/>
      <c r="M144" s="605"/>
      <c r="N144" s="605"/>
      <c r="O144" s="605"/>
      <c r="P144" s="605"/>
      <c r="Q144" s="605"/>
      <c r="R144" s="605"/>
      <c r="S144" s="605"/>
      <c r="T144" s="605"/>
      <c r="U144" s="605"/>
      <c r="V144" s="663"/>
      <c r="W144" s="607"/>
      <c r="X144" s="588"/>
    </row>
    <row r="145" spans="1:25" s="589" customFormat="1" x14ac:dyDescent="0.25">
      <c r="A145" s="604"/>
      <c r="B145" s="605" t="s">
        <v>123</v>
      </c>
      <c r="C145" s="605"/>
      <c r="D145" s="605"/>
      <c r="E145" s="605"/>
      <c r="F145" s="605"/>
      <c r="G145" s="605"/>
      <c r="H145" s="605"/>
      <c r="I145" s="605"/>
      <c r="J145" s="605"/>
      <c r="K145" s="605"/>
      <c r="L145" s="605"/>
      <c r="M145" s="605"/>
      <c r="N145" s="605"/>
      <c r="O145" s="605"/>
      <c r="P145" s="605"/>
      <c r="Q145" s="605"/>
      <c r="R145" s="605"/>
      <c r="S145" s="605"/>
      <c r="T145" s="605"/>
      <c r="U145" s="605"/>
      <c r="V145" s="663">
        <v>0</v>
      </c>
      <c r="W145" s="607"/>
      <c r="X145" s="588"/>
    </row>
    <row r="146" spans="1:25" s="589" customFormat="1" x14ac:dyDescent="0.25">
      <c r="A146" s="604"/>
      <c r="B146" s="605" t="s">
        <v>124</v>
      </c>
      <c r="C146" s="605"/>
      <c r="D146" s="605"/>
      <c r="E146" s="605"/>
      <c r="F146" s="605"/>
      <c r="G146" s="605"/>
      <c r="H146" s="605"/>
      <c r="I146" s="605"/>
      <c r="J146" s="605"/>
      <c r="K146" s="605"/>
      <c r="L146" s="605"/>
      <c r="M146" s="605"/>
      <c r="N146" s="605"/>
      <c r="O146" s="605"/>
      <c r="P146" s="605"/>
      <c r="Q146" s="605"/>
      <c r="R146" s="605"/>
      <c r="S146" s="605"/>
      <c r="T146" s="605"/>
      <c r="U146" s="605"/>
      <c r="V146" s="663">
        <v>0</v>
      </c>
      <c r="W146" s="607"/>
      <c r="X146" s="588"/>
    </row>
    <row r="147" spans="1:25" s="589" customFormat="1" x14ac:dyDescent="0.25">
      <c r="A147" s="604"/>
      <c r="B147" s="605" t="s">
        <v>175</v>
      </c>
      <c r="C147" s="605"/>
      <c r="D147" s="605"/>
      <c r="E147" s="605"/>
      <c r="F147" s="605"/>
      <c r="G147" s="605"/>
      <c r="H147" s="605"/>
      <c r="I147" s="605"/>
      <c r="J147" s="605"/>
      <c r="K147" s="605"/>
      <c r="L147" s="605"/>
      <c r="M147" s="605"/>
      <c r="N147" s="605"/>
      <c r="O147" s="605"/>
      <c r="P147" s="605"/>
      <c r="Q147" s="605"/>
      <c r="R147" s="605"/>
      <c r="S147" s="605"/>
      <c r="T147" s="605"/>
      <c r="U147" s="605"/>
      <c r="V147" s="663">
        <v>0</v>
      </c>
      <c r="W147" s="607"/>
      <c r="X147" s="588"/>
    </row>
    <row r="148" spans="1:25" s="589" customFormat="1" x14ac:dyDescent="0.25">
      <c r="A148" s="604"/>
      <c r="B148" s="605" t="s">
        <v>45</v>
      </c>
      <c r="C148" s="605"/>
      <c r="D148" s="605"/>
      <c r="E148" s="605"/>
      <c r="F148" s="605"/>
      <c r="G148" s="605"/>
      <c r="H148" s="605"/>
      <c r="I148" s="605"/>
      <c r="J148" s="605"/>
      <c r="K148" s="605"/>
      <c r="L148" s="605"/>
      <c r="M148" s="605"/>
      <c r="N148" s="605"/>
      <c r="O148" s="605"/>
      <c r="P148" s="605"/>
      <c r="Q148" s="605"/>
      <c r="R148" s="605"/>
      <c r="S148" s="605"/>
      <c r="T148" s="605"/>
      <c r="U148" s="605"/>
      <c r="V148" s="663">
        <v>0</v>
      </c>
      <c r="W148" s="607"/>
      <c r="X148" s="588"/>
    </row>
    <row r="149" spans="1:25" s="589" customFormat="1" x14ac:dyDescent="0.25">
      <c r="A149" s="604"/>
      <c r="B149" s="605" t="s">
        <v>129</v>
      </c>
      <c r="C149" s="605"/>
      <c r="D149" s="605"/>
      <c r="E149" s="605"/>
      <c r="F149" s="605"/>
      <c r="G149" s="605"/>
      <c r="H149" s="605"/>
      <c r="I149" s="605"/>
      <c r="J149" s="605"/>
      <c r="K149" s="605"/>
      <c r="L149" s="605"/>
      <c r="M149" s="605"/>
      <c r="N149" s="605"/>
      <c r="O149" s="605"/>
      <c r="P149" s="605"/>
      <c r="Q149" s="605"/>
      <c r="R149" s="605"/>
      <c r="S149" s="605"/>
      <c r="T149" s="605"/>
      <c r="U149" s="605"/>
      <c r="V149" s="663">
        <v>0</v>
      </c>
      <c r="W149" s="607"/>
      <c r="X149" s="588"/>
    </row>
    <row r="150" spans="1:25" s="589" customFormat="1" x14ac:dyDescent="0.25">
      <c r="A150" s="604"/>
      <c r="B150" s="605" t="s">
        <v>241</v>
      </c>
      <c r="C150" s="605"/>
      <c r="D150" s="605"/>
      <c r="E150" s="605"/>
      <c r="F150" s="605"/>
      <c r="G150" s="605"/>
      <c r="H150" s="605"/>
      <c r="I150" s="605"/>
      <c r="J150" s="605"/>
      <c r="K150" s="605"/>
      <c r="L150" s="605"/>
      <c r="M150" s="605"/>
      <c r="N150" s="605"/>
      <c r="O150" s="605"/>
      <c r="P150" s="605"/>
      <c r="Q150" s="605"/>
      <c r="R150" s="605"/>
      <c r="S150" s="605"/>
      <c r="T150" s="605"/>
      <c r="U150" s="605"/>
      <c r="V150" s="663">
        <v>0</v>
      </c>
      <c r="W150" s="607"/>
      <c r="X150" s="588"/>
      <c r="Y150" s="685"/>
    </row>
    <row r="151" spans="1:25" s="589" customFormat="1" x14ac:dyDescent="0.25">
      <c r="A151" s="604"/>
      <c r="B151" s="605" t="s">
        <v>46</v>
      </c>
      <c r="C151" s="605"/>
      <c r="D151" s="605"/>
      <c r="E151" s="605"/>
      <c r="F151" s="605"/>
      <c r="G151" s="605"/>
      <c r="H151" s="605"/>
      <c r="I151" s="605"/>
      <c r="J151" s="605"/>
      <c r="K151" s="605"/>
      <c r="L151" s="605"/>
      <c r="M151" s="605"/>
      <c r="N151" s="605"/>
      <c r="O151" s="605"/>
      <c r="P151" s="605"/>
      <c r="Q151" s="605"/>
      <c r="R151" s="605"/>
      <c r="S151" s="605"/>
      <c r="T151" s="605"/>
      <c r="U151" s="605"/>
      <c r="V151" s="663">
        <f>SUM(V143:V150)</f>
        <v>19022</v>
      </c>
      <c r="W151" s="607"/>
      <c r="X151" s="588"/>
    </row>
    <row r="152" spans="1:25" x14ac:dyDescent="0.25">
      <c r="A152" s="677"/>
      <c r="B152" s="679"/>
      <c r="C152" s="679"/>
      <c r="D152" s="679"/>
      <c r="E152" s="679"/>
      <c r="F152" s="679"/>
      <c r="G152" s="679"/>
      <c r="H152" s="679"/>
      <c r="I152" s="679"/>
      <c r="J152" s="679"/>
      <c r="K152" s="679"/>
      <c r="L152" s="679"/>
      <c r="M152" s="679"/>
      <c r="N152" s="679"/>
      <c r="O152" s="679"/>
      <c r="P152" s="679"/>
      <c r="Q152" s="679"/>
      <c r="R152" s="679"/>
      <c r="S152" s="679"/>
      <c r="T152" s="679"/>
      <c r="U152" s="679"/>
      <c r="V152" s="695"/>
      <c r="W152" s="683"/>
      <c r="X152" s="572"/>
    </row>
    <row r="153" spans="1:25" x14ac:dyDescent="0.25">
      <c r="A153" s="677"/>
      <c r="B153" s="678" t="s">
        <v>269</v>
      </c>
      <c r="C153" s="679"/>
      <c r="D153" s="679"/>
      <c r="E153" s="679"/>
      <c r="F153" s="679"/>
      <c r="G153" s="679"/>
      <c r="H153" s="679"/>
      <c r="I153" s="679"/>
      <c r="J153" s="679"/>
      <c r="K153" s="679"/>
      <c r="L153" s="679"/>
      <c r="M153" s="679"/>
      <c r="N153" s="679"/>
      <c r="O153" s="679"/>
      <c r="P153" s="679"/>
      <c r="Q153" s="679"/>
      <c r="R153" s="679"/>
      <c r="S153" s="679"/>
      <c r="T153" s="679"/>
      <c r="U153" s="679"/>
      <c r="V153" s="695"/>
      <c r="W153" s="683"/>
      <c r="X153" s="572"/>
    </row>
    <row r="154" spans="1:25" s="589" customFormat="1" x14ac:dyDescent="0.25">
      <c r="A154" s="604"/>
      <c r="B154" s="605" t="s">
        <v>155</v>
      </c>
      <c r="C154" s="605"/>
      <c r="D154" s="605"/>
      <c r="E154" s="605"/>
      <c r="F154" s="605"/>
      <c r="G154" s="605"/>
      <c r="H154" s="605"/>
      <c r="I154" s="605"/>
      <c r="J154" s="605"/>
      <c r="K154" s="605"/>
      <c r="L154" s="605"/>
      <c r="M154" s="605"/>
      <c r="N154" s="605"/>
      <c r="O154" s="605"/>
      <c r="P154" s="605"/>
      <c r="Q154" s="605"/>
      <c r="R154" s="605"/>
      <c r="S154" s="605"/>
      <c r="T154" s="605"/>
      <c r="U154" s="605"/>
      <c r="V154" s="663">
        <v>0</v>
      </c>
      <c r="W154" s="607"/>
      <c r="X154" s="588"/>
    </row>
    <row r="155" spans="1:25" s="589" customFormat="1" x14ac:dyDescent="0.25">
      <c r="A155" s="604"/>
      <c r="B155" s="605" t="s">
        <v>172</v>
      </c>
      <c r="C155" s="605"/>
      <c r="D155" s="605"/>
      <c r="E155" s="605"/>
      <c r="F155" s="605"/>
      <c r="G155" s="605"/>
      <c r="H155" s="605"/>
      <c r="I155" s="605"/>
      <c r="J155" s="605"/>
      <c r="K155" s="605"/>
      <c r="L155" s="605"/>
      <c r="M155" s="605"/>
      <c r="N155" s="605"/>
      <c r="O155" s="605"/>
      <c r="P155" s="605"/>
      <c r="Q155" s="605"/>
      <c r="R155" s="605"/>
      <c r="S155" s="605"/>
      <c r="T155" s="605"/>
      <c r="U155" s="605"/>
      <c r="V155" s="663">
        <v>0</v>
      </c>
      <c r="W155" s="607"/>
      <c r="X155" s="588"/>
    </row>
    <row r="156" spans="1:25" s="589" customFormat="1" x14ac:dyDescent="0.25">
      <c r="A156" s="604"/>
      <c r="B156" s="605" t="s">
        <v>226</v>
      </c>
      <c r="C156" s="605"/>
      <c r="D156" s="605"/>
      <c r="E156" s="605"/>
      <c r="F156" s="605"/>
      <c r="G156" s="605"/>
      <c r="H156" s="605"/>
      <c r="I156" s="605"/>
      <c r="J156" s="605"/>
      <c r="K156" s="605"/>
      <c r="L156" s="605"/>
      <c r="M156" s="605"/>
      <c r="N156" s="605"/>
      <c r="O156" s="605"/>
      <c r="P156" s="605"/>
      <c r="Q156" s="605"/>
      <c r="R156" s="605"/>
      <c r="S156" s="605"/>
      <c r="T156" s="605"/>
      <c r="U156" s="605"/>
      <c r="V156" s="663">
        <v>0</v>
      </c>
      <c r="W156" s="607"/>
      <c r="X156" s="588"/>
    </row>
    <row r="157" spans="1:25" x14ac:dyDescent="0.25">
      <c r="A157" s="677"/>
      <c r="B157" s="679"/>
      <c r="C157" s="679"/>
      <c r="D157" s="679"/>
      <c r="E157" s="679"/>
      <c r="F157" s="679"/>
      <c r="G157" s="679"/>
      <c r="H157" s="679"/>
      <c r="I157" s="679"/>
      <c r="J157" s="679"/>
      <c r="K157" s="679"/>
      <c r="L157" s="679"/>
      <c r="M157" s="679"/>
      <c r="N157" s="679"/>
      <c r="O157" s="679"/>
      <c r="P157" s="679"/>
      <c r="Q157" s="679"/>
      <c r="R157" s="679"/>
      <c r="S157" s="679"/>
      <c r="T157" s="679"/>
      <c r="U157" s="679"/>
      <c r="V157" s="695"/>
      <c r="W157" s="683"/>
      <c r="X157" s="572"/>
    </row>
    <row r="158" spans="1:25" x14ac:dyDescent="0.25">
      <c r="A158" s="574"/>
      <c r="B158" s="664"/>
      <c r="C158" s="664"/>
      <c r="D158" s="664"/>
      <c r="E158" s="664"/>
      <c r="F158" s="664"/>
      <c r="G158" s="664"/>
      <c r="H158" s="664"/>
      <c r="I158" s="664"/>
      <c r="J158" s="664"/>
      <c r="K158" s="664"/>
      <c r="L158" s="664"/>
      <c r="M158" s="664"/>
      <c r="N158" s="664"/>
      <c r="O158" s="664"/>
      <c r="P158" s="664"/>
      <c r="Q158" s="664"/>
      <c r="R158" s="664"/>
      <c r="S158" s="664"/>
      <c r="T158" s="664"/>
      <c r="U158" s="664"/>
      <c r="V158" s="696"/>
      <c r="W158" s="664"/>
      <c r="X158" s="572"/>
    </row>
    <row r="159" spans="1:25" x14ac:dyDescent="0.25">
      <c r="A159" s="574"/>
      <c r="B159" s="694" t="s">
        <v>24</v>
      </c>
      <c r="C159" s="576"/>
      <c r="D159" s="576"/>
      <c r="E159" s="576"/>
      <c r="F159" s="576"/>
      <c r="G159" s="576"/>
      <c r="H159" s="576"/>
      <c r="I159" s="576"/>
      <c r="J159" s="576"/>
      <c r="K159" s="576"/>
      <c r="L159" s="576"/>
      <c r="M159" s="576"/>
      <c r="N159" s="576"/>
      <c r="O159" s="576"/>
      <c r="P159" s="576"/>
      <c r="Q159" s="576"/>
      <c r="R159" s="576"/>
      <c r="S159" s="576"/>
      <c r="T159" s="576"/>
      <c r="U159" s="576"/>
      <c r="V159" s="656"/>
      <c r="W159" s="576"/>
      <c r="X159" s="572"/>
    </row>
    <row r="160" spans="1:25" s="589" customFormat="1" x14ac:dyDescent="0.25">
      <c r="A160" s="604"/>
      <c r="B160" s="605" t="s">
        <v>47</v>
      </c>
      <c r="C160" s="605"/>
      <c r="D160" s="605"/>
      <c r="E160" s="605"/>
      <c r="F160" s="605"/>
      <c r="G160" s="605"/>
      <c r="H160" s="605"/>
      <c r="I160" s="605"/>
      <c r="J160" s="605"/>
      <c r="K160" s="605"/>
      <c r="L160" s="605"/>
      <c r="M160" s="605"/>
      <c r="N160" s="605"/>
      <c r="O160" s="605"/>
      <c r="P160" s="605"/>
      <c r="Q160" s="605"/>
      <c r="R160" s="605"/>
      <c r="S160" s="605"/>
      <c r="T160" s="605"/>
      <c r="U160" s="605"/>
      <c r="V160" s="697" t="s">
        <v>118</v>
      </c>
      <c r="W160" s="607"/>
      <c r="X160" s="588"/>
    </row>
    <row r="161" spans="1:256" s="589" customFormat="1" x14ac:dyDescent="0.25">
      <c r="A161" s="604"/>
      <c r="B161" s="605" t="s">
        <v>48</v>
      </c>
      <c r="C161" s="605"/>
      <c r="D161" s="605"/>
      <c r="E161" s="605"/>
      <c r="F161" s="605"/>
      <c r="G161" s="605"/>
      <c r="H161" s="605"/>
      <c r="I161" s="605"/>
      <c r="J161" s="605"/>
      <c r="K161" s="605"/>
      <c r="L161" s="605"/>
      <c r="M161" s="605"/>
      <c r="N161" s="605"/>
      <c r="O161" s="605"/>
      <c r="P161" s="605"/>
      <c r="Q161" s="605"/>
      <c r="R161" s="605"/>
      <c r="S161" s="605"/>
      <c r="T161" s="605"/>
      <c r="U161" s="605"/>
      <c r="V161" s="697" t="s">
        <v>118</v>
      </c>
      <c r="W161" s="607"/>
      <c r="X161" s="588"/>
    </row>
    <row r="162" spans="1:256" s="589" customFormat="1" x14ac:dyDescent="0.25">
      <c r="A162" s="604"/>
      <c r="B162" s="605" t="s">
        <v>49</v>
      </c>
      <c r="C162" s="605"/>
      <c r="D162" s="605"/>
      <c r="E162" s="605"/>
      <c r="F162" s="605"/>
      <c r="G162" s="605"/>
      <c r="H162" s="605"/>
      <c r="I162" s="605"/>
      <c r="J162" s="605"/>
      <c r="K162" s="605"/>
      <c r="L162" s="605"/>
      <c r="M162" s="605"/>
      <c r="N162" s="605"/>
      <c r="O162" s="605"/>
      <c r="P162" s="605"/>
      <c r="Q162" s="605"/>
      <c r="R162" s="605"/>
      <c r="S162" s="605"/>
      <c r="T162" s="605"/>
      <c r="U162" s="605"/>
      <c r="V162" s="697" t="s">
        <v>118</v>
      </c>
      <c r="W162" s="607"/>
      <c r="X162" s="588"/>
    </row>
    <row r="163" spans="1:256" s="589" customFormat="1" x14ac:dyDescent="0.25">
      <c r="A163" s="604"/>
      <c r="B163" s="605" t="s">
        <v>50</v>
      </c>
      <c r="C163" s="605"/>
      <c r="D163" s="605"/>
      <c r="E163" s="605"/>
      <c r="F163" s="605"/>
      <c r="G163" s="605"/>
      <c r="H163" s="605"/>
      <c r="I163" s="605"/>
      <c r="J163" s="605"/>
      <c r="K163" s="605"/>
      <c r="L163" s="605"/>
      <c r="M163" s="605"/>
      <c r="N163" s="605"/>
      <c r="O163" s="605"/>
      <c r="P163" s="605"/>
      <c r="Q163" s="605"/>
      <c r="R163" s="605"/>
      <c r="S163" s="605"/>
      <c r="T163" s="605"/>
      <c r="U163" s="605"/>
      <c r="V163" s="697" t="s">
        <v>118</v>
      </c>
      <c r="W163" s="607"/>
      <c r="X163" s="588"/>
    </row>
    <row r="164" spans="1:256" x14ac:dyDescent="0.25">
      <c r="A164" s="574"/>
      <c r="B164" s="664"/>
      <c r="C164" s="664"/>
      <c r="D164" s="664"/>
      <c r="E164" s="664"/>
      <c r="F164" s="664"/>
      <c r="G164" s="664"/>
      <c r="H164" s="664"/>
      <c r="I164" s="664"/>
      <c r="J164" s="664"/>
      <c r="K164" s="664"/>
      <c r="L164" s="664"/>
      <c r="M164" s="664"/>
      <c r="N164" s="664"/>
      <c r="O164" s="664"/>
      <c r="P164" s="664"/>
      <c r="Q164" s="664"/>
      <c r="R164" s="664"/>
      <c r="S164" s="664"/>
      <c r="T164" s="664"/>
      <c r="U164" s="664"/>
      <c r="V164" s="696"/>
      <c r="W164" s="664"/>
      <c r="X164" s="572"/>
    </row>
    <row r="165" spans="1:256" x14ac:dyDescent="0.25">
      <c r="A165" s="574"/>
      <c r="B165" s="694" t="s">
        <v>51</v>
      </c>
      <c r="C165" s="576"/>
      <c r="D165" s="576"/>
      <c r="E165" s="576"/>
      <c r="F165" s="576"/>
      <c r="G165" s="576"/>
      <c r="H165" s="576"/>
      <c r="I165" s="576"/>
      <c r="J165" s="576"/>
      <c r="K165" s="576"/>
      <c r="L165" s="576"/>
      <c r="M165" s="576"/>
      <c r="N165" s="576"/>
      <c r="O165" s="576"/>
      <c r="P165" s="576"/>
      <c r="Q165" s="576"/>
      <c r="R165" s="576"/>
      <c r="S165" s="576"/>
      <c r="T165" s="576"/>
      <c r="U165" s="576"/>
      <c r="V165" s="698"/>
      <c r="W165" s="576"/>
      <c r="X165" s="572"/>
    </row>
    <row r="166" spans="1:256" s="589" customFormat="1" x14ac:dyDescent="0.25">
      <c r="A166" s="604"/>
      <c r="B166" s="605" t="s">
        <v>52</v>
      </c>
      <c r="C166" s="605"/>
      <c r="D166" s="605"/>
      <c r="E166" s="605"/>
      <c r="F166" s="605"/>
      <c r="G166" s="605"/>
      <c r="H166" s="605"/>
      <c r="I166" s="605"/>
      <c r="J166" s="605"/>
      <c r="K166" s="605"/>
      <c r="L166" s="605"/>
      <c r="M166" s="605"/>
      <c r="N166" s="605"/>
      <c r="O166" s="605"/>
      <c r="P166" s="605"/>
      <c r="Q166" s="605"/>
      <c r="R166" s="605"/>
      <c r="S166" s="605"/>
      <c r="T166" s="605"/>
      <c r="U166" s="605"/>
      <c r="V166" s="663">
        <v>0</v>
      </c>
      <c r="W166" s="607"/>
      <c r="X166" s="588"/>
    </row>
    <row r="167" spans="1:256" s="589" customFormat="1" x14ac:dyDescent="0.25">
      <c r="A167" s="604"/>
      <c r="B167" s="605" t="s">
        <v>53</v>
      </c>
      <c r="C167" s="605"/>
      <c r="D167" s="605"/>
      <c r="E167" s="605"/>
      <c r="F167" s="605"/>
      <c r="G167" s="605"/>
      <c r="H167" s="605"/>
      <c r="I167" s="605"/>
      <c r="J167" s="605"/>
      <c r="K167" s="605"/>
      <c r="L167" s="605"/>
      <c r="M167" s="605"/>
      <c r="N167" s="605"/>
      <c r="O167" s="605"/>
      <c r="P167" s="605"/>
      <c r="Q167" s="605"/>
      <c r="R167" s="605"/>
      <c r="S167" s="605"/>
      <c r="T167" s="605"/>
      <c r="U167" s="605"/>
      <c r="V167" s="663">
        <v>151</v>
      </c>
      <c r="W167" s="607"/>
      <c r="X167" s="588"/>
    </row>
    <row r="168" spans="1:256" s="589" customFormat="1" x14ac:dyDescent="0.25">
      <c r="A168" s="604"/>
      <c r="B168" s="605" t="s">
        <v>54</v>
      </c>
      <c r="C168" s="605"/>
      <c r="D168" s="605"/>
      <c r="E168" s="605"/>
      <c r="F168" s="605"/>
      <c r="G168" s="605"/>
      <c r="H168" s="605"/>
      <c r="I168" s="605"/>
      <c r="J168" s="605"/>
      <c r="K168" s="605"/>
      <c r="L168" s="605"/>
      <c r="M168" s="605"/>
      <c r="N168" s="605"/>
      <c r="O168" s="605"/>
      <c r="P168" s="605"/>
      <c r="Q168" s="605"/>
      <c r="R168" s="605"/>
      <c r="S168" s="605"/>
      <c r="T168" s="605"/>
      <c r="U168" s="605"/>
      <c r="V168" s="663">
        <f>V167+V166</f>
        <v>151</v>
      </c>
      <c r="W168" s="607"/>
      <c r="X168" s="588"/>
    </row>
    <row r="169" spans="1:256" s="589" customFormat="1" x14ac:dyDescent="0.25">
      <c r="A169" s="604"/>
      <c r="B169" s="605" t="s">
        <v>303</v>
      </c>
      <c r="C169" s="605"/>
      <c r="D169" s="605"/>
      <c r="E169" s="605"/>
      <c r="F169" s="605"/>
      <c r="G169" s="605"/>
      <c r="H169" s="605"/>
      <c r="I169" s="605"/>
      <c r="J169" s="605"/>
      <c r="K169" s="605"/>
      <c r="L169" s="605"/>
      <c r="M169" s="605"/>
      <c r="N169" s="605"/>
      <c r="O169" s="605"/>
      <c r="P169" s="605"/>
      <c r="Q169" s="605"/>
      <c r="R169" s="605"/>
      <c r="S169" s="605"/>
      <c r="T169" s="605"/>
      <c r="U169" s="605"/>
      <c r="V169" s="663">
        <f>V114</f>
        <v>-151</v>
      </c>
      <c r="W169" s="607"/>
      <c r="X169" s="588"/>
    </row>
    <row r="170" spans="1:256" s="589" customFormat="1" x14ac:dyDescent="0.25">
      <c r="A170" s="604"/>
      <c r="B170" s="605" t="s">
        <v>55</v>
      </c>
      <c r="C170" s="605"/>
      <c r="D170" s="605"/>
      <c r="E170" s="605"/>
      <c r="F170" s="605"/>
      <c r="G170" s="605"/>
      <c r="H170" s="605"/>
      <c r="I170" s="605"/>
      <c r="J170" s="605"/>
      <c r="K170" s="605"/>
      <c r="L170" s="605"/>
      <c r="M170" s="605"/>
      <c r="N170" s="605"/>
      <c r="O170" s="605"/>
      <c r="P170" s="605"/>
      <c r="Q170" s="605"/>
      <c r="R170" s="605"/>
      <c r="S170" s="605"/>
      <c r="T170" s="605"/>
      <c r="U170" s="605"/>
      <c r="V170" s="663">
        <f>V168+V169</f>
        <v>0</v>
      </c>
      <c r="W170" s="607"/>
      <c r="X170" s="588"/>
    </row>
    <row r="171" spans="1:256" s="589" customFormat="1" x14ac:dyDescent="0.25">
      <c r="A171" s="604"/>
      <c r="B171" s="605" t="s">
        <v>274</v>
      </c>
      <c r="C171" s="605"/>
      <c r="D171" s="605"/>
      <c r="E171" s="605"/>
      <c r="F171" s="605"/>
      <c r="G171" s="605"/>
      <c r="H171" s="605"/>
      <c r="I171" s="605"/>
      <c r="J171" s="605"/>
      <c r="K171" s="605"/>
      <c r="L171" s="605"/>
      <c r="M171" s="605"/>
      <c r="N171" s="605"/>
      <c r="O171" s="605"/>
      <c r="P171" s="605"/>
      <c r="Q171" s="605"/>
      <c r="R171" s="605"/>
      <c r="S171" s="605"/>
      <c r="T171" s="605"/>
      <c r="U171" s="605"/>
      <c r="V171" s="663">
        <f>-V100</f>
        <v>1</v>
      </c>
      <c r="W171" s="607"/>
      <c r="X171" s="588"/>
    </row>
    <row r="172" spans="1:256" ht="16.5" thickBot="1" x14ac:dyDescent="0.3">
      <c r="A172" s="574"/>
      <c r="B172" s="664"/>
      <c r="C172" s="664"/>
      <c r="D172" s="664"/>
      <c r="E172" s="664"/>
      <c r="F172" s="664"/>
      <c r="G172" s="664"/>
      <c r="H172" s="664"/>
      <c r="I172" s="664"/>
      <c r="J172" s="664"/>
      <c r="K172" s="664"/>
      <c r="L172" s="664"/>
      <c r="M172" s="664"/>
      <c r="N172" s="664"/>
      <c r="O172" s="664"/>
      <c r="P172" s="664"/>
      <c r="Q172" s="664"/>
      <c r="R172" s="664"/>
      <c r="S172" s="664"/>
      <c r="T172" s="664"/>
      <c r="U172" s="664"/>
      <c r="V172" s="696"/>
      <c r="W172" s="664"/>
      <c r="X172" s="572"/>
    </row>
    <row r="173" spans="1:256" x14ac:dyDescent="0.25">
      <c r="A173" s="569"/>
      <c r="B173" s="571"/>
      <c r="C173" s="571"/>
      <c r="D173" s="571"/>
      <c r="E173" s="571"/>
      <c r="F173" s="571"/>
      <c r="G173" s="571"/>
      <c r="H173" s="571"/>
      <c r="I173" s="571"/>
      <c r="J173" s="571"/>
      <c r="K173" s="571"/>
      <c r="L173" s="571"/>
      <c r="M173" s="571"/>
      <c r="N173" s="571"/>
      <c r="O173" s="571"/>
      <c r="P173" s="571"/>
      <c r="Q173" s="571"/>
      <c r="R173" s="571"/>
      <c r="S173" s="571"/>
      <c r="T173" s="571"/>
      <c r="U173" s="571"/>
      <c r="V173" s="699"/>
      <c r="W173" s="571"/>
      <c r="X173" s="572"/>
    </row>
    <row r="174" spans="1:256" s="701" customFormat="1" x14ac:dyDescent="0.25">
      <c r="A174" s="574"/>
      <c r="B174" s="694" t="s">
        <v>230</v>
      </c>
      <c r="C174" s="664"/>
      <c r="D174" s="664"/>
      <c r="E174" s="664"/>
      <c r="F174" s="664"/>
      <c r="G174" s="664"/>
      <c r="H174" s="664"/>
      <c r="I174" s="664"/>
      <c r="J174" s="664"/>
      <c r="K174" s="664"/>
      <c r="L174" s="664"/>
      <c r="M174" s="664"/>
      <c r="N174" s="664"/>
      <c r="O174" s="664"/>
      <c r="P174" s="664"/>
      <c r="Q174" s="664"/>
      <c r="R174" s="664"/>
      <c r="S174" s="664"/>
      <c r="T174" s="664"/>
      <c r="U174" s="664"/>
      <c r="V174" s="700"/>
      <c r="W174" s="664"/>
      <c r="X174" s="572"/>
      <c r="Y174" s="573"/>
      <c r="Z174" s="573"/>
      <c r="AA174" s="573"/>
      <c r="AB174" s="573"/>
      <c r="AC174" s="573"/>
      <c r="AD174" s="573"/>
      <c r="AE174" s="573"/>
      <c r="AF174" s="573"/>
      <c r="AG174" s="573"/>
      <c r="AH174" s="573"/>
      <c r="AI174" s="573"/>
      <c r="AJ174" s="573"/>
      <c r="AK174" s="573"/>
      <c r="AL174" s="573"/>
      <c r="AM174" s="573"/>
      <c r="AN174" s="573"/>
      <c r="AO174" s="573"/>
      <c r="AP174" s="573"/>
      <c r="AQ174" s="573"/>
      <c r="AR174" s="573"/>
      <c r="AS174" s="573"/>
      <c r="AT174" s="573"/>
      <c r="AU174" s="573"/>
      <c r="AV174" s="573"/>
      <c r="AW174" s="573"/>
      <c r="AX174" s="573"/>
      <c r="AY174" s="573"/>
      <c r="AZ174" s="573"/>
      <c r="BA174" s="573"/>
      <c r="BB174" s="573"/>
      <c r="BC174" s="573"/>
      <c r="BD174" s="573"/>
      <c r="BE174" s="573"/>
      <c r="BF174" s="573"/>
      <c r="BG174" s="573"/>
      <c r="BH174" s="573"/>
      <c r="BI174" s="573"/>
      <c r="BJ174" s="573"/>
      <c r="BK174" s="573"/>
      <c r="BL174" s="573"/>
      <c r="BM174" s="573"/>
      <c r="BN174" s="573"/>
      <c r="BO174" s="573"/>
      <c r="BP174" s="573"/>
      <c r="BQ174" s="573"/>
      <c r="BR174" s="573"/>
      <c r="BS174" s="573"/>
      <c r="BT174" s="573"/>
      <c r="BU174" s="573"/>
      <c r="BV174" s="573"/>
      <c r="BW174" s="573"/>
      <c r="BX174" s="573"/>
      <c r="BY174" s="573"/>
      <c r="BZ174" s="573"/>
      <c r="CA174" s="573"/>
      <c r="CB174" s="573"/>
      <c r="CC174" s="573"/>
      <c r="CD174" s="573"/>
      <c r="CE174" s="573"/>
      <c r="CF174" s="573"/>
      <c r="CG174" s="573"/>
      <c r="CH174" s="573"/>
      <c r="CI174" s="573"/>
      <c r="CJ174" s="573"/>
      <c r="CK174" s="573"/>
      <c r="CL174" s="573"/>
      <c r="CM174" s="573"/>
      <c r="CN174" s="573"/>
      <c r="CO174" s="573"/>
      <c r="CP174" s="573"/>
      <c r="CQ174" s="573"/>
      <c r="CR174" s="573"/>
      <c r="CS174" s="573"/>
      <c r="CT174" s="573"/>
      <c r="CU174" s="573"/>
      <c r="CV174" s="573"/>
      <c r="CW174" s="573"/>
      <c r="CX174" s="573"/>
      <c r="CY174" s="573"/>
      <c r="CZ174" s="573"/>
      <c r="DA174" s="573"/>
      <c r="DB174" s="573"/>
      <c r="DC174" s="573"/>
      <c r="DD174" s="573"/>
      <c r="DE174" s="573"/>
      <c r="DF174" s="573"/>
      <c r="DG174" s="573"/>
      <c r="DH174" s="573"/>
      <c r="DI174" s="573"/>
      <c r="DJ174" s="573"/>
      <c r="DK174" s="573"/>
      <c r="DL174" s="573"/>
      <c r="DM174" s="573"/>
      <c r="DN174" s="573"/>
      <c r="DO174" s="573"/>
      <c r="DP174" s="573"/>
      <c r="DQ174" s="573"/>
      <c r="DR174" s="573"/>
      <c r="DS174" s="573"/>
      <c r="DT174" s="573"/>
      <c r="DU174" s="573"/>
      <c r="DV174" s="573"/>
      <c r="DW174" s="573"/>
      <c r="DX174" s="573"/>
      <c r="DY174" s="573"/>
      <c r="DZ174" s="573"/>
      <c r="EA174" s="573"/>
      <c r="EB174" s="573"/>
      <c r="EC174" s="573"/>
      <c r="ED174" s="573"/>
      <c r="EE174" s="573"/>
      <c r="EF174" s="573"/>
      <c r="EG174" s="573"/>
      <c r="EH174" s="573"/>
      <c r="EI174" s="573"/>
      <c r="EJ174" s="573"/>
      <c r="EK174" s="573"/>
      <c r="EL174" s="573"/>
      <c r="EM174" s="573"/>
      <c r="EN174" s="573"/>
      <c r="EO174" s="573"/>
      <c r="EP174" s="573"/>
      <c r="EQ174" s="573"/>
      <c r="ER174" s="573"/>
      <c r="ES174" s="573"/>
      <c r="ET174" s="573"/>
      <c r="EU174" s="573"/>
      <c r="EV174" s="573"/>
      <c r="EW174" s="573"/>
      <c r="EX174" s="573"/>
      <c r="EY174" s="573"/>
      <c r="EZ174" s="573"/>
      <c r="FA174" s="573"/>
      <c r="FB174" s="573"/>
      <c r="FC174" s="573"/>
      <c r="FD174" s="573"/>
      <c r="FE174" s="573"/>
      <c r="FF174" s="573"/>
      <c r="FG174" s="573"/>
      <c r="FH174" s="573"/>
      <c r="FI174" s="573"/>
      <c r="FJ174" s="573"/>
      <c r="FK174" s="573"/>
      <c r="FL174" s="573"/>
      <c r="FM174" s="573"/>
      <c r="FN174" s="573"/>
      <c r="FO174" s="573"/>
      <c r="FP174" s="573"/>
      <c r="FQ174" s="573"/>
      <c r="FR174" s="573"/>
      <c r="FS174" s="573"/>
      <c r="FT174" s="573"/>
      <c r="FU174" s="573"/>
      <c r="FV174" s="573"/>
      <c r="FW174" s="573"/>
      <c r="FX174" s="573"/>
      <c r="FY174" s="573"/>
      <c r="FZ174" s="573"/>
      <c r="GA174" s="573"/>
      <c r="GB174" s="573"/>
      <c r="GC174" s="573"/>
      <c r="GD174" s="573"/>
      <c r="GE174" s="573"/>
      <c r="GF174" s="573"/>
      <c r="GG174" s="573"/>
      <c r="GH174" s="573"/>
      <c r="GI174" s="573"/>
      <c r="GJ174" s="573"/>
      <c r="GK174" s="573"/>
      <c r="GL174" s="573"/>
      <c r="GM174" s="573"/>
      <c r="GN174" s="573"/>
      <c r="GO174" s="573"/>
      <c r="GP174" s="573"/>
      <c r="GQ174" s="573"/>
      <c r="GR174" s="573"/>
      <c r="GS174" s="573"/>
      <c r="GT174" s="573"/>
      <c r="GU174" s="573"/>
      <c r="GV174" s="573"/>
      <c r="GW174" s="573"/>
      <c r="GX174" s="573"/>
      <c r="GY174" s="573"/>
      <c r="GZ174" s="573"/>
      <c r="HA174" s="573"/>
      <c r="HB174" s="573"/>
      <c r="HC174" s="573"/>
      <c r="HD174" s="573"/>
      <c r="HE174" s="573"/>
      <c r="HF174" s="573"/>
      <c r="HG174" s="573"/>
      <c r="HH174" s="573"/>
      <c r="HI174" s="573"/>
      <c r="HJ174" s="573"/>
      <c r="HK174" s="573"/>
      <c r="HL174" s="573"/>
      <c r="HM174" s="573"/>
      <c r="HN174" s="573"/>
      <c r="HO174" s="573"/>
      <c r="HP174" s="573"/>
      <c r="HQ174" s="573"/>
      <c r="HR174" s="573"/>
      <c r="HS174" s="573"/>
      <c r="HT174" s="573"/>
      <c r="HU174" s="573"/>
      <c r="HV174" s="573"/>
      <c r="HW174" s="573"/>
      <c r="HX174" s="573"/>
      <c r="HY174" s="573"/>
      <c r="HZ174" s="573"/>
      <c r="IA174" s="573"/>
      <c r="IB174" s="573"/>
      <c r="IC174" s="573"/>
      <c r="ID174" s="573"/>
      <c r="IE174" s="573"/>
      <c r="IF174" s="573"/>
      <c r="IG174" s="573"/>
      <c r="IH174" s="573"/>
      <c r="II174" s="573"/>
      <c r="IJ174" s="573"/>
      <c r="IK174" s="573"/>
      <c r="IL174" s="573"/>
      <c r="IM174" s="573"/>
      <c r="IN174" s="573"/>
      <c r="IO174" s="573"/>
      <c r="IP174" s="573"/>
      <c r="IQ174" s="573"/>
      <c r="IR174" s="573"/>
      <c r="IS174" s="573"/>
      <c r="IT174" s="573"/>
      <c r="IU174" s="573"/>
      <c r="IV174" s="573"/>
    </row>
    <row r="175" spans="1:256" s="702" customFormat="1" x14ac:dyDescent="0.25">
      <c r="A175" s="604"/>
      <c r="B175" s="605" t="s">
        <v>231</v>
      </c>
      <c r="C175" s="605"/>
      <c r="D175" s="605"/>
      <c r="E175" s="605"/>
      <c r="F175" s="605"/>
      <c r="G175" s="605"/>
      <c r="H175" s="605"/>
      <c r="I175" s="605"/>
      <c r="J175" s="605"/>
      <c r="K175" s="605"/>
      <c r="L175" s="605"/>
      <c r="M175" s="605"/>
      <c r="N175" s="605"/>
      <c r="O175" s="605"/>
      <c r="P175" s="605"/>
      <c r="Q175" s="605"/>
      <c r="R175" s="605"/>
      <c r="S175" s="605"/>
      <c r="T175" s="605"/>
      <c r="U175" s="605"/>
      <c r="V175" s="663">
        <f>+'Aug 08'!V173</f>
        <v>0</v>
      </c>
      <c r="W175" s="607"/>
      <c r="X175" s="588"/>
      <c r="Y175" s="589"/>
      <c r="Z175" s="589"/>
      <c r="AA175" s="589"/>
      <c r="AB175" s="589"/>
      <c r="AC175" s="589"/>
      <c r="AD175" s="589"/>
      <c r="AE175" s="589"/>
      <c r="AF175" s="589"/>
      <c r="AG175" s="589"/>
      <c r="AH175" s="589"/>
      <c r="AI175" s="589"/>
      <c r="AJ175" s="589"/>
      <c r="AK175" s="589"/>
      <c r="AL175" s="589"/>
      <c r="AM175" s="589"/>
      <c r="AN175" s="589"/>
      <c r="AO175" s="589"/>
      <c r="AP175" s="589"/>
      <c r="AQ175" s="589"/>
      <c r="AR175" s="589"/>
      <c r="AS175" s="589"/>
      <c r="AT175" s="589"/>
      <c r="AU175" s="589"/>
      <c r="AV175" s="589"/>
      <c r="AW175" s="589"/>
      <c r="AX175" s="589"/>
      <c r="AY175" s="589"/>
      <c r="AZ175" s="589"/>
      <c r="BA175" s="589"/>
      <c r="BB175" s="589"/>
      <c r="BC175" s="589"/>
      <c r="BD175" s="589"/>
      <c r="BE175" s="589"/>
      <c r="BF175" s="589"/>
      <c r="BG175" s="589"/>
      <c r="BH175" s="589"/>
      <c r="BI175" s="589"/>
      <c r="BJ175" s="589"/>
      <c r="BK175" s="589"/>
      <c r="BL175" s="589"/>
      <c r="BM175" s="589"/>
      <c r="BN175" s="589"/>
      <c r="BO175" s="589"/>
      <c r="BP175" s="589"/>
      <c r="BQ175" s="589"/>
      <c r="BR175" s="589"/>
      <c r="BS175" s="589"/>
      <c r="BT175" s="589"/>
      <c r="BU175" s="589"/>
      <c r="BV175" s="589"/>
      <c r="BW175" s="589"/>
      <c r="BX175" s="589"/>
      <c r="BY175" s="589"/>
      <c r="BZ175" s="589"/>
      <c r="CA175" s="589"/>
      <c r="CB175" s="589"/>
      <c r="CC175" s="589"/>
      <c r="CD175" s="589"/>
      <c r="CE175" s="589"/>
      <c r="CF175" s="589"/>
      <c r="CG175" s="589"/>
      <c r="CH175" s="589"/>
      <c r="CI175" s="589"/>
      <c r="CJ175" s="589"/>
      <c r="CK175" s="589"/>
      <c r="CL175" s="589"/>
      <c r="CM175" s="589"/>
      <c r="CN175" s="589"/>
      <c r="CO175" s="589"/>
      <c r="CP175" s="589"/>
      <c r="CQ175" s="589"/>
      <c r="CR175" s="589"/>
      <c r="CS175" s="589"/>
      <c r="CT175" s="589"/>
      <c r="CU175" s="589"/>
      <c r="CV175" s="589"/>
      <c r="CW175" s="589"/>
      <c r="CX175" s="589"/>
      <c r="CY175" s="589"/>
      <c r="CZ175" s="589"/>
      <c r="DA175" s="589"/>
      <c r="DB175" s="589"/>
      <c r="DC175" s="589"/>
      <c r="DD175" s="589"/>
      <c r="DE175" s="589"/>
      <c r="DF175" s="589"/>
      <c r="DG175" s="589"/>
      <c r="DH175" s="589"/>
      <c r="DI175" s="589"/>
      <c r="DJ175" s="589"/>
      <c r="DK175" s="589"/>
      <c r="DL175" s="589"/>
      <c r="DM175" s="589"/>
      <c r="DN175" s="589"/>
      <c r="DO175" s="589"/>
      <c r="DP175" s="589"/>
      <c r="DQ175" s="589"/>
      <c r="DR175" s="589"/>
      <c r="DS175" s="589"/>
      <c r="DT175" s="589"/>
      <c r="DU175" s="589"/>
      <c r="DV175" s="589"/>
      <c r="DW175" s="589"/>
      <c r="DX175" s="589"/>
      <c r="DY175" s="589"/>
      <c r="DZ175" s="589"/>
      <c r="EA175" s="589"/>
      <c r="EB175" s="589"/>
      <c r="EC175" s="589"/>
      <c r="ED175" s="589"/>
      <c r="EE175" s="589"/>
      <c r="EF175" s="589"/>
      <c r="EG175" s="589"/>
      <c r="EH175" s="589"/>
      <c r="EI175" s="589"/>
      <c r="EJ175" s="589"/>
      <c r="EK175" s="589"/>
      <c r="EL175" s="589"/>
      <c r="EM175" s="589"/>
      <c r="EN175" s="589"/>
      <c r="EO175" s="589"/>
      <c r="EP175" s="589"/>
      <c r="EQ175" s="589"/>
      <c r="ER175" s="589"/>
      <c r="ES175" s="589"/>
      <c r="ET175" s="589"/>
      <c r="EU175" s="589"/>
      <c r="EV175" s="589"/>
      <c r="EW175" s="589"/>
      <c r="EX175" s="589"/>
      <c r="EY175" s="589"/>
      <c r="EZ175" s="589"/>
      <c r="FA175" s="589"/>
      <c r="FB175" s="589"/>
      <c r="FC175" s="589"/>
      <c r="FD175" s="589"/>
      <c r="FE175" s="589"/>
      <c r="FF175" s="589"/>
      <c r="FG175" s="589"/>
      <c r="FH175" s="589"/>
      <c r="FI175" s="589"/>
      <c r="FJ175" s="589"/>
      <c r="FK175" s="589"/>
      <c r="FL175" s="589"/>
      <c r="FM175" s="589"/>
      <c r="FN175" s="589"/>
      <c r="FO175" s="589"/>
      <c r="FP175" s="589"/>
      <c r="FQ175" s="589"/>
      <c r="FR175" s="589"/>
      <c r="FS175" s="589"/>
      <c r="FT175" s="589"/>
      <c r="FU175" s="589"/>
      <c r="FV175" s="589"/>
      <c r="FW175" s="589"/>
      <c r="FX175" s="589"/>
      <c r="FY175" s="589"/>
      <c r="FZ175" s="589"/>
      <c r="GA175" s="589"/>
      <c r="GB175" s="589"/>
      <c r="GC175" s="589"/>
      <c r="GD175" s="589"/>
      <c r="GE175" s="589"/>
      <c r="GF175" s="589"/>
      <c r="GG175" s="589"/>
      <c r="GH175" s="589"/>
      <c r="GI175" s="589"/>
      <c r="GJ175" s="589"/>
      <c r="GK175" s="589"/>
      <c r="GL175" s="589"/>
      <c r="GM175" s="589"/>
      <c r="GN175" s="589"/>
      <c r="GO175" s="589"/>
      <c r="GP175" s="589"/>
      <c r="GQ175" s="589"/>
      <c r="GR175" s="589"/>
      <c r="GS175" s="589"/>
      <c r="GT175" s="589"/>
      <c r="GU175" s="589"/>
      <c r="GV175" s="589"/>
      <c r="GW175" s="589"/>
      <c r="GX175" s="589"/>
      <c r="GY175" s="589"/>
      <c r="GZ175" s="589"/>
      <c r="HA175" s="589"/>
      <c r="HB175" s="589"/>
      <c r="HC175" s="589"/>
      <c r="HD175" s="589"/>
      <c r="HE175" s="589"/>
      <c r="HF175" s="589"/>
      <c r="HG175" s="589"/>
      <c r="HH175" s="589"/>
      <c r="HI175" s="589"/>
      <c r="HJ175" s="589"/>
      <c r="HK175" s="589"/>
      <c r="HL175" s="589"/>
      <c r="HM175" s="589"/>
      <c r="HN175" s="589"/>
      <c r="HO175" s="589"/>
      <c r="HP175" s="589"/>
      <c r="HQ175" s="589"/>
      <c r="HR175" s="589"/>
      <c r="HS175" s="589"/>
      <c r="HT175" s="589"/>
      <c r="HU175" s="589"/>
      <c r="HV175" s="589"/>
      <c r="HW175" s="589"/>
      <c r="HX175" s="589"/>
      <c r="HY175" s="589"/>
      <c r="HZ175" s="589"/>
      <c r="IA175" s="589"/>
      <c r="IB175" s="589"/>
      <c r="IC175" s="589"/>
      <c r="ID175" s="589"/>
      <c r="IE175" s="589"/>
      <c r="IF175" s="589"/>
      <c r="IG175" s="589"/>
      <c r="IH175" s="589"/>
      <c r="II175" s="589"/>
      <c r="IJ175" s="589"/>
      <c r="IK175" s="589"/>
      <c r="IL175" s="589"/>
      <c r="IM175" s="589"/>
      <c r="IN175" s="589"/>
      <c r="IO175" s="589"/>
      <c r="IP175" s="589"/>
      <c r="IQ175" s="589"/>
      <c r="IR175" s="589"/>
      <c r="IS175" s="589"/>
      <c r="IT175" s="589"/>
      <c r="IU175" s="589"/>
      <c r="IV175" s="589"/>
    </row>
    <row r="176" spans="1:256" s="702" customFormat="1" x14ac:dyDescent="0.25">
      <c r="A176" s="604"/>
      <c r="B176" s="605" t="s">
        <v>234</v>
      </c>
      <c r="C176" s="605"/>
      <c r="D176" s="605"/>
      <c r="E176" s="605"/>
      <c r="F176" s="605"/>
      <c r="G176" s="605"/>
      <c r="H176" s="605"/>
      <c r="I176" s="605"/>
      <c r="J176" s="605"/>
      <c r="K176" s="605"/>
      <c r="L176" s="605"/>
      <c r="M176" s="605"/>
      <c r="N176" s="605"/>
      <c r="O176" s="605"/>
      <c r="P176" s="605"/>
      <c r="Q176" s="605"/>
      <c r="R176" s="605"/>
      <c r="S176" s="605"/>
      <c r="T176" s="605"/>
      <c r="U176" s="605"/>
      <c r="V176" s="663">
        <f>+V94</f>
        <v>0</v>
      </c>
      <c r="W176" s="607"/>
      <c r="X176" s="588"/>
      <c r="Y176" s="589"/>
      <c r="Z176" s="589"/>
      <c r="AA176" s="589"/>
      <c r="AB176" s="589"/>
      <c r="AC176" s="589"/>
      <c r="AD176" s="589"/>
      <c r="AE176" s="589"/>
      <c r="AF176" s="589"/>
      <c r="AG176" s="589"/>
      <c r="AH176" s="589"/>
      <c r="AI176" s="589"/>
      <c r="AJ176" s="589"/>
      <c r="AK176" s="589"/>
      <c r="AL176" s="589"/>
      <c r="AM176" s="589"/>
      <c r="AN176" s="589"/>
      <c r="AO176" s="589"/>
      <c r="AP176" s="589"/>
      <c r="AQ176" s="589"/>
      <c r="AR176" s="589"/>
      <c r="AS176" s="589"/>
      <c r="AT176" s="589"/>
      <c r="AU176" s="589"/>
      <c r="AV176" s="589"/>
      <c r="AW176" s="589"/>
      <c r="AX176" s="589"/>
      <c r="AY176" s="589"/>
      <c r="AZ176" s="589"/>
      <c r="BA176" s="589"/>
      <c r="BB176" s="589"/>
      <c r="BC176" s="589"/>
      <c r="BD176" s="589"/>
      <c r="BE176" s="589"/>
      <c r="BF176" s="589"/>
      <c r="BG176" s="589"/>
      <c r="BH176" s="589"/>
      <c r="BI176" s="589"/>
      <c r="BJ176" s="589"/>
      <c r="BK176" s="589"/>
      <c r="BL176" s="589"/>
      <c r="BM176" s="589"/>
      <c r="BN176" s="589"/>
      <c r="BO176" s="589"/>
      <c r="BP176" s="589"/>
      <c r="BQ176" s="589"/>
      <c r="BR176" s="589"/>
      <c r="BS176" s="589"/>
      <c r="BT176" s="589"/>
      <c r="BU176" s="589"/>
      <c r="BV176" s="589"/>
      <c r="BW176" s="589"/>
      <c r="BX176" s="589"/>
      <c r="BY176" s="589"/>
      <c r="BZ176" s="589"/>
      <c r="CA176" s="589"/>
      <c r="CB176" s="589"/>
      <c r="CC176" s="589"/>
      <c r="CD176" s="589"/>
      <c r="CE176" s="589"/>
      <c r="CF176" s="589"/>
      <c r="CG176" s="589"/>
      <c r="CH176" s="589"/>
      <c r="CI176" s="589"/>
      <c r="CJ176" s="589"/>
      <c r="CK176" s="589"/>
      <c r="CL176" s="589"/>
      <c r="CM176" s="589"/>
      <c r="CN176" s="589"/>
      <c r="CO176" s="589"/>
      <c r="CP176" s="589"/>
      <c r="CQ176" s="589"/>
      <c r="CR176" s="589"/>
      <c r="CS176" s="589"/>
      <c r="CT176" s="589"/>
      <c r="CU176" s="589"/>
      <c r="CV176" s="589"/>
      <c r="CW176" s="589"/>
      <c r="CX176" s="589"/>
      <c r="CY176" s="589"/>
      <c r="CZ176" s="589"/>
      <c r="DA176" s="589"/>
      <c r="DB176" s="589"/>
      <c r="DC176" s="589"/>
      <c r="DD176" s="589"/>
      <c r="DE176" s="589"/>
      <c r="DF176" s="589"/>
      <c r="DG176" s="589"/>
      <c r="DH176" s="589"/>
      <c r="DI176" s="589"/>
      <c r="DJ176" s="589"/>
      <c r="DK176" s="589"/>
      <c r="DL176" s="589"/>
      <c r="DM176" s="589"/>
      <c r="DN176" s="589"/>
      <c r="DO176" s="589"/>
      <c r="DP176" s="589"/>
      <c r="DQ176" s="589"/>
      <c r="DR176" s="589"/>
      <c r="DS176" s="589"/>
      <c r="DT176" s="589"/>
      <c r="DU176" s="589"/>
      <c r="DV176" s="589"/>
      <c r="DW176" s="589"/>
      <c r="DX176" s="589"/>
      <c r="DY176" s="589"/>
      <c r="DZ176" s="589"/>
      <c r="EA176" s="589"/>
      <c r="EB176" s="589"/>
      <c r="EC176" s="589"/>
      <c r="ED176" s="589"/>
      <c r="EE176" s="589"/>
      <c r="EF176" s="589"/>
      <c r="EG176" s="589"/>
      <c r="EH176" s="589"/>
      <c r="EI176" s="589"/>
      <c r="EJ176" s="589"/>
      <c r="EK176" s="589"/>
      <c r="EL176" s="589"/>
      <c r="EM176" s="589"/>
      <c r="EN176" s="589"/>
      <c r="EO176" s="589"/>
      <c r="EP176" s="589"/>
      <c r="EQ176" s="589"/>
      <c r="ER176" s="589"/>
      <c r="ES176" s="589"/>
      <c r="ET176" s="589"/>
      <c r="EU176" s="589"/>
      <c r="EV176" s="589"/>
      <c r="EW176" s="589"/>
      <c r="EX176" s="589"/>
      <c r="EY176" s="589"/>
      <c r="EZ176" s="589"/>
      <c r="FA176" s="589"/>
      <c r="FB176" s="589"/>
      <c r="FC176" s="589"/>
      <c r="FD176" s="589"/>
      <c r="FE176" s="589"/>
      <c r="FF176" s="589"/>
      <c r="FG176" s="589"/>
      <c r="FH176" s="589"/>
      <c r="FI176" s="589"/>
      <c r="FJ176" s="589"/>
      <c r="FK176" s="589"/>
      <c r="FL176" s="589"/>
      <c r="FM176" s="589"/>
      <c r="FN176" s="589"/>
      <c r="FO176" s="589"/>
      <c r="FP176" s="589"/>
      <c r="FQ176" s="589"/>
      <c r="FR176" s="589"/>
      <c r="FS176" s="589"/>
      <c r="FT176" s="589"/>
      <c r="FU176" s="589"/>
      <c r="FV176" s="589"/>
      <c r="FW176" s="589"/>
      <c r="FX176" s="589"/>
      <c r="FY176" s="589"/>
      <c r="FZ176" s="589"/>
      <c r="GA176" s="589"/>
      <c r="GB176" s="589"/>
      <c r="GC176" s="589"/>
      <c r="GD176" s="589"/>
      <c r="GE176" s="589"/>
      <c r="GF176" s="589"/>
      <c r="GG176" s="589"/>
      <c r="GH176" s="589"/>
      <c r="GI176" s="589"/>
      <c r="GJ176" s="589"/>
      <c r="GK176" s="589"/>
      <c r="GL176" s="589"/>
      <c r="GM176" s="589"/>
      <c r="GN176" s="589"/>
      <c r="GO176" s="589"/>
      <c r="GP176" s="589"/>
      <c r="GQ176" s="589"/>
      <c r="GR176" s="589"/>
      <c r="GS176" s="589"/>
      <c r="GT176" s="589"/>
      <c r="GU176" s="589"/>
      <c r="GV176" s="589"/>
      <c r="GW176" s="589"/>
      <c r="GX176" s="589"/>
      <c r="GY176" s="589"/>
      <c r="GZ176" s="589"/>
      <c r="HA176" s="589"/>
      <c r="HB176" s="589"/>
      <c r="HC176" s="589"/>
      <c r="HD176" s="589"/>
      <c r="HE176" s="589"/>
      <c r="HF176" s="589"/>
      <c r="HG176" s="589"/>
      <c r="HH176" s="589"/>
      <c r="HI176" s="589"/>
      <c r="HJ176" s="589"/>
      <c r="HK176" s="589"/>
      <c r="HL176" s="589"/>
      <c r="HM176" s="589"/>
      <c r="HN176" s="589"/>
      <c r="HO176" s="589"/>
      <c r="HP176" s="589"/>
      <c r="HQ176" s="589"/>
      <c r="HR176" s="589"/>
      <c r="HS176" s="589"/>
      <c r="HT176" s="589"/>
      <c r="HU176" s="589"/>
      <c r="HV176" s="589"/>
      <c r="HW176" s="589"/>
      <c r="HX176" s="589"/>
      <c r="HY176" s="589"/>
      <c r="HZ176" s="589"/>
      <c r="IA176" s="589"/>
      <c r="IB176" s="589"/>
      <c r="IC176" s="589"/>
      <c r="ID176" s="589"/>
      <c r="IE176" s="589"/>
      <c r="IF176" s="589"/>
      <c r="IG176" s="589"/>
      <c r="IH176" s="589"/>
      <c r="II176" s="589"/>
      <c r="IJ176" s="589"/>
      <c r="IK176" s="589"/>
      <c r="IL176" s="589"/>
      <c r="IM176" s="589"/>
      <c r="IN176" s="589"/>
      <c r="IO176" s="589"/>
      <c r="IP176" s="589"/>
      <c r="IQ176" s="589"/>
      <c r="IR176" s="589"/>
      <c r="IS176" s="589"/>
      <c r="IT176" s="589"/>
      <c r="IU176" s="589"/>
      <c r="IV176" s="589"/>
    </row>
    <row r="177" spans="1:256" s="702" customFormat="1" x14ac:dyDescent="0.25">
      <c r="A177" s="604"/>
      <c r="B177" s="605" t="s">
        <v>232</v>
      </c>
      <c r="C177" s="605"/>
      <c r="D177" s="605"/>
      <c r="E177" s="605"/>
      <c r="F177" s="605"/>
      <c r="G177" s="605"/>
      <c r="H177" s="605"/>
      <c r="I177" s="605"/>
      <c r="J177" s="605"/>
      <c r="K177" s="605"/>
      <c r="L177" s="605"/>
      <c r="M177" s="605"/>
      <c r="N177" s="605"/>
      <c r="O177" s="605"/>
      <c r="P177" s="605"/>
      <c r="Q177" s="605"/>
      <c r="R177" s="605"/>
      <c r="S177" s="605"/>
      <c r="T177" s="605"/>
      <c r="U177" s="605"/>
      <c r="V177" s="663">
        <f>+V175-V176</f>
        <v>0</v>
      </c>
      <c r="W177" s="607"/>
      <c r="X177" s="588"/>
      <c r="Y177" s="589"/>
      <c r="Z177" s="589"/>
      <c r="AA177" s="589"/>
      <c r="AB177" s="589"/>
      <c r="AC177" s="589"/>
      <c r="AD177" s="589"/>
      <c r="AE177" s="589"/>
      <c r="AF177" s="589"/>
      <c r="AG177" s="589"/>
      <c r="AH177" s="589"/>
      <c r="AI177" s="589"/>
      <c r="AJ177" s="589"/>
      <c r="AK177" s="589"/>
      <c r="AL177" s="589"/>
      <c r="AM177" s="589"/>
      <c r="AN177" s="589"/>
      <c r="AO177" s="589"/>
      <c r="AP177" s="589"/>
      <c r="AQ177" s="589"/>
      <c r="AR177" s="589"/>
      <c r="AS177" s="589"/>
      <c r="AT177" s="589"/>
      <c r="AU177" s="589"/>
      <c r="AV177" s="589"/>
      <c r="AW177" s="589"/>
      <c r="AX177" s="589"/>
      <c r="AY177" s="589"/>
      <c r="AZ177" s="589"/>
      <c r="BA177" s="589"/>
      <c r="BB177" s="589"/>
      <c r="BC177" s="589"/>
      <c r="BD177" s="589"/>
      <c r="BE177" s="589"/>
      <c r="BF177" s="589"/>
      <c r="BG177" s="589"/>
      <c r="BH177" s="589"/>
      <c r="BI177" s="589"/>
      <c r="BJ177" s="589"/>
      <c r="BK177" s="589"/>
      <c r="BL177" s="589"/>
      <c r="BM177" s="589"/>
      <c r="BN177" s="589"/>
      <c r="BO177" s="589"/>
      <c r="BP177" s="589"/>
      <c r="BQ177" s="589"/>
      <c r="BR177" s="589"/>
      <c r="BS177" s="589"/>
      <c r="BT177" s="589"/>
      <c r="BU177" s="589"/>
      <c r="BV177" s="589"/>
      <c r="BW177" s="589"/>
      <c r="BX177" s="589"/>
      <c r="BY177" s="589"/>
      <c r="BZ177" s="589"/>
      <c r="CA177" s="589"/>
      <c r="CB177" s="589"/>
      <c r="CC177" s="589"/>
      <c r="CD177" s="589"/>
      <c r="CE177" s="589"/>
      <c r="CF177" s="589"/>
      <c r="CG177" s="589"/>
      <c r="CH177" s="589"/>
      <c r="CI177" s="589"/>
      <c r="CJ177" s="589"/>
      <c r="CK177" s="589"/>
      <c r="CL177" s="589"/>
      <c r="CM177" s="589"/>
      <c r="CN177" s="589"/>
      <c r="CO177" s="589"/>
      <c r="CP177" s="589"/>
      <c r="CQ177" s="589"/>
      <c r="CR177" s="589"/>
      <c r="CS177" s="589"/>
      <c r="CT177" s="589"/>
      <c r="CU177" s="589"/>
      <c r="CV177" s="589"/>
      <c r="CW177" s="589"/>
      <c r="CX177" s="589"/>
      <c r="CY177" s="589"/>
      <c r="CZ177" s="589"/>
      <c r="DA177" s="589"/>
      <c r="DB177" s="589"/>
      <c r="DC177" s="589"/>
      <c r="DD177" s="589"/>
      <c r="DE177" s="589"/>
      <c r="DF177" s="589"/>
      <c r="DG177" s="589"/>
      <c r="DH177" s="589"/>
      <c r="DI177" s="589"/>
      <c r="DJ177" s="589"/>
      <c r="DK177" s="589"/>
      <c r="DL177" s="589"/>
      <c r="DM177" s="589"/>
      <c r="DN177" s="589"/>
      <c r="DO177" s="589"/>
      <c r="DP177" s="589"/>
      <c r="DQ177" s="589"/>
      <c r="DR177" s="589"/>
      <c r="DS177" s="589"/>
      <c r="DT177" s="589"/>
      <c r="DU177" s="589"/>
      <c r="DV177" s="589"/>
      <c r="DW177" s="589"/>
      <c r="DX177" s="589"/>
      <c r="DY177" s="589"/>
      <c r="DZ177" s="589"/>
      <c r="EA177" s="589"/>
      <c r="EB177" s="589"/>
      <c r="EC177" s="589"/>
      <c r="ED177" s="589"/>
      <c r="EE177" s="589"/>
      <c r="EF177" s="589"/>
      <c r="EG177" s="589"/>
      <c r="EH177" s="589"/>
      <c r="EI177" s="589"/>
      <c r="EJ177" s="589"/>
      <c r="EK177" s="589"/>
      <c r="EL177" s="589"/>
      <c r="EM177" s="589"/>
      <c r="EN177" s="589"/>
      <c r="EO177" s="589"/>
      <c r="EP177" s="589"/>
      <c r="EQ177" s="589"/>
      <c r="ER177" s="589"/>
      <c r="ES177" s="589"/>
      <c r="ET177" s="589"/>
      <c r="EU177" s="589"/>
      <c r="EV177" s="589"/>
      <c r="EW177" s="589"/>
      <c r="EX177" s="589"/>
      <c r="EY177" s="589"/>
      <c r="EZ177" s="589"/>
      <c r="FA177" s="589"/>
      <c r="FB177" s="589"/>
      <c r="FC177" s="589"/>
      <c r="FD177" s="589"/>
      <c r="FE177" s="589"/>
      <c r="FF177" s="589"/>
      <c r="FG177" s="589"/>
      <c r="FH177" s="589"/>
      <c r="FI177" s="589"/>
      <c r="FJ177" s="589"/>
      <c r="FK177" s="589"/>
      <c r="FL177" s="589"/>
      <c r="FM177" s="589"/>
      <c r="FN177" s="589"/>
      <c r="FO177" s="589"/>
      <c r="FP177" s="589"/>
      <c r="FQ177" s="589"/>
      <c r="FR177" s="589"/>
      <c r="FS177" s="589"/>
      <c r="FT177" s="589"/>
      <c r="FU177" s="589"/>
      <c r="FV177" s="589"/>
      <c r="FW177" s="589"/>
      <c r="FX177" s="589"/>
      <c r="FY177" s="589"/>
      <c r="FZ177" s="589"/>
      <c r="GA177" s="589"/>
      <c r="GB177" s="589"/>
      <c r="GC177" s="589"/>
      <c r="GD177" s="589"/>
      <c r="GE177" s="589"/>
      <c r="GF177" s="589"/>
      <c r="GG177" s="589"/>
      <c r="GH177" s="589"/>
      <c r="GI177" s="589"/>
      <c r="GJ177" s="589"/>
      <c r="GK177" s="589"/>
      <c r="GL177" s="589"/>
      <c r="GM177" s="589"/>
      <c r="GN177" s="589"/>
      <c r="GO177" s="589"/>
      <c r="GP177" s="589"/>
      <c r="GQ177" s="589"/>
      <c r="GR177" s="589"/>
      <c r="GS177" s="589"/>
      <c r="GT177" s="589"/>
      <c r="GU177" s="589"/>
      <c r="GV177" s="589"/>
      <c r="GW177" s="589"/>
      <c r="GX177" s="589"/>
      <c r="GY177" s="589"/>
      <c r="GZ177" s="589"/>
      <c r="HA177" s="589"/>
      <c r="HB177" s="589"/>
      <c r="HC177" s="589"/>
      <c r="HD177" s="589"/>
      <c r="HE177" s="589"/>
      <c r="HF177" s="589"/>
      <c r="HG177" s="589"/>
      <c r="HH177" s="589"/>
      <c r="HI177" s="589"/>
      <c r="HJ177" s="589"/>
      <c r="HK177" s="589"/>
      <c r="HL177" s="589"/>
      <c r="HM177" s="589"/>
      <c r="HN177" s="589"/>
      <c r="HO177" s="589"/>
      <c r="HP177" s="589"/>
      <c r="HQ177" s="589"/>
      <c r="HR177" s="589"/>
      <c r="HS177" s="589"/>
      <c r="HT177" s="589"/>
      <c r="HU177" s="589"/>
      <c r="HV177" s="589"/>
      <c r="HW177" s="589"/>
      <c r="HX177" s="589"/>
      <c r="HY177" s="589"/>
      <c r="HZ177" s="589"/>
      <c r="IA177" s="589"/>
      <c r="IB177" s="589"/>
      <c r="IC177" s="589"/>
      <c r="ID177" s="589"/>
      <c r="IE177" s="589"/>
      <c r="IF177" s="589"/>
      <c r="IG177" s="589"/>
      <c r="IH177" s="589"/>
      <c r="II177" s="589"/>
      <c r="IJ177" s="589"/>
      <c r="IK177" s="589"/>
      <c r="IL177" s="589"/>
      <c r="IM177" s="589"/>
      <c r="IN177" s="589"/>
      <c r="IO177" s="589"/>
      <c r="IP177" s="589"/>
      <c r="IQ177" s="589"/>
      <c r="IR177" s="589"/>
      <c r="IS177" s="589"/>
      <c r="IT177" s="589"/>
      <c r="IU177" s="589"/>
      <c r="IV177" s="589"/>
    </row>
    <row r="178" spans="1:256" s="704" customFormat="1" ht="16.5" thickBot="1" x14ac:dyDescent="0.3">
      <c r="A178" s="703"/>
      <c r="B178" s="664"/>
      <c r="C178" s="664"/>
      <c r="D178" s="664"/>
      <c r="E178" s="664"/>
      <c r="F178" s="664"/>
      <c r="G178" s="664"/>
      <c r="H178" s="664"/>
      <c r="I178" s="664"/>
      <c r="J178" s="664"/>
      <c r="K178" s="664"/>
      <c r="L178" s="664"/>
      <c r="M178" s="664"/>
      <c r="N178" s="664"/>
      <c r="O178" s="664"/>
      <c r="P178" s="664"/>
      <c r="Q178" s="664"/>
      <c r="R178" s="664"/>
      <c r="S178" s="664"/>
      <c r="T178" s="664"/>
      <c r="U178" s="664"/>
      <c r="V178" s="696"/>
      <c r="W178" s="664"/>
      <c r="X178" s="572"/>
      <c r="Y178" s="573"/>
      <c r="Z178" s="573"/>
      <c r="AA178" s="573"/>
      <c r="AB178" s="573"/>
      <c r="AC178" s="573"/>
      <c r="AD178" s="573"/>
      <c r="AE178" s="573"/>
      <c r="AF178" s="573"/>
      <c r="AG178" s="573"/>
      <c r="AH178" s="573"/>
      <c r="AI178" s="573"/>
      <c r="AJ178" s="573"/>
      <c r="AK178" s="573"/>
      <c r="AL178" s="573"/>
      <c r="AM178" s="573"/>
      <c r="AN178" s="573"/>
      <c r="AO178" s="573"/>
      <c r="AP178" s="573"/>
      <c r="AQ178" s="573"/>
      <c r="AR178" s="573"/>
      <c r="AS178" s="573"/>
      <c r="AT178" s="573"/>
      <c r="AU178" s="573"/>
      <c r="AV178" s="573"/>
      <c r="AW178" s="573"/>
      <c r="AX178" s="573"/>
      <c r="AY178" s="573"/>
      <c r="AZ178" s="573"/>
      <c r="BA178" s="573"/>
      <c r="BB178" s="573"/>
      <c r="BC178" s="573"/>
      <c r="BD178" s="573"/>
      <c r="BE178" s="573"/>
      <c r="BF178" s="573"/>
      <c r="BG178" s="573"/>
      <c r="BH178" s="573"/>
      <c r="BI178" s="573"/>
      <c r="BJ178" s="573"/>
      <c r="BK178" s="573"/>
      <c r="BL178" s="573"/>
      <c r="BM178" s="573"/>
      <c r="BN178" s="573"/>
      <c r="BO178" s="573"/>
      <c r="BP178" s="573"/>
      <c r="BQ178" s="573"/>
      <c r="BR178" s="573"/>
      <c r="BS178" s="573"/>
      <c r="BT178" s="573"/>
      <c r="BU178" s="573"/>
      <c r="BV178" s="573"/>
      <c r="BW178" s="573"/>
      <c r="BX178" s="573"/>
      <c r="BY178" s="573"/>
      <c r="BZ178" s="573"/>
      <c r="CA178" s="573"/>
      <c r="CB178" s="573"/>
      <c r="CC178" s="573"/>
      <c r="CD178" s="573"/>
      <c r="CE178" s="573"/>
      <c r="CF178" s="573"/>
      <c r="CG178" s="573"/>
      <c r="CH178" s="573"/>
      <c r="CI178" s="573"/>
      <c r="CJ178" s="573"/>
      <c r="CK178" s="573"/>
      <c r="CL178" s="573"/>
      <c r="CM178" s="573"/>
      <c r="CN178" s="573"/>
      <c r="CO178" s="573"/>
      <c r="CP178" s="573"/>
      <c r="CQ178" s="573"/>
      <c r="CR178" s="573"/>
      <c r="CS178" s="573"/>
      <c r="CT178" s="573"/>
      <c r="CU178" s="573"/>
      <c r="CV178" s="573"/>
      <c r="CW178" s="573"/>
      <c r="CX178" s="573"/>
      <c r="CY178" s="573"/>
      <c r="CZ178" s="573"/>
      <c r="DA178" s="573"/>
      <c r="DB178" s="573"/>
      <c r="DC178" s="573"/>
      <c r="DD178" s="573"/>
      <c r="DE178" s="573"/>
      <c r="DF178" s="573"/>
      <c r="DG178" s="573"/>
      <c r="DH178" s="573"/>
      <c r="DI178" s="573"/>
      <c r="DJ178" s="573"/>
      <c r="DK178" s="573"/>
      <c r="DL178" s="573"/>
      <c r="DM178" s="573"/>
      <c r="DN178" s="573"/>
      <c r="DO178" s="573"/>
      <c r="DP178" s="573"/>
      <c r="DQ178" s="573"/>
      <c r="DR178" s="573"/>
      <c r="DS178" s="573"/>
      <c r="DT178" s="573"/>
      <c r="DU178" s="573"/>
      <c r="DV178" s="573"/>
      <c r="DW178" s="573"/>
      <c r="DX178" s="573"/>
      <c r="DY178" s="573"/>
      <c r="DZ178" s="573"/>
      <c r="EA178" s="573"/>
      <c r="EB178" s="573"/>
      <c r="EC178" s="573"/>
      <c r="ED178" s="573"/>
      <c r="EE178" s="573"/>
      <c r="EF178" s="573"/>
      <c r="EG178" s="573"/>
      <c r="EH178" s="573"/>
      <c r="EI178" s="573"/>
      <c r="EJ178" s="573"/>
      <c r="EK178" s="573"/>
      <c r="EL178" s="573"/>
      <c r="EM178" s="573"/>
      <c r="EN178" s="573"/>
      <c r="EO178" s="573"/>
      <c r="EP178" s="573"/>
      <c r="EQ178" s="573"/>
      <c r="ER178" s="573"/>
      <c r="ES178" s="573"/>
      <c r="ET178" s="573"/>
      <c r="EU178" s="573"/>
      <c r="EV178" s="573"/>
      <c r="EW178" s="573"/>
      <c r="EX178" s="573"/>
      <c r="EY178" s="573"/>
      <c r="EZ178" s="573"/>
      <c r="FA178" s="573"/>
      <c r="FB178" s="573"/>
      <c r="FC178" s="573"/>
      <c r="FD178" s="573"/>
      <c r="FE178" s="573"/>
      <c r="FF178" s="573"/>
      <c r="FG178" s="573"/>
      <c r="FH178" s="573"/>
      <c r="FI178" s="573"/>
      <c r="FJ178" s="573"/>
      <c r="FK178" s="573"/>
      <c r="FL178" s="573"/>
      <c r="FM178" s="573"/>
      <c r="FN178" s="573"/>
      <c r="FO178" s="573"/>
      <c r="FP178" s="573"/>
      <c r="FQ178" s="573"/>
      <c r="FR178" s="573"/>
      <c r="FS178" s="573"/>
      <c r="FT178" s="573"/>
      <c r="FU178" s="573"/>
      <c r="FV178" s="573"/>
      <c r="FW178" s="573"/>
      <c r="FX178" s="573"/>
      <c r="FY178" s="573"/>
      <c r="FZ178" s="573"/>
      <c r="GA178" s="573"/>
      <c r="GB178" s="573"/>
      <c r="GC178" s="573"/>
      <c r="GD178" s="573"/>
      <c r="GE178" s="573"/>
      <c r="GF178" s="573"/>
      <c r="GG178" s="573"/>
      <c r="GH178" s="573"/>
      <c r="GI178" s="573"/>
      <c r="GJ178" s="573"/>
      <c r="GK178" s="573"/>
      <c r="GL178" s="573"/>
      <c r="GM178" s="573"/>
      <c r="GN178" s="573"/>
      <c r="GO178" s="573"/>
      <c r="GP178" s="573"/>
      <c r="GQ178" s="573"/>
      <c r="GR178" s="573"/>
      <c r="GS178" s="573"/>
      <c r="GT178" s="573"/>
      <c r="GU178" s="573"/>
      <c r="GV178" s="573"/>
      <c r="GW178" s="573"/>
      <c r="GX178" s="573"/>
      <c r="GY178" s="573"/>
      <c r="GZ178" s="573"/>
      <c r="HA178" s="573"/>
      <c r="HB178" s="573"/>
      <c r="HC178" s="573"/>
      <c r="HD178" s="573"/>
      <c r="HE178" s="573"/>
      <c r="HF178" s="573"/>
      <c r="HG178" s="573"/>
      <c r="HH178" s="573"/>
      <c r="HI178" s="573"/>
      <c r="HJ178" s="573"/>
      <c r="HK178" s="573"/>
      <c r="HL178" s="573"/>
      <c r="HM178" s="573"/>
      <c r="HN178" s="573"/>
      <c r="HO178" s="573"/>
      <c r="HP178" s="573"/>
      <c r="HQ178" s="573"/>
      <c r="HR178" s="573"/>
      <c r="HS178" s="573"/>
      <c r="HT178" s="573"/>
      <c r="HU178" s="573"/>
      <c r="HV178" s="573"/>
      <c r="HW178" s="573"/>
      <c r="HX178" s="573"/>
      <c r="HY178" s="573"/>
      <c r="HZ178" s="573"/>
      <c r="IA178" s="573"/>
      <c r="IB178" s="573"/>
      <c r="IC178" s="573"/>
      <c r="ID178" s="573"/>
      <c r="IE178" s="573"/>
      <c r="IF178" s="573"/>
      <c r="IG178" s="573"/>
      <c r="IH178" s="573"/>
      <c r="II178" s="573"/>
      <c r="IJ178" s="573"/>
      <c r="IK178" s="573"/>
      <c r="IL178" s="573"/>
      <c r="IM178" s="573"/>
      <c r="IN178" s="573"/>
      <c r="IO178" s="573"/>
      <c r="IP178" s="573"/>
      <c r="IQ178" s="573"/>
      <c r="IR178" s="573"/>
      <c r="IS178" s="573"/>
      <c r="IT178" s="573"/>
      <c r="IU178" s="573"/>
      <c r="IV178" s="573"/>
    </row>
    <row r="179" spans="1:256" s="705" customFormat="1" x14ac:dyDescent="0.25">
      <c r="A179" s="569"/>
      <c r="B179" s="571"/>
      <c r="C179" s="571"/>
      <c r="D179" s="571"/>
      <c r="E179" s="571"/>
      <c r="F179" s="571"/>
      <c r="G179" s="571"/>
      <c r="H179" s="571"/>
      <c r="I179" s="571"/>
      <c r="J179" s="571"/>
      <c r="K179" s="571"/>
      <c r="L179" s="571"/>
      <c r="M179" s="571"/>
      <c r="N179" s="571"/>
      <c r="O179" s="571"/>
      <c r="P179" s="571"/>
      <c r="Q179" s="571"/>
      <c r="R179" s="571"/>
      <c r="S179" s="571"/>
      <c r="T179" s="571"/>
      <c r="U179" s="571"/>
      <c r="V179" s="699"/>
      <c r="W179" s="571"/>
      <c r="X179" s="572"/>
      <c r="Y179" s="573"/>
      <c r="Z179" s="573"/>
      <c r="AA179" s="573"/>
      <c r="AB179" s="573"/>
      <c r="AC179" s="573"/>
      <c r="AD179" s="573"/>
      <c r="AE179" s="573"/>
      <c r="AF179" s="573"/>
      <c r="AG179" s="573"/>
      <c r="AH179" s="573"/>
      <c r="AI179" s="573"/>
      <c r="AJ179" s="573"/>
      <c r="AK179" s="573"/>
      <c r="AL179" s="573"/>
      <c r="AM179" s="573"/>
      <c r="AN179" s="573"/>
      <c r="AO179" s="573"/>
      <c r="AP179" s="573"/>
      <c r="AQ179" s="573"/>
      <c r="AR179" s="573"/>
      <c r="AS179" s="573"/>
      <c r="AT179" s="573"/>
      <c r="AU179" s="573"/>
      <c r="AV179" s="573"/>
      <c r="AW179" s="573"/>
      <c r="AX179" s="573"/>
      <c r="AY179" s="573"/>
      <c r="AZ179" s="573"/>
      <c r="BA179" s="573"/>
      <c r="BB179" s="573"/>
      <c r="BC179" s="573"/>
      <c r="BD179" s="573"/>
      <c r="BE179" s="573"/>
      <c r="BF179" s="573"/>
      <c r="BG179" s="573"/>
      <c r="BH179" s="573"/>
      <c r="BI179" s="573"/>
      <c r="BJ179" s="573"/>
      <c r="BK179" s="573"/>
      <c r="BL179" s="573"/>
      <c r="BM179" s="573"/>
      <c r="BN179" s="573"/>
      <c r="BO179" s="573"/>
      <c r="BP179" s="573"/>
      <c r="BQ179" s="573"/>
      <c r="BR179" s="573"/>
      <c r="BS179" s="573"/>
      <c r="BT179" s="573"/>
      <c r="BU179" s="573"/>
      <c r="BV179" s="573"/>
      <c r="BW179" s="573"/>
      <c r="BX179" s="573"/>
      <c r="BY179" s="573"/>
      <c r="BZ179" s="573"/>
      <c r="CA179" s="573"/>
      <c r="CB179" s="573"/>
      <c r="CC179" s="573"/>
      <c r="CD179" s="573"/>
      <c r="CE179" s="573"/>
      <c r="CF179" s="573"/>
      <c r="CG179" s="573"/>
      <c r="CH179" s="573"/>
      <c r="CI179" s="573"/>
      <c r="CJ179" s="573"/>
      <c r="CK179" s="573"/>
      <c r="CL179" s="573"/>
      <c r="CM179" s="573"/>
      <c r="CN179" s="573"/>
      <c r="CO179" s="573"/>
      <c r="CP179" s="573"/>
      <c r="CQ179" s="573"/>
      <c r="CR179" s="573"/>
      <c r="CS179" s="573"/>
      <c r="CT179" s="573"/>
      <c r="CU179" s="573"/>
      <c r="CV179" s="573"/>
      <c r="CW179" s="573"/>
      <c r="CX179" s="573"/>
      <c r="CY179" s="573"/>
      <c r="CZ179" s="573"/>
      <c r="DA179" s="573"/>
      <c r="DB179" s="573"/>
      <c r="DC179" s="573"/>
      <c r="DD179" s="573"/>
      <c r="DE179" s="573"/>
      <c r="DF179" s="573"/>
      <c r="DG179" s="573"/>
      <c r="DH179" s="573"/>
      <c r="DI179" s="573"/>
      <c r="DJ179" s="573"/>
      <c r="DK179" s="573"/>
      <c r="DL179" s="573"/>
      <c r="DM179" s="573"/>
      <c r="DN179" s="573"/>
      <c r="DO179" s="573"/>
      <c r="DP179" s="573"/>
      <c r="DQ179" s="573"/>
      <c r="DR179" s="573"/>
      <c r="DS179" s="573"/>
      <c r="DT179" s="573"/>
      <c r="DU179" s="573"/>
      <c r="DV179" s="573"/>
      <c r="DW179" s="573"/>
      <c r="DX179" s="573"/>
      <c r="DY179" s="573"/>
      <c r="DZ179" s="573"/>
      <c r="EA179" s="573"/>
      <c r="EB179" s="573"/>
      <c r="EC179" s="573"/>
      <c r="ED179" s="573"/>
      <c r="EE179" s="573"/>
      <c r="EF179" s="573"/>
      <c r="EG179" s="573"/>
      <c r="EH179" s="573"/>
      <c r="EI179" s="573"/>
      <c r="EJ179" s="573"/>
      <c r="EK179" s="573"/>
      <c r="EL179" s="573"/>
      <c r="EM179" s="573"/>
      <c r="EN179" s="573"/>
      <c r="EO179" s="573"/>
      <c r="EP179" s="573"/>
      <c r="EQ179" s="573"/>
      <c r="ER179" s="573"/>
      <c r="ES179" s="573"/>
      <c r="ET179" s="573"/>
      <c r="EU179" s="573"/>
      <c r="EV179" s="573"/>
      <c r="EW179" s="573"/>
      <c r="EX179" s="573"/>
      <c r="EY179" s="573"/>
      <c r="EZ179" s="573"/>
      <c r="FA179" s="573"/>
      <c r="FB179" s="573"/>
      <c r="FC179" s="573"/>
      <c r="FD179" s="573"/>
      <c r="FE179" s="573"/>
      <c r="FF179" s="573"/>
      <c r="FG179" s="573"/>
      <c r="FH179" s="573"/>
      <c r="FI179" s="573"/>
      <c r="FJ179" s="573"/>
      <c r="FK179" s="573"/>
      <c r="FL179" s="573"/>
      <c r="FM179" s="573"/>
      <c r="FN179" s="573"/>
      <c r="FO179" s="573"/>
      <c r="FP179" s="573"/>
      <c r="FQ179" s="573"/>
      <c r="FR179" s="573"/>
      <c r="FS179" s="573"/>
      <c r="FT179" s="573"/>
      <c r="FU179" s="573"/>
      <c r="FV179" s="573"/>
      <c r="FW179" s="573"/>
      <c r="FX179" s="573"/>
      <c r="FY179" s="573"/>
      <c r="FZ179" s="573"/>
      <c r="GA179" s="573"/>
      <c r="GB179" s="573"/>
      <c r="GC179" s="573"/>
      <c r="GD179" s="573"/>
      <c r="GE179" s="573"/>
      <c r="GF179" s="573"/>
      <c r="GG179" s="573"/>
      <c r="GH179" s="573"/>
      <c r="GI179" s="573"/>
      <c r="GJ179" s="573"/>
      <c r="GK179" s="573"/>
      <c r="GL179" s="573"/>
      <c r="GM179" s="573"/>
      <c r="GN179" s="573"/>
      <c r="GO179" s="573"/>
      <c r="GP179" s="573"/>
      <c r="GQ179" s="573"/>
      <c r="GR179" s="573"/>
      <c r="GS179" s="573"/>
      <c r="GT179" s="573"/>
      <c r="GU179" s="573"/>
      <c r="GV179" s="573"/>
      <c r="GW179" s="573"/>
      <c r="GX179" s="573"/>
      <c r="GY179" s="573"/>
      <c r="GZ179" s="573"/>
      <c r="HA179" s="573"/>
      <c r="HB179" s="573"/>
      <c r="HC179" s="573"/>
      <c r="HD179" s="573"/>
      <c r="HE179" s="573"/>
      <c r="HF179" s="573"/>
      <c r="HG179" s="573"/>
      <c r="HH179" s="573"/>
      <c r="HI179" s="573"/>
      <c r="HJ179" s="573"/>
      <c r="HK179" s="573"/>
      <c r="HL179" s="573"/>
      <c r="HM179" s="573"/>
      <c r="HN179" s="573"/>
      <c r="HO179" s="573"/>
      <c r="HP179" s="573"/>
      <c r="HQ179" s="573"/>
      <c r="HR179" s="573"/>
      <c r="HS179" s="573"/>
      <c r="HT179" s="573"/>
      <c r="HU179" s="573"/>
      <c r="HV179" s="573"/>
      <c r="HW179" s="573"/>
      <c r="HX179" s="573"/>
      <c r="HY179" s="573"/>
      <c r="HZ179" s="573"/>
      <c r="IA179" s="573"/>
      <c r="IB179" s="573"/>
      <c r="IC179" s="573"/>
      <c r="ID179" s="573"/>
      <c r="IE179" s="573"/>
      <c r="IF179" s="573"/>
      <c r="IG179" s="573"/>
      <c r="IH179" s="573"/>
      <c r="II179" s="573"/>
      <c r="IJ179" s="573"/>
      <c r="IK179" s="573"/>
      <c r="IL179" s="573"/>
      <c r="IM179" s="573"/>
      <c r="IN179" s="573"/>
      <c r="IO179" s="573"/>
      <c r="IP179" s="573"/>
      <c r="IQ179" s="573"/>
      <c r="IR179" s="573"/>
      <c r="IS179" s="573"/>
      <c r="IT179" s="573"/>
      <c r="IU179" s="573"/>
      <c r="IV179" s="573"/>
    </row>
    <row r="180" spans="1:256" x14ac:dyDescent="0.25">
      <c r="A180" s="574"/>
      <c r="B180" s="694" t="s">
        <v>56</v>
      </c>
      <c r="C180" s="576"/>
      <c r="D180" s="576"/>
      <c r="E180" s="576"/>
      <c r="F180" s="576"/>
      <c r="G180" s="576"/>
      <c r="H180" s="576"/>
      <c r="I180" s="576"/>
      <c r="J180" s="576"/>
      <c r="K180" s="576"/>
      <c r="L180" s="576"/>
      <c r="M180" s="576"/>
      <c r="N180" s="576"/>
      <c r="O180" s="576"/>
      <c r="P180" s="576"/>
      <c r="Q180" s="576"/>
      <c r="R180" s="576"/>
      <c r="S180" s="576"/>
      <c r="T180" s="576"/>
      <c r="U180" s="576"/>
      <c r="V180" s="656"/>
      <c r="W180" s="576"/>
      <c r="X180" s="572"/>
    </row>
    <row r="181" spans="1:256" x14ac:dyDescent="0.25">
      <c r="A181" s="574"/>
      <c r="B181" s="693"/>
      <c r="C181" s="576"/>
      <c r="D181" s="576"/>
      <c r="E181" s="576"/>
      <c r="F181" s="576"/>
      <c r="G181" s="576"/>
      <c r="H181" s="576"/>
      <c r="I181" s="576"/>
      <c r="J181" s="576"/>
      <c r="K181" s="576"/>
      <c r="L181" s="576"/>
      <c r="M181" s="576"/>
      <c r="N181" s="576"/>
      <c r="O181" s="576"/>
      <c r="P181" s="576"/>
      <c r="Q181" s="576"/>
      <c r="R181" s="576"/>
      <c r="S181" s="576"/>
      <c r="T181" s="576"/>
      <c r="U181" s="576"/>
      <c r="V181" s="656"/>
      <c r="W181" s="576"/>
      <c r="X181" s="572"/>
    </row>
    <row r="182" spans="1:256" s="589" customFormat="1" x14ac:dyDescent="0.25">
      <c r="A182" s="604"/>
      <c r="B182" s="605" t="s">
        <v>57</v>
      </c>
      <c r="C182" s="605"/>
      <c r="D182" s="605"/>
      <c r="E182" s="605"/>
      <c r="F182" s="605"/>
      <c r="G182" s="605"/>
      <c r="H182" s="605"/>
      <c r="I182" s="605"/>
      <c r="J182" s="605"/>
      <c r="K182" s="605"/>
      <c r="L182" s="605"/>
      <c r="M182" s="605"/>
      <c r="N182" s="605"/>
      <c r="O182" s="605"/>
      <c r="P182" s="605"/>
      <c r="Q182" s="605"/>
      <c r="R182" s="605"/>
      <c r="S182" s="605"/>
      <c r="T182" s="605"/>
      <c r="U182" s="605"/>
      <c r="V182" s="663">
        <f>V71</f>
        <v>547234</v>
      </c>
      <c r="W182" s="607"/>
      <c r="X182" s="588"/>
    </row>
    <row r="183" spans="1:256" s="589" customFormat="1" x14ac:dyDescent="0.25">
      <c r="A183" s="604"/>
      <c r="B183" s="605" t="s">
        <v>58</v>
      </c>
      <c r="C183" s="605"/>
      <c r="D183" s="605"/>
      <c r="E183" s="605"/>
      <c r="F183" s="605"/>
      <c r="G183" s="605"/>
      <c r="H183" s="605"/>
      <c r="I183" s="605"/>
      <c r="J183" s="605"/>
      <c r="K183" s="605"/>
      <c r="L183" s="605"/>
      <c r="M183" s="605"/>
      <c r="N183" s="605"/>
      <c r="O183" s="605"/>
      <c r="P183" s="605"/>
      <c r="Q183" s="605"/>
      <c r="R183" s="605"/>
      <c r="S183" s="605"/>
      <c r="T183" s="605"/>
      <c r="U183" s="605"/>
      <c r="V183" s="663">
        <f>V84</f>
        <v>547234</v>
      </c>
      <c r="W183" s="607"/>
      <c r="X183" s="588"/>
    </row>
    <row r="184" spans="1:256" ht="16.5" thickBot="1" x14ac:dyDescent="0.3">
      <c r="A184" s="574"/>
      <c r="B184" s="664"/>
      <c r="C184" s="664"/>
      <c r="D184" s="664"/>
      <c r="E184" s="664"/>
      <c r="F184" s="664"/>
      <c r="G184" s="664"/>
      <c r="H184" s="664"/>
      <c r="I184" s="664"/>
      <c r="J184" s="664"/>
      <c r="K184" s="664"/>
      <c r="L184" s="664"/>
      <c r="M184" s="664"/>
      <c r="N184" s="664"/>
      <c r="O184" s="664"/>
      <c r="P184" s="664"/>
      <c r="Q184" s="664"/>
      <c r="R184" s="664"/>
      <c r="S184" s="664"/>
      <c r="T184" s="664"/>
      <c r="U184" s="664"/>
      <c r="V184" s="696"/>
      <c r="W184" s="664"/>
      <c r="X184" s="572"/>
    </row>
    <row r="185" spans="1:256" x14ac:dyDescent="0.25">
      <c r="A185" s="569"/>
      <c r="B185" s="571"/>
      <c r="C185" s="571"/>
      <c r="D185" s="571"/>
      <c r="E185" s="571"/>
      <c r="F185" s="571"/>
      <c r="G185" s="571"/>
      <c r="H185" s="571"/>
      <c r="I185" s="571"/>
      <c r="J185" s="571"/>
      <c r="K185" s="571"/>
      <c r="L185" s="571"/>
      <c r="M185" s="571"/>
      <c r="N185" s="571"/>
      <c r="O185" s="571"/>
      <c r="P185" s="571"/>
      <c r="Q185" s="571"/>
      <c r="R185" s="571"/>
      <c r="S185" s="571"/>
      <c r="T185" s="571"/>
      <c r="U185" s="571"/>
      <c r="V185" s="699"/>
      <c r="W185" s="571"/>
      <c r="X185" s="572"/>
    </row>
    <row r="186" spans="1:256" s="629" customFormat="1" x14ac:dyDescent="0.25">
      <c r="A186" s="657"/>
      <c r="B186" s="694" t="s">
        <v>59</v>
      </c>
      <c r="C186" s="661"/>
      <c r="D186" s="661"/>
      <c r="E186" s="661"/>
      <c r="F186" s="661"/>
      <c r="G186" s="661"/>
      <c r="H186" s="706"/>
      <c r="I186" s="706"/>
      <c r="J186" s="706"/>
      <c r="K186" s="706"/>
      <c r="L186" s="706"/>
      <c r="M186" s="706"/>
      <c r="N186" s="706"/>
      <c r="O186" s="706"/>
      <c r="P186" s="706"/>
      <c r="Q186" s="706"/>
      <c r="R186" s="706"/>
      <c r="S186" s="706" t="s">
        <v>101</v>
      </c>
      <c r="T186" s="706" t="s">
        <v>176</v>
      </c>
      <c r="U186" s="578"/>
      <c r="V186" s="707" t="s">
        <v>114</v>
      </c>
      <c r="W186" s="578"/>
      <c r="X186" s="628"/>
    </row>
    <row r="187" spans="1:256" s="589" customFormat="1" x14ac:dyDescent="0.25">
      <c r="A187" s="604"/>
      <c r="B187" s="605" t="s">
        <v>60</v>
      </c>
      <c r="C187" s="605"/>
      <c r="D187" s="605"/>
      <c r="E187" s="605"/>
      <c r="F187" s="605"/>
      <c r="G187" s="605"/>
      <c r="H187" s="605"/>
      <c r="I187" s="605"/>
      <c r="J187" s="605"/>
      <c r="K187" s="605"/>
      <c r="L187" s="605"/>
      <c r="M187" s="605"/>
      <c r="N187" s="605"/>
      <c r="O187" s="605"/>
      <c r="P187" s="605"/>
      <c r="Q187" s="605"/>
      <c r="R187" s="605"/>
      <c r="S187" s="663">
        <f>+V34*0.16</f>
        <v>160181.28</v>
      </c>
      <c r="T187" s="635"/>
      <c r="U187" s="605"/>
      <c r="V187" s="663"/>
      <c r="W187" s="607"/>
      <c r="X187" s="588"/>
    </row>
    <row r="188" spans="1:256" s="589" customFormat="1" x14ac:dyDescent="0.25">
      <c r="A188" s="604"/>
      <c r="B188" s="605" t="s">
        <v>61</v>
      </c>
      <c r="C188" s="605"/>
      <c r="D188" s="605"/>
      <c r="E188" s="605"/>
      <c r="F188" s="605"/>
      <c r="G188" s="605"/>
      <c r="H188" s="605"/>
      <c r="I188" s="605"/>
      <c r="J188" s="605"/>
      <c r="K188" s="605"/>
      <c r="L188" s="605"/>
      <c r="M188" s="605"/>
      <c r="N188" s="605"/>
      <c r="O188" s="605"/>
      <c r="P188" s="605"/>
      <c r="Q188" s="605"/>
      <c r="R188" s="605"/>
      <c r="S188" s="663">
        <f>+'Aug 19'!S190</f>
        <v>14163</v>
      </c>
      <c r="T188" s="663">
        <f>+'Aug 19'!T190</f>
        <v>6098</v>
      </c>
      <c r="U188" s="605"/>
      <c r="V188" s="663">
        <f>S188+T188</f>
        <v>20261</v>
      </c>
      <c r="W188" s="607"/>
      <c r="X188" s="588"/>
    </row>
    <row r="189" spans="1:256" s="589" customFormat="1" x14ac:dyDescent="0.25">
      <c r="A189" s="604"/>
      <c r="B189" s="605" t="s">
        <v>62</v>
      </c>
      <c r="C189" s="605"/>
      <c r="D189" s="605"/>
      <c r="E189" s="605"/>
      <c r="F189" s="605"/>
      <c r="G189" s="605"/>
      <c r="H189" s="605"/>
      <c r="I189" s="605"/>
      <c r="J189" s="605"/>
      <c r="K189" s="605"/>
      <c r="L189" s="605"/>
      <c r="M189" s="605"/>
      <c r="N189" s="605"/>
      <c r="O189" s="605"/>
      <c r="P189" s="605"/>
      <c r="Q189" s="605"/>
      <c r="R189" s="605"/>
      <c r="S189" s="662">
        <v>0</v>
      </c>
      <c r="T189" s="662">
        <v>0</v>
      </c>
      <c r="U189" s="605"/>
      <c r="V189" s="663">
        <f>S189+T189</f>
        <v>0</v>
      </c>
      <c r="W189" s="607"/>
      <c r="X189" s="588"/>
    </row>
    <row r="190" spans="1:256" s="589" customFormat="1" x14ac:dyDescent="0.25">
      <c r="A190" s="604"/>
      <c r="B190" s="605" t="s">
        <v>63</v>
      </c>
      <c r="C190" s="605"/>
      <c r="D190" s="605"/>
      <c r="E190" s="605"/>
      <c r="F190" s="605"/>
      <c r="G190" s="605"/>
      <c r="H190" s="605"/>
      <c r="I190" s="605"/>
      <c r="J190" s="605"/>
      <c r="K190" s="605"/>
      <c r="L190" s="605"/>
      <c r="M190" s="605"/>
      <c r="N190" s="605"/>
      <c r="O190" s="605"/>
      <c r="P190" s="605"/>
      <c r="Q190" s="605"/>
      <c r="R190" s="605"/>
      <c r="S190" s="663">
        <f>S188+S189</f>
        <v>14163</v>
      </c>
      <c r="T190" s="663">
        <f>T189+T188</f>
        <v>6098</v>
      </c>
      <c r="U190" s="605"/>
      <c r="V190" s="663">
        <f>S190+T190</f>
        <v>20261</v>
      </c>
      <c r="W190" s="607"/>
      <c r="X190" s="588"/>
    </row>
    <row r="191" spans="1:256" s="589" customFormat="1" x14ac:dyDescent="0.25">
      <c r="A191" s="604"/>
      <c r="B191" s="605" t="s">
        <v>64</v>
      </c>
      <c r="C191" s="605"/>
      <c r="D191" s="605"/>
      <c r="E191" s="605"/>
      <c r="F191" s="605"/>
      <c r="G191" s="605"/>
      <c r="H191" s="605"/>
      <c r="I191" s="605"/>
      <c r="J191" s="605"/>
      <c r="K191" s="605"/>
      <c r="L191" s="605"/>
      <c r="M191" s="605"/>
      <c r="N191" s="605"/>
      <c r="O191" s="605"/>
      <c r="P191" s="605"/>
      <c r="Q191" s="605"/>
      <c r="R191" s="605"/>
      <c r="S191" s="663">
        <f>S187-S190-T190</f>
        <v>139920.28</v>
      </c>
      <c r="T191" s="635"/>
      <c r="U191" s="605"/>
      <c r="V191" s="663"/>
      <c r="W191" s="607"/>
      <c r="X191" s="588"/>
    </row>
    <row r="192" spans="1:256" ht="16.5" thickBot="1" x14ac:dyDescent="0.3">
      <c r="A192" s="574"/>
      <c r="B192" s="664"/>
      <c r="C192" s="664"/>
      <c r="D192" s="664"/>
      <c r="E192" s="664"/>
      <c r="F192" s="664"/>
      <c r="G192" s="664"/>
      <c r="H192" s="664"/>
      <c r="I192" s="664"/>
      <c r="J192" s="664"/>
      <c r="K192" s="664"/>
      <c r="L192" s="664"/>
      <c r="M192" s="664"/>
      <c r="N192" s="664"/>
      <c r="O192" s="664"/>
      <c r="P192" s="664"/>
      <c r="Q192" s="664"/>
      <c r="R192" s="664"/>
      <c r="S192" s="664"/>
      <c r="T192" s="664"/>
      <c r="U192" s="664"/>
      <c r="V192" s="696"/>
      <c r="W192" s="664"/>
      <c r="X192" s="572"/>
    </row>
    <row r="193" spans="1:24" x14ac:dyDescent="0.25">
      <c r="A193" s="569"/>
      <c r="B193" s="571"/>
      <c r="C193" s="571"/>
      <c r="D193" s="571"/>
      <c r="E193" s="571"/>
      <c r="F193" s="571"/>
      <c r="G193" s="571"/>
      <c r="H193" s="571"/>
      <c r="I193" s="571"/>
      <c r="J193" s="571"/>
      <c r="K193" s="571"/>
      <c r="L193" s="571"/>
      <c r="M193" s="571"/>
      <c r="N193" s="571"/>
      <c r="O193" s="571"/>
      <c r="P193" s="571"/>
      <c r="Q193" s="571"/>
      <c r="R193" s="571"/>
      <c r="S193" s="571"/>
      <c r="T193" s="571"/>
      <c r="U193" s="571"/>
      <c r="V193" s="699"/>
      <c r="W193" s="571"/>
      <c r="X193" s="572"/>
    </row>
    <row r="194" spans="1:24" x14ac:dyDescent="0.25">
      <c r="A194" s="574"/>
      <c r="B194" s="694" t="s">
        <v>65</v>
      </c>
      <c r="C194" s="576"/>
      <c r="D194" s="576"/>
      <c r="E194" s="576"/>
      <c r="F194" s="576"/>
      <c r="G194" s="576"/>
      <c r="H194" s="576"/>
      <c r="I194" s="576"/>
      <c r="J194" s="576"/>
      <c r="K194" s="576"/>
      <c r="L194" s="576"/>
      <c r="M194" s="576"/>
      <c r="N194" s="576"/>
      <c r="O194" s="576"/>
      <c r="P194" s="576"/>
      <c r="Q194" s="576"/>
      <c r="R194" s="576"/>
      <c r="S194" s="576"/>
      <c r="T194" s="576"/>
      <c r="U194" s="576"/>
      <c r="V194" s="708"/>
      <c r="W194" s="576"/>
      <c r="X194" s="572"/>
    </row>
    <row r="195" spans="1:24" s="589" customFormat="1" x14ac:dyDescent="0.25">
      <c r="A195" s="604"/>
      <c r="B195" s="605" t="s">
        <v>66</v>
      </c>
      <c r="C195" s="605"/>
      <c r="D195" s="605"/>
      <c r="E195" s="605"/>
      <c r="F195" s="605"/>
      <c r="G195" s="605"/>
      <c r="H195" s="605"/>
      <c r="I195" s="605"/>
      <c r="J195" s="605"/>
      <c r="K195" s="605"/>
      <c r="L195" s="605"/>
      <c r="M195" s="605"/>
      <c r="N195" s="605"/>
      <c r="O195" s="605"/>
      <c r="P195" s="605"/>
      <c r="Q195" s="605"/>
      <c r="R195" s="605"/>
      <c r="S195" s="605"/>
      <c r="T195" s="605"/>
      <c r="U195" s="605"/>
      <c r="V195" s="697">
        <f>(V101+V103+V104+V105+V106)/-(V107+V108)</f>
        <v>3.7436893203883495</v>
      </c>
      <c r="W195" s="607" t="s">
        <v>115</v>
      </c>
      <c r="X195" s="588"/>
    </row>
    <row r="196" spans="1:24" s="589" customFormat="1" x14ac:dyDescent="0.25">
      <c r="A196" s="604"/>
      <c r="B196" s="605" t="s">
        <v>67</v>
      </c>
      <c r="C196" s="605"/>
      <c r="D196" s="605"/>
      <c r="E196" s="605"/>
      <c r="F196" s="605"/>
      <c r="G196" s="605"/>
      <c r="H196" s="605"/>
      <c r="I196" s="605"/>
      <c r="J196" s="605"/>
      <c r="K196" s="605"/>
      <c r="L196" s="605"/>
      <c r="M196" s="605"/>
      <c r="N196" s="605"/>
      <c r="O196" s="605"/>
      <c r="P196" s="605"/>
      <c r="Q196" s="605"/>
      <c r="R196" s="605"/>
      <c r="S196" s="605"/>
      <c r="T196" s="605"/>
      <c r="U196" s="605"/>
      <c r="V196" s="709">
        <v>2.2599999999999998</v>
      </c>
      <c r="W196" s="607" t="s">
        <v>115</v>
      </c>
      <c r="X196" s="588"/>
    </row>
    <row r="197" spans="1:24" s="589" customFormat="1" x14ac:dyDescent="0.25">
      <c r="A197" s="604"/>
      <c r="B197" s="605" t="s">
        <v>68</v>
      </c>
      <c r="C197" s="605"/>
      <c r="D197" s="605"/>
      <c r="E197" s="605"/>
      <c r="F197" s="605"/>
      <c r="G197" s="605"/>
      <c r="H197" s="605"/>
      <c r="I197" s="605"/>
      <c r="J197" s="605"/>
      <c r="K197" s="605"/>
      <c r="L197" s="605"/>
      <c r="M197" s="605"/>
      <c r="N197" s="605"/>
      <c r="O197" s="605"/>
      <c r="P197" s="605"/>
      <c r="Q197" s="605"/>
      <c r="R197" s="605"/>
      <c r="S197" s="605"/>
      <c r="T197" s="605"/>
      <c r="U197" s="605"/>
      <c r="V197" s="697">
        <f>(V101+V103+V104+V105+V106+V107+V108)/-(V109+V110)</f>
        <v>10.953488372093023</v>
      </c>
      <c r="W197" s="607" t="s">
        <v>115</v>
      </c>
      <c r="X197" s="588"/>
    </row>
    <row r="198" spans="1:24" s="589" customFormat="1" x14ac:dyDescent="0.25">
      <c r="A198" s="604"/>
      <c r="B198" s="605" t="s">
        <v>69</v>
      </c>
      <c r="C198" s="605"/>
      <c r="D198" s="605"/>
      <c r="E198" s="605"/>
      <c r="F198" s="605"/>
      <c r="G198" s="605"/>
      <c r="H198" s="605"/>
      <c r="I198" s="605"/>
      <c r="J198" s="605"/>
      <c r="K198" s="605"/>
      <c r="L198" s="605"/>
      <c r="M198" s="605"/>
      <c r="N198" s="605"/>
      <c r="O198" s="605"/>
      <c r="P198" s="605"/>
      <c r="Q198" s="605"/>
      <c r="R198" s="605"/>
      <c r="S198" s="605"/>
      <c r="T198" s="605"/>
      <c r="U198" s="605"/>
      <c r="V198" s="709">
        <v>10.050000000000001</v>
      </c>
      <c r="W198" s="607" t="s">
        <v>115</v>
      </c>
      <c r="X198" s="588"/>
    </row>
    <row r="199" spans="1:24" s="589" customFormat="1" x14ac:dyDescent="0.25">
      <c r="A199" s="604"/>
      <c r="B199" s="605" t="s">
        <v>198</v>
      </c>
      <c r="C199" s="605"/>
      <c r="D199" s="605"/>
      <c r="E199" s="605"/>
      <c r="F199" s="605"/>
      <c r="G199" s="605"/>
      <c r="H199" s="605"/>
      <c r="I199" s="605"/>
      <c r="J199" s="605"/>
      <c r="K199" s="605"/>
      <c r="L199" s="605"/>
      <c r="M199" s="605"/>
      <c r="N199" s="605"/>
      <c r="O199" s="605"/>
      <c r="P199" s="605"/>
      <c r="Q199" s="605"/>
      <c r="R199" s="605"/>
      <c r="S199" s="605"/>
      <c r="T199" s="605"/>
      <c r="U199" s="605"/>
      <c r="V199" s="697">
        <f>(V101+V103+V104+V105+V106+V107+V108+V109+V110)/-(V111)</f>
        <v>6.8297872340425529</v>
      </c>
      <c r="W199" s="607" t="s">
        <v>115</v>
      </c>
      <c r="X199" s="588"/>
    </row>
    <row r="200" spans="1:24" s="589" customFormat="1" x14ac:dyDescent="0.25">
      <c r="A200" s="604"/>
      <c r="B200" s="605" t="s">
        <v>199</v>
      </c>
      <c r="C200" s="605"/>
      <c r="D200" s="605"/>
      <c r="E200" s="605"/>
      <c r="F200" s="605"/>
      <c r="G200" s="605"/>
      <c r="H200" s="605"/>
      <c r="I200" s="605"/>
      <c r="J200" s="605"/>
      <c r="K200" s="605"/>
      <c r="L200" s="605"/>
      <c r="M200" s="605"/>
      <c r="N200" s="605"/>
      <c r="O200" s="605"/>
      <c r="P200" s="605"/>
      <c r="Q200" s="605"/>
      <c r="R200" s="605"/>
      <c r="S200" s="605"/>
      <c r="T200" s="605"/>
      <c r="U200" s="605"/>
      <c r="V200" s="709">
        <v>7.08</v>
      </c>
      <c r="W200" s="607" t="s">
        <v>115</v>
      </c>
      <c r="X200" s="588"/>
    </row>
    <row r="201" spans="1:24" s="589" customFormat="1" x14ac:dyDescent="0.25">
      <c r="A201" s="604"/>
      <c r="B201" s="605"/>
      <c r="C201" s="605"/>
      <c r="D201" s="605"/>
      <c r="E201" s="605"/>
      <c r="F201" s="605"/>
      <c r="G201" s="605"/>
      <c r="H201" s="605"/>
      <c r="I201" s="605"/>
      <c r="J201" s="605"/>
      <c r="K201" s="605"/>
      <c r="L201" s="605"/>
      <c r="M201" s="605"/>
      <c r="N201" s="605"/>
      <c r="O201" s="605"/>
      <c r="P201" s="605"/>
      <c r="Q201" s="605"/>
      <c r="R201" s="605"/>
      <c r="S201" s="605"/>
      <c r="T201" s="605"/>
      <c r="U201" s="605"/>
      <c r="V201" s="605"/>
      <c r="W201" s="607"/>
      <c r="X201" s="588"/>
    </row>
    <row r="202" spans="1:24" s="589" customFormat="1" x14ac:dyDescent="0.25">
      <c r="A202" s="585"/>
      <c r="B202" s="602"/>
      <c r="C202" s="602"/>
      <c r="D202" s="602"/>
      <c r="E202" s="602"/>
      <c r="F202" s="602"/>
      <c r="G202" s="602"/>
      <c r="H202" s="602"/>
      <c r="I202" s="602"/>
      <c r="J202" s="602"/>
      <c r="K202" s="602"/>
      <c r="L202" s="602"/>
      <c r="M202" s="602"/>
      <c r="N202" s="602"/>
      <c r="O202" s="602"/>
      <c r="P202" s="602"/>
      <c r="Q202" s="602"/>
      <c r="R202" s="602"/>
      <c r="S202" s="602"/>
      <c r="T202" s="602"/>
      <c r="U202" s="602"/>
      <c r="V202" s="602"/>
      <c r="W202" s="602"/>
      <c r="X202" s="588"/>
    </row>
    <row r="203" spans="1:24" s="589" customFormat="1" x14ac:dyDescent="0.25">
      <c r="A203" s="585"/>
      <c r="B203" s="586"/>
      <c r="C203" s="586"/>
      <c r="D203" s="586"/>
      <c r="E203" s="586"/>
      <c r="F203" s="586"/>
      <c r="G203" s="586"/>
      <c r="H203" s="586"/>
      <c r="I203" s="586"/>
      <c r="J203" s="586"/>
      <c r="K203" s="586"/>
      <c r="L203" s="586"/>
      <c r="M203" s="586"/>
      <c r="N203" s="586"/>
      <c r="O203" s="586"/>
      <c r="P203" s="586"/>
      <c r="Q203" s="586"/>
      <c r="R203" s="586"/>
      <c r="S203" s="586"/>
      <c r="T203" s="586"/>
      <c r="U203" s="586"/>
      <c r="V203" s="586"/>
      <c r="W203" s="586"/>
      <c r="X203" s="588"/>
    </row>
    <row r="204" spans="1:24" s="589" customFormat="1" ht="19.5" thickBot="1" x14ac:dyDescent="0.35">
      <c r="A204" s="649"/>
      <c r="B204" s="568" t="str">
        <f>B138</f>
        <v>PM15 INVESTOR REPORT QUARTER ENDING NOVEMBER 2019</v>
      </c>
      <c r="C204" s="650"/>
      <c r="D204" s="650"/>
      <c r="E204" s="650"/>
      <c r="F204" s="650"/>
      <c r="G204" s="650"/>
      <c r="H204" s="650"/>
      <c r="I204" s="650"/>
      <c r="J204" s="650"/>
      <c r="K204" s="650"/>
      <c r="L204" s="650"/>
      <c r="M204" s="650"/>
      <c r="N204" s="650"/>
      <c r="O204" s="650"/>
      <c r="P204" s="650"/>
      <c r="Q204" s="650"/>
      <c r="R204" s="650"/>
      <c r="S204" s="650"/>
      <c r="T204" s="650"/>
      <c r="U204" s="650"/>
      <c r="V204" s="650"/>
      <c r="W204" s="652"/>
      <c r="X204" s="588"/>
    </row>
    <row r="205" spans="1:24" x14ac:dyDescent="0.25">
      <c r="A205" s="689"/>
      <c r="B205" s="690" t="s">
        <v>70</v>
      </c>
      <c r="C205" s="710"/>
      <c r="D205" s="710"/>
      <c r="E205" s="710"/>
      <c r="F205" s="710"/>
      <c r="G205" s="711"/>
      <c r="H205" s="711"/>
      <c r="I205" s="711"/>
      <c r="J205" s="711"/>
      <c r="K205" s="711"/>
      <c r="L205" s="711"/>
      <c r="M205" s="711"/>
      <c r="N205" s="711"/>
      <c r="O205" s="711"/>
      <c r="P205" s="711"/>
      <c r="Q205" s="711"/>
      <c r="R205" s="711"/>
      <c r="S205" s="711"/>
      <c r="T205" s="711">
        <v>43798</v>
      </c>
      <c r="U205" s="691"/>
      <c r="V205" s="691"/>
      <c r="W205" s="691"/>
      <c r="X205" s="572"/>
    </row>
    <row r="206" spans="1:24" x14ac:dyDescent="0.25">
      <c r="A206" s="712"/>
      <c r="B206" s="713"/>
      <c r="C206" s="714"/>
      <c r="D206" s="714"/>
      <c r="E206" s="714"/>
      <c r="F206" s="714"/>
      <c r="G206" s="715"/>
      <c r="H206" s="715"/>
      <c r="I206" s="715"/>
      <c r="J206" s="715"/>
      <c r="K206" s="715"/>
      <c r="L206" s="715"/>
      <c r="M206" s="715"/>
      <c r="N206" s="715"/>
      <c r="O206" s="715"/>
      <c r="P206" s="715"/>
      <c r="Q206" s="715"/>
      <c r="R206" s="715"/>
      <c r="S206" s="715"/>
      <c r="T206" s="715"/>
      <c r="U206" s="576"/>
      <c r="V206" s="576"/>
      <c r="W206" s="576"/>
      <c r="X206" s="572"/>
    </row>
    <row r="207" spans="1:24" s="589" customFormat="1" x14ac:dyDescent="0.25">
      <c r="A207" s="604"/>
      <c r="B207" s="605" t="s">
        <v>71</v>
      </c>
      <c r="C207" s="716"/>
      <c r="D207" s="716"/>
      <c r="E207" s="716"/>
      <c r="F207" s="716"/>
      <c r="G207" s="639"/>
      <c r="H207" s="639"/>
      <c r="I207" s="639"/>
      <c r="J207" s="639"/>
      <c r="K207" s="639"/>
      <c r="L207" s="639"/>
      <c r="M207" s="639"/>
      <c r="N207" s="639"/>
      <c r="O207" s="639"/>
      <c r="P207" s="639"/>
      <c r="Q207" s="639"/>
      <c r="R207" s="639"/>
      <c r="S207" s="639"/>
      <c r="T207" s="633">
        <v>5.3830000000000003E-2</v>
      </c>
      <c r="U207" s="605"/>
      <c r="V207" s="605"/>
      <c r="W207" s="607"/>
      <c r="X207" s="588"/>
    </row>
    <row r="208" spans="1:24" s="589" customFormat="1" x14ac:dyDescent="0.25">
      <c r="A208" s="604"/>
      <c r="B208" s="605" t="s">
        <v>151</v>
      </c>
      <c r="C208" s="716"/>
      <c r="D208" s="716"/>
      <c r="E208" s="716"/>
      <c r="F208" s="716"/>
      <c r="G208" s="639"/>
      <c r="H208" s="639"/>
      <c r="I208" s="639"/>
      <c r="J208" s="639"/>
      <c r="K208" s="639"/>
      <c r="L208" s="639"/>
      <c r="M208" s="639"/>
      <c r="N208" s="639"/>
      <c r="O208" s="639"/>
      <c r="P208" s="639"/>
      <c r="Q208" s="639"/>
      <c r="R208" s="639"/>
      <c r="S208" s="639"/>
      <c r="T208" s="633">
        <v>6.25E-2</v>
      </c>
      <c r="U208" s="605"/>
      <c r="V208" s="605"/>
      <c r="W208" s="607"/>
      <c r="X208" s="588"/>
    </row>
    <row r="209" spans="1:24" s="589" customFormat="1" x14ac:dyDescent="0.25">
      <c r="A209" s="604"/>
      <c r="B209" s="605" t="s">
        <v>72</v>
      </c>
      <c r="C209" s="716"/>
      <c r="D209" s="716"/>
      <c r="E209" s="716"/>
      <c r="F209" s="716"/>
      <c r="G209" s="639"/>
      <c r="H209" s="639"/>
      <c r="I209" s="639"/>
      <c r="J209" s="639"/>
      <c r="K209" s="639"/>
      <c r="L209" s="639"/>
      <c r="M209" s="639"/>
      <c r="N209" s="639"/>
      <c r="O209" s="639"/>
      <c r="P209" s="639"/>
      <c r="Q209" s="639"/>
      <c r="R209" s="639"/>
      <c r="S209" s="639"/>
      <c r="T209" s="633">
        <f>T207-T208</f>
        <v>-8.6699999999999972E-3</v>
      </c>
      <c r="U209" s="605"/>
      <c r="V209" s="605"/>
      <c r="W209" s="607"/>
      <c r="X209" s="588"/>
    </row>
    <row r="210" spans="1:24" s="589" customFormat="1" x14ac:dyDescent="0.25">
      <c r="A210" s="604"/>
      <c r="B210" s="605" t="s">
        <v>73</v>
      </c>
      <c r="C210" s="716"/>
      <c r="D210" s="716"/>
      <c r="E210" s="716"/>
      <c r="F210" s="716"/>
      <c r="G210" s="639"/>
      <c r="H210" s="639"/>
      <c r="I210" s="639"/>
      <c r="J210" s="639"/>
      <c r="K210" s="639"/>
      <c r="L210" s="639"/>
      <c r="M210" s="639"/>
      <c r="N210" s="639"/>
      <c r="O210" s="639"/>
      <c r="P210" s="639"/>
      <c r="Q210" s="639"/>
      <c r="R210" s="639"/>
      <c r="S210" s="639"/>
      <c r="T210" s="633">
        <v>2.767E-2</v>
      </c>
      <c r="U210" s="605"/>
      <c r="V210" s="605"/>
      <c r="W210" s="607"/>
      <c r="X210" s="588"/>
    </row>
    <row r="211" spans="1:24" s="589" customFormat="1" x14ac:dyDescent="0.25">
      <c r="A211" s="604"/>
      <c r="B211" s="605" t="s">
        <v>218</v>
      </c>
      <c r="C211" s="716"/>
      <c r="D211" s="716"/>
      <c r="E211" s="716"/>
      <c r="F211" s="716"/>
      <c r="G211" s="639"/>
      <c r="H211" s="639"/>
      <c r="I211" s="639"/>
      <c r="J211" s="639"/>
      <c r="K211" s="639"/>
      <c r="L211" s="639"/>
      <c r="M211" s="639"/>
      <c r="N211" s="639"/>
      <c r="O211" s="639"/>
      <c r="P211" s="639"/>
      <c r="Q211" s="639"/>
      <c r="R211" s="639"/>
      <c r="S211" s="639"/>
      <c r="T211" s="633">
        <f>V43</f>
        <v>1.1931464135988924E-2</v>
      </c>
      <c r="U211" s="605"/>
      <c r="V211" s="605"/>
      <c r="W211" s="607"/>
      <c r="X211" s="588"/>
    </row>
    <row r="212" spans="1:24" s="589" customFormat="1" x14ac:dyDescent="0.25">
      <c r="A212" s="604"/>
      <c r="B212" s="605" t="s">
        <v>74</v>
      </c>
      <c r="C212" s="716"/>
      <c r="D212" s="716"/>
      <c r="E212" s="716"/>
      <c r="F212" s="716"/>
      <c r="G212" s="639"/>
      <c r="H212" s="639"/>
      <c r="I212" s="639"/>
      <c r="J212" s="639"/>
      <c r="K212" s="639"/>
      <c r="L212" s="639"/>
      <c r="M212" s="639"/>
      <c r="N212" s="639"/>
      <c r="O212" s="639"/>
      <c r="P212" s="639"/>
      <c r="Q212" s="639"/>
      <c r="R212" s="639"/>
      <c r="S212" s="639"/>
      <c r="T212" s="633">
        <f>T210-T211</f>
        <v>1.5738535864011076E-2</v>
      </c>
      <c r="U212" s="605"/>
      <c r="V212" s="605"/>
      <c r="W212" s="607"/>
      <c r="X212" s="588"/>
    </row>
    <row r="213" spans="1:24" s="589" customFormat="1" x14ac:dyDescent="0.25">
      <c r="A213" s="604"/>
      <c r="B213" s="605" t="s">
        <v>227</v>
      </c>
      <c r="C213" s="716"/>
      <c r="D213" s="716"/>
      <c r="E213" s="716"/>
      <c r="F213" s="716"/>
      <c r="G213" s="639"/>
      <c r="H213" s="639"/>
      <c r="I213" s="639"/>
      <c r="J213" s="639"/>
      <c r="K213" s="639"/>
      <c r="L213" s="639"/>
      <c r="M213" s="639"/>
      <c r="N213" s="639"/>
      <c r="O213" s="639"/>
      <c r="P213" s="639"/>
      <c r="Q213" s="639"/>
      <c r="R213" s="639"/>
      <c r="S213" s="639"/>
      <c r="T213" s="633">
        <f>V101/N71</f>
        <v>7.4185859806784188E-3</v>
      </c>
      <c r="U213" s="605"/>
      <c r="V213" s="605"/>
      <c r="W213" s="607"/>
      <c r="X213" s="588"/>
    </row>
    <row r="214" spans="1:24" s="589" customFormat="1" x14ac:dyDescent="0.25">
      <c r="A214" s="604"/>
      <c r="B214" s="605" t="s">
        <v>207</v>
      </c>
      <c r="C214" s="716"/>
      <c r="D214" s="716"/>
      <c r="E214" s="716"/>
      <c r="F214" s="716"/>
      <c r="G214" s="639"/>
      <c r="H214" s="639"/>
      <c r="I214" s="639"/>
      <c r="J214" s="639"/>
      <c r="K214" s="639"/>
      <c r="L214" s="639"/>
      <c r="M214" s="639"/>
      <c r="N214" s="639"/>
      <c r="O214" s="639"/>
      <c r="P214" s="639"/>
      <c r="Q214" s="639"/>
      <c r="R214" s="639"/>
      <c r="S214" s="639"/>
      <c r="T214" s="717">
        <v>51105</v>
      </c>
      <c r="U214" s="605"/>
      <c r="V214" s="605"/>
      <c r="W214" s="607"/>
      <c r="X214" s="588"/>
    </row>
    <row r="215" spans="1:24" s="589" customFormat="1" x14ac:dyDescent="0.25">
      <c r="A215" s="604"/>
      <c r="B215" s="605" t="s">
        <v>208</v>
      </c>
      <c r="C215" s="716"/>
      <c r="D215" s="716"/>
      <c r="E215" s="716"/>
      <c r="F215" s="716"/>
      <c r="G215" s="639"/>
      <c r="H215" s="639"/>
      <c r="I215" s="639"/>
      <c r="J215" s="639"/>
      <c r="K215" s="639"/>
      <c r="L215" s="639"/>
      <c r="M215" s="639"/>
      <c r="N215" s="639"/>
      <c r="O215" s="639"/>
      <c r="P215" s="639"/>
      <c r="Q215" s="639"/>
      <c r="R215" s="639"/>
      <c r="S215" s="639"/>
      <c r="T215" s="717">
        <v>51105</v>
      </c>
      <c r="U215" s="605"/>
      <c r="V215" s="605"/>
      <c r="W215" s="607"/>
      <c r="X215" s="588"/>
    </row>
    <row r="216" spans="1:24" s="589" customFormat="1" x14ac:dyDescent="0.25">
      <c r="A216" s="604"/>
      <c r="B216" s="605" t="s">
        <v>209</v>
      </c>
      <c r="C216" s="716"/>
      <c r="D216" s="716"/>
      <c r="E216" s="716"/>
      <c r="F216" s="716"/>
      <c r="G216" s="639"/>
      <c r="H216" s="639"/>
      <c r="I216" s="639"/>
      <c r="J216" s="639"/>
      <c r="K216" s="639"/>
      <c r="L216" s="639"/>
      <c r="M216" s="639"/>
      <c r="N216" s="639"/>
      <c r="O216" s="639"/>
      <c r="P216" s="639"/>
      <c r="Q216" s="639"/>
      <c r="R216" s="639"/>
      <c r="S216" s="639"/>
      <c r="T216" s="717">
        <v>51105</v>
      </c>
      <c r="U216" s="605"/>
      <c r="V216" s="605"/>
      <c r="W216" s="607"/>
      <c r="X216" s="588"/>
    </row>
    <row r="217" spans="1:24" s="589" customFormat="1" x14ac:dyDescent="0.25">
      <c r="A217" s="604"/>
      <c r="B217" s="605" t="s">
        <v>75</v>
      </c>
      <c r="C217" s="716"/>
      <c r="D217" s="716"/>
      <c r="E217" s="716"/>
      <c r="F217" s="716"/>
      <c r="G217" s="639"/>
      <c r="H217" s="639"/>
      <c r="I217" s="639"/>
      <c r="J217" s="639"/>
      <c r="K217" s="639"/>
      <c r="L217" s="639"/>
      <c r="M217" s="639"/>
      <c r="N217" s="639"/>
      <c r="O217" s="639"/>
      <c r="P217" s="639"/>
      <c r="Q217" s="639"/>
      <c r="R217" s="639"/>
      <c r="S217" s="639"/>
      <c r="T217" s="637">
        <v>21.06</v>
      </c>
      <c r="U217" s="605" t="s">
        <v>110</v>
      </c>
      <c r="V217" s="605"/>
      <c r="W217" s="607"/>
      <c r="X217" s="588"/>
    </row>
    <row r="218" spans="1:24" s="589" customFormat="1" x14ac:dyDescent="0.25">
      <c r="A218" s="604"/>
      <c r="B218" s="605" t="s">
        <v>76</v>
      </c>
      <c r="C218" s="716"/>
      <c r="D218" s="716"/>
      <c r="E218" s="716"/>
      <c r="F218" s="716"/>
      <c r="G218" s="639"/>
      <c r="H218" s="639"/>
      <c r="I218" s="639"/>
      <c r="J218" s="639"/>
      <c r="K218" s="639"/>
      <c r="L218" s="639"/>
      <c r="M218" s="639"/>
      <c r="N218" s="639"/>
      <c r="O218" s="639"/>
      <c r="P218" s="639"/>
      <c r="Q218" s="639"/>
      <c r="R218" s="639"/>
      <c r="S218" s="639"/>
      <c r="T218" s="637">
        <v>9.67</v>
      </c>
      <c r="U218" s="605" t="s">
        <v>110</v>
      </c>
      <c r="V218" s="605"/>
      <c r="W218" s="607"/>
      <c r="X218" s="588"/>
    </row>
    <row r="219" spans="1:24" s="589" customFormat="1" x14ac:dyDescent="0.25">
      <c r="A219" s="604"/>
      <c r="B219" s="605" t="s">
        <v>77</v>
      </c>
      <c r="C219" s="716"/>
      <c r="D219" s="716"/>
      <c r="E219" s="716"/>
      <c r="F219" s="716"/>
      <c r="G219" s="639"/>
      <c r="H219" s="639"/>
      <c r="I219" s="639"/>
      <c r="J219" s="639"/>
      <c r="K219" s="639"/>
      <c r="L219" s="639"/>
      <c r="M219" s="639"/>
      <c r="N219" s="639"/>
      <c r="O219" s="639"/>
      <c r="P219" s="639"/>
      <c r="Q219" s="639"/>
      <c r="R219" s="639"/>
      <c r="S219" s="639"/>
      <c r="T219" s="633">
        <f>+P68/N68</f>
        <v>2.1522660749439895E-2</v>
      </c>
      <c r="U219" s="605"/>
      <c r="V219" s="605"/>
      <c r="W219" s="607"/>
      <c r="X219" s="588"/>
    </row>
    <row r="220" spans="1:24" s="589" customFormat="1" x14ac:dyDescent="0.25">
      <c r="A220" s="604"/>
      <c r="B220" s="605" t="s">
        <v>78</v>
      </c>
      <c r="C220" s="716"/>
      <c r="D220" s="716"/>
      <c r="E220" s="716"/>
      <c r="F220" s="716"/>
      <c r="G220" s="639"/>
      <c r="H220" s="639"/>
      <c r="I220" s="639"/>
      <c r="J220" s="639"/>
      <c r="K220" s="639"/>
      <c r="L220" s="639"/>
      <c r="M220" s="639"/>
      <c r="N220" s="639"/>
      <c r="O220" s="639"/>
      <c r="P220" s="639"/>
      <c r="Q220" s="639"/>
      <c r="R220" s="639"/>
      <c r="S220" s="639"/>
      <c r="T220" s="633">
        <v>4.9000000000000002E-2</v>
      </c>
      <c r="U220" s="605"/>
      <c r="V220" s="605"/>
      <c r="W220" s="607"/>
      <c r="X220" s="588"/>
    </row>
    <row r="221" spans="1:24" x14ac:dyDescent="0.25">
      <c r="A221" s="712"/>
      <c r="B221" s="718"/>
      <c r="C221" s="718"/>
      <c r="D221" s="718"/>
      <c r="E221" s="718"/>
      <c r="F221" s="718"/>
      <c r="G221" s="664"/>
      <c r="H221" s="664"/>
      <c r="I221" s="664"/>
      <c r="J221" s="664"/>
      <c r="K221" s="664"/>
      <c r="L221" s="664"/>
      <c r="M221" s="664"/>
      <c r="N221" s="664"/>
      <c r="O221" s="664"/>
      <c r="P221" s="664"/>
      <c r="Q221" s="664"/>
      <c r="R221" s="664"/>
      <c r="S221" s="664"/>
      <c r="T221" s="696"/>
      <c r="U221" s="664"/>
      <c r="V221" s="719"/>
      <c r="W221" s="664"/>
      <c r="X221" s="572"/>
    </row>
    <row r="222" spans="1:24" x14ac:dyDescent="0.25">
      <c r="A222" s="720"/>
      <c r="B222" s="669" t="s">
        <v>79</v>
      </c>
      <c r="C222" s="670"/>
      <c r="D222" s="670"/>
      <c r="E222" s="670"/>
      <c r="F222" s="721"/>
      <c r="G222" s="670"/>
      <c r="H222" s="670"/>
      <c r="I222" s="670"/>
      <c r="J222" s="670"/>
      <c r="K222" s="670"/>
      <c r="L222" s="670"/>
      <c r="M222" s="670"/>
      <c r="N222" s="670"/>
      <c r="O222" s="670"/>
      <c r="P222" s="670"/>
      <c r="Q222" s="670"/>
      <c r="R222" s="670"/>
      <c r="S222" s="670" t="s">
        <v>102</v>
      </c>
      <c r="T222" s="721" t="s">
        <v>108</v>
      </c>
      <c r="U222" s="598"/>
      <c r="V222" s="598"/>
      <c r="W222" s="601"/>
      <c r="X222" s="572"/>
    </row>
    <row r="223" spans="1:24" s="589" customFormat="1" x14ac:dyDescent="0.25">
      <c r="A223" s="722"/>
      <c r="B223" s="602" t="s">
        <v>80</v>
      </c>
      <c r="C223" s="673"/>
      <c r="D223" s="673"/>
      <c r="E223" s="673"/>
      <c r="F223" s="602"/>
      <c r="G223" s="602"/>
      <c r="H223" s="723"/>
      <c r="I223" s="723"/>
      <c r="J223" s="723"/>
      <c r="K223" s="723"/>
      <c r="L223" s="723"/>
      <c r="M223" s="723"/>
      <c r="N223" s="723"/>
      <c r="O223" s="723"/>
      <c r="P223" s="723"/>
      <c r="Q223" s="723"/>
      <c r="R223" s="723"/>
      <c r="S223" s="723">
        <v>2</v>
      </c>
      <c r="T223" s="724">
        <v>144</v>
      </c>
      <c r="U223" s="602"/>
      <c r="V223" s="725"/>
      <c r="W223" s="726"/>
      <c r="X223" s="588"/>
    </row>
    <row r="224" spans="1:24" s="589" customFormat="1" x14ac:dyDescent="0.25">
      <c r="A224" s="727"/>
      <c r="B224" s="605" t="s">
        <v>145</v>
      </c>
      <c r="C224" s="662"/>
      <c r="D224" s="662"/>
      <c r="E224" s="662"/>
      <c r="F224" s="605"/>
      <c r="G224" s="605"/>
      <c r="H224" s="611"/>
      <c r="I224" s="611"/>
      <c r="J224" s="611"/>
      <c r="K224" s="611"/>
      <c r="L224" s="611"/>
      <c r="M224" s="611"/>
      <c r="N224" s="611"/>
      <c r="O224" s="611"/>
      <c r="P224" s="611"/>
      <c r="Q224" s="611"/>
      <c r="R224" s="611"/>
      <c r="S224" s="728">
        <f>+R276</f>
        <v>65</v>
      </c>
      <c r="T224" s="729">
        <f>+T276</f>
        <v>9428</v>
      </c>
      <c r="U224" s="605"/>
      <c r="V224" s="730"/>
      <c r="W224" s="731"/>
      <c r="X224" s="588"/>
    </row>
    <row r="225" spans="1:24" s="589" customFormat="1" x14ac:dyDescent="0.25">
      <c r="A225" s="727"/>
      <c r="B225" s="605" t="s">
        <v>81</v>
      </c>
      <c r="C225" s="662"/>
      <c r="D225" s="662"/>
      <c r="E225" s="662"/>
      <c r="F225" s="605"/>
      <c r="G225" s="605"/>
      <c r="H225" s="611"/>
      <c r="I225" s="611"/>
      <c r="J225" s="611"/>
      <c r="K225" s="611"/>
      <c r="L225" s="611"/>
      <c r="M225" s="611"/>
      <c r="N225" s="611"/>
      <c r="O225" s="611"/>
      <c r="P225" s="611"/>
      <c r="Q225" s="611"/>
      <c r="R225" s="611"/>
      <c r="S225" s="728">
        <f>+R288</f>
        <v>1</v>
      </c>
      <c r="T225" s="729">
        <f>+T288</f>
        <v>31</v>
      </c>
      <c r="U225" s="605"/>
      <c r="V225" s="730"/>
      <c r="W225" s="731"/>
      <c r="X225" s="588"/>
    </row>
    <row r="226" spans="1:24" x14ac:dyDescent="0.25">
      <c r="A226" s="732"/>
      <c r="B226" s="623" t="s">
        <v>82</v>
      </c>
      <c r="C226" s="733"/>
      <c r="D226" s="733"/>
      <c r="E226" s="733"/>
      <c r="F226" s="679"/>
      <c r="G226" s="679"/>
      <c r="H226" s="679"/>
      <c r="I226" s="679"/>
      <c r="J226" s="679"/>
      <c r="K226" s="679"/>
      <c r="L226" s="679"/>
      <c r="M226" s="679"/>
      <c r="N226" s="679"/>
      <c r="O226" s="679"/>
      <c r="P226" s="679"/>
      <c r="Q226" s="679"/>
      <c r="R226" s="679"/>
      <c r="S226" s="681"/>
      <c r="T226" s="729">
        <v>0</v>
      </c>
      <c r="U226" s="679"/>
      <c r="V226" s="734"/>
      <c r="W226" s="735"/>
      <c r="X226" s="572"/>
    </row>
    <row r="227" spans="1:24" x14ac:dyDescent="0.25">
      <c r="A227" s="732"/>
      <c r="B227" s="623" t="s">
        <v>228</v>
      </c>
      <c r="C227" s="733"/>
      <c r="D227" s="733"/>
      <c r="E227" s="733"/>
      <c r="F227" s="679"/>
      <c r="G227" s="679"/>
      <c r="H227" s="679"/>
      <c r="I227" s="679"/>
      <c r="J227" s="679"/>
      <c r="K227" s="679"/>
      <c r="L227" s="679"/>
      <c r="M227" s="679"/>
      <c r="N227" s="679"/>
      <c r="O227" s="679"/>
      <c r="P227" s="679"/>
      <c r="Q227" s="679"/>
      <c r="R227" s="679"/>
      <c r="S227" s="681"/>
      <c r="T227" s="729">
        <f>+N81</f>
        <v>0</v>
      </c>
      <c r="U227" s="679"/>
      <c r="V227" s="734"/>
      <c r="W227" s="735"/>
      <c r="X227" s="572"/>
    </row>
    <row r="228" spans="1:24" x14ac:dyDescent="0.25">
      <c r="A228" s="736"/>
      <c r="B228" s="623" t="s">
        <v>83</v>
      </c>
      <c r="C228" s="737"/>
      <c r="D228" s="737"/>
      <c r="E228" s="737"/>
      <c r="F228" s="737"/>
      <c r="G228" s="679"/>
      <c r="H228" s="679"/>
      <c r="I228" s="679"/>
      <c r="J228" s="679"/>
      <c r="K228" s="679"/>
      <c r="L228" s="679"/>
      <c r="M228" s="679"/>
      <c r="N228" s="679"/>
      <c r="O228" s="679"/>
      <c r="P228" s="679"/>
      <c r="Q228" s="679"/>
      <c r="R228" s="679"/>
      <c r="S228" s="681"/>
      <c r="T228" s="738"/>
      <c r="U228" s="679"/>
      <c r="V228" s="734"/>
      <c r="W228" s="739"/>
      <c r="X228" s="572"/>
    </row>
    <row r="229" spans="1:24" s="589" customFormat="1" x14ac:dyDescent="0.25">
      <c r="A229" s="740"/>
      <c r="B229" s="605" t="s">
        <v>84</v>
      </c>
      <c r="C229" s="605"/>
      <c r="D229" s="605"/>
      <c r="E229" s="605"/>
      <c r="F229" s="605"/>
      <c r="G229" s="605"/>
      <c r="H229" s="605"/>
      <c r="I229" s="605"/>
      <c r="J229" s="605"/>
      <c r="K229" s="605"/>
      <c r="L229" s="605"/>
      <c r="M229" s="605"/>
      <c r="N229" s="605"/>
      <c r="O229" s="605"/>
      <c r="P229" s="605"/>
      <c r="Q229" s="605"/>
      <c r="R229" s="605"/>
      <c r="S229" s="611"/>
      <c r="T229" s="729">
        <f>V167</f>
        <v>151</v>
      </c>
      <c r="U229" s="605"/>
      <c r="V229" s="730"/>
      <c r="W229" s="741"/>
      <c r="X229" s="588"/>
    </row>
    <row r="230" spans="1:24" s="589" customFormat="1" x14ac:dyDescent="0.25">
      <c r="A230" s="727"/>
      <c r="B230" s="605" t="s">
        <v>85</v>
      </c>
      <c r="C230" s="662"/>
      <c r="D230" s="662"/>
      <c r="E230" s="662"/>
      <c r="F230" s="662"/>
      <c r="G230" s="605"/>
      <c r="H230" s="605"/>
      <c r="I230" s="605"/>
      <c r="J230" s="605"/>
      <c r="K230" s="605"/>
      <c r="L230" s="605"/>
      <c r="M230" s="605"/>
      <c r="N230" s="605"/>
      <c r="O230" s="605"/>
      <c r="P230" s="605"/>
      <c r="Q230" s="605"/>
      <c r="R230" s="605"/>
      <c r="S230" s="611"/>
      <c r="T230" s="729">
        <f>'Aug 19'!T230+T229</f>
        <v>9864</v>
      </c>
      <c r="U230" s="605"/>
      <c r="V230" s="730"/>
      <c r="W230" s="741"/>
      <c r="X230" s="588"/>
    </row>
    <row r="231" spans="1:24" x14ac:dyDescent="0.25">
      <c r="A231" s="736"/>
      <c r="B231" s="623" t="s">
        <v>285</v>
      </c>
      <c r="C231" s="737"/>
      <c r="D231" s="737"/>
      <c r="E231" s="737"/>
      <c r="F231" s="737"/>
      <c r="G231" s="679"/>
      <c r="H231" s="679"/>
      <c r="I231" s="679"/>
      <c r="J231" s="679"/>
      <c r="K231" s="679"/>
      <c r="L231" s="679"/>
      <c r="M231" s="679"/>
      <c r="N231" s="679"/>
      <c r="O231" s="679"/>
      <c r="P231" s="679"/>
      <c r="Q231" s="679"/>
      <c r="R231" s="679"/>
      <c r="S231" s="742"/>
      <c r="T231" s="738"/>
      <c r="U231" s="679"/>
      <c r="V231" s="734"/>
      <c r="W231" s="739"/>
      <c r="X231" s="572"/>
    </row>
    <row r="232" spans="1:24" s="589" customFormat="1" x14ac:dyDescent="0.25">
      <c r="A232" s="740"/>
      <c r="B232" s="605" t="s">
        <v>282</v>
      </c>
      <c r="C232" s="605"/>
      <c r="D232" s="605"/>
      <c r="E232" s="605"/>
      <c r="F232" s="605"/>
      <c r="G232" s="605"/>
      <c r="H232" s="605"/>
      <c r="I232" s="605"/>
      <c r="J232" s="605"/>
      <c r="K232" s="605"/>
      <c r="L232" s="605"/>
      <c r="M232" s="605"/>
      <c r="N232" s="605"/>
      <c r="O232" s="605"/>
      <c r="P232" s="605"/>
      <c r="Q232" s="605"/>
      <c r="R232" s="605"/>
      <c r="S232" s="611">
        <v>0</v>
      </c>
      <c r="T232" s="729">
        <v>0</v>
      </c>
      <c r="U232" s="605"/>
      <c r="V232" s="730"/>
      <c r="W232" s="741"/>
      <c r="X232" s="588"/>
    </row>
    <row r="233" spans="1:24" s="589" customFormat="1" x14ac:dyDescent="0.25">
      <c r="A233" s="727"/>
      <c r="B233" s="605" t="s">
        <v>86</v>
      </c>
      <c r="C233" s="635"/>
      <c r="D233" s="635"/>
      <c r="E233" s="635"/>
      <c r="F233" s="743"/>
      <c r="G233" s="605"/>
      <c r="H233" s="605"/>
      <c r="I233" s="605"/>
      <c r="J233" s="605"/>
      <c r="K233" s="605"/>
      <c r="L233" s="605"/>
      <c r="M233" s="605"/>
      <c r="N233" s="605"/>
      <c r="O233" s="605"/>
      <c r="P233" s="605"/>
      <c r="Q233" s="605"/>
      <c r="R233" s="605"/>
      <c r="S233" s="605"/>
      <c r="T233" s="744">
        <v>0</v>
      </c>
      <c r="U233" s="605"/>
      <c r="V233" s="730"/>
      <c r="W233" s="741"/>
      <c r="X233" s="588"/>
    </row>
    <row r="234" spans="1:24" s="589" customFormat="1" x14ac:dyDescent="0.25">
      <c r="A234" s="727"/>
      <c r="B234" s="605" t="s">
        <v>87</v>
      </c>
      <c r="C234" s="635"/>
      <c r="D234" s="635"/>
      <c r="E234" s="635"/>
      <c r="F234" s="743"/>
      <c r="G234" s="605"/>
      <c r="H234" s="605"/>
      <c r="I234" s="605"/>
      <c r="J234" s="605"/>
      <c r="K234" s="605"/>
      <c r="L234" s="605"/>
      <c r="M234" s="605"/>
      <c r="N234" s="605"/>
      <c r="O234" s="605"/>
      <c r="P234" s="605"/>
      <c r="Q234" s="605"/>
      <c r="R234" s="605"/>
      <c r="S234" s="605"/>
      <c r="T234" s="744">
        <v>0</v>
      </c>
      <c r="U234" s="605"/>
      <c r="V234" s="730"/>
      <c r="W234" s="741"/>
      <c r="X234" s="588"/>
    </row>
    <row r="235" spans="1:24" x14ac:dyDescent="0.25">
      <c r="A235" s="732"/>
      <c r="B235" s="623" t="s">
        <v>216</v>
      </c>
      <c r="C235" s="745"/>
      <c r="D235" s="745"/>
      <c r="E235" s="745"/>
      <c r="F235" s="746"/>
      <c r="G235" s="679"/>
      <c r="H235" s="679"/>
      <c r="I235" s="679"/>
      <c r="J235" s="679"/>
      <c r="K235" s="679"/>
      <c r="L235" s="679"/>
      <c r="M235" s="679"/>
      <c r="N235" s="679"/>
      <c r="O235" s="679"/>
      <c r="P235" s="679"/>
      <c r="Q235" s="679"/>
      <c r="R235" s="679"/>
      <c r="S235" s="681"/>
      <c r="T235" s="747"/>
      <c r="U235" s="679"/>
      <c r="V235" s="734"/>
      <c r="W235" s="739"/>
      <c r="X235" s="572"/>
    </row>
    <row r="236" spans="1:24" s="589" customFormat="1" x14ac:dyDescent="0.25">
      <c r="A236" s="727"/>
      <c r="B236" s="605" t="s">
        <v>282</v>
      </c>
      <c r="C236" s="635"/>
      <c r="D236" s="635"/>
      <c r="E236" s="635"/>
      <c r="F236" s="743"/>
      <c r="G236" s="605"/>
      <c r="H236" s="605"/>
      <c r="I236" s="605"/>
      <c r="J236" s="605"/>
      <c r="K236" s="605"/>
      <c r="L236" s="605"/>
      <c r="M236" s="605"/>
      <c r="N236" s="605"/>
      <c r="O236" s="605"/>
      <c r="P236" s="605"/>
      <c r="Q236" s="605"/>
      <c r="R236" s="605"/>
      <c r="S236" s="611">
        <v>4</v>
      </c>
      <c r="T236" s="729">
        <v>274</v>
      </c>
      <c r="U236" s="605"/>
      <c r="V236" s="730"/>
      <c r="W236" s="741"/>
      <c r="X236" s="588"/>
    </row>
    <row r="237" spans="1:24" s="589" customFormat="1" x14ac:dyDescent="0.25">
      <c r="A237" s="727"/>
      <c r="B237" s="605" t="s">
        <v>217</v>
      </c>
      <c r="C237" s="635"/>
      <c r="D237" s="635"/>
      <c r="E237" s="635"/>
      <c r="F237" s="743"/>
      <c r="G237" s="605"/>
      <c r="H237" s="605"/>
      <c r="I237" s="605"/>
      <c r="J237" s="605"/>
      <c r="K237" s="605"/>
      <c r="L237" s="605"/>
      <c r="M237" s="605"/>
      <c r="N237" s="605"/>
      <c r="O237" s="605"/>
      <c r="P237" s="605"/>
      <c r="Q237" s="605"/>
      <c r="R237" s="605"/>
      <c r="S237" s="605"/>
      <c r="T237" s="744">
        <v>3.41</v>
      </c>
      <c r="U237" s="605"/>
      <c r="V237" s="730"/>
      <c r="W237" s="741"/>
      <c r="X237" s="588"/>
    </row>
    <row r="238" spans="1:24" x14ac:dyDescent="0.25">
      <c r="A238" s="732"/>
      <c r="B238" s="737"/>
      <c r="C238" s="745"/>
      <c r="D238" s="745"/>
      <c r="E238" s="745"/>
      <c r="F238" s="746"/>
      <c r="G238" s="679"/>
      <c r="H238" s="679"/>
      <c r="I238" s="679"/>
      <c r="J238" s="679"/>
      <c r="K238" s="679"/>
      <c r="L238" s="679"/>
      <c r="M238" s="679"/>
      <c r="N238" s="679"/>
      <c r="O238" s="679"/>
      <c r="P238" s="679"/>
      <c r="Q238" s="679"/>
      <c r="R238" s="679"/>
      <c r="S238" s="681"/>
      <c r="T238" s="747"/>
      <c r="U238" s="679"/>
      <c r="V238" s="734"/>
      <c r="W238" s="739"/>
      <c r="X238" s="572"/>
    </row>
    <row r="239" spans="1:24" x14ac:dyDescent="0.25">
      <c r="A239" s="732"/>
      <c r="B239" s="737"/>
      <c r="C239" s="745"/>
      <c r="D239" s="745"/>
      <c r="E239" s="745"/>
      <c r="F239" s="746"/>
      <c r="G239" s="679"/>
      <c r="H239" s="679"/>
      <c r="I239" s="679"/>
      <c r="J239" s="679"/>
      <c r="K239" s="679"/>
      <c r="L239" s="679"/>
      <c r="M239" s="679"/>
      <c r="N239" s="679"/>
      <c r="O239" s="679"/>
      <c r="P239" s="679"/>
      <c r="Q239" s="679"/>
      <c r="R239" s="679"/>
      <c r="S239" s="679"/>
      <c r="T239" s="748"/>
      <c r="U239" s="679"/>
      <c r="V239" s="734"/>
      <c r="W239" s="739"/>
      <c r="X239" s="572"/>
    </row>
    <row r="240" spans="1:24" ht="18.75" x14ac:dyDescent="0.3">
      <c r="A240" s="732"/>
      <c r="B240" s="749" t="s">
        <v>168</v>
      </c>
      <c r="C240" s="745"/>
      <c r="D240" s="745"/>
      <c r="E240" s="745"/>
      <c r="F240" s="746"/>
      <c r="G240" s="679"/>
      <c r="H240" s="679"/>
      <c r="I240" s="679"/>
      <c r="J240" s="679"/>
      <c r="K240" s="679"/>
      <c r="L240" s="679"/>
      <c r="M240" s="679"/>
      <c r="N240" s="679"/>
      <c r="O240" s="679"/>
      <c r="P240" s="535" t="s">
        <v>341</v>
      </c>
      <c r="Q240" s="679"/>
      <c r="R240" s="679"/>
      <c r="S240" s="679"/>
      <c r="T240" s="748"/>
      <c r="U240" s="679"/>
      <c r="V240" s="734"/>
      <c r="W240" s="739"/>
      <c r="X240" s="572"/>
    </row>
    <row r="241" spans="1:25" x14ac:dyDescent="0.25">
      <c r="A241" s="750"/>
      <c r="B241" s="718"/>
      <c r="C241" s="751"/>
      <c r="D241" s="751"/>
      <c r="E241" s="751"/>
      <c r="F241" s="752"/>
      <c r="G241" s="664"/>
      <c r="H241" s="664"/>
      <c r="I241" s="664"/>
      <c r="J241" s="664"/>
      <c r="K241" s="664"/>
      <c r="L241" s="664"/>
      <c r="M241" s="664"/>
      <c r="N241" s="664"/>
      <c r="O241" s="664"/>
      <c r="P241" s="664"/>
      <c r="Q241" s="664"/>
      <c r="R241" s="664"/>
      <c r="S241" s="664"/>
      <c r="T241" s="753"/>
      <c r="U241" s="664"/>
      <c r="V241" s="719"/>
      <c r="W241" s="754"/>
      <c r="X241" s="572"/>
    </row>
    <row r="242" spans="1:25" x14ac:dyDescent="0.25">
      <c r="A242" s="597"/>
      <c r="B242" s="669" t="s">
        <v>297</v>
      </c>
      <c r="C242" s="670"/>
      <c r="D242" s="670"/>
      <c r="E242" s="670"/>
      <c r="F242" s="721"/>
      <c r="G242" s="670"/>
      <c r="H242" s="670"/>
      <c r="I242" s="670"/>
      <c r="J242" s="670"/>
      <c r="K242" s="670"/>
      <c r="L242" s="670"/>
      <c r="M242" s="670"/>
      <c r="N242" s="670"/>
      <c r="O242" s="670"/>
      <c r="P242" s="670"/>
      <c r="Q242" s="670"/>
      <c r="R242" s="721" t="s">
        <v>102</v>
      </c>
      <c r="S242" s="670" t="s">
        <v>103</v>
      </c>
      <c r="T242" s="721" t="s">
        <v>109</v>
      </c>
      <c r="U242" s="670" t="s">
        <v>103</v>
      </c>
      <c r="V242" s="598"/>
      <c r="W242" s="755"/>
      <c r="X242" s="572"/>
    </row>
    <row r="243" spans="1:25" s="589" customFormat="1" x14ac:dyDescent="0.25">
      <c r="A243" s="585"/>
      <c r="B243" s="673" t="s">
        <v>88</v>
      </c>
      <c r="C243" s="756"/>
      <c r="D243" s="756"/>
      <c r="E243" s="756"/>
      <c r="F243" s="602"/>
      <c r="G243" s="756"/>
      <c r="H243" s="756"/>
      <c r="I243" s="756"/>
      <c r="J243" s="756"/>
      <c r="K243" s="756"/>
      <c r="L243" s="756"/>
      <c r="M243" s="756"/>
      <c r="N243" s="756"/>
      <c r="O243" s="756"/>
      <c r="P243" s="756"/>
      <c r="Q243" s="756"/>
      <c r="R243" s="673">
        <f t="shared" ref="R243:R250" si="1">+R255+R267+R279</f>
        <v>3992</v>
      </c>
      <c r="S243" s="757">
        <f t="shared" ref="S243:S250" si="2">R243/$R$252</f>
        <v>0.98787428854243997</v>
      </c>
      <c r="T243" s="674">
        <f t="shared" ref="T243:T250" si="3">+T255+T267+T279</f>
        <v>539748</v>
      </c>
      <c r="U243" s="757">
        <f t="shared" ref="U243:U250" si="4">T243/$T$252</f>
        <v>0.98632029442615043</v>
      </c>
      <c r="V243" s="725"/>
      <c r="W243" s="758"/>
      <c r="X243" s="588"/>
    </row>
    <row r="244" spans="1:25" s="589" customFormat="1" x14ac:dyDescent="0.25">
      <c r="A244" s="604"/>
      <c r="B244" s="662" t="s">
        <v>89</v>
      </c>
      <c r="C244" s="759"/>
      <c r="D244" s="759"/>
      <c r="E244" s="759"/>
      <c r="F244" s="605"/>
      <c r="G244" s="760"/>
      <c r="H244" s="759"/>
      <c r="I244" s="759"/>
      <c r="J244" s="759"/>
      <c r="K244" s="759"/>
      <c r="L244" s="759"/>
      <c r="M244" s="759"/>
      <c r="N244" s="759"/>
      <c r="O244" s="759"/>
      <c r="P244" s="759"/>
      <c r="Q244" s="759"/>
      <c r="R244" s="662">
        <f t="shared" si="1"/>
        <v>21</v>
      </c>
      <c r="S244" s="760">
        <f t="shared" si="2"/>
        <v>5.196733481811433E-3</v>
      </c>
      <c r="T244" s="663">
        <f t="shared" si="3"/>
        <v>4223</v>
      </c>
      <c r="U244" s="760">
        <f t="shared" si="4"/>
        <v>7.7169912688173619E-3</v>
      </c>
      <c r="V244" s="730"/>
      <c r="W244" s="741"/>
      <c r="X244" s="588"/>
      <c r="Y244" s="685"/>
    </row>
    <row r="245" spans="1:25" s="589" customFormat="1" x14ac:dyDescent="0.25">
      <c r="A245" s="604"/>
      <c r="B245" s="662" t="s">
        <v>90</v>
      </c>
      <c r="C245" s="759"/>
      <c r="D245" s="759"/>
      <c r="E245" s="759"/>
      <c r="F245" s="605"/>
      <c r="G245" s="760"/>
      <c r="H245" s="759"/>
      <c r="I245" s="759"/>
      <c r="J245" s="759"/>
      <c r="K245" s="759"/>
      <c r="L245" s="759"/>
      <c r="M245" s="759"/>
      <c r="N245" s="759"/>
      <c r="O245" s="759"/>
      <c r="P245" s="759"/>
      <c r="Q245" s="759"/>
      <c r="R245" s="662">
        <f t="shared" si="1"/>
        <v>19</v>
      </c>
      <c r="S245" s="760">
        <f t="shared" si="2"/>
        <v>4.7018064835436775E-3</v>
      </c>
      <c r="T245" s="663">
        <f t="shared" si="3"/>
        <v>1747</v>
      </c>
      <c r="U245" s="760">
        <f t="shared" si="4"/>
        <v>3.1924185997215084E-3</v>
      </c>
      <c r="V245" s="730"/>
      <c r="W245" s="741"/>
      <c r="X245" s="588"/>
    </row>
    <row r="246" spans="1:25" s="589" customFormat="1" x14ac:dyDescent="0.25">
      <c r="A246" s="604"/>
      <c r="B246" s="662" t="s">
        <v>156</v>
      </c>
      <c r="C246" s="759"/>
      <c r="D246" s="759"/>
      <c r="E246" s="759"/>
      <c r="F246" s="605"/>
      <c r="G246" s="760"/>
      <c r="H246" s="759"/>
      <c r="I246" s="759"/>
      <c r="J246" s="759"/>
      <c r="K246" s="759"/>
      <c r="L246" s="759"/>
      <c r="M246" s="759"/>
      <c r="N246" s="759"/>
      <c r="O246" s="759"/>
      <c r="P246" s="759"/>
      <c r="Q246" s="759"/>
      <c r="R246" s="662">
        <f t="shared" si="1"/>
        <v>1</v>
      </c>
      <c r="S246" s="760">
        <f t="shared" si="2"/>
        <v>2.4746349913387774E-4</v>
      </c>
      <c r="T246" s="663">
        <f t="shared" si="3"/>
        <v>179</v>
      </c>
      <c r="U246" s="760">
        <f t="shared" si="4"/>
        <v>3.2709955887243847E-4</v>
      </c>
      <c r="V246" s="730"/>
      <c r="W246" s="741"/>
      <c r="X246" s="588"/>
      <c r="Y246" s="685"/>
    </row>
    <row r="247" spans="1:25" s="589" customFormat="1" x14ac:dyDescent="0.25">
      <c r="A247" s="604"/>
      <c r="B247" s="662" t="s">
        <v>157</v>
      </c>
      <c r="C247" s="759"/>
      <c r="D247" s="759"/>
      <c r="E247" s="759"/>
      <c r="F247" s="605"/>
      <c r="G247" s="760"/>
      <c r="H247" s="759"/>
      <c r="I247" s="759"/>
      <c r="J247" s="759"/>
      <c r="K247" s="759"/>
      <c r="L247" s="759"/>
      <c r="M247" s="759"/>
      <c r="N247" s="759"/>
      <c r="O247" s="759"/>
      <c r="P247" s="759"/>
      <c r="Q247" s="759"/>
      <c r="R247" s="662">
        <f t="shared" si="1"/>
        <v>1</v>
      </c>
      <c r="S247" s="760">
        <f t="shared" si="2"/>
        <v>2.4746349913387774E-4</v>
      </c>
      <c r="T247" s="663">
        <f t="shared" si="3"/>
        <v>50</v>
      </c>
      <c r="U247" s="760">
        <f t="shared" si="4"/>
        <v>9.1368591863809627E-5</v>
      </c>
      <c r="V247" s="730"/>
      <c r="W247" s="741"/>
      <c r="X247" s="588"/>
    </row>
    <row r="248" spans="1:25" s="589" customFormat="1" x14ac:dyDescent="0.25">
      <c r="A248" s="604"/>
      <c r="B248" s="662" t="s">
        <v>158</v>
      </c>
      <c r="C248" s="759"/>
      <c r="D248" s="759"/>
      <c r="E248" s="759"/>
      <c r="F248" s="605"/>
      <c r="G248" s="760"/>
      <c r="H248" s="759"/>
      <c r="I248" s="759"/>
      <c r="J248" s="759"/>
      <c r="K248" s="759"/>
      <c r="L248" s="759"/>
      <c r="M248" s="759"/>
      <c r="N248" s="759"/>
      <c r="O248" s="759"/>
      <c r="P248" s="759"/>
      <c r="Q248" s="759"/>
      <c r="R248" s="662">
        <f t="shared" si="1"/>
        <v>2</v>
      </c>
      <c r="S248" s="760">
        <f t="shared" si="2"/>
        <v>4.9492699826775548E-4</v>
      </c>
      <c r="T248" s="663">
        <f t="shared" si="3"/>
        <v>186</v>
      </c>
      <c r="U248" s="760">
        <f t="shared" si="4"/>
        <v>3.3989116173337186E-4</v>
      </c>
      <c r="V248" s="730"/>
      <c r="W248" s="741"/>
      <c r="X248" s="588"/>
      <c r="Y248" s="685"/>
    </row>
    <row r="249" spans="1:25" s="589" customFormat="1" x14ac:dyDescent="0.25">
      <c r="A249" s="604"/>
      <c r="B249" s="662" t="s">
        <v>159</v>
      </c>
      <c r="C249" s="759"/>
      <c r="D249" s="759"/>
      <c r="E249" s="759"/>
      <c r="F249" s="605"/>
      <c r="G249" s="760"/>
      <c r="H249" s="759"/>
      <c r="I249" s="759"/>
      <c r="J249" s="759"/>
      <c r="K249" s="759"/>
      <c r="L249" s="759"/>
      <c r="M249" s="759"/>
      <c r="N249" s="759"/>
      <c r="O249" s="759"/>
      <c r="P249" s="759"/>
      <c r="Q249" s="759"/>
      <c r="R249" s="662">
        <f t="shared" si="1"/>
        <v>4</v>
      </c>
      <c r="S249" s="760">
        <f t="shared" si="2"/>
        <v>9.8985399653551097E-4</v>
      </c>
      <c r="T249" s="663">
        <f t="shared" si="3"/>
        <v>470</v>
      </c>
      <c r="U249" s="760">
        <f t="shared" si="4"/>
        <v>8.5886476351981051E-4</v>
      </c>
      <c r="V249" s="730"/>
      <c r="W249" s="741"/>
      <c r="X249" s="588"/>
    </row>
    <row r="250" spans="1:25" s="589" customFormat="1" x14ac:dyDescent="0.25">
      <c r="A250" s="604"/>
      <c r="B250" s="662" t="s">
        <v>160</v>
      </c>
      <c r="C250" s="759"/>
      <c r="D250" s="759"/>
      <c r="E250" s="759"/>
      <c r="F250" s="605"/>
      <c r="G250" s="760"/>
      <c r="H250" s="759"/>
      <c r="I250" s="759"/>
      <c r="J250" s="759"/>
      <c r="K250" s="759"/>
      <c r="L250" s="759"/>
      <c r="M250" s="759"/>
      <c r="N250" s="759"/>
      <c r="O250" s="759"/>
      <c r="P250" s="759"/>
      <c r="Q250" s="759"/>
      <c r="R250" s="673">
        <f t="shared" si="1"/>
        <v>1</v>
      </c>
      <c r="S250" s="760">
        <f t="shared" si="2"/>
        <v>2.4746349913387774E-4</v>
      </c>
      <c r="T250" s="674">
        <f t="shared" si="3"/>
        <v>631</v>
      </c>
      <c r="U250" s="757">
        <f t="shared" si="4"/>
        <v>1.1530716293212775E-3</v>
      </c>
      <c r="V250" s="730"/>
      <c r="W250" s="741"/>
      <c r="X250" s="588"/>
      <c r="Y250" s="685"/>
    </row>
    <row r="251" spans="1:25" s="589" customFormat="1" x14ac:dyDescent="0.25">
      <c r="A251" s="604"/>
      <c r="B251" s="662"/>
      <c r="C251" s="759"/>
      <c r="D251" s="759"/>
      <c r="E251" s="759"/>
      <c r="F251" s="605"/>
      <c r="G251" s="760"/>
      <c r="H251" s="759"/>
      <c r="I251" s="759"/>
      <c r="J251" s="759"/>
      <c r="K251" s="759"/>
      <c r="L251" s="759"/>
      <c r="M251" s="759"/>
      <c r="N251" s="759"/>
      <c r="O251" s="759"/>
      <c r="P251" s="759"/>
      <c r="Q251" s="759"/>
      <c r="R251" s="662"/>
      <c r="S251" s="760"/>
      <c r="T251" s="663"/>
      <c r="U251" s="760"/>
      <c r="V251" s="730"/>
      <c r="W251" s="741"/>
      <c r="X251" s="588"/>
    </row>
    <row r="252" spans="1:25" s="589" customFormat="1" x14ac:dyDescent="0.25">
      <c r="A252" s="604"/>
      <c r="B252" s="605"/>
      <c r="C252" s="605"/>
      <c r="D252" s="605"/>
      <c r="E252" s="605"/>
      <c r="F252" s="605"/>
      <c r="G252" s="605"/>
      <c r="H252" s="761"/>
      <c r="I252" s="761"/>
      <c r="J252" s="761"/>
      <c r="K252" s="761"/>
      <c r="L252" s="761"/>
      <c r="M252" s="761"/>
      <c r="N252" s="761"/>
      <c r="O252" s="761"/>
      <c r="P252" s="761"/>
      <c r="Q252" s="761"/>
      <c r="R252" s="662">
        <f>SUM(R243:R251)</f>
        <v>4041</v>
      </c>
      <c r="S252" s="760">
        <f>SUM(S243:S251)</f>
        <v>0.99999999999999989</v>
      </c>
      <c r="T252" s="663">
        <f>SUM(T243:T251)</f>
        <v>547234</v>
      </c>
      <c r="U252" s="760">
        <f>SUM(U243:U251)</f>
        <v>1</v>
      </c>
      <c r="V252" s="605"/>
      <c r="W252" s="607"/>
      <c r="X252" s="588"/>
    </row>
    <row r="253" spans="1:25" x14ac:dyDescent="0.25">
      <c r="A253" s="574"/>
      <c r="B253" s="664"/>
      <c r="C253" s="664"/>
      <c r="D253" s="664"/>
      <c r="E253" s="664"/>
      <c r="F253" s="664"/>
      <c r="G253" s="664"/>
      <c r="H253" s="762"/>
      <c r="I253" s="762"/>
      <c r="J253" s="762"/>
      <c r="K253" s="762"/>
      <c r="L253" s="762"/>
      <c r="M253" s="762"/>
      <c r="N253" s="762"/>
      <c r="O253" s="762"/>
      <c r="P253" s="762"/>
      <c r="Q253" s="762"/>
      <c r="R253" s="665"/>
      <c r="S253" s="763"/>
      <c r="T253" s="764"/>
      <c r="U253" s="763"/>
      <c r="V253" s="664"/>
      <c r="W253" s="664"/>
      <c r="X253" s="572"/>
    </row>
    <row r="254" spans="1:25" x14ac:dyDescent="0.25">
      <c r="A254" s="597"/>
      <c r="B254" s="669" t="s">
        <v>162</v>
      </c>
      <c r="C254" s="670"/>
      <c r="D254" s="670"/>
      <c r="E254" s="670"/>
      <c r="F254" s="721"/>
      <c r="G254" s="670"/>
      <c r="H254" s="670"/>
      <c r="I254" s="670"/>
      <c r="J254" s="670"/>
      <c r="K254" s="670"/>
      <c r="L254" s="670"/>
      <c r="M254" s="670"/>
      <c r="N254" s="670"/>
      <c r="O254" s="670"/>
      <c r="P254" s="670"/>
      <c r="Q254" s="670"/>
      <c r="R254" s="721" t="s">
        <v>102</v>
      </c>
      <c r="S254" s="670" t="s">
        <v>103</v>
      </c>
      <c r="T254" s="721" t="s">
        <v>109</v>
      </c>
      <c r="U254" s="670" t="s">
        <v>103</v>
      </c>
      <c r="V254" s="598"/>
      <c r="W254" s="755"/>
      <c r="X254" s="572"/>
    </row>
    <row r="255" spans="1:25" s="589" customFormat="1" x14ac:dyDescent="0.25">
      <c r="A255" s="585"/>
      <c r="B255" s="673" t="s">
        <v>88</v>
      </c>
      <c r="C255" s="756"/>
      <c r="D255" s="756"/>
      <c r="E255" s="756"/>
      <c r="F255" s="602"/>
      <c r="G255" s="756"/>
      <c r="H255" s="756"/>
      <c r="I255" s="756"/>
      <c r="J255" s="756"/>
      <c r="K255" s="756"/>
      <c r="L255" s="756"/>
      <c r="M255" s="756"/>
      <c r="N255" s="756"/>
      <c r="O255" s="756"/>
      <c r="P255" s="756"/>
      <c r="Q255" s="756"/>
      <c r="R255" s="673">
        <v>3939</v>
      </c>
      <c r="S255" s="757">
        <f>R255/$R$264</f>
        <v>0.99094339622641514</v>
      </c>
      <c r="T255" s="674">
        <v>532632</v>
      </c>
      <c r="U255" s="757">
        <f t="shared" ref="U255:U262" si="5">T255/$T$264</f>
        <v>0.99043652084979783</v>
      </c>
      <c r="V255" s="725"/>
      <c r="W255" s="758"/>
      <c r="X255" s="588"/>
    </row>
    <row r="256" spans="1:25" s="589" customFormat="1" x14ac:dyDescent="0.25">
      <c r="A256" s="604"/>
      <c r="B256" s="662" t="s">
        <v>89</v>
      </c>
      <c r="C256" s="759"/>
      <c r="D256" s="759"/>
      <c r="E256" s="759"/>
      <c r="F256" s="605"/>
      <c r="G256" s="760"/>
      <c r="H256" s="759"/>
      <c r="I256" s="759"/>
      <c r="J256" s="759"/>
      <c r="K256" s="759"/>
      <c r="L256" s="759"/>
      <c r="M256" s="759"/>
      <c r="N256" s="759"/>
      <c r="O256" s="759"/>
      <c r="P256" s="759"/>
      <c r="Q256" s="759"/>
      <c r="R256" s="662">
        <v>18</v>
      </c>
      <c r="S256" s="760">
        <f t="shared" ref="S256:S262" si="6">R256/$R$264</f>
        <v>4.528301886792453E-3</v>
      </c>
      <c r="T256" s="663">
        <v>3677</v>
      </c>
      <c r="U256" s="760">
        <f t="shared" si="5"/>
        <v>6.8374320115289853E-3</v>
      </c>
      <c r="V256" s="730"/>
      <c r="W256" s="741"/>
      <c r="X256" s="588"/>
      <c r="Y256" s="685"/>
    </row>
    <row r="257" spans="1:25" s="589" customFormat="1" x14ac:dyDescent="0.25">
      <c r="A257" s="604"/>
      <c r="B257" s="662" t="s">
        <v>90</v>
      </c>
      <c r="C257" s="759"/>
      <c r="D257" s="759"/>
      <c r="E257" s="759"/>
      <c r="F257" s="605"/>
      <c r="G257" s="760"/>
      <c r="H257" s="759"/>
      <c r="I257" s="759"/>
      <c r="J257" s="759"/>
      <c r="K257" s="759"/>
      <c r="L257" s="759"/>
      <c r="M257" s="759"/>
      <c r="N257" s="759"/>
      <c r="O257" s="759"/>
      <c r="P257" s="759"/>
      <c r="Q257" s="759"/>
      <c r="R257" s="662">
        <v>15</v>
      </c>
      <c r="S257" s="760">
        <f t="shared" si="6"/>
        <v>3.7735849056603774E-3</v>
      </c>
      <c r="T257" s="663">
        <v>1208</v>
      </c>
      <c r="U257" s="760">
        <f t="shared" si="5"/>
        <v>2.2462925944865416E-3</v>
      </c>
      <c r="V257" s="730"/>
      <c r="W257" s="741"/>
      <c r="X257" s="588"/>
    </row>
    <row r="258" spans="1:25" s="589" customFormat="1" x14ac:dyDescent="0.25">
      <c r="A258" s="604"/>
      <c r="B258" s="662" t="s">
        <v>156</v>
      </c>
      <c r="C258" s="759"/>
      <c r="D258" s="759"/>
      <c r="E258" s="759"/>
      <c r="F258" s="605"/>
      <c r="G258" s="760"/>
      <c r="H258" s="759"/>
      <c r="I258" s="759"/>
      <c r="J258" s="759"/>
      <c r="K258" s="759"/>
      <c r="L258" s="759"/>
      <c r="M258" s="759"/>
      <c r="N258" s="759"/>
      <c r="O258" s="759"/>
      <c r="P258" s="759"/>
      <c r="Q258" s="759"/>
      <c r="R258" s="662">
        <v>0</v>
      </c>
      <c r="S258" s="760">
        <f t="shared" si="6"/>
        <v>0</v>
      </c>
      <c r="T258" s="663">
        <v>0</v>
      </c>
      <c r="U258" s="760">
        <f t="shared" si="5"/>
        <v>0</v>
      </c>
      <c r="V258" s="730"/>
      <c r="W258" s="741"/>
      <c r="X258" s="588"/>
      <c r="Y258" s="685"/>
    </row>
    <row r="259" spans="1:25" s="589" customFormat="1" x14ac:dyDescent="0.25">
      <c r="A259" s="604"/>
      <c r="B259" s="662" t="s">
        <v>157</v>
      </c>
      <c r="C259" s="759"/>
      <c r="D259" s="759"/>
      <c r="E259" s="759"/>
      <c r="F259" s="605"/>
      <c r="G259" s="760"/>
      <c r="H259" s="759"/>
      <c r="I259" s="759"/>
      <c r="J259" s="759"/>
      <c r="K259" s="759"/>
      <c r="L259" s="759"/>
      <c r="M259" s="759"/>
      <c r="N259" s="759"/>
      <c r="O259" s="759"/>
      <c r="P259" s="759"/>
      <c r="Q259" s="759"/>
      <c r="R259" s="662">
        <v>1</v>
      </c>
      <c r="S259" s="760">
        <f t="shared" si="6"/>
        <v>2.5157232704402514E-4</v>
      </c>
      <c r="T259" s="663">
        <v>50</v>
      </c>
      <c r="U259" s="760">
        <f t="shared" si="5"/>
        <v>9.2975686857886658E-5</v>
      </c>
      <c r="V259" s="730"/>
      <c r="W259" s="741"/>
      <c r="X259" s="588"/>
    </row>
    <row r="260" spans="1:25" s="589" customFormat="1" x14ac:dyDescent="0.25">
      <c r="A260" s="604"/>
      <c r="B260" s="662" t="s">
        <v>158</v>
      </c>
      <c r="C260" s="759"/>
      <c r="D260" s="759"/>
      <c r="E260" s="759"/>
      <c r="F260" s="605"/>
      <c r="G260" s="760"/>
      <c r="H260" s="759"/>
      <c r="I260" s="759"/>
      <c r="J260" s="759"/>
      <c r="K260" s="759"/>
      <c r="L260" s="759"/>
      <c r="M260" s="759"/>
      <c r="N260" s="759"/>
      <c r="O260" s="759"/>
      <c r="P260" s="759"/>
      <c r="Q260" s="759"/>
      <c r="R260" s="662">
        <v>1</v>
      </c>
      <c r="S260" s="760">
        <f t="shared" si="6"/>
        <v>2.5157232704402514E-4</v>
      </c>
      <c r="T260" s="663">
        <v>69</v>
      </c>
      <c r="U260" s="760">
        <f t="shared" si="5"/>
        <v>1.2830644786388361E-4</v>
      </c>
      <c r="V260" s="730"/>
      <c r="W260" s="741"/>
      <c r="X260" s="588"/>
      <c r="Y260" s="685"/>
    </row>
    <row r="261" spans="1:25" s="589" customFormat="1" x14ac:dyDescent="0.25">
      <c r="A261" s="604"/>
      <c r="B261" s="662" t="s">
        <v>159</v>
      </c>
      <c r="C261" s="759"/>
      <c r="D261" s="759"/>
      <c r="E261" s="759"/>
      <c r="F261" s="605"/>
      <c r="G261" s="760"/>
      <c r="H261" s="759"/>
      <c r="I261" s="759"/>
      <c r="J261" s="759"/>
      <c r="K261" s="759"/>
      <c r="L261" s="759"/>
      <c r="M261" s="759"/>
      <c r="N261" s="759"/>
      <c r="O261" s="759"/>
      <c r="P261" s="759"/>
      <c r="Q261" s="759"/>
      <c r="R261" s="662">
        <v>1</v>
      </c>
      <c r="S261" s="760">
        <f t="shared" si="6"/>
        <v>2.5157232704402514E-4</v>
      </c>
      <c r="T261" s="663">
        <v>139</v>
      </c>
      <c r="U261" s="760">
        <f t="shared" si="5"/>
        <v>2.584724094649249E-4</v>
      </c>
      <c r="V261" s="730"/>
      <c r="W261" s="741"/>
      <c r="X261" s="588"/>
    </row>
    <row r="262" spans="1:25" s="589" customFormat="1" x14ac:dyDescent="0.25">
      <c r="A262" s="604"/>
      <c r="B262" s="662" t="s">
        <v>160</v>
      </c>
      <c r="C262" s="759"/>
      <c r="D262" s="759"/>
      <c r="E262" s="759"/>
      <c r="F262" s="605"/>
      <c r="G262" s="760"/>
      <c r="H262" s="759"/>
      <c r="I262" s="759"/>
      <c r="J262" s="759"/>
      <c r="K262" s="759"/>
      <c r="L262" s="759"/>
      <c r="M262" s="759"/>
      <c r="N262" s="759"/>
      <c r="O262" s="759"/>
      <c r="P262" s="759"/>
      <c r="Q262" s="759"/>
      <c r="R262" s="662">
        <v>0</v>
      </c>
      <c r="S262" s="760">
        <f t="shared" si="6"/>
        <v>0</v>
      </c>
      <c r="T262" s="663">
        <v>0</v>
      </c>
      <c r="U262" s="760">
        <f t="shared" si="5"/>
        <v>0</v>
      </c>
      <c r="V262" s="730"/>
      <c r="W262" s="741"/>
      <c r="X262" s="588"/>
      <c r="Y262" s="685"/>
    </row>
    <row r="263" spans="1:25" s="589" customFormat="1" x14ac:dyDescent="0.25">
      <c r="A263" s="604"/>
      <c r="B263" s="662"/>
      <c r="C263" s="759"/>
      <c r="D263" s="759"/>
      <c r="E263" s="759"/>
      <c r="F263" s="605"/>
      <c r="G263" s="760"/>
      <c r="H263" s="759"/>
      <c r="I263" s="759"/>
      <c r="J263" s="759"/>
      <c r="K263" s="759"/>
      <c r="L263" s="759"/>
      <c r="M263" s="759"/>
      <c r="N263" s="759"/>
      <c r="O263" s="759"/>
      <c r="P263" s="759"/>
      <c r="Q263" s="759"/>
      <c r="R263" s="662"/>
      <c r="S263" s="760"/>
      <c r="T263" s="663"/>
      <c r="U263" s="760"/>
      <c r="V263" s="730"/>
      <c r="W263" s="741"/>
      <c r="X263" s="588"/>
    </row>
    <row r="264" spans="1:25" s="589" customFormat="1" x14ac:dyDescent="0.25">
      <c r="A264" s="604"/>
      <c r="B264" s="605"/>
      <c r="C264" s="605"/>
      <c r="D264" s="605"/>
      <c r="E264" s="605"/>
      <c r="F264" s="605"/>
      <c r="G264" s="605"/>
      <c r="H264" s="761"/>
      <c r="I264" s="761"/>
      <c r="J264" s="761"/>
      <c r="K264" s="761"/>
      <c r="L264" s="761"/>
      <c r="M264" s="761"/>
      <c r="N264" s="761"/>
      <c r="O264" s="761"/>
      <c r="P264" s="761"/>
      <c r="Q264" s="761"/>
      <c r="R264" s="662">
        <f>SUM(R255:R263)</f>
        <v>3975</v>
      </c>
      <c r="S264" s="760">
        <f>SUM(S255:S263)</f>
        <v>0.99999999999999989</v>
      </c>
      <c r="T264" s="663">
        <f>SUM(T255:T263)</f>
        <v>537775</v>
      </c>
      <c r="U264" s="760">
        <f>SUM(U255:U263)</f>
        <v>1</v>
      </c>
      <c r="V264" s="605"/>
      <c r="W264" s="607"/>
      <c r="X264" s="588"/>
    </row>
    <row r="265" spans="1:25" x14ac:dyDescent="0.25">
      <c r="A265" s="574"/>
      <c r="B265" s="664"/>
      <c r="C265" s="664"/>
      <c r="D265" s="664"/>
      <c r="E265" s="664"/>
      <c r="F265" s="664"/>
      <c r="G265" s="664"/>
      <c r="H265" s="762"/>
      <c r="I265" s="762"/>
      <c r="J265" s="762"/>
      <c r="K265" s="762"/>
      <c r="L265" s="762"/>
      <c r="M265" s="762"/>
      <c r="N265" s="762"/>
      <c r="O265" s="762"/>
      <c r="P265" s="762"/>
      <c r="Q265" s="762"/>
      <c r="R265" s="665"/>
      <c r="S265" s="763"/>
      <c r="T265" s="764"/>
      <c r="U265" s="763"/>
      <c r="V265" s="664"/>
      <c r="W265" s="664"/>
      <c r="X265" s="572"/>
    </row>
    <row r="266" spans="1:25" x14ac:dyDescent="0.25">
      <c r="A266" s="597"/>
      <c r="B266" s="669" t="s">
        <v>236</v>
      </c>
      <c r="C266" s="670"/>
      <c r="D266" s="670"/>
      <c r="E266" s="670"/>
      <c r="F266" s="721"/>
      <c r="G266" s="670"/>
      <c r="H266" s="670"/>
      <c r="I266" s="670"/>
      <c r="J266" s="670"/>
      <c r="K266" s="670"/>
      <c r="L266" s="670"/>
      <c r="M266" s="670"/>
      <c r="N266" s="670"/>
      <c r="O266" s="670"/>
      <c r="P266" s="670"/>
      <c r="Q266" s="670"/>
      <c r="R266" s="721" t="s">
        <v>102</v>
      </c>
      <c r="S266" s="670" t="s">
        <v>103</v>
      </c>
      <c r="T266" s="721" t="s">
        <v>109</v>
      </c>
      <c r="U266" s="670" t="s">
        <v>103</v>
      </c>
      <c r="V266" s="598"/>
      <c r="W266" s="601"/>
      <c r="X266" s="572"/>
    </row>
    <row r="267" spans="1:25" s="589" customFormat="1" x14ac:dyDescent="0.25">
      <c r="A267" s="585"/>
      <c r="B267" s="673" t="s">
        <v>88</v>
      </c>
      <c r="C267" s="756"/>
      <c r="D267" s="756"/>
      <c r="E267" s="756"/>
      <c r="F267" s="602"/>
      <c r="G267" s="756"/>
      <c r="H267" s="756"/>
      <c r="I267" s="756"/>
      <c r="J267" s="756"/>
      <c r="K267" s="756"/>
      <c r="L267" s="756"/>
      <c r="M267" s="756"/>
      <c r="N267" s="756"/>
      <c r="O267" s="756"/>
      <c r="P267" s="756"/>
      <c r="Q267" s="756"/>
      <c r="R267" s="673">
        <v>52</v>
      </c>
      <c r="S267" s="757">
        <f t="shared" ref="S267:S273" si="7">R267/$R$276</f>
        <v>0.8</v>
      </c>
      <c r="T267" s="674">
        <v>7085</v>
      </c>
      <c r="U267" s="757">
        <f t="shared" ref="U267:U274" si="8">T267/$T$276</f>
        <v>0.75148493848112008</v>
      </c>
      <c r="V267" s="602"/>
      <c r="W267" s="602"/>
      <c r="X267" s="588"/>
    </row>
    <row r="268" spans="1:25" s="589" customFormat="1" x14ac:dyDescent="0.25">
      <c r="A268" s="604"/>
      <c r="B268" s="662" t="s">
        <v>89</v>
      </c>
      <c r="C268" s="759"/>
      <c r="D268" s="759"/>
      <c r="E268" s="759"/>
      <c r="F268" s="605"/>
      <c r="G268" s="760"/>
      <c r="H268" s="759"/>
      <c r="I268" s="759"/>
      <c r="J268" s="759"/>
      <c r="K268" s="759"/>
      <c r="L268" s="759"/>
      <c r="M268" s="759"/>
      <c r="N268" s="759"/>
      <c r="O268" s="759"/>
      <c r="P268" s="759"/>
      <c r="Q268" s="759"/>
      <c r="R268" s="662">
        <v>3</v>
      </c>
      <c r="S268" s="760">
        <f t="shared" si="7"/>
        <v>4.6153846153846156E-2</v>
      </c>
      <c r="T268" s="663">
        <v>546</v>
      </c>
      <c r="U268" s="760">
        <f t="shared" si="8"/>
        <v>5.7912600763682646E-2</v>
      </c>
      <c r="V268" s="605"/>
      <c r="W268" s="607"/>
      <c r="X268" s="588"/>
    </row>
    <row r="269" spans="1:25" s="589" customFormat="1" x14ac:dyDescent="0.25">
      <c r="A269" s="604"/>
      <c r="B269" s="662" t="s">
        <v>90</v>
      </c>
      <c r="C269" s="759"/>
      <c r="D269" s="759"/>
      <c r="E269" s="759"/>
      <c r="F269" s="605"/>
      <c r="G269" s="760"/>
      <c r="H269" s="759"/>
      <c r="I269" s="759"/>
      <c r="J269" s="759"/>
      <c r="K269" s="759"/>
      <c r="L269" s="759"/>
      <c r="M269" s="759"/>
      <c r="N269" s="759"/>
      <c r="O269" s="759"/>
      <c r="P269" s="759"/>
      <c r="Q269" s="759"/>
      <c r="R269" s="662">
        <v>4</v>
      </c>
      <c r="S269" s="760">
        <f t="shared" si="7"/>
        <v>6.1538461538461542E-2</v>
      </c>
      <c r="T269" s="663">
        <v>539</v>
      </c>
      <c r="U269" s="760">
        <f t="shared" si="8"/>
        <v>5.7170131523122614E-2</v>
      </c>
      <c r="V269" s="605"/>
      <c r="W269" s="607"/>
      <c r="X269" s="588"/>
    </row>
    <row r="270" spans="1:25" s="589" customFormat="1" x14ac:dyDescent="0.25">
      <c r="A270" s="604"/>
      <c r="B270" s="662" t="s">
        <v>156</v>
      </c>
      <c r="C270" s="759"/>
      <c r="D270" s="759"/>
      <c r="E270" s="759"/>
      <c r="F270" s="605"/>
      <c r="G270" s="760"/>
      <c r="H270" s="759"/>
      <c r="I270" s="759"/>
      <c r="J270" s="759"/>
      <c r="K270" s="759"/>
      <c r="L270" s="759"/>
      <c r="M270" s="759"/>
      <c r="N270" s="759"/>
      <c r="O270" s="759"/>
      <c r="P270" s="759"/>
      <c r="Q270" s="759"/>
      <c r="R270" s="662">
        <v>1</v>
      </c>
      <c r="S270" s="760">
        <f t="shared" si="7"/>
        <v>1.5384615384615385E-2</v>
      </c>
      <c r="T270" s="663">
        <v>179</v>
      </c>
      <c r="U270" s="760">
        <f t="shared" si="8"/>
        <v>1.8985999151463723E-2</v>
      </c>
      <c r="V270" s="605"/>
      <c r="W270" s="607"/>
      <c r="X270" s="588"/>
    </row>
    <row r="271" spans="1:25" s="589" customFormat="1" x14ac:dyDescent="0.25">
      <c r="A271" s="604"/>
      <c r="B271" s="662" t="s">
        <v>157</v>
      </c>
      <c r="C271" s="759"/>
      <c r="D271" s="759"/>
      <c r="E271" s="759"/>
      <c r="F271" s="605"/>
      <c r="G271" s="760"/>
      <c r="H271" s="759"/>
      <c r="I271" s="759"/>
      <c r="J271" s="759"/>
      <c r="K271" s="759"/>
      <c r="L271" s="759"/>
      <c r="M271" s="759"/>
      <c r="N271" s="759"/>
      <c r="O271" s="759"/>
      <c r="P271" s="759"/>
      <c r="Q271" s="759"/>
      <c r="R271" s="662">
        <v>0</v>
      </c>
      <c r="S271" s="760">
        <f t="shared" si="7"/>
        <v>0</v>
      </c>
      <c r="T271" s="663">
        <v>0</v>
      </c>
      <c r="U271" s="760">
        <f t="shared" si="8"/>
        <v>0</v>
      </c>
      <c r="V271" s="605"/>
      <c r="W271" s="607"/>
      <c r="X271" s="588"/>
    </row>
    <row r="272" spans="1:25" s="589" customFormat="1" x14ac:dyDescent="0.25">
      <c r="A272" s="604"/>
      <c r="B272" s="662" t="s">
        <v>158</v>
      </c>
      <c r="C272" s="759"/>
      <c r="D272" s="759"/>
      <c r="E272" s="759"/>
      <c r="F272" s="605"/>
      <c r="G272" s="760"/>
      <c r="H272" s="759"/>
      <c r="I272" s="759"/>
      <c r="J272" s="759"/>
      <c r="K272" s="759"/>
      <c r="L272" s="759"/>
      <c r="M272" s="759"/>
      <c r="N272" s="759"/>
      <c r="O272" s="759"/>
      <c r="P272" s="759"/>
      <c r="Q272" s="759"/>
      <c r="R272" s="662">
        <v>1</v>
      </c>
      <c r="S272" s="760">
        <f t="shared" si="7"/>
        <v>1.5384615384615385E-2</v>
      </c>
      <c r="T272" s="663">
        <v>117</v>
      </c>
      <c r="U272" s="760">
        <f t="shared" si="8"/>
        <v>1.2409843020789138E-2</v>
      </c>
      <c r="V272" s="605"/>
      <c r="W272" s="607"/>
      <c r="X272" s="588"/>
    </row>
    <row r="273" spans="1:24" s="589" customFormat="1" x14ac:dyDescent="0.25">
      <c r="A273" s="604"/>
      <c r="B273" s="662" t="s">
        <v>159</v>
      </c>
      <c r="C273" s="759"/>
      <c r="D273" s="759"/>
      <c r="E273" s="759"/>
      <c r="F273" s="605"/>
      <c r="G273" s="760"/>
      <c r="H273" s="759"/>
      <c r="I273" s="759"/>
      <c r="J273" s="759"/>
      <c r="K273" s="759"/>
      <c r="L273" s="759"/>
      <c r="M273" s="759"/>
      <c r="N273" s="759"/>
      <c r="O273" s="759"/>
      <c r="P273" s="759"/>
      <c r="Q273" s="759"/>
      <c r="R273" s="662">
        <v>3</v>
      </c>
      <c r="S273" s="760">
        <f t="shared" si="7"/>
        <v>4.6153846153846156E-2</v>
      </c>
      <c r="T273" s="663">
        <v>331</v>
      </c>
      <c r="U273" s="760">
        <f t="shared" si="8"/>
        <v>3.5108188375053036E-2</v>
      </c>
      <c r="V273" s="605"/>
      <c r="W273" s="607"/>
      <c r="X273" s="588"/>
    </row>
    <row r="274" spans="1:24" s="589" customFormat="1" x14ac:dyDescent="0.25">
      <c r="A274" s="604"/>
      <c r="B274" s="662" t="s">
        <v>160</v>
      </c>
      <c r="C274" s="759"/>
      <c r="D274" s="759"/>
      <c r="E274" s="759"/>
      <c r="F274" s="605"/>
      <c r="G274" s="760"/>
      <c r="H274" s="759"/>
      <c r="I274" s="759"/>
      <c r="J274" s="759"/>
      <c r="K274" s="759"/>
      <c r="L274" s="759"/>
      <c r="M274" s="759"/>
      <c r="N274" s="759"/>
      <c r="O274" s="759"/>
      <c r="P274" s="759"/>
      <c r="Q274" s="759"/>
      <c r="R274" s="662">
        <v>1</v>
      </c>
      <c r="S274" s="760">
        <f>R274/$R$276</f>
        <v>1.5384615384615385E-2</v>
      </c>
      <c r="T274" s="663">
        <v>631</v>
      </c>
      <c r="U274" s="760">
        <f t="shared" si="8"/>
        <v>6.6928298684768781E-2</v>
      </c>
      <c r="V274" s="605"/>
      <c r="W274" s="607"/>
      <c r="X274" s="588"/>
    </row>
    <row r="275" spans="1:24" s="589" customFormat="1" x14ac:dyDescent="0.25">
      <c r="A275" s="604"/>
      <c r="B275" s="662"/>
      <c r="C275" s="759"/>
      <c r="D275" s="759"/>
      <c r="E275" s="759"/>
      <c r="F275" s="605"/>
      <c r="G275" s="760"/>
      <c r="H275" s="759"/>
      <c r="I275" s="759"/>
      <c r="J275" s="759"/>
      <c r="K275" s="759"/>
      <c r="L275" s="759"/>
      <c r="M275" s="759"/>
      <c r="N275" s="759"/>
      <c r="O275" s="759"/>
      <c r="P275" s="759"/>
      <c r="Q275" s="759"/>
      <c r="R275" s="662"/>
      <c r="S275" s="760"/>
      <c r="T275" s="663"/>
      <c r="U275" s="760"/>
      <c r="V275" s="605"/>
      <c r="W275" s="607"/>
      <c r="X275" s="588"/>
    </row>
    <row r="276" spans="1:24" s="589" customFormat="1" x14ac:dyDescent="0.25">
      <c r="A276" s="604"/>
      <c r="B276" s="605"/>
      <c r="C276" s="605"/>
      <c r="D276" s="605"/>
      <c r="E276" s="605"/>
      <c r="F276" s="605"/>
      <c r="G276" s="605"/>
      <c r="H276" s="761"/>
      <c r="I276" s="761"/>
      <c r="J276" s="761"/>
      <c r="K276" s="761"/>
      <c r="L276" s="761"/>
      <c r="M276" s="761"/>
      <c r="N276" s="761"/>
      <c r="O276" s="761"/>
      <c r="P276" s="761"/>
      <c r="Q276" s="761"/>
      <c r="R276" s="662">
        <f>SUM(R267:R275)</f>
        <v>65</v>
      </c>
      <c r="S276" s="760">
        <f>SUM(S267:S275)</f>
        <v>1</v>
      </c>
      <c r="T276" s="663">
        <f>SUM(T267:T275)</f>
        <v>9428</v>
      </c>
      <c r="U276" s="760">
        <f>SUM(U267:U275)</f>
        <v>1</v>
      </c>
      <c r="V276" s="605"/>
      <c r="W276" s="607"/>
      <c r="X276" s="588"/>
    </row>
    <row r="277" spans="1:24" x14ac:dyDescent="0.25">
      <c r="A277" s="574"/>
      <c r="B277" s="664"/>
      <c r="C277" s="664"/>
      <c r="D277" s="664"/>
      <c r="E277" s="664"/>
      <c r="F277" s="664"/>
      <c r="G277" s="664"/>
      <c r="H277" s="762"/>
      <c r="I277" s="762"/>
      <c r="J277" s="762"/>
      <c r="K277" s="762"/>
      <c r="L277" s="762"/>
      <c r="M277" s="762"/>
      <c r="N277" s="762"/>
      <c r="O277" s="762"/>
      <c r="P277" s="762"/>
      <c r="Q277" s="762"/>
      <c r="R277" s="665"/>
      <c r="S277" s="763"/>
      <c r="T277" s="764"/>
      <c r="U277" s="763"/>
      <c r="V277" s="664"/>
      <c r="W277" s="664"/>
      <c r="X277" s="572"/>
    </row>
    <row r="278" spans="1:24" x14ac:dyDescent="0.25">
      <c r="A278" s="597"/>
      <c r="B278" s="669" t="s">
        <v>163</v>
      </c>
      <c r="C278" s="598"/>
      <c r="D278" s="598"/>
      <c r="E278" s="598"/>
      <c r="F278" s="598"/>
      <c r="G278" s="598"/>
      <c r="H278" s="765"/>
      <c r="I278" s="765"/>
      <c r="J278" s="765"/>
      <c r="K278" s="765"/>
      <c r="L278" s="765"/>
      <c r="M278" s="765"/>
      <c r="N278" s="765"/>
      <c r="O278" s="765"/>
      <c r="P278" s="765"/>
      <c r="Q278" s="765"/>
      <c r="R278" s="721" t="s">
        <v>102</v>
      </c>
      <c r="S278" s="670" t="s">
        <v>103</v>
      </c>
      <c r="T278" s="721" t="s">
        <v>109</v>
      </c>
      <c r="U278" s="670" t="s">
        <v>103</v>
      </c>
      <c r="V278" s="598"/>
      <c r="W278" s="601"/>
      <c r="X278" s="572"/>
    </row>
    <row r="279" spans="1:24" s="589" customFormat="1" x14ac:dyDescent="0.25">
      <c r="A279" s="585"/>
      <c r="B279" s="673" t="s">
        <v>88</v>
      </c>
      <c r="C279" s="602"/>
      <c r="D279" s="602"/>
      <c r="E279" s="602"/>
      <c r="F279" s="602"/>
      <c r="G279" s="602"/>
      <c r="H279" s="766"/>
      <c r="I279" s="766"/>
      <c r="J279" s="766"/>
      <c r="K279" s="766"/>
      <c r="L279" s="766"/>
      <c r="M279" s="766"/>
      <c r="N279" s="766"/>
      <c r="O279" s="766"/>
      <c r="P279" s="766"/>
      <c r="Q279" s="766"/>
      <c r="R279" s="673">
        <v>1</v>
      </c>
      <c r="S279" s="757">
        <v>1</v>
      </c>
      <c r="T279" s="674">
        <v>31</v>
      </c>
      <c r="U279" s="757">
        <v>1</v>
      </c>
      <c r="V279" s="602"/>
      <c r="W279" s="602"/>
      <c r="X279" s="588"/>
    </row>
    <row r="280" spans="1:24" s="589" customFormat="1" x14ac:dyDescent="0.25">
      <c r="A280" s="604"/>
      <c r="B280" s="662" t="s">
        <v>89</v>
      </c>
      <c r="C280" s="605"/>
      <c r="D280" s="605"/>
      <c r="E280" s="605"/>
      <c r="F280" s="605"/>
      <c r="G280" s="605"/>
      <c r="H280" s="761"/>
      <c r="I280" s="761"/>
      <c r="J280" s="761"/>
      <c r="K280" s="761"/>
      <c r="L280" s="761"/>
      <c r="M280" s="761"/>
      <c r="N280" s="761"/>
      <c r="O280" s="761"/>
      <c r="P280" s="761"/>
      <c r="Q280" s="761"/>
      <c r="R280" s="662">
        <v>0</v>
      </c>
      <c r="S280" s="760">
        <v>0</v>
      </c>
      <c r="T280" s="663">
        <v>0</v>
      </c>
      <c r="U280" s="760">
        <v>0</v>
      </c>
      <c r="V280" s="605"/>
      <c r="W280" s="607"/>
      <c r="X280" s="588"/>
    </row>
    <row r="281" spans="1:24" s="589" customFormat="1" x14ac:dyDescent="0.25">
      <c r="A281" s="604"/>
      <c r="B281" s="662" t="s">
        <v>90</v>
      </c>
      <c r="C281" s="605"/>
      <c r="D281" s="605"/>
      <c r="E281" s="605"/>
      <c r="F281" s="605"/>
      <c r="G281" s="605"/>
      <c r="H281" s="761"/>
      <c r="I281" s="761"/>
      <c r="J281" s="761"/>
      <c r="K281" s="761"/>
      <c r="L281" s="761"/>
      <c r="M281" s="761"/>
      <c r="N281" s="761"/>
      <c r="O281" s="761"/>
      <c r="P281" s="761"/>
      <c r="Q281" s="761"/>
      <c r="R281" s="662">
        <v>0</v>
      </c>
      <c r="S281" s="760">
        <v>0</v>
      </c>
      <c r="T281" s="663">
        <v>0</v>
      </c>
      <c r="U281" s="760">
        <v>0</v>
      </c>
      <c r="V281" s="605"/>
      <c r="W281" s="607"/>
      <c r="X281" s="588"/>
    </row>
    <row r="282" spans="1:24" s="589" customFormat="1" x14ac:dyDescent="0.25">
      <c r="A282" s="604"/>
      <c r="B282" s="662" t="s">
        <v>156</v>
      </c>
      <c r="C282" s="605"/>
      <c r="D282" s="605"/>
      <c r="E282" s="605"/>
      <c r="F282" s="605"/>
      <c r="G282" s="605"/>
      <c r="H282" s="761"/>
      <c r="I282" s="761"/>
      <c r="J282" s="761"/>
      <c r="K282" s="761"/>
      <c r="L282" s="761"/>
      <c r="M282" s="761"/>
      <c r="N282" s="761"/>
      <c r="O282" s="761"/>
      <c r="P282" s="761"/>
      <c r="Q282" s="761"/>
      <c r="R282" s="662">
        <v>0</v>
      </c>
      <c r="S282" s="760">
        <v>0</v>
      </c>
      <c r="T282" s="663">
        <v>0</v>
      </c>
      <c r="U282" s="760">
        <v>0</v>
      </c>
      <c r="V282" s="605"/>
      <c r="W282" s="607"/>
      <c r="X282" s="588"/>
    </row>
    <row r="283" spans="1:24" s="589" customFormat="1" x14ac:dyDescent="0.25">
      <c r="A283" s="604"/>
      <c r="B283" s="662" t="s">
        <v>157</v>
      </c>
      <c r="C283" s="605"/>
      <c r="D283" s="605"/>
      <c r="E283" s="605"/>
      <c r="F283" s="605"/>
      <c r="G283" s="605"/>
      <c r="H283" s="761"/>
      <c r="I283" s="761"/>
      <c r="J283" s="761"/>
      <c r="K283" s="761"/>
      <c r="L283" s="761"/>
      <c r="M283" s="761"/>
      <c r="N283" s="761"/>
      <c r="O283" s="761"/>
      <c r="P283" s="761"/>
      <c r="Q283" s="761"/>
      <c r="R283" s="662">
        <v>0</v>
      </c>
      <c r="S283" s="760">
        <v>0</v>
      </c>
      <c r="T283" s="663">
        <v>0</v>
      </c>
      <c r="U283" s="760">
        <v>0</v>
      </c>
      <c r="V283" s="605"/>
      <c r="W283" s="607"/>
      <c r="X283" s="588"/>
    </row>
    <row r="284" spans="1:24" s="589" customFormat="1" x14ac:dyDescent="0.25">
      <c r="A284" s="604"/>
      <c r="B284" s="662" t="s">
        <v>158</v>
      </c>
      <c r="C284" s="605"/>
      <c r="D284" s="605"/>
      <c r="E284" s="605"/>
      <c r="F284" s="605"/>
      <c r="G284" s="605"/>
      <c r="H284" s="761"/>
      <c r="I284" s="761"/>
      <c r="J284" s="761"/>
      <c r="K284" s="761"/>
      <c r="L284" s="761"/>
      <c r="M284" s="761"/>
      <c r="N284" s="761"/>
      <c r="O284" s="761"/>
      <c r="P284" s="761"/>
      <c r="Q284" s="761"/>
      <c r="R284" s="662">
        <v>0</v>
      </c>
      <c r="S284" s="760">
        <v>0</v>
      </c>
      <c r="T284" s="663">
        <v>0</v>
      </c>
      <c r="U284" s="760">
        <v>0</v>
      </c>
      <c r="V284" s="605"/>
      <c r="W284" s="607"/>
      <c r="X284" s="588"/>
    </row>
    <row r="285" spans="1:24" s="589" customFormat="1" x14ac:dyDescent="0.25">
      <c r="A285" s="604"/>
      <c r="B285" s="662" t="s">
        <v>159</v>
      </c>
      <c r="C285" s="605"/>
      <c r="D285" s="605"/>
      <c r="E285" s="605"/>
      <c r="F285" s="605"/>
      <c r="G285" s="605"/>
      <c r="H285" s="761"/>
      <c r="I285" s="761"/>
      <c r="J285" s="761"/>
      <c r="K285" s="761"/>
      <c r="L285" s="761"/>
      <c r="M285" s="761"/>
      <c r="N285" s="761"/>
      <c r="O285" s="761"/>
      <c r="P285" s="761"/>
      <c r="Q285" s="761"/>
      <c r="R285" s="662">
        <v>0</v>
      </c>
      <c r="S285" s="760">
        <v>0</v>
      </c>
      <c r="T285" s="663">
        <v>0</v>
      </c>
      <c r="U285" s="760">
        <v>0</v>
      </c>
      <c r="V285" s="605"/>
      <c r="W285" s="607"/>
      <c r="X285" s="588"/>
    </row>
    <row r="286" spans="1:24" s="589" customFormat="1" x14ac:dyDescent="0.25">
      <c r="A286" s="604"/>
      <c r="B286" s="662" t="s">
        <v>160</v>
      </c>
      <c r="C286" s="605"/>
      <c r="D286" s="605"/>
      <c r="E286" s="605"/>
      <c r="F286" s="605"/>
      <c r="G286" s="605"/>
      <c r="H286" s="761"/>
      <c r="I286" s="761"/>
      <c r="J286" s="761"/>
      <c r="K286" s="761"/>
      <c r="L286" s="761"/>
      <c r="M286" s="761"/>
      <c r="N286" s="761"/>
      <c r="O286" s="761"/>
      <c r="P286" s="761"/>
      <c r="Q286" s="761"/>
      <c r="R286" s="662">
        <v>0</v>
      </c>
      <c r="S286" s="760">
        <v>0</v>
      </c>
      <c r="T286" s="663">
        <v>0</v>
      </c>
      <c r="U286" s="760">
        <v>0</v>
      </c>
      <c r="V286" s="605"/>
      <c r="W286" s="607"/>
      <c r="X286" s="588"/>
    </row>
    <row r="287" spans="1:24" s="589" customFormat="1" x14ac:dyDescent="0.25">
      <c r="A287" s="604"/>
      <c r="B287" s="662"/>
      <c r="C287" s="605"/>
      <c r="D287" s="605"/>
      <c r="E287" s="605"/>
      <c r="F287" s="605"/>
      <c r="G287" s="605"/>
      <c r="H287" s="761"/>
      <c r="I287" s="761"/>
      <c r="J287" s="761"/>
      <c r="K287" s="761"/>
      <c r="L287" s="761"/>
      <c r="M287" s="761"/>
      <c r="N287" s="761"/>
      <c r="O287" s="761"/>
      <c r="P287" s="761"/>
      <c r="Q287" s="761"/>
      <c r="R287" s="662"/>
      <c r="S287" s="760"/>
      <c r="T287" s="663"/>
      <c r="U287" s="760"/>
      <c r="V287" s="605"/>
      <c r="W287" s="607"/>
      <c r="X287" s="588"/>
    </row>
    <row r="288" spans="1:24" s="589" customFormat="1" x14ac:dyDescent="0.25">
      <c r="A288" s="604"/>
      <c r="B288" s="605" t="s">
        <v>114</v>
      </c>
      <c r="C288" s="605"/>
      <c r="D288" s="605"/>
      <c r="E288" s="605"/>
      <c r="F288" s="605"/>
      <c r="G288" s="605"/>
      <c r="H288" s="761"/>
      <c r="I288" s="761"/>
      <c r="J288" s="761"/>
      <c r="K288" s="761"/>
      <c r="L288" s="761"/>
      <c r="M288" s="761"/>
      <c r="N288" s="761"/>
      <c r="O288" s="761"/>
      <c r="P288" s="761"/>
      <c r="Q288" s="761"/>
      <c r="R288" s="662">
        <f>SUM(R279:R286)</f>
        <v>1</v>
      </c>
      <c r="S288" s="760">
        <f>SUM(S279:S286)</f>
        <v>1</v>
      </c>
      <c r="T288" s="663">
        <f>SUM(T279:T286)</f>
        <v>31</v>
      </c>
      <c r="U288" s="760">
        <f>SUM(U279:U286)</f>
        <v>1</v>
      </c>
      <c r="V288" s="605"/>
      <c r="W288" s="607"/>
      <c r="X288" s="588"/>
    </row>
    <row r="289" spans="1:24" s="589" customFormat="1" x14ac:dyDescent="0.25">
      <c r="A289" s="604"/>
      <c r="B289" s="605"/>
      <c r="C289" s="605"/>
      <c r="D289" s="605"/>
      <c r="E289" s="605"/>
      <c r="F289" s="605"/>
      <c r="G289" s="605"/>
      <c r="H289" s="761"/>
      <c r="I289" s="761"/>
      <c r="J289" s="761"/>
      <c r="K289" s="761"/>
      <c r="L289" s="761"/>
      <c r="M289" s="761"/>
      <c r="N289" s="761"/>
      <c r="O289" s="761"/>
      <c r="P289" s="761"/>
      <c r="Q289" s="761"/>
      <c r="R289" s="662"/>
      <c r="S289" s="760"/>
      <c r="T289" s="663"/>
      <c r="U289" s="760"/>
      <c r="V289" s="605"/>
      <c r="W289" s="607"/>
      <c r="X289" s="588"/>
    </row>
    <row r="290" spans="1:24" s="589" customFormat="1" x14ac:dyDescent="0.25">
      <c r="A290" s="604"/>
      <c r="B290" s="610" t="s">
        <v>164</v>
      </c>
      <c r="C290" s="605"/>
      <c r="D290" s="605"/>
      <c r="E290" s="605"/>
      <c r="F290" s="605"/>
      <c r="G290" s="605"/>
      <c r="H290" s="761"/>
      <c r="I290" s="761"/>
      <c r="J290" s="761"/>
      <c r="K290" s="761"/>
      <c r="L290" s="761"/>
      <c r="M290" s="761"/>
      <c r="N290" s="761"/>
      <c r="O290" s="761"/>
      <c r="P290" s="761"/>
      <c r="Q290" s="761"/>
      <c r="R290" s="767">
        <f>R288+R276+R264</f>
        <v>4041</v>
      </c>
      <c r="S290" s="760"/>
      <c r="T290" s="768">
        <f>+T288+T276+T264</f>
        <v>547234</v>
      </c>
      <c r="U290" s="760"/>
      <c r="V290" s="605"/>
      <c r="W290" s="607"/>
      <c r="X290" s="588"/>
    </row>
    <row r="291" spans="1:24" s="589" customFormat="1" x14ac:dyDescent="0.25">
      <c r="A291" s="585"/>
      <c r="B291" s="602"/>
      <c r="C291" s="602"/>
      <c r="D291" s="602"/>
      <c r="E291" s="602"/>
      <c r="F291" s="602"/>
      <c r="G291" s="602"/>
      <c r="H291" s="766"/>
      <c r="I291" s="766"/>
      <c r="J291" s="766"/>
      <c r="K291" s="766"/>
      <c r="L291" s="766"/>
      <c r="M291" s="766"/>
      <c r="N291" s="766"/>
      <c r="O291" s="766"/>
      <c r="P291" s="766"/>
      <c r="Q291" s="766"/>
      <c r="R291" s="766"/>
      <c r="S291" s="766"/>
      <c r="T291" s="674"/>
      <c r="U291" s="766"/>
      <c r="V291" s="602"/>
      <c r="W291" s="602"/>
      <c r="X291" s="588"/>
    </row>
    <row r="292" spans="1:24" s="589" customFormat="1" x14ac:dyDescent="0.25">
      <c r="A292" s="585"/>
      <c r="B292" s="586"/>
      <c r="C292" s="586"/>
      <c r="D292" s="586"/>
      <c r="E292" s="586"/>
      <c r="F292" s="586"/>
      <c r="G292" s="586"/>
      <c r="H292" s="769"/>
      <c r="I292" s="769"/>
      <c r="J292" s="769"/>
      <c r="K292" s="769"/>
      <c r="L292" s="769"/>
      <c r="M292" s="769"/>
      <c r="N292" s="769"/>
      <c r="O292" s="769"/>
      <c r="P292" s="769"/>
      <c r="Q292" s="769"/>
      <c r="R292" s="769"/>
      <c r="S292" s="769"/>
      <c r="T292" s="770"/>
      <c r="U292" s="769"/>
      <c r="V292" s="586"/>
      <c r="W292" s="586"/>
      <c r="X292" s="588"/>
    </row>
    <row r="293" spans="1:24" s="589" customFormat="1" x14ac:dyDescent="0.25">
      <c r="A293" s="585"/>
      <c r="B293" s="584" t="s">
        <v>91</v>
      </c>
      <c r="C293" s="586"/>
      <c r="D293" s="586"/>
      <c r="E293" s="586"/>
      <c r="F293" s="592" t="s">
        <v>97</v>
      </c>
      <c r="G293" s="586"/>
      <c r="H293" s="584" t="s">
        <v>99</v>
      </c>
      <c r="I293" s="584"/>
      <c r="J293" s="584"/>
      <c r="K293" s="586"/>
      <c r="L293" s="586"/>
      <c r="M293" s="586"/>
      <c r="N293" s="586"/>
      <c r="O293" s="586"/>
      <c r="P293" s="586"/>
      <c r="Q293" s="586"/>
      <c r="R293" s="586"/>
      <c r="S293" s="586"/>
      <c r="T293" s="586"/>
      <c r="U293" s="586"/>
      <c r="V293" s="586"/>
      <c r="W293" s="586"/>
      <c r="X293" s="588"/>
    </row>
    <row r="294" spans="1:24" s="589" customFormat="1" x14ac:dyDescent="0.25">
      <c r="A294" s="585"/>
      <c r="B294" s="586"/>
      <c r="C294" s="586"/>
      <c r="D294" s="586"/>
      <c r="E294" s="586"/>
      <c r="F294" s="586"/>
      <c r="G294" s="586"/>
      <c r="H294" s="586"/>
      <c r="I294" s="586"/>
      <c r="J294" s="586"/>
      <c r="K294" s="586"/>
      <c r="L294" s="586"/>
      <c r="M294" s="586"/>
      <c r="N294" s="586"/>
      <c r="O294" s="586"/>
      <c r="P294" s="586"/>
      <c r="Q294" s="586"/>
      <c r="R294" s="586"/>
      <c r="S294" s="586"/>
      <c r="T294" s="586"/>
      <c r="U294" s="586"/>
      <c r="V294" s="586"/>
      <c r="W294" s="586"/>
      <c r="X294" s="588"/>
    </row>
    <row r="295" spans="1:24" s="589" customFormat="1" x14ac:dyDescent="0.25">
      <c r="A295" s="585"/>
      <c r="B295" s="584" t="s">
        <v>319</v>
      </c>
      <c r="C295" s="584"/>
      <c r="D295" s="584"/>
      <c r="E295" s="584"/>
      <c r="F295" s="771" t="s">
        <v>266</v>
      </c>
      <c r="G295" s="584"/>
      <c r="H295" s="584" t="s">
        <v>267</v>
      </c>
      <c r="I295" s="584"/>
      <c r="J295" s="584"/>
      <c r="K295" s="586"/>
      <c r="L295" s="586"/>
      <c r="M295" s="586"/>
      <c r="N295" s="586"/>
      <c r="O295" s="586"/>
      <c r="P295" s="586"/>
      <c r="Q295" s="586"/>
      <c r="R295" s="586"/>
      <c r="S295" s="586"/>
      <c r="T295" s="586"/>
      <c r="U295" s="586"/>
      <c r="V295" s="586"/>
      <c r="W295" s="586"/>
      <c r="X295" s="588"/>
    </row>
    <row r="296" spans="1:24" s="589" customFormat="1" x14ac:dyDescent="0.25">
      <c r="A296" s="585"/>
      <c r="B296" s="584" t="s">
        <v>320</v>
      </c>
      <c r="C296" s="584"/>
      <c r="D296" s="584"/>
      <c r="E296" s="584"/>
      <c r="F296" s="771" t="s">
        <v>147</v>
      </c>
      <c r="G296" s="584"/>
      <c r="H296" s="584" t="s">
        <v>153</v>
      </c>
      <c r="I296" s="584"/>
      <c r="J296" s="584"/>
      <c r="K296" s="586"/>
      <c r="L296" s="586"/>
      <c r="M296" s="586"/>
      <c r="N296" s="586"/>
      <c r="O296" s="586"/>
      <c r="P296" s="586"/>
      <c r="Q296" s="586"/>
      <c r="R296" s="586"/>
      <c r="S296" s="586"/>
      <c r="T296" s="586"/>
      <c r="U296" s="586"/>
      <c r="V296" s="586"/>
      <c r="W296" s="586"/>
      <c r="X296" s="588"/>
    </row>
    <row r="297" spans="1:24" s="589" customFormat="1" x14ac:dyDescent="0.25">
      <c r="A297" s="585"/>
      <c r="B297" s="584"/>
      <c r="C297" s="584"/>
      <c r="D297" s="584"/>
      <c r="E297" s="584"/>
      <c r="F297" s="584"/>
      <c r="G297" s="584"/>
      <c r="H297" s="586"/>
      <c r="I297" s="586"/>
      <c r="J297" s="586"/>
      <c r="K297" s="586"/>
      <c r="L297" s="586"/>
      <c r="M297" s="586"/>
      <c r="N297" s="586"/>
      <c r="O297" s="586"/>
      <c r="P297" s="586"/>
      <c r="Q297" s="586"/>
      <c r="R297" s="586"/>
      <c r="S297" s="586"/>
      <c r="T297" s="586"/>
      <c r="U297" s="586"/>
      <c r="V297" s="586"/>
      <c r="W297" s="586"/>
      <c r="X297" s="588"/>
    </row>
    <row r="298" spans="1:24" s="589" customFormat="1" x14ac:dyDescent="0.25">
      <c r="A298" s="585"/>
      <c r="B298" s="584"/>
      <c r="C298" s="584"/>
      <c r="D298" s="584"/>
      <c r="E298" s="584"/>
      <c r="F298" s="584"/>
      <c r="G298" s="584"/>
      <c r="H298" s="586"/>
      <c r="I298" s="586"/>
      <c r="J298" s="586"/>
      <c r="K298" s="586"/>
      <c r="L298" s="586"/>
      <c r="M298" s="586"/>
      <c r="N298" s="586"/>
      <c r="O298" s="586"/>
      <c r="P298" s="586"/>
      <c r="Q298" s="586"/>
      <c r="R298" s="586"/>
      <c r="S298" s="586"/>
      <c r="T298" s="586"/>
      <c r="U298" s="586"/>
      <c r="V298" s="586"/>
      <c r="W298" s="586"/>
      <c r="X298" s="588"/>
    </row>
    <row r="299" spans="1:24" s="589" customFormat="1" ht="19.5" thickBot="1" x14ac:dyDescent="0.35">
      <c r="A299" s="585"/>
      <c r="B299" s="772" t="str">
        <f>B204</f>
        <v>PM15 INVESTOR REPORT QUARTER ENDING NOVEMBER 2019</v>
      </c>
      <c r="C299" s="584"/>
      <c r="D299" s="584"/>
      <c r="E299" s="584"/>
      <c r="F299" s="584"/>
      <c r="G299" s="584"/>
      <c r="H299" s="586"/>
      <c r="I299" s="586"/>
      <c r="J299" s="586"/>
      <c r="K299" s="586"/>
      <c r="L299" s="586"/>
      <c r="M299" s="586"/>
      <c r="N299" s="586"/>
      <c r="O299" s="586"/>
      <c r="P299" s="586"/>
      <c r="Q299" s="586"/>
      <c r="R299" s="586"/>
      <c r="S299" s="586"/>
      <c r="T299" s="586"/>
      <c r="U299" s="586"/>
      <c r="V299" s="586"/>
      <c r="W299" s="586"/>
      <c r="X299" s="588"/>
    </row>
    <row r="300" spans="1:24" x14ac:dyDescent="0.25">
      <c r="A300" s="773"/>
      <c r="B300" s="773"/>
      <c r="C300" s="773"/>
      <c r="D300" s="773"/>
      <c r="E300" s="773"/>
      <c r="F300" s="773"/>
      <c r="G300" s="773"/>
      <c r="H300" s="773"/>
      <c r="I300" s="773"/>
      <c r="J300" s="773"/>
      <c r="K300" s="773"/>
      <c r="L300" s="773"/>
      <c r="M300" s="773"/>
      <c r="N300" s="773"/>
      <c r="O300" s="773"/>
      <c r="P300" s="773"/>
      <c r="Q300" s="773"/>
      <c r="R300" s="773"/>
      <c r="S300" s="773"/>
      <c r="T300" s="773"/>
      <c r="U300" s="773"/>
      <c r="V300" s="773"/>
      <c r="W300" s="773"/>
    </row>
  </sheetData>
  <hyperlinks>
    <hyperlink ref="I9" r:id="rId1" xr:uid="{9E289EFE-43C9-4414-9289-856C2339C986}"/>
    <hyperlink ref="P240" r:id="rId2" xr:uid="{78AAF80B-9EAC-42E9-B287-FFE6273E6CC2}"/>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8" max="14" man="1"/>
    <brk id="204" max="14"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IV285"/>
  <sheetViews>
    <sheetView showGridLines="0" showOutlineSymbols="0" zoomScale="70" zoomScaleNormal="70" workbookViewId="0"/>
  </sheetViews>
  <sheetFormatPr defaultColWidth="9.6640625" defaultRowHeight="15" x14ac:dyDescent="0.2"/>
  <cols>
    <col min="1" max="1" width="4" style="1" customWidth="1"/>
    <col min="2" max="2" width="71.21875" style="1" customWidth="1"/>
    <col min="3" max="3" width="2.21875" style="1" customWidth="1"/>
    <col min="4" max="4" width="19.33203125" style="1" customWidth="1"/>
    <col min="5" max="5" width="2.21875" style="1" customWidth="1"/>
    <col min="6" max="6" width="25.109375" style="1" customWidth="1"/>
    <col min="7" max="7" width="2.21875" style="1" customWidth="1"/>
    <col min="8" max="8" width="16.21875" style="1" customWidth="1"/>
    <col min="9" max="9" width="2.88671875" style="1" customWidth="1"/>
    <col min="10" max="10" width="16.21875" style="1" customWidth="1"/>
    <col min="11" max="11" width="2.21875" style="1" customWidth="1"/>
    <col min="12" max="12" width="17.88671875" style="1" customWidth="1"/>
    <col min="13" max="13" width="2.33203125" style="1" customWidth="1"/>
    <col min="14" max="14" width="14.88671875" style="1" customWidth="1"/>
    <col min="15" max="15" width="2.33203125" style="1" customWidth="1"/>
    <col min="16" max="16" width="15.5546875" style="1" customWidth="1"/>
    <col min="17" max="17" width="2.21875" style="1" customWidth="1"/>
    <col min="18" max="18" width="15.5546875" style="1" customWidth="1"/>
    <col min="19" max="20" width="12.6640625" style="1" customWidth="1"/>
    <col min="21" max="21" width="7.77734375" style="1" customWidth="1"/>
    <col min="22" max="22" width="14.6640625" style="1" customWidth="1"/>
    <col min="23" max="23" width="11.77734375" style="1" customWidth="1"/>
    <col min="24" max="16384" width="9.6640625" style="1"/>
  </cols>
  <sheetData>
    <row r="1" spans="1:24" ht="20.25" x14ac:dyDescent="0.3">
      <c r="A1" s="2"/>
      <c r="B1" s="3" t="s">
        <v>237</v>
      </c>
      <c r="C1" s="4"/>
      <c r="D1" s="4"/>
      <c r="E1" s="4"/>
      <c r="F1" s="4"/>
      <c r="G1" s="4"/>
      <c r="H1" s="4"/>
      <c r="I1" s="4"/>
      <c r="J1" s="4"/>
      <c r="K1" s="4"/>
      <c r="L1" s="4"/>
      <c r="M1" s="4"/>
      <c r="N1" s="4"/>
      <c r="O1" s="4"/>
      <c r="P1" s="4"/>
      <c r="Q1" s="4"/>
      <c r="R1" s="4"/>
      <c r="S1" s="4"/>
      <c r="T1" s="4"/>
      <c r="U1" s="4"/>
      <c r="V1" s="4"/>
      <c r="W1" s="4"/>
      <c r="X1" s="5"/>
    </row>
    <row r="2" spans="1:24" ht="15.75" x14ac:dyDescent="0.25">
      <c r="A2" s="6"/>
      <c r="B2" s="7"/>
      <c r="C2" s="8"/>
      <c r="D2" s="8"/>
      <c r="E2" s="8"/>
      <c r="F2" s="8"/>
      <c r="G2" s="8"/>
      <c r="H2" s="8"/>
      <c r="I2" s="8"/>
      <c r="J2" s="8"/>
      <c r="K2" s="8"/>
      <c r="L2" s="8"/>
      <c r="M2" s="8"/>
      <c r="N2" s="8"/>
      <c r="O2" s="8"/>
      <c r="P2" s="8"/>
      <c r="Q2" s="8"/>
      <c r="R2" s="8"/>
      <c r="S2" s="8"/>
      <c r="T2" s="8"/>
      <c r="U2" s="8"/>
      <c r="V2" s="8"/>
      <c r="W2" s="8"/>
      <c r="X2" s="5"/>
    </row>
    <row r="3" spans="1:24" ht="15.75" x14ac:dyDescent="0.25">
      <c r="A3" s="9"/>
      <c r="B3" s="111" t="s">
        <v>238</v>
      </c>
      <c r="C3" s="8"/>
      <c r="D3" s="8"/>
      <c r="E3" s="8"/>
      <c r="F3" s="8"/>
      <c r="G3" s="8"/>
      <c r="H3" s="8"/>
      <c r="I3" s="8"/>
      <c r="J3" s="8"/>
      <c r="K3" s="8"/>
      <c r="L3" s="8"/>
      <c r="M3" s="8"/>
      <c r="N3" s="8"/>
      <c r="O3" s="8"/>
      <c r="P3" s="8"/>
      <c r="Q3" s="8"/>
      <c r="R3" s="8"/>
      <c r="S3" s="8"/>
      <c r="T3" s="8"/>
      <c r="U3" s="8"/>
      <c r="V3" s="8"/>
      <c r="W3" s="8"/>
      <c r="X3" s="5"/>
    </row>
    <row r="4" spans="1:24" ht="15.75" x14ac:dyDescent="0.25">
      <c r="A4" s="6"/>
      <c r="B4" s="7"/>
      <c r="C4" s="8"/>
      <c r="D4" s="8"/>
      <c r="E4" s="8"/>
      <c r="F4" s="8"/>
      <c r="G4" s="8"/>
      <c r="H4" s="8"/>
      <c r="I4" s="8"/>
      <c r="J4" s="8"/>
      <c r="K4" s="8"/>
      <c r="L4" s="8"/>
      <c r="M4" s="8"/>
      <c r="N4" s="8"/>
      <c r="O4" s="8"/>
      <c r="P4" s="8"/>
      <c r="Q4" s="8"/>
      <c r="R4" s="8"/>
      <c r="S4" s="8"/>
      <c r="T4" s="8"/>
      <c r="U4" s="8"/>
      <c r="V4" s="8"/>
      <c r="W4" s="8"/>
      <c r="X4" s="5"/>
    </row>
    <row r="5" spans="1:24" ht="15.75" x14ac:dyDescent="0.25">
      <c r="A5" s="6"/>
      <c r="B5" s="11" t="s">
        <v>137</v>
      </c>
      <c r="C5" s="8"/>
      <c r="D5" s="8"/>
      <c r="E5" s="8"/>
      <c r="F5" s="8"/>
      <c r="G5" s="8"/>
      <c r="H5" s="8"/>
      <c r="I5" s="8"/>
      <c r="J5" s="8"/>
      <c r="K5" s="8"/>
      <c r="L5" s="8"/>
      <c r="M5" s="8"/>
      <c r="N5" s="8"/>
      <c r="O5" s="8"/>
      <c r="P5" s="8"/>
      <c r="Q5" s="8"/>
      <c r="R5" s="8"/>
      <c r="S5" s="8"/>
      <c r="T5" s="8"/>
      <c r="U5" s="8"/>
      <c r="V5" s="8"/>
      <c r="W5" s="8"/>
      <c r="X5" s="5"/>
    </row>
    <row r="6" spans="1:24" ht="15.75" x14ac:dyDescent="0.25">
      <c r="A6" s="6"/>
      <c r="B6" s="11" t="s">
        <v>139</v>
      </c>
      <c r="C6" s="8"/>
      <c r="D6" s="8"/>
      <c r="E6" s="8"/>
      <c r="F6" s="8"/>
      <c r="G6" s="8"/>
      <c r="H6" s="8"/>
      <c r="I6" s="8"/>
      <c r="J6" s="8"/>
      <c r="K6" s="8"/>
      <c r="L6" s="8"/>
      <c r="M6" s="8"/>
      <c r="N6" s="8"/>
      <c r="O6" s="8"/>
      <c r="P6" s="8"/>
      <c r="Q6" s="8"/>
      <c r="R6" s="8"/>
      <c r="S6" s="8"/>
      <c r="T6" s="8"/>
      <c r="U6" s="8"/>
      <c r="V6" s="8"/>
      <c r="W6" s="8"/>
      <c r="X6" s="5"/>
    </row>
    <row r="7" spans="1:24" ht="15.75" x14ac:dyDescent="0.25">
      <c r="A7" s="6"/>
      <c r="B7" s="11" t="s">
        <v>138</v>
      </c>
      <c r="C7" s="8"/>
      <c r="D7" s="8"/>
      <c r="E7" s="8"/>
      <c r="F7" s="8"/>
      <c r="G7" s="8"/>
      <c r="H7" s="8"/>
      <c r="I7" s="8"/>
      <c r="J7" s="8"/>
      <c r="K7" s="8"/>
      <c r="L7" s="8"/>
      <c r="M7" s="8"/>
      <c r="N7" s="8"/>
      <c r="O7" s="8"/>
      <c r="P7" s="8"/>
      <c r="Q7" s="8"/>
      <c r="R7" s="8"/>
      <c r="S7" s="8"/>
      <c r="T7" s="8"/>
      <c r="U7" s="8"/>
      <c r="V7" s="8"/>
      <c r="W7" s="8"/>
      <c r="X7" s="5"/>
    </row>
    <row r="8" spans="1:24" ht="15.75" x14ac:dyDescent="0.25">
      <c r="A8" s="6"/>
      <c r="B8" s="11"/>
      <c r="C8" s="8"/>
      <c r="D8" s="8"/>
      <c r="E8" s="8"/>
      <c r="F8" s="8"/>
      <c r="G8" s="8"/>
      <c r="H8" s="8"/>
      <c r="I8" s="8"/>
      <c r="J8" s="8"/>
      <c r="K8" s="8"/>
      <c r="L8" s="8"/>
      <c r="M8" s="8"/>
      <c r="N8" s="8"/>
      <c r="O8" s="8"/>
      <c r="P8" s="8"/>
      <c r="Q8" s="8"/>
      <c r="R8" s="8"/>
      <c r="S8" s="8"/>
      <c r="T8" s="8"/>
      <c r="U8" s="8"/>
      <c r="V8" s="8"/>
      <c r="W8" s="8"/>
      <c r="X8" s="5"/>
    </row>
    <row r="9" spans="1:24" ht="18.75" x14ac:dyDescent="0.3">
      <c r="A9" s="6"/>
      <c r="B9" s="144" t="s">
        <v>166</v>
      </c>
      <c r="C9" s="8"/>
      <c r="D9" s="8"/>
      <c r="E9" s="8"/>
      <c r="F9" s="8"/>
      <c r="G9" s="8"/>
      <c r="H9" s="8"/>
      <c r="I9" s="145" t="s">
        <v>167</v>
      </c>
      <c r="J9" s="8"/>
      <c r="K9" s="8"/>
      <c r="L9" s="145"/>
      <c r="M9" s="8"/>
      <c r="N9" s="145"/>
      <c r="O9" s="8"/>
      <c r="P9" s="8"/>
      <c r="Q9" s="8"/>
      <c r="R9" s="8"/>
      <c r="S9" s="8"/>
      <c r="T9" s="8"/>
      <c r="U9" s="8"/>
      <c r="V9" s="8"/>
      <c r="W9" s="8"/>
      <c r="X9" s="5"/>
    </row>
    <row r="10" spans="1:24" ht="15.75" x14ac:dyDescent="0.25">
      <c r="A10" s="6"/>
      <c r="B10" s="11"/>
      <c r="C10" s="13"/>
      <c r="D10" s="13"/>
      <c r="E10" s="13"/>
      <c r="F10" s="8"/>
      <c r="G10" s="8"/>
      <c r="H10" s="8"/>
      <c r="I10" s="8"/>
      <c r="J10" s="8"/>
      <c r="K10" s="8"/>
      <c r="L10" s="8"/>
      <c r="M10" s="8"/>
      <c r="N10" s="8"/>
      <c r="O10" s="8"/>
      <c r="P10" s="8"/>
      <c r="Q10" s="8"/>
      <c r="R10" s="8"/>
      <c r="S10" s="8"/>
      <c r="T10" s="8"/>
      <c r="U10" s="8"/>
      <c r="V10" s="8"/>
      <c r="W10" s="8"/>
      <c r="X10" s="5"/>
    </row>
    <row r="11" spans="1:24" ht="15.75" x14ac:dyDescent="0.25">
      <c r="A11" s="6"/>
      <c r="B11" s="14" t="s">
        <v>0</v>
      </c>
      <c r="C11" s="8"/>
      <c r="D11" s="8"/>
      <c r="E11" s="8"/>
      <c r="F11" s="8"/>
      <c r="G11" s="8"/>
      <c r="H11" s="8"/>
      <c r="I11" s="8"/>
      <c r="J11" s="8"/>
      <c r="K11" s="8"/>
      <c r="L11" s="8"/>
      <c r="M11" s="8"/>
      <c r="N11" s="8"/>
      <c r="O11" s="8"/>
      <c r="P11" s="8"/>
      <c r="Q11" s="8"/>
      <c r="R11" s="8"/>
      <c r="S11" s="8"/>
      <c r="T11" s="8"/>
      <c r="U11" s="8"/>
      <c r="V11" s="8"/>
      <c r="W11" s="8"/>
      <c r="X11" s="5"/>
    </row>
    <row r="12" spans="1:24" ht="16.5" thickBot="1" x14ac:dyDescent="0.3">
      <c r="A12" s="6"/>
      <c r="B12" s="13"/>
      <c r="C12" s="8"/>
      <c r="D12" s="8"/>
      <c r="E12" s="8"/>
      <c r="F12" s="8"/>
      <c r="G12" s="8"/>
      <c r="H12" s="8"/>
      <c r="I12" s="8"/>
      <c r="J12" s="8"/>
      <c r="K12" s="8"/>
      <c r="L12" s="8"/>
      <c r="M12" s="8"/>
      <c r="N12" s="8"/>
      <c r="O12" s="8"/>
      <c r="P12" s="8"/>
      <c r="Q12" s="8"/>
      <c r="R12" s="8"/>
      <c r="S12" s="8"/>
      <c r="T12" s="8"/>
      <c r="U12" s="8"/>
      <c r="V12" s="8"/>
      <c r="W12" s="8"/>
      <c r="X12" s="5"/>
    </row>
    <row r="13" spans="1:24" ht="15.75" x14ac:dyDescent="0.25">
      <c r="A13" s="2"/>
      <c r="B13" s="4"/>
      <c r="C13" s="4"/>
      <c r="D13" s="4"/>
      <c r="E13" s="4"/>
      <c r="F13" s="4"/>
      <c r="G13" s="4"/>
      <c r="H13" s="4"/>
      <c r="I13" s="4"/>
      <c r="J13" s="4"/>
      <c r="K13" s="4"/>
      <c r="L13" s="4"/>
      <c r="M13" s="4"/>
      <c r="N13" s="4"/>
      <c r="O13" s="4"/>
      <c r="P13" s="4"/>
      <c r="Q13" s="4"/>
      <c r="R13" s="4"/>
      <c r="S13" s="4"/>
      <c r="T13" s="4"/>
      <c r="U13" s="4"/>
      <c r="V13" s="4"/>
      <c r="W13" s="4"/>
      <c r="X13" s="5"/>
    </row>
    <row r="14" spans="1:24" ht="15.75" x14ac:dyDescent="0.25">
      <c r="A14" s="6"/>
      <c r="B14" s="14" t="s">
        <v>1</v>
      </c>
      <c r="C14" s="15"/>
      <c r="D14" s="15"/>
      <c r="E14" s="15"/>
      <c r="F14" s="15"/>
      <c r="G14" s="15"/>
      <c r="H14" s="15"/>
      <c r="I14" s="15"/>
      <c r="J14" s="15"/>
      <c r="K14" s="15"/>
      <c r="L14" s="15"/>
      <c r="M14" s="15"/>
      <c r="N14" s="15"/>
      <c r="O14" s="15"/>
      <c r="P14" s="15"/>
      <c r="Q14" s="15"/>
      <c r="R14" s="15"/>
      <c r="S14" s="15"/>
      <c r="T14" s="15"/>
      <c r="U14" s="15"/>
      <c r="V14" s="16" t="s">
        <v>239</v>
      </c>
      <c r="W14" s="15"/>
      <c r="X14" s="5"/>
    </row>
    <row r="15" spans="1:24" ht="15.75" x14ac:dyDescent="0.25">
      <c r="A15" s="6"/>
      <c r="B15" s="14" t="s">
        <v>2</v>
      </c>
      <c r="C15" s="15"/>
      <c r="D15" s="15"/>
      <c r="E15" s="15"/>
      <c r="F15" s="15"/>
      <c r="G15" s="15"/>
      <c r="H15" s="18"/>
      <c r="I15" s="18"/>
      <c r="J15" s="18"/>
      <c r="K15" s="18"/>
      <c r="L15" s="18"/>
      <c r="M15" s="18"/>
      <c r="N15" s="18"/>
      <c r="O15" s="18"/>
      <c r="P15" s="18"/>
      <c r="Q15" s="18"/>
      <c r="R15" s="18" t="s">
        <v>104</v>
      </c>
      <c r="S15" s="134">
        <v>0.47189999999999999</v>
      </c>
      <c r="T15" s="17" t="s">
        <v>140</v>
      </c>
      <c r="U15" s="134">
        <v>0.52810000000000001</v>
      </c>
      <c r="V15" s="16"/>
      <c r="W15" s="15"/>
      <c r="X15" s="5"/>
    </row>
    <row r="16" spans="1:24" ht="15.75" x14ac:dyDescent="0.25">
      <c r="A16" s="6"/>
      <c r="B16" s="14" t="s">
        <v>3</v>
      </c>
      <c r="C16" s="15"/>
      <c r="D16" s="15"/>
      <c r="E16" s="15"/>
      <c r="F16" s="15"/>
      <c r="G16" s="15"/>
      <c r="H16" s="18"/>
      <c r="I16" s="18"/>
      <c r="J16" s="18"/>
      <c r="K16" s="18"/>
      <c r="L16" s="18"/>
      <c r="M16" s="18"/>
      <c r="N16" s="18"/>
      <c r="O16" s="18"/>
      <c r="P16" s="18"/>
      <c r="Q16" s="18"/>
      <c r="R16" s="18" t="s">
        <v>104</v>
      </c>
      <c r="S16" s="134">
        <v>0.5212</v>
      </c>
      <c r="T16" s="17" t="s">
        <v>140</v>
      </c>
      <c r="U16" s="134">
        <v>0.4788</v>
      </c>
      <c r="V16" s="16"/>
      <c r="W16" s="15"/>
      <c r="X16" s="5"/>
    </row>
    <row r="17" spans="1:24" ht="15.75" x14ac:dyDescent="0.25">
      <c r="A17" s="6"/>
      <c r="B17" s="14" t="s">
        <v>4</v>
      </c>
      <c r="C17" s="15"/>
      <c r="D17" s="15"/>
      <c r="E17" s="15"/>
      <c r="F17" s="15"/>
      <c r="G17" s="15"/>
      <c r="H17" s="15"/>
      <c r="I17" s="15"/>
      <c r="J17" s="15"/>
      <c r="K17" s="15"/>
      <c r="L17" s="15"/>
      <c r="M17" s="15"/>
      <c r="N17" s="15"/>
      <c r="O17" s="15"/>
      <c r="P17" s="15"/>
      <c r="Q17" s="15"/>
      <c r="R17" s="15"/>
      <c r="S17" s="15"/>
      <c r="T17" s="15"/>
      <c r="U17" s="15"/>
      <c r="V17" s="19">
        <v>39282</v>
      </c>
      <c r="W17" s="15"/>
      <c r="X17" s="5"/>
    </row>
    <row r="18" spans="1:24" ht="15.75" x14ac:dyDescent="0.25">
      <c r="A18" s="6"/>
      <c r="B18" s="14" t="s">
        <v>5</v>
      </c>
      <c r="C18" s="15"/>
      <c r="D18" s="15"/>
      <c r="E18" s="15"/>
      <c r="F18" s="15"/>
      <c r="G18" s="15"/>
      <c r="H18" s="15"/>
      <c r="I18" s="15"/>
      <c r="J18" s="15"/>
      <c r="K18" s="15"/>
      <c r="L18" s="15"/>
      <c r="M18" s="15"/>
      <c r="N18" s="15"/>
      <c r="O18" s="15"/>
      <c r="P18" s="15"/>
      <c r="Q18" s="15"/>
      <c r="R18" s="15"/>
      <c r="S18" s="15"/>
      <c r="T18" s="15"/>
      <c r="U18" s="15"/>
      <c r="V18" s="19">
        <v>39805</v>
      </c>
      <c r="W18" s="15"/>
      <c r="X18" s="5"/>
    </row>
    <row r="19" spans="1:24" ht="15.75" x14ac:dyDescent="0.25">
      <c r="A19" s="6"/>
      <c r="B19" s="8"/>
      <c r="C19" s="8"/>
      <c r="D19" s="8"/>
      <c r="E19" s="8"/>
      <c r="F19" s="8"/>
      <c r="G19" s="8"/>
      <c r="H19" s="8"/>
      <c r="I19" s="8"/>
      <c r="J19" s="8"/>
      <c r="K19" s="8"/>
      <c r="L19" s="8"/>
      <c r="M19" s="8"/>
      <c r="N19" s="8"/>
      <c r="O19" s="8"/>
      <c r="P19" s="8"/>
      <c r="Q19" s="8"/>
      <c r="R19" s="8"/>
      <c r="S19" s="8"/>
      <c r="T19" s="8"/>
      <c r="U19" s="8"/>
      <c r="V19" s="20"/>
      <c r="W19" s="8"/>
      <c r="X19" s="5"/>
    </row>
    <row r="20" spans="1:24" ht="15.75" x14ac:dyDescent="0.25">
      <c r="A20" s="6"/>
      <c r="B20" s="21" t="s">
        <v>6</v>
      </c>
      <c r="C20" s="8"/>
      <c r="D20" s="8"/>
      <c r="E20" s="8"/>
      <c r="F20" s="8"/>
      <c r="G20" s="8"/>
      <c r="H20" s="8"/>
      <c r="I20" s="8"/>
      <c r="J20" s="8"/>
      <c r="K20" s="8"/>
      <c r="L20" s="8"/>
      <c r="M20" s="8"/>
      <c r="N20" s="8"/>
      <c r="O20" s="8"/>
      <c r="P20" s="8"/>
      <c r="Q20" s="8"/>
      <c r="R20" s="8"/>
      <c r="S20" s="8"/>
      <c r="T20" s="20" t="s">
        <v>105</v>
      </c>
      <c r="U20" s="8"/>
      <c r="V20" s="173"/>
      <c r="W20" s="8"/>
      <c r="X20" s="5"/>
    </row>
    <row r="21" spans="1:24" ht="15.75" x14ac:dyDescent="0.25">
      <c r="A21" s="6"/>
      <c r="B21" s="8"/>
      <c r="C21" s="8"/>
      <c r="D21" s="8"/>
      <c r="E21" s="8"/>
      <c r="F21" s="8"/>
      <c r="G21" s="8"/>
      <c r="H21" s="8"/>
      <c r="I21" s="8"/>
      <c r="J21" s="8"/>
      <c r="K21" s="8"/>
      <c r="L21" s="8"/>
      <c r="M21" s="8"/>
      <c r="N21" s="8"/>
      <c r="O21" s="8"/>
      <c r="P21" s="8"/>
      <c r="Q21" s="8"/>
      <c r="R21" s="8"/>
      <c r="S21" s="8"/>
      <c r="T21" s="8"/>
      <c r="U21" s="8"/>
      <c r="V21" s="22"/>
      <c r="W21" s="8"/>
      <c r="X21" s="5"/>
    </row>
    <row r="22" spans="1:24" ht="15.75" x14ac:dyDescent="0.25">
      <c r="A22" s="6"/>
      <c r="B22" s="8"/>
      <c r="C22" s="112"/>
      <c r="D22" s="112" t="s">
        <v>177</v>
      </c>
      <c r="E22" s="112"/>
      <c r="F22" s="112" t="s">
        <v>178</v>
      </c>
      <c r="G22" s="112"/>
      <c r="H22" s="112" t="s">
        <v>179</v>
      </c>
      <c r="I22" s="112"/>
      <c r="J22" s="112" t="s">
        <v>219</v>
      </c>
      <c r="K22" s="112"/>
      <c r="L22" s="112" t="s">
        <v>180</v>
      </c>
      <c r="M22" s="112"/>
      <c r="N22" s="112" t="s">
        <v>181</v>
      </c>
      <c r="O22" s="112"/>
      <c r="P22" s="112" t="s">
        <v>182</v>
      </c>
      <c r="Q22" s="112"/>
      <c r="R22" s="112"/>
      <c r="S22" s="113"/>
      <c r="T22" s="23"/>
      <c r="U22" s="173"/>
      <c r="V22" s="173"/>
      <c r="W22" s="8"/>
      <c r="X22" s="5"/>
    </row>
    <row r="23" spans="1:24" ht="15.75" x14ac:dyDescent="0.25">
      <c r="A23" s="24"/>
      <c r="B23" s="25" t="s">
        <v>7</v>
      </c>
      <c r="C23" s="26"/>
      <c r="D23" s="26" t="s">
        <v>212</v>
      </c>
      <c r="E23" s="26"/>
      <c r="F23" s="26" t="s">
        <v>141</v>
      </c>
      <c r="G23" s="26"/>
      <c r="H23" s="26" t="s">
        <v>141</v>
      </c>
      <c r="I23" s="26"/>
      <c r="J23" s="26" t="s">
        <v>141</v>
      </c>
      <c r="K23" s="26"/>
      <c r="L23" s="26" t="s">
        <v>183</v>
      </c>
      <c r="M23" s="26"/>
      <c r="N23" s="26" t="s">
        <v>183</v>
      </c>
      <c r="O23" s="26"/>
      <c r="P23" s="26" t="s">
        <v>142</v>
      </c>
      <c r="Q23" s="26"/>
      <c r="R23" s="26"/>
      <c r="S23" s="26"/>
      <c r="T23" s="26"/>
      <c r="U23" s="174"/>
      <c r="V23" s="174"/>
      <c r="W23" s="25"/>
      <c r="X23" s="5"/>
    </row>
    <row r="24" spans="1:24" ht="15.75" x14ac:dyDescent="0.25">
      <c r="A24" s="24"/>
      <c r="B24" s="25" t="s">
        <v>8</v>
      </c>
      <c r="C24" s="26"/>
      <c r="D24" s="26" t="s">
        <v>213</v>
      </c>
      <c r="E24" s="26"/>
      <c r="F24" s="26" t="s">
        <v>143</v>
      </c>
      <c r="G24" s="26"/>
      <c r="H24" s="26" t="s">
        <v>143</v>
      </c>
      <c r="I24" s="26"/>
      <c r="J24" s="26" t="s">
        <v>143</v>
      </c>
      <c r="K24" s="26"/>
      <c r="L24" s="26" t="s">
        <v>165</v>
      </c>
      <c r="M24" s="26"/>
      <c r="N24" s="26" t="s">
        <v>165</v>
      </c>
      <c r="O24" s="26"/>
      <c r="P24" s="26" t="s">
        <v>144</v>
      </c>
      <c r="Q24" s="26"/>
      <c r="R24" s="26"/>
      <c r="S24" s="26"/>
      <c r="T24" s="26"/>
      <c r="U24" s="174"/>
      <c r="V24" s="174"/>
      <c r="W24" s="25"/>
      <c r="X24" s="5"/>
    </row>
    <row r="25" spans="1:24" ht="15.75" x14ac:dyDescent="0.25">
      <c r="A25" s="28"/>
      <c r="B25" s="130" t="s">
        <v>190</v>
      </c>
      <c r="C25" s="123"/>
      <c r="D25" s="26" t="s">
        <v>214</v>
      </c>
      <c r="E25" s="26"/>
      <c r="F25" s="26" t="s">
        <v>143</v>
      </c>
      <c r="G25" s="26"/>
      <c r="H25" s="26" t="s">
        <v>143</v>
      </c>
      <c r="I25" s="26"/>
      <c r="J25" s="26" t="s">
        <v>143</v>
      </c>
      <c r="K25" s="26"/>
      <c r="L25" s="26" t="s">
        <v>165</v>
      </c>
      <c r="M25" s="26"/>
      <c r="N25" s="26" t="s">
        <v>165</v>
      </c>
      <c r="O25" s="26"/>
      <c r="P25" s="26" t="s">
        <v>144</v>
      </c>
      <c r="Q25" s="26"/>
      <c r="R25" s="26"/>
      <c r="S25" s="123"/>
      <c r="T25" s="26"/>
      <c r="U25" s="174"/>
      <c r="V25" s="174"/>
      <c r="W25" s="25"/>
      <c r="X25" s="5"/>
    </row>
    <row r="26" spans="1:24" ht="15.75" x14ac:dyDescent="0.25">
      <c r="A26" s="28"/>
      <c r="B26" s="29" t="s">
        <v>9</v>
      </c>
      <c r="C26" s="123"/>
      <c r="D26" s="123" t="s">
        <v>212</v>
      </c>
      <c r="E26" s="123"/>
      <c r="F26" s="123" t="s">
        <v>141</v>
      </c>
      <c r="G26" s="123"/>
      <c r="H26" s="123" t="s">
        <v>141</v>
      </c>
      <c r="I26" s="123"/>
      <c r="J26" s="123" t="s">
        <v>141</v>
      </c>
      <c r="K26" s="123"/>
      <c r="L26" s="123" t="s">
        <v>183</v>
      </c>
      <c r="M26" s="123"/>
      <c r="N26" s="123" t="s">
        <v>183</v>
      </c>
      <c r="O26" s="123"/>
      <c r="P26" s="123" t="s">
        <v>142</v>
      </c>
      <c r="Q26" s="123"/>
      <c r="R26" s="123"/>
      <c r="S26" s="123"/>
      <c r="T26" s="26"/>
      <c r="U26" s="174"/>
      <c r="V26" s="174"/>
      <c r="W26" s="25"/>
      <c r="X26" s="5"/>
    </row>
    <row r="27" spans="1:24" ht="15.75" x14ac:dyDescent="0.25">
      <c r="A27" s="24"/>
      <c r="B27" s="29" t="s">
        <v>191</v>
      </c>
      <c r="C27" s="26"/>
      <c r="D27" s="123" t="s">
        <v>213</v>
      </c>
      <c r="E27" s="123"/>
      <c r="F27" s="123" t="s">
        <v>143</v>
      </c>
      <c r="G27" s="123"/>
      <c r="H27" s="123" t="s">
        <v>143</v>
      </c>
      <c r="I27" s="123"/>
      <c r="J27" s="123" t="s">
        <v>143</v>
      </c>
      <c r="K27" s="123"/>
      <c r="L27" s="123" t="s">
        <v>165</v>
      </c>
      <c r="M27" s="123"/>
      <c r="N27" s="123" t="s">
        <v>165</v>
      </c>
      <c r="O27" s="123"/>
      <c r="P27" s="123" t="s">
        <v>144</v>
      </c>
      <c r="Q27" s="123"/>
      <c r="R27" s="123"/>
      <c r="S27" s="26"/>
      <c r="T27" s="30"/>
      <c r="U27" s="174"/>
      <c r="V27" s="174"/>
      <c r="W27" s="25"/>
      <c r="X27" s="5"/>
    </row>
    <row r="28" spans="1:24" ht="15.75" x14ac:dyDescent="0.25">
      <c r="A28" s="24"/>
      <c r="B28" s="149" t="s">
        <v>192</v>
      </c>
      <c r="C28" s="26"/>
      <c r="D28" s="123" t="s">
        <v>214</v>
      </c>
      <c r="E28" s="123"/>
      <c r="F28" s="123" t="s">
        <v>143</v>
      </c>
      <c r="G28" s="123"/>
      <c r="H28" s="123" t="s">
        <v>143</v>
      </c>
      <c r="I28" s="123"/>
      <c r="J28" s="123" t="s">
        <v>143</v>
      </c>
      <c r="K28" s="123"/>
      <c r="L28" s="123" t="s">
        <v>165</v>
      </c>
      <c r="M28" s="123"/>
      <c r="N28" s="123" t="s">
        <v>165</v>
      </c>
      <c r="O28" s="123"/>
      <c r="P28" s="123" t="s">
        <v>144</v>
      </c>
      <c r="Q28" s="123"/>
      <c r="R28" s="123"/>
      <c r="S28" s="26"/>
      <c r="T28" s="30"/>
      <c r="U28" s="174"/>
      <c r="V28" s="174"/>
      <c r="W28" s="25"/>
      <c r="X28" s="5"/>
    </row>
    <row r="29" spans="1:24" ht="15.75" x14ac:dyDescent="0.25">
      <c r="A29" s="24"/>
      <c r="B29" s="25" t="s">
        <v>10</v>
      </c>
      <c r="C29" s="32"/>
      <c r="D29" s="26" t="s">
        <v>242</v>
      </c>
      <c r="E29" s="26"/>
      <c r="F29" s="30" t="s">
        <v>244</v>
      </c>
      <c r="G29" s="26"/>
      <c r="H29" s="26" t="s">
        <v>245</v>
      </c>
      <c r="I29" s="26"/>
      <c r="J29" s="26" t="s">
        <v>247</v>
      </c>
      <c r="K29" s="26"/>
      <c r="L29" s="26" t="s">
        <v>248</v>
      </c>
      <c r="M29" s="26"/>
      <c r="N29" s="26" t="s">
        <v>249</v>
      </c>
      <c r="O29" s="26"/>
      <c r="P29" s="26" t="s">
        <v>250</v>
      </c>
      <c r="Q29" s="26"/>
      <c r="R29" s="26"/>
      <c r="S29" s="31"/>
      <c r="T29" s="31"/>
      <c r="U29" s="175"/>
      <c r="V29" s="31"/>
      <c r="W29" s="34"/>
      <c r="X29" s="5"/>
    </row>
    <row r="30" spans="1:24" ht="15.75" x14ac:dyDescent="0.25">
      <c r="A30" s="24"/>
      <c r="B30" s="25" t="s">
        <v>10</v>
      </c>
      <c r="C30" s="32"/>
      <c r="D30" s="26" t="s">
        <v>243</v>
      </c>
      <c r="E30" s="26"/>
      <c r="F30" s="30" t="s">
        <v>118</v>
      </c>
      <c r="G30" s="26"/>
      <c r="H30" s="26" t="s">
        <v>118</v>
      </c>
      <c r="I30" s="26"/>
      <c r="J30" s="26" t="s">
        <v>246</v>
      </c>
      <c r="K30" s="26"/>
      <c r="L30" s="26" t="s">
        <v>118</v>
      </c>
      <c r="M30" s="26"/>
      <c r="N30" s="26" t="s">
        <v>118</v>
      </c>
      <c r="O30" s="26"/>
      <c r="P30" s="26" t="s">
        <v>118</v>
      </c>
      <c r="Q30" s="26"/>
      <c r="R30" s="26"/>
      <c r="S30" s="31"/>
      <c r="T30" s="31"/>
      <c r="U30" s="175"/>
      <c r="V30" s="31"/>
      <c r="W30" s="34"/>
      <c r="X30" s="5"/>
    </row>
    <row r="31" spans="1:24" ht="15.75" x14ac:dyDescent="0.25">
      <c r="A31" s="28"/>
      <c r="B31" s="25" t="s">
        <v>133</v>
      </c>
      <c r="C31" s="36"/>
      <c r="D31" s="143">
        <v>1000000</v>
      </c>
      <c r="E31" s="32"/>
      <c r="F31" s="31">
        <v>209500</v>
      </c>
      <c r="G31" s="31"/>
      <c r="H31" s="124">
        <v>110000</v>
      </c>
      <c r="I31" s="124"/>
      <c r="J31" s="143">
        <v>150000</v>
      </c>
      <c r="K31" s="31"/>
      <c r="L31" s="31">
        <v>17000</v>
      </c>
      <c r="M31" s="31"/>
      <c r="N31" s="124">
        <v>85500</v>
      </c>
      <c r="O31" s="31"/>
      <c r="P31" s="124">
        <v>110500</v>
      </c>
      <c r="Q31" s="31"/>
      <c r="R31" s="124"/>
      <c r="S31" s="35"/>
      <c r="T31" s="35"/>
      <c r="U31" s="37"/>
      <c r="V31" s="35"/>
      <c r="W31" s="34"/>
      <c r="X31" s="5"/>
    </row>
    <row r="32" spans="1:24" ht="15.75" x14ac:dyDescent="0.25">
      <c r="A32" s="24"/>
      <c r="B32" s="25" t="s">
        <v>132</v>
      </c>
      <c r="C32" s="32"/>
      <c r="D32" s="143">
        <f>D31*D38</f>
        <v>915276.6</v>
      </c>
      <c r="E32" s="32"/>
      <c r="F32" s="31">
        <f>F31*F38</f>
        <v>191750.44769999999</v>
      </c>
      <c r="G32" s="31"/>
      <c r="H32" s="124">
        <f>H31*H38</f>
        <v>100680.64600000001</v>
      </c>
      <c r="I32" s="124"/>
      <c r="J32" s="143">
        <f>J31*J38</f>
        <v>137291.49</v>
      </c>
      <c r="K32" s="31"/>
      <c r="L32" s="31">
        <f>L31*L38</f>
        <v>17000</v>
      </c>
      <c r="M32" s="31"/>
      <c r="N32" s="124">
        <f>N31*N38</f>
        <v>85500</v>
      </c>
      <c r="O32" s="31"/>
      <c r="P32" s="124">
        <f>P31*P38</f>
        <v>110500</v>
      </c>
      <c r="Q32" s="31"/>
      <c r="R32" s="124"/>
      <c r="S32" s="31"/>
      <c r="T32" s="31"/>
      <c r="U32" s="175"/>
      <c r="V32" s="31"/>
      <c r="W32" s="34"/>
      <c r="X32" s="5"/>
    </row>
    <row r="33" spans="1:27" ht="15.75" x14ac:dyDescent="0.25">
      <c r="A33" s="24"/>
      <c r="B33" s="29" t="s">
        <v>134</v>
      </c>
      <c r="C33" s="32"/>
      <c r="D33" s="170">
        <f>D37*D31</f>
        <v>886817.5</v>
      </c>
      <c r="E33" s="36"/>
      <c r="F33" s="35">
        <f>F37*F31</f>
        <v>185788.28719999999</v>
      </c>
      <c r="G33" s="35"/>
      <c r="H33" s="125">
        <f>H31*H37</f>
        <v>97550.221999999994</v>
      </c>
      <c r="I33" s="125"/>
      <c r="J33" s="170">
        <f>J37*J31</f>
        <v>133022.625</v>
      </c>
      <c r="K33" s="35"/>
      <c r="L33" s="35">
        <f>L31*L37</f>
        <v>17000</v>
      </c>
      <c r="M33" s="35"/>
      <c r="N33" s="125">
        <f>N31*N37</f>
        <v>85500</v>
      </c>
      <c r="O33" s="35"/>
      <c r="P33" s="125">
        <f>P31*P37</f>
        <v>110500</v>
      </c>
      <c r="Q33" s="35"/>
      <c r="R33" s="125"/>
      <c r="S33" s="31"/>
      <c r="T33" s="31"/>
      <c r="U33" s="175"/>
      <c r="V33" s="31"/>
      <c r="W33" s="34"/>
      <c r="X33" s="5"/>
    </row>
    <row r="34" spans="1:27" ht="15.75" x14ac:dyDescent="0.25">
      <c r="A34" s="28"/>
      <c r="B34" s="25" t="s">
        <v>286</v>
      </c>
      <c r="C34" s="36"/>
      <c r="D34" s="31">
        <v>492951</v>
      </c>
      <c r="E34" s="32"/>
      <c r="F34" s="31">
        <v>209500</v>
      </c>
      <c r="G34" s="31"/>
      <c r="H34" s="31">
        <v>74677</v>
      </c>
      <c r="I34" s="31"/>
      <c r="J34" s="31">
        <v>73943</v>
      </c>
      <c r="K34" s="31"/>
      <c r="L34" s="31">
        <v>17000</v>
      </c>
      <c r="M34" s="31"/>
      <c r="N34" s="31">
        <v>58045</v>
      </c>
      <c r="O34" s="31"/>
      <c r="P34" s="31">
        <v>75017</v>
      </c>
      <c r="Q34" s="31"/>
      <c r="R34" s="31"/>
      <c r="S34" s="35"/>
      <c r="T34" s="35"/>
      <c r="U34" s="37"/>
      <c r="V34" s="150">
        <f>SUM(C34:R34)</f>
        <v>1001133</v>
      </c>
      <c r="W34" s="34"/>
      <c r="X34" s="5"/>
    </row>
    <row r="35" spans="1:27" ht="15.75" x14ac:dyDescent="0.25">
      <c r="A35" s="28"/>
      <c r="B35" s="25" t="s">
        <v>287</v>
      </c>
      <c r="C35" s="126"/>
      <c r="D35" s="31">
        <f>D34*D38</f>
        <v>451186.51524659997</v>
      </c>
      <c r="E35" s="32"/>
      <c r="F35" s="31">
        <f>F34*F38</f>
        <v>191750.44769999999</v>
      </c>
      <c r="G35" s="31"/>
      <c r="H35" s="31">
        <f>H34*H38</f>
        <v>68350.2600122</v>
      </c>
      <c r="I35" s="31"/>
      <c r="J35" s="31">
        <f>J34*J38</f>
        <v>67678.297633800001</v>
      </c>
      <c r="K35" s="31"/>
      <c r="L35" s="31">
        <f>L34*L38</f>
        <v>17000</v>
      </c>
      <c r="M35" s="31"/>
      <c r="N35" s="31">
        <f>N34*N38</f>
        <v>58045</v>
      </c>
      <c r="O35" s="31"/>
      <c r="P35" s="31">
        <f>P34*P38</f>
        <v>75017</v>
      </c>
      <c r="Q35" s="31"/>
      <c r="R35" s="31"/>
      <c r="S35" s="31"/>
      <c r="T35" s="31"/>
      <c r="U35" s="175"/>
      <c r="V35" s="150">
        <f>SUM(C35:R35)</f>
        <v>929027.52059259987</v>
      </c>
      <c r="W35" s="34"/>
      <c r="X35" s="5"/>
    </row>
    <row r="36" spans="1:27" ht="15.75" x14ac:dyDescent="0.25">
      <c r="A36" s="28"/>
      <c r="B36" s="29" t="s">
        <v>288</v>
      </c>
      <c r="C36" s="126"/>
      <c r="D36" s="35">
        <f>D34*D37</f>
        <v>437157.57344250003</v>
      </c>
      <c r="E36" s="36"/>
      <c r="F36" s="35">
        <f>F34*F37</f>
        <v>185788.28719999999</v>
      </c>
      <c r="G36" s="35"/>
      <c r="H36" s="35">
        <f>H34*H37</f>
        <v>66225.072075399992</v>
      </c>
      <c r="I36" s="35"/>
      <c r="J36" s="35">
        <f>J34*J37</f>
        <v>65573.946402500005</v>
      </c>
      <c r="K36" s="35"/>
      <c r="L36" s="35">
        <f>L34*L37</f>
        <v>17000</v>
      </c>
      <c r="M36" s="35"/>
      <c r="N36" s="35">
        <f>N34*N37</f>
        <v>58045</v>
      </c>
      <c r="O36" s="35"/>
      <c r="P36" s="35">
        <f>P34*P37</f>
        <v>75017</v>
      </c>
      <c r="Q36" s="35"/>
      <c r="R36" s="35"/>
      <c r="S36" s="128"/>
      <c r="T36" s="128"/>
      <c r="U36" s="175"/>
      <c r="V36" s="151">
        <f>SUM(C36:R36)</f>
        <v>904806.87912040006</v>
      </c>
      <c r="W36" s="34"/>
      <c r="X36" s="5"/>
    </row>
    <row r="37" spans="1:27" ht="15.75" x14ac:dyDescent="0.25">
      <c r="A37" s="24"/>
      <c r="B37" s="122" t="s">
        <v>130</v>
      </c>
      <c r="C37" s="25"/>
      <c r="D37" s="168">
        <v>0.88681750000000004</v>
      </c>
      <c r="E37" s="168"/>
      <c r="F37" s="168">
        <v>0.88681759999999998</v>
      </c>
      <c r="G37" s="168"/>
      <c r="H37" s="168">
        <v>0.88682019999999995</v>
      </c>
      <c r="I37" s="168"/>
      <c r="J37" s="168">
        <v>0.88681750000000004</v>
      </c>
      <c r="K37" s="168"/>
      <c r="L37" s="168">
        <v>1</v>
      </c>
      <c r="M37" s="168"/>
      <c r="N37" s="168">
        <v>1</v>
      </c>
      <c r="O37" s="168"/>
      <c r="P37" s="168">
        <v>1</v>
      </c>
      <c r="Q37" s="168"/>
      <c r="R37" s="168"/>
      <c r="S37" s="30"/>
      <c r="T37" s="30"/>
      <c r="U37" s="174"/>
      <c r="V37" s="174"/>
      <c r="W37" s="25"/>
      <c r="X37" s="5"/>
    </row>
    <row r="38" spans="1:27" ht="15.75" x14ac:dyDescent="0.25">
      <c r="A38" s="24"/>
      <c r="B38" s="122" t="s">
        <v>131</v>
      </c>
      <c r="C38" s="25"/>
      <c r="D38" s="168">
        <v>0.9152766</v>
      </c>
      <c r="E38" s="168"/>
      <c r="F38" s="168">
        <v>0.9152766</v>
      </c>
      <c r="G38" s="168"/>
      <c r="H38" s="168">
        <v>0.91527860000000005</v>
      </c>
      <c r="I38" s="168"/>
      <c r="J38" s="168">
        <v>0.9152766</v>
      </c>
      <c r="K38" s="168"/>
      <c r="L38" s="168">
        <v>1</v>
      </c>
      <c r="M38" s="168"/>
      <c r="N38" s="168">
        <v>1</v>
      </c>
      <c r="O38" s="168"/>
      <c r="P38" s="168">
        <v>1</v>
      </c>
      <c r="Q38" s="168"/>
      <c r="R38" s="168"/>
      <c r="S38" s="39"/>
      <c r="T38" s="38"/>
      <c r="U38" s="174"/>
      <c r="V38" s="39"/>
      <c r="W38" s="25"/>
      <c r="X38" s="5"/>
    </row>
    <row r="39" spans="1:27" ht="15.75" x14ac:dyDescent="0.25">
      <c r="A39" s="24"/>
      <c r="B39" s="25" t="s">
        <v>11</v>
      </c>
      <c r="C39" s="25"/>
      <c r="D39" s="30" t="s">
        <v>278</v>
      </c>
      <c r="E39" s="25"/>
      <c r="F39" s="30" t="s">
        <v>251</v>
      </c>
      <c r="G39" s="30"/>
      <c r="H39" s="30" t="s">
        <v>252</v>
      </c>
      <c r="I39" s="30"/>
      <c r="J39" s="30" t="s">
        <v>253</v>
      </c>
      <c r="K39" s="30"/>
      <c r="L39" s="30" t="s">
        <v>254</v>
      </c>
      <c r="M39" s="30"/>
      <c r="N39" s="30" t="s">
        <v>254</v>
      </c>
      <c r="O39" s="30"/>
      <c r="P39" s="30" t="s">
        <v>255</v>
      </c>
      <c r="Q39" s="30"/>
      <c r="R39" s="30"/>
      <c r="S39" s="39"/>
      <c r="T39" s="38"/>
      <c r="U39" s="174"/>
      <c r="V39" s="174"/>
      <c r="W39" s="25"/>
      <c r="X39" s="5"/>
    </row>
    <row r="40" spans="1:27" ht="15.75" x14ac:dyDescent="0.25">
      <c r="A40" s="24"/>
      <c r="B40" s="25" t="s">
        <v>12</v>
      </c>
      <c r="C40" s="25"/>
      <c r="D40" s="38">
        <v>1.5125E-2</v>
      </c>
      <c r="E40" s="25"/>
      <c r="F40" s="38">
        <v>5.8450000000000002E-2</v>
      </c>
      <c r="G40" s="39"/>
      <c r="H40" s="38">
        <v>5.0779999999999999E-2</v>
      </c>
      <c r="I40" s="38"/>
      <c r="J40" s="38">
        <v>2.9287500000000001E-2</v>
      </c>
      <c r="K40" s="39"/>
      <c r="L40" s="38">
        <v>5.985E-2</v>
      </c>
      <c r="M40" s="39"/>
      <c r="N40" s="38">
        <v>5.228E-2</v>
      </c>
      <c r="O40" s="39"/>
      <c r="P40" s="38">
        <v>5.5079999999999997E-2</v>
      </c>
      <c r="Q40" s="39"/>
      <c r="R40" s="38"/>
      <c r="S40" s="39"/>
      <c r="T40" s="38"/>
      <c r="U40" s="174"/>
      <c r="V40" s="30"/>
      <c r="W40" s="25"/>
      <c r="X40" s="5"/>
      <c r="AA40" s="1" t="s">
        <v>193</v>
      </c>
    </row>
    <row r="41" spans="1:27" ht="15.75" x14ac:dyDescent="0.25">
      <c r="A41" s="24"/>
      <c r="B41" s="25" t="s">
        <v>13</v>
      </c>
      <c r="C41" s="25"/>
      <c r="D41" s="38">
        <v>2.5568799999999999E-2</v>
      </c>
      <c r="E41" s="25"/>
      <c r="F41" s="38">
        <v>6.0850000000000001E-2</v>
      </c>
      <c r="G41" s="39"/>
      <c r="H41" s="38">
        <v>5.0779999999999999E-2</v>
      </c>
      <c r="I41" s="38"/>
      <c r="J41" s="38">
        <v>2.8862499999999999E-2</v>
      </c>
      <c r="K41" s="39"/>
      <c r="L41" s="38">
        <v>6.225E-2</v>
      </c>
      <c r="M41" s="39"/>
      <c r="N41" s="38">
        <v>5.228E-2</v>
      </c>
      <c r="O41" s="39"/>
      <c r="P41" s="38">
        <v>5.5079999999999997E-2</v>
      </c>
      <c r="Q41" s="39"/>
      <c r="R41" s="38"/>
      <c r="S41" s="39"/>
      <c r="T41" s="38"/>
      <c r="U41" s="174"/>
      <c r="V41" s="39" t="s">
        <v>193</v>
      </c>
      <c r="W41" s="25"/>
      <c r="X41" s="5"/>
    </row>
    <row r="42" spans="1:27" ht="15.75" x14ac:dyDescent="0.25">
      <c r="A42" s="24"/>
      <c r="B42" s="25" t="s">
        <v>289</v>
      </c>
      <c r="C42" s="25"/>
      <c r="D42" s="30" t="s">
        <v>279</v>
      </c>
      <c r="E42" s="25"/>
      <c r="F42" s="30" t="s">
        <v>251</v>
      </c>
      <c r="G42" s="30"/>
      <c r="H42" s="30" t="s">
        <v>229</v>
      </c>
      <c r="I42" s="30"/>
      <c r="J42" s="30" t="s">
        <v>229</v>
      </c>
      <c r="K42" s="30"/>
      <c r="L42" s="30" t="s">
        <v>254</v>
      </c>
      <c r="M42" s="30"/>
      <c r="N42" s="30" t="s">
        <v>262</v>
      </c>
      <c r="O42" s="30"/>
      <c r="P42" s="30" t="s">
        <v>263</v>
      </c>
      <c r="Q42" s="30"/>
      <c r="R42" s="30"/>
      <c r="S42" s="39"/>
      <c r="T42" s="38"/>
      <c r="U42" s="174"/>
      <c r="V42" s="174"/>
      <c r="W42" s="25"/>
      <c r="X42" s="5"/>
    </row>
    <row r="43" spans="1:27" ht="15.75" x14ac:dyDescent="0.25">
      <c r="A43" s="24"/>
      <c r="B43" s="25" t="s">
        <v>290</v>
      </c>
      <c r="C43" s="110"/>
      <c r="D43" s="38">
        <v>5.8241950000000001E-2</v>
      </c>
      <c r="E43" s="38"/>
      <c r="F43" s="38">
        <f>+F40</f>
        <v>5.8450000000000002E-2</v>
      </c>
      <c r="G43" s="38"/>
      <c r="H43" s="38">
        <v>5.8525000000000001E-2</v>
      </c>
      <c r="I43" s="38"/>
      <c r="J43" s="38">
        <v>5.8540000000000002E-2</v>
      </c>
      <c r="K43" s="38"/>
      <c r="L43" s="38">
        <f>+L40</f>
        <v>5.985E-2</v>
      </c>
      <c r="M43" s="38"/>
      <c r="N43" s="38">
        <v>6.0217E-2</v>
      </c>
      <c r="O43" s="38"/>
      <c r="P43" s="38">
        <v>6.3297000000000006E-2</v>
      </c>
      <c r="Q43" s="39"/>
      <c r="R43" s="38"/>
      <c r="S43" s="30"/>
      <c r="T43" s="30"/>
      <c r="U43" s="174"/>
      <c r="V43" s="39">
        <f>SUMPRODUCT(D43:R43,D35:R35)/V35</f>
        <v>5.8888437900667459E-2</v>
      </c>
      <c r="W43" s="25"/>
      <c r="X43" s="5"/>
    </row>
    <row r="44" spans="1:27" ht="15.75" x14ac:dyDescent="0.25">
      <c r="A44" s="24"/>
      <c r="B44" s="25" t="s">
        <v>291</v>
      </c>
      <c r="C44" s="110"/>
      <c r="D44" s="38">
        <v>6.064195E-2</v>
      </c>
      <c r="E44" s="38"/>
      <c r="F44" s="38">
        <f>+F41</f>
        <v>6.0850000000000001E-2</v>
      </c>
      <c r="G44" s="38"/>
      <c r="H44" s="38">
        <v>6.0925E-2</v>
      </c>
      <c r="I44" s="38"/>
      <c r="J44" s="38">
        <v>6.0940000000000001E-2</v>
      </c>
      <c r="K44" s="38"/>
      <c r="L44" s="38">
        <f>+L41</f>
        <v>6.225E-2</v>
      </c>
      <c r="M44" s="38"/>
      <c r="N44" s="38">
        <v>6.2617000000000006E-2</v>
      </c>
      <c r="O44" s="38"/>
      <c r="P44" s="38">
        <v>6.5697000000000005E-2</v>
      </c>
      <c r="Q44" s="39"/>
      <c r="R44" s="38"/>
      <c r="S44" s="30"/>
      <c r="T44" s="30"/>
      <c r="U44" s="174"/>
      <c r="V44" s="174"/>
      <c r="W44" s="25"/>
      <c r="X44" s="5"/>
    </row>
    <row r="45" spans="1:27" ht="15.75" x14ac:dyDescent="0.25">
      <c r="A45" s="24"/>
      <c r="B45" s="25" t="s">
        <v>14</v>
      </c>
      <c r="C45" s="25"/>
      <c r="D45" s="110">
        <v>40709</v>
      </c>
      <c r="E45" s="110"/>
      <c r="F45" s="110">
        <v>40709</v>
      </c>
      <c r="G45" s="110"/>
      <c r="H45" s="110">
        <v>40709</v>
      </c>
      <c r="I45" s="110"/>
      <c r="J45" s="110">
        <v>40709</v>
      </c>
      <c r="K45" s="110"/>
      <c r="L45" s="110">
        <v>40709</v>
      </c>
      <c r="M45" s="110"/>
      <c r="N45" s="110">
        <v>40709</v>
      </c>
      <c r="O45" s="110"/>
      <c r="P45" s="110">
        <v>40709</v>
      </c>
      <c r="Q45" s="110"/>
      <c r="R45" s="110"/>
      <c r="S45" s="30"/>
      <c r="T45" s="30"/>
      <c r="U45" s="174"/>
      <c r="V45" s="174"/>
      <c r="W45" s="25"/>
      <c r="X45" s="5"/>
    </row>
    <row r="46" spans="1:27" ht="15.75" x14ac:dyDescent="0.25">
      <c r="A46" s="24"/>
      <c r="B46" s="25" t="s">
        <v>15</v>
      </c>
      <c r="C46" s="25"/>
      <c r="D46" s="110" t="s">
        <v>118</v>
      </c>
      <c r="E46" s="110"/>
      <c r="F46" s="110">
        <v>41075</v>
      </c>
      <c r="G46" s="110"/>
      <c r="H46" s="110">
        <v>41075</v>
      </c>
      <c r="I46" s="110"/>
      <c r="J46" s="110">
        <v>41075</v>
      </c>
      <c r="K46" s="30"/>
      <c r="L46" s="110">
        <v>41075</v>
      </c>
      <c r="M46" s="30"/>
      <c r="N46" s="110">
        <v>41075</v>
      </c>
      <c r="O46" s="30"/>
      <c r="P46" s="110">
        <v>41075</v>
      </c>
      <c r="Q46" s="30"/>
      <c r="R46" s="110"/>
      <c r="S46" s="30"/>
      <c r="T46" s="30"/>
      <c r="U46" s="174"/>
      <c r="V46" s="174"/>
      <c r="W46" s="25"/>
      <c r="X46" s="5"/>
    </row>
    <row r="47" spans="1:27" ht="15.75" x14ac:dyDescent="0.25">
      <c r="A47" s="24"/>
      <c r="B47" s="25" t="s">
        <v>119</v>
      </c>
      <c r="C47" s="25"/>
      <c r="D47" s="171" t="s">
        <v>118</v>
      </c>
      <c r="E47" s="25"/>
      <c r="F47" s="30" t="s">
        <v>256</v>
      </c>
      <c r="G47" s="30"/>
      <c r="H47" s="30" t="s">
        <v>257</v>
      </c>
      <c r="I47" s="30"/>
      <c r="J47" s="30" t="s">
        <v>258</v>
      </c>
      <c r="K47" s="30"/>
      <c r="L47" s="30" t="s">
        <v>259</v>
      </c>
      <c r="M47" s="30"/>
      <c r="N47" s="30" t="s">
        <v>259</v>
      </c>
      <c r="O47" s="30"/>
      <c r="P47" s="30" t="s">
        <v>260</v>
      </c>
      <c r="Q47" s="30"/>
      <c r="R47" s="30"/>
      <c r="S47" s="40"/>
      <c r="T47" s="40"/>
      <c r="U47" s="40"/>
      <c r="V47" s="40"/>
      <c r="W47" s="25"/>
      <c r="X47" s="5"/>
    </row>
    <row r="48" spans="1:27" ht="15.75" x14ac:dyDescent="0.25">
      <c r="A48" s="24"/>
      <c r="B48" s="25" t="s">
        <v>292</v>
      </c>
      <c r="C48" s="25"/>
      <c r="D48" s="30" t="s">
        <v>200</v>
      </c>
      <c r="E48" s="25"/>
      <c r="F48" s="30" t="s">
        <v>256</v>
      </c>
      <c r="G48" s="30"/>
      <c r="H48" s="30" t="s">
        <v>261</v>
      </c>
      <c r="I48" s="30"/>
      <c r="J48" s="30" t="s">
        <v>261</v>
      </c>
      <c r="K48" s="30"/>
      <c r="L48" s="30" t="s">
        <v>259</v>
      </c>
      <c r="M48" s="30"/>
      <c r="N48" s="30" t="s">
        <v>263</v>
      </c>
      <c r="O48" s="30"/>
      <c r="P48" s="30" t="s">
        <v>264</v>
      </c>
      <c r="Q48" s="30"/>
      <c r="R48" s="30"/>
      <c r="S48" s="25"/>
      <c r="T48" s="25"/>
      <c r="U48" s="25"/>
      <c r="V48" s="39"/>
      <c r="W48" s="25"/>
      <c r="X48" s="5"/>
    </row>
    <row r="49" spans="1:25" ht="15.75" x14ac:dyDescent="0.25">
      <c r="A49" s="24"/>
      <c r="B49" s="25"/>
      <c r="C49" s="25"/>
      <c r="D49" s="30"/>
      <c r="E49" s="25"/>
      <c r="F49" s="30"/>
      <c r="G49" s="30"/>
      <c r="H49" s="30"/>
      <c r="I49" s="30"/>
      <c r="J49" s="30"/>
      <c r="K49" s="30"/>
      <c r="L49" s="30"/>
      <c r="M49" s="30"/>
      <c r="N49" s="30"/>
      <c r="O49" s="30"/>
      <c r="P49" s="30"/>
      <c r="Q49" s="30"/>
      <c r="R49" s="30"/>
      <c r="S49" s="25"/>
      <c r="T49" s="25"/>
      <c r="U49" s="25"/>
      <c r="V49" s="39" t="s">
        <v>193</v>
      </c>
      <c r="W49" s="25"/>
      <c r="X49" s="5"/>
    </row>
    <row r="50" spans="1:25" ht="15.75" x14ac:dyDescent="0.25">
      <c r="A50" s="24"/>
      <c r="B50" s="25" t="s">
        <v>169</v>
      </c>
      <c r="C50" s="25"/>
      <c r="D50" s="30"/>
      <c r="E50" s="25"/>
      <c r="F50" s="30"/>
      <c r="G50" s="30"/>
      <c r="H50" s="30"/>
      <c r="I50" s="30"/>
      <c r="J50" s="30"/>
      <c r="K50" s="30"/>
      <c r="L50" s="30"/>
      <c r="M50" s="30"/>
      <c r="N50" s="30"/>
      <c r="O50" s="30"/>
      <c r="P50" s="30"/>
      <c r="Q50" s="30"/>
      <c r="R50" s="30"/>
      <c r="S50" s="25"/>
      <c r="T50" s="25"/>
      <c r="U50" s="25"/>
      <c r="V50" s="39">
        <f>SUM(L34:R34)/SUM(D34:J34)</f>
        <v>0.17632136449250416</v>
      </c>
      <c r="W50" s="25"/>
      <c r="X50" s="5"/>
    </row>
    <row r="51" spans="1:25" ht="15.75" x14ac:dyDescent="0.25">
      <c r="A51" s="24"/>
      <c r="B51" s="25" t="s">
        <v>170</v>
      </c>
      <c r="C51" s="25"/>
      <c r="D51" s="25"/>
      <c r="E51" s="25"/>
      <c r="F51" s="41"/>
      <c r="G51" s="25"/>
      <c r="H51" s="25"/>
      <c r="I51" s="25"/>
      <c r="J51" s="25"/>
      <c r="K51" s="25"/>
      <c r="L51" s="25"/>
      <c r="M51" s="25"/>
      <c r="N51" s="25"/>
      <c r="O51" s="25"/>
      <c r="P51" s="25"/>
      <c r="Q51" s="25"/>
      <c r="R51" s="25"/>
      <c r="S51" s="25"/>
      <c r="T51" s="25"/>
      <c r="U51" s="25"/>
      <c r="V51" s="39">
        <f>SUM(L36:R36)/SUM(D36:J36)</f>
        <v>0.19882480047414999</v>
      </c>
      <c r="W51" s="25"/>
      <c r="X51" s="5"/>
    </row>
    <row r="52" spans="1:25" ht="15.75" x14ac:dyDescent="0.25">
      <c r="A52" s="24"/>
      <c r="B52" s="25" t="s">
        <v>171</v>
      </c>
      <c r="C52" s="25"/>
      <c r="D52" s="25"/>
      <c r="E52" s="25"/>
      <c r="F52" s="25"/>
      <c r="G52" s="25"/>
      <c r="H52" s="25"/>
      <c r="I52" s="25"/>
      <c r="J52" s="25"/>
      <c r="K52" s="25"/>
      <c r="L52" s="25"/>
      <c r="M52" s="25"/>
      <c r="N52" s="25"/>
      <c r="O52" s="25"/>
      <c r="P52" s="25"/>
      <c r="Q52" s="25"/>
      <c r="R52" s="25"/>
      <c r="S52" s="25"/>
      <c r="T52" s="30"/>
      <c r="U52" s="30"/>
      <c r="V52" s="31" t="s">
        <v>268</v>
      </c>
      <c r="W52" s="25"/>
      <c r="X52" s="5"/>
    </row>
    <row r="53" spans="1:25" ht="15.75" x14ac:dyDescent="0.25">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75" x14ac:dyDescent="0.25">
      <c r="A54" s="24"/>
      <c r="B54" s="25" t="s">
        <v>202</v>
      </c>
      <c r="C54" s="25"/>
      <c r="D54" s="25"/>
      <c r="E54" s="25"/>
      <c r="F54" s="25"/>
      <c r="G54" s="25"/>
      <c r="H54" s="25"/>
      <c r="I54" s="25"/>
      <c r="J54" s="25"/>
      <c r="K54" s="25"/>
      <c r="L54" s="25"/>
      <c r="M54" s="25"/>
      <c r="N54" s="25"/>
      <c r="O54" s="25"/>
      <c r="P54" s="25"/>
      <c r="Q54" s="25"/>
      <c r="R54" s="25"/>
      <c r="S54" s="25"/>
      <c r="T54" s="25"/>
      <c r="U54" s="25"/>
      <c r="V54" s="152" t="s">
        <v>203</v>
      </c>
      <c r="W54" s="25"/>
      <c r="X54" s="5"/>
    </row>
    <row r="55" spans="1:25" ht="15.75" x14ac:dyDescent="0.25">
      <c r="A55" s="24"/>
      <c r="B55" s="25" t="s">
        <v>270</v>
      </c>
      <c r="C55" s="25"/>
      <c r="D55" s="25"/>
      <c r="E55" s="25"/>
      <c r="F55" s="25"/>
      <c r="G55" s="25"/>
      <c r="H55" s="25"/>
      <c r="I55" s="25"/>
      <c r="J55" s="25"/>
      <c r="K55" s="25"/>
      <c r="L55" s="25"/>
      <c r="M55" s="25"/>
      <c r="N55" s="25"/>
      <c r="O55" s="25"/>
      <c r="P55" s="25"/>
      <c r="Q55" s="25"/>
      <c r="R55" s="25"/>
      <c r="S55" s="25"/>
      <c r="T55" s="30"/>
      <c r="U55" s="30"/>
      <c r="V55" s="153" t="s">
        <v>111</v>
      </c>
      <c r="W55" s="25"/>
      <c r="X55" s="5"/>
    </row>
    <row r="56" spans="1:25" ht="15.75" x14ac:dyDescent="0.25">
      <c r="A56" s="24"/>
      <c r="B56" s="29" t="s">
        <v>201</v>
      </c>
      <c r="C56" s="29"/>
      <c r="D56" s="29"/>
      <c r="E56" s="29"/>
      <c r="F56" s="29"/>
      <c r="G56" s="29"/>
      <c r="H56" s="29"/>
      <c r="I56" s="29"/>
      <c r="J56" s="29"/>
      <c r="K56" s="29"/>
      <c r="L56" s="29"/>
      <c r="M56" s="29"/>
      <c r="N56" s="29"/>
      <c r="O56" s="29"/>
      <c r="P56" s="29"/>
      <c r="Q56" s="29"/>
      <c r="R56" s="29"/>
      <c r="S56" s="29"/>
      <c r="T56" s="43"/>
      <c r="U56" s="43"/>
      <c r="V56" s="44">
        <v>39797</v>
      </c>
      <c r="W56" s="25"/>
      <c r="X56" s="5"/>
    </row>
    <row r="57" spans="1:25" ht="15.75" x14ac:dyDescent="0.25">
      <c r="A57" s="24"/>
      <c r="B57" s="25" t="s">
        <v>121</v>
      </c>
      <c r="C57" s="25"/>
      <c r="D57" s="25"/>
      <c r="E57" s="25"/>
      <c r="F57" s="25"/>
      <c r="G57" s="25"/>
      <c r="H57" s="58"/>
      <c r="I57" s="58"/>
      <c r="J57" s="58"/>
      <c r="K57" s="58"/>
      <c r="L57" s="58"/>
      <c r="M57" s="58"/>
      <c r="N57" s="58"/>
      <c r="O57" s="58"/>
      <c r="P57" s="58"/>
      <c r="Q57" s="58"/>
      <c r="R57" s="25">
        <f>+V57-T57+1</f>
        <v>91</v>
      </c>
      <c r="S57" s="58"/>
      <c r="T57" s="45">
        <v>39615</v>
      </c>
      <c r="U57" s="46"/>
      <c r="V57" s="45">
        <v>39705</v>
      </c>
      <c r="W57" s="25"/>
      <c r="X57" s="5"/>
    </row>
    <row r="58" spans="1:25" ht="15.75" x14ac:dyDescent="0.25">
      <c r="A58" s="24"/>
      <c r="B58" s="25" t="s">
        <v>122</v>
      </c>
      <c r="C58" s="25"/>
      <c r="D58" s="25"/>
      <c r="E58" s="25"/>
      <c r="F58" s="25"/>
      <c r="G58" s="25"/>
      <c r="H58" s="25"/>
      <c r="I58" s="25"/>
      <c r="J58" s="25"/>
      <c r="K58" s="25"/>
      <c r="L58" s="25"/>
      <c r="M58" s="25"/>
      <c r="N58" s="25"/>
      <c r="O58" s="25"/>
      <c r="P58" s="25"/>
      <c r="Q58" s="25"/>
      <c r="R58" s="25">
        <f>+V58-T58+1</f>
        <v>91</v>
      </c>
      <c r="S58" s="25"/>
      <c r="T58" s="45">
        <v>39706</v>
      </c>
      <c r="U58" s="46"/>
      <c r="V58" s="45">
        <v>39796</v>
      </c>
      <c r="W58" s="25"/>
      <c r="X58" s="5"/>
    </row>
    <row r="59" spans="1:25" ht="15.75" x14ac:dyDescent="0.25">
      <c r="A59" s="24"/>
      <c r="B59" s="25" t="s">
        <v>223</v>
      </c>
      <c r="C59" s="25"/>
      <c r="D59" s="25"/>
      <c r="E59" s="25"/>
      <c r="F59" s="25"/>
      <c r="G59" s="25"/>
      <c r="H59" s="25"/>
      <c r="I59" s="25"/>
      <c r="J59" s="25"/>
      <c r="K59" s="25"/>
      <c r="L59" s="25"/>
      <c r="M59" s="25"/>
      <c r="N59" s="25"/>
      <c r="O59" s="25"/>
      <c r="P59" s="25"/>
      <c r="Q59" s="25"/>
      <c r="R59" s="25"/>
      <c r="S59" s="25"/>
      <c r="T59" s="45"/>
      <c r="U59" s="46"/>
      <c r="V59" s="45" t="s">
        <v>120</v>
      </c>
      <c r="W59" s="25"/>
      <c r="X59" s="5"/>
    </row>
    <row r="60" spans="1:25" ht="15.75" x14ac:dyDescent="0.25">
      <c r="A60" s="24"/>
      <c r="B60" s="25" t="s">
        <v>271</v>
      </c>
      <c r="C60" s="25"/>
      <c r="D60" s="25"/>
      <c r="E60" s="25"/>
      <c r="F60" s="25"/>
      <c r="G60" s="25"/>
      <c r="H60" s="25"/>
      <c r="I60" s="25"/>
      <c r="J60" s="25"/>
      <c r="K60" s="25"/>
      <c r="L60" s="25"/>
      <c r="M60" s="25"/>
      <c r="N60" s="25"/>
      <c r="O60" s="25"/>
      <c r="P60" s="25"/>
      <c r="Q60" s="25"/>
      <c r="R60" s="25"/>
      <c r="S60" s="25"/>
      <c r="T60" s="45"/>
      <c r="U60" s="46"/>
      <c r="V60" s="45" t="s">
        <v>154</v>
      </c>
      <c r="W60" s="25"/>
      <c r="X60" s="5"/>
      <c r="Y60" s="133"/>
    </row>
    <row r="61" spans="1:25" ht="15.75" x14ac:dyDescent="0.25">
      <c r="A61" s="24"/>
      <c r="B61" s="25" t="s">
        <v>16</v>
      </c>
      <c r="C61" s="25"/>
      <c r="D61" s="25"/>
      <c r="E61" s="25"/>
      <c r="F61" s="25"/>
      <c r="G61" s="25"/>
      <c r="H61" s="25"/>
      <c r="I61" s="25"/>
      <c r="J61" s="25"/>
      <c r="K61" s="25"/>
      <c r="L61" s="25"/>
      <c r="M61" s="25"/>
      <c r="N61" s="25"/>
      <c r="O61" s="25"/>
      <c r="P61" s="25"/>
      <c r="Q61" s="25"/>
      <c r="R61" s="25"/>
      <c r="S61" s="25"/>
      <c r="T61" s="45"/>
      <c r="U61" s="46"/>
      <c r="V61" s="45">
        <v>39783</v>
      </c>
      <c r="W61" s="25"/>
      <c r="X61" s="5"/>
    </row>
    <row r="62" spans="1:25" ht="15.75" x14ac:dyDescent="0.25">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75" x14ac:dyDescent="0.25">
      <c r="A63" s="6"/>
      <c r="B63" s="8"/>
      <c r="C63" s="8"/>
      <c r="D63" s="8"/>
      <c r="E63" s="8"/>
      <c r="F63" s="8"/>
      <c r="G63" s="8"/>
      <c r="H63" s="8"/>
      <c r="I63" s="8"/>
      <c r="J63" s="8"/>
      <c r="K63" s="8"/>
      <c r="L63" s="8"/>
      <c r="M63" s="8"/>
      <c r="N63" s="8"/>
      <c r="O63" s="8"/>
      <c r="P63" s="8"/>
      <c r="Q63" s="8"/>
      <c r="R63" s="8"/>
      <c r="S63" s="8"/>
      <c r="T63" s="47"/>
      <c r="U63" s="48"/>
      <c r="V63" s="47"/>
      <c r="W63" s="8"/>
      <c r="X63" s="5"/>
    </row>
    <row r="64" spans="1:25" ht="19.5" thickBot="1" x14ac:dyDescent="0.35">
      <c r="A64" s="101"/>
      <c r="B64" s="102" t="s">
        <v>280</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75" x14ac:dyDescent="0.25">
      <c r="A65" s="2"/>
      <c r="B65" s="4"/>
      <c r="C65" s="4"/>
      <c r="D65" s="4"/>
      <c r="E65" s="4"/>
      <c r="F65" s="4"/>
      <c r="G65" s="4"/>
      <c r="H65" s="4"/>
      <c r="I65" s="4"/>
      <c r="J65" s="4"/>
      <c r="K65" s="4"/>
      <c r="L65" s="4"/>
      <c r="M65" s="4"/>
      <c r="N65" s="4"/>
      <c r="O65" s="4"/>
      <c r="P65" s="4"/>
      <c r="Q65" s="4"/>
      <c r="R65" s="4"/>
      <c r="S65" s="4"/>
      <c r="T65" s="4"/>
      <c r="U65" s="4"/>
      <c r="V65" s="50"/>
      <c r="W65" s="4"/>
      <c r="X65" s="5"/>
    </row>
    <row r="66" spans="1:24" ht="15.75" x14ac:dyDescent="0.25">
      <c r="A66" s="6"/>
      <c r="B66" s="51" t="s">
        <v>17</v>
      </c>
      <c r="C66" s="8"/>
      <c r="D66" s="8"/>
      <c r="E66" s="8"/>
      <c r="F66" s="8"/>
      <c r="G66" s="8"/>
      <c r="H66" s="8"/>
      <c r="I66" s="8"/>
      <c r="J66" s="8"/>
      <c r="K66" s="8"/>
      <c r="L66" s="8"/>
      <c r="M66" s="8"/>
      <c r="N66" s="8"/>
      <c r="O66" s="8"/>
      <c r="P66" s="8"/>
      <c r="Q66" s="8"/>
      <c r="R66" s="8"/>
      <c r="S66" s="8"/>
      <c r="T66" s="8"/>
      <c r="U66" s="8"/>
      <c r="V66" s="52"/>
      <c r="W66" s="8"/>
      <c r="X66" s="5"/>
    </row>
    <row r="67" spans="1:24" ht="15.75" x14ac:dyDescent="0.25">
      <c r="A67" s="6"/>
      <c r="B67" s="13"/>
      <c r="C67" s="8"/>
      <c r="D67" s="8"/>
      <c r="E67" s="8"/>
      <c r="F67" s="8"/>
      <c r="G67" s="8"/>
      <c r="H67" s="8"/>
      <c r="I67" s="8"/>
      <c r="J67" s="8"/>
      <c r="K67" s="8"/>
      <c r="L67" s="8"/>
      <c r="M67" s="8"/>
      <c r="N67" s="8"/>
      <c r="O67" s="8"/>
      <c r="P67" s="8"/>
      <c r="Q67" s="8"/>
      <c r="R67" s="8"/>
      <c r="S67" s="8"/>
      <c r="T67" s="8"/>
      <c r="U67" s="8"/>
      <c r="V67" s="52"/>
      <c r="W67" s="8"/>
      <c r="X67" s="5"/>
    </row>
    <row r="68" spans="1:24" ht="47.25" x14ac:dyDescent="0.25">
      <c r="A68" s="6"/>
      <c r="B68" s="114" t="s">
        <v>18</v>
      </c>
      <c r="C68" s="115"/>
      <c r="D68" s="115"/>
      <c r="E68" s="115"/>
      <c r="F68" s="115"/>
      <c r="G68" s="115"/>
      <c r="H68" s="115"/>
      <c r="I68" s="115"/>
      <c r="J68" s="115"/>
      <c r="K68" s="115"/>
      <c r="L68" s="115" t="s">
        <v>94</v>
      </c>
      <c r="M68" s="115"/>
      <c r="N68" s="115" t="s">
        <v>96</v>
      </c>
      <c r="O68" s="115"/>
      <c r="P68" s="115" t="s">
        <v>98</v>
      </c>
      <c r="Q68" s="115"/>
      <c r="R68" s="115" t="s">
        <v>100</v>
      </c>
      <c r="S68" s="115"/>
      <c r="T68" s="115" t="s">
        <v>106</v>
      </c>
      <c r="U68" s="115"/>
      <c r="V68" s="116" t="s">
        <v>112</v>
      </c>
      <c r="W68" s="117"/>
      <c r="X68" s="5"/>
    </row>
    <row r="69" spans="1:24" ht="15.75" x14ac:dyDescent="0.25">
      <c r="A69" s="24"/>
      <c r="B69" s="25" t="s">
        <v>19</v>
      </c>
      <c r="C69" s="34"/>
      <c r="D69" s="34"/>
      <c r="E69" s="34"/>
      <c r="F69" s="34"/>
      <c r="G69" s="34"/>
      <c r="H69" s="34"/>
      <c r="I69" s="34"/>
      <c r="J69" s="34"/>
      <c r="K69" s="34"/>
      <c r="L69" s="34">
        <v>812446</v>
      </c>
      <c r="M69" s="34"/>
      <c r="N69" s="53">
        <v>929027</v>
      </c>
      <c r="O69" s="34"/>
      <c r="P69" s="34">
        <f>24221+460+311-1</f>
        <v>24991</v>
      </c>
      <c r="Q69" s="34"/>
      <c r="R69" s="34">
        <f>460+311</f>
        <v>771</v>
      </c>
      <c r="S69" s="34"/>
      <c r="T69" s="34">
        <v>0</v>
      </c>
      <c r="U69" s="34"/>
      <c r="V69" s="53">
        <f>+N69-P69+R69-T69</f>
        <v>904807</v>
      </c>
      <c r="W69" s="25"/>
      <c r="X69" s="5"/>
    </row>
    <row r="70" spans="1:24" ht="15.75" x14ac:dyDescent="0.25">
      <c r="A70" s="24"/>
      <c r="B70" s="25" t="s">
        <v>20</v>
      </c>
      <c r="C70" s="34"/>
      <c r="D70" s="34"/>
      <c r="E70" s="34"/>
      <c r="F70" s="34"/>
      <c r="G70" s="34"/>
      <c r="H70" s="34"/>
      <c r="I70" s="34"/>
      <c r="J70" s="34"/>
      <c r="K70" s="34"/>
      <c r="L70" s="34">
        <v>0</v>
      </c>
      <c r="M70" s="34"/>
      <c r="N70" s="53">
        <v>0</v>
      </c>
      <c r="O70" s="34"/>
      <c r="P70" s="34">
        <v>0</v>
      </c>
      <c r="Q70" s="34"/>
      <c r="R70" s="34">
        <v>0</v>
      </c>
      <c r="S70" s="34"/>
      <c r="T70" s="34">
        <v>0</v>
      </c>
      <c r="U70" s="34"/>
      <c r="V70" s="53">
        <f>+L70-P70</f>
        <v>0</v>
      </c>
      <c r="W70" s="25"/>
      <c r="X70" s="5"/>
    </row>
    <row r="71" spans="1:24" ht="15.75" x14ac:dyDescent="0.25">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75" x14ac:dyDescent="0.25">
      <c r="A72" s="24"/>
      <c r="B72" s="25" t="s">
        <v>21</v>
      </c>
      <c r="C72" s="34"/>
      <c r="D72" s="34"/>
      <c r="E72" s="34"/>
      <c r="F72" s="34"/>
      <c r="G72" s="34"/>
      <c r="H72" s="34"/>
      <c r="I72" s="34"/>
      <c r="J72" s="34"/>
      <c r="K72" s="34"/>
      <c r="L72" s="34">
        <f>SUM(L69:L71)</f>
        <v>812446</v>
      </c>
      <c r="M72" s="34"/>
      <c r="N72" s="54">
        <f>N69+N70</f>
        <v>929027</v>
      </c>
      <c r="O72" s="34"/>
      <c r="P72" s="34">
        <f>SUM(P69:P71)</f>
        <v>24991</v>
      </c>
      <c r="Q72" s="34"/>
      <c r="R72" s="34">
        <f>SUM(R69:R71)</f>
        <v>771</v>
      </c>
      <c r="S72" s="34"/>
      <c r="T72" s="34">
        <f>SUM(T69:T71)</f>
        <v>0</v>
      </c>
      <c r="U72" s="34"/>
      <c r="V72" s="54">
        <f>SUM(V69:V71)</f>
        <v>904807</v>
      </c>
      <c r="W72" s="25"/>
      <c r="X72" s="5"/>
    </row>
    <row r="73" spans="1:24" ht="15.75" x14ac:dyDescent="0.25">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75" x14ac:dyDescent="0.25">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75" x14ac:dyDescent="0.25">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75" x14ac:dyDescent="0.25">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75" x14ac:dyDescent="0.25">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75" x14ac:dyDescent="0.25">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75" x14ac:dyDescent="0.25">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75" x14ac:dyDescent="0.25">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75" x14ac:dyDescent="0.25">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75" x14ac:dyDescent="0.25">
      <c r="A82" s="24"/>
      <c r="B82" s="25" t="s">
        <v>117</v>
      </c>
      <c r="C82" s="34"/>
      <c r="D82" s="34"/>
      <c r="E82" s="34"/>
      <c r="F82" s="34"/>
      <c r="G82" s="34"/>
      <c r="H82" s="34"/>
      <c r="I82" s="34"/>
      <c r="J82" s="34"/>
      <c r="K82" s="34"/>
      <c r="L82" s="34">
        <v>188687</v>
      </c>
      <c r="M82" s="34"/>
      <c r="N82" s="34">
        <v>0</v>
      </c>
      <c r="O82" s="34"/>
      <c r="P82" s="34">
        <v>0</v>
      </c>
      <c r="Q82" s="34"/>
      <c r="R82" s="34"/>
      <c r="S82" s="34"/>
      <c r="T82" s="34"/>
      <c r="U82" s="34"/>
      <c r="V82" s="54">
        <f>SUM(N82:R82)</f>
        <v>0</v>
      </c>
      <c r="W82" s="25"/>
      <c r="X82" s="5"/>
    </row>
    <row r="83" spans="1:24" ht="15.75" x14ac:dyDescent="0.25">
      <c r="A83" s="24"/>
      <c r="B83" s="25" t="s">
        <v>146</v>
      </c>
      <c r="C83" s="34"/>
      <c r="D83" s="34"/>
      <c r="E83" s="34"/>
      <c r="F83" s="34"/>
      <c r="G83" s="34"/>
      <c r="H83" s="34"/>
      <c r="I83" s="34"/>
      <c r="J83" s="34"/>
      <c r="K83" s="34"/>
      <c r="L83" s="34">
        <v>0</v>
      </c>
      <c r="M83" s="34"/>
      <c r="N83" s="34">
        <v>0</v>
      </c>
      <c r="O83" s="34"/>
      <c r="P83" s="34">
        <v>0</v>
      </c>
      <c r="Q83" s="34"/>
      <c r="R83" s="34"/>
      <c r="S83" s="34"/>
      <c r="T83" s="34"/>
      <c r="U83" s="34"/>
      <c r="V83" s="54">
        <f>+N83+P83</f>
        <v>0</v>
      </c>
      <c r="W83" s="25"/>
      <c r="X83" s="5"/>
    </row>
    <row r="84" spans="1:24" ht="15.75" x14ac:dyDescent="0.25">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75" x14ac:dyDescent="0.25">
      <c r="A85" s="24"/>
      <c r="B85" s="25" t="s">
        <v>26</v>
      </c>
      <c r="C85" s="34"/>
      <c r="D85" s="34"/>
      <c r="E85" s="34"/>
      <c r="F85" s="54"/>
      <c r="G85" s="34"/>
      <c r="H85" s="54"/>
      <c r="I85" s="54"/>
      <c r="J85" s="54"/>
      <c r="K85" s="54"/>
      <c r="L85" s="54">
        <f>SUM(L72:L84)</f>
        <v>1001133</v>
      </c>
      <c r="M85" s="34"/>
      <c r="N85" s="54">
        <f>SUM(N72:N84)</f>
        <v>929027</v>
      </c>
      <c r="O85" s="34"/>
      <c r="P85" s="34"/>
      <c r="Q85" s="34"/>
      <c r="R85" s="34"/>
      <c r="S85" s="34"/>
      <c r="T85" s="54"/>
      <c r="U85" s="34"/>
      <c r="V85" s="54">
        <f>SUM(V72:V84)</f>
        <v>904807</v>
      </c>
      <c r="W85" s="25"/>
      <c r="X85" s="5"/>
    </row>
    <row r="86" spans="1:24" ht="15.75" x14ac:dyDescent="0.25">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75" x14ac:dyDescent="0.25">
      <c r="A87" s="6"/>
      <c r="B87" s="8"/>
      <c r="C87" s="8"/>
      <c r="D87" s="8"/>
      <c r="E87" s="8"/>
      <c r="F87" s="8"/>
      <c r="G87" s="8"/>
      <c r="H87" s="8"/>
      <c r="I87" s="8"/>
      <c r="J87" s="8"/>
      <c r="K87" s="8"/>
      <c r="L87" s="8"/>
      <c r="M87" s="8"/>
      <c r="N87" s="8"/>
      <c r="O87" s="8"/>
      <c r="P87" s="8"/>
      <c r="Q87" s="8"/>
      <c r="R87" s="8"/>
      <c r="S87" s="8"/>
      <c r="T87" s="8"/>
      <c r="U87" s="8"/>
      <c r="V87" s="8"/>
      <c r="W87" s="8"/>
      <c r="X87" s="5"/>
    </row>
    <row r="88" spans="1:24" ht="15.75" x14ac:dyDescent="0.25">
      <c r="A88" s="6"/>
      <c r="B88" s="51" t="s">
        <v>27</v>
      </c>
      <c r="C88" s="14"/>
      <c r="D88" s="14"/>
      <c r="E88" s="14"/>
      <c r="F88" s="14"/>
      <c r="G88" s="14"/>
      <c r="H88" s="17"/>
      <c r="I88" s="17"/>
      <c r="J88" s="17"/>
      <c r="K88" s="17"/>
      <c r="L88" s="155" t="s">
        <v>95</v>
      </c>
      <c r="M88" s="17"/>
      <c r="N88" s="154">
        <f>+T201</f>
        <v>39780</v>
      </c>
      <c r="O88" s="17"/>
      <c r="P88" s="17"/>
      <c r="Q88" s="17"/>
      <c r="R88" s="17"/>
      <c r="S88" s="17"/>
      <c r="T88" s="17" t="s">
        <v>107</v>
      </c>
      <c r="U88" s="17"/>
      <c r="V88" s="17" t="s">
        <v>113</v>
      </c>
      <c r="W88" s="8"/>
      <c r="X88" s="5"/>
    </row>
    <row r="89" spans="1:24" ht="15.75" x14ac:dyDescent="0.25">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75" x14ac:dyDescent="0.25">
      <c r="A90" s="24"/>
      <c r="B90" s="25" t="s">
        <v>29</v>
      </c>
      <c r="C90" s="25"/>
      <c r="D90" s="25"/>
      <c r="E90" s="25"/>
      <c r="F90" s="25"/>
      <c r="G90" s="25"/>
      <c r="H90" s="40"/>
      <c r="I90" s="40"/>
      <c r="J90" s="40"/>
      <c r="K90" s="57"/>
      <c r="L90" s="40"/>
      <c r="M90" s="25"/>
      <c r="N90" s="127"/>
      <c r="O90" s="25"/>
      <c r="P90" s="25"/>
      <c r="Q90" s="25"/>
      <c r="R90" s="25"/>
      <c r="S90" s="25"/>
      <c r="T90" s="34">
        <f>24991-14</f>
        <v>24977</v>
      </c>
      <c r="U90" s="25"/>
      <c r="V90" s="53"/>
      <c r="W90" s="25"/>
      <c r="X90" s="5"/>
    </row>
    <row r="91" spans="1:24" ht="15.75" x14ac:dyDescent="0.25">
      <c r="A91" s="24"/>
      <c r="B91" s="25" t="s">
        <v>215</v>
      </c>
      <c r="C91" s="25"/>
      <c r="D91" s="25"/>
      <c r="E91" s="25"/>
      <c r="F91" s="25"/>
      <c r="G91" s="25"/>
      <c r="H91" s="40"/>
      <c r="I91" s="40"/>
      <c r="J91" s="40"/>
      <c r="K91" s="57"/>
      <c r="L91" s="40"/>
      <c r="M91" s="25"/>
      <c r="N91" s="127"/>
      <c r="O91" s="25"/>
      <c r="P91" s="25"/>
      <c r="Q91" s="25"/>
      <c r="R91" s="25"/>
      <c r="S91" s="25"/>
      <c r="T91" s="34"/>
      <c r="U91" s="25"/>
      <c r="V91" s="53">
        <f>6403+7818-202-1274+23+33</f>
        <v>12801</v>
      </c>
      <c r="W91" s="25"/>
      <c r="X91" s="5"/>
    </row>
    <row r="92" spans="1:24" ht="15.75" x14ac:dyDescent="0.25">
      <c r="A92" s="24"/>
      <c r="B92" s="25" t="s">
        <v>210</v>
      </c>
      <c r="C92" s="25"/>
      <c r="D92" s="25"/>
      <c r="E92" s="25"/>
      <c r="F92" s="25"/>
      <c r="G92" s="25"/>
      <c r="H92" s="40"/>
      <c r="I92" s="40"/>
      <c r="J92" s="40"/>
      <c r="K92" s="57"/>
      <c r="L92" s="40"/>
      <c r="M92" s="25"/>
      <c r="N92" s="127"/>
      <c r="O92" s="25"/>
      <c r="P92" s="25"/>
      <c r="Q92" s="25"/>
      <c r="R92" s="25"/>
      <c r="S92" s="25"/>
      <c r="T92" s="34"/>
      <c r="U92" s="25"/>
      <c r="V92" s="53">
        <f>20+288</f>
        <v>308</v>
      </c>
      <c r="W92" s="25"/>
      <c r="X92" s="5"/>
    </row>
    <row r="93" spans="1:24" ht="15.75" x14ac:dyDescent="0.25">
      <c r="A93" s="24"/>
      <c r="B93" s="25" t="s">
        <v>211</v>
      </c>
      <c r="C93" s="25"/>
      <c r="D93" s="25"/>
      <c r="E93" s="25"/>
      <c r="F93" s="25"/>
      <c r="G93" s="25"/>
      <c r="H93" s="40"/>
      <c r="I93" s="40"/>
      <c r="J93" s="40"/>
      <c r="K93" s="57"/>
      <c r="L93" s="40"/>
      <c r="M93" s="25"/>
      <c r="N93" s="127"/>
      <c r="O93" s="25"/>
      <c r="P93" s="25"/>
      <c r="Q93" s="25"/>
      <c r="R93" s="25"/>
      <c r="S93" s="25"/>
      <c r="T93" s="34"/>
      <c r="U93" s="25"/>
      <c r="V93" s="53">
        <v>730</v>
      </c>
      <c r="W93" s="25"/>
      <c r="X93" s="5"/>
    </row>
    <row r="94" spans="1:24" ht="15.75" x14ac:dyDescent="0.25">
      <c r="A94" s="24"/>
      <c r="B94" s="25" t="s">
        <v>233</v>
      </c>
      <c r="C94" s="25"/>
      <c r="D94" s="25"/>
      <c r="E94" s="25"/>
      <c r="F94" s="25"/>
      <c r="G94" s="25"/>
      <c r="H94" s="40"/>
      <c r="I94" s="40"/>
      <c r="J94" s="40"/>
      <c r="K94" s="57"/>
      <c r="L94" s="40"/>
      <c r="M94" s="25"/>
      <c r="N94" s="127"/>
      <c r="O94" s="25"/>
      <c r="P94" s="25"/>
      <c r="Q94" s="25"/>
      <c r="R94" s="25"/>
      <c r="S94" s="25"/>
      <c r="T94" s="34"/>
      <c r="U94" s="25"/>
      <c r="V94" s="53">
        <v>0</v>
      </c>
      <c r="W94" s="25"/>
      <c r="X94" s="5"/>
    </row>
    <row r="95" spans="1:24" ht="15.75" x14ac:dyDescent="0.25">
      <c r="A95" s="24"/>
      <c r="B95" s="25" t="s">
        <v>235</v>
      </c>
      <c r="C95" s="25"/>
      <c r="D95" s="25"/>
      <c r="E95" s="25"/>
      <c r="F95" s="25"/>
      <c r="G95" s="25"/>
      <c r="H95" s="40"/>
      <c r="I95" s="40"/>
      <c r="J95" s="40"/>
      <c r="K95" s="57"/>
      <c r="L95" s="40"/>
      <c r="M95" s="25"/>
      <c r="N95" s="127"/>
      <c r="O95" s="25"/>
      <c r="P95" s="25"/>
      <c r="Q95" s="25"/>
      <c r="R95" s="25"/>
      <c r="S95" s="25"/>
      <c r="T95" s="34"/>
      <c r="U95" s="25"/>
      <c r="V95" s="53">
        <v>0</v>
      </c>
      <c r="W95" s="25"/>
      <c r="X95" s="5"/>
    </row>
    <row r="96" spans="1:24" ht="15.75" x14ac:dyDescent="0.25">
      <c r="A96" s="24"/>
      <c r="B96" s="25" t="s">
        <v>135</v>
      </c>
      <c r="C96" s="25"/>
      <c r="D96" s="25"/>
      <c r="E96" s="25"/>
      <c r="F96" s="25"/>
      <c r="G96" s="25"/>
      <c r="H96" s="25"/>
      <c r="I96" s="25"/>
      <c r="J96" s="25"/>
      <c r="K96" s="25"/>
      <c r="L96" s="25"/>
      <c r="M96" s="25"/>
      <c r="N96" s="25"/>
      <c r="O96" s="25"/>
      <c r="P96" s="25"/>
      <c r="Q96" s="25"/>
      <c r="R96" s="25"/>
      <c r="S96" s="25"/>
      <c r="T96" s="34"/>
      <c r="U96" s="25"/>
      <c r="V96" s="53">
        <v>0</v>
      </c>
      <c r="W96" s="25"/>
      <c r="X96" s="5"/>
    </row>
    <row r="97" spans="1:25" ht="15.75" x14ac:dyDescent="0.25">
      <c r="A97" s="24"/>
      <c r="B97" s="25" t="s">
        <v>272</v>
      </c>
      <c r="C97" s="25"/>
      <c r="D97" s="25"/>
      <c r="E97" s="25"/>
      <c r="F97" s="25"/>
      <c r="G97" s="25"/>
      <c r="H97" s="25"/>
      <c r="I97" s="25"/>
      <c r="J97" s="25"/>
      <c r="K97" s="25"/>
      <c r="L97" s="25"/>
      <c r="M97" s="25"/>
      <c r="N97" s="25"/>
      <c r="O97" s="25"/>
      <c r="P97" s="25"/>
      <c r="Q97" s="25"/>
      <c r="R97" s="25"/>
      <c r="S97" s="25"/>
      <c r="T97" s="34"/>
      <c r="U97" s="25"/>
      <c r="V97" s="53">
        <v>2905</v>
      </c>
      <c r="W97" s="25"/>
      <c r="X97" s="5"/>
    </row>
    <row r="98" spans="1:25" ht="15.75" x14ac:dyDescent="0.25">
      <c r="A98" s="24"/>
      <c r="B98" s="25" t="s">
        <v>30</v>
      </c>
      <c r="C98" s="25"/>
      <c r="D98" s="25"/>
      <c r="E98" s="25"/>
      <c r="F98" s="25"/>
      <c r="G98" s="25"/>
      <c r="H98" s="25"/>
      <c r="I98" s="25"/>
      <c r="J98" s="25"/>
      <c r="K98" s="25"/>
      <c r="L98" s="25"/>
      <c r="M98" s="25"/>
      <c r="N98" s="25"/>
      <c r="O98" s="25"/>
      <c r="P98" s="25"/>
      <c r="Q98" s="25"/>
      <c r="R98" s="25"/>
      <c r="S98" s="25"/>
      <c r="T98" s="34">
        <f>SUM(T89:T97)</f>
        <v>24977</v>
      </c>
      <c r="U98" s="25"/>
      <c r="V98" s="54">
        <f>SUM(V89:V97)</f>
        <v>16744</v>
      </c>
      <c r="W98" s="25"/>
      <c r="X98" s="5"/>
    </row>
    <row r="99" spans="1:25" ht="15.75" x14ac:dyDescent="0.25">
      <c r="A99" s="24"/>
      <c r="B99" s="25" t="s">
        <v>161</v>
      </c>
      <c r="C99" s="25"/>
      <c r="D99" s="25"/>
      <c r="E99" s="25"/>
      <c r="F99" s="25"/>
      <c r="G99" s="25"/>
      <c r="H99" s="25"/>
      <c r="I99" s="25"/>
      <c r="J99" s="25"/>
      <c r="K99" s="25"/>
      <c r="L99" s="25"/>
      <c r="M99" s="25"/>
      <c r="N99" s="25"/>
      <c r="O99" s="25"/>
      <c r="P99" s="25"/>
      <c r="Q99" s="25"/>
      <c r="R99" s="25"/>
      <c r="S99" s="25"/>
      <c r="T99" s="34">
        <f>-V99</f>
        <v>-77</v>
      </c>
      <c r="U99" s="25"/>
      <c r="V99" s="54">
        <v>77</v>
      </c>
      <c r="W99" s="25"/>
      <c r="X99" s="5"/>
    </row>
    <row r="100" spans="1:25" ht="15.75" x14ac:dyDescent="0.25">
      <c r="A100" s="24"/>
      <c r="B100" s="25" t="s">
        <v>31</v>
      </c>
      <c r="C100" s="25"/>
      <c r="D100" s="25"/>
      <c r="E100" s="25"/>
      <c r="F100" s="25"/>
      <c r="G100" s="25"/>
      <c r="H100" s="25"/>
      <c r="I100" s="25"/>
      <c r="J100" s="25"/>
      <c r="K100" s="25"/>
      <c r="L100" s="25"/>
      <c r="M100" s="25"/>
      <c r="N100" s="25"/>
      <c r="O100" s="25"/>
      <c r="P100" s="25"/>
      <c r="Q100" s="25"/>
      <c r="R100" s="25"/>
      <c r="S100" s="25"/>
      <c r="T100" s="34">
        <f>-V100</f>
        <v>0</v>
      </c>
      <c r="U100" s="25"/>
      <c r="V100" s="53">
        <v>0</v>
      </c>
      <c r="W100" s="25"/>
      <c r="X100" s="5"/>
    </row>
    <row r="101" spans="1:25" ht="15.75" x14ac:dyDescent="0.25">
      <c r="A101" s="24"/>
      <c r="B101" s="25" t="s">
        <v>274</v>
      </c>
      <c r="C101" s="25"/>
      <c r="D101" s="25"/>
      <c r="E101" s="25"/>
      <c r="F101" s="25"/>
      <c r="G101" s="25"/>
      <c r="H101" s="25"/>
      <c r="I101" s="25"/>
      <c r="J101" s="25"/>
      <c r="K101" s="25"/>
      <c r="L101" s="25"/>
      <c r="M101" s="25"/>
      <c r="N101" s="25"/>
      <c r="O101" s="25"/>
      <c r="P101" s="25"/>
      <c r="Q101" s="25"/>
      <c r="R101" s="25"/>
      <c r="S101" s="25"/>
      <c r="T101" s="34"/>
      <c r="U101" s="25"/>
      <c r="V101" s="53">
        <v>0</v>
      </c>
      <c r="W101" s="25"/>
      <c r="X101" s="5"/>
    </row>
    <row r="102" spans="1:25" ht="15.75" x14ac:dyDescent="0.25">
      <c r="A102" s="24"/>
      <c r="B102" s="25" t="s">
        <v>32</v>
      </c>
      <c r="C102" s="25"/>
      <c r="D102" s="25"/>
      <c r="E102" s="25"/>
      <c r="F102" s="25"/>
      <c r="G102" s="25"/>
      <c r="H102" s="25"/>
      <c r="I102" s="25"/>
      <c r="J102" s="25"/>
      <c r="K102" s="25"/>
      <c r="L102" s="25"/>
      <c r="M102" s="25"/>
      <c r="N102" s="25"/>
      <c r="O102" s="25"/>
      <c r="P102" s="25"/>
      <c r="Q102" s="25"/>
      <c r="R102" s="25"/>
      <c r="S102" s="25"/>
      <c r="T102" s="34">
        <f>T98+T100+T99</f>
        <v>24900</v>
      </c>
      <c r="U102" s="25"/>
      <c r="V102" s="54">
        <f>V98+V100+V99+V101</f>
        <v>16821</v>
      </c>
      <c r="W102" s="25"/>
      <c r="X102" s="5"/>
    </row>
    <row r="103" spans="1:25" ht="15.75" x14ac:dyDescent="0.25">
      <c r="A103" s="24"/>
      <c r="B103" s="118" t="s">
        <v>33</v>
      </c>
      <c r="C103" s="25"/>
      <c r="D103" s="25"/>
      <c r="E103" s="25"/>
      <c r="F103" s="25"/>
      <c r="G103" s="25"/>
      <c r="H103" s="25"/>
      <c r="I103" s="25"/>
      <c r="J103" s="25"/>
      <c r="K103" s="25"/>
      <c r="L103" s="25"/>
      <c r="M103" s="25"/>
      <c r="N103" s="25"/>
      <c r="O103" s="25"/>
      <c r="P103" s="25"/>
      <c r="Q103" s="25"/>
      <c r="R103" s="25"/>
      <c r="S103" s="25"/>
      <c r="T103" s="34"/>
      <c r="U103" s="25"/>
      <c r="V103" s="53"/>
      <c r="W103" s="25"/>
      <c r="X103" s="5"/>
    </row>
    <row r="104" spans="1:25" ht="15.75" x14ac:dyDescent="0.25">
      <c r="A104" s="24">
        <v>1</v>
      </c>
      <c r="B104" s="25" t="s">
        <v>34</v>
      </c>
      <c r="C104" s="25"/>
      <c r="D104" s="25"/>
      <c r="E104" s="25"/>
      <c r="F104" s="25"/>
      <c r="G104" s="25"/>
      <c r="H104" s="25"/>
      <c r="I104" s="25"/>
      <c r="J104" s="25"/>
      <c r="K104" s="25"/>
      <c r="L104" s="25"/>
      <c r="M104" s="25"/>
      <c r="N104" s="25"/>
      <c r="O104" s="25"/>
      <c r="P104" s="25"/>
      <c r="Q104" s="25"/>
      <c r="R104" s="25"/>
      <c r="S104" s="25"/>
      <c r="T104" s="25"/>
      <c r="U104" s="25"/>
      <c r="V104" s="53">
        <v>0</v>
      </c>
      <c r="W104" s="25"/>
      <c r="X104" s="5"/>
    </row>
    <row r="105" spans="1:25" ht="15.75" x14ac:dyDescent="0.25">
      <c r="A105" s="24">
        <f>+A104+1</f>
        <v>2</v>
      </c>
      <c r="B105" s="25" t="s">
        <v>221</v>
      </c>
      <c r="C105" s="25"/>
      <c r="D105" s="25"/>
      <c r="E105" s="25"/>
      <c r="F105" s="25"/>
      <c r="G105" s="25"/>
      <c r="H105" s="25"/>
      <c r="I105" s="25"/>
      <c r="J105" s="25"/>
      <c r="K105" s="25"/>
      <c r="L105" s="25"/>
      <c r="M105" s="25"/>
      <c r="N105" s="25"/>
      <c r="O105" s="25"/>
      <c r="P105" s="25"/>
      <c r="Q105" s="25"/>
      <c r="R105" s="25"/>
      <c r="S105" s="25"/>
      <c r="T105" s="25"/>
      <c r="U105" s="25"/>
      <c r="V105" s="53">
        <v>-2</v>
      </c>
      <c r="W105" s="25"/>
      <c r="X105" s="5"/>
    </row>
    <row r="106" spans="1:25" ht="15.75" x14ac:dyDescent="0.25">
      <c r="A106" s="24">
        <f>+A105+1</f>
        <v>3</v>
      </c>
      <c r="B106" s="25" t="s">
        <v>204</v>
      </c>
      <c r="C106" s="25"/>
      <c r="D106" s="25"/>
      <c r="E106" s="25"/>
      <c r="F106" s="25"/>
      <c r="G106" s="25"/>
      <c r="H106" s="25"/>
      <c r="I106" s="25"/>
      <c r="J106" s="25"/>
      <c r="K106" s="25"/>
      <c r="L106" s="25"/>
      <c r="M106" s="25"/>
      <c r="N106" s="25"/>
      <c r="O106" s="25"/>
      <c r="P106" s="25"/>
      <c r="Q106" s="25"/>
      <c r="R106" s="25"/>
      <c r="S106" s="25"/>
      <c r="T106" s="25"/>
      <c r="U106" s="25"/>
      <c r="V106" s="53">
        <f>-348-55-11</f>
        <v>-414</v>
      </c>
      <c r="W106" s="25"/>
      <c r="X106" s="5"/>
    </row>
    <row r="107" spans="1:25" ht="15.75" x14ac:dyDescent="0.25">
      <c r="A107" s="24" t="s">
        <v>127</v>
      </c>
      <c r="B107" s="25" t="s">
        <v>116</v>
      </c>
      <c r="C107" s="25"/>
      <c r="D107" s="25"/>
      <c r="E107" s="25"/>
      <c r="F107" s="25"/>
      <c r="G107" s="25"/>
      <c r="H107" s="25"/>
      <c r="I107" s="25"/>
      <c r="J107" s="25"/>
      <c r="K107" s="25"/>
      <c r="L107" s="25"/>
      <c r="M107" s="25"/>
      <c r="N107" s="25"/>
      <c r="O107" s="25"/>
      <c r="P107" s="25"/>
      <c r="Q107" s="25"/>
      <c r="R107" s="25"/>
      <c r="S107" s="25"/>
      <c r="T107" s="25"/>
      <c r="U107" s="25"/>
      <c r="V107" s="53">
        <v>-237</v>
      </c>
      <c r="W107" s="25"/>
      <c r="X107" s="5"/>
    </row>
    <row r="108" spans="1:25" ht="15.75" x14ac:dyDescent="0.25">
      <c r="A108" s="24" t="s">
        <v>128</v>
      </c>
      <c r="B108" s="25" t="s">
        <v>220</v>
      </c>
      <c r="C108" s="25"/>
      <c r="D108" s="25"/>
      <c r="E108" s="25"/>
      <c r="F108" s="25"/>
      <c r="G108" s="25"/>
      <c r="H108" s="25"/>
      <c r="I108" s="25"/>
      <c r="J108" s="25"/>
      <c r="K108" s="25"/>
      <c r="L108" s="25"/>
      <c r="M108" s="25"/>
      <c r="N108" s="25"/>
      <c r="O108" s="25"/>
      <c r="P108" s="25"/>
      <c r="Q108" s="25"/>
      <c r="R108" s="25"/>
      <c r="S108" s="25"/>
      <c r="T108" s="25"/>
      <c r="U108" s="25"/>
      <c r="V108" s="53">
        <f>-11330+2794</f>
        <v>-8536</v>
      </c>
      <c r="W108" s="25"/>
      <c r="X108" s="5"/>
      <c r="Y108" s="109"/>
    </row>
    <row r="109" spans="1:25" ht="15.75" x14ac:dyDescent="0.25">
      <c r="A109" s="24" t="s">
        <v>150</v>
      </c>
      <c r="B109" s="25" t="s">
        <v>184</v>
      </c>
      <c r="C109" s="25"/>
      <c r="D109" s="25"/>
      <c r="E109" s="25"/>
      <c r="F109" s="25"/>
      <c r="G109" s="25"/>
      <c r="H109" s="25"/>
      <c r="I109" s="25"/>
      <c r="J109" s="25"/>
      <c r="K109" s="25"/>
      <c r="L109" s="25"/>
      <c r="M109" s="25"/>
      <c r="N109" s="25"/>
      <c r="O109" s="25"/>
      <c r="P109" s="25"/>
      <c r="Q109" s="25"/>
      <c r="R109" s="25"/>
      <c r="S109" s="25"/>
      <c r="T109" s="25"/>
      <c r="U109" s="25"/>
      <c r="V109" s="53">
        <v>-2794</v>
      </c>
      <c r="W109" s="25"/>
      <c r="X109" s="5"/>
      <c r="Y109" s="109"/>
    </row>
    <row r="110" spans="1:25" ht="15.75" x14ac:dyDescent="0.25">
      <c r="A110" s="24" t="s">
        <v>205</v>
      </c>
      <c r="B110" s="25" t="s">
        <v>185</v>
      </c>
      <c r="C110" s="25"/>
      <c r="D110" s="25"/>
      <c r="E110" s="25"/>
      <c r="F110" s="25"/>
      <c r="G110" s="25"/>
      <c r="H110" s="25"/>
      <c r="I110" s="25"/>
      <c r="J110" s="25"/>
      <c r="K110" s="25"/>
      <c r="L110" s="25"/>
      <c r="M110" s="25"/>
      <c r="N110" s="25"/>
      <c r="O110" s="25"/>
      <c r="P110" s="25"/>
      <c r="Q110" s="25"/>
      <c r="R110" s="25"/>
      <c r="S110" s="25"/>
      <c r="T110" s="25"/>
      <c r="U110" s="25"/>
      <c r="V110" s="53">
        <v>-871</v>
      </c>
      <c r="W110" s="25"/>
      <c r="X110" s="5"/>
      <c r="Y110" s="109"/>
    </row>
    <row r="111" spans="1:25" ht="15.75" x14ac:dyDescent="0.25">
      <c r="A111" s="24" t="s">
        <v>206</v>
      </c>
      <c r="B111" s="25" t="s">
        <v>186</v>
      </c>
      <c r="C111" s="25"/>
      <c r="D111" s="25"/>
      <c r="E111" s="25"/>
      <c r="F111" s="25"/>
      <c r="G111" s="25"/>
      <c r="H111" s="25"/>
      <c r="I111" s="25"/>
      <c r="J111" s="25"/>
      <c r="K111" s="25"/>
      <c r="L111" s="25"/>
      <c r="M111" s="25"/>
      <c r="N111" s="25"/>
      <c r="O111" s="25"/>
      <c r="P111" s="25"/>
      <c r="Q111" s="25"/>
      <c r="R111" s="25"/>
      <c r="S111" s="25"/>
      <c r="T111" s="25"/>
      <c r="U111" s="25"/>
      <c r="V111" s="53">
        <f>-1125+871</f>
        <v>-254</v>
      </c>
      <c r="W111" s="25"/>
      <c r="X111" s="5"/>
      <c r="Y111" s="109"/>
    </row>
    <row r="112" spans="1:25" ht="15.75" x14ac:dyDescent="0.25">
      <c r="A112" s="24">
        <v>6</v>
      </c>
      <c r="B112" s="25" t="s">
        <v>196</v>
      </c>
      <c r="C112" s="25"/>
      <c r="D112" s="25"/>
      <c r="E112" s="25"/>
      <c r="F112" s="25"/>
      <c r="G112" s="25"/>
      <c r="H112" s="25"/>
      <c r="I112" s="25"/>
      <c r="J112" s="25"/>
      <c r="K112" s="25"/>
      <c r="L112" s="25"/>
      <c r="M112" s="25"/>
      <c r="N112" s="25"/>
      <c r="O112" s="25"/>
      <c r="P112" s="25"/>
      <c r="Q112" s="25"/>
      <c r="R112" s="25"/>
      <c r="S112" s="25"/>
      <c r="T112" s="25"/>
      <c r="U112" s="25"/>
      <c r="V112" s="53">
        <v>-1184</v>
      </c>
      <c r="W112" s="25"/>
      <c r="X112" s="5"/>
      <c r="Y112" s="109"/>
    </row>
    <row r="113" spans="1:24" ht="15.75" x14ac:dyDescent="0.25">
      <c r="A113" s="24">
        <v>7</v>
      </c>
      <c r="B113" s="25" t="s">
        <v>35</v>
      </c>
      <c r="C113" s="25"/>
      <c r="D113" s="25"/>
      <c r="E113" s="25"/>
      <c r="F113" s="25"/>
      <c r="G113" s="25"/>
      <c r="H113" s="25"/>
      <c r="I113" s="25"/>
      <c r="J113" s="25"/>
      <c r="K113" s="25"/>
      <c r="L113" s="25"/>
      <c r="M113" s="25"/>
      <c r="N113" s="25"/>
      <c r="O113" s="25"/>
      <c r="P113" s="25"/>
      <c r="Q113" s="25"/>
      <c r="R113" s="25"/>
      <c r="S113" s="25"/>
      <c r="T113" s="25"/>
      <c r="U113" s="25"/>
      <c r="V113" s="53">
        <v>-9</v>
      </c>
      <c r="W113" s="25"/>
      <c r="X113" s="5"/>
    </row>
    <row r="114" spans="1:24" ht="15.75" x14ac:dyDescent="0.25">
      <c r="A114" s="24">
        <f t="shared" ref="A114:A119" si="0">+A113+1</f>
        <v>8</v>
      </c>
      <c r="B114" s="25" t="s">
        <v>45</v>
      </c>
      <c r="C114" s="25"/>
      <c r="D114" s="25"/>
      <c r="E114" s="25"/>
      <c r="F114" s="25"/>
      <c r="G114" s="25"/>
      <c r="H114" s="25"/>
      <c r="I114" s="25"/>
      <c r="J114" s="25"/>
      <c r="K114" s="25"/>
      <c r="L114" s="25"/>
      <c r="M114" s="25"/>
      <c r="N114" s="25"/>
      <c r="O114" s="25"/>
      <c r="P114" s="25"/>
      <c r="Q114" s="25"/>
      <c r="R114" s="25"/>
      <c r="S114" s="25"/>
      <c r="T114" s="34">
        <f>-V114</f>
        <v>14</v>
      </c>
      <c r="U114" s="25"/>
      <c r="V114" s="53">
        <v>-14</v>
      </c>
      <c r="W114" s="25"/>
      <c r="X114" s="5"/>
    </row>
    <row r="115" spans="1:24" ht="15.75" x14ac:dyDescent="0.25">
      <c r="A115" s="24">
        <f t="shared" si="0"/>
        <v>9</v>
      </c>
      <c r="B115" s="25" t="s">
        <v>125</v>
      </c>
      <c r="C115" s="25"/>
      <c r="D115" s="25"/>
      <c r="E115" s="25"/>
      <c r="F115" s="25"/>
      <c r="G115" s="25"/>
      <c r="H115" s="25"/>
      <c r="I115" s="25"/>
      <c r="J115" s="25"/>
      <c r="K115" s="25"/>
      <c r="L115" s="25"/>
      <c r="M115" s="25"/>
      <c r="N115" s="25"/>
      <c r="O115" s="25"/>
      <c r="P115" s="25"/>
      <c r="Q115" s="25"/>
      <c r="R115" s="25"/>
      <c r="S115" s="25"/>
      <c r="T115" s="25"/>
      <c r="U115" s="25"/>
      <c r="V115" s="53">
        <v>0</v>
      </c>
      <c r="W115" s="25"/>
      <c r="X115" s="5"/>
    </row>
    <row r="116" spans="1:24" ht="15.75" x14ac:dyDescent="0.25">
      <c r="A116" s="24">
        <f t="shared" si="0"/>
        <v>10</v>
      </c>
      <c r="B116" s="25" t="s">
        <v>225</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4" ht="15.75" x14ac:dyDescent="0.25">
      <c r="A117" s="24">
        <f t="shared" si="0"/>
        <v>11</v>
      </c>
      <c r="B117" s="25" t="s">
        <v>36</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4" ht="15.75" x14ac:dyDescent="0.25">
      <c r="A118" s="24">
        <f t="shared" si="0"/>
        <v>12</v>
      </c>
      <c r="B118" s="25" t="s">
        <v>149</v>
      </c>
      <c r="C118" s="25"/>
      <c r="D118" s="25"/>
      <c r="E118" s="25"/>
      <c r="F118" s="25"/>
      <c r="G118" s="25"/>
      <c r="H118" s="25"/>
      <c r="I118" s="25"/>
      <c r="J118" s="25"/>
      <c r="K118" s="25"/>
      <c r="L118" s="25"/>
      <c r="M118" s="25"/>
      <c r="N118" s="25"/>
      <c r="O118" s="25"/>
      <c r="P118" s="25"/>
      <c r="Q118" s="25"/>
      <c r="R118" s="25"/>
      <c r="S118" s="25"/>
      <c r="T118" s="25"/>
      <c r="U118" s="25"/>
      <c r="V118" s="53">
        <v>-348</v>
      </c>
      <c r="W118" s="25"/>
      <c r="X118" s="5"/>
    </row>
    <row r="119" spans="1:24" ht="15.75" x14ac:dyDescent="0.25">
      <c r="A119" s="24">
        <f t="shared" si="0"/>
        <v>13</v>
      </c>
      <c r="B119" s="25" t="s">
        <v>126</v>
      </c>
      <c r="C119" s="25"/>
      <c r="D119" s="25"/>
      <c r="E119" s="25"/>
      <c r="F119" s="25"/>
      <c r="G119" s="25"/>
      <c r="H119" s="25"/>
      <c r="I119" s="25"/>
      <c r="J119" s="25"/>
      <c r="K119" s="25"/>
      <c r="L119" s="25"/>
      <c r="M119" s="25"/>
      <c r="N119" s="25"/>
      <c r="O119" s="25"/>
      <c r="P119" s="25"/>
      <c r="Q119" s="25"/>
      <c r="R119" s="25"/>
      <c r="S119" s="25"/>
      <c r="T119" s="25"/>
      <c r="U119" s="25"/>
      <c r="V119" s="53">
        <f>-V102-SUM(V104:V118)</f>
        <v>-2158</v>
      </c>
      <c r="W119" s="25"/>
      <c r="X119" s="5"/>
    </row>
    <row r="120" spans="1:24" ht="15.75" x14ac:dyDescent="0.25">
      <c r="A120" s="24"/>
      <c r="B120" s="118" t="s">
        <v>37</v>
      </c>
      <c r="C120" s="25"/>
      <c r="D120" s="25"/>
      <c r="E120" s="25"/>
      <c r="F120" s="25"/>
      <c r="G120" s="25"/>
      <c r="H120" s="25"/>
      <c r="I120" s="25"/>
      <c r="J120" s="25"/>
      <c r="K120" s="25"/>
      <c r="L120" s="25"/>
      <c r="M120" s="25"/>
      <c r="N120" s="25"/>
      <c r="O120" s="25"/>
      <c r="P120" s="25"/>
      <c r="Q120" s="25"/>
      <c r="R120" s="25"/>
      <c r="S120" s="25"/>
      <c r="T120" s="25"/>
      <c r="U120" s="25"/>
      <c r="V120" s="59"/>
      <c r="W120" s="25"/>
      <c r="X120" s="5"/>
    </row>
    <row r="121" spans="1:24" ht="15.75" x14ac:dyDescent="0.25">
      <c r="A121" s="24"/>
      <c r="B121" s="25" t="s">
        <v>173</v>
      </c>
      <c r="C121" s="25"/>
      <c r="D121" s="25"/>
      <c r="E121" s="25"/>
      <c r="F121" s="25"/>
      <c r="G121" s="25"/>
      <c r="H121" s="25"/>
      <c r="I121" s="25"/>
      <c r="J121" s="25"/>
      <c r="K121" s="25"/>
      <c r="L121" s="25"/>
      <c r="M121" s="25"/>
      <c r="N121" s="25"/>
      <c r="O121" s="25"/>
      <c r="P121" s="25"/>
      <c r="Q121" s="25"/>
      <c r="R121" s="25"/>
      <c r="S121" s="25"/>
      <c r="T121" s="34">
        <f>-T185</f>
        <v>-157</v>
      </c>
      <c r="U121" s="34"/>
      <c r="V121" s="53"/>
      <c r="W121" s="25"/>
      <c r="X121" s="5"/>
    </row>
    <row r="122" spans="1:24" ht="15.75" x14ac:dyDescent="0.25">
      <c r="A122" s="24"/>
      <c r="B122" s="25" t="s">
        <v>174</v>
      </c>
      <c r="C122" s="25"/>
      <c r="D122" s="25"/>
      <c r="E122" s="25"/>
      <c r="F122" s="25"/>
      <c r="G122" s="25"/>
      <c r="H122" s="25"/>
      <c r="I122" s="25"/>
      <c r="J122" s="25"/>
      <c r="K122" s="25"/>
      <c r="L122" s="25"/>
      <c r="M122" s="25"/>
      <c r="N122" s="25"/>
      <c r="O122" s="25"/>
      <c r="P122" s="25"/>
      <c r="Q122" s="25"/>
      <c r="R122" s="25"/>
      <c r="S122" s="25"/>
      <c r="T122" s="34">
        <v>-45</v>
      </c>
      <c r="U122" s="34"/>
      <c r="V122" s="53"/>
      <c r="W122" s="25"/>
      <c r="X122" s="5"/>
    </row>
    <row r="123" spans="1:24" ht="15.75" x14ac:dyDescent="0.25">
      <c r="A123" s="24"/>
      <c r="B123" s="25" t="s">
        <v>38</v>
      </c>
      <c r="C123" s="25"/>
      <c r="D123" s="25"/>
      <c r="E123" s="25"/>
      <c r="F123" s="25"/>
      <c r="G123" s="25"/>
      <c r="H123" s="25"/>
      <c r="I123" s="25"/>
      <c r="J123" s="25"/>
      <c r="K123" s="25"/>
      <c r="L123" s="25"/>
      <c r="M123" s="25"/>
      <c r="N123" s="25"/>
      <c r="O123" s="25"/>
      <c r="P123" s="25"/>
      <c r="Q123" s="25"/>
      <c r="R123" s="25"/>
      <c r="S123" s="25"/>
      <c r="T123" s="34">
        <f>-S185</f>
        <v>-492</v>
      </c>
      <c r="U123" s="34"/>
      <c r="V123" s="53"/>
      <c r="W123" s="25"/>
      <c r="X123" s="5"/>
    </row>
    <row r="124" spans="1:24" ht="15.75" x14ac:dyDescent="0.25">
      <c r="A124" s="24"/>
      <c r="B124" s="25" t="s">
        <v>197</v>
      </c>
      <c r="C124" s="25"/>
      <c r="D124" s="25"/>
      <c r="E124" s="25"/>
      <c r="F124" s="25"/>
      <c r="G124" s="25"/>
      <c r="H124" s="25"/>
      <c r="I124" s="25"/>
      <c r="J124" s="25"/>
      <c r="K124" s="25"/>
      <c r="L124" s="25"/>
      <c r="M124" s="25"/>
      <c r="N124" s="25"/>
      <c r="O124" s="25"/>
      <c r="P124" s="25"/>
      <c r="Q124" s="25"/>
      <c r="R124" s="25"/>
      <c r="S124" s="25"/>
      <c r="T124" s="34">
        <v>-14029</v>
      </c>
      <c r="U124" s="34"/>
      <c r="V124" s="53"/>
      <c r="W124" s="25"/>
      <c r="X124" s="5"/>
    </row>
    <row r="125" spans="1:24" ht="15.75" x14ac:dyDescent="0.25">
      <c r="A125" s="24"/>
      <c r="B125" s="25" t="s">
        <v>195</v>
      </c>
      <c r="C125" s="25"/>
      <c r="D125" s="25"/>
      <c r="E125" s="25"/>
      <c r="F125" s="25"/>
      <c r="G125" s="25"/>
      <c r="H125" s="25"/>
      <c r="I125" s="25"/>
      <c r="J125" s="25"/>
      <c r="K125" s="25"/>
      <c r="L125" s="25"/>
      <c r="M125" s="25"/>
      <c r="N125" s="25"/>
      <c r="O125" s="25"/>
      <c r="P125" s="25"/>
      <c r="Q125" s="25"/>
      <c r="R125" s="25"/>
      <c r="S125" s="25"/>
      <c r="T125" s="34">
        <v>-5962</v>
      </c>
      <c r="U125" s="34"/>
      <c r="V125" s="53"/>
      <c r="W125" s="25"/>
      <c r="X125" s="5"/>
    </row>
    <row r="126" spans="1:24" ht="15.75" x14ac:dyDescent="0.25">
      <c r="A126" s="24"/>
      <c r="B126" s="25" t="s">
        <v>194</v>
      </c>
      <c r="C126" s="25"/>
      <c r="D126" s="25"/>
      <c r="E126" s="25"/>
      <c r="F126" s="25"/>
      <c r="G126" s="25"/>
      <c r="H126" s="25"/>
      <c r="I126" s="25"/>
      <c r="J126" s="25"/>
      <c r="K126" s="25"/>
      <c r="L126" s="25"/>
      <c r="M126" s="25"/>
      <c r="N126" s="25"/>
      <c r="O126" s="25"/>
      <c r="P126" s="25"/>
      <c r="Q126" s="25"/>
      <c r="R126" s="25"/>
      <c r="S126" s="25"/>
      <c r="T126" s="34">
        <v>-2125</v>
      </c>
      <c r="U126" s="34"/>
      <c r="V126" s="53"/>
      <c r="W126" s="25"/>
      <c r="X126" s="5"/>
    </row>
    <row r="127" spans="1:24" ht="15.75" x14ac:dyDescent="0.25">
      <c r="A127" s="24"/>
      <c r="B127" s="25" t="s">
        <v>222</v>
      </c>
      <c r="C127" s="25"/>
      <c r="D127" s="25"/>
      <c r="E127" s="25"/>
      <c r="F127" s="25"/>
      <c r="G127" s="25"/>
      <c r="H127" s="25"/>
      <c r="I127" s="25"/>
      <c r="J127" s="25"/>
      <c r="K127" s="25"/>
      <c r="L127" s="25"/>
      <c r="M127" s="25"/>
      <c r="N127" s="25"/>
      <c r="O127" s="25"/>
      <c r="P127" s="25"/>
      <c r="Q127" s="25"/>
      <c r="R127" s="25"/>
      <c r="S127" s="25"/>
      <c r="T127" s="34">
        <v>-2104</v>
      </c>
      <c r="U127" s="34"/>
      <c r="V127" s="53"/>
      <c r="W127" s="25"/>
      <c r="X127" s="5"/>
    </row>
    <row r="128" spans="1:24" ht="15.75" x14ac:dyDescent="0.25">
      <c r="A128" s="24"/>
      <c r="B128" s="25" t="s">
        <v>189</v>
      </c>
      <c r="C128" s="25"/>
      <c r="D128" s="25"/>
      <c r="E128" s="25"/>
      <c r="F128" s="25"/>
      <c r="G128" s="25"/>
      <c r="H128" s="25"/>
      <c r="I128" s="25"/>
      <c r="J128" s="25"/>
      <c r="K128" s="25"/>
      <c r="L128" s="25"/>
      <c r="M128" s="25"/>
      <c r="N128" s="25"/>
      <c r="O128" s="25"/>
      <c r="P128" s="25"/>
      <c r="Q128" s="25"/>
      <c r="R128" s="25"/>
      <c r="S128" s="25"/>
      <c r="T128" s="34">
        <v>0</v>
      </c>
      <c r="U128" s="34"/>
      <c r="V128" s="53"/>
      <c r="W128" s="25"/>
      <c r="X128" s="5"/>
    </row>
    <row r="129" spans="1:24" ht="15.75" x14ac:dyDescent="0.25">
      <c r="A129" s="24"/>
      <c r="B129" s="25" t="s">
        <v>188</v>
      </c>
      <c r="C129" s="25"/>
      <c r="D129" s="25"/>
      <c r="E129" s="25"/>
      <c r="F129" s="25"/>
      <c r="G129" s="25"/>
      <c r="H129" s="25"/>
      <c r="I129" s="25"/>
      <c r="J129" s="25"/>
      <c r="K129" s="25"/>
      <c r="L129" s="25"/>
      <c r="M129" s="25"/>
      <c r="N129" s="25"/>
      <c r="O129" s="25"/>
      <c r="P129" s="25"/>
      <c r="Q129" s="25"/>
      <c r="R129" s="25"/>
      <c r="S129" s="25"/>
      <c r="T129" s="34">
        <v>0</v>
      </c>
      <c r="U129" s="34"/>
      <c r="V129" s="53"/>
      <c r="W129" s="25"/>
      <c r="X129" s="5"/>
    </row>
    <row r="130" spans="1:24" ht="15.75" x14ac:dyDescent="0.25">
      <c r="A130" s="24"/>
      <c r="B130" s="25" t="s">
        <v>187</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75" x14ac:dyDescent="0.25">
      <c r="A131" s="24"/>
      <c r="B131" s="25" t="s">
        <v>39</v>
      </c>
      <c r="C131" s="25"/>
      <c r="D131" s="25"/>
      <c r="E131" s="25"/>
      <c r="F131" s="25"/>
      <c r="G131" s="25"/>
      <c r="H131" s="25"/>
      <c r="I131" s="25"/>
      <c r="J131" s="25"/>
      <c r="K131" s="25"/>
      <c r="L131" s="25"/>
      <c r="M131" s="25"/>
      <c r="N131" s="25"/>
      <c r="O131" s="25"/>
      <c r="P131" s="25"/>
      <c r="Q131" s="25"/>
      <c r="R131" s="25"/>
      <c r="S131" s="25"/>
      <c r="T131" s="34">
        <f>SUM(T121:T130)</f>
        <v>-24914</v>
      </c>
      <c r="U131" s="34"/>
      <c r="V131" s="34">
        <f>SUM(V103:V129)</f>
        <v>-16821</v>
      </c>
      <c r="W131" s="25"/>
      <c r="X131" s="5"/>
    </row>
    <row r="132" spans="1:24" ht="15.75" x14ac:dyDescent="0.25">
      <c r="A132" s="24"/>
      <c r="B132" s="25" t="s">
        <v>40</v>
      </c>
      <c r="C132" s="25"/>
      <c r="D132" s="25"/>
      <c r="E132" s="25"/>
      <c r="F132" s="25"/>
      <c r="G132" s="25"/>
      <c r="H132" s="25"/>
      <c r="I132" s="25"/>
      <c r="J132" s="25"/>
      <c r="K132" s="25"/>
      <c r="L132" s="25"/>
      <c r="M132" s="25"/>
      <c r="N132" s="25"/>
      <c r="O132" s="25"/>
      <c r="P132" s="25"/>
      <c r="Q132" s="25"/>
      <c r="R132" s="25"/>
      <c r="S132" s="25"/>
      <c r="T132" s="34">
        <f>T102+T131+T114</f>
        <v>0</v>
      </c>
      <c r="U132" s="34"/>
      <c r="V132" s="34">
        <f>V102+V131</f>
        <v>0</v>
      </c>
      <c r="W132" s="25"/>
      <c r="X132" s="5"/>
    </row>
    <row r="133" spans="1:24" ht="15.75" x14ac:dyDescent="0.25">
      <c r="A133" s="24"/>
      <c r="B133" s="25"/>
      <c r="C133" s="25"/>
      <c r="D133" s="25"/>
      <c r="E133" s="25"/>
      <c r="F133" s="25"/>
      <c r="G133" s="25"/>
      <c r="H133" s="25"/>
      <c r="I133" s="25"/>
      <c r="J133" s="25"/>
      <c r="K133" s="25"/>
      <c r="L133" s="25"/>
      <c r="M133" s="25"/>
      <c r="N133" s="25"/>
      <c r="O133" s="25"/>
      <c r="P133" s="25"/>
      <c r="Q133" s="25"/>
      <c r="R133" s="25"/>
      <c r="S133" s="25"/>
      <c r="T133" s="34"/>
      <c r="U133" s="34"/>
      <c r="V133" s="34"/>
      <c r="W133" s="25"/>
      <c r="X133" s="5"/>
    </row>
    <row r="134" spans="1:24" ht="15.75" x14ac:dyDescent="0.25">
      <c r="A134" s="6"/>
      <c r="B134" s="8"/>
      <c r="C134" s="8"/>
      <c r="D134" s="8"/>
      <c r="E134" s="8"/>
      <c r="F134" s="8"/>
      <c r="G134" s="8"/>
      <c r="H134" s="8"/>
      <c r="I134" s="8"/>
      <c r="J134" s="8"/>
      <c r="K134" s="8"/>
      <c r="L134" s="8"/>
      <c r="M134" s="8"/>
      <c r="N134" s="8"/>
      <c r="O134" s="8"/>
      <c r="P134" s="8"/>
      <c r="Q134" s="8"/>
      <c r="R134" s="8"/>
      <c r="S134" s="8"/>
      <c r="T134" s="8"/>
      <c r="U134" s="8"/>
      <c r="V134" s="52"/>
      <c r="W134" s="8"/>
      <c r="X134" s="5"/>
    </row>
    <row r="135" spans="1:24" ht="19.5" thickBot="1" x14ac:dyDescent="0.35">
      <c r="A135" s="101"/>
      <c r="B135" s="102" t="str">
        <f>B64</f>
        <v>PM15 INVESTOR REPORT QUARTER ENDING NOVEMBER 2008</v>
      </c>
      <c r="C135" s="103"/>
      <c r="D135" s="103"/>
      <c r="E135" s="103"/>
      <c r="F135" s="103"/>
      <c r="G135" s="103"/>
      <c r="H135" s="103"/>
      <c r="I135" s="103"/>
      <c r="J135" s="103"/>
      <c r="K135" s="103"/>
      <c r="L135" s="103"/>
      <c r="M135" s="103"/>
      <c r="N135" s="103"/>
      <c r="O135" s="103"/>
      <c r="P135" s="103"/>
      <c r="Q135" s="103"/>
      <c r="R135" s="103"/>
      <c r="S135" s="103"/>
      <c r="T135" s="103"/>
      <c r="U135" s="103"/>
      <c r="V135" s="106"/>
      <c r="W135" s="105"/>
      <c r="X135" s="5"/>
    </row>
    <row r="136" spans="1:24" ht="15.75" x14ac:dyDescent="0.25">
      <c r="A136" s="2"/>
      <c r="B136" s="60" t="s">
        <v>41</v>
      </c>
      <c r="C136" s="4"/>
      <c r="D136" s="4"/>
      <c r="E136" s="4"/>
      <c r="F136" s="4"/>
      <c r="G136" s="4"/>
      <c r="H136" s="4"/>
      <c r="I136" s="4"/>
      <c r="J136" s="4"/>
      <c r="K136" s="4"/>
      <c r="L136" s="4"/>
      <c r="M136" s="4"/>
      <c r="N136" s="4"/>
      <c r="O136" s="4"/>
      <c r="P136" s="4"/>
      <c r="Q136" s="4"/>
      <c r="R136" s="4"/>
      <c r="S136" s="4"/>
      <c r="T136" s="4"/>
      <c r="U136" s="4"/>
      <c r="V136" s="50"/>
      <c r="W136" s="4"/>
      <c r="X136" s="5"/>
    </row>
    <row r="137" spans="1:24" ht="15.75" x14ac:dyDescent="0.25">
      <c r="A137" s="6"/>
      <c r="B137" s="21"/>
      <c r="C137" s="8"/>
      <c r="D137" s="8"/>
      <c r="E137" s="8"/>
      <c r="F137" s="8"/>
      <c r="G137" s="8"/>
      <c r="H137" s="8"/>
      <c r="I137" s="8"/>
      <c r="J137" s="8"/>
      <c r="K137" s="8"/>
      <c r="L137" s="8"/>
      <c r="M137" s="8"/>
      <c r="N137" s="8"/>
      <c r="O137" s="8"/>
      <c r="P137" s="8"/>
      <c r="Q137" s="8"/>
      <c r="R137" s="8"/>
      <c r="S137" s="8"/>
      <c r="T137" s="8"/>
      <c r="U137" s="8"/>
      <c r="V137" s="52"/>
      <c r="W137" s="8"/>
      <c r="X137" s="5"/>
    </row>
    <row r="138" spans="1:24" ht="15.75" x14ac:dyDescent="0.25">
      <c r="A138" s="6"/>
      <c r="B138" s="119" t="s">
        <v>42</v>
      </c>
      <c r="C138" s="8"/>
      <c r="D138" s="8"/>
      <c r="E138" s="8"/>
      <c r="F138" s="8"/>
      <c r="G138" s="8"/>
      <c r="H138" s="8"/>
      <c r="I138" s="8"/>
      <c r="J138" s="8"/>
      <c r="K138" s="8"/>
      <c r="L138" s="8"/>
      <c r="M138" s="8"/>
      <c r="N138" s="8"/>
      <c r="O138" s="8"/>
      <c r="P138" s="8"/>
      <c r="Q138" s="8"/>
      <c r="R138" s="8"/>
      <c r="S138" s="8"/>
      <c r="T138" s="8"/>
      <c r="U138" s="8"/>
      <c r="V138" s="52"/>
      <c r="W138" s="8"/>
      <c r="X138" s="5"/>
    </row>
    <row r="139" spans="1:24" ht="15.75" x14ac:dyDescent="0.25">
      <c r="A139" s="24"/>
      <c r="B139" s="25" t="s">
        <v>43</v>
      </c>
      <c r="C139" s="25"/>
      <c r="D139" s="25"/>
      <c r="E139" s="25"/>
      <c r="F139" s="25"/>
      <c r="G139" s="25"/>
      <c r="H139" s="25"/>
      <c r="I139" s="25"/>
      <c r="J139" s="25"/>
      <c r="K139" s="25"/>
      <c r="L139" s="25"/>
      <c r="M139" s="25"/>
      <c r="N139" s="25"/>
      <c r="O139" s="25"/>
      <c r="P139" s="25"/>
      <c r="Q139" s="25"/>
      <c r="R139" s="25"/>
      <c r="S139" s="25"/>
      <c r="T139" s="25"/>
      <c r="U139" s="25"/>
      <c r="V139" s="53">
        <f>+V34*0.019</f>
        <v>19021.526999999998</v>
      </c>
      <c r="W139" s="25"/>
      <c r="X139" s="5"/>
    </row>
    <row r="140" spans="1:24" ht="15.75" x14ac:dyDescent="0.25">
      <c r="A140" s="24"/>
      <c r="B140" s="25" t="s">
        <v>44</v>
      </c>
      <c r="C140" s="25"/>
      <c r="D140" s="25"/>
      <c r="E140" s="25"/>
      <c r="F140" s="25"/>
      <c r="G140" s="25"/>
      <c r="H140" s="25"/>
      <c r="I140" s="25"/>
      <c r="J140" s="25"/>
      <c r="K140" s="25"/>
      <c r="L140" s="25"/>
      <c r="M140" s="25"/>
      <c r="N140" s="25"/>
      <c r="O140" s="25"/>
      <c r="P140" s="25"/>
      <c r="Q140" s="25"/>
      <c r="R140" s="25"/>
      <c r="S140" s="25"/>
      <c r="T140" s="25"/>
      <c r="U140" s="25"/>
      <c r="V140" s="53">
        <v>19022</v>
      </c>
      <c r="W140" s="25"/>
      <c r="X140" s="5"/>
    </row>
    <row r="141" spans="1:24" ht="15.75" x14ac:dyDescent="0.25">
      <c r="A141" s="24"/>
      <c r="B141" s="25" t="s">
        <v>136</v>
      </c>
      <c r="C141" s="25"/>
      <c r="D141" s="25"/>
      <c r="E141" s="25"/>
      <c r="F141" s="25"/>
      <c r="G141" s="25"/>
      <c r="H141" s="25"/>
      <c r="I141" s="25"/>
      <c r="J141" s="25"/>
      <c r="K141" s="25"/>
      <c r="L141" s="25"/>
      <c r="M141" s="25"/>
      <c r="N141" s="25"/>
      <c r="O141" s="25"/>
      <c r="P141" s="25"/>
      <c r="Q141" s="25"/>
      <c r="R141" s="25"/>
      <c r="S141" s="25"/>
      <c r="T141" s="25"/>
      <c r="U141" s="25"/>
      <c r="V141" s="53"/>
      <c r="W141" s="25"/>
      <c r="X141" s="5"/>
    </row>
    <row r="142" spans="1:24" ht="15.75" x14ac:dyDescent="0.25">
      <c r="A142" s="24"/>
      <c r="B142" s="25" t="s">
        <v>123</v>
      </c>
      <c r="C142" s="25"/>
      <c r="D142" s="25"/>
      <c r="E142" s="25"/>
      <c r="F142" s="25"/>
      <c r="G142" s="25"/>
      <c r="H142" s="25"/>
      <c r="I142" s="25"/>
      <c r="J142" s="25"/>
      <c r="K142" s="25"/>
      <c r="L142" s="25"/>
      <c r="M142" s="25"/>
      <c r="N142" s="25"/>
      <c r="O142" s="25"/>
      <c r="P142" s="25"/>
      <c r="Q142" s="25"/>
      <c r="R142" s="25"/>
      <c r="S142" s="25"/>
      <c r="T142" s="25"/>
      <c r="U142" s="25"/>
      <c r="V142" s="53">
        <v>0</v>
      </c>
      <c r="W142" s="25"/>
      <c r="X142" s="5"/>
    </row>
    <row r="143" spans="1:24" ht="15.75" x14ac:dyDescent="0.25">
      <c r="A143" s="24"/>
      <c r="B143" s="25" t="s">
        <v>124</v>
      </c>
      <c r="C143" s="25"/>
      <c r="D143" s="25"/>
      <c r="E143" s="25"/>
      <c r="F143" s="25"/>
      <c r="G143" s="25"/>
      <c r="H143" s="25"/>
      <c r="I143" s="25"/>
      <c r="J143" s="25"/>
      <c r="K143" s="25"/>
      <c r="L143" s="25"/>
      <c r="M143" s="25"/>
      <c r="N143" s="25"/>
      <c r="O143" s="25"/>
      <c r="P143" s="25"/>
      <c r="Q143" s="25"/>
      <c r="R143" s="25"/>
      <c r="S143" s="25"/>
      <c r="T143" s="25"/>
      <c r="U143" s="25"/>
      <c r="V143" s="53">
        <v>0</v>
      </c>
      <c r="W143" s="25"/>
      <c r="X143" s="5"/>
    </row>
    <row r="144" spans="1:24" ht="15.75" x14ac:dyDescent="0.25">
      <c r="A144" s="24"/>
      <c r="B144" s="25" t="s">
        <v>175</v>
      </c>
      <c r="C144" s="25"/>
      <c r="D144" s="25"/>
      <c r="E144" s="25"/>
      <c r="F144" s="25"/>
      <c r="G144" s="25"/>
      <c r="H144" s="25"/>
      <c r="I144" s="25"/>
      <c r="J144" s="25"/>
      <c r="K144" s="25"/>
      <c r="L144" s="25"/>
      <c r="M144" s="25"/>
      <c r="N144" s="25"/>
      <c r="O144" s="25"/>
      <c r="P144" s="25"/>
      <c r="Q144" s="25"/>
      <c r="R144" s="25"/>
      <c r="S144" s="25"/>
      <c r="T144" s="25"/>
      <c r="U144" s="25"/>
      <c r="V144" s="53">
        <v>0</v>
      </c>
      <c r="W144" s="25"/>
      <c r="X144" s="5"/>
    </row>
    <row r="145" spans="1:25" ht="15.75" x14ac:dyDescent="0.25">
      <c r="A145" s="24"/>
      <c r="B145" s="25" t="s">
        <v>45</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75" x14ac:dyDescent="0.25">
      <c r="A146" s="24"/>
      <c r="B146" s="25" t="s">
        <v>129</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75" x14ac:dyDescent="0.25">
      <c r="A147" s="24"/>
      <c r="B147" s="25" t="s">
        <v>241</v>
      </c>
      <c r="C147" s="25"/>
      <c r="D147" s="25"/>
      <c r="E147" s="25"/>
      <c r="F147" s="25"/>
      <c r="G147" s="25"/>
      <c r="H147" s="25"/>
      <c r="I147" s="25"/>
      <c r="J147" s="25"/>
      <c r="K147" s="25"/>
      <c r="L147" s="25"/>
      <c r="M147" s="25"/>
      <c r="N147" s="25"/>
      <c r="O147" s="25"/>
      <c r="P147" s="25"/>
      <c r="Q147" s="25"/>
      <c r="R147" s="25"/>
      <c r="S147" s="25"/>
      <c r="T147" s="25"/>
      <c r="U147" s="25"/>
      <c r="V147" s="53">
        <v>0</v>
      </c>
      <c r="W147" s="25"/>
      <c r="X147" s="5"/>
      <c r="Y147" s="109"/>
    </row>
    <row r="148" spans="1:25" ht="15.75" x14ac:dyDescent="0.25">
      <c r="A148" s="24"/>
      <c r="B148" s="25" t="s">
        <v>46</v>
      </c>
      <c r="C148" s="25"/>
      <c r="D148" s="25"/>
      <c r="E148" s="25"/>
      <c r="F148" s="25"/>
      <c r="G148" s="25"/>
      <c r="H148" s="25"/>
      <c r="I148" s="25"/>
      <c r="J148" s="25"/>
      <c r="K148" s="25"/>
      <c r="L148" s="25"/>
      <c r="M148" s="25"/>
      <c r="N148" s="25"/>
      <c r="O148" s="25"/>
      <c r="P148" s="25"/>
      <c r="Q148" s="25"/>
      <c r="R148" s="25"/>
      <c r="S148" s="25"/>
      <c r="T148" s="25"/>
      <c r="U148" s="25"/>
      <c r="V148" s="53">
        <f>SUM(V140:V147)</f>
        <v>19022</v>
      </c>
      <c r="W148" s="25"/>
      <c r="X148" s="5"/>
    </row>
    <row r="149" spans="1:25" ht="15.75" x14ac:dyDescent="0.25">
      <c r="A149" s="24"/>
      <c r="B149" s="25"/>
      <c r="C149" s="25"/>
      <c r="D149" s="25"/>
      <c r="E149" s="25"/>
      <c r="F149" s="25"/>
      <c r="G149" s="25"/>
      <c r="H149" s="25"/>
      <c r="I149" s="25"/>
      <c r="J149" s="25"/>
      <c r="K149" s="25"/>
      <c r="L149" s="25"/>
      <c r="M149" s="25"/>
      <c r="N149" s="25"/>
      <c r="O149" s="25"/>
      <c r="P149" s="25"/>
      <c r="Q149" s="25"/>
      <c r="R149" s="25"/>
      <c r="S149" s="25"/>
      <c r="T149" s="25"/>
      <c r="U149" s="25"/>
      <c r="V149" s="53"/>
      <c r="W149" s="25"/>
      <c r="X149" s="5"/>
    </row>
    <row r="150" spans="1:25" ht="15.75" x14ac:dyDescent="0.25">
      <c r="A150" s="24"/>
      <c r="B150" s="135" t="s">
        <v>269</v>
      </c>
      <c r="C150" s="25"/>
      <c r="D150" s="25"/>
      <c r="E150" s="25"/>
      <c r="F150" s="25"/>
      <c r="G150" s="25"/>
      <c r="H150" s="25"/>
      <c r="I150" s="25"/>
      <c r="J150" s="25"/>
      <c r="K150" s="25"/>
      <c r="L150" s="25"/>
      <c r="M150" s="25"/>
      <c r="N150" s="25"/>
      <c r="O150" s="25"/>
      <c r="P150" s="25"/>
      <c r="Q150" s="25"/>
      <c r="R150" s="25"/>
      <c r="S150" s="25"/>
      <c r="T150" s="25"/>
      <c r="U150" s="25"/>
      <c r="V150" s="53"/>
      <c r="W150" s="25"/>
      <c r="X150" s="5"/>
    </row>
    <row r="151" spans="1:25" ht="15.75" x14ac:dyDescent="0.25">
      <c r="A151" s="24"/>
      <c r="B151" s="25" t="s">
        <v>155</v>
      </c>
      <c r="C151" s="25"/>
      <c r="D151" s="25"/>
      <c r="E151" s="25"/>
      <c r="F151" s="25"/>
      <c r="G151" s="25"/>
      <c r="H151" s="25"/>
      <c r="I151" s="25"/>
      <c r="J151" s="25"/>
      <c r="K151" s="25"/>
      <c r="L151" s="25"/>
      <c r="M151" s="25"/>
      <c r="N151" s="25"/>
      <c r="O151" s="25"/>
      <c r="P151" s="25"/>
      <c r="Q151" s="25"/>
      <c r="R151" s="25"/>
      <c r="S151" s="25"/>
      <c r="T151" s="25"/>
      <c r="U151" s="25"/>
      <c r="V151" s="53">
        <v>0</v>
      </c>
      <c r="W151" s="25"/>
      <c r="X151" s="5"/>
    </row>
    <row r="152" spans="1:25" ht="15.75" x14ac:dyDescent="0.25">
      <c r="A152" s="24"/>
      <c r="B152" s="25" t="s">
        <v>172</v>
      </c>
      <c r="C152" s="25"/>
      <c r="D152" s="25"/>
      <c r="E152" s="25"/>
      <c r="F152" s="25"/>
      <c r="G152" s="25"/>
      <c r="H152" s="25"/>
      <c r="I152" s="25"/>
      <c r="J152" s="25"/>
      <c r="K152" s="25"/>
      <c r="L152" s="25"/>
      <c r="M152" s="25"/>
      <c r="N152" s="25"/>
      <c r="O152" s="25"/>
      <c r="P152" s="25"/>
      <c r="Q152" s="25"/>
      <c r="R152" s="25"/>
      <c r="S152" s="25"/>
      <c r="T152" s="25"/>
      <c r="U152" s="25"/>
      <c r="V152" s="53">
        <v>0</v>
      </c>
      <c r="W152" s="25"/>
      <c r="X152" s="5"/>
    </row>
    <row r="153" spans="1:25" ht="15.75" x14ac:dyDescent="0.25">
      <c r="A153" s="24"/>
      <c r="B153" s="25" t="s">
        <v>226</v>
      </c>
      <c r="C153" s="25"/>
      <c r="D153" s="25"/>
      <c r="E153" s="25"/>
      <c r="F153" s="25"/>
      <c r="G153" s="25"/>
      <c r="H153" s="25"/>
      <c r="I153" s="25"/>
      <c r="J153" s="25"/>
      <c r="K153" s="25"/>
      <c r="L153" s="25"/>
      <c r="M153" s="25"/>
      <c r="N153" s="25"/>
      <c r="O153" s="25"/>
      <c r="P153" s="25"/>
      <c r="Q153" s="25"/>
      <c r="R153" s="25"/>
      <c r="S153" s="25"/>
      <c r="T153" s="25"/>
      <c r="U153" s="25"/>
      <c r="V153" s="53">
        <v>0</v>
      </c>
      <c r="W153" s="25"/>
      <c r="X153" s="5"/>
    </row>
    <row r="154" spans="1:25" ht="15.75" x14ac:dyDescent="0.25">
      <c r="A154" s="24"/>
      <c r="B154" s="25"/>
      <c r="C154" s="25"/>
      <c r="D154" s="25"/>
      <c r="E154" s="25"/>
      <c r="F154" s="25"/>
      <c r="G154" s="25"/>
      <c r="H154" s="25"/>
      <c r="I154" s="25"/>
      <c r="J154" s="25"/>
      <c r="K154" s="25"/>
      <c r="L154" s="25"/>
      <c r="M154" s="25"/>
      <c r="N154" s="25"/>
      <c r="O154" s="25"/>
      <c r="P154" s="25"/>
      <c r="Q154" s="25"/>
      <c r="R154" s="25"/>
      <c r="S154" s="25"/>
      <c r="T154" s="25"/>
      <c r="U154" s="25"/>
      <c r="V154" s="53"/>
      <c r="W154" s="25"/>
      <c r="X154" s="5"/>
    </row>
    <row r="155" spans="1:25" ht="15.75" x14ac:dyDescent="0.25">
      <c r="A155" s="24"/>
      <c r="B155" s="25"/>
      <c r="C155" s="25"/>
      <c r="D155" s="25"/>
      <c r="E155" s="25"/>
      <c r="F155" s="25"/>
      <c r="G155" s="25"/>
      <c r="H155" s="25"/>
      <c r="I155" s="25"/>
      <c r="J155" s="25"/>
      <c r="K155" s="25"/>
      <c r="L155" s="25"/>
      <c r="M155" s="25"/>
      <c r="N155" s="25"/>
      <c r="O155" s="25"/>
      <c r="P155" s="25"/>
      <c r="Q155" s="25"/>
      <c r="R155" s="25"/>
      <c r="S155" s="25"/>
      <c r="T155" s="25"/>
      <c r="U155" s="25"/>
      <c r="V155" s="61"/>
      <c r="W155" s="25"/>
      <c r="X155" s="5"/>
    </row>
    <row r="156" spans="1:25" ht="15.75" x14ac:dyDescent="0.25">
      <c r="A156" s="6"/>
      <c r="B156" s="119" t="s">
        <v>24</v>
      </c>
      <c r="C156" s="8"/>
      <c r="D156" s="8"/>
      <c r="E156" s="8"/>
      <c r="F156" s="8"/>
      <c r="G156" s="8"/>
      <c r="H156" s="8"/>
      <c r="I156" s="8"/>
      <c r="J156" s="8"/>
      <c r="K156" s="8"/>
      <c r="L156" s="8"/>
      <c r="M156" s="8"/>
      <c r="N156" s="8"/>
      <c r="O156" s="8"/>
      <c r="P156" s="8"/>
      <c r="Q156" s="8"/>
      <c r="R156" s="8"/>
      <c r="S156" s="8"/>
      <c r="T156" s="8"/>
      <c r="U156" s="8"/>
      <c r="V156" s="52"/>
      <c r="W156" s="8"/>
      <c r="X156" s="5"/>
    </row>
    <row r="157" spans="1:25" ht="15.75" x14ac:dyDescent="0.25">
      <c r="A157" s="24"/>
      <c r="B157" s="25" t="s">
        <v>47</v>
      </c>
      <c r="C157" s="25"/>
      <c r="D157" s="25"/>
      <c r="E157" s="25"/>
      <c r="F157" s="25"/>
      <c r="G157" s="25"/>
      <c r="H157" s="25"/>
      <c r="I157" s="25"/>
      <c r="J157" s="25"/>
      <c r="K157" s="25"/>
      <c r="L157" s="25"/>
      <c r="M157" s="25"/>
      <c r="N157" s="25"/>
      <c r="O157" s="25"/>
      <c r="P157" s="25"/>
      <c r="Q157" s="25"/>
      <c r="R157" s="25"/>
      <c r="S157" s="25"/>
      <c r="T157" s="25"/>
      <c r="U157" s="25"/>
      <c r="V157" s="59" t="s">
        <v>118</v>
      </c>
      <c r="W157" s="25"/>
      <c r="X157" s="5"/>
    </row>
    <row r="158" spans="1:25" ht="15.75" x14ac:dyDescent="0.25">
      <c r="A158" s="24"/>
      <c r="B158" s="25" t="s">
        <v>48</v>
      </c>
      <c r="C158" s="174"/>
      <c r="D158" s="174"/>
      <c r="E158" s="174"/>
      <c r="F158" s="174"/>
      <c r="G158" s="174"/>
      <c r="H158" s="174"/>
      <c r="I158" s="174"/>
      <c r="J158" s="174"/>
      <c r="K158" s="174"/>
      <c r="L158" s="174"/>
      <c r="M158" s="174"/>
      <c r="N158" s="174"/>
      <c r="O158" s="174"/>
      <c r="P158" s="174"/>
      <c r="Q158" s="174"/>
      <c r="R158" s="174"/>
      <c r="S158" s="174"/>
      <c r="T158" s="174"/>
      <c r="U158" s="174"/>
      <c r="V158" s="59" t="s">
        <v>118</v>
      </c>
      <c r="W158" s="25"/>
      <c r="X158" s="5"/>
    </row>
    <row r="159" spans="1:25" ht="15.75" x14ac:dyDescent="0.25">
      <c r="A159" s="24"/>
      <c r="B159" s="25" t="s">
        <v>49</v>
      </c>
      <c r="C159" s="25"/>
      <c r="D159" s="25"/>
      <c r="E159" s="25"/>
      <c r="F159" s="25"/>
      <c r="G159" s="25"/>
      <c r="H159" s="25"/>
      <c r="I159" s="25"/>
      <c r="J159" s="25"/>
      <c r="K159" s="25"/>
      <c r="L159" s="25"/>
      <c r="M159" s="25"/>
      <c r="N159" s="25"/>
      <c r="O159" s="25"/>
      <c r="P159" s="25"/>
      <c r="Q159" s="25"/>
      <c r="R159" s="25"/>
      <c r="S159" s="25"/>
      <c r="T159" s="25"/>
      <c r="U159" s="25"/>
      <c r="V159" s="59" t="s">
        <v>118</v>
      </c>
      <c r="W159" s="25"/>
      <c r="X159" s="5"/>
    </row>
    <row r="160" spans="1:25" ht="15.75" x14ac:dyDescent="0.25">
      <c r="A160" s="24"/>
      <c r="B160" s="25" t="s">
        <v>50</v>
      </c>
      <c r="C160" s="25"/>
      <c r="D160" s="25"/>
      <c r="E160" s="25"/>
      <c r="F160" s="25"/>
      <c r="G160" s="25"/>
      <c r="H160" s="25"/>
      <c r="I160" s="25"/>
      <c r="J160" s="25"/>
      <c r="K160" s="25"/>
      <c r="L160" s="25"/>
      <c r="M160" s="25"/>
      <c r="N160" s="25"/>
      <c r="O160" s="25"/>
      <c r="P160" s="25"/>
      <c r="Q160" s="25"/>
      <c r="R160" s="25"/>
      <c r="S160" s="25"/>
      <c r="T160" s="25"/>
      <c r="U160" s="25"/>
      <c r="V160" s="59" t="s">
        <v>118</v>
      </c>
      <c r="W160" s="25"/>
      <c r="X160" s="5"/>
    </row>
    <row r="161" spans="1:256" ht="15.75" x14ac:dyDescent="0.25">
      <c r="A161" s="24"/>
      <c r="B161" s="25"/>
      <c r="C161" s="25"/>
      <c r="D161" s="25"/>
      <c r="E161" s="25"/>
      <c r="F161" s="25"/>
      <c r="G161" s="25"/>
      <c r="H161" s="25"/>
      <c r="I161" s="25"/>
      <c r="J161" s="25"/>
      <c r="K161" s="25"/>
      <c r="L161" s="25"/>
      <c r="M161" s="25"/>
      <c r="N161" s="25"/>
      <c r="O161" s="25"/>
      <c r="P161" s="25"/>
      <c r="Q161" s="25"/>
      <c r="R161" s="25"/>
      <c r="S161" s="25"/>
      <c r="T161" s="25"/>
      <c r="U161" s="25"/>
      <c r="V161" s="61"/>
      <c r="W161" s="25"/>
      <c r="X161" s="5"/>
    </row>
    <row r="162" spans="1:256" ht="15.75" x14ac:dyDescent="0.25">
      <c r="A162" s="6"/>
      <c r="B162" s="119" t="s">
        <v>51</v>
      </c>
      <c r="C162" s="8"/>
      <c r="D162" s="8"/>
      <c r="E162" s="8"/>
      <c r="F162" s="8"/>
      <c r="G162" s="8"/>
      <c r="H162" s="8"/>
      <c r="I162" s="8"/>
      <c r="J162" s="8"/>
      <c r="K162" s="8"/>
      <c r="L162" s="8"/>
      <c r="M162" s="8"/>
      <c r="N162" s="8"/>
      <c r="O162" s="8"/>
      <c r="P162" s="8"/>
      <c r="Q162" s="8"/>
      <c r="R162" s="8"/>
      <c r="S162" s="8"/>
      <c r="T162" s="8"/>
      <c r="U162" s="8"/>
      <c r="V162" s="63"/>
      <c r="W162" s="8"/>
      <c r="X162" s="5"/>
    </row>
    <row r="163" spans="1:256" ht="15.75" x14ac:dyDescent="0.25">
      <c r="A163" s="24"/>
      <c r="B163" s="25" t="s">
        <v>52</v>
      </c>
      <c r="C163" s="25"/>
      <c r="D163" s="25"/>
      <c r="E163" s="25"/>
      <c r="F163" s="25"/>
      <c r="G163" s="25"/>
      <c r="H163" s="25"/>
      <c r="I163" s="25"/>
      <c r="J163" s="25"/>
      <c r="K163" s="25"/>
      <c r="L163" s="25"/>
      <c r="M163" s="25"/>
      <c r="N163" s="25"/>
      <c r="O163" s="25"/>
      <c r="P163" s="25"/>
      <c r="Q163" s="25"/>
      <c r="R163" s="25"/>
      <c r="S163" s="25"/>
      <c r="T163" s="25"/>
      <c r="U163" s="25"/>
      <c r="V163" s="53">
        <v>0</v>
      </c>
      <c r="W163" s="25"/>
      <c r="X163" s="5"/>
    </row>
    <row r="164" spans="1:256" ht="15.75" x14ac:dyDescent="0.25">
      <c r="A164" s="24"/>
      <c r="B164" s="25" t="s">
        <v>53</v>
      </c>
      <c r="C164" s="25"/>
      <c r="D164" s="25"/>
      <c r="E164" s="25"/>
      <c r="F164" s="25"/>
      <c r="G164" s="25"/>
      <c r="H164" s="25"/>
      <c r="I164" s="25"/>
      <c r="J164" s="25"/>
      <c r="K164" s="25"/>
      <c r="L164" s="25"/>
      <c r="M164" s="25"/>
      <c r="N164" s="25"/>
      <c r="O164" s="25"/>
      <c r="P164" s="25"/>
      <c r="Q164" s="25"/>
      <c r="R164" s="25"/>
      <c r="S164" s="25"/>
      <c r="T164" s="25"/>
      <c r="U164" s="25"/>
      <c r="V164" s="53">
        <v>14</v>
      </c>
      <c r="W164" s="25"/>
      <c r="X164" s="5"/>
    </row>
    <row r="165" spans="1:256" ht="15.75" x14ac:dyDescent="0.25">
      <c r="A165" s="24"/>
      <c r="B165" s="25" t="s">
        <v>54</v>
      </c>
      <c r="C165" s="25"/>
      <c r="D165" s="25"/>
      <c r="E165" s="25"/>
      <c r="F165" s="25"/>
      <c r="G165" s="25"/>
      <c r="H165" s="25"/>
      <c r="I165" s="25"/>
      <c r="J165" s="25"/>
      <c r="K165" s="25"/>
      <c r="L165" s="25"/>
      <c r="M165" s="25"/>
      <c r="N165" s="25"/>
      <c r="O165" s="25"/>
      <c r="P165" s="25"/>
      <c r="Q165" s="25"/>
      <c r="R165" s="25"/>
      <c r="S165" s="25"/>
      <c r="T165" s="25"/>
      <c r="U165" s="25"/>
      <c r="V165" s="53">
        <f>V164+V163</f>
        <v>14</v>
      </c>
      <c r="W165" s="25"/>
      <c r="X165" s="5"/>
    </row>
    <row r="166" spans="1:256" ht="15.75" x14ac:dyDescent="0.25">
      <c r="A166" s="24"/>
      <c r="B166" s="25" t="s">
        <v>303</v>
      </c>
      <c r="C166" s="25"/>
      <c r="D166" s="25"/>
      <c r="E166" s="25"/>
      <c r="F166" s="25"/>
      <c r="G166" s="25"/>
      <c r="H166" s="25"/>
      <c r="I166" s="25"/>
      <c r="J166" s="25"/>
      <c r="K166" s="25"/>
      <c r="L166" s="25"/>
      <c r="M166" s="25"/>
      <c r="N166" s="25"/>
      <c r="O166" s="25"/>
      <c r="P166" s="25"/>
      <c r="Q166" s="25"/>
      <c r="R166" s="25"/>
      <c r="S166" s="25"/>
      <c r="T166" s="25"/>
      <c r="U166" s="25"/>
      <c r="V166" s="53">
        <f>V114</f>
        <v>-14</v>
      </c>
      <c r="W166" s="25"/>
      <c r="X166" s="5"/>
    </row>
    <row r="167" spans="1:256" ht="15.75" x14ac:dyDescent="0.25">
      <c r="A167" s="24"/>
      <c r="B167" s="25" t="s">
        <v>55</v>
      </c>
      <c r="C167" s="25"/>
      <c r="D167" s="25"/>
      <c r="E167" s="25"/>
      <c r="F167" s="25"/>
      <c r="G167" s="25"/>
      <c r="H167" s="25"/>
      <c r="I167" s="25"/>
      <c r="J167" s="25"/>
      <c r="K167" s="25"/>
      <c r="L167" s="25"/>
      <c r="M167" s="25"/>
      <c r="N167" s="25"/>
      <c r="O167" s="25"/>
      <c r="P167" s="25"/>
      <c r="Q167" s="25"/>
      <c r="R167" s="25"/>
      <c r="S167" s="25"/>
      <c r="T167" s="25"/>
      <c r="U167" s="25"/>
      <c r="V167" s="53">
        <f>V165+V166</f>
        <v>0</v>
      </c>
      <c r="W167" s="25"/>
      <c r="X167" s="5"/>
    </row>
    <row r="168" spans="1:256" ht="16.5" thickBot="1" x14ac:dyDescent="0.3">
      <c r="A168" s="24"/>
      <c r="B168" s="25"/>
      <c r="C168" s="25"/>
      <c r="D168" s="25"/>
      <c r="E168" s="25"/>
      <c r="F168" s="25"/>
      <c r="G168" s="25"/>
      <c r="H168" s="25"/>
      <c r="I168" s="25"/>
      <c r="J168" s="25"/>
      <c r="K168" s="25"/>
      <c r="L168" s="25"/>
      <c r="M168" s="25"/>
      <c r="N168" s="25"/>
      <c r="O168" s="25"/>
      <c r="P168" s="25"/>
      <c r="Q168" s="25"/>
      <c r="R168" s="25"/>
      <c r="S168" s="25"/>
      <c r="T168" s="25"/>
      <c r="U168" s="25"/>
      <c r="V168" s="61"/>
      <c r="W168" s="25"/>
      <c r="X168" s="5"/>
    </row>
    <row r="169" spans="1:256" ht="15.75" x14ac:dyDescent="0.25">
      <c r="A169" s="2"/>
      <c r="B169" s="4"/>
      <c r="C169" s="4"/>
      <c r="D169" s="4"/>
      <c r="E169" s="4"/>
      <c r="F169" s="4"/>
      <c r="G169" s="4"/>
      <c r="H169" s="4"/>
      <c r="I169" s="4"/>
      <c r="J169" s="4"/>
      <c r="K169" s="4"/>
      <c r="L169" s="4"/>
      <c r="M169" s="4"/>
      <c r="N169" s="4"/>
      <c r="O169" s="4"/>
      <c r="P169" s="4"/>
      <c r="Q169" s="4"/>
      <c r="R169" s="4"/>
      <c r="S169" s="4"/>
      <c r="T169" s="4"/>
      <c r="U169" s="4"/>
      <c r="V169" s="50"/>
      <c r="W169" s="4"/>
      <c r="X169" s="5"/>
    </row>
    <row r="170" spans="1:256" s="158" customFormat="1" ht="15.75" x14ac:dyDescent="0.25">
      <c r="A170" s="6"/>
      <c r="B170" s="119" t="s">
        <v>230</v>
      </c>
      <c r="C170" s="157"/>
      <c r="D170" s="157"/>
      <c r="E170" s="157"/>
      <c r="F170" s="157"/>
      <c r="G170" s="157"/>
      <c r="H170" s="157"/>
      <c r="I170" s="157"/>
      <c r="J170" s="157"/>
      <c r="K170" s="157"/>
      <c r="L170" s="157"/>
      <c r="M170" s="157"/>
      <c r="N170" s="157"/>
      <c r="O170" s="157"/>
      <c r="P170" s="157"/>
      <c r="Q170" s="157"/>
      <c r="R170" s="157"/>
      <c r="S170" s="157"/>
      <c r="T170" s="157"/>
      <c r="U170" s="157"/>
      <c r="V170" s="165"/>
      <c r="W170" s="157"/>
      <c r="X170" s="5"/>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s="160" customFormat="1" ht="15.75" x14ac:dyDescent="0.25">
      <c r="A171" s="24"/>
      <c r="B171" s="159" t="s">
        <v>231</v>
      </c>
      <c r="C171" s="159"/>
      <c r="D171" s="159"/>
      <c r="E171" s="159"/>
      <c r="F171" s="159"/>
      <c r="G171" s="159"/>
      <c r="H171" s="159"/>
      <c r="I171" s="159"/>
      <c r="J171" s="159"/>
      <c r="K171" s="159"/>
      <c r="L171" s="159"/>
      <c r="M171" s="159"/>
      <c r="N171" s="159"/>
      <c r="O171" s="159"/>
      <c r="P171" s="159"/>
      <c r="Q171" s="159"/>
      <c r="R171" s="159"/>
      <c r="S171" s="159"/>
      <c r="T171" s="159"/>
      <c r="U171" s="159"/>
      <c r="V171" s="166">
        <f>+'Aug 08'!V173</f>
        <v>0</v>
      </c>
      <c r="W171" s="159"/>
      <c r="X171" s="5"/>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s="160" customFormat="1" ht="15.75" x14ac:dyDescent="0.25">
      <c r="A172" s="24"/>
      <c r="B172" s="159" t="s">
        <v>234</v>
      </c>
      <c r="C172" s="159"/>
      <c r="D172" s="159"/>
      <c r="E172" s="159"/>
      <c r="F172" s="159"/>
      <c r="G172" s="159"/>
      <c r="H172" s="159"/>
      <c r="I172" s="159"/>
      <c r="J172" s="159"/>
      <c r="K172" s="159"/>
      <c r="L172" s="159"/>
      <c r="M172" s="159"/>
      <c r="N172" s="159"/>
      <c r="O172" s="159"/>
      <c r="P172" s="159"/>
      <c r="Q172" s="159"/>
      <c r="R172" s="159"/>
      <c r="S172" s="159"/>
      <c r="T172" s="159"/>
      <c r="U172" s="159"/>
      <c r="V172" s="166">
        <f>+V95</f>
        <v>0</v>
      </c>
      <c r="W172" s="159"/>
      <c r="X172" s="5"/>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s="160" customFormat="1" ht="15.75" x14ac:dyDescent="0.25">
      <c r="A173" s="24"/>
      <c r="B173" s="159" t="s">
        <v>232</v>
      </c>
      <c r="C173" s="159"/>
      <c r="D173" s="159"/>
      <c r="E173" s="159"/>
      <c r="F173" s="159"/>
      <c r="G173" s="159"/>
      <c r="H173" s="159"/>
      <c r="I173" s="159"/>
      <c r="J173" s="159"/>
      <c r="K173" s="159"/>
      <c r="L173" s="159"/>
      <c r="M173" s="159"/>
      <c r="N173" s="159"/>
      <c r="O173" s="159"/>
      <c r="P173" s="159"/>
      <c r="Q173" s="159"/>
      <c r="R173" s="159"/>
      <c r="S173" s="159"/>
      <c r="T173" s="159"/>
      <c r="U173" s="159"/>
      <c r="V173" s="166">
        <f>+V171-V172</f>
        <v>0</v>
      </c>
      <c r="W173" s="159"/>
      <c r="X173" s="5"/>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s="163" customFormat="1" ht="16.5" thickBot="1" x14ac:dyDescent="0.3">
      <c r="A174" s="167"/>
      <c r="B174" s="161"/>
      <c r="C174" s="161"/>
      <c r="D174" s="161"/>
      <c r="E174" s="161"/>
      <c r="F174" s="161"/>
      <c r="G174" s="161"/>
      <c r="H174" s="161"/>
      <c r="I174" s="161"/>
      <c r="J174" s="161"/>
      <c r="K174" s="161"/>
      <c r="L174" s="161"/>
      <c r="M174" s="161"/>
      <c r="N174" s="161"/>
      <c r="O174" s="161"/>
      <c r="P174" s="161"/>
      <c r="Q174" s="161"/>
      <c r="R174" s="161"/>
      <c r="S174" s="161"/>
      <c r="T174" s="161"/>
      <c r="U174" s="161"/>
      <c r="V174" s="162"/>
      <c r="W174" s="161"/>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4" customFormat="1" ht="15.75" x14ac:dyDescent="0.25">
      <c r="A175" s="2"/>
      <c r="B175" s="4"/>
      <c r="C175" s="4"/>
      <c r="D175" s="4"/>
      <c r="E175" s="4"/>
      <c r="F175" s="4"/>
      <c r="G175" s="4"/>
      <c r="H175" s="4"/>
      <c r="I175" s="4"/>
      <c r="J175" s="4"/>
      <c r="K175" s="4"/>
      <c r="L175" s="4"/>
      <c r="M175" s="4"/>
      <c r="N175" s="4"/>
      <c r="O175" s="4"/>
      <c r="P175" s="4"/>
      <c r="Q175" s="4"/>
      <c r="R175" s="4"/>
      <c r="S175" s="4"/>
      <c r="T175" s="4"/>
      <c r="U175" s="4"/>
      <c r="V175" s="50"/>
      <c r="W175" s="4"/>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ht="15.75" x14ac:dyDescent="0.25">
      <c r="A176" s="6"/>
      <c r="B176" s="119" t="s">
        <v>56</v>
      </c>
      <c r="C176" s="8"/>
      <c r="D176" s="8"/>
      <c r="E176" s="8"/>
      <c r="F176" s="8"/>
      <c r="G176" s="8"/>
      <c r="H176" s="8"/>
      <c r="I176" s="8"/>
      <c r="J176" s="8"/>
      <c r="K176" s="8"/>
      <c r="L176" s="8"/>
      <c r="M176" s="8"/>
      <c r="N176" s="8"/>
      <c r="O176" s="8"/>
      <c r="P176" s="8"/>
      <c r="Q176" s="8"/>
      <c r="R176" s="8"/>
      <c r="S176" s="8"/>
      <c r="T176" s="8"/>
      <c r="U176" s="8"/>
      <c r="V176" s="52"/>
      <c r="W176" s="8"/>
      <c r="X176" s="5"/>
    </row>
    <row r="177" spans="1:24" ht="15.75" x14ac:dyDescent="0.25">
      <c r="A177" s="6"/>
      <c r="B177" s="21"/>
      <c r="C177" s="8"/>
      <c r="D177" s="8"/>
      <c r="E177" s="8"/>
      <c r="F177" s="8"/>
      <c r="G177" s="8"/>
      <c r="H177" s="8"/>
      <c r="I177" s="8"/>
      <c r="J177" s="8"/>
      <c r="K177" s="8"/>
      <c r="L177" s="8"/>
      <c r="M177" s="8"/>
      <c r="N177" s="8"/>
      <c r="O177" s="8"/>
      <c r="P177" s="8"/>
      <c r="Q177" s="8"/>
      <c r="R177" s="8"/>
      <c r="S177" s="8"/>
      <c r="T177" s="8"/>
      <c r="U177" s="8"/>
      <c r="V177" s="52"/>
      <c r="W177" s="8"/>
      <c r="X177" s="5"/>
    </row>
    <row r="178" spans="1:24" ht="15.75" x14ac:dyDescent="0.25">
      <c r="A178" s="24"/>
      <c r="B178" s="25" t="s">
        <v>57</v>
      </c>
      <c r="C178" s="25"/>
      <c r="D178" s="25"/>
      <c r="E178" s="25"/>
      <c r="F178" s="25"/>
      <c r="G178" s="25"/>
      <c r="H178" s="25"/>
      <c r="I178" s="25"/>
      <c r="J178" s="25"/>
      <c r="K178" s="25"/>
      <c r="L178" s="25"/>
      <c r="M178" s="25"/>
      <c r="N178" s="25"/>
      <c r="O178" s="25"/>
      <c r="P178" s="25"/>
      <c r="Q178" s="25"/>
      <c r="R178" s="25"/>
      <c r="S178" s="25"/>
      <c r="T178" s="25"/>
      <c r="U178" s="25"/>
      <c r="V178" s="53">
        <f>V72</f>
        <v>904807</v>
      </c>
      <c r="W178" s="25"/>
      <c r="X178" s="5"/>
    </row>
    <row r="179" spans="1:24" ht="15.75" x14ac:dyDescent="0.25">
      <c r="A179" s="24"/>
      <c r="B179" s="25" t="s">
        <v>58</v>
      </c>
      <c r="C179" s="25"/>
      <c r="D179" s="25"/>
      <c r="E179" s="25"/>
      <c r="F179" s="25"/>
      <c r="G179" s="25"/>
      <c r="H179" s="25"/>
      <c r="I179" s="25"/>
      <c r="J179" s="25"/>
      <c r="K179" s="25"/>
      <c r="L179" s="25"/>
      <c r="M179" s="25"/>
      <c r="N179" s="25"/>
      <c r="O179" s="25"/>
      <c r="P179" s="25"/>
      <c r="Q179" s="25"/>
      <c r="R179" s="25"/>
      <c r="S179" s="25"/>
      <c r="T179" s="25"/>
      <c r="U179" s="25"/>
      <c r="V179" s="53">
        <f>V85</f>
        <v>904807</v>
      </c>
      <c r="W179" s="25"/>
      <c r="X179" s="5"/>
    </row>
    <row r="180" spans="1:24" ht="16.5" thickBot="1" x14ac:dyDescent="0.3">
      <c r="A180" s="24"/>
      <c r="B180" s="25"/>
      <c r="C180" s="25"/>
      <c r="D180" s="25"/>
      <c r="E180" s="25"/>
      <c r="F180" s="25"/>
      <c r="G180" s="25"/>
      <c r="H180" s="25"/>
      <c r="I180" s="25"/>
      <c r="J180" s="25"/>
      <c r="K180" s="25"/>
      <c r="L180" s="25"/>
      <c r="M180" s="25"/>
      <c r="N180" s="25"/>
      <c r="O180" s="25"/>
      <c r="P180" s="25"/>
      <c r="Q180" s="25"/>
      <c r="R180" s="25"/>
      <c r="S180" s="25"/>
      <c r="T180" s="25"/>
      <c r="U180" s="25"/>
      <c r="V180" s="61"/>
      <c r="W180" s="25"/>
      <c r="X180" s="5"/>
    </row>
    <row r="181" spans="1:24" ht="15.75" x14ac:dyDescent="0.25">
      <c r="A181" s="2"/>
      <c r="B181" s="4"/>
      <c r="C181" s="4"/>
      <c r="D181" s="4"/>
      <c r="E181" s="4"/>
      <c r="F181" s="4"/>
      <c r="G181" s="4"/>
      <c r="H181" s="4"/>
      <c r="I181" s="4"/>
      <c r="J181" s="4"/>
      <c r="K181" s="4"/>
      <c r="L181" s="4"/>
      <c r="M181" s="4"/>
      <c r="N181" s="4"/>
      <c r="O181" s="4"/>
      <c r="P181" s="4"/>
      <c r="Q181" s="4"/>
      <c r="R181" s="4"/>
      <c r="S181" s="4"/>
      <c r="T181" s="4"/>
      <c r="U181" s="4"/>
      <c r="V181" s="50"/>
      <c r="W181" s="4"/>
      <c r="X181" s="5"/>
    </row>
    <row r="182" spans="1:24" ht="15.75" x14ac:dyDescent="0.25">
      <c r="A182" s="6"/>
      <c r="B182" s="119" t="s">
        <v>59</v>
      </c>
      <c r="C182" s="117"/>
      <c r="D182" s="117"/>
      <c r="E182" s="117"/>
      <c r="F182" s="117"/>
      <c r="G182" s="117"/>
      <c r="H182" s="120"/>
      <c r="I182" s="120"/>
      <c r="J182" s="120"/>
      <c r="K182" s="120"/>
      <c r="L182" s="120"/>
      <c r="M182" s="120"/>
      <c r="N182" s="120"/>
      <c r="O182" s="120"/>
      <c r="P182" s="120"/>
      <c r="Q182" s="120"/>
      <c r="R182" s="120"/>
      <c r="S182" s="120" t="s">
        <v>101</v>
      </c>
      <c r="T182" s="120" t="s">
        <v>176</v>
      </c>
      <c r="U182" s="111"/>
      <c r="V182" s="121" t="s">
        <v>114</v>
      </c>
      <c r="W182" s="10"/>
      <c r="X182" s="5"/>
    </row>
    <row r="183" spans="1:24" ht="15.75" x14ac:dyDescent="0.25">
      <c r="A183" s="24"/>
      <c r="B183" s="25" t="s">
        <v>60</v>
      </c>
      <c r="C183" s="25"/>
      <c r="D183" s="25"/>
      <c r="E183" s="25"/>
      <c r="F183" s="25"/>
      <c r="G183" s="25"/>
      <c r="H183" s="25"/>
      <c r="I183" s="25"/>
      <c r="J183" s="25"/>
      <c r="K183" s="25"/>
      <c r="L183" s="25"/>
      <c r="M183" s="25"/>
      <c r="N183" s="25"/>
      <c r="O183" s="25"/>
      <c r="P183" s="25"/>
      <c r="Q183" s="25"/>
      <c r="R183" s="25"/>
      <c r="S183" s="53">
        <f>+V34*0.16</f>
        <v>160181.28</v>
      </c>
      <c r="T183" s="40"/>
      <c r="U183" s="25"/>
      <c r="V183" s="53"/>
      <c r="W183" s="25"/>
      <c r="X183" s="5"/>
    </row>
    <row r="184" spans="1:24" ht="15.75" x14ac:dyDescent="0.25">
      <c r="A184" s="24"/>
      <c r="B184" s="25" t="s">
        <v>61</v>
      </c>
      <c r="C184" s="25"/>
      <c r="D184" s="25"/>
      <c r="E184" s="25"/>
      <c r="F184" s="25"/>
      <c r="G184" s="25"/>
      <c r="H184" s="25"/>
      <c r="I184" s="25"/>
      <c r="J184" s="25"/>
      <c r="K184" s="25"/>
      <c r="L184" s="25"/>
      <c r="M184" s="25"/>
      <c r="N184" s="25"/>
      <c r="O184" s="25"/>
      <c r="P184" s="25"/>
      <c r="Q184" s="25"/>
      <c r="R184" s="25"/>
      <c r="S184" s="53">
        <f>+'Aug 08'!S186</f>
        <v>7757</v>
      </c>
      <c r="T184" s="53">
        <f>+'Aug 08'!T186</f>
        <v>5673</v>
      </c>
      <c r="U184" s="25"/>
      <c r="V184" s="53">
        <f>S184+T184</f>
        <v>13430</v>
      </c>
      <c r="W184" s="25"/>
      <c r="X184" s="5"/>
    </row>
    <row r="185" spans="1:24" ht="15.75" x14ac:dyDescent="0.25">
      <c r="A185" s="24"/>
      <c r="B185" s="25" t="s">
        <v>62</v>
      </c>
      <c r="C185" s="25"/>
      <c r="D185" s="25"/>
      <c r="E185" s="25"/>
      <c r="F185" s="25"/>
      <c r="G185" s="25"/>
      <c r="H185" s="25"/>
      <c r="I185" s="25"/>
      <c r="J185" s="25"/>
      <c r="K185" s="25"/>
      <c r="L185" s="25"/>
      <c r="M185" s="25"/>
      <c r="N185" s="25"/>
      <c r="O185" s="25"/>
      <c r="P185" s="25"/>
      <c r="Q185" s="25"/>
      <c r="R185" s="25"/>
      <c r="S185" s="34">
        <f>303+189</f>
        <v>492</v>
      </c>
      <c r="T185" s="34">
        <v>157</v>
      </c>
      <c r="U185" s="25"/>
      <c r="V185" s="53">
        <f>S185+T185</f>
        <v>649</v>
      </c>
      <c r="W185" s="25"/>
      <c r="X185" s="5"/>
    </row>
    <row r="186" spans="1:24" ht="15.75" x14ac:dyDescent="0.25">
      <c r="A186" s="24"/>
      <c r="B186" s="25" t="s">
        <v>63</v>
      </c>
      <c r="C186" s="25"/>
      <c r="D186" s="25"/>
      <c r="E186" s="25"/>
      <c r="F186" s="25"/>
      <c r="G186" s="25"/>
      <c r="H186" s="25"/>
      <c r="I186" s="25"/>
      <c r="J186" s="25"/>
      <c r="K186" s="25"/>
      <c r="L186" s="25"/>
      <c r="M186" s="25"/>
      <c r="N186" s="25"/>
      <c r="O186" s="25"/>
      <c r="P186" s="25"/>
      <c r="Q186" s="25"/>
      <c r="R186" s="25"/>
      <c r="S186" s="53">
        <f>S184+S185</f>
        <v>8249</v>
      </c>
      <c r="T186" s="53">
        <f>T185+T184</f>
        <v>5830</v>
      </c>
      <c r="U186" s="25"/>
      <c r="V186" s="53">
        <f>S186+T186</f>
        <v>14079</v>
      </c>
      <c r="W186" s="25"/>
      <c r="X186" s="5"/>
    </row>
    <row r="187" spans="1:24" ht="15.75" x14ac:dyDescent="0.25">
      <c r="A187" s="24"/>
      <c r="B187" s="25" t="s">
        <v>64</v>
      </c>
      <c r="C187" s="25"/>
      <c r="D187" s="25"/>
      <c r="E187" s="25"/>
      <c r="F187" s="25"/>
      <c r="G187" s="25"/>
      <c r="H187" s="25"/>
      <c r="I187" s="25"/>
      <c r="J187" s="25"/>
      <c r="K187" s="25"/>
      <c r="L187" s="25"/>
      <c r="M187" s="25"/>
      <c r="N187" s="25"/>
      <c r="O187" s="25"/>
      <c r="P187" s="25"/>
      <c r="Q187" s="25"/>
      <c r="R187" s="25"/>
      <c r="S187" s="53">
        <f>S183-S186-T186</f>
        <v>146102.28</v>
      </c>
      <c r="T187" s="40"/>
      <c r="U187" s="25"/>
      <c r="V187" s="53"/>
      <c r="W187" s="25"/>
      <c r="X187" s="5"/>
    </row>
    <row r="188" spans="1:24" ht="16.5" thickBot="1" x14ac:dyDescent="0.3">
      <c r="A188" s="24"/>
      <c r="B188" s="25"/>
      <c r="C188" s="25"/>
      <c r="D188" s="25"/>
      <c r="E188" s="25"/>
      <c r="F188" s="25"/>
      <c r="G188" s="25"/>
      <c r="H188" s="25"/>
      <c r="I188" s="25"/>
      <c r="J188" s="25"/>
      <c r="K188" s="25"/>
      <c r="L188" s="25"/>
      <c r="M188" s="25"/>
      <c r="N188" s="25"/>
      <c r="O188" s="25"/>
      <c r="P188" s="25"/>
      <c r="Q188" s="25"/>
      <c r="R188" s="25"/>
      <c r="S188" s="25"/>
      <c r="T188" s="25"/>
      <c r="U188" s="25"/>
      <c r="V188" s="61"/>
      <c r="W188" s="25"/>
      <c r="X188" s="5"/>
    </row>
    <row r="189" spans="1:24" ht="15.75" x14ac:dyDescent="0.25">
      <c r="A189" s="2"/>
      <c r="B189" s="4"/>
      <c r="C189" s="4"/>
      <c r="D189" s="4"/>
      <c r="E189" s="4"/>
      <c r="F189" s="4"/>
      <c r="G189" s="4"/>
      <c r="H189" s="4"/>
      <c r="I189" s="4"/>
      <c r="J189" s="4"/>
      <c r="K189" s="4"/>
      <c r="L189" s="4"/>
      <c r="M189" s="4"/>
      <c r="N189" s="4"/>
      <c r="O189" s="4"/>
      <c r="P189" s="4"/>
      <c r="Q189" s="4"/>
      <c r="R189" s="4"/>
      <c r="S189" s="4"/>
      <c r="T189" s="4"/>
      <c r="U189" s="4"/>
      <c r="V189" s="50"/>
      <c r="W189" s="4"/>
      <c r="X189" s="5"/>
    </row>
    <row r="190" spans="1:24" ht="15.75" x14ac:dyDescent="0.25">
      <c r="A190" s="6"/>
      <c r="B190" s="119" t="s">
        <v>65</v>
      </c>
      <c r="C190" s="8"/>
      <c r="D190" s="8"/>
      <c r="E190" s="8"/>
      <c r="F190" s="8"/>
      <c r="G190" s="8"/>
      <c r="H190" s="8"/>
      <c r="I190" s="8"/>
      <c r="J190" s="8"/>
      <c r="K190" s="8"/>
      <c r="L190" s="8"/>
      <c r="M190" s="8"/>
      <c r="N190" s="8"/>
      <c r="O190" s="8"/>
      <c r="P190" s="8"/>
      <c r="Q190" s="8"/>
      <c r="R190" s="8"/>
      <c r="S190" s="8"/>
      <c r="T190" s="8"/>
      <c r="U190" s="8"/>
      <c r="V190" s="65"/>
      <c r="W190" s="8"/>
      <c r="X190" s="5"/>
    </row>
    <row r="191" spans="1:24" ht="15.75" x14ac:dyDescent="0.25">
      <c r="A191" s="24"/>
      <c r="B191" s="25" t="s">
        <v>66</v>
      </c>
      <c r="C191" s="25"/>
      <c r="D191" s="25"/>
      <c r="E191" s="25"/>
      <c r="F191" s="25"/>
      <c r="G191" s="25"/>
      <c r="H191" s="25"/>
      <c r="I191" s="25"/>
      <c r="J191" s="25"/>
      <c r="K191" s="25"/>
      <c r="L191" s="25"/>
      <c r="M191" s="25"/>
      <c r="N191" s="25"/>
      <c r="O191" s="25"/>
      <c r="P191" s="25"/>
      <c r="Q191" s="25"/>
      <c r="R191" s="25"/>
      <c r="S191" s="25"/>
      <c r="T191" s="25"/>
      <c r="U191" s="25"/>
      <c r="V191" s="59">
        <f>(V102+V104+V105+V106+V107)/-(V108+V109)</f>
        <v>1.4270079435127978</v>
      </c>
      <c r="W191" s="25" t="s">
        <v>115</v>
      </c>
      <c r="X191" s="5"/>
    </row>
    <row r="192" spans="1:24" ht="15.75" x14ac:dyDescent="0.25">
      <c r="A192" s="24"/>
      <c r="B192" s="25" t="s">
        <v>67</v>
      </c>
      <c r="C192" s="25"/>
      <c r="D192" s="25"/>
      <c r="E192" s="25"/>
      <c r="F192" s="25"/>
      <c r="G192" s="25"/>
      <c r="H192" s="25"/>
      <c r="I192" s="25"/>
      <c r="J192" s="25"/>
      <c r="K192" s="25"/>
      <c r="L192" s="25"/>
      <c r="M192" s="25"/>
      <c r="N192" s="25"/>
      <c r="O192" s="25"/>
      <c r="P192" s="25"/>
      <c r="Q192" s="25"/>
      <c r="R192" s="25"/>
      <c r="S192" s="25"/>
      <c r="T192" s="25"/>
      <c r="U192" s="25"/>
      <c r="V192" s="66">
        <v>1.36</v>
      </c>
      <c r="W192" s="25" t="s">
        <v>115</v>
      </c>
      <c r="X192" s="5"/>
    </row>
    <row r="193" spans="1:24" ht="15.75" x14ac:dyDescent="0.25">
      <c r="A193" s="24"/>
      <c r="B193" s="25" t="s">
        <v>68</v>
      </c>
      <c r="C193" s="25"/>
      <c r="D193" s="25"/>
      <c r="E193" s="25"/>
      <c r="F193" s="25"/>
      <c r="G193" s="25"/>
      <c r="H193" s="25"/>
      <c r="I193" s="25"/>
      <c r="J193" s="25"/>
      <c r="K193" s="25"/>
      <c r="L193" s="25"/>
      <c r="M193" s="25"/>
      <c r="N193" s="25"/>
      <c r="O193" s="25"/>
      <c r="P193" s="25"/>
      <c r="Q193" s="25"/>
      <c r="R193" s="25"/>
      <c r="S193" s="25"/>
      <c r="T193" s="25"/>
      <c r="U193" s="25"/>
      <c r="V193" s="59">
        <f>(V102+V104+V105+V106+V107+V108+V109)/-(V110+V111)</f>
        <v>4.3004444444444445</v>
      </c>
      <c r="W193" s="25" t="s">
        <v>115</v>
      </c>
      <c r="X193" s="5"/>
    </row>
    <row r="194" spans="1:24" ht="15.75" x14ac:dyDescent="0.25">
      <c r="A194" s="24"/>
      <c r="B194" s="25" t="s">
        <v>69</v>
      </c>
      <c r="C194" s="25"/>
      <c r="D194" s="25"/>
      <c r="E194" s="25"/>
      <c r="F194" s="25"/>
      <c r="G194" s="25"/>
      <c r="H194" s="25"/>
      <c r="I194" s="25"/>
      <c r="J194" s="25"/>
      <c r="K194" s="25"/>
      <c r="L194" s="25"/>
      <c r="M194" s="25"/>
      <c r="N194" s="25"/>
      <c r="O194" s="25"/>
      <c r="P194" s="25"/>
      <c r="Q194" s="25"/>
      <c r="R194" s="25"/>
      <c r="S194" s="25"/>
      <c r="T194" s="25"/>
      <c r="U194" s="25"/>
      <c r="V194" s="66">
        <v>3.88</v>
      </c>
      <c r="W194" s="25" t="s">
        <v>115</v>
      </c>
      <c r="X194" s="5"/>
    </row>
    <row r="195" spans="1:24" ht="15.75" x14ac:dyDescent="0.25">
      <c r="A195" s="24"/>
      <c r="B195" s="25" t="s">
        <v>198</v>
      </c>
      <c r="C195" s="25"/>
      <c r="D195" s="25"/>
      <c r="E195" s="25"/>
      <c r="F195" s="25"/>
      <c r="G195" s="25"/>
      <c r="H195" s="25"/>
      <c r="I195" s="25"/>
      <c r="J195" s="25"/>
      <c r="K195" s="25"/>
      <c r="L195" s="25"/>
      <c r="M195" s="25"/>
      <c r="N195" s="25"/>
      <c r="O195" s="25"/>
      <c r="P195" s="25"/>
      <c r="Q195" s="25"/>
      <c r="R195" s="25"/>
      <c r="S195" s="25"/>
      <c r="T195" s="25"/>
      <c r="U195" s="25"/>
      <c r="V195" s="59">
        <f>(V102+V104+V105+V106+V107+V108+V109+V110+V111)/-(V112)</f>
        <v>3.1359797297297298</v>
      </c>
      <c r="W195" s="25" t="s">
        <v>115</v>
      </c>
      <c r="X195" s="5"/>
    </row>
    <row r="196" spans="1:24" ht="15.75" x14ac:dyDescent="0.25">
      <c r="A196" s="24"/>
      <c r="B196" s="25" t="s">
        <v>199</v>
      </c>
      <c r="C196" s="25"/>
      <c r="D196" s="25"/>
      <c r="E196" s="25"/>
      <c r="F196" s="25"/>
      <c r="G196" s="25"/>
      <c r="H196" s="25"/>
      <c r="I196" s="25"/>
      <c r="J196" s="25"/>
      <c r="K196" s="25"/>
      <c r="L196" s="25"/>
      <c r="M196" s="25"/>
      <c r="N196" s="25"/>
      <c r="O196" s="25"/>
      <c r="P196" s="25"/>
      <c r="Q196" s="25"/>
      <c r="R196" s="25"/>
      <c r="S196" s="25"/>
      <c r="T196" s="25"/>
      <c r="U196" s="25"/>
      <c r="V196" s="66">
        <v>2.75</v>
      </c>
      <c r="W196" s="25" t="s">
        <v>115</v>
      </c>
      <c r="X196" s="5"/>
    </row>
    <row r="197" spans="1:24" ht="15.75" x14ac:dyDescent="0.25">
      <c r="A197" s="24"/>
      <c r="B197" s="25"/>
      <c r="C197" s="25"/>
      <c r="D197" s="25"/>
      <c r="E197" s="25"/>
      <c r="F197" s="25"/>
      <c r="G197" s="25"/>
      <c r="H197" s="25"/>
      <c r="I197" s="25"/>
      <c r="J197" s="25"/>
      <c r="K197" s="25"/>
      <c r="L197" s="25"/>
      <c r="M197" s="25"/>
      <c r="N197" s="25"/>
      <c r="O197" s="25"/>
      <c r="P197" s="25"/>
      <c r="Q197" s="25"/>
      <c r="R197" s="25"/>
      <c r="S197" s="25"/>
      <c r="T197" s="25"/>
      <c r="U197" s="25"/>
      <c r="V197" s="25"/>
      <c r="W197" s="25"/>
      <c r="X197" s="5"/>
    </row>
    <row r="198" spans="1:24" ht="15.75" x14ac:dyDescent="0.25">
      <c r="A198" s="24"/>
      <c r="B198" s="25"/>
      <c r="C198" s="25"/>
      <c r="D198" s="25"/>
      <c r="E198" s="25"/>
      <c r="F198" s="25"/>
      <c r="G198" s="25"/>
      <c r="H198" s="25"/>
      <c r="I198" s="25"/>
      <c r="J198" s="25"/>
      <c r="K198" s="25"/>
      <c r="L198" s="25"/>
      <c r="M198" s="25"/>
      <c r="N198" s="25"/>
      <c r="O198" s="25"/>
      <c r="P198" s="25"/>
      <c r="Q198" s="25"/>
      <c r="R198" s="25"/>
      <c r="S198" s="25"/>
      <c r="T198" s="25"/>
      <c r="U198" s="25"/>
      <c r="V198" s="25"/>
      <c r="W198" s="25"/>
      <c r="X198" s="5"/>
    </row>
    <row r="199" spans="1:24" ht="15.75" x14ac:dyDescent="0.25">
      <c r="A199" s="6"/>
      <c r="B199" s="8"/>
      <c r="C199" s="8"/>
      <c r="D199" s="8"/>
      <c r="E199" s="8"/>
      <c r="F199" s="8"/>
      <c r="G199" s="8"/>
      <c r="H199" s="8"/>
      <c r="I199" s="8"/>
      <c r="J199" s="8"/>
      <c r="K199" s="8"/>
      <c r="L199" s="8"/>
      <c r="M199" s="8"/>
      <c r="N199" s="8"/>
      <c r="O199" s="8"/>
      <c r="P199" s="8"/>
      <c r="Q199" s="8"/>
      <c r="R199" s="8"/>
      <c r="S199" s="8"/>
      <c r="T199" s="8"/>
      <c r="U199" s="8"/>
      <c r="V199" s="8"/>
      <c r="W199" s="8"/>
      <c r="X199" s="5"/>
    </row>
    <row r="200" spans="1:24" ht="19.5" thickBot="1" x14ac:dyDescent="0.35">
      <c r="A200" s="101"/>
      <c r="B200" s="102" t="str">
        <f>B135</f>
        <v>PM15 INVESTOR REPORT QUARTER ENDING NOVEMBER 2008</v>
      </c>
      <c r="C200" s="176"/>
      <c r="D200" s="176"/>
      <c r="E200" s="176"/>
      <c r="F200" s="176"/>
      <c r="G200" s="176"/>
      <c r="H200" s="176"/>
      <c r="I200" s="176"/>
      <c r="J200" s="176"/>
      <c r="K200" s="176"/>
      <c r="L200" s="176"/>
      <c r="M200" s="176"/>
      <c r="N200" s="176"/>
      <c r="O200" s="176"/>
      <c r="P200" s="176"/>
      <c r="Q200" s="176"/>
      <c r="R200" s="176"/>
      <c r="S200" s="176"/>
      <c r="T200" s="176"/>
      <c r="U200" s="176"/>
      <c r="V200" s="176"/>
      <c r="W200" s="177"/>
      <c r="X200" s="5"/>
    </row>
    <row r="201" spans="1:24" ht="15.75" x14ac:dyDescent="0.25">
      <c r="A201" s="67"/>
      <c r="B201" s="60" t="s">
        <v>70</v>
      </c>
      <c r="C201" s="68"/>
      <c r="D201" s="68"/>
      <c r="E201" s="68"/>
      <c r="F201" s="68"/>
      <c r="G201" s="69"/>
      <c r="H201" s="69"/>
      <c r="I201" s="69"/>
      <c r="J201" s="69"/>
      <c r="K201" s="69"/>
      <c r="L201" s="69"/>
      <c r="M201" s="69"/>
      <c r="N201" s="69"/>
      <c r="O201" s="69"/>
      <c r="P201" s="69"/>
      <c r="Q201" s="69"/>
      <c r="R201" s="69"/>
      <c r="S201" s="69"/>
      <c r="T201" s="70">
        <v>39780</v>
      </c>
      <c r="U201" s="4"/>
      <c r="V201" s="4"/>
      <c r="W201" s="4"/>
      <c r="X201" s="5"/>
    </row>
    <row r="202" spans="1:24" ht="15.75" x14ac:dyDescent="0.25">
      <c r="A202" s="71"/>
      <c r="B202" s="72"/>
      <c r="C202" s="73"/>
      <c r="D202" s="73"/>
      <c r="E202" s="73"/>
      <c r="F202" s="73"/>
      <c r="G202" s="74"/>
      <c r="H202" s="74"/>
      <c r="I202" s="74"/>
      <c r="J202" s="74"/>
      <c r="K202" s="74"/>
      <c r="L202" s="74"/>
      <c r="M202" s="74"/>
      <c r="N202" s="74"/>
      <c r="O202" s="74"/>
      <c r="P202" s="74"/>
      <c r="Q202" s="74"/>
      <c r="R202" s="74"/>
      <c r="S202" s="74"/>
      <c r="T202" s="74"/>
      <c r="U202" s="8"/>
      <c r="V202" s="8"/>
      <c r="W202" s="8"/>
      <c r="X202" s="5"/>
    </row>
    <row r="203" spans="1:24" ht="15.75" x14ac:dyDescent="0.25">
      <c r="A203" s="75"/>
      <c r="B203" s="76" t="s">
        <v>71</v>
      </c>
      <c r="C203" s="77"/>
      <c r="D203" s="77"/>
      <c r="E203" s="77"/>
      <c r="F203" s="77"/>
      <c r="G203" s="64"/>
      <c r="H203" s="64"/>
      <c r="I203" s="64"/>
      <c r="J203" s="64"/>
      <c r="K203" s="64"/>
      <c r="L203" s="64"/>
      <c r="M203" s="64"/>
      <c r="N203" s="64"/>
      <c r="O203" s="64"/>
      <c r="P203" s="64"/>
      <c r="Q203" s="64"/>
      <c r="R203" s="64"/>
      <c r="S203" s="64"/>
      <c r="T203" s="78">
        <v>5.3830000000000003E-2</v>
      </c>
      <c r="U203" s="25"/>
      <c r="V203" s="25"/>
      <c r="W203" s="25"/>
      <c r="X203" s="5"/>
    </row>
    <row r="204" spans="1:24" ht="15.75" x14ac:dyDescent="0.25">
      <c r="A204" s="75"/>
      <c r="B204" s="76" t="s">
        <v>151</v>
      </c>
      <c r="C204" s="77"/>
      <c r="D204" s="77"/>
      <c r="E204" s="77"/>
      <c r="F204" s="77"/>
      <c r="G204" s="64"/>
      <c r="H204" s="64"/>
      <c r="I204" s="64"/>
      <c r="J204" s="64"/>
      <c r="K204" s="64"/>
      <c r="L204" s="64"/>
      <c r="M204" s="64"/>
      <c r="N204" s="64"/>
      <c r="O204" s="64"/>
      <c r="P204" s="64"/>
      <c r="Q204" s="64"/>
      <c r="R204" s="64"/>
      <c r="S204" s="64"/>
      <c r="T204" s="39">
        <v>6.25E-2</v>
      </c>
      <c r="U204" s="25"/>
      <c r="V204" s="25"/>
      <c r="W204" s="25"/>
      <c r="X204" s="5"/>
    </row>
    <row r="205" spans="1:24" ht="15.75" x14ac:dyDescent="0.25">
      <c r="A205" s="75"/>
      <c r="B205" s="76" t="s">
        <v>72</v>
      </c>
      <c r="C205" s="77"/>
      <c r="D205" s="77"/>
      <c r="E205" s="77"/>
      <c r="F205" s="77"/>
      <c r="G205" s="64"/>
      <c r="H205" s="64"/>
      <c r="I205" s="64"/>
      <c r="J205" s="64"/>
      <c r="K205" s="64"/>
      <c r="L205" s="64"/>
      <c r="M205" s="64"/>
      <c r="N205" s="64"/>
      <c r="O205" s="64"/>
      <c r="P205" s="64"/>
      <c r="Q205" s="64"/>
      <c r="R205" s="64"/>
      <c r="S205" s="64"/>
      <c r="T205" s="78">
        <f>T203-T204</f>
        <v>-8.6699999999999972E-3</v>
      </c>
      <c r="U205" s="25"/>
      <c r="V205" s="25"/>
      <c r="W205" s="25"/>
      <c r="X205" s="5"/>
    </row>
    <row r="206" spans="1:24" ht="15.75" x14ac:dyDescent="0.25">
      <c r="A206" s="75"/>
      <c r="B206" s="76" t="s">
        <v>73</v>
      </c>
      <c r="C206" s="77"/>
      <c r="D206" s="77"/>
      <c r="E206" s="77"/>
      <c r="F206" s="77"/>
      <c r="G206" s="64"/>
      <c r="H206" s="64"/>
      <c r="I206" s="64"/>
      <c r="J206" s="64"/>
      <c r="K206" s="64"/>
      <c r="L206" s="64"/>
      <c r="M206" s="64"/>
      <c r="N206" s="64"/>
      <c r="O206" s="64"/>
      <c r="P206" s="64"/>
      <c r="Q206" s="64"/>
      <c r="R206" s="64"/>
      <c r="S206" s="64"/>
      <c r="T206" s="78">
        <v>5.7680000000000002E-2</v>
      </c>
      <c r="U206" s="25"/>
      <c r="V206" s="25"/>
      <c r="W206" s="25"/>
      <c r="X206" s="5"/>
    </row>
    <row r="207" spans="1:24" ht="15.75" x14ac:dyDescent="0.25">
      <c r="A207" s="75"/>
      <c r="B207" s="76" t="s">
        <v>218</v>
      </c>
      <c r="C207" s="77"/>
      <c r="D207" s="77"/>
      <c r="E207" s="77"/>
      <c r="F207" s="77"/>
      <c r="G207" s="64"/>
      <c r="H207" s="64"/>
      <c r="I207" s="64"/>
      <c r="J207" s="64"/>
      <c r="K207" s="64"/>
      <c r="L207" s="64"/>
      <c r="M207" s="64"/>
      <c r="N207" s="64"/>
      <c r="O207" s="64"/>
      <c r="P207" s="64"/>
      <c r="Q207" s="64"/>
      <c r="R207" s="64"/>
      <c r="S207" s="64"/>
      <c r="T207" s="78">
        <f>V43</f>
        <v>5.8888437900667459E-2</v>
      </c>
      <c r="U207" s="25"/>
      <c r="V207" s="25"/>
      <c r="W207" s="25"/>
      <c r="X207" s="5"/>
    </row>
    <row r="208" spans="1:24" ht="15.75" x14ac:dyDescent="0.25">
      <c r="A208" s="75"/>
      <c r="B208" s="76" t="s">
        <v>74</v>
      </c>
      <c r="C208" s="77"/>
      <c r="D208" s="77"/>
      <c r="E208" s="77"/>
      <c r="F208" s="77"/>
      <c r="G208" s="64"/>
      <c r="H208" s="64"/>
      <c r="I208" s="64"/>
      <c r="J208" s="64"/>
      <c r="K208" s="64"/>
      <c r="L208" s="64"/>
      <c r="M208" s="64"/>
      <c r="N208" s="64"/>
      <c r="O208" s="64"/>
      <c r="P208" s="64"/>
      <c r="Q208" s="64"/>
      <c r="R208" s="64"/>
      <c r="S208" s="64"/>
      <c r="T208" s="78">
        <f>T206-T207</f>
        <v>-1.208437900667457E-3</v>
      </c>
      <c r="U208" s="25"/>
      <c r="V208" s="25"/>
      <c r="W208" s="25"/>
      <c r="X208" s="5"/>
    </row>
    <row r="209" spans="1:24" ht="15.75" x14ac:dyDescent="0.25">
      <c r="A209" s="75"/>
      <c r="B209" s="76" t="s">
        <v>227</v>
      </c>
      <c r="C209" s="77"/>
      <c r="D209" s="77"/>
      <c r="E209" s="77"/>
      <c r="F209" s="77"/>
      <c r="G209" s="64"/>
      <c r="H209" s="64"/>
      <c r="I209" s="64"/>
      <c r="J209" s="64"/>
      <c r="K209" s="64"/>
      <c r="L209" s="64"/>
      <c r="M209" s="64"/>
      <c r="N209" s="64"/>
      <c r="O209" s="64"/>
      <c r="P209" s="64"/>
      <c r="Q209" s="64"/>
      <c r="R209" s="64"/>
      <c r="S209" s="64"/>
      <c r="T209" s="78">
        <f>V102/N72</f>
        <v>1.8106039975156803E-2</v>
      </c>
      <c r="U209" s="25"/>
      <c r="V209" s="25"/>
      <c r="W209" s="25"/>
      <c r="X209" s="5"/>
    </row>
    <row r="210" spans="1:24" ht="15.75" x14ac:dyDescent="0.25">
      <c r="A210" s="75"/>
      <c r="B210" s="76" t="s">
        <v>207</v>
      </c>
      <c r="C210" s="77"/>
      <c r="D210" s="77"/>
      <c r="E210" s="77"/>
      <c r="F210" s="77"/>
      <c r="G210" s="64"/>
      <c r="H210" s="64"/>
      <c r="I210" s="64"/>
      <c r="J210" s="64"/>
      <c r="K210" s="64"/>
      <c r="L210" s="64"/>
      <c r="M210" s="64"/>
      <c r="N210" s="64"/>
      <c r="O210" s="64"/>
      <c r="P210" s="64"/>
      <c r="Q210" s="64"/>
      <c r="R210" s="64"/>
      <c r="S210" s="64"/>
      <c r="T210" s="172">
        <v>51105</v>
      </c>
      <c r="U210" s="25"/>
      <c r="V210" s="25"/>
      <c r="W210" s="25"/>
      <c r="X210" s="5"/>
    </row>
    <row r="211" spans="1:24" ht="15.75" x14ac:dyDescent="0.25">
      <c r="A211" s="75"/>
      <c r="B211" s="76" t="s">
        <v>208</v>
      </c>
      <c r="C211" s="77"/>
      <c r="D211" s="77"/>
      <c r="E211" s="77"/>
      <c r="F211" s="77"/>
      <c r="G211" s="64"/>
      <c r="H211" s="64"/>
      <c r="I211" s="64"/>
      <c r="J211" s="64"/>
      <c r="K211" s="64"/>
      <c r="L211" s="64"/>
      <c r="M211" s="64"/>
      <c r="N211" s="64"/>
      <c r="O211" s="64"/>
      <c r="P211" s="64"/>
      <c r="Q211" s="64"/>
      <c r="R211" s="64"/>
      <c r="S211" s="64"/>
      <c r="T211" s="172">
        <v>51105</v>
      </c>
      <c r="U211" s="25"/>
      <c r="V211" s="25"/>
      <c r="W211" s="25"/>
      <c r="X211" s="5"/>
    </row>
    <row r="212" spans="1:24" ht="15.75" x14ac:dyDescent="0.25">
      <c r="A212" s="75"/>
      <c r="B212" s="76" t="s">
        <v>209</v>
      </c>
      <c r="C212" s="77"/>
      <c r="D212" s="77"/>
      <c r="E212" s="77"/>
      <c r="F212" s="77"/>
      <c r="G212" s="64"/>
      <c r="H212" s="64"/>
      <c r="I212" s="64"/>
      <c r="J212" s="64"/>
      <c r="K212" s="64"/>
      <c r="L212" s="64"/>
      <c r="M212" s="64"/>
      <c r="N212" s="64"/>
      <c r="O212" s="64"/>
      <c r="P212" s="64"/>
      <c r="Q212" s="64"/>
      <c r="R212" s="64"/>
      <c r="S212" s="64"/>
      <c r="T212" s="172">
        <v>51105</v>
      </c>
      <c r="U212" s="25"/>
      <c r="V212" s="25"/>
      <c r="W212" s="25"/>
      <c r="X212" s="5"/>
    </row>
    <row r="213" spans="1:24" ht="15.75" x14ac:dyDescent="0.25">
      <c r="A213" s="75"/>
      <c r="B213" s="76" t="s">
        <v>75</v>
      </c>
      <c r="C213" s="77"/>
      <c r="D213" s="77"/>
      <c r="E213" s="77"/>
      <c r="F213" s="77"/>
      <c r="G213" s="64"/>
      <c r="H213" s="64"/>
      <c r="I213" s="64"/>
      <c r="J213" s="64"/>
      <c r="K213" s="64"/>
      <c r="L213" s="64"/>
      <c r="M213" s="64"/>
      <c r="N213" s="64"/>
      <c r="O213" s="64"/>
      <c r="P213" s="64"/>
      <c r="Q213" s="64"/>
      <c r="R213" s="64"/>
      <c r="S213" s="64"/>
      <c r="T213" s="132">
        <v>21.06</v>
      </c>
      <c r="U213" s="25" t="s">
        <v>110</v>
      </c>
      <c r="V213" s="25"/>
      <c r="W213" s="25"/>
      <c r="X213" s="5"/>
    </row>
    <row r="214" spans="1:24" ht="15.75" x14ac:dyDescent="0.25">
      <c r="A214" s="75"/>
      <c r="B214" s="76" t="s">
        <v>76</v>
      </c>
      <c r="C214" s="77"/>
      <c r="D214" s="77"/>
      <c r="E214" s="77"/>
      <c r="F214" s="77"/>
      <c r="G214" s="64"/>
      <c r="H214" s="64"/>
      <c r="I214" s="64"/>
      <c r="J214" s="64"/>
      <c r="K214" s="64"/>
      <c r="L214" s="64"/>
      <c r="M214" s="64"/>
      <c r="N214" s="64"/>
      <c r="O214" s="64"/>
      <c r="P214" s="64"/>
      <c r="Q214" s="64"/>
      <c r="R214" s="64"/>
      <c r="S214" s="64"/>
      <c r="T214" s="132">
        <v>19.78</v>
      </c>
      <c r="U214" s="25" t="s">
        <v>110</v>
      </c>
      <c r="V214" s="25"/>
      <c r="W214" s="25"/>
      <c r="X214" s="5"/>
    </row>
    <row r="215" spans="1:24" ht="15.75" x14ac:dyDescent="0.25">
      <c r="A215" s="75"/>
      <c r="B215" s="76" t="s">
        <v>77</v>
      </c>
      <c r="C215" s="77"/>
      <c r="D215" s="77"/>
      <c r="E215" s="77"/>
      <c r="F215" s="77"/>
      <c r="G215" s="64"/>
      <c r="H215" s="64"/>
      <c r="I215" s="64"/>
      <c r="J215" s="64"/>
      <c r="K215" s="64"/>
      <c r="L215" s="64"/>
      <c r="M215" s="64"/>
      <c r="N215" s="64"/>
      <c r="O215" s="64"/>
      <c r="P215" s="64"/>
      <c r="Q215" s="64"/>
      <c r="R215" s="64"/>
      <c r="S215" s="64"/>
      <c r="T215" s="78">
        <f>+P69/N69</f>
        <v>2.6900186969808199E-2</v>
      </c>
      <c r="U215" s="25"/>
      <c r="V215" s="25"/>
      <c r="W215" s="25"/>
      <c r="X215" s="5"/>
    </row>
    <row r="216" spans="1:24" ht="15.75" x14ac:dyDescent="0.25">
      <c r="A216" s="75"/>
      <c r="B216" s="76" t="s">
        <v>78</v>
      </c>
      <c r="C216" s="77"/>
      <c r="D216" s="77"/>
      <c r="E216" s="77"/>
      <c r="F216" s="77"/>
      <c r="G216" s="64"/>
      <c r="H216" s="64"/>
      <c r="I216" s="64"/>
      <c r="J216" s="64"/>
      <c r="K216" s="64"/>
      <c r="L216" s="64"/>
      <c r="M216" s="64"/>
      <c r="N216" s="64"/>
      <c r="O216" s="64"/>
      <c r="P216" s="64"/>
      <c r="Q216" s="64"/>
      <c r="R216" s="64"/>
      <c r="S216" s="64"/>
      <c r="T216" s="78">
        <v>7.7100000000000002E-2</v>
      </c>
      <c r="U216" s="25"/>
      <c r="V216" s="25"/>
      <c r="W216" s="25"/>
      <c r="X216" s="5"/>
    </row>
    <row r="217" spans="1:24" ht="15.75" x14ac:dyDescent="0.25">
      <c r="A217" s="75"/>
      <c r="B217" s="76"/>
      <c r="C217" s="76"/>
      <c r="D217" s="76"/>
      <c r="E217" s="76"/>
      <c r="F217" s="76"/>
      <c r="G217" s="25"/>
      <c r="H217" s="25"/>
      <c r="I217" s="25"/>
      <c r="J217" s="25"/>
      <c r="K217" s="25"/>
      <c r="L217" s="25"/>
      <c r="M217" s="25"/>
      <c r="N217" s="25"/>
      <c r="O217" s="25"/>
      <c r="P217" s="25"/>
      <c r="Q217" s="25"/>
      <c r="R217" s="25"/>
      <c r="S217" s="25"/>
      <c r="T217" s="61"/>
      <c r="U217" s="25"/>
      <c r="V217" s="79"/>
      <c r="W217" s="25"/>
      <c r="X217" s="5"/>
    </row>
    <row r="218" spans="1:24" ht="15.75" x14ac:dyDescent="0.25">
      <c r="A218" s="80"/>
      <c r="B218" s="14" t="s">
        <v>79</v>
      </c>
      <c r="C218" s="81"/>
      <c r="D218" s="81"/>
      <c r="E218" s="81"/>
      <c r="F218" s="82"/>
      <c r="G218" s="81"/>
      <c r="H218" s="17"/>
      <c r="I218" s="17"/>
      <c r="J218" s="17"/>
      <c r="K218" s="17"/>
      <c r="L218" s="17"/>
      <c r="M218" s="17"/>
      <c r="N218" s="17"/>
      <c r="O218" s="17"/>
      <c r="P218" s="17"/>
      <c r="Q218" s="17"/>
      <c r="R218" s="17"/>
      <c r="S218" s="17" t="s">
        <v>102</v>
      </c>
      <c r="T218" s="83" t="s">
        <v>108</v>
      </c>
      <c r="U218" s="8"/>
      <c r="V218" s="8"/>
      <c r="W218" s="8"/>
      <c r="X218" s="5"/>
    </row>
    <row r="219" spans="1:24" ht="15.75" x14ac:dyDescent="0.25">
      <c r="A219" s="84"/>
      <c r="B219" s="76" t="s">
        <v>80</v>
      </c>
      <c r="C219" s="54"/>
      <c r="D219" s="54"/>
      <c r="E219" s="54"/>
      <c r="F219" s="25"/>
      <c r="G219" s="25"/>
      <c r="H219" s="30"/>
      <c r="I219" s="30"/>
      <c r="J219" s="30"/>
      <c r="K219" s="30"/>
      <c r="L219" s="30"/>
      <c r="M219" s="30"/>
      <c r="N219" s="30"/>
      <c r="O219" s="30"/>
      <c r="P219" s="30"/>
      <c r="Q219" s="30"/>
      <c r="R219" s="30"/>
      <c r="S219" s="30">
        <v>3</v>
      </c>
      <c r="T219" s="85">
        <v>486</v>
      </c>
      <c r="U219" s="25"/>
      <c r="V219" s="79"/>
      <c r="W219" s="86"/>
      <c r="X219" s="5"/>
    </row>
    <row r="220" spans="1:24" ht="15.75" x14ac:dyDescent="0.25">
      <c r="A220" s="84"/>
      <c r="B220" s="76" t="s">
        <v>145</v>
      </c>
      <c r="C220" s="54"/>
      <c r="D220" s="54"/>
      <c r="E220" s="54"/>
      <c r="F220" s="25"/>
      <c r="G220" s="25"/>
      <c r="H220" s="30"/>
      <c r="I220" s="30"/>
      <c r="J220" s="30"/>
      <c r="K220" s="30"/>
      <c r="L220" s="30"/>
      <c r="M220" s="30"/>
      <c r="N220" s="30"/>
      <c r="O220" s="30"/>
      <c r="P220" s="30"/>
      <c r="Q220" s="30"/>
      <c r="R220" s="30"/>
      <c r="S220" s="148">
        <f>+R260</f>
        <v>83</v>
      </c>
      <c r="T220" s="85">
        <f>+T260</f>
        <v>13075</v>
      </c>
      <c r="U220" s="25"/>
      <c r="V220" s="79"/>
      <c r="W220" s="86"/>
      <c r="X220" s="5"/>
    </row>
    <row r="221" spans="1:24" ht="15.75" x14ac:dyDescent="0.25">
      <c r="A221" s="84"/>
      <c r="B221" s="76" t="s">
        <v>81</v>
      </c>
      <c r="C221" s="54"/>
      <c r="D221" s="54"/>
      <c r="E221" s="54"/>
      <c r="F221" s="25"/>
      <c r="G221" s="25"/>
      <c r="H221" s="30"/>
      <c r="I221" s="30"/>
      <c r="J221" s="30"/>
      <c r="K221" s="30"/>
      <c r="L221" s="30"/>
      <c r="M221" s="30"/>
      <c r="N221" s="30"/>
      <c r="O221" s="30"/>
      <c r="P221" s="30"/>
      <c r="Q221" s="30"/>
      <c r="R221" s="30"/>
      <c r="S221" s="30">
        <v>0</v>
      </c>
      <c r="T221" s="85">
        <v>0</v>
      </c>
      <c r="U221" s="25"/>
      <c r="V221" s="79"/>
      <c r="W221" s="86"/>
      <c r="X221" s="5"/>
    </row>
    <row r="222" spans="1:24" ht="15.75" x14ac:dyDescent="0.25">
      <c r="A222" s="84"/>
      <c r="B222" s="122" t="s">
        <v>82</v>
      </c>
      <c r="C222" s="54"/>
      <c r="D222" s="54"/>
      <c r="E222" s="54"/>
      <c r="F222" s="25"/>
      <c r="G222" s="25"/>
      <c r="H222" s="25"/>
      <c r="I222" s="25"/>
      <c r="J222" s="25"/>
      <c r="K222" s="25"/>
      <c r="L222" s="25"/>
      <c r="M222" s="25"/>
      <c r="N222" s="25"/>
      <c r="O222" s="25"/>
      <c r="P222" s="25"/>
      <c r="Q222" s="25"/>
      <c r="R222" s="25"/>
      <c r="S222" s="25"/>
      <c r="T222" s="85">
        <v>0</v>
      </c>
      <c r="U222" s="25"/>
      <c r="V222" s="79"/>
      <c r="W222" s="86"/>
      <c r="X222" s="5"/>
    </row>
    <row r="223" spans="1:24" ht="15.75" x14ac:dyDescent="0.25">
      <c r="A223" s="84"/>
      <c r="B223" s="122" t="s">
        <v>228</v>
      </c>
      <c r="C223" s="54"/>
      <c r="D223" s="54"/>
      <c r="E223" s="54"/>
      <c r="F223" s="25"/>
      <c r="G223" s="25"/>
      <c r="H223" s="25"/>
      <c r="I223" s="25"/>
      <c r="J223" s="25"/>
      <c r="K223" s="25"/>
      <c r="L223" s="25"/>
      <c r="M223" s="25"/>
      <c r="N223" s="25"/>
      <c r="O223" s="25"/>
      <c r="P223" s="25"/>
      <c r="Q223" s="25"/>
      <c r="R223" s="25"/>
      <c r="S223" s="25"/>
      <c r="T223" s="85">
        <f>+N82</f>
        <v>0</v>
      </c>
      <c r="U223" s="25"/>
      <c r="V223" s="79"/>
      <c r="W223" s="86"/>
      <c r="X223" s="5"/>
    </row>
    <row r="224" spans="1:24" ht="15.75" x14ac:dyDescent="0.25">
      <c r="A224" s="87"/>
      <c r="B224" s="122" t="s">
        <v>83</v>
      </c>
      <c r="C224" s="76"/>
      <c r="D224" s="76"/>
      <c r="E224" s="76"/>
      <c r="F224" s="76"/>
      <c r="G224" s="25"/>
      <c r="H224" s="25"/>
      <c r="I224" s="25"/>
      <c r="J224" s="25"/>
      <c r="K224" s="25"/>
      <c r="L224" s="25"/>
      <c r="M224" s="25"/>
      <c r="N224" s="25"/>
      <c r="O224" s="25"/>
      <c r="P224" s="25"/>
      <c r="Q224" s="25"/>
      <c r="R224" s="25"/>
      <c r="S224" s="25"/>
      <c r="T224" s="85"/>
      <c r="U224" s="25"/>
      <c r="V224" s="79"/>
      <c r="W224" s="88"/>
      <c r="X224" s="5"/>
    </row>
    <row r="225" spans="1:25" ht="15.75" x14ac:dyDescent="0.25">
      <c r="A225" s="87"/>
      <c r="B225" s="130" t="s">
        <v>84</v>
      </c>
      <c r="C225" s="76"/>
      <c r="D225" s="76"/>
      <c r="E225" s="76"/>
      <c r="F225" s="76"/>
      <c r="G225" s="25"/>
      <c r="H225" s="25"/>
      <c r="I225" s="25"/>
      <c r="J225" s="25"/>
      <c r="K225" s="25"/>
      <c r="L225" s="25"/>
      <c r="M225" s="25"/>
      <c r="N225" s="25"/>
      <c r="O225" s="25"/>
      <c r="P225" s="25"/>
      <c r="Q225" s="25"/>
      <c r="R225" s="25"/>
      <c r="S225" s="30"/>
      <c r="T225" s="85">
        <f>V164</f>
        <v>14</v>
      </c>
      <c r="U225" s="25"/>
      <c r="V225" s="79"/>
      <c r="W225" s="88"/>
      <c r="X225" s="5"/>
    </row>
    <row r="226" spans="1:25" ht="15.75" x14ac:dyDescent="0.25">
      <c r="A226" s="84"/>
      <c r="B226" s="76" t="s">
        <v>85</v>
      </c>
      <c r="C226" s="54"/>
      <c r="D226" s="54"/>
      <c r="E226" s="54"/>
      <c r="F226" s="54"/>
      <c r="G226" s="25"/>
      <c r="H226" s="25"/>
      <c r="I226" s="25"/>
      <c r="J226" s="25"/>
      <c r="K226" s="25"/>
      <c r="L226" s="25"/>
      <c r="M226" s="25"/>
      <c r="N226" s="25"/>
      <c r="O226" s="25"/>
      <c r="P226" s="25"/>
      <c r="Q226" s="25"/>
      <c r="R226" s="25"/>
      <c r="S226" s="30"/>
      <c r="T226" s="85">
        <f>+'Aug 08'!T226+T225</f>
        <v>125</v>
      </c>
      <c r="U226" s="25"/>
      <c r="V226" s="79"/>
      <c r="W226" s="88"/>
      <c r="X226" s="5"/>
    </row>
    <row r="227" spans="1:25" ht="15.75" x14ac:dyDescent="0.25">
      <c r="A227" s="87"/>
      <c r="B227" s="122" t="s">
        <v>285</v>
      </c>
      <c r="C227" s="76"/>
      <c r="D227" s="76"/>
      <c r="E227" s="76"/>
      <c r="F227" s="76"/>
      <c r="G227" s="25"/>
      <c r="H227" s="25"/>
      <c r="I227" s="25"/>
      <c r="J227" s="25"/>
      <c r="K227" s="25"/>
      <c r="L227" s="25"/>
      <c r="M227" s="25"/>
      <c r="N227" s="25"/>
      <c r="O227" s="25"/>
      <c r="P227" s="25"/>
      <c r="Q227" s="25"/>
      <c r="R227" s="25"/>
      <c r="S227" s="30"/>
      <c r="T227" s="85"/>
      <c r="U227" s="25"/>
      <c r="V227" s="79"/>
      <c r="W227" s="88"/>
      <c r="X227" s="5"/>
    </row>
    <row r="228" spans="1:25" ht="15.75" x14ac:dyDescent="0.25">
      <c r="A228" s="87"/>
      <c r="B228" s="76" t="s">
        <v>282</v>
      </c>
      <c r="C228" s="76"/>
      <c r="D228" s="76"/>
      <c r="E228" s="76"/>
      <c r="F228" s="76"/>
      <c r="G228" s="25"/>
      <c r="H228" s="25"/>
      <c r="I228" s="25"/>
      <c r="J228" s="25"/>
      <c r="K228" s="25"/>
      <c r="L228" s="25"/>
      <c r="M228" s="25"/>
      <c r="N228" s="25"/>
      <c r="O228" s="25"/>
      <c r="P228" s="25"/>
      <c r="Q228" s="25"/>
      <c r="R228" s="25"/>
      <c r="S228" s="30">
        <v>0</v>
      </c>
      <c r="T228" s="85">
        <v>0</v>
      </c>
      <c r="U228" s="25"/>
      <c r="V228" s="79"/>
      <c r="W228" s="88"/>
      <c r="X228" s="5"/>
    </row>
    <row r="229" spans="1:25" ht="15.75" x14ac:dyDescent="0.25">
      <c r="A229" s="84"/>
      <c r="B229" s="76" t="s">
        <v>86</v>
      </c>
      <c r="C229" s="89"/>
      <c r="D229" s="89"/>
      <c r="E229" s="89"/>
      <c r="F229" s="90"/>
      <c r="G229" s="25"/>
      <c r="H229" s="25"/>
      <c r="I229" s="25"/>
      <c r="J229" s="25"/>
      <c r="K229" s="25"/>
      <c r="L229" s="25"/>
      <c r="M229" s="25"/>
      <c r="N229" s="25"/>
      <c r="O229" s="25"/>
      <c r="P229" s="25"/>
      <c r="Q229" s="25"/>
      <c r="R229" s="25"/>
      <c r="S229" s="25"/>
      <c r="T229" s="62">
        <v>0</v>
      </c>
      <c r="U229" s="25"/>
      <c r="V229" s="79"/>
      <c r="W229" s="88"/>
      <c r="X229" s="5"/>
    </row>
    <row r="230" spans="1:25" ht="15.75" x14ac:dyDescent="0.25">
      <c r="A230" s="84"/>
      <c r="B230" s="76" t="s">
        <v>87</v>
      </c>
      <c r="C230" s="89"/>
      <c r="D230" s="89"/>
      <c r="E230" s="89"/>
      <c r="F230" s="90"/>
      <c r="G230" s="25"/>
      <c r="H230" s="25"/>
      <c r="I230" s="25"/>
      <c r="J230" s="25"/>
      <c r="K230" s="25"/>
      <c r="L230" s="25"/>
      <c r="M230" s="25"/>
      <c r="N230" s="25"/>
      <c r="O230" s="25"/>
      <c r="P230" s="25"/>
      <c r="Q230" s="25"/>
      <c r="R230" s="25"/>
      <c r="S230" s="25"/>
      <c r="T230" s="62">
        <v>0</v>
      </c>
      <c r="U230" s="25"/>
      <c r="V230" s="79"/>
      <c r="W230" s="88"/>
      <c r="X230" s="5"/>
    </row>
    <row r="231" spans="1:25" ht="15.75" x14ac:dyDescent="0.25">
      <c r="A231" s="84"/>
      <c r="B231" s="122" t="s">
        <v>216</v>
      </c>
      <c r="C231" s="89"/>
      <c r="D231" s="89"/>
      <c r="E231" s="89"/>
      <c r="F231" s="90"/>
      <c r="G231" s="25"/>
      <c r="H231" s="25"/>
      <c r="I231" s="25"/>
      <c r="J231" s="25"/>
      <c r="K231" s="25"/>
      <c r="L231" s="25"/>
      <c r="M231" s="25"/>
      <c r="N231" s="25"/>
      <c r="O231" s="25"/>
      <c r="P231" s="25"/>
      <c r="Q231" s="25"/>
      <c r="R231" s="25"/>
      <c r="S231" s="25"/>
      <c r="T231" s="91"/>
      <c r="U231" s="25"/>
      <c r="V231" s="79"/>
      <c r="W231" s="88"/>
      <c r="X231" s="5"/>
    </row>
    <row r="232" spans="1:25" ht="15.75" x14ac:dyDescent="0.25">
      <c r="A232" s="84"/>
      <c r="B232" s="76" t="s">
        <v>282</v>
      </c>
      <c r="C232" s="89"/>
      <c r="D232" s="89"/>
      <c r="E232" s="89"/>
      <c r="F232" s="90"/>
      <c r="G232" s="25"/>
      <c r="H232" s="25"/>
      <c r="I232" s="25"/>
      <c r="J232" s="25"/>
      <c r="K232" s="25"/>
      <c r="L232" s="25"/>
      <c r="M232" s="25"/>
      <c r="N232" s="25"/>
      <c r="O232" s="25"/>
      <c r="P232" s="25"/>
      <c r="Q232" s="25"/>
      <c r="R232" s="25"/>
      <c r="S232" s="30">
        <v>1</v>
      </c>
      <c r="T232" s="85">
        <v>137</v>
      </c>
      <c r="U232" s="25"/>
      <c r="V232" s="79"/>
      <c r="W232" s="88"/>
      <c r="X232" s="5"/>
    </row>
    <row r="233" spans="1:25" ht="15.75" x14ac:dyDescent="0.25">
      <c r="A233" s="84"/>
      <c r="B233" s="76" t="s">
        <v>217</v>
      </c>
      <c r="C233" s="89"/>
      <c r="D233" s="89"/>
      <c r="E233" s="89"/>
      <c r="F233" s="90"/>
      <c r="G233" s="25"/>
      <c r="H233" s="25"/>
      <c r="I233" s="25"/>
      <c r="J233" s="25"/>
      <c r="K233" s="25"/>
      <c r="L233" s="25"/>
      <c r="M233" s="25"/>
      <c r="N233" s="25"/>
      <c r="O233" s="25"/>
      <c r="P233" s="25"/>
      <c r="Q233" s="25"/>
      <c r="R233" s="25"/>
      <c r="S233" s="25"/>
      <c r="T233" s="62">
        <v>5.04</v>
      </c>
      <c r="U233" s="25"/>
      <c r="V233" s="79"/>
      <c r="W233" s="88"/>
      <c r="X233" s="5"/>
    </row>
    <row r="234" spans="1:25" ht="15.75" x14ac:dyDescent="0.25">
      <c r="A234" s="84"/>
      <c r="B234" s="76"/>
      <c r="C234" s="89"/>
      <c r="D234" s="89"/>
      <c r="E234" s="89"/>
      <c r="F234" s="90"/>
      <c r="G234" s="25"/>
      <c r="H234" s="25"/>
      <c r="I234" s="25"/>
      <c r="J234" s="25"/>
      <c r="K234" s="25"/>
      <c r="L234" s="25"/>
      <c r="M234" s="25"/>
      <c r="N234" s="25"/>
      <c r="O234" s="25"/>
      <c r="P234" s="25"/>
      <c r="Q234" s="25"/>
      <c r="R234" s="25"/>
      <c r="S234" s="25"/>
      <c r="T234" s="91"/>
      <c r="U234" s="25"/>
      <c r="V234" s="79"/>
      <c r="W234" s="88"/>
      <c r="X234" s="5"/>
    </row>
    <row r="235" spans="1:25" ht="15.75" x14ac:dyDescent="0.25">
      <c r="A235" s="84"/>
      <c r="B235" s="76"/>
      <c r="C235" s="89"/>
      <c r="D235" s="89"/>
      <c r="E235" s="89"/>
      <c r="F235" s="90"/>
      <c r="G235" s="25"/>
      <c r="H235" s="25"/>
      <c r="I235" s="25"/>
      <c r="J235" s="25"/>
      <c r="K235" s="25"/>
      <c r="L235" s="25"/>
      <c r="M235" s="25"/>
      <c r="N235" s="25"/>
      <c r="O235" s="25"/>
      <c r="P235" s="25"/>
      <c r="Q235" s="25"/>
      <c r="R235" s="25"/>
      <c r="S235" s="25"/>
      <c r="T235" s="91"/>
      <c r="U235" s="25"/>
      <c r="V235" s="79"/>
      <c r="W235" s="88"/>
      <c r="X235" s="5"/>
    </row>
    <row r="236" spans="1:25" ht="18.75" x14ac:dyDescent="0.3">
      <c r="A236" s="84"/>
      <c r="B236" s="146" t="s">
        <v>168</v>
      </c>
      <c r="C236" s="89"/>
      <c r="D236" s="89"/>
      <c r="E236" s="89"/>
      <c r="F236" s="90"/>
      <c r="G236" s="25"/>
      <c r="H236" s="25"/>
      <c r="I236" s="25"/>
      <c r="J236" s="25"/>
      <c r="K236" s="25"/>
      <c r="L236" s="25"/>
      <c r="M236" s="25"/>
      <c r="N236" s="25"/>
      <c r="O236" s="25"/>
      <c r="P236" s="147" t="s">
        <v>167</v>
      </c>
      <c r="Q236" s="25"/>
      <c r="R236" s="25"/>
      <c r="S236" s="25"/>
      <c r="T236" s="91"/>
      <c r="U236" s="25"/>
      <c r="V236" s="79"/>
      <c r="W236" s="88"/>
      <c r="X236" s="5"/>
    </row>
    <row r="237" spans="1:25" ht="15.75" x14ac:dyDescent="0.25">
      <c r="A237" s="84"/>
      <c r="B237" s="76"/>
      <c r="C237" s="89"/>
      <c r="D237" s="89"/>
      <c r="E237" s="89"/>
      <c r="F237" s="90"/>
      <c r="G237" s="25"/>
      <c r="H237" s="25"/>
      <c r="I237" s="25"/>
      <c r="J237" s="25"/>
      <c r="K237" s="25"/>
      <c r="L237" s="25"/>
      <c r="M237" s="25"/>
      <c r="N237" s="25"/>
      <c r="O237" s="25"/>
      <c r="P237" s="25"/>
      <c r="Q237" s="25"/>
      <c r="R237" s="25"/>
      <c r="S237" s="25"/>
      <c r="T237" s="91"/>
      <c r="U237" s="25"/>
      <c r="V237" s="79"/>
      <c r="W237" s="88"/>
      <c r="X237" s="5"/>
    </row>
    <row r="238" spans="1:25" ht="15.75" x14ac:dyDescent="0.25">
      <c r="A238" s="6"/>
      <c r="B238" s="14" t="s">
        <v>162</v>
      </c>
      <c r="C238" s="81"/>
      <c r="D238" s="81"/>
      <c r="E238" s="81"/>
      <c r="F238" s="82"/>
      <c r="G238" s="81"/>
      <c r="H238" s="17"/>
      <c r="I238" s="17"/>
      <c r="J238" s="17"/>
      <c r="K238" s="17"/>
      <c r="L238" s="17"/>
      <c r="M238" s="17"/>
      <c r="N238" s="17"/>
      <c r="O238" s="17"/>
      <c r="P238" s="17"/>
      <c r="Q238" s="17"/>
      <c r="R238" s="83" t="s">
        <v>102</v>
      </c>
      <c r="S238" s="17" t="s">
        <v>103</v>
      </c>
      <c r="T238" s="83" t="s">
        <v>109</v>
      </c>
      <c r="U238" s="17" t="s">
        <v>103</v>
      </c>
      <c r="V238" s="8"/>
      <c r="W238" s="92"/>
      <c r="X238" s="5"/>
    </row>
    <row r="239" spans="1:25" ht="15.75" x14ac:dyDescent="0.25">
      <c r="A239" s="24"/>
      <c r="B239" s="54" t="s">
        <v>88</v>
      </c>
      <c r="C239" s="93"/>
      <c r="D239" s="93"/>
      <c r="E239" s="93"/>
      <c r="F239" s="25"/>
      <c r="G239" s="93"/>
      <c r="H239" s="93"/>
      <c r="I239" s="93"/>
      <c r="J239" s="93"/>
      <c r="K239" s="93"/>
      <c r="L239" s="93"/>
      <c r="M239" s="93"/>
      <c r="N239" s="93"/>
      <c r="O239" s="93"/>
      <c r="P239" s="93"/>
      <c r="Q239" s="93"/>
      <c r="R239" s="54">
        <v>6034</v>
      </c>
      <c r="S239" s="94">
        <f t="shared" ref="S239:S246" si="1">R239/$R$248</f>
        <v>0.98385781835969344</v>
      </c>
      <c r="T239" s="53">
        <v>876554</v>
      </c>
      <c r="U239" s="131">
        <f t="shared" ref="U239:U246" si="2">T239/$T$248</f>
        <v>0.98297919105740295</v>
      </c>
      <c r="V239" s="79"/>
      <c r="W239" s="88"/>
      <c r="X239" s="5"/>
    </row>
    <row r="240" spans="1:25" ht="15.75" x14ac:dyDescent="0.25">
      <c r="A240" s="24"/>
      <c r="B240" s="54" t="s">
        <v>89</v>
      </c>
      <c r="C240" s="93"/>
      <c r="D240" s="93"/>
      <c r="E240" s="93"/>
      <c r="F240" s="25"/>
      <c r="G240" s="94"/>
      <c r="H240" s="93"/>
      <c r="I240" s="93"/>
      <c r="J240" s="93"/>
      <c r="K240" s="93"/>
      <c r="L240" s="93"/>
      <c r="M240" s="93"/>
      <c r="N240" s="93"/>
      <c r="O240" s="93"/>
      <c r="P240" s="93"/>
      <c r="Q240" s="93"/>
      <c r="R240" s="54">
        <v>52</v>
      </c>
      <c r="S240" s="94">
        <f t="shared" si="1"/>
        <v>8.478721669655959E-3</v>
      </c>
      <c r="T240" s="53">
        <v>8373</v>
      </c>
      <c r="U240" s="131">
        <f t="shared" si="2"/>
        <v>9.3895923887446012E-3</v>
      </c>
      <c r="V240" s="79"/>
      <c r="W240" s="88"/>
      <c r="X240" s="5"/>
      <c r="Y240" s="109"/>
    </row>
    <row r="241" spans="1:25" ht="15.75" x14ac:dyDescent="0.25">
      <c r="A241" s="24"/>
      <c r="B241" s="54" t="s">
        <v>90</v>
      </c>
      <c r="C241" s="93"/>
      <c r="D241" s="93"/>
      <c r="E241" s="93"/>
      <c r="F241" s="25"/>
      <c r="G241" s="94"/>
      <c r="H241" s="93"/>
      <c r="I241" s="93"/>
      <c r="J241" s="93"/>
      <c r="K241" s="93"/>
      <c r="L241" s="93"/>
      <c r="M241" s="93"/>
      <c r="N241" s="93"/>
      <c r="O241" s="93"/>
      <c r="P241" s="93"/>
      <c r="Q241" s="93"/>
      <c r="R241" s="54">
        <v>36</v>
      </c>
      <c r="S241" s="94">
        <f t="shared" si="1"/>
        <v>5.869884232838741E-3</v>
      </c>
      <c r="T241" s="53">
        <v>4876</v>
      </c>
      <c r="U241" s="131">
        <f t="shared" si="2"/>
        <v>5.4680105681976197E-3</v>
      </c>
      <c r="V241" s="79"/>
      <c r="W241" s="88"/>
      <c r="X241" s="5"/>
    </row>
    <row r="242" spans="1:25" ht="15.75" x14ac:dyDescent="0.25">
      <c r="A242" s="24"/>
      <c r="B242" s="54" t="s">
        <v>156</v>
      </c>
      <c r="C242" s="93"/>
      <c r="D242" s="93"/>
      <c r="E242" s="93"/>
      <c r="F242" s="25"/>
      <c r="G242" s="94"/>
      <c r="H242" s="93"/>
      <c r="I242" s="93"/>
      <c r="J242" s="93"/>
      <c r="K242" s="93"/>
      <c r="L242" s="93"/>
      <c r="M242" s="93"/>
      <c r="N242" s="93"/>
      <c r="O242" s="93"/>
      <c r="P242" s="93"/>
      <c r="Q242" s="93"/>
      <c r="R242" s="54">
        <v>9</v>
      </c>
      <c r="S242" s="94">
        <f t="shared" si="1"/>
        <v>1.4674710582096853E-3</v>
      </c>
      <c r="T242" s="53">
        <v>1690</v>
      </c>
      <c r="U242" s="131">
        <f t="shared" si="2"/>
        <v>1.895188240413039E-3</v>
      </c>
      <c r="V242" s="79"/>
      <c r="W242" s="88"/>
      <c r="X242" s="5"/>
      <c r="Y242" s="109"/>
    </row>
    <row r="243" spans="1:25" ht="15.75" x14ac:dyDescent="0.25">
      <c r="A243" s="24"/>
      <c r="B243" s="54" t="s">
        <v>157</v>
      </c>
      <c r="C243" s="93"/>
      <c r="D243" s="93"/>
      <c r="E243" s="93"/>
      <c r="F243" s="25"/>
      <c r="G243" s="94"/>
      <c r="H243" s="93"/>
      <c r="I243" s="93"/>
      <c r="J243" s="93"/>
      <c r="K243" s="93"/>
      <c r="L243" s="93"/>
      <c r="M243" s="93"/>
      <c r="N243" s="93"/>
      <c r="O243" s="93"/>
      <c r="P243" s="93"/>
      <c r="Q243" s="93"/>
      <c r="R243" s="54">
        <v>1</v>
      </c>
      <c r="S243" s="94">
        <f t="shared" si="1"/>
        <v>1.6305233980107615E-4</v>
      </c>
      <c r="T243" s="53">
        <v>122</v>
      </c>
      <c r="U243" s="131">
        <f t="shared" si="2"/>
        <v>1.3681240552094128E-4</v>
      </c>
      <c r="V243" s="79"/>
      <c r="W243" s="88"/>
      <c r="X243" s="5"/>
    </row>
    <row r="244" spans="1:25" ht="15.75" x14ac:dyDescent="0.25">
      <c r="A244" s="24"/>
      <c r="B244" s="54" t="s">
        <v>158</v>
      </c>
      <c r="C244" s="93"/>
      <c r="D244" s="93"/>
      <c r="E244" s="93"/>
      <c r="F244" s="25"/>
      <c r="G244" s="94"/>
      <c r="H244" s="93"/>
      <c r="I244" s="93"/>
      <c r="J244" s="93"/>
      <c r="K244" s="93"/>
      <c r="L244" s="93"/>
      <c r="M244" s="93"/>
      <c r="N244" s="93"/>
      <c r="O244" s="93"/>
      <c r="P244" s="93"/>
      <c r="Q244" s="93"/>
      <c r="R244" s="54">
        <v>0</v>
      </c>
      <c r="S244" s="94">
        <f t="shared" si="1"/>
        <v>0</v>
      </c>
      <c r="T244" s="53">
        <v>0</v>
      </c>
      <c r="U244" s="131">
        <f t="shared" si="2"/>
        <v>0</v>
      </c>
      <c r="V244" s="79"/>
      <c r="W244" s="88"/>
      <c r="X244" s="5"/>
      <c r="Y244" s="109"/>
    </row>
    <row r="245" spans="1:25" ht="15.75" x14ac:dyDescent="0.25">
      <c r="A245" s="24"/>
      <c r="B245" s="54" t="s">
        <v>159</v>
      </c>
      <c r="C245" s="93"/>
      <c r="D245" s="93"/>
      <c r="E245" s="93"/>
      <c r="F245" s="25"/>
      <c r="G245" s="94"/>
      <c r="H245" s="93"/>
      <c r="I245" s="93"/>
      <c r="J245" s="93"/>
      <c r="K245" s="93"/>
      <c r="L245" s="93"/>
      <c r="M245" s="93"/>
      <c r="N245" s="93"/>
      <c r="O245" s="93"/>
      <c r="P245" s="93"/>
      <c r="Q245" s="93"/>
      <c r="R245" s="54">
        <v>1</v>
      </c>
      <c r="S245" s="94">
        <f t="shared" si="1"/>
        <v>1.6305233980107615E-4</v>
      </c>
      <c r="T245" s="53">
        <v>117</v>
      </c>
      <c r="U245" s="131">
        <f t="shared" si="2"/>
        <v>1.3120533972090268E-4</v>
      </c>
      <c r="V245" s="79"/>
      <c r="W245" s="88"/>
      <c r="X245" s="5"/>
    </row>
    <row r="246" spans="1:25" ht="15.75" x14ac:dyDescent="0.25">
      <c r="A246" s="24"/>
      <c r="B246" s="54" t="s">
        <v>160</v>
      </c>
      <c r="C246" s="93"/>
      <c r="D246" s="93"/>
      <c r="E246" s="93"/>
      <c r="F246" s="25"/>
      <c r="G246" s="94"/>
      <c r="H246" s="93"/>
      <c r="I246" s="93"/>
      <c r="J246" s="93"/>
      <c r="K246" s="93"/>
      <c r="L246" s="93"/>
      <c r="M246" s="93"/>
      <c r="N246" s="93"/>
      <c r="O246" s="93"/>
      <c r="P246" s="93"/>
      <c r="Q246" s="93"/>
      <c r="R246" s="54">
        <v>0</v>
      </c>
      <c r="S246" s="94">
        <f t="shared" si="1"/>
        <v>0</v>
      </c>
      <c r="T246" s="53">
        <v>0</v>
      </c>
      <c r="U246" s="131">
        <f t="shared" si="2"/>
        <v>0</v>
      </c>
      <c r="V246" s="79"/>
      <c r="W246" s="88"/>
      <c r="X246" s="5"/>
      <c r="Y246" s="109"/>
    </row>
    <row r="247" spans="1:25" ht="15.75" x14ac:dyDescent="0.25">
      <c r="A247" s="24"/>
      <c r="B247" s="54"/>
      <c r="C247" s="93"/>
      <c r="D247" s="93"/>
      <c r="E247" s="93"/>
      <c r="F247" s="25"/>
      <c r="G247" s="94"/>
      <c r="H247" s="93"/>
      <c r="I247" s="93"/>
      <c r="J247" s="93"/>
      <c r="K247" s="93"/>
      <c r="L247" s="93"/>
      <c r="M247" s="93"/>
      <c r="N247" s="93"/>
      <c r="O247" s="93"/>
      <c r="P247" s="93"/>
      <c r="Q247" s="93"/>
      <c r="R247" s="54"/>
      <c r="S247" s="94"/>
      <c r="T247" s="53"/>
      <c r="U247" s="131"/>
      <c r="V247" s="79"/>
      <c r="W247" s="88"/>
      <c r="X247" s="5"/>
    </row>
    <row r="248" spans="1:25" ht="15.75" x14ac:dyDescent="0.25">
      <c r="A248" s="24"/>
      <c r="B248" s="25"/>
      <c r="C248" s="25"/>
      <c r="D248" s="25"/>
      <c r="E248" s="25"/>
      <c r="F248" s="25"/>
      <c r="G248" s="25"/>
      <c r="H248" s="95"/>
      <c r="I248" s="95"/>
      <c r="J248" s="95"/>
      <c r="K248" s="95"/>
      <c r="L248" s="95"/>
      <c r="M248" s="95"/>
      <c r="N248" s="95"/>
      <c r="O248" s="95"/>
      <c r="P248" s="95"/>
      <c r="Q248" s="95"/>
      <c r="R248" s="34">
        <f>SUM(R239:R247)</f>
        <v>6133</v>
      </c>
      <c r="S248" s="131">
        <f>SUM(S239:S247)</f>
        <v>0.99999999999999989</v>
      </c>
      <c r="T248" s="53">
        <f>SUM(T239:T247)</f>
        <v>891732</v>
      </c>
      <c r="U248" s="131">
        <f>SUM(U239:U247)</f>
        <v>1</v>
      </c>
      <c r="V248" s="25"/>
      <c r="W248" s="25"/>
      <c r="X248" s="5"/>
    </row>
    <row r="249" spans="1:25" ht="15.75" x14ac:dyDescent="0.25">
      <c r="A249" s="24"/>
      <c r="B249" s="25"/>
      <c r="C249" s="25"/>
      <c r="D249" s="25"/>
      <c r="E249" s="25"/>
      <c r="F249" s="25"/>
      <c r="G249" s="25"/>
      <c r="H249" s="95"/>
      <c r="I249" s="95"/>
      <c r="J249" s="95"/>
      <c r="K249" s="95"/>
      <c r="L249" s="95"/>
      <c r="M249" s="95"/>
      <c r="N249" s="95"/>
      <c r="O249" s="95"/>
      <c r="P249" s="95"/>
      <c r="Q249" s="95"/>
      <c r="R249" s="34"/>
      <c r="S249" s="131"/>
      <c r="T249" s="53"/>
      <c r="U249" s="131"/>
      <c r="V249" s="25"/>
      <c r="W249" s="25"/>
      <c r="X249" s="5"/>
    </row>
    <row r="250" spans="1:25" ht="15.75" x14ac:dyDescent="0.25">
      <c r="A250" s="138"/>
      <c r="B250" s="14" t="s">
        <v>236</v>
      </c>
      <c r="C250" s="81"/>
      <c r="D250" s="81"/>
      <c r="E250" s="81"/>
      <c r="F250" s="82"/>
      <c r="G250" s="81"/>
      <c r="H250" s="17"/>
      <c r="I250" s="17"/>
      <c r="J250" s="17"/>
      <c r="K250" s="17"/>
      <c r="L250" s="17"/>
      <c r="M250" s="17"/>
      <c r="N250" s="17"/>
      <c r="O250" s="17"/>
      <c r="P250" s="17"/>
      <c r="Q250" s="17"/>
      <c r="R250" s="83" t="s">
        <v>102</v>
      </c>
      <c r="S250" s="17" t="s">
        <v>103</v>
      </c>
      <c r="T250" s="83" t="s">
        <v>109</v>
      </c>
      <c r="U250" s="17" t="s">
        <v>103</v>
      </c>
      <c r="V250" s="136"/>
      <c r="W250" s="137"/>
      <c r="X250" s="5"/>
    </row>
    <row r="251" spans="1:25" ht="15.75" x14ac:dyDescent="0.25">
      <c r="A251" s="24"/>
      <c r="B251" s="54" t="s">
        <v>88</v>
      </c>
      <c r="C251" s="93"/>
      <c r="D251" s="93"/>
      <c r="E251" s="93"/>
      <c r="F251" s="25"/>
      <c r="G251" s="93"/>
      <c r="H251" s="93"/>
      <c r="I251" s="93"/>
      <c r="J251" s="93"/>
      <c r="K251" s="93"/>
      <c r="L251" s="93"/>
      <c r="M251" s="93"/>
      <c r="N251" s="93"/>
      <c r="O251" s="93"/>
      <c r="P251" s="93"/>
      <c r="Q251" s="93"/>
      <c r="R251" s="54">
        <v>4</v>
      </c>
      <c r="S251" s="94">
        <f t="shared" ref="S251:S258" si="3">R251/$R$260</f>
        <v>4.8192771084337352E-2</v>
      </c>
      <c r="T251" s="53">
        <v>640</v>
      </c>
      <c r="U251" s="131">
        <f t="shared" ref="U251:U258" si="4">T251/$T$260</f>
        <v>4.8948374760994263E-2</v>
      </c>
      <c r="V251" s="25"/>
      <c r="W251" s="25"/>
      <c r="X251" s="5"/>
    </row>
    <row r="252" spans="1:25" ht="15.75" x14ac:dyDescent="0.25">
      <c r="A252" s="24"/>
      <c r="B252" s="54" t="s">
        <v>89</v>
      </c>
      <c r="C252" s="93"/>
      <c r="D252" s="93"/>
      <c r="E252" s="93"/>
      <c r="F252" s="25"/>
      <c r="G252" s="94"/>
      <c r="H252" s="93"/>
      <c r="I252" s="93"/>
      <c r="J252" s="93"/>
      <c r="K252" s="93"/>
      <c r="L252" s="93"/>
      <c r="M252" s="93"/>
      <c r="N252" s="93"/>
      <c r="O252" s="93"/>
      <c r="P252" s="93"/>
      <c r="Q252" s="93"/>
      <c r="R252" s="54">
        <v>6</v>
      </c>
      <c r="S252" s="94">
        <f t="shared" si="3"/>
        <v>7.2289156626506021E-2</v>
      </c>
      <c r="T252" s="53">
        <v>640</v>
      </c>
      <c r="U252" s="131">
        <f t="shared" si="4"/>
        <v>4.8948374760994263E-2</v>
      </c>
      <c r="V252" s="25"/>
      <c r="W252" s="25"/>
      <c r="X252" s="5"/>
    </row>
    <row r="253" spans="1:25" ht="15.75" x14ac:dyDescent="0.25">
      <c r="A253" s="24"/>
      <c r="B253" s="54" t="s">
        <v>90</v>
      </c>
      <c r="C253" s="93"/>
      <c r="D253" s="93"/>
      <c r="E253" s="93"/>
      <c r="F253" s="25"/>
      <c r="G253" s="94"/>
      <c r="H253" s="93"/>
      <c r="I253" s="93"/>
      <c r="J253" s="93"/>
      <c r="K253" s="93"/>
      <c r="L253" s="93"/>
      <c r="M253" s="93"/>
      <c r="N253" s="93"/>
      <c r="O253" s="93"/>
      <c r="P253" s="93"/>
      <c r="Q253" s="93"/>
      <c r="R253" s="54">
        <v>26</v>
      </c>
      <c r="S253" s="94">
        <f t="shared" si="3"/>
        <v>0.31325301204819278</v>
      </c>
      <c r="T253" s="53">
        <v>4180</v>
      </c>
      <c r="U253" s="131">
        <f t="shared" si="4"/>
        <v>0.3196940726577438</v>
      </c>
      <c r="V253" s="25"/>
      <c r="W253" s="25"/>
      <c r="X253" s="5"/>
    </row>
    <row r="254" spans="1:25" ht="15.75" x14ac:dyDescent="0.25">
      <c r="A254" s="24"/>
      <c r="B254" s="54" t="s">
        <v>156</v>
      </c>
      <c r="C254" s="93"/>
      <c r="D254" s="93"/>
      <c r="E254" s="93"/>
      <c r="F254" s="25"/>
      <c r="G254" s="94"/>
      <c r="H254" s="93"/>
      <c r="I254" s="93"/>
      <c r="J254" s="93"/>
      <c r="K254" s="93"/>
      <c r="L254" s="93"/>
      <c r="M254" s="93"/>
      <c r="N254" s="93"/>
      <c r="O254" s="93"/>
      <c r="P254" s="93"/>
      <c r="Q254" s="93"/>
      <c r="R254" s="54">
        <v>8</v>
      </c>
      <c r="S254" s="94">
        <f t="shared" si="3"/>
        <v>9.6385542168674704E-2</v>
      </c>
      <c r="T254" s="53">
        <v>1683</v>
      </c>
      <c r="U254" s="131">
        <f t="shared" si="4"/>
        <v>0.12871892925430212</v>
      </c>
      <c r="V254" s="25"/>
      <c r="W254" s="25"/>
      <c r="X254" s="5"/>
    </row>
    <row r="255" spans="1:25" ht="15.75" x14ac:dyDescent="0.25">
      <c r="A255" s="24"/>
      <c r="B255" s="54" t="s">
        <v>157</v>
      </c>
      <c r="C255" s="93"/>
      <c r="D255" s="93"/>
      <c r="E255" s="93"/>
      <c r="F255" s="25"/>
      <c r="G255" s="94"/>
      <c r="H255" s="93"/>
      <c r="I255" s="93"/>
      <c r="J255" s="93"/>
      <c r="K255" s="93"/>
      <c r="L255" s="93"/>
      <c r="M255" s="93"/>
      <c r="N255" s="93"/>
      <c r="O255" s="93"/>
      <c r="P255" s="93"/>
      <c r="Q255" s="93"/>
      <c r="R255" s="54">
        <v>14</v>
      </c>
      <c r="S255" s="94">
        <f t="shared" si="3"/>
        <v>0.16867469879518071</v>
      </c>
      <c r="T255" s="53">
        <v>2559</v>
      </c>
      <c r="U255" s="131">
        <f t="shared" si="4"/>
        <v>0.195717017208413</v>
      </c>
      <c r="V255" s="25"/>
      <c r="W255" s="25"/>
      <c r="X255" s="5"/>
    </row>
    <row r="256" spans="1:25" ht="15.75" x14ac:dyDescent="0.25">
      <c r="A256" s="24"/>
      <c r="B256" s="54" t="s">
        <v>158</v>
      </c>
      <c r="C256" s="93"/>
      <c r="D256" s="93"/>
      <c r="E256" s="93"/>
      <c r="F256" s="25"/>
      <c r="G256" s="94"/>
      <c r="H256" s="93"/>
      <c r="I256" s="93"/>
      <c r="J256" s="93"/>
      <c r="K256" s="93"/>
      <c r="L256" s="93"/>
      <c r="M256" s="93"/>
      <c r="N256" s="93"/>
      <c r="O256" s="93"/>
      <c r="P256" s="93"/>
      <c r="Q256" s="93"/>
      <c r="R256" s="54">
        <v>8</v>
      </c>
      <c r="S256" s="94">
        <f t="shared" si="3"/>
        <v>9.6385542168674704E-2</v>
      </c>
      <c r="T256" s="53">
        <v>1301</v>
      </c>
      <c r="U256" s="131">
        <f t="shared" si="4"/>
        <v>9.9502868068833655E-2</v>
      </c>
      <c r="V256" s="25"/>
      <c r="W256" s="25"/>
      <c r="X256" s="5"/>
    </row>
    <row r="257" spans="1:24" ht="15.75" x14ac:dyDescent="0.25">
      <c r="A257" s="24"/>
      <c r="B257" s="54" t="s">
        <v>159</v>
      </c>
      <c r="C257" s="93"/>
      <c r="D257" s="93"/>
      <c r="E257" s="93"/>
      <c r="F257" s="25"/>
      <c r="G257" s="94"/>
      <c r="H257" s="93"/>
      <c r="I257" s="93"/>
      <c r="J257" s="93"/>
      <c r="K257" s="93"/>
      <c r="L257" s="93"/>
      <c r="M257" s="93"/>
      <c r="N257" s="93"/>
      <c r="O257" s="93"/>
      <c r="P257" s="93"/>
      <c r="Q257" s="93"/>
      <c r="R257" s="54">
        <v>11</v>
      </c>
      <c r="S257" s="94">
        <f t="shared" si="3"/>
        <v>0.13253012048192772</v>
      </c>
      <c r="T257" s="53">
        <v>1236</v>
      </c>
      <c r="U257" s="131">
        <f t="shared" si="4"/>
        <v>9.4531548757170167E-2</v>
      </c>
      <c r="V257" s="25"/>
      <c r="W257" s="25"/>
      <c r="X257" s="5"/>
    </row>
    <row r="258" spans="1:24" ht="15.75" x14ac:dyDescent="0.25">
      <c r="A258" s="24"/>
      <c r="B258" s="54" t="s">
        <v>160</v>
      </c>
      <c r="C258" s="93"/>
      <c r="D258" s="93"/>
      <c r="E258" s="93"/>
      <c r="F258" s="25"/>
      <c r="G258" s="94"/>
      <c r="H258" s="93"/>
      <c r="I258" s="93"/>
      <c r="J258" s="93"/>
      <c r="K258" s="93"/>
      <c r="L258" s="93"/>
      <c r="M258" s="93"/>
      <c r="N258" s="93"/>
      <c r="O258" s="93"/>
      <c r="P258" s="93"/>
      <c r="Q258" s="93"/>
      <c r="R258" s="54">
        <v>6</v>
      </c>
      <c r="S258" s="94">
        <f t="shared" si="3"/>
        <v>7.2289156626506021E-2</v>
      </c>
      <c r="T258" s="53">
        <v>836</v>
      </c>
      <c r="U258" s="131">
        <f t="shared" si="4"/>
        <v>6.393881453154876E-2</v>
      </c>
      <c r="V258" s="25"/>
      <c r="W258" s="25"/>
      <c r="X258" s="5"/>
    </row>
    <row r="259" spans="1:24" ht="15.75" x14ac:dyDescent="0.25">
      <c r="A259" s="24"/>
      <c r="B259" s="54"/>
      <c r="C259" s="93"/>
      <c r="D259" s="93"/>
      <c r="E259" s="93"/>
      <c r="F259" s="25"/>
      <c r="G259" s="94"/>
      <c r="H259" s="93"/>
      <c r="I259" s="93"/>
      <c r="J259" s="93"/>
      <c r="K259" s="93"/>
      <c r="L259" s="93"/>
      <c r="M259" s="93"/>
      <c r="N259" s="93"/>
      <c r="O259" s="93"/>
      <c r="P259" s="93"/>
      <c r="Q259" s="93"/>
      <c r="R259" s="54"/>
      <c r="S259" s="94"/>
      <c r="T259" s="53"/>
      <c r="U259" s="131"/>
      <c r="V259" s="25"/>
      <c r="W259" s="25"/>
      <c r="X259" s="5"/>
    </row>
    <row r="260" spans="1:24" ht="15.75" x14ac:dyDescent="0.25">
      <c r="A260" s="24"/>
      <c r="B260" s="25"/>
      <c r="C260" s="25"/>
      <c r="D260" s="25"/>
      <c r="E260" s="25"/>
      <c r="F260" s="25"/>
      <c r="G260" s="25"/>
      <c r="H260" s="95"/>
      <c r="I260" s="95"/>
      <c r="J260" s="95"/>
      <c r="K260" s="95"/>
      <c r="L260" s="95"/>
      <c r="M260" s="95"/>
      <c r="N260" s="95"/>
      <c r="O260" s="95"/>
      <c r="P260" s="95"/>
      <c r="Q260" s="95"/>
      <c r="R260" s="34">
        <f>SUM(R251:R259)</f>
        <v>83</v>
      </c>
      <c r="S260" s="131">
        <f>SUM(S251:S259)</f>
        <v>1</v>
      </c>
      <c r="T260" s="53">
        <f>SUM(T251:T259)</f>
        <v>13075</v>
      </c>
      <c r="U260" s="131">
        <f>SUM(U251:U259)</f>
        <v>1.0000000000000002</v>
      </c>
      <c r="V260" s="25"/>
      <c r="W260" s="25"/>
      <c r="X260" s="5"/>
    </row>
    <row r="261" spans="1:24" ht="15.75" x14ac:dyDescent="0.25">
      <c r="A261" s="24"/>
      <c r="B261" s="25"/>
      <c r="C261" s="25"/>
      <c r="D261" s="25"/>
      <c r="E261" s="25"/>
      <c r="F261" s="25"/>
      <c r="G261" s="25"/>
      <c r="H261" s="95"/>
      <c r="I261" s="95"/>
      <c r="J261" s="95"/>
      <c r="K261" s="95"/>
      <c r="L261" s="95"/>
      <c r="M261" s="95"/>
      <c r="N261" s="95"/>
      <c r="O261" s="95"/>
      <c r="P261" s="95"/>
      <c r="Q261" s="95"/>
      <c r="R261" s="34"/>
      <c r="S261" s="131"/>
      <c r="T261" s="53"/>
      <c r="U261" s="131"/>
      <c r="V261" s="25"/>
      <c r="W261" s="25"/>
      <c r="X261" s="5"/>
    </row>
    <row r="262" spans="1:24" ht="15.75" x14ac:dyDescent="0.25">
      <c r="A262" s="138"/>
      <c r="B262" s="14" t="s">
        <v>163</v>
      </c>
      <c r="C262" s="136"/>
      <c r="D262" s="136"/>
      <c r="E262" s="136"/>
      <c r="F262" s="136"/>
      <c r="G262" s="136"/>
      <c r="H262" s="142"/>
      <c r="I262" s="142"/>
      <c r="J262" s="142"/>
      <c r="K262" s="142"/>
      <c r="L262" s="142"/>
      <c r="M262" s="142"/>
      <c r="N262" s="142"/>
      <c r="O262" s="142"/>
      <c r="P262" s="142"/>
      <c r="Q262" s="142"/>
      <c r="R262" s="83" t="s">
        <v>102</v>
      </c>
      <c r="S262" s="17" t="s">
        <v>103</v>
      </c>
      <c r="T262" s="83" t="s">
        <v>109</v>
      </c>
      <c r="U262" s="17" t="s">
        <v>103</v>
      </c>
      <c r="V262" s="136"/>
      <c r="W262" s="137"/>
      <c r="X262" s="5"/>
    </row>
    <row r="263" spans="1:24" ht="15.75" x14ac:dyDescent="0.25">
      <c r="A263" s="24"/>
      <c r="B263" s="54" t="s">
        <v>88</v>
      </c>
      <c r="C263" s="25"/>
      <c r="D263" s="25"/>
      <c r="E263" s="25"/>
      <c r="F263" s="25"/>
      <c r="G263" s="25"/>
      <c r="H263" s="95"/>
      <c r="I263" s="95"/>
      <c r="J263" s="95"/>
      <c r="K263" s="95"/>
      <c r="L263" s="95"/>
      <c r="M263" s="95"/>
      <c r="N263" s="95"/>
      <c r="O263" s="95"/>
      <c r="P263" s="95"/>
      <c r="Q263" s="95"/>
      <c r="R263" s="54">
        <v>0</v>
      </c>
      <c r="S263" s="94">
        <v>0</v>
      </c>
      <c r="T263" s="53">
        <v>0</v>
      </c>
      <c r="U263" s="131">
        <v>0</v>
      </c>
      <c r="V263" s="25"/>
      <c r="W263" s="25"/>
      <c r="X263" s="5"/>
    </row>
    <row r="264" spans="1:24" ht="15.75" x14ac:dyDescent="0.25">
      <c r="A264" s="24"/>
      <c r="B264" s="54" t="s">
        <v>89</v>
      </c>
      <c r="C264" s="25"/>
      <c r="D264" s="25"/>
      <c r="E264" s="25"/>
      <c r="F264" s="25"/>
      <c r="G264" s="25"/>
      <c r="H264" s="95"/>
      <c r="I264" s="95"/>
      <c r="J264" s="95"/>
      <c r="K264" s="95"/>
      <c r="L264" s="95"/>
      <c r="M264" s="95"/>
      <c r="N264" s="95"/>
      <c r="O264" s="95"/>
      <c r="P264" s="95"/>
      <c r="Q264" s="95"/>
      <c r="R264" s="54">
        <v>0</v>
      </c>
      <c r="S264" s="94">
        <v>0</v>
      </c>
      <c r="T264" s="53">
        <v>0</v>
      </c>
      <c r="U264" s="131">
        <v>0</v>
      </c>
      <c r="V264" s="25"/>
      <c r="W264" s="25"/>
      <c r="X264" s="5"/>
    </row>
    <row r="265" spans="1:24" ht="15.75" x14ac:dyDescent="0.25">
      <c r="A265" s="24"/>
      <c r="B265" s="54" t="s">
        <v>90</v>
      </c>
      <c r="C265" s="25"/>
      <c r="D265" s="25"/>
      <c r="E265" s="25"/>
      <c r="F265" s="25"/>
      <c r="G265" s="25"/>
      <c r="H265" s="95"/>
      <c r="I265" s="95"/>
      <c r="J265" s="95"/>
      <c r="K265" s="95"/>
      <c r="L265" s="95"/>
      <c r="M265" s="95"/>
      <c r="N265" s="95"/>
      <c r="O265" s="95"/>
      <c r="P265" s="95"/>
      <c r="Q265" s="95"/>
      <c r="R265" s="54">
        <v>0</v>
      </c>
      <c r="S265" s="94">
        <v>0</v>
      </c>
      <c r="T265" s="53">
        <v>0</v>
      </c>
      <c r="U265" s="131">
        <v>0</v>
      </c>
      <c r="V265" s="25"/>
      <c r="W265" s="25"/>
      <c r="X265" s="5"/>
    </row>
    <row r="266" spans="1:24" ht="15.75" x14ac:dyDescent="0.25">
      <c r="A266" s="24"/>
      <c r="B266" s="54" t="s">
        <v>156</v>
      </c>
      <c r="C266" s="25"/>
      <c r="D266" s="25"/>
      <c r="E266" s="25"/>
      <c r="F266" s="25"/>
      <c r="G266" s="25"/>
      <c r="H266" s="95"/>
      <c r="I266" s="95"/>
      <c r="J266" s="95"/>
      <c r="K266" s="95"/>
      <c r="L266" s="95"/>
      <c r="M266" s="95"/>
      <c r="N266" s="95"/>
      <c r="O266" s="95"/>
      <c r="P266" s="95"/>
      <c r="Q266" s="95"/>
      <c r="R266" s="54">
        <v>0</v>
      </c>
      <c r="S266" s="94">
        <v>0</v>
      </c>
      <c r="T266" s="53">
        <v>0</v>
      </c>
      <c r="U266" s="131">
        <v>0</v>
      </c>
      <c r="V266" s="25"/>
      <c r="W266" s="25"/>
      <c r="X266" s="5"/>
    </row>
    <row r="267" spans="1:24" ht="15.75" x14ac:dyDescent="0.25">
      <c r="A267" s="24"/>
      <c r="B267" s="54" t="s">
        <v>157</v>
      </c>
      <c r="C267" s="25"/>
      <c r="D267" s="25"/>
      <c r="E267" s="25"/>
      <c r="F267" s="25"/>
      <c r="G267" s="25"/>
      <c r="H267" s="95"/>
      <c r="I267" s="95"/>
      <c r="J267" s="95"/>
      <c r="K267" s="95"/>
      <c r="L267" s="95"/>
      <c r="M267" s="95"/>
      <c r="N267" s="95"/>
      <c r="O267" s="95"/>
      <c r="P267" s="95"/>
      <c r="Q267" s="95"/>
      <c r="R267" s="54">
        <v>0</v>
      </c>
      <c r="S267" s="94">
        <v>0</v>
      </c>
      <c r="T267" s="53">
        <v>0</v>
      </c>
      <c r="U267" s="131">
        <v>0</v>
      </c>
      <c r="V267" s="25"/>
      <c r="W267" s="25"/>
      <c r="X267" s="5"/>
    </row>
    <row r="268" spans="1:24" ht="15.75" x14ac:dyDescent="0.25">
      <c r="A268" s="24"/>
      <c r="B268" s="54" t="s">
        <v>158</v>
      </c>
      <c r="C268" s="25"/>
      <c r="D268" s="25"/>
      <c r="E268" s="25"/>
      <c r="F268" s="25"/>
      <c r="G268" s="25"/>
      <c r="H268" s="95"/>
      <c r="I268" s="95"/>
      <c r="J268" s="95"/>
      <c r="K268" s="95"/>
      <c r="L268" s="95"/>
      <c r="M268" s="95"/>
      <c r="N268" s="95"/>
      <c r="O268" s="95"/>
      <c r="P268" s="95"/>
      <c r="Q268" s="95"/>
      <c r="R268" s="54">
        <v>0</v>
      </c>
      <c r="S268" s="94">
        <v>0</v>
      </c>
      <c r="T268" s="53">
        <v>0</v>
      </c>
      <c r="U268" s="131">
        <v>0</v>
      </c>
      <c r="V268" s="25"/>
      <c r="W268" s="25"/>
      <c r="X268" s="5"/>
    </row>
    <row r="269" spans="1:24" ht="15.75" x14ac:dyDescent="0.25">
      <c r="A269" s="24"/>
      <c r="B269" s="54" t="s">
        <v>159</v>
      </c>
      <c r="C269" s="25"/>
      <c r="D269" s="25"/>
      <c r="E269" s="25"/>
      <c r="F269" s="25"/>
      <c r="G269" s="25"/>
      <c r="H269" s="95"/>
      <c r="I269" s="95"/>
      <c r="J269" s="95"/>
      <c r="K269" s="95"/>
      <c r="L269" s="95"/>
      <c r="M269" s="95"/>
      <c r="N269" s="95"/>
      <c r="O269" s="95"/>
      <c r="P269" s="95"/>
      <c r="Q269" s="95"/>
      <c r="R269" s="54">
        <v>0</v>
      </c>
      <c r="S269" s="94">
        <v>0</v>
      </c>
      <c r="T269" s="53">
        <v>0</v>
      </c>
      <c r="U269" s="131">
        <v>0</v>
      </c>
      <c r="V269" s="25"/>
      <c r="W269" s="25"/>
      <c r="X269" s="5"/>
    </row>
    <row r="270" spans="1:24" ht="15.75" x14ac:dyDescent="0.25">
      <c r="A270" s="24"/>
      <c r="B270" s="54" t="s">
        <v>160</v>
      </c>
      <c r="C270" s="25"/>
      <c r="D270" s="25"/>
      <c r="E270" s="25"/>
      <c r="F270" s="25"/>
      <c r="G270" s="25"/>
      <c r="H270" s="95"/>
      <c r="I270" s="95"/>
      <c r="J270" s="95"/>
      <c r="K270" s="95"/>
      <c r="L270" s="95"/>
      <c r="M270" s="95"/>
      <c r="N270" s="95"/>
      <c r="O270" s="95"/>
      <c r="P270" s="95"/>
      <c r="Q270" s="95"/>
      <c r="R270" s="54">
        <v>0</v>
      </c>
      <c r="S270" s="94">
        <v>0</v>
      </c>
      <c r="T270" s="53">
        <v>0</v>
      </c>
      <c r="U270" s="131">
        <v>0</v>
      </c>
      <c r="V270" s="25"/>
      <c r="W270" s="25"/>
      <c r="X270" s="5"/>
    </row>
    <row r="271" spans="1:24" ht="15.75" x14ac:dyDescent="0.25">
      <c r="A271" s="24"/>
      <c r="B271" s="54"/>
      <c r="C271" s="25"/>
      <c r="D271" s="25"/>
      <c r="E271" s="25"/>
      <c r="F271" s="25"/>
      <c r="G271" s="25"/>
      <c r="H271" s="95"/>
      <c r="I271" s="95"/>
      <c r="J271" s="95"/>
      <c r="K271" s="95"/>
      <c r="L271" s="95"/>
      <c r="M271" s="95"/>
      <c r="N271" s="95"/>
      <c r="O271" s="95"/>
      <c r="P271" s="95"/>
      <c r="Q271" s="95"/>
      <c r="R271" s="54"/>
      <c r="S271" s="94"/>
      <c r="T271" s="53"/>
      <c r="U271" s="131"/>
      <c r="V271" s="25"/>
      <c r="W271" s="25"/>
      <c r="X271" s="5"/>
    </row>
    <row r="272" spans="1:24" ht="15.75" x14ac:dyDescent="0.25">
      <c r="A272" s="24"/>
      <c r="B272" s="25" t="s">
        <v>114</v>
      </c>
      <c r="C272" s="25"/>
      <c r="D272" s="25"/>
      <c r="E272" s="25"/>
      <c r="F272" s="25"/>
      <c r="G272" s="25"/>
      <c r="H272" s="95"/>
      <c r="I272" s="95"/>
      <c r="J272" s="95"/>
      <c r="K272" s="95"/>
      <c r="L272" s="95"/>
      <c r="M272" s="95"/>
      <c r="N272" s="95"/>
      <c r="O272" s="95"/>
      <c r="P272" s="95"/>
      <c r="Q272" s="95"/>
      <c r="R272" s="34">
        <f>SUM(R263:R270)</f>
        <v>0</v>
      </c>
      <c r="S272" s="94">
        <f>SUM(S263:S270)</f>
        <v>0</v>
      </c>
      <c r="T272" s="53">
        <f>SUM(T263:T270)</f>
        <v>0</v>
      </c>
      <c r="U272" s="131">
        <f>SUM(U263:U270)</f>
        <v>0</v>
      </c>
      <c r="V272" s="25"/>
      <c r="W272" s="25"/>
      <c r="X272" s="5"/>
    </row>
    <row r="273" spans="1:24" ht="15.75" x14ac:dyDescent="0.25">
      <c r="A273" s="24"/>
      <c r="B273" s="25"/>
      <c r="C273" s="25"/>
      <c r="D273" s="25"/>
      <c r="E273" s="25"/>
      <c r="F273" s="25"/>
      <c r="G273" s="25"/>
      <c r="H273" s="95"/>
      <c r="I273" s="95"/>
      <c r="J273" s="95"/>
      <c r="K273" s="95"/>
      <c r="L273" s="95"/>
      <c r="M273" s="95"/>
      <c r="N273" s="95"/>
      <c r="O273" s="95"/>
      <c r="P273" s="95"/>
      <c r="Q273" s="95"/>
      <c r="R273" s="34"/>
      <c r="S273" s="131"/>
      <c r="T273" s="53"/>
      <c r="U273" s="131"/>
      <c r="V273" s="25"/>
      <c r="W273" s="25"/>
      <c r="X273" s="5"/>
    </row>
    <row r="274" spans="1:24" ht="15.75" x14ac:dyDescent="0.25">
      <c r="A274" s="24"/>
      <c r="B274" s="139" t="s">
        <v>164</v>
      </c>
      <c r="C274" s="25"/>
      <c r="D274" s="25"/>
      <c r="E274" s="25"/>
      <c r="F274" s="25"/>
      <c r="G274" s="25"/>
      <c r="H274" s="95"/>
      <c r="I274" s="95"/>
      <c r="J274" s="95"/>
      <c r="K274" s="95"/>
      <c r="L274" s="95"/>
      <c r="M274" s="95"/>
      <c r="N274" s="95"/>
      <c r="O274" s="95"/>
      <c r="P274" s="95"/>
      <c r="Q274" s="95"/>
      <c r="R274" s="156">
        <f>R272+R260+R248</f>
        <v>6216</v>
      </c>
      <c r="S274" s="140"/>
      <c r="T274" s="141">
        <f>+T272+T260+T248</f>
        <v>904807</v>
      </c>
      <c r="U274" s="140"/>
      <c r="V274" s="25"/>
      <c r="W274" s="25"/>
      <c r="X274" s="5"/>
    </row>
    <row r="275" spans="1:24" ht="15.75" x14ac:dyDescent="0.25">
      <c r="A275" s="24"/>
      <c r="B275" s="25"/>
      <c r="C275" s="25"/>
      <c r="D275" s="25"/>
      <c r="E275" s="25"/>
      <c r="F275" s="25"/>
      <c r="G275" s="25"/>
      <c r="H275" s="95"/>
      <c r="I275" s="95"/>
      <c r="J275" s="95"/>
      <c r="K275" s="95"/>
      <c r="L275" s="95"/>
      <c r="M275" s="95"/>
      <c r="N275" s="95"/>
      <c r="O275" s="95"/>
      <c r="P275" s="95"/>
      <c r="Q275" s="95"/>
      <c r="R275" s="95"/>
      <c r="S275" s="95"/>
      <c r="T275" s="53"/>
      <c r="U275" s="95"/>
      <c r="V275" s="25"/>
      <c r="W275" s="25"/>
      <c r="X275" s="5"/>
    </row>
    <row r="276" spans="1:24" ht="15.75" x14ac:dyDescent="0.25">
      <c r="A276" s="6"/>
      <c r="B276" s="8"/>
      <c r="C276" s="8"/>
      <c r="D276" s="8"/>
      <c r="E276" s="8"/>
      <c r="F276" s="8"/>
      <c r="G276" s="8"/>
      <c r="H276" s="96"/>
      <c r="I276" s="96"/>
      <c r="J276" s="96"/>
      <c r="K276" s="96"/>
      <c r="L276" s="96"/>
      <c r="M276" s="96"/>
      <c r="N276" s="96"/>
      <c r="O276" s="96"/>
      <c r="P276" s="96"/>
      <c r="Q276" s="96"/>
      <c r="R276" s="96"/>
      <c r="S276" s="96"/>
      <c r="T276" s="97"/>
      <c r="U276" s="96"/>
      <c r="V276" s="8"/>
      <c r="W276" s="8"/>
      <c r="X276" s="5"/>
    </row>
    <row r="277" spans="1:24" ht="15.75" x14ac:dyDescent="0.25">
      <c r="A277" s="178"/>
      <c r="B277" s="14" t="s">
        <v>91</v>
      </c>
      <c r="C277" s="15"/>
      <c r="D277" s="15"/>
      <c r="E277" s="15"/>
      <c r="F277" s="17" t="s">
        <v>97</v>
      </c>
      <c r="G277" s="15"/>
      <c r="H277" s="14" t="s">
        <v>99</v>
      </c>
      <c r="I277" s="14"/>
      <c r="J277" s="14"/>
      <c r="K277" s="173"/>
      <c r="L277" s="173"/>
      <c r="M277" s="173"/>
      <c r="N277" s="173"/>
      <c r="O277" s="173"/>
      <c r="P277" s="173"/>
      <c r="Q277" s="173"/>
      <c r="R277" s="173"/>
      <c r="S277" s="173"/>
      <c r="T277" s="173"/>
      <c r="U277" s="173"/>
      <c r="V277" s="173"/>
      <c r="W277" s="173"/>
      <c r="X277" s="5"/>
    </row>
    <row r="278" spans="1:24" ht="15.75" x14ac:dyDescent="0.25">
      <c r="A278" s="178"/>
      <c r="B278" s="173"/>
      <c r="C278" s="8"/>
      <c r="D278" s="8"/>
      <c r="E278" s="8"/>
      <c r="F278" s="8"/>
      <c r="G278" s="8"/>
      <c r="H278" s="8"/>
      <c r="I278" s="8"/>
      <c r="J278" s="8"/>
      <c r="K278" s="173"/>
      <c r="L278" s="173"/>
      <c r="M278" s="173"/>
      <c r="N278" s="173"/>
      <c r="O278" s="173"/>
      <c r="P278" s="173"/>
      <c r="Q278" s="173"/>
      <c r="R278" s="173"/>
      <c r="S278" s="173"/>
      <c r="T278" s="173"/>
      <c r="U278" s="173"/>
      <c r="V278" s="173"/>
      <c r="W278" s="173"/>
      <c r="X278" s="5"/>
    </row>
    <row r="279" spans="1:24" ht="15.75" x14ac:dyDescent="0.25">
      <c r="A279" s="178"/>
      <c r="B279" s="13" t="s">
        <v>92</v>
      </c>
      <c r="C279" s="13"/>
      <c r="D279" s="13"/>
      <c r="E279" s="13"/>
      <c r="F279" s="129" t="s">
        <v>148</v>
      </c>
      <c r="G279" s="13"/>
      <c r="H279" s="13" t="s">
        <v>152</v>
      </c>
      <c r="I279" s="13"/>
      <c r="J279" s="13"/>
      <c r="K279" s="173"/>
      <c r="L279" s="173"/>
      <c r="M279" s="173"/>
      <c r="N279" s="173"/>
      <c r="O279" s="173"/>
      <c r="P279" s="173"/>
      <c r="Q279" s="173"/>
      <c r="R279" s="173"/>
      <c r="S279" s="173"/>
      <c r="T279" s="173"/>
      <c r="U279" s="173"/>
      <c r="V279" s="173"/>
      <c r="W279" s="173"/>
      <c r="X279" s="5"/>
    </row>
    <row r="280" spans="1:24" ht="15.75" x14ac:dyDescent="0.25">
      <c r="A280" s="178"/>
      <c r="B280" s="13" t="s">
        <v>265</v>
      </c>
      <c r="C280" s="13"/>
      <c r="D280" s="13"/>
      <c r="E280" s="13"/>
      <c r="F280" s="129" t="s">
        <v>266</v>
      </c>
      <c r="G280" s="13"/>
      <c r="H280" s="13" t="s">
        <v>267</v>
      </c>
      <c r="I280" s="13"/>
      <c r="J280" s="13"/>
      <c r="K280" s="173"/>
      <c r="L280" s="173"/>
      <c r="M280" s="173"/>
      <c r="N280" s="173"/>
      <c r="O280" s="173"/>
      <c r="P280" s="173"/>
      <c r="Q280" s="173"/>
      <c r="R280" s="173"/>
      <c r="S280" s="173"/>
      <c r="T280" s="173"/>
      <c r="U280" s="173"/>
      <c r="V280" s="173"/>
      <c r="W280" s="173"/>
      <c r="X280" s="5"/>
    </row>
    <row r="281" spans="1:24" ht="15.75" x14ac:dyDescent="0.25">
      <c r="A281" s="178"/>
      <c r="B281" s="13" t="s">
        <v>93</v>
      </c>
      <c r="C281" s="13"/>
      <c r="D281" s="13"/>
      <c r="E281" s="13"/>
      <c r="F281" s="129" t="s">
        <v>147</v>
      </c>
      <c r="G281" s="13"/>
      <c r="H281" s="13" t="s">
        <v>153</v>
      </c>
      <c r="I281" s="13"/>
      <c r="J281" s="13"/>
      <c r="K281" s="173"/>
      <c r="L281" s="173"/>
      <c r="M281" s="173"/>
      <c r="N281" s="173"/>
      <c r="O281" s="173"/>
      <c r="P281" s="173"/>
      <c r="Q281" s="173"/>
      <c r="R281" s="173"/>
      <c r="S281" s="173"/>
      <c r="T281" s="173"/>
      <c r="U281" s="173"/>
      <c r="V281" s="173"/>
      <c r="W281" s="173"/>
      <c r="X281" s="5"/>
    </row>
    <row r="282" spans="1:24" ht="15.75" x14ac:dyDescent="0.25">
      <c r="A282" s="178"/>
      <c r="B282" s="13"/>
      <c r="C282" s="13"/>
      <c r="D282" s="13"/>
      <c r="E282" s="13"/>
      <c r="F282" s="13"/>
      <c r="G282" s="99"/>
      <c r="H282" s="173"/>
      <c r="I282" s="173"/>
      <c r="J282" s="173"/>
      <c r="K282" s="173"/>
      <c r="L282" s="173"/>
      <c r="M282" s="173"/>
      <c r="N282" s="173"/>
      <c r="O282" s="173"/>
      <c r="P282" s="173"/>
      <c r="Q282" s="173"/>
      <c r="R282" s="173"/>
      <c r="S282" s="173"/>
      <c r="T282" s="173"/>
      <c r="U282" s="173"/>
      <c r="V282" s="173"/>
      <c r="W282" s="173"/>
      <c r="X282" s="5"/>
    </row>
    <row r="283" spans="1:24" ht="15.75" x14ac:dyDescent="0.25">
      <c r="A283" s="178"/>
      <c r="B283" s="13"/>
      <c r="C283" s="13"/>
      <c r="D283" s="13"/>
      <c r="E283" s="13"/>
      <c r="F283" s="13"/>
      <c r="G283" s="99"/>
      <c r="H283" s="173"/>
      <c r="I283" s="173"/>
      <c r="J283" s="173"/>
      <c r="K283" s="173"/>
      <c r="L283" s="173"/>
      <c r="M283" s="173"/>
      <c r="N283" s="173"/>
      <c r="O283" s="173"/>
      <c r="P283" s="173"/>
      <c r="Q283" s="173"/>
      <c r="R283" s="173"/>
      <c r="S283" s="173"/>
      <c r="T283" s="173"/>
      <c r="U283" s="173"/>
      <c r="V283" s="173"/>
      <c r="W283" s="173"/>
      <c r="X283" s="5"/>
    </row>
    <row r="284" spans="1:24" ht="19.5" thickBot="1" x14ac:dyDescent="0.35">
      <c r="A284" s="178"/>
      <c r="B284" s="49" t="str">
        <f>B200</f>
        <v>PM15 INVESTOR REPORT QUARTER ENDING NOVEMBER 2008</v>
      </c>
      <c r="C284" s="13"/>
      <c r="D284" s="13"/>
      <c r="E284" s="13"/>
      <c r="F284" s="13"/>
      <c r="G284" s="99"/>
      <c r="H284" s="173"/>
      <c r="I284" s="173"/>
      <c r="J284" s="173"/>
      <c r="K284" s="173"/>
      <c r="L284" s="173"/>
      <c r="M284" s="173"/>
      <c r="N284" s="173"/>
      <c r="O284" s="173"/>
      <c r="P284" s="173"/>
      <c r="Q284" s="173"/>
      <c r="R284" s="173"/>
      <c r="S284" s="173"/>
      <c r="T284" s="173"/>
      <c r="U284" s="173"/>
      <c r="V284" s="173"/>
      <c r="W284" s="173"/>
      <c r="X284" s="5"/>
    </row>
    <row r="285" spans="1:24" x14ac:dyDescent="0.2">
      <c r="A285" s="100"/>
      <c r="B285" s="100"/>
      <c r="C285" s="100"/>
      <c r="D285" s="100"/>
      <c r="E285" s="100"/>
      <c r="F285" s="100"/>
      <c r="G285" s="100"/>
      <c r="H285" s="100"/>
      <c r="I285" s="100"/>
      <c r="J285" s="100"/>
      <c r="K285" s="100"/>
      <c r="L285" s="100"/>
      <c r="M285" s="100"/>
      <c r="N285" s="100"/>
      <c r="O285" s="100"/>
      <c r="P285" s="100"/>
      <c r="Q285" s="100"/>
      <c r="R285" s="100"/>
      <c r="S285" s="100"/>
      <c r="T285" s="100"/>
      <c r="U285" s="100"/>
      <c r="V285" s="100"/>
      <c r="W285" s="100"/>
    </row>
  </sheetData>
  <phoneticPr fontId="0" type="noConversion"/>
  <hyperlinks>
    <hyperlink ref="P236" r:id="rId1" xr:uid="{00000000-0004-0000-0400-000000000000}"/>
    <hyperlink ref="I9" r:id="rId2" xr:uid="{00000000-0004-0000-04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5" max="14" man="1"/>
    <brk id="200" max="14" man="1"/>
  </rowBreaks>
  <drawing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93DA9-E5F2-4537-9FEB-AC5ECFE35FF8}">
  <sheetPr>
    <tabColor theme="1"/>
  </sheetPr>
  <dimension ref="A1:IV300"/>
  <sheetViews>
    <sheetView showGridLines="0" showOutlineSymbols="0" zoomScale="70" zoomScaleNormal="70" workbookViewId="0"/>
  </sheetViews>
  <sheetFormatPr defaultColWidth="9.6640625" defaultRowHeight="15.75" x14ac:dyDescent="0.25"/>
  <cols>
    <col min="1" max="1" width="4" style="573" customWidth="1"/>
    <col min="2" max="2" width="71.21875" style="573" customWidth="1"/>
    <col min="3" max="3" width="2.21875" style="573" customWidth="1"/>
    <col min="4" max="4" width="19.33203125" style="573" customWidth="1"/>
    <col min="5" max="5" width="2.21875" style="573" customWidth="1"/>
    <col min="6" max="6" width="25.109375" style="573" customWidth="1"/>
    <col min="7" max="7" width="2.21875" style="573" customWidth="1"/>
    <col min="8" max="8" width="16.21875" style="573" customWidth="1"/>
    <col min="9" max="9" width="2.88671875" style="573" customWidth="1"/>
    <col min="10" max="10" width="16.21875" style="573" customWidth="1"/>
    <col min="11" max="11" width="2.21875" style="573" customWidth="1"/>
    <col min="12" max="12" width="17.88671875" style="573" customWidth="1"/>
    <col min="13" max="13" width="2.33203125" style="573" customWidth="1"/>
    <col min="14" max="14" width="14.88671875" style="573" customWidth="1"/>
    <col min="15" max="15" width="2.33203125" style="573" customWidth="1"/>
    <col min="16" max="16" width="15.5546875" style="573" customWidth="1"/>
    <col min="17" max="17" width="2.21875" style="573" customWidth="1"/>
    <col min="18" max="18" width="15.5546875" style="573" customWidth="1"/>
    <col min="19" max="20" width="12.6640625" style="573" customWidth="1"/>
    <col min="21" max="21" width="7.77734375" style="573" customWidth="1"/>
    <col min="22" max="22" width="14.6640625" style="573" customWidth="1"/>
    <col min="23" max="23" width="11.77734375" style="573" customWidth="1"/>
    <col min="24" max="16384" width="9.6640625" style="573"/>
  </cols>
  <sheetData>
    <row r="1" spans="1:24" ht="21" x14ac:dyDescent="0.35">
      <c r="A1" s="569"/>
      <c r="B1" s="570" t="s">
        <v>237</v>
      </c>
      <c r="C1" s="571"/>
      <c r="D1" s="571"/>
      <c r="E1" s="571"/>
      <c r="F1" s="571"/>
      <c r="G1" s="571"/>
      <c r="H1" s="571"/>
      <c r="I1" s="571"/>
      <c r="J1" s="571"/>
      <c r="K1" s="571"/>
      <c r="L1" s="571"/>
      <c r="M1" s="571"/>
      <c r="N1" s="571"/>
      <c r="O1" s="571"/>
      <c r="P1" s="571"/>
      <c r="Q1" s="571"/>
      <c r="R1" s="571"/>
      <c r="S1" s="571"/>
      <c r="T1" s="571"/>
      <c r="U1" s="571"/>
      <c r="V1" s="571"/>
      <c r="W1" s="571"/>
      <c r="X1" s="572"/>
    </row>
    <row r="2" spans="1:24" x14ac:dyDescent="0.25">
      <c r="A2" s="574"/>
      <c r="B2" s="575"/>
      <c r="C2" s="576"/>
      <c r="D2" s="576"/>
      <c r="E2" s="576"/>
      <c r="F2" s="576"/>
      <c r="G2" s="576"/>
      <c r="H2" s="576"/>
      <c r="I2" s="576"/>
      <c r="J2" s="576"/>
      <c r="K2" s="576"/>
      <c r="L2" s="576"/>
      <c r="M2" s="576"/>
      <c r="N2" s="576"/>
      <c r="O2" s="576"/>
      <c r="P2" s="576"/>
      <c r="Q2" s="576"/>
      <c r="R2" s="576"/>
      <c r="S2" s="576"/>
      <c r="T2" s="576"/>
      <c r="U2" s="576"/>
      <c r="V2" s="576"/>
      <c r="W2" s="576"/>
      <c r="X2" s="572"/>
    </row>
    <row r="3" spans="1:24" x14ac:dyDescent="0.25">
      <c r="A3" s="577"/>
      <c r="B3" s="578" t="s">
        <v>238</v>
      </c>
      <c r="C3" s="576"/>
      <c r="D3" s="576"/>
      <c r="E3" s="576"/>
      <c r="F3" s="576"/>
      <c r="G3" s="576"/>
      <c r="H3" s="576"/>
      <c r="I3" s="576"/>
      <c r="J3" s="576"/>
      <c r="K3" s="576"/>
      <c r="L3" s="576"/>
      <c r="M3" s="576"/>
      <c r="N3" s="576"/>
      <c r="O3" s="576"/>
      <c r="P3" s="576"/>
      <c r="Q3" s="576"/>
      <c r="R3" s="576"/>
      <c r="S3" s="576"/>
      <c r="T3" s="576"/>
      <c r="U3" s="576"/>
      <c r="V3" s="576"/>
      <c r="W3" s="576"/>
      <c r="X3" s="572"/>
    </row>
    <row r="4" spans="1:24" x14ac:dyDescent="0.25">
      <c r="A4" s="574"/>
      <c r="B4" s="575"/>
      <c r="C4" s="576"/>
      <c r="D4" s="576"/>
      <c r="E4" s="576"/>
      <c r="F4" s="576"/>
      <c r="G4" s="576"/>
      <c r="H4" s="576"/>
      <c r="I4" s="576"/>
      <c r="J4" s="576"/>
      <c r="K4" s="576"/>
      <c r="L4" s="576"/>
      <c r="M4" s="576"/>
      <c r="N4" s="576"/>
      <c r="O4" s="576"/>
      <c r="P4" s="576"/>
      <c r="Q4" s="576"/>
      <c r="R4" s="576"/>
      <c r="S4" s="576"/>
      <c r="T4" s="576"/>
      <c r="U4" s="576"/>
      <c r="V4" s="576"/>
      <c r="W4" s="576"/>
      <c r="X4" s="572"/>
    </row>
    <row r="5" spans="1:24" x14ac:dyDescent="0.25">
      <c r="A5" s="574"/>
      <c r="B5" s="579" t="s">
        <v>137</v>
      </c>
      <c r="C5" s="576"/>
      <c r="D5" s="576"/>
      <c r="E5" s="576"/>
      <c r="F5" s="576"/>
      <c r="G5" s="576"/>
      <c r="H5" s="576"/>
      <c r="I5" s="576"/>
      <c r="J5" s="576"/>
      <c r="K5" s="576"/>
      <c r="L5" s="576"/>
      <c r="M5" s="576"/>
      <c r="N5" s="576"/>
      <c r="O5" s="576"/>
      <c r="P5" s="576"/>
      <c r="Q5" s="576"/>
      <c r="R5" s="576"/>
      <c r="S5" s="576"/>
      <c r="T5" s="576"/>
      <c r="U5" s="576"/>
      <c r="V5" s="576"/>
      <c r="W5" s="576"/>
      <c r="X5" s="572"/>
    </row>
    <row r="6" spans="1:24" x14ac:dyDescent="0.25">
      <c r="A6" s="574"/>
      <c r="B6" s="579" t="s">
        <v>139</v>
      </c>
      <c r="C6" s="576"/>
      <c r="D6" s="576"/>
      <c r="E6" s="576"/>
      <c r="F6" s="576"/>
      <c r="G6" s="576"/>
      <c r="H6" s="576"/>
      <c r="I6" s="576"/>
      <c r="J6" s="576"/>
      <c r="K6" s="576"/>
      <c r="L6" s="576"/>
      <c r="M6" s="576"/>
      <c r="N6" s="576"/>
      <c r="O6" s="576"/>
      <c r="P6" s="576"/>
      <c r="Q6" s="576"/>
      <c r="R6" s="576"/>
      <c r="S6" s="576"/>
      <c r="T6" s="576"/>
      <c r="U6" s="576"/>
      <c r="V6" s="576"/>
      <c r="W6" s="576"/>
      <c r="X6" s="572"/>
    </row>
    <row r="7" spans="1:24" x14ac:dyDescent="0.25">
      <c r="A7" s="574"/>
      <c r="B7" s="579" t="s">
        <v>138</v>
      </c>
      <c r="C7" s="576"/>
      <c r="D7" s="576"/>
      <c r="E7" s="576"/>
      <c r="F7" s="576"/>
      <c r="G7" s="576"/>
      <c r="H7" s="576"/>
      <c r="I7" s="576"/>
      <c r="J7" s="576"/>
      <c r="K7" s="576"/>
      <c r="L7" s="576"/>
      <c r="M7" s="576"/>
      <c r="N7" s="576"/>
      <c r="O7" s="576"/>
      <c r="P7" s="576"/>
      <c r="Q7" s="576"/>
      <c r="R7" s="576"/>
      <c r="S7" s="576"/>
      <c r="T7" s="576"/>
      <c r="U7" s="576"/>
      <c r="V7" s="576"/>
      <c r="W7" s="576"/>
      <c r="X7" s="572"/>
    </row>
    <row r="8" spans="1:24" x14ac:dyDescent="0.25">
      <c r="A8" s="574"/>
      <c r="B8" s="580"/>
      <c r="C8" s="576"/>
      <c r="D8" s="576"/>
      <c r="E8" s="576"/>
      <c r="F8" s="576"/>
      <c r="G8" s="576"/>
      <c r="H8" s="576"/>
      <c r="I8" s="576"/>
      <c r="J8" s="576"/>
      <c r="K8" s="576"/>
      <c r="L8" s="576"/>
      <c r="M8" s="576"/>
      <c r="N8" s="576"/>
      <c r="O8" s="576"/>
      <c r="P8" s="576"/>
      <c r="Q8" s="576"/>
      <c r="R8" s="576"/>
      <c r="S8" s="576"/>
      <c r="T8" s="576"/>
      <c r="U8" s="576"/>
      <c r="V8" s="576"/>
      <c r="W8" s="576"/>
      <c r="X8" s="572"/>
    </row>
    <row r="9" spans="1:24" ht="18.75" x14ac:dyDescent="0.3">
      <c r="A9" s="574"/>
      <c r="B9" s="581" t="s">
        <v>166</v>
      </c>
      <c r="C9" s="576"/>
      <c r="D9" s="576"/>
      <c r="E9" s="576"/>
      <c r="F9" s="576"/>
      <c r="G9" s="576"/>
      <c r="H9" s="576"/>
      <c r="I9" s="513" t="s">
        <v>341</v>
      </c>
      <c r="J9" s="576"/>
      <c r="K9" s="576"/>
      <c r="L9" s="582"/>
      <c r="M9" s="576"/>
      <c r="N9" s="582"/>
      <c r="O9" s="576"/>
      <c r="P9" s="576"/>
      <c r="Q9" s="576"/>
      <c r="R9" s="576"/>
      <c r="S9" s="576"/>
      <c r="T9" s="576"/>
      <c r="U9" s="576"/>
      <c r="V9" s="576"/>
      <c r="W9" s="576"/>
      <c r="X9" s="572"/>
    </row>
    <row r="10" spans="1:24" x14ac:dyDescent="0.25">
      <c r="A10" s="574"/>
      <c r="B10" s="580"/>
      <c r="C10" s="583"/>
      <c r="D10" s="583"/>
      <c r="E10" s="583"/>
      <c r="F10" s="576"/>
      <c r="G10" s="576"/>
      <c r="H10" s="576"/>
      <c r="I10" s="576"/>
      <c r="J10" s="576"/>
      <c r="K10" s="576"/>
      <c r="L10" s="576"/>
      <c r="M10" s="576"/>
      <c r="N10" s="576"/>
      <c r="O10" s="576"/>
      <c r="P10" s="576"/>
      <c r="Q10" s="576"/>
      <c r="R10" s="576"/>
      <c r="S10" s="576"/>
      <c r="T10" s="576"/>
      <c r="U10" s="576"/>
      <c r="V10" s="576"/>
      <c r="W10" s="576"/>
      <c r="X10" s="572"/>
    </row>
    <row r="11" spans="1:24" x14ac:dyDescent="0.25">
      <c r="A11" s="574"/>
      <c r="B11" s="584" t="s">
        <v>0</v>
      </c>
      <c r="C11" s="576"/>
      <c r="D11" s="576"/>
      <c r="E11" s="576"/>
      <c r="F11" s="576"/>
      <c r="G11" s="576"/>
      <c r="H11" s="576"/>
      <c r="I11" s="576"/>
      <c r="J11" s="576"/>
      <c r="K11" s="576"/>
      <c r="L11" s="576"/>
      <c r="M11" s="576"/>
      <c r="N11" s="576"/>
      <c r="O11" s="576"/>
      <c r="P11" s="576"/>
      <c r="Q11" s="576"/>
      <c r="R11" s="576"/>
      <c r="S11" s="576"/>
      <c r="T11" s="576"/>
      <c r="U11" s="576"/>
      <c r="V11" s="576"/>
      <c r="W11" s="576"/>
      <c r="X11" s="572"/>
    </row>
    <row r="12" spans="1:24" ht="16.5" thickBot="1" x14ac:dyDescent="0.3">
      <c r="A12" s="574"/>
      <c r="B12" s="583"/>
      <c r="C12" s="576"/>
      <c r="D12" s="576"/>
      <c r="E12" s="576"/>
      <c r="F12" s="576"/>
      <c r="G12" s="576"/>
      <c r="H12" s="576"/>
      <c r="I12" s="576"/>
      <c r="J12" s="576"/>
      <c r="K12" s="576"/>
      <c r="L12" s="576"/>
      <c r="M12" s="576"/>
      <c r="N12" s="576"/>
      <c r="O12" s="576"/>
      <c r="P12" s="576"/>
      <c r="Q12" s="576"/>
      <c r="R12" s="576"/>
      <c r="S12" s="576"/>
      <c r="T12" s="576"/>
      <c r="U12" s="576"/>
      <c r="V12" s="576"/>
      <c r="W12" s="576"/>
      <c r="X12" s="572"/>
    </row>
    <row r="13" spans="1:24" x14ac:dyDescent="0.25">
      <c r="A13" s="569"/>
      <c r="B13" s="571"/>
      <c r="C13" s="571"/>
      <c r="D13" s="571"/>
      <c r="E13" s="571"/>
      <c r="F13" s="571"/>
      <c r="G13" s="571"/>
      <c r="H13" s="571"/>
      <c r="I13" s="571"/>
      <c r="J13" s="571"/>
      <c r="K13" s="571"/>
      <c r="L13" s="571"/>
      <c r="M13" s="571"/>
      <c r="N13" s="571"/>
      <c r="O13" s="571"/>
      <c r="P13" s="571"/>
      <c r="Q13" s="571"/>
      <c r="R13" s="571"/>
      <c r="S13" s="571"/>
      <c r="T13" s="571"/>
      <c r="U13" s="571"/>
      <c r="V13" s="571"/>
      <c r="W13" s="571"/>
      <c r="X13" s="572"/>
    </row>
    <row r="14" spans="1:24" s="589" customFormat="1" x14ac:dyDescent="0.25">
      <c r="A14" s="585"/>
      <c r="B14" s="584" t="s">
        <v>1</v>
      </c>
      <c r="C14" s="586"/>
      <c r="D14" s="586"/>
      <c r="E14" s="586"/>
      <c r="F14" s="586"/>
      <c r="G14" s="586"/>
      <c r="H14" s="586"/>
      <c r="I14" s="586"/>
      <c r="J14" s="586"/>
      <c r="K14" s="586"/>
      <c r="L14" s="586"/>
      <c r="M14" s="586"/>
      <c r="N14" s="586"/>
      <c r="O14" s="586"/>
      <c r="P14" s="586"/>
      <c r="Q14" s="586"/>
      <c r="R14" s="586"/>
      <c r="S14" s="586"/>
      <c r="T14" s="586"/>
      <c r="U14" s="586"/>
      <c r="V14" s="587" t="s">
        <v>239</v>
      </c>
      <c r="W14" s="586"/>
      <c r="X14" s="588"/>
    </row>
    <row r="15" spans="1:24" s="589" customFormat="1" x14ac:dyDescent="0.25">
      <c r="A15" s="585"/>
      <c r="B15" s="584" t="s">
        <v>2</v>
      </c>
      <c r="C15" s="586"/>
      <c r="D15" s="586"/>
      <c r="E15" s="586"/>
      <c r="F15" s="586"/>
      <c r="G15" s="586"/>
      <c r="H15" s="590"/>
      <c r="I15" s="590"/>
      <c r="J15" s="590"/>
      <c r="K15" s="590"/>
      <c r="L15" s="590"/>
      <c r="M15" s="590"/>
      <c r="N15" s="590"/>
      <c r="O15" s="590"/>
      <c r="P15" s="590"/>
      <c r="Q15" s="590"/>
      <c r="R15" s="590" t="s">
        <v>104</v>
      </c>
      <c r="S15" s="591">
        <v>0.47189999999999999</v>
      </c>
      <c r="T15" s="592" t="s">
        <v>140</v>
      </c>
      <c r="U15" s="591">
        <v>0.52810000000000001</v>
      </c>
      <c r="V15" s="587"/>
      <c r="W15" s="586"/>
      <c r="X15" s="588"/>
    </row>
    <row r="16" spans="1:24" s="589" customFormat="1" x14ac:dyDescent="0.25">
      <c r="A16" s="585"/>
      <c r="B16" s="584" t="s">
        <v>3</v>
      </c>
      <c r="C16" s="586"/>
      <c r="D16" s="586"/>
      <c r="E16" s="586"/>
      <c r="F16" s="586"/>
      <c r="G16" s="586"/>
      <c r="H16" s="590"/>
      <c r="I16" s="590"/>
      <c r="J16" s="590"/>
      <c r="K16" s="590"/>
      <c r="L16" s="590"/>
      <c r="M16" s="590"/>
      <c r="N16" s="590"/>
      <c r="O16" s="590"/>
      <c r="P16" s="590"/>
      <c r="Q16" s="590"/>
      <c r="R16" s="590" t="s">
        <v>104</v>
      </c>
      <c r="S16" s="591">
        <v>0.58760000000000001</v>
      </c>
      <c r="T16" s="592" t="s">
        <v>140</v>
      </c>
      <c r="U16" s="591">
        <v>0.41239999999999999</v>
      </c>
      <c r="V16" s="587"/>
      <c r="W16" s="586"/>
      <c r="X16" s="588"/>
    </row>
    <row r="17" spans="1:24" s="589" customFormat="1" x14ac:dyDescent="0.25">
      <c r="A17" s="585"/>
      <c r="B17" s="584" t="s">
        <v>4</v>
      </c>
      <c r="C17" s="586"/>
      <c r="D17" s="586"/>
      <c r="E17" s="586"/>
      <c r="F17" s="586"/>
      <c r="G17" s="586"/>
      <c r="H17" s="586"/>
      <c r="I17" s="586"/>
      <c r="J17" s="586"/>
      <c r="K17" s="586"/>
      <c r="L17" s="586"/>
      <c r="M17" s="586"/>
      <c r="N17" s="586"/>
      <c r="O17" s="586"/>
      <c r="P17" s="586"/>
      <c r="Q17" s="586"/>
      <c r="R17" s="586"/>
      <c r="S17" s="586"/>
      <c r="T17" s="586"/>
      <c r="U17" s="586"/>
      <c r="V17" s="593">
        <v>39282</v>
      </c>
      <c r="W17" s="586"/>
      <c r="X17" s="588"/>
    </row>
    <row r="18" spans="1:24" s="589" customFormat="1" x14ac:dyDescent="0.25">
      <c r="A18" s="585"/>
      <c r="B18" s="584" t="s">
        <v>5</v>
      </c>
      <c r="C18" s="586"/>
      <c r="D18" s="586"/>
      <c r="E18" s="586"/>
      <c r="F18" s="586"/>
      <c r="G18" s="586"/>
      <c r="H18" s="586"/>
      <c r="I18" s="586"/>
      <c r="J18" s="586"/>
      <c r="K18" s="586"/>
      <c r="L18" s="586"/>
      <c r="M18" s="586"/>
      <c r="N18" s="586"/>
      <c r="O18" s="586"/>
      <c r="P18" s="586"/>
      <c r="Q18" s="586"/>
      <c r="R18" s="586"/>
      <c r="S18" s="586"/>
      <c r="T18" s="586"/>
      <c r="U18" s="586"/>
      <c r="V18" s="593">
        <v>43906</v>
      </c>
      <c r="W18" s="586"/>
      <c r="X18" s="588"/>
    </row>
    <row r="19" spans="1:24" s="589" customFormat="1" x14ac:dyDescent="0.25">
      <c r="A19" s="585"/>
      <c r="B19" s="586"/>
      <c r="C19" s="586"/>
      <c r="D19" s="586"/>
      <c r="E19" s="586"/>
      <c r="F19" s="586"/>
      <c r="G19" s="586"/>
      <c r="H19" s="586"/>
      <c r="I19" s="586"/>
      <c r="J19" s="586"/>
      <c r="K19" s="586"/>
      <c r="L19" s="586"/>
      <c r="M19" s="586"/>
      <c r="N19" s="586"/>
      <c r="O19" s="586"/>
      <c r="P19" s="586"/>
      <c r="Q19" s="586"/>
      <c r="R19" s="586"/>
      <c r="S19" s="586"/>
      <c r="T19" s="586"/>
      <c r="U19" s="586"/>
      <c r="V19" s="594"/>
      <c r="W19" s="586"/>
      <c r="X19" s="588"/>
    </row>
    <row r="20" spans="1:24" s="589" customFormat="1" x14ac:dyDescent="0.25">
      <c r="A20" s="585"/>
      <c r="B20" s="595" t="s">
        <v>6</v>
      </c>
      <c r="C20" s="586"/>
      <c r="D20" s="586"/>
      <c r="E20" s="586"/>
      <c r="F20" s="586"/>
      <c r="G20" s="586"/>
      <c r="H20" s="586"/>
      <c r="I20" s="586"/>
      <c r="J20" s="586"/>
      <c r="K20" s="586"/>
      <c r="L20" s="586"/>
      <c r="M20" s="586"/>
      <c r="N20" s="586"/>
      <c r="O20" s="586"/>
      <c r="P20" s="586"/>
      <c r="Q20" s="586"/>
      <c r="R20" s="586"/>
      <c r="S20" s="586"/>
      <c r="T20" s="594" t="s">
        <v>105</v>
      </c>
      <c r="U20" s="586"/>
      <c r="V20" s="586"/>
      <c r="W20" s="586"/>
      <c r="X20" s="588"/>
    </row>
    <row r="21" spans="1:24" x14ac:dyDescent="0.25">
      <c r="A21" s="574"/>
      <c r="B21" s="576"/>
      <c r="C21" s="576"/>
      <c r="D21" s="576"/>
      <c r="E21" s="576"/>
      <c r="F21" s="576"/>
      <c r="G21" s="576"/>
      <c r="H21" s="576"/>
      <c r="I21" s="576"/>
      <c r="J21" s="576"/>
      <c r="K21" s="576"/>
      <c r="L21" s="576"/>
      <c r="M21" s="576"/>
      <c r="N21" s="576"/>
      <c r="O21" s="576"/>
      <c r="P21" s="576"/>
      <c r="Q21" s="576"/>
      <c r="R21" s="576"/>
      <c r="S21" s="576"/>
      <c r="T21" s="576"/>
      <c r="U21" s="576"/>
      <c r="V21" s="596"/>
      <c r="W21" s="576"/>
      <c r="X21" s="572"/>
    </row>
    <row r="22" spans="1:24" x14ac:dyDescent="0.25">
      <c r="A22" s="597"/>
      <c r="B22" s="598"/>
      <c r="C22" s="599"/>
      <c r="D22" s="599" t="s">
        <v>177</v>
      </c>
      <c r="E22" s="599"/>
      <c r="F22" s="599" t="s">
        <v>178</v>
      </c>
      <c r="G22" s="599"/>
      <c r="H22" s="599" t="s">
        <v>179</v>
      </c>
      <c r="I22" s="599"/>
      <c r="J22" s="599" t="s">
        <v>219</v>
      </c>
      <c r="K22" s="599"/>
      <c r="L22" s="599" t="s">
        <v>180</v>
      </c>
      <c r="M22" s="599"/>
      <c r="N22" s="599" t="s">
        <v>181</v>
      </c>
      <c r="O22" s="599"/>
      <c r="P22" s="599" t="s">
        <v>182</v>
      </c>
      <c r="Q22" s="599"/>
      <c r="R22" s="599"/>
      <c r="S22" s="600"/>
      <c r="T22" s="600"/>
      <c r="U22" s="598"/>
      <c r="V22" s="598"/>
      <c r="W22" s="601"/>
      <c r="X22" s="572"/>
    </row>
    <row r="23" spans="1:24" s="589" customFormat="1" x14ac:dyDescent="0.25">
      <c r="A23" s="585"/>
      <c r="B23" s="602" t="s">
        <v>7</v>
      </c>
      <c r="C23" s="603"/>
      <c r="D23" s="603" t="s">
        <v>212</v>
      </c>
      <c r="E23" s="603"/>
      <c r="F23" s="603" t="s">
        <v>141</v>
      </c>
      <c r="G23" s="603"/>
      <c r="H23" s="603" t="s">
        <v>141</v>
      </c>
      <c r="I23" s="603"/>
      <c r="J23" s="603" t="s">
        <v>141</v>
      </c>
      <c r="K23" s="603"/>
      <c r="L23" s="603" t="s">
        <v>183</v>
      </c>
      <c r="M23" s="603"/>
      <c r="N23" s="603" t="s">
        <v>183</v>
      </c>
      <c r="O23" s="603"/>
      <c r="P23" s="603" t="s">
        <v>142</v>
      </c>
      <c r="Q23" s="603"/>
      <c r="R23" s="603"/>
      <c r="S23" s="603"/>
      <c r="T23" s="603"/>
      <c r="U23" s="602"/>
      <c r="V23" s="602"/>
      <c r="W23" s="602"/>
      <c r="X23" s="588"/>
    </row>
    <row r="24" spans="1:24" s="589" customFormat="1" x14ac:dyDescent="0.25">
      <c r="A24" s="604"/>
      <c r="B24" s="605" t="s">
        <v>8</v>
      </c>
      <c r="C24" s="606"/>
      <c r="D24" s="606" t="s">
        <v>213</v>
      </c>
      <c r="E24" s="606"/>
      <c r="F24" s="606" t="s">
        <v>143</v>
      </c>
      <c r="G24" s="606"/>
      <c r="H24" s="606" t="s">
        <v>143</v>
      </c>
      <c r="I24" s="606"/>
      <c r="J24" s="606" t="s">
        <v>143</v>
      </c>
      <c r="K24" s="606"/>
      <c r="L24" s="606" t="s">
        <v>165</v>
      </c>
      <c r="M24" s="606"/>
      <c r="N24" s="606" t="s">
        <v>165</v>
      </c>
      <c r="O24" s="606"/>
      <c r="P24" s="606" t="s">
        <v>144</v>
      </c>
      <c r="Q24" s="606"/>
      <c r="R24" s="606"/>
      <c r="S24" s="606"/>
      <c r="T24" s="606"/>
      <c r="U24" s="605"/>
      <c r="V24" s="605"/>
      <c r="W24" s="607"/>
      <c r="X24" s="588"/>
    </row>
    <row r="25" spans="1:24" s="589" customFormat="1" x14ac:dyDescent="0.25">
      <c r="A25" s="608"/>
      <c r="B25" s="605" t="s">
        <v>190</v>
      </c>
      <c r="C25" s="609"/>
      <c r="D25" s="606" t="s">
        <v>214</v>
      </c>
      <c r="E25" s="606"/>
      <c r="F25" s="606" t="s">
        <v>143</v>
      </c>
      <c r="G25" s="606"/>
      <c r="H25" s="606" t="s">
        <v>143</v>
      </c>
      <c r="I25" s="606"/>
      <c r="J25" s="606" t="s">
        <v>143</v>
      </c>
      <c r="K25" s="606"/>
      <c r="L25" s="606" t="s">
        <v>165</v>
      </c>
      <c r="M25" s="606"/>
      <c r="N25" s="606" t="s">
        <v>165</v>
      </c>
      <c r="O25" s="606"/>
      <c r="P25" s="606" t="s">
        <v>144</v>
      </c>
      <c r="Q25" s="606"/>
      <c r="R25" s="606"/>
      <c r="S25" s="609"/>
      <c r="T25" s="606"/>
      <c r="U25" s="605"/>
      <c r="V25" s="605"/>
      <c r="W25" s="607"/>
      <c r="X25" s="588"/>
    </row>
    <row r="26" spans="1:24" s="589" customFormat="1" x14ac:dyDescent="0.25">
      <c r="A26" s="608"/>
      <c r="B26" s="610" t="s">
        <v>9</v>
      </c>
      <c r="C26" s="609"/>
      <c r="D26" s="609" t="s">
        <v>141</v>
      </c>
      <c r="E26" s="609"/>
      <c r="F26" s="609" t="s">
        <v>141</v>
      </c>
      <c r="G26" s="609"/>
      <c r="H26" s="609" t="s">
        <v>141</v>
      </c>
      <c r="I26" s="609"/>
      <c r="J26" s="609" t="s">
        <v>141</v>
      </c>
      <c r="K26" s="609"/>
      <c r="L26" s="609" t="s">
        <v>356</v>
      </c>
      <c r="M26" s="609"/>
      <c r="N26" s="609" t="s">
        <v>356</v>
      </c>
      <c r="O26" s="609"/>
      <c r="P26" s="609" t="s">
        <v>142</v>
      </c>
      <c r="Q26" s="609"/>
      <c r="R26" s="609"/>
      <c r="S26" s="609"/>
      <c r="T26" s="606"/>
      <c r="U26" s="605"/>
      <c r="V26" s="605"/>
      <c r="W26" s="607"/>
      <c r="X26" s="588"/>
    </row>
    <row r="27" spans="1:24" s="589" customFormat="1" x14ac:dyDescent="0.25">
      <c r="A27" s="604"/>
      <c r="B27" s="610" t="s">
        <v>191</v>
      </c>
      <c r="C27" s="606"/>
      <c r="D27" s="609" t="s">
        <v>143</v>
      </c>
      <c r="E27" s="609"/>
      <c r="F27" s="609" t="s">
        <v>143</v>
      </c>
      <c r="G27" s="609"/>
      <c r="H27" s="609" t="s">
        <v>143</v>
      </c>
      <c r="I27" s="609"/>
      <c r="J27" s="609" t="s">
        <v>143</v>
      </c>
      <c r="K27" s="609"/>
      <c r="L27" s="609" t="s">
        <v>329</v>
      </c>
      <c r="M27" s="609"/>
      <c r="N27" s="609" t="s">
        <v>329</v>
      </c>
      <c r="O27" s="609"/>
      <c r="P27" s="609" t="s">
        <v>307</v>
      </c>
      <c r="Q27" s="609"/>
      <c r="R27" s="609"/>
      <c r="S27" s="606"/>
      <c r="T27" s="611"/>
      <c r="U27" s="605"/>
      <c r="V27" s="605"/>
      <c r="W27" s="607"/>
      <c r="X27" s="588"/>
    </row>
    <row r="28" spans="1:24" s="589" customFormat="1" x14ac:dyDescent="0.25">
      <c r="A28" s="604"/>
      <c r="B28" s="610" t="s">
        <v>192</v>
      </c>
      <c r="C28" s="606"/>
      <c r="D28" s="609" t="s">
        <v>143</v>
      </c>
      <c r="E28" s="609"/>
      <c r="F28" s="609" t="s">
        <v>143</v>
      </c>
      <c r="G28" s="609"/>
      <c r="H28" s="609" t="s">
        <v>143</v>
      </c>
      <c r="I28" s="609"/>
      <c r="J28" s="609" t="s">
        <v>143</v>
      </c>
      <c r="K28" s="609"/>
      <c r="L28" s="609" t="s">
        <v>143</v>
      </c>
      <c r="M28" s="609"/>
      <c r="N28" s="609" t="s">
        <v>143</v>
      </c>
      <c r="O28" s="609"/>
      <c r="P28" s="609" t="s">
        <v>330</v>
      </c>
      <c r="Q28" s="609"/>
      <c r="R28" s="609"/>
      <c r="S28" s="606"/>
      <c r="T28" s="611"/>
      <c r="U28" s="605"/>
      <c r="V28" s="605"/>
      <c r="W28" s="607"/>
      <c r="X28" s="588"/>
    </row>
    <row r="29" spans="1:24" s="589" customFormat="1" x14ac:dyDescent="0.25">
      <c r="A29" s="604"/>
      <c r="B29" s="605" t="s">
        <v>10</v>
      </c>
      <c r="C29" s="612"/>
      <c r="D29" s="606" t="s">
        <v>242</v>
      </c>
      <c r="E29" s="606"/>
      <c r="F29" s="611" t="s">
        <v>244</v>
      </c>
      <c r="G29" s="606"/>
      <c r="H29" s="606" t="s">
        <v>245</v>
      </c>
      <c r="I29" s="606"/>
      <c r="J29" s="606" t="s">
        <v>247</v>
      </c>
      <c r="K29" s="606"/>
      <c r="L29" s="606" t="s">
        <v>248</v>
      </c>
      <c r="M29" s="606"/>
      <c r="N29" s="606" t="s">
        <v>249</v>
      </c>
      <c r="O29" s="606"/>
      <c r="P29" s="606" t="s">
        <v>250</v>
      </c>
      <c r="Q29" s="606"/>
      <c r="R29" s="606"/>
      <c r="S29" s="613"/>
      <c r="T29" s="613"/>
      <c r="U29" s="612"/>
      <c r="V29" s="613"/>
      <c r="W29" s="614"/>
      <c r="X29" s="588"/>
    </row>
    <row r="30" spans="1:24" s="589" customFormat="1" x14ac:dyDescent="0.25">
      <c r="A30" s="604"/>
      <c r="B30" s="605" t="s">
        <v>10</v>
      </c>
      <c r="C30" s="612"/>
      <c r="D30" s="606" t="s">
        <v>243</v>
      </c>
      <c r="E30" s="606"/>
      <c r="F30" s="611" t="s">
        <v>118</v>
      </c>
      <c r="G30" s="606"/>
      <c r="H30" s="606" t="s">
        <v>118</v>
      </c>
      <c r="I30" s="606"/>
      <c r="J30" s="606" t="s">
        <v>246</v>
      </c>
      <c r="K30" s="606"/>
      <c r="L30" s="606" t="s">
        <v>118</v>
      </c>
      <c r="M30" s="606"/>
      <c r="N30" s="606" t="s">
        <v>118</v>
      </c>
      <c r="O30" s="606"/>
      <c r="P30" s="606" t="s">
        <v>118</v>
      </c>
      <c r="Q30" s="606"/>
      <c r="R30" s="606"/>
      <c r="S30" s="613"/>
      <c r="T30" s="613"/>
      <c r="U30" s="612"/>
      <c r="V30" s="613"/>
      <c r="W30" s="614"/>
      <c r="X30" s="588"/>
    </row>
    <row r="31" spans="1:24" s="589" customFormat="1" x14ac:dyDescent="0.25">
      <c r="A31" s="608"/>
      <c r="B31" s="605" t="s">
        <v>133</v>
      </c>
      <c r="C31" s="615"/>
      <c r="D31" s="616">
        <v>1000000</v>
      </c>
      <c r="E31" s="612"/>
      <c r="F31" s="613">
        <v>209500</v>
      </c>
      <c r="G31" s="613"/>
      <c r="H31" s="617">
        <v>110000</v>
      </c>
      <c r="I31" s="617"/>
      <c r="J31" s="616">
        <v>150000</v>
      </c>
      <c r="K31" s="613"/>
      <c r="L31" s="613">
        <v>17000</v>
      </c>
      <c r="M31" s="613"/>
      <c r="N31" s="617">
        <v>85500</v>
      </c>
      <c r="O31" s="613"/>
      <c r="P31" s="617">
        <v>110500</v>
      </c>
      <c r="Q31" s="613"/>
      <c r="R31" s="617"/>
      <c r="S31" s="618"/>
      <c r="T31" s="618"/>
      <c r="U31" s="615"/>
      <c r="V31" s="618"/>
      <c r="W31" s="614"/>
      <c r="X31" s="588"/>
    </row>
    <row r="32" spans="1:24" s="589" customFormat="1" x14ac:dyDescent="0.25">
      <c r="A32" s="604"/>
      <c r="B32" s="605" t="s">
        <v>132</v>
      </c>
      <c r="C32" s="612"/>
      <c r="D32" s="616">
        <f>D31*D38</f>
        <v>466671.80000000005</v>
      </c>
      <c r="E32" s="612"/>
      <c r="F32" s="613">
        <f>F31*F38</f>
        <v>97768.286800000002</v>
      </c>
      <c r="G32" s="613"/>
      <c r="H32" s="617">
        <f>H31*H38</f>
        <v>51335.35</v>
      </c>
      <c r="I32" s="617"/>
      <c r="J32" s="616">
        <f>J31*J38</f>
        <v>70000.77</v>
      </c>
      <c r="K32" s="613"/>
      <c r="L32" s="613">
        <f>L31*L38</f>
        <v>17000</v>
      </c>
      <c r="M32" s="613"/>
      <c r="N32" s="617">
        <f>N31*N38</f>
        <v>85500</v>
      </c>
      <c r="O32" s="613"/>
      <c r="P32" s="617">
        <f>P31*P38</f>
        <v>110500</v>
      </c>
      <c r="Q32" s="613"/>
      <c r="R32" s="617"/>
      <c r="S32" s="613"/>
      <c r="T32" s="613"/>
      <c r="U32" s="612"/>
      <c r="V32" s="613"/>
      <c r="W32" s="614"/>
      <c r="X32" s="588"/>
    </row>
    <row r="33" spans="1:27" s="589" customFormat="1" x14ac:dyDescent="0.25">
      <c r="A33" s="604"/>
      <c r="B33" s="610" t="s">
        <v>134</v>
      </c>
      <c r="C33" s="612"/>
      <c r="D33" s="619">
        <f>D37*D31</f>
        <v>455258.9</v>
      </c>
      <c r="E33" s="615"/>
      <c r="F33" s="618">
        <f>F37*F31</f>
        <v>95377.305200000003</v>
      </c>
      <c r="G33" s="618"/>
      <c r="H33" s="620">
        <f>H31*H37</f>
        <v>50079.964</v>
      </c>
      <c r="I33" s="620"/>
      <c r="J33" s="619">
        <f>J37*J31</f>
        <v>68288.835000000006</v>
      </c>
      <c r="K33" s="618"/>
      <c r="L33" s="618">
        <f>L31*L37</f>
        <v>17000</v>
      </c>
      <c r="M33" s="618"/>
      <c r="N33" s="620">
        <f>N31*N37</f>
        <v>85500</v>
      </c>
      <c r="O33" s="618"/>
      <c r="P33" s="620">
        <f>P31*P37</f>
        <v>110500</v>
      </c>
      <c r="Q33" s="618"/>
      <c r="R33" s="620"/>
      <c r="S33" s="613"/>
      <c r="T33" s="613"/>
      <c r="U33" s="612"/>
      <c r="V33" s="613"/>
      <c r="W33" s="614"/>
      <c r="X33" s="588"/>
    </row>
    <row r="34" spans="1:27" s="589" customFormat="1" x14ac:dyDescent="0.25">
      <c r="A34" s="608"/>
      <c r="B34" s="605" t="s">
        <v>286</v>
      </c>
      <c r="C34" s="615"/>
      <c r="D34" s="613">
        <v>492951</v>
      </c>
      <c r="E34" s="612"/>
      <c r="F34" s="613">
        <v>209500</v>
      </c>
      <c r="G34" s="613"/>
      <c r="H34" s="613">
        <v>74677</v>
      </c>
      <c r="I34" s="613"/>
      <c r="J34" s="613">
        <v>73943</v>
      </c>
      <c r="K34" s="613"/>
      <c r="L34" s="613">
        <v>17000</v>
      </c>
      <c r="M34" s="613"/>
      <c r="N34" s="613">
        <v>58045</v>
      </c>
      <c r="O34" s="613"/>
      <c r="P34" s="613">
        <v>75017</v>
      </c>
      <c r="Q34" s="613"/>
      <c r="R34" s="613"/>
      <c r="S34" s="618"/>
      <c r="T34" s="618"/>
      <c r="U34" s="615"/>
      <c r="V34" s="613">
        <f>SUM(C34:R34)</f>
        <v>1001133</v>
      </c>
      <c r="W34" s="614"/>
      <c r="X34" s="588"/>
    </row>
    <row r="35" spans="1:27" s="589" customFormat="1" x14ac:dyDescent="0.25">
      <c r="A35" s="608"/>
      <c r="B35" s="605" t="s">
        <v>287</v>
      </c>
      <c r="C35" s="615"/>
      <c r="D35" s="613">
        <f>D34*D38</f>
        <v>230046.33048180002</v>
      </c>
      <c r="E35" s="612"/>
      <c r="F35" s="613">
        <f>F34*F38</f>
        <v>97768.286800000002</v>
      </c>
      <c r="G35" s="613"/>
      <c r="H35" s="613">
        <f>H34*H38</f>
        <v>34850.635745</v>
      </c>
      <c r="I35" s="613"/>
      <c r="J35" s="613">
        <f>J34*J38</f>
        <v>34507.112907400005</v>
      </c>
      <c r="K35" s="613"/>
      <c r="L35" s="613">
        <f>L34*L38</f>
        <v>17000</v>
      </c>
      <c r="M35" s="613"/>
      <c r="N35" s="613">
        <f>N34*N38</f>
        <v>58045</v>
      </c>
      <c r="O35" s="613"/>
      <c r="P35" s="613">
        <f>P34*P38</f>
        <v>75017</v>
      </c>
      <c r="Q35" s="613"/>
      <c r="R35" s="613"/>
      <c r="S35" s="613"/>
      <c r="T35" s="613"/>
      <c r="U35" s="612"/>
      <c r="V35" s="613">
        <f>SUM(C35:R35)</f>
        <v>547234.3659342</v>
      </c>
      <c r="W35" s="614"/>
      <c r="X35" s="588"/>
    </row>
    <row r="36" spans="1:27" s="589" customFormat="1" x14ac:dyDescent="0.25">
      <c r="A36" s="608"/>
      <c r="B36" s="610" t="s">
        <v>288</v>
      </c>
      <c r="C36" s="615"/>
      <c r="D36" s="618">
        <f>D34*D37</f>
        <v>224420.33001390001</v>
      </c>
      <c r="E36" s="615"/>
      <c r="F36" s="618">
        <f>F34*F37</f>
        <v>95377.305200000003</v>
      </c>
      <c r="G36" s="618"/>
      <c r="H36" s="618">
        <f>H34*H37</f>
        <v>33998.377014800004</v>
      </c>
      <c r="I36" s="618"/>
      <c r="J36" s="618">
        <f>J34*J37</f>
        <v>33663.208842699998</v>
      </c>
      <c r="K36" s="618"/>
      <c r="L36" s="618">
        <f>L34*L37</f>
        <v>17000</v>
      </c>
      <c r="M36" s="618"/>
      <c r="N36" s="618">
        <f>N34*N37</f>
        <v>58045</v>
      </c>
      <c r="O36" s="618"/>
      <c r="P36" s="618">
        <f>P34*P37</f>
        <v>75017</v>
      </c>
      <c r="Q36" s="618"/>
      <c r="R36" s="618"/>
      <c r="S36" s="621"/>
      <c r="T36" s="621"/>
      <c r="U36" s="612"/>
      <c r="V36" s="618">
        <f>SUM(C36:R36)</f>
        <v>537521.22107139998</v>
      </c>
      <c r="W36" s="614"/>
      <c r="X36" s="588"/>
    </row>
    <row r="37" spans="1:27" s="629" customFormat="1" x14ac:dyDescent="0.25">
      <c r="A37" s="622"/>
      <c r="B37" s="623" t="s">
        <v>130</v>
      </c>
      <c r="C37" s="624"/>
      <c r="D37" s="625">
        <v>0.45525890000000002</v>
      </c>
      <c r="E37" s="625"/>
      <c r="F37" s="625">
        <v>0.45526159999999999</v>
      </c>
      <c r="G37" s="625"/>
      <c r="H37" s="625">
        <v>0.45527240000000002</v>
      </c>
      <c r="I37" s="625"/>
      <c r="J37" s="625">
        <v>0.45525890000000002</v>
      </c>
      <c r="K37" s="625"/>
      <c r="L37" s="625">
        <v>1</v>
      </c>
      <c r="M37" s="625"/>
      <c r="N37" s="625">
        <v>1</v>
      </c>
      <c r="O37" s="625"/>
      <c r="P37" s="625">
        <v>1</v>
      </c>
      <c r="Q37" s="625"/>
      <c r="R37" s="625"/>
      <c r="S37" s="626"/>
      <c r="T37" s="626"/>
      <c r="U37" s="624"/>
      <c r="V37" s="624"/>
      <c r="W37" s="627"/>
      <c r="X37" s="628"/>
    </row>
    <row r="38" spans="1:27" s="629" customFormat="1" x14ac:dyDescent="0.25">
      <c r="A38" s="622"/>
      <c r="B38" s="623" t="s">
        <v>131</v>
      </c>
      <c r="C38" s="624"/>
      <c r="D38" s="625">
        <v>0.46667180000000003</v>
      </c>
      <c r="E38" s="625"/>
      <c r="F38" s="625">
        <v>0.46667439999999999</v>
      </c>
      <c r="G38" s="625"/>
      <c r="H38" s="625">
        <v>0.46668500000000002</v>
      </c>
      <c r="I38" s="625"/>
      <c r="J38" s="625">
        <v>0.46667180000000003</v>
      </c>
      <c r="K38" s="625"/>
      <c r="L38" s="625">
        <v>1</v>
      </c>
      <c r="M38" s="625"/>
      <c r="N38" s="625">
        <v>1</v>
      </c>
      <c r="O38" s="625"/>
      <c r="P38" s="625">
        <v>1</v>
      </c>
      <c r="Q38" s="625"/>
      <c r="R38" s="625"/>
      <c r="S38" s="630"/>
      <c r="T38" s="631"/>
      <c r="U38" s="624"/>
      <c r="V38" s="630"/>
      <c r="W38" s="627"/>
      <c r="X38" s="628"/>
    </row>
    <row r="39" spans="1:27" s="629" customFormat="1" x14ac:dyDescent="0.25">
      <c r="A39" s="622"/>
      <c r="B39" s="624" t="s">
        <v>11</v>
      </c>
      <c r="C39" s="624"/>
      <c r="D39" s="626" t="s">
        <v>304</v>
      </c>
      <c r="E39" s="624"/>
      <c r="F39" s="626" t="s">
        <v>256</v>
      </c>
      <c r="G39" s="626"/>
      <c r="H39" s="626" t="s">
        <v>257</v>
      </c>
      <c r="I39" s="626"/>
      <c r="J39" s="626" t="s">
        <v>258</v>
      </c>
      <c r="K39" s="626"/>
      <c r="L39" s="626" t="s">
        <v>259</v>
      </c>
      <c r="M39" s="626"/>
      <c r="N39" s="626" t="s">
        <v>259</v>
      </c>
      <c r="O39" s="626"/>
      <c r="P39" s="626" t="s">
        <v>260</v>
      </c>
      <c r="Q39" s="626"/>
      <c r="R39" s="626"/>
      <c r="S39" s="630"/>
      <c r="T39" s="631"/>
      <c r="U39" s="624"/>
      <c r="V39" s="624"/>
      <c r="W39" s="627"/>
      <c r="X39" s="628"/>
    </row>
    <row r="40" spans="1:27" s="589" customFormat="1" x14ac:dyDescent="0.25">
      <c r="A40" s="604"/>
      <c r="B40" s="605" t="s">
        <v>12</v>
      </c>
      <c r="C40" s="605"/>
      <c r="D40" s="632">
        <v>1.83825E-2</v>
      </c>
      <c r="E40" s="605"/>
      <c r="F40" s="632">
        <v>1.0574999999999999E-2</v>
      </c>
      <c r="G40" s="633"/>
      <c r="H40" s="632">
        <v>0</v>
      </c>
      <c r="I40" s="632"/>
      <c r="J40" s="632">
        <v>2.11363E-2</v>
      </c>
      <c r="K40" s="633"/>
      <c r="L40" s="632">
        <v>1.3375E-2</v>
      </c>
      <c r="M40" s="633"/>
      <c r="N40" s="632">
        <v>1.4499999999999999E-3</v>
      </c>
      <c r="O40" s="633"/>
      <c r="P40" s="632">
        <v>7.0499999999999998E-3</v>
      </c>
      <c r="Q40" s="633"/>
      <c r="R40" s="632"/>
      <c r="S40" s="633"/>
      <c r="T40" s="632"/>
      <c r="U40" s="605"/>
      <c r="V40" s="611"/>
      <c r="W40" s="607"/>
      <c r="X40" s="588"/>
      <c r="AA40" s="589" t="s">
        <v>193</v>
      </c>
    </row>
    <row r="41" spans="1:27" s="589" customFormat="1" x14ac:dyDescent="0.25">
      <c r="A41" s="604"/>
      <c r="B41" s="605" t="s">
        <v>13</v>
      </c>
      <c r="C41" s="605"/>
      <c r="D41" s="632">
        <v>1.94538E-2</v>
      </c>
      <c r="E41" s="605"/>
      <c r="F41" s="632">
        <v>1.0413800000000001E-2</v>
      </c>
      <c r="G41" s="633"/>
      <c r="H41" s="632">
        <v>0</v>
      </c>
      <c r="I41" s="632"/>
      <c r="J41" s="632">
        <v>2.3385E-2</v>
      </c>
      <c r="K41" s="633"/>
      <c r="L41" s="632">
        <v>1.32138E-2</v>
      </c>
      <c r="M41" s="633"/>
      <c r="N41" s="632">
        <v>1.07E-3</v>
      </c>
      <c r="O41" s="633"/>
      <c r="P41" s="632">
        <v>6.6699999999999997E-3</v>
      </c>
      <c r="Q41" s="633"/>
      <c r="R41" s="632"/>
      <c r="S41" s="633"/>
      <c r="T41" s="632"/>
      <c r="U41" s="605"/>
      <c r="V41" s="633" t="s">
        <v>193</v>
      </c>
      <c r="W41" s="607"/>
      <c r="X41" s="588"/>
    </row>
    <row r="42" spans="1:27" s="589" customFormat="1" x14ac:dyDescent="0.25">
      <c r="A42" s="604"/>
      <c r="B42" s="605" t="s">
        <v>289</v>
      </c>
      <c r="C42" s="605"/>
      <c r="D42" s="611" t="s">
        <v>311</v>
      </c>
      <c r="E42" s="605"/>
      <c r="F42" s="611" t="s">
        <v>256</v>
      </c>
      <c r="G42" s="611"/>
      <c r="H42" s="611" t="s">
        <v>261</v>
      </c>
      <c r="I42" s="611"/>
      <c r="J42" s="611" t="s">
        <v>261</v>
      </c>
      <c r="K42" s="611"/>
      <c r="L42" s="611" t="s">
        <v>259</v>
      </c>
      <c r="M42" s="611"/>
      <c r="N42" s="611" t="s">
        <v>263</v>
      </c>
      <c r="O42" s="611"/>
      <c r="P42" s="611" t="s">
        <v>264</v>
      </c>
      <c r="Q42" s="611"/>
      <c r="R42" s="611"/>
      <c r="S42" s="633"/>
      <c r="T42" s="632"/>
      <c r="U42" s="605"/>
      <c r="V42" s="605"/>
      <c r="W42" s="607"/>
      <c r="X42" s="588"/>
    </row>
    <row r="43" spans="1:27" s="589" customFormat="1" x14ac:dyDescent="0.25">
      <c r="A43" s="604"/>
      <c r="B43" s="605" t="s">
        <v>290</v>
      </c>
      <c r="C43" s="634"/>
      <c r="D43" s="632">
        <v>9.9719000000000006E-3</v>
      </c>
      <c r="E43" s="632"/>
      <c r="F43" s="632">
        <f>+F40</f>
        <v>1.0574999999999999E-2</v>
      </c>
      <c r="G43" s="632"/>
      <c r="H43" s="632">
        <v>1.0725E-2</v>
      </c>
      <c r="I43" s="632"/>
      <c r="J43" s="632">
        <v>1.0755000000000001E-2</v>
      </c>
      <c r="K43" s="632"/>
      <c r="L43" s="632">
        <f>+L40</f>
        <v>1.3375E-2</v>
      </c>
      <c r="M43" s="632"/>
      <c r="N43" s="632">
        <v>1.4109E-2</v>
      </c>
      <c r="O43" s="632"/>
      <c r="P43" s="632">
        <v>2.0268999999999999E-2</v>
      </c>
      <c r="Q43" s="633"/>
      <c r="R43" s="632"/>
      <c r="S43" s="611"/>
      <c r="T43" s="611"/>
      <c r="U43" s="605"/>
      <c r="V43" s="633">
        <f>SUMPRODUCT(D43:R43,D35:R35)/V35</f>
        <v>1.2133096155594932E-2</v>
      </c>
      <c r="W43" s="607"/>
      <c r="X43" s="588"/>
    </row>
    <row r="44" spans="1:27" s="589" customFormat="1" x14ac:dyDescent="0.25">
      <c r="A44" s="604"/>
      <c r="B44" s="605" t="s">
        <v>291</v>
      </c>
      <c r="C44" s="634"/>
      <c r="D44" s="632">
        <v>9.8107000000000003E-3</v>
      </c>
      <c r="E44" s="632"/>
      <c r="F44" s="632">
        <f>+F41</f>
        <v>1.0413800000000001E-2</v>
      </c>
      <c r="G44" s="632"/>
      <c r="H44" s="632">
        <v>1.05638E-2</v>
      </c>
      <c r="I44" s="632"/>
      <c r="J44" s="632">
        <v>1.05938E-2</v>
      </c>
      <c r="K44" s="632"/>
      <c r="L44" s="632">
        <f>+L41</f>
        <v>1.32138E-2</v>
      </c>
      <c r="M44" s="632"/>
      <c r="N44" s="632">
        <v>1.39478E-2</v>
      </c>
      <c r="O44" s="632"/>
      <c r="P44" s="632">
        <v>2.0107799999999999E-2</v>
      </c>
      <c r="Q44" s="633"/>
      <c r="R44" s="632"/>
      <c r="S44" s="611"/>
      <c r="T44" s="611"/>
      <c r="U44" s="605"/>
      <c r="V44" s="605"/>
      <c r="W44" s="607"/>
      <c r="X44" s="588"/>
    </row>
    <row r="45" spans="1:27" s="589" customFormat="1" x14ac:dyDescent="0.25">
      <c r="A45" s="604"/>
      <c r="B45" s="605" t="s">
        <v>14</v>
      </c>
      <c r="C45" s="605"/>
      <c r="D45" s="634">
        <v>40709</v>
      </c>
      <c r="E45" s="634"/>
      <c r="F45" s="634">
        <v>40709</v>
      </c>
      <c r="G45" s="634"/>
      <c r="H45" s="634">
        <v>40709</v>
      </c>
      <c r="I45" s="634"/>
      <c r="J45" s="634">
        <v>40709</v>
      </c>
      <c r="K45" s="634"/>
      <c r="L45" s="634">
        <v>40709</v>
      </c>
      <c r="M45" s="634"/>
      <c r="N45" s="634">
        <v>40709</v>
      </c>
      <c r="O45" s="634"/>
      <c r="P45" s="634">
        <v>40709</v>
      </c>
      <c r="Q45" s="634"/>
      <c r="R45" s="634"/>
      <c r="S45" s="611"/>
      <c r="T45" s="611"/>
      <c r="U45" s="605"/>
      <c r="V45" s="605"/>
      <c r="W45" s="607"/>
      <c r="X45" s="588"/>
    </row>
    <row r="46" spans="1:27" s="589" customFormat="1" x14ac:dyDescent="0.25">
      <c r="A46" s="604"/>
      <c r="B46" s="605" t="s">
        <v>15</v>
      </c>
      <c r="C46" s="605"/>
      <c r="D46" s="634">
        <v>41075</v>
      </c>
      <c r="E46" s="634"/>
      <c r="F46" s="634">
        <v>41075</v>
      </c>
      <c r="G46" s="634"/>
      <c r="H46" s="634">
        <v>41075</v>
      </c>
      <c r="I46" s="634"/>
      <c r="J46" s="634">
        <v>41075</v>
      </c>
      <c r="K46" s="611"/>
      <c r="L46" s="634">
        <v>41075</v>
      </c>
      <c r="M46" s="611"/>
      <c r="N46" s="634">
        <v>41075</v>
      </c>
      <c r="O46" s="611"/>
      <c r="P46" s="634">
        <v>41075</v>
      </c>
      <c r="Q46" s="611"/>
      <c r="R46" s="634"/>
      <c r="S46" s="611"/>
      <c r="T46" s="611"/>
      <c r="U46" s="605"/>
      <c r="V46" s="605"/>
      <c r="W46" s="607"/>
      <c r="X46" s="588"/>
    </row>
    <row r="47" spans="1:27" s="589" customFormat="1" x14ac:dyDescent="0.25">
      <c r="A47" s="604"/>
      <c r="B47" s="605" t="s">
        <v>119</v>
      </c>
      <c r="C47" s="605"/>
      <c r="D47" s="611" t="s">
        <v>304</v>
      </c>
      <c r="E47" s="605"/>
      <c r="F47" s="611" t="s">
        <v>256</v>
      </c>
      <c r="G47" s="611"/>
      <c r="H47" s="611" t="s">
        <v>257</v>
      </c>
      <c r="I47" s="611"/>
      <c r="J47" s="611" t="s">
        <v>258</v>
      </c>
      <c r="K47" s="611"/>
      <c r="L47" s="611" t="s">
        <v>259</v>
      </c>
      <c r="M47" s="611"/>
      <c r="N47" s="611" t="s">
        <v>259</v>
      </c>
      <c r="O47" s="611"/>
      <c r="P47" s="611" t="s">
        <v>260</v>
      </c>
      <c r="Q47" s="611"/>
      <c r="R47" s="611"/>
      <c r="S47" s="635"/>
      <c r="T47" s="635"/>
      <c r="U47" s="635"/>
      <c r="V47" s="635"/>
      <c r="W47" s="607"/>
      <c r="X47" s="588"/>
    </row>
    <row r="48" spans="1:27" s="589" customFormat="1" x14ac:dyDescent="0.25">
      <c r="A48" s="604"/>
      <c r="B48" s="605" t="s">
        <v>292</v>
      </c>
      <c r="C48" s="605"/>
      <c r="D48" s="611" t="s">
        <v>311</v>
      </c>
      <c r="E48" s="605"/>
      <c r="F48" s="611" t="s">
        <v>256</v>
      </c>
      <c r="G48" s="611"/>
      <c r="H48" s="611" t="s">
        <v>261</v>
      </c>
      <c r="I48" s="611"/>
      <c r="J48" s="611" t="s">
        <v>261</v>
      </c>
      <c r="K48" s="611"/>
      <c r="L48" s="611" t="s">
        <v>259</v>
      </c>
      <c r="M48" s="611"/>
      <c r="N48" s="611" t="s">
        <v>263</v>
      </c>
      <c r="O48" s="611"/>
      <c r="P48" s="611" t="s">
        <v>264</v>
      </c>
      <c r="Q48" s="611"/>
      <c r="R48" s="611"/>
      <c r="S48" s="605"/>
      <c r="T48" s="605"/>
      <c r="U48" s="605"/>
      <c r="V48" s="633"/>
      <c r="W48" s="607"/>
      <c r="X48" s="588"/>
    </row>
    <row r="49" spans="1:25" s="589" customFormat="1" x14ac:dyDescent="0.25">
      <c r="A49" s="604"/>
      <c r="B49" s="605"/>
      <c r="C49" s="605"/>
      <c r="D49" s="611"/>
      <c r="E49" s="605"/>
      <c r="F49" s="611"/>
      <c r="G49" s="611"/>
      <c r="H49" s="611"/>
      <c r="I49" s="611"/>
      <c r="J49" s="611"/>
      <c r="K49" s="611"/>
      <c r="L49" s="611"/>
      <c r="M49" s="611"/>
      <c r="N49" s="611"/>
      <c r="O49" s="611"/>
      <c r="P49" s="611"/>
      <c r="Q49" s="611"/>
      <c r="R49" s="611"/>
      <c r="S49" s="605"/>
      <c r="T49" s="605"/>
      <c r="U49" s="605"/>
      <c r="V49" s="633" t="s">
        <v>193</v>
      </c>
      <c r="W49" s="607"/>
      <c r="X49" s="588"/>
    </row>
    <row r="50" spans="1:25" s="589" customFormat="1" x14ac:dyDescent="0.25">
      <c r="A50" s="604"/>
      <c r="B50" s="605" t="s">
        <v>169</v>
      </c>
      <c r="C50" s="605"/>
      <c r="D50" s="611"/>
      <c r="E50" s="605"/>
      <c r="F50" s="611"/>
      <c r="G50" s="611"/>
      <c r="H50" s="611"/>
      <c r="I50" s="611"/>
      <c r="J50" s="611"/>
      <c r="K50" s="611"/>
      <c r="L50" s="611"/>
      <c r="M50" s="611"/>
      <c r="N50" s="611"/>
      <c r="O50" s="611"/>
      <c r="P50" s="611"/>
      <c r="Q50" s="611"/>
      <c r="R50" s="611"/>
      <c r="S50" s="605"/>
      <c r="T50" s="605"/>
      <c r="U50" s="605"/>
      <c r="V50" s="633">
        <f>SUM(L34:R34)/SUM(D34:J34)</f>
        <v>0.17632136449250416</v>
      </c>
      <c r="W50" s="607"/>
      <c r="X50" s="588"/>
    </row>
    <row r="51" spans="1:25" s="589" customFormat="1" x14ac:dyDescent="0.25">
      <c r="A51" s="604"/>
      <c r="B51" s="605" t="s">
        <v>170</v>
      </c>
      <c r="C51" s="605"/>
      <c r="D51" s="605"/>
      <c r="E51" s="605"/>
      <c r="F51" s="636"/>
      <c r="G51" s="605"/>
      <c r="H51" s="605"/>
      <c r="I51" s="605"/>
      <c r="J51" s="605"/>
      <c r="K51" s="605"/>
      <c r="L51" s="605"/>
      <c r="M51" s="605"/>
      <c r="N51" s="605"/>
      <c r="O51" s="605"/>
      <c r="P51" s="605"/>
      <c r="Q51" s="605"/>
      <c r="R51" s="605"/>
      <c r="S51" s="605"/>
      <c r="T51" s="605"/>
      <c r="U51" s="605"/>
      <c r="V51" s="633">
        <f>SUM(L36:R36)/SUM(D36:J36)</f>
        <v>0.3872975318152177</v>
      </c>
      <c r="W51" s="607"/>
      <c r="X51" s="588"/>
    </row>
    <row r="52" spans="1:25" s="589" customFormat="1" x14ac:dyDescent="0.25">
      <c r="A52" s="604"/>
      <c r="B52" s="605" t="s">
        <v>171</v>
      </c>
      <c r="C52" s="605"/>
      <c r="D52" s="605"/>
      <c r="E52" s="605"/>
      <c r="F52" s="605"/>
      <c r="G52" s="605"/>
      <c r="H52" s="605"/>
      <c r="I52" s="605"/>
      <c r="J52" s="605"/>
      <c r="K52" s="605"/>
      <c r="L52" s="605"/>
      <c r="M52" s="605"/>
      <c r="N52" s="605"/>
      <c r="O52" s="605"/>
      <c r="P52" s="605"/>
      <c r="Q52" s="605"/>
      <c r="R52" s="605"/>
      <c r="S52" s="605"/>
      <c r="T52" s="611"/>
      <c r="U52" s="611"/>
      <c r="V52" s="613" t="s">
        <v>268</v>
      </c>
      <c r="W52" s="607"/>
      <c r="X52" s="588"/>
    </row>
    <row r="53" spans="1:25" s="589" customFormat="1" x14ac:dyDescent="0.25">
      <c r="A53" s="604"/>
      <c r="B53" s="605"/>
      <c r="C53" s="605"/>
      <c r="D53" s="605"/>
      <c r="E53" s="605"/>
      <c r="F53" s="605"/>
      <c r="G53" s="605"/>
      <c r="H53" s="605"/>
      <c r="I53" s="605"/>
      <c r="J53" s="605"/>
      <c r="K53" s="605"/>
      <c r="L53" s="605"/>
      <c r="M53" s="605"/>
      <c r="N53" s="605"/>
      <c r="O53" s="605"/>
      <c r="P53" s="605"/>
      <c r="Q53" s="605"/>
      <c r="R53" s="605"/>
      <c r="S53" s="605"/>
      <c r="T53" s="605"/>
      <c r="U53" s="605"/>
      <c r="V53" s="637"/>
      <c r="W53" s="607"/>
      <c r="X53" s="588"/>
    </row>
    <row r="54" spans="1:25" s="589" customFormat="1" x14ac:dyDescent="0.25">
      <c r="A54" s="604"/>
      <c r="B54" s="605" t="s">
        <v>202</v>
      </c>
      <c r="C54" s="605"/>
      <c r="D54" s="605"/>
      <c r="E54" s="605"/>
      <c r="F54" s="605"/>
      <c r="G54" s="605"/>
      <c r="H54" s="605"/>
      <c r="I54" s="605"/>
      <c r="J54" s="605"/>
      <c r="K54" s="605"/>
      <c r="L54" s="605"/>
      <c r="M54" s="605"/>
      <c r="N54" s="605"/>
      <c r="O54" s="605"/>
      <c r="P54" s="605"/>
      <c r="Q54" s="605"/>
      <c r="R54" s="605"/>
      <c r="S54" s="605"/>
      <c r="T54" s="605"/>
      <c r="U54" s="605"/>
      <c r="V54" s="621" t="s">
        <v>203</v>
      </c>
      <c r="W54" s="607"/>
      <c r="X54" s="588"/>
    </row>
    <row r="55" spans="1:25" s="589" customFormat="1" x14ac:dyDescent="0.25">
      <c r="A55" s="604"/>
      <c r="B55" s="605" t="s">
        <v>270</v>
      </c>
      <c r="C55" s="605"/>
      <c r="D55" s="605"/>
      <c r="E55" s="605"/>
      <c r="F55" s="605"/>
      <c r="G55" s="605"/>
      <c r="H55" s="605"/>
      <c r="I55" s="605"/>
      <c r="J55" s="605"/>
      <c r="K55" s="605"/>
      <c r="L55" s="605"/>
      <c r="M55" s="605"/>
      <c r="N55" s="605"/>
      <c r="O55" s="605"/>
      <c r="P55" s="605"/>
      <c r="Q55" s="605"/>
      <c r="R55" s="605"/>
      <c r="S55" s="605"/>
      <c r="T55" s="611"/>
      <c r="U55" s="611"/>
      <c r="V55" s="638" t="s">
        <v>111</v>
      </c>
      <c r="W55" s="607"/>
      <c r="X55" s="588"/>
    </row>
    <row r="56" spans="1:25" s="589" customFormat="1" x14ac:dyDescent="0.25">
      <c r="A56" s="604"/>
      <c r="B56" s="610" t="s">
        <v>201</v>
      </c>
      <c r="C56" s="610"/>
      <c r="D56" s="610"/>
      <c r="E56" s="610"/>
      <c r="F56" s="610"/>
      <c r="G56" s="610"/>
      <c r="H56" s="610"/>
      <c r="I56" s="610"/>
      <c r="J56" s="610"/>
      <c r="K56" s="610"/>
      <c r="L56" s="610"/>
      <c r="M56" s="610"/>
      <c r="N56" s="610"/>
      <c r="O56" s="610"/>
      <c r="P56" s="610"/>
      <c r="Q56" s="610"/>
      <c r="R56" s="610"/>
      <c r="S56" s="610"/>
      <c r="T56" s="639"/>
      <c r="U56" s="639"/>
      <c r="V56" s="640">
        <v>43906</v>
      </c>
      <c r="W56" s="607"/>
      <c r="X56" s="588"/>
    </row>
    <row r="57" spans="1:25" s="589" customFormat="1" x14ac:dyDescent="0.25">
      <c r="A57" s="604"/>
      <c r="B57" s="605" t="s">
        <v>121</v>
      </c>
      <c r="C57" s="605"/>
      <c r="D57" s="605"/>
      <c r="E57" s="605"/>
      <c r="F57" s="605"/>
      <c r="G57" s="605"/>
      <c r="H57" s="641"/>
      <c r="I57" s="641"/>
      <c r="J57" s="641"/>
      <c r="K57" s="641"/>
      <c r="L57" s="641"/>
      <c r="M57" s="641"/>
      <c r="N57" s="641"/>
      <c r="O57" s="641"/>
      <c r="P57" s="641"/>
      <c r="Q57" s="641"/>
      <c r="R57" s="605">
        <f>+V57-T57+1</f>
        <v>91</v>
      </c>
      <c r="S57" s="641"/>
      <c r="T57" s="642">
        <v>43724</v>
      </c>
      <c r="U57" s="643"/>
      <c r="V57" s="642">
        <v>43814</v>
      </c>
      <c r="W57" s="607"/>
      <c r="X57" s="588"/>
    </row>
    <row r="58" spans="1:25" s="589" customFormat="1" x14ac:dyDescent="0.25">
      <c r="A58" s="604"/>
      <c r="B58" s="605" t="s">
        <v>122</v>
      </c>
      <c r="C58" s="605"/>
      <c r="D58" s="605"/>
      <c r="E58" s="605"/>
      <c r="F58" s="605"/>
      <c r="G58" s="605"/>
      <c r="H58" s="605"/>
      <c r="I58" s="605"/>
      <c r="J58" s="605"/>
      <c r="K58" s="605"/>
      <c r="L58" s="605"/>
      <c r="M58" s="605"/>
      <c r="N58" s="605"/>
      <c r="O58" s="605"/>
      <c r="P58" s="605"/>
      <c r="Q58" s="605"/>
      <c r="R58" s="605">
        <f>+V58-T58+1</f>
        <v>91</v>
      </c>
      <c r="S58" s="605"/>
      <c r="T58" s="642">
        <v>43815</v>
      </c>
      <c r="U58" s="643"/>
      <c r="V58" s="642">
        <v>43905</v>
      </c>
      <c r="W58" s="607"/>
      <c r="X58" s="588"/>
    </row>
    <row r="59" spans="1:25" s="589" customFormat="1" x14ac:dyDescent="0.25">
      <c r="A59" s="604"/>
      <c r="B59" s="605" t="s">
        <v>223</v>
      </c>
      <c r="C59" s="605"/>
      <c r="D59" s="605"/>
      <c r="E59" s="605"/>
      <c r="F59" s="605"/>
      <c r="G59" s="605"/>
      <c r="H59" s="605"/>
      <c r="I59" s="605"/>
      <c r="J59" s="605"/>
      <c r="K59" s="605"/>
      <c r="L59" s="605"/>
      <c r="M59" s="605"/>
      <c r="N59" s="605"/>
      <c r="O59" s="605"/>
      <c r="P59" s="605"/>
      <c r="Q59" s="605"/>
      <c r="R59" s="605"/>
      <c r="S59" s="605"/>
      <c r="T59" s="642"/>
      <c r="U59" s="643"/>
      <c r="V59" s="642" t="s">
        <v>120</v>
      </c>
      <c r="W59" s="607"/>
      <c r="X59" s="588"/>
    </row>
    <row r="60" spans="1:25" s="589" customFormat="1" x14ac:dyDescent="0.25">
      <c r="A60" s="604"/>
      <c r="B60" s="605" t="s">
        <v>271</v>
      </c>
      <c r="C60" s="605"/>
      <c r="D60" s="605"/>
      <c r="E60" s="605"/>
      <c r="F60" s="605"/>
      <c r="G60" s="605"/>
      <c r="H60" s="605"/>
      <c r="I60" s="605"/>
      <c r="J60" s="605"/>
      <c r="K60" s="605"/>
      <c r="L60" s="605"/>
      <c r="M60" s="605"/>
      <c r="N60" s="605"/>
      <c r="O60" s="605"/>
      <c r="P60" s="605"/>
      <c r="Q60" s="605"/>
      <c r="R60" s="605"/>
      <c r="S60" s="605"/>
      <c r="T60" s="642"/>
      <c r="U60" s="643"/>
      <c r="V60" s="642" t="s">
        <v>154</v>
      </c>
      <c r="W60" s="607"/>
      <c r="X60" s="588"/>
      <c r="Y60" s="644"/>
    </row>
    <row r="61" spans="1:25" s="589" customFormat="1" x14ac:dyDescent="0.25">
      <c r="A61" s="604"/>
      <c r="B61" s="605" t="s">
        <v>16</v>
      </c>
      <c r="C61" s="605"/>
      <c r="D61" s="605"/>
      <c r="E61" s="605"/>
      <c r="F61" s="605"/>
      <c r="G61" s="605"/>
      <c r="H61" s="605"/>
      <c r="I61" s="605"/>
      <c r="J61" s="605"/>
      <c r="K61" s="605"/>
      <c r="L61" s="605"/>
      <c r="M61" s="605"/>
      <c r="N61" s="605"/>
      <c r="O61" s="605"/>
      <c r="P61" s="605"/>
      <c r="Q61" s="605"/>
      <c r="R61" s="605"/>
      <c r="S61" s="605"/>
      <c r="T61" s="642"/>
      <c r="U61" s="643"/>
      <c r="V61" s="642">
        <v>43892</v>
      </c>
      <c r="W61" s="607"/>
      <c r="X61" s="588"/>
    </row>
    <row r="62" spans="1:25" s="589" customFormat="1" x14ac:dyDescent="0.25">
      <c r="A62" s="585"/>
      <c r="B62" s="602"/>
      <c r="C62" s="602"/>
      <c r="D62" s="602"/>
      <c r="E62" s="602"/>
      <c r="F62" s="602"/>
      <c r="G62" s="602"/>
      <c r="H62" s="602"/>
      <c r="I62" s="602"/>
      <c r="J62" s="602"/>
      <c r="K62" s="602"/>
      <c r="L62" s="602"/>
      <c r="M62" s="602"/>
      <c r="N62" s="602"/>
      <c r="O62" s="602"/>
      <c r="P62" s="602"/>
      <c r="Q62" s="602"/>
      <c r="R62" s="602"/>
      <c r="S62" s="602"/>
      <c r="T62" s="645"/>
      <c r="U62" s="646"/>
      <c r="V62" s="645"/>
      <c r="W62" s="602"/>
      <c r="X62" s="588"/>
    </row>
    <row r="63" spans="1:25" s="589" customFormat="1" x14ac:dyDescent="0.25">
      <c r="A63" s="585"/>
      <c r="B63" s="586"/>
      <c r="C63" s="586"/>
      <c r="D63" s="586"/>
      <c r="E63" s="586"/>
      <c r="F63" s="586"/>
      <c r="G63" s="586"/>
      <c r="H63" s="586"/>
      <c r="I63" s="586"/>
      <c r="J63" s="586"/>
      <c r="K63" s="586"/>
      <c r="L63" s="586"/>
      <c r="M63" s="586"/>
      <c r="N63" s="586"/>
      <c r="O63" s="586"/>
      <c r="P63" s="586"/>
      <c r="Q63" s="586"/>
      <c r="R63" s="586"/>
      <c r="S63" s="586"/>
      <c r="T63" s="647"/>
      <c r="U63" s="648"/>
      <c r="V63" s="647"/>
      <c r="W63" s="586"/>
      <c r="X63" s="588"/>
    </row>
    <row r="64" spans="1:25" s="589" customFormat="1" ht="19.5" thickBot="1" x14ac:dyDescent="0.35">
      <c r="A64" s="649"/>
      <c r="B64" s="568" t="s">
        <v>355</v>
      </c>
      <c r="C64" s="650"/>
      <c r="D64" s="650"/>
      <c r="E64" s="650"/>
      <c r="F64" s="650"/>
      <c r="G64" s="650"/>
      <c r="H64" s="650"/>
      <c r="I64" s="650"/>
      <c r="J64" s="650"/>
      <c r="K64" s="650"/>
      <c r="L64" s="650"/>
      <c r="M64" s="650"/>
      <c r="N64" s="650"/>
      <c r="O64" s="650"/>
      <c r="P64" s="650"/>
      <c r="Q64" s="650"/>
      <c r="R64" s="650"/>
      <c r="S64" s="650"/>
      <c r="T64" s="650"/>
      <c r="U64" s="650"/>
      <c r="V64" s="651"/>
      <c r="W64" s="652"/>
      <c r="X64" s="588"/>
    </row>
    <row r="65" spans="1:24" x14ac:dyDescent="0.25">
      <c r="A65" s="597"/>
      <c r="B65" s="653" t="s">
        <v>17</v>
      </c>
      <c r="C65" s="654"/>
      <c r="D65" s="654"/>
      <c r="E65" s="654"/>
      <c r="F65" s="654"/>
      <c r="G65" s="654"/>
      <c r="H65" s="654"/>
      <c r="I65" s="654"/>
      <c r="J65" s="654"/>
      <c r="K65" s="654"/>
      <c r="L65" s="654"/>
      <c r="M65" s="654"/>
      <c r="N65" s="654"/>
      <c r="O65" s="654"/>
      <c r="P65" s="654"/>
      <c r="Q65" s="654"/>
      <c r="R65" s="654"/>
      <c r="S65" s="654"/>
      <c r="T65" s="654"/>
      <c r="U65" s="654"/>
      <c r="V65" s="655"/>
      <c r="W65" s="654"/>
      <c r="X65" s="572"/>
    </row>
    <row r="66" spans="1:24" x14ac:dyDescent="0.25">
      <c r="A66" s="574"/>
      <c r="B66" s="583"/>
      <c r="C66" s="576"/>
      <c r="D66" s="576"/>
      <c r="E66" s="576"/>
      <c r="F66" s="576"/>
      <c r="G66" s="576"/>
      <c r="H66" s="576"/>
      <c r="I66" s="576"/>
      <c r="J66" s="576"/>
      <c r="K66" s="576"/>
      <c r="L66" s="576"/>
      <c r="M66" s="576"/>
      <c r="N66" s="576"/>
      <c r="O66" s="576"/>
      <c r="P66" s="576"/>
      <c r="Q66" s="576"/>
      <c r="R66" s="576"/>
      <c r="S66" s="576"/>
      <c r="T66" s="576"/>
      <c r="U66" s="576"/>
      <c r="V66" s="656"/>
      <c r="W66" s="576"/>
      <c r="X66" s="572"/>
    </row>
    <row r="67" spans="1:24" s="629" customFormat="1" ht="47.25" x14ac:dyDescent="0.25">
      <c r="A67" s="657"/>
      <c r="B67" s="658" t="s">
        <v>18</v>
      </c>
      <c r="C67" s="659"/>
      <c r="D67" s="659"/>
      <c r="E67" s="659"/>
      <c r="F67" s="659"/>
      <c r="G67" s="659"/>
      <c r="H67" s="659"/>
      <c r="I67" s="659"/>
      <c r="J67" s="659"/>
      <c r="K67" s="659"/>
      <c r="L67" s="659" t="s">
        <v>94</v>
      </c>
      <c r="M67" s="659"/>
      <c r="N67" s="659" t="s">
        <v>96</v>
      </c>
      <c r="O67" s="659"/>
      <c r="P67" s="659" t="s">
        <v>98</v>
      </c>
      <c r="Q67" s="659"/>
      <c r="R67" s="659" t="s">
        <v>100</v>
      </c>
      <c r="S67" s="659"/>
      <c r="T67" s="659" t="s">
        <v>106</v>
      </c>
      <c r="U67" s="659"/>
      <c r="V67" s="660" t="s">
        <v>112</v>
      </c>
      <c r="W67" s="661"/>
      <c r="X67" s="628"/>
    </row>
    <row r="68" spans="1:24" s="589" customFormat="1" x14ac:dyDescent="0.25">
      <c r="A68" s="604"/>
      <c r="B68" s="605" t="s">
        <v>19</v>
      </c>
      <c r="C68" s="662"/>
      <c r="D68" s="662"/>
      <c r="E68" s="662"/>
      <c r="F68" s="662"/>
      <c r="G68" s="662"/>
      <c r="H68" s="662"/>
      <c r="I68" s="662"/>
      <c r="J68" s="662"/>
      <c r="K68" s="662"/>
      <c r="L68" s="662">
        <v>812446</v>
      </c>
      <c r="M68" s="662"/>
      <c r="N68" s="663">
        <v>547234</v>
      </c>
      <c r="O68" s="662"/>
      <c r="P68" s="662">
        <v>9713</v>
      </c>
      <c r="Q68" s="662"/>
      <c r="R68" s="662">
        <v>0</v>
      </c>
      <c r="S68" s="662"/>
      <c r="T68" s="662">
        <v>0</v>
      </c>
      <c r="U68" s="662"/>
      <c r="V68" s="663">
        <f>+N68-P68+R68-T68</f>
        <v>537521</v>
      </c>
      <c r="W68" s="607"/>
      <c r="X68" s="588"/>
    </row>
    <row r="69" spans="1:24" s="589" customFormat="1" x14ac:dyDescent="0.25">
      <c r="A69" s="604"/>
      <c r="B69" s="605" t="s">
        <v>20</v>
      </c>
      <c r="C69" s="662"/>
      <c r="D69" s="662"/>
      <c r="E69" s="662"/>
      <c r="F69" s="662"/>
      <c r="G69" s="662"/>
      <c r="H69" s="662"/>
      <c r="I69" s="662"/>
      <c r="J69" s="662"/>
      <c r="K69" s="662"/>
      <c r="L69" s="662">
        <v>0</v>
      </c>
      <c r="M69" s="662"/>
      <c r="N69" s="663">
        <v>0</v>
      </c>
      <c r="O69" s="662"/>
      <c r="P69" s="662">
        <v>0</v>
      </c>
      <c r="Q69" s="662"/>
      <c r="R69" s="662">
        <v>0</v>
      </c>
      <c r="S69" s="662"/>
      <c r="T69" s="662">
        <v>0</v>
      </c>
      <c r="U69" s="662"/>
      <c r="V69" s="663">
        <f>+L69-P69</f>
        <v>0</v>
      </c>
      <c r="W69" s="607"/>
      <c r="X69" s="588"/>
    </row>
    <row r="70" spans="1:24" s="589" customFormat="1" x14ac:dyDescent="0.25">
      <c r="A70" s="604"/>
      <c r="B70" s="605"/>
      <c r="C70" s="662"/>
      <c r="D70" s="662"/>
      <c r="E70" s="662"/>
      <c r="F70" s="662"/>
      <c r="G70" s="662"/>
      <c r="H70" s="662"/>
      <c r="I70" s="662"/>
      <c r="J70" s="662"/>
      <c r="K70" s="662"/>
      <c r="L70" s="662"/>
      <c r="M70" s="662"/>
      <c r="N70" s="663"/>
      <c r="O70" s="662"/>
      <c r="P70" s="662"/>
      <c r="Q70" s="662"/>
      <c r="R70" s="662"/>
      <c r="S70" s="662"/>
      <c r="T70" s="662"/>
      <c r="U70" s="662"/>
      <c r="V70" s="663"/>
      <c r="W70" s="607"/>
      <c r="X70" s="588"/>
    </row>
    <row r="71" spans="1:24" s="589" customFormat="1" x14ac:dyDescent="0.25">
      <c r="A71" s="604"/>
      <c r="B71" s="605" t="s">
        <v>21</v>
      </c>
      <c r="C71" s="662"/>
      <c r="D71" s="662"/>
      <c r="E71" s="662"/>
      <c r="F71" s="662"/>
      <c r="G71" s="662"/>
      <c r="H71" s="662"/>
      <c r="I71" s="662"/>
      <c r="J71" s="662"/>
      <c r="K71" s="662"/>
      <c r="L71" s="662">
        <f>SUM(L68:L70)</f>
        <v>812446</v>
      </c>
      <c r="M71" s="662"/>
      <c r="N71" s="662">
        <f>N68+N69</f>
        <v>547234</v>
      </c>
      <c r="O71" s="662"/>
      <c r="P71" s="662">
        <f>SUM(P68:P70)</f>
        <v>9713</v>
      </c>
      <c r="Q71" s="662"/>
      <c r="R71" s="662">
        <f>SUM(R68:R70)</f>
        <v>0</v>
      </c>
      <c r="S71" s="662"/>
      <c r="T71" s="662">
        <f>SUM(T68:T70)</f>
        <v>0</v>
      </c>
      <c r="U71" s="662"/>
      <c r="V71" s="662">
        <f>SUM(V68:V70)</f>
        <v>537521</v>
      </c>
      <c r="W71" s="607"/>
      <c r="X71" s="588"/>
    </row>
    <row r="72" spans="1:24" x14ac:dyDescent="0.25">
      <c r="A72" s="574"/>
      <c r="B72" s="664"/>
      <c r="C72" s="665"/>
      <c r="D72" s="665"/>
      <c r="E72" s="665"/>
      <c r="F72" s="665"/>
      <c r="G72" s="665"/>
      <c r="H72" s="665"/>
      <c r="I72" s="665"/>
      <c r="J72" s="665"/>
      <c r="K72" s="665"/>
      <c r="L72" s="665"/>
      <c r="M72" s="665"/>
      <c r="N72" s="665"/>
      <c r="O72" s="665"/>
      <c r="P72" s="665"/>
      <c r="Q72" s="665"/>
      <c r="R72" s="665"/>
      <c r="S72" s="665"/>
      <c r="T72" s="665"/>
      <c r="U72" s="665"/>
      <c r="V72" s="666"/>
      <c r="W72" s="664"/>
      <c r="X72" s="572"/>
    </row>
    <row r="73" spans="1:24" x14ac:dyDescent="0.25">
      <c r="A73" s="574"/>
      <c r="B73" s="578" t="s">
        <v>22</v>
      </c>
      <c r="C73" s="667"/>
      <c r="D73" s="667"/>
      <c r="E73" s="667"/>
      <c r="F73" s="667"/>
      <c r="G73" s="667"/>
      <c r="H73" s="667"/>
      <c r="I73" s="667"/>
      <c r="J73" s="667"/>
      <c r="K73" s="667"/>
      <c r="L73" s="667"/>
      <c r="M73" s="667"/>
      <c r="N73" s="667"/>
      <c r="O73" s="667"/>
      <c r="P73" s="667"/>
      <c r="Q73" s="667"/>
      <c r="R73" s="667"/>
      <c r="S73" s="667"/>
      <c r="T73" s="667"/>
      <c r="U73" s="667"/>
      <c r="V73" s="668"/>
      <c r="W73" s="576"/>
      <c r="X73" s="572"/>
    </row>
    <row r="74" spans="1:24" x14ac:dyDescent="0.25">
      <c r="A74" s="574"/>
      <c r="B74" s="576"/>
      <c r="C74" s="667"/>
      <c r="D74" s="667"/>
      <c r="E74" s="667"/>
      <c r="F74" s="667"/>
      <c r="G74" s="667"/>
      <c r="H74" s="667"/>
      <c r="I74" s="667"/>
      <c r="J74" s="667"/>
      <c r="K74" s="667"/>
      <c r="L74" s="667"/>
      <c r="M74" s="667"/>
      <c r="N74" s="667"/>
      <c r="O74" s="667"/>
      <c r="P74" s="667"/>
      <c r="Q74" s="667"/>
      <c r="R74" s="667"/>
      <c r="S74" s="667"/>
      <c r="T74" s="667"/>
      <c r="U74" s="667"/>
      <c r="V74" s="668"/>
      <c r="W74" s="576"/>
      <c r="X74" s="572"/>
    </row>
    <row r="75" spans="1:24" s="589" customFormat="1" x14ac:dyDescent="0.25">
      <c r="A75" s="604"/>
      <c r="B75" s="605" t="s">
        <v>19</v>
      </c>
      <c r="C75" s="662"/>
      <c r="D75" s="662"/>
      <c r="E75" s="662"/>
      <c r="F75" s="662"/>
      <c r="G75" s="662"/>
      <c r="H75" s="662"/>
      <c r="I75" s="662"/>
      <c r="J75" s="662"/>
      <c r="K75" s="662"/>
      <c r="L75" s="662"/>
      <c r="M75" s="662"/>
      <c r="N75" s="662"/>
      <c r="O75" s="662"/>
      <c r="P75" s="662"/>
      <c r="Q75" s="662"/>
      <c r="R75" s="662"/>
      <c r="S75" s="662"/>
      <c r="T75" s="662"/>
      <c r="U75" s="662"/>
      <c r="V75" s="662"/>
      <c r="W75" s="607"/>
      <c r="X75" s="588"/>
    </row>
    <row r="76" spans="1:24" s="589" customFormat="1" x14ac:dyDescent="0.25">
      <c r="A76" s="604"/>
      <c r="B76" s="605" t="s">
        <v>20</v>
      </c>
      <c r="C76" s="662"/>
      <c r="D76" s="662"/>
      <c r="E76" s="662"/>
      <c r="F76" s="662"/>
      <c r="G76" s="662"/>
      <c r="H76" s="662"/>
      <c r="I76" s="662"/>
      <c r="J76" s="662"/>
      <c r="K76" s="662"/>
      <c r="L76" s="662"/>
      <c r="M76" s="662"/>
      <c r="N76" s="662"/>
      <c r="O76" s="662"/>
      <c r="P76" s="662"/>
      <c r="Q76" s="662"/>
      <c r="R76" s="662"/>
      <c r="S76" s="662"/>
      <c r="T76" s="662"/>
      <c r="U76" s="662"/>
      <c r="V76" s="662"/>
      <c r="W76" s="607"/>
      <c r="X76" s="588"/>
    </row>
    <row r="77" spans="1:24" s="589" customFormat="1" x14ac:dyDescent="0.25">
      <c r="A77" s="604"/>
      <c r="B77" s="605"/>
      <c r="C77" s="662"/>
      <c r="D77" s="662"/>
      <c r="E77" s="662"/>
      <c r="F77" s="662"/>
      <c r="G77" s="662"/>
      <c r="H77" s="662"/>
      <c r="I77" s="662"/>
      <c r="J77" s="662"/>
      <c r="K77" s="662"/>
      <c r="L77" s="662"/>
      <c r="M77" s="662"/>
      <c r="N77" s="662"/>
      <c r="O77" s="662"/>
      <c r="P77" s="662"/>
      <c r="Q77" s="662"/>
      <c r="R77" s="662"/>
      <c r="S77" s="662"/>
      <c r="T77" s="662"/>
      <c r="U77" s="662"/>
      <c r="V77" s="662"/>
      <c r="W77" s="607"/>
      <c r="X77" s="588"/>
    </row>
    <row r="78" spans="1:24" s="589" customFormat="1" x14ac:dyDescent="0.25">
      <c r="A78" s="604"/>
      <c r="B78" s="605" t="s">
        <v>21</v>
      </c>
      <c r="C78" s="662"/>
      <c r="D78" s="662"/>
      <c r="E78" s="662"/>
      <c r="F78" s="662"/>
      <c r="G78" s="662"/>
      <c r="H78" s="662"/>
      <c r="I78" s="662"/>
      <c r="J78" s="662"/>
      <c r="K78" s="662"/>
      <c r="L78" s="662"/>
      <c r="M78" s="662"/>
      <c r="N78" s="662"/>
      <c r="O78" s="662"/>
      <c r="P78" s="662"/>
      <c r="Q78" s="662"/>
      <c r="R78" s="662"/>
      <c r="S78" s="662"/>
      <c r="T78" s="662"/>
      <c r="U78" s="662"/>
      <c r="V78" s="662"/>
      <c r="W78" s="607"/>
      <c r="X78" s="588"/>
    </row>
    <row r="79" spans="1:24" s="589" customFormat="1" x14ac:dyDescent="0.25">
      <c r="A79" s="604"/>
      <c r="B79" s="605"/>
      <c r="C79" s="662"/>
      <c r="D79" s="662"/>
      <c r="E79" s="662"/>
      <c r="F79" s="662"/>
      <c r="G79" s="662"/>
      <c r="H79" s="662"/>
      <c r="I79" s="662"/>
      <c r="J79" s="662"/>
      <c r="K79" s="662"/>
      <c r="L79" s="662"/>
      <c r="M79" s="662"/>
      <c r="N79" s="662"/>
      <c r="O79" s="662"/>
      <c r="P79" s="662"/>
      <c r="Q79" s="662"/>
      <c r="R79" s="662"/>
      <c r="S79" s="662"/>
      <c r="T79" s="662"/>
      <c r="U79" s="662"/>
      <c r="V79" s="662"/>
      <c r="W79" s="607"/>
      <c r="X79" s="588"/>
    </row>
    <row r="80" spans="1:24" s="589" customFormat="1" x14ac:dyDescent="0.25">
      <c r="A80" s="604"/>
      <c r="B80" s="605" t="s">
        <v>23</v>
      </c>
      <c r="C80" s="662"/>
      <c r="D80" s="662"/>
      <c r="E80" s="662"/>
      <c r="F80" s="662"/>
      <c r="G80" s="662"/>
      <c r="H80" s="662"/>
      <c r="I80" s="662"/>
      <c r="J80" s="662"/>
      <c r="K80" s="662"/>
      <c r="L80" s="662">
        <v>0</v>
      </c>
      <c r="M80" s="662"/>
      <c r="N80" s="662">
        <v>0</v>
      </c>
      <c r="O80" s="662"/>
      <c r="P80" s="662"/>
      <c r="Q80" s="662"/>
      <c r="R80" s="662"/>
      <c r="S80" s="662"/>
      <c r="T80" s="662"/>
      <c r="U80" s="662"/>
      <c r="V80" s="663">
        <v>0</v>
      </c>
      <c r="W80" s="607"/>
      <c r="X80" s="588"/>
    </row>
    <row r="81" spans="1:24" s="589" customFormat="1" x14ac:dyDescent="0.25">
      <c r="A81" s="604"/>
      <c r="B81" s="605" t="s">
        <v>117</v>
      </c>
      <c r="C81" s="662"/>
      <c r="D81" s="662"/>
      <c r="E81" s="662"/>
      <c r="F81" s="662"/>
      <c r="G81" s="662"/>
      <c r="H81" s="662"/>
      <c r="I81" s="662"/>
      <c r="J81" s="662"/>
      <c r="K81" s="662"/>
      <c r="L81" s="662">
        <v>188687</v>
      </c>
      <c r="M81" s="662"/>
      <c r="N81" s="662">
        <v>0</v>
      </c>
      <c r="O81" s="662"/>
      <c r="P81" s="662">
        <v>0</v>
      </c>
      <c r="Q81" s="662"/>
      <c r="R81" s="662"/>
      <c r="S81" s="662"/>
      <c r="T81" s="662"/>
      <c r="U81" s="662"/>
      <c r="V81" s="662">
        <f>SUM(N81:R81)</f>
        <v>0</v>
      </c>
      <c r="W81" s="607"/>
      <c r="X81" s="588"/>
    </row>
    <row r="82" spans="1:24" s="589" customFormat="1" x14ac:dyDescent="0.25">
      <c r="A82" s="604"/>
      <c r="B82" s="605" t="s">
        <v>146</v>
      </c>
      <c r="C82" s="662"/>
      <c r="D82" s="662"/>
      <c r="E82" s="662"/>
      <c r="F82" s="662"/>
      <c r="G82" s="662"/>
      <c r="H82" s="662"/>
      <c r="I82" s="662"/>
      <c r="J82" s="662"/>
      <c r="K82" s="662"/>
      <c r="L82" s="662">
        <v>0</v>
      </c>
      <c r="M82" s="662"/>
      <c r="N82" s="662">
        <v>0</v>
      </c>
      <c r="O82" s="662"/>
      <c r="P82" s="662">
        <v>0</v>
      </c>
      <c r="Q82" s="662"/>
      <c r="R82" s="662"/>
      <c r="S82" s="662"/>
      <c r="T82" s="662"/>
      <c r="U82" s="662"/>
      <c r="V82" s="662">
        <f>+N82+P82</f>
        <v>0</v>
      </c>
      <c r="W82" s="607"/>
      <c r="X82" s="588"/>
    </row>
    <row r="83" spans="1:24" s="589" customFormat="1" x14ac:dyDescent="0.25">
      <c r="A83" s="604"/>
      <c r="B83" s="605" t="s">
        <v>25</v>
      </c>
      <c r="C83" s="662"/>
      <c r="D83" s="662"/>
      <c r="E83" s="662"/>
      <c r="F83" s="662"/>
      <c r="G83" s="662"/>
      <c r="H83" s="662"/>
      <c r="I83" s="662"/>
      <c r="J83" s="662"/>
      <c r="K83" s="662"/>
      <c r="L83" s="662">
        <v>0</v>
      </c>
      <c r="M83" s="662"/>
      <c r="N83" s="662">
        <v>0</v>
      </c>
      <c r="O83" s="662"/>
      <c r="P83" s="662"/>
      <c r="Q83" s="662"/>
      <c r="R83" s="662"/>
      <c r="S83" s="662"/>
      <c r="T83" s="662"/>
      <c r="U83" s="662"/>
      <c r="V83" s="662">
        <v>0</v>
      </c>
      <c r="W83" s="607"/>
      <c r="X83" s="588"/>
    </row>
    <row r="84" spans="1:24" s="589" customFormat="1" x14ac:dyDescent="0.25">
      <c r="A84" s="604"/>
      <c r="B84" s="605" t="s">
        <v>26</v>
      </c>
      <c r="C84" s="662"/>
      <c r="D84" s="662"/>
      <c r="E84" s="662"/>
      <c r="F84" s="662"/>
      <c r="G84" s="662"/>
      <c r="H84" s="662"/>
      <c r="I84" s="662"/>
      <c r="J84" s="662"/>
      <c r="K84" s="662"/>
      <c r="L84" s="662">
        <f>SUM(L71:L83)</f>
        <v>1001133</v>
      </c>
      <c r="M84" s="662"/>
      <c r="N84" s="662">
        <f>SUM(N71:N83)</f>
        <v>547234</v>
      </c>
      <c r="O84" s="662"/>
      <c r="P84" s="662"/>
      <c r="Q84" s="662"/>
      <c r="R84" s="662"/>
      <c r="S84" s="662"/>
      <c r="T84" s="662"/>
      <c r="U84" s="662"/>
      <c r="V84" s="662">
        <f>SUM(V71:V83)</f>
        <v>537521</v>
      </c>
      <c r="W84" s="607"/>
      <c r="X84" s="588"/>
    </row>
    <row r="85" spans="1:24" x14ac:dyDescent="0.25">
      <c r="A85" s="574"/>
      <c r="B85" s="664"/>
      <c r="C85" s="665"/>
      <c r="D85" s="665"/>
      <c r="E85" s="665"/>
      <c r="F85" s="665"/>
      <c r="G85" s="665"/>
      <c r="H85" s="665"/>
      <c r="I85" s="665"/>
      <c r="J85" s="665"/>
      <c r="K85" s="665"/>
      <c r="L85" s="665"/>
      <c r="M85" s="665"/>
      <c r="N85" s="665"/>
      <c r="O85" s="665"/>
      <c r="P85" s="665"/>
      <c r="Q85" s="665"/>
      <c r="R85" s="665"/>
      <c r="S85" s="665"/>
      <c r="T85" s="665"/>
      <c r="U85" s="665"/>
      <c r="V85" s="666"/>
      <c r="W85" s="664"/>
      <c r="X85" s="572"/>
    </row>
    <row r="86" spans="1:24" x14ac:dyDescent="0.25">
      <c r="A86" s="574"/>
      <c r="B86" s="576"/>
      <c r="C86" s="576"/>
      <c r="D86" s="576"/>
      <c r="E86" s="576"/>
      <c r="F86" s="576"/>
      <c r="G86" s="576"/>
      <c r="H86" s="576"/>
      <c r="I86" s="576"/>
      <c r="J86" s="576"/>
      <c r="K86" s="576"/>
      <c r="L86" s="576"/>
      <c r="M86" s="576"/>
      <c r="N86" s="576"/>
      <c r="O86" s="576"/>
      <c r="P86" s="576"/>
      <c r="Q86" s="576"/>
      <c r="R86" s="576"/>
      <c r="S86" s="576"/>
      <c r="T86" s="576"/>
      <c r="U86" s="576"/>
      <c r="V86" s="576"/>
      <c r="W86" s="576"/>
      <c r="X86" s="572"/>
    </row>
    <row r="87" spans="1:24" x14ac:dyDescent="0.25">
      <c r="A87" s="597"/>
      <c r="B87" s="669" t="s">
        <v>27</v>
      </c>
      <c r="C87" s="669"/>
      <c r="D87" s="669"/>
      <c r="E87" s="669"/>
      <c r="F87" s="669"/>
      <c r="G87" s="669"/>
      <c r="H87" s="670"/>
      <c r="I87" s="670"/>
      <c r="J87" s="670"/>
      <c r="K87" s="670"/>
      <c r="L87" s="671" t="s">
        <v>95</v>
      </c>
      <c r="M87" s="670"/>
      <c r="N87" s="672">
        <f>+T205</f>
        <v>43889</v>
      </c>
      <c r="O87" s="670"/>
      <c r="P87" s="670"/>
      <c r="Q87" s="670"/>
      <c r="R87" s="670"/>
      <c r="S87" s="670"/>
      <c r="T87" s="670" t="s">
        <v>107</v>
      </c>
      <c r="U87" s="670"/>
      <c r="V87" s="670" t="s">
        <v>113</v>
      </c>
      <c r="W87" s="601"/>
      <c r="X87" s="572"/>
    </row>
    <row r="88" spans="1:24" s="589" customFormat="1" x14ac:dyDescent="0.25">
      <c r="A88" s="585"/>
      <c r="B88" s="602" t="s">
        <v>28</v>
      </c>
      <c r="C88" s="602"/>
      <c r="D88" s="602"/>
      <c r="E88" s="602"/>
      <c r="F88" s="602"/>
      <c r="G88" s="602"/>
      <c r="H88" s="602"/>
      <c r="I88" s="602"/>
      <c r="J88" s="602"/>
      <c r="K88" s="602"/>
      <c r="L88" s="602"/>
      <c r="M88" s="602"/>
      <c r="N88" s="602"/>
      <c r="O88" s="602"/>
      <c r="P88" s="602"/>
      <c r="Q88" s="602"/>
      <c r="R88" s="602"/>
      <c r="S88" s="602"/>
      <c r="T88" s="673">
        <v>0</v>
      </c>
      <c r="U88" s="602"/>
      <c r="V88" s="674">
        <v>0</v>
      </c>
      <c r="W88" s="602"/>
      <c r="X88" s="588"/>
    </row>
    <row r="89" spans="1:24" s="589" customFormat="1" x14ac:dyDescent="0.25">
      <c r="A89" s="604"/>
      <c r="B89" s="605" t="s">
        <v>29</v>
      </c>
      <c r="C89" s="605"/>
      <c r="D89" s="605"/>
      <c r="E89" s="605"/>
      <c r="F89" s="605"/>
      <c r="G89" s="605"/>
      <c r="H89" s="635"/>
      <c r="I89" s="635"/>
      <c r="J89" s="635"/>
      <c r="K89" s="675"/>
      <c r="L89" s="635"/>
      <c r="M89" s="605"/>
      <c r="N89" s="676"/>
      <c r="O89" s="605"/>
      <c r="P89" s="605"/>
      <c r="Q89" s="605"/>
      <c r="R89" s="605"/>
      <c r="S89" s="605"/>
      <c r="T89" s="662">
        <f>9713-397</f>
        <v>9316</v>
      </c>
      <c r="U89" s="605"/>
      <c r="V89" s="663"/>
      <c r="W89" s="607"/>
      <c r="X89" s="588"/>
    </row>
    <row r="90" spans="1:24" s="589" customFormat="1" x14ac:dyDescent="0.25">
      <c r="A90" s="604"/>
      <c r="B90" s="605" t="s">
        <v>215</v>
      </c>
      <c r="C90" s="605"/>
      <c r="D90" s="605"/>
      <c r="E90" s="605"/>
      <c r="F90" s="605"/>
      <c r="G90" s="605"/>
      <c r="H90" s="635"/>
      <c r="I90" s="635"/>
      <c r="J90" s="635"/>
      <c r="K90" s="675"/>
      <c r="L90" s="635"/>
      <c r="M90" s="605"/>
      <c r="N90" s="676"/>
      <c r="O90" s="605"/>
      <c r="P90" s="605"/>
      <c r="Q90" s="605"/>
      <c r="R90" s="605"/>
      <c r="S90" s="605"/>
      <c r="T90" s="662"/>
      <c r="U90" s="605"/>
      <c r="V90" s="663">
        <f>2659+2419-433-812</f>
        <v>3833</v>
      </c>
      <c r="W90" s="607"/>
      <c r="X90" s="588"/>
    </row>
    <row r="91" spans="1:24" s="589" customFormat="1" x14ac:dyDescent="0.25">
      <c r="A91" s="604"/>
      <c r="B91" s="605" t="s">
        <v>210</v>
      </c>
      <c r="C91" s="605"/>
      <c r="D91" s="605"/>
      <c r="E91" s="605"/>
      <c r="F91" s="605"/>
      <c r="G91" s="605"/>
      <c r="H91" s="635"/>
      <c r="I91" s="635"/>
      <c r="J91" s="635"/>
      <c r="K91" s="675"/>
      <c r="L91" s="635"/>
      <c r="M91" s="605"/>
      <c r="N91" s="676"/>
      <c r="O91" s="605"/>
      <c r="P91" s="605"/>
      <c r="Q91" s="605"/>
      <c r="R91" s="605"/>
      <c r="S91" s="605"/>
      <c r="T91" s="662"/>
      <c r="U91" s="605"/>
      <c r="V91" s="663">
        <f>93+25</f>
        <v>118</v>
      </c>
      <c r="W91" s="607"/>
      <c r="X91" s="588"/>
    </row>
    <row r="92" spans="1:24" s="589" customFormat="1" x14ac:dyDescent="0.25">
      <c r="A92" s="604"/>
      <c r="B92" s="605" t="s">
        <v>211</v>
      </c>
      <c r="C92" s="605"/>
      <c r="D92" s="605"/>
      <c r="E92" s="605"/>
      <c r="F92" s="605"/>
      <c r="G92" s="605"/>
      <c r="H92" s="635"/>
      <c r="I92" s="635"/>
      <c r="J92" s="635"/>
      <c r="K92" s="675"/>
      <c r="L92" s="635"/>
      <c r="M92" s="605"/>
      <c r="N92" s="676"/>
      <c r="O92" s="605"/>
      <c r="P92" s="605"/>
      <c r="Q92" s="605"/>
      <c r="R92" s="605"/>
      <c r="S92" s="605"/>
      <c r="T92" s="662"/>
      <c r="U92" s="605"/>
      <c r="V92" s="663">
        <v>51</v>
      </c>
      <c r="W92" s="607"/>
      <c r="X92" s="588"/>
    </row>
    <row r="93" spans="1:24" s="589" customFormat="1" x14ac:dyDescent="0.25">
      <c r="A93" s="604"/>
      <c r="B93" s="605" t="s">
        <v>233</v>
      </c>
      <c r="C93" s="605"/>
      <c r="D93" s="605"/>
      <c r="E93" s="605"/>
      <c r="F93" s="605"/>
      <c r="G93" s="605"/>
      <c r="H93" s="635"/>
      <c r="I93" s="635"/>
      <c r="J93" s="635"/>
      <c r="K93" s="675"/>
      <c r="L93" s="635"/>
      <c r="M93" s="605"/>
      <c r="N93" s="676"/>
      <c r="O93" s="605"/>
      <c r="P93" s="605"/>
      <c r="Q93" s="605"/>
      <c r="R93" s="605"/>
      <c r="S93" s="605"/>
      <c r="T93" s="662"/>
      <c r="U93" s="605"/>
      <c r="V93" s="663">
        <v>0</v>
      </c>
      <c r="W93" s="607"/>
      <c r="X93" s="588"/>
    </row>
    <row r="94" spans="1:24" s="589" customFormat="1" x14ac:dyDescent="0.25">
      <c r="A94" s="604"/>
      <c r="B94" s="605" t="s">
        <v>235</v>
      </c>
      <c r="C94" s="605"/>
      <c r="D94" s="605"/>
      <c r="E94" s="605"/>
      <c r="F94" s="605"/>
      <c r="G94" s="605"/>
      <c r="H94" s="635"/>
      <c r="I94" s="635"/>
      <c r="J94" s="635"/>
      <c r="K94" s="675"/>
      <c r="L94" s="635"/>
      <c r="M94" s="605"/>
      <c r="N94" s="676"/>
      <c r="O94" s="605"/>
      <c r="P94" s="605"/>
      <c r="Q94" s="605"/>
      <c r="R94" s="605"/>
      <c r="S94" s="605"/>
      <c r="T94" s="662"/>
      <c r="U94" s="605"/>
      <c r="V94" s="663">
        <v>0</v>
      </c>
      <c r="W94" s="607"/>
      <c r="X94" s="588"/>
    </row>
    <row r="95" spans="1:24" s="589" customFormat="1" x14ac:dyDescent="0.25">
      <c r="A95" s="604"/>
      <c r="B95" s="605" t="s">
        <v>135</v>
      </c>
      <c r="C95" s="605"/>
      <c r="D95" s="605"/>
      <c r="E95" s="605"/>
      <c r="F95" s="605"/>
      <c r="G95" s="605"/>
      <c r="H95" s="605"/>
      <c r="I95" s="605"/>
      <c r="J95" s="605"/>
      <c r="K95" s="605"/>
      <c r="L95" s="605"/>
      <c r="M95" s="605"/>
      <c r="N95" s="605"/>
      <c r="O95" s="605"/>
      <c r="P95" s="605"/>
      <c r="Q95" s="605"/>
      <c r="R95" s="605"/>
      <c r="S95" s="605"/>
      <c r="T95" s="662"/>
      <c r="U95" s="605"/>
      <c r="V95" s="663">
        <v>0</v>
      </c>
      <c r="W95" s="607"/>
      <c r="X95" s="588"/>
    </row>
    <row r="96" spans="1:24" s="589" customFormat="1" x14ac:dyDescent="0.25">
      <c r="A96" s="604"/>
      <c r="B96" s="605" t="s">
        <v>272</v>
      </c>
      <c r="C96" s="605"/>
      <c r="D96" s="605"/>
      <c r="E96" s="605"/>
      <c r="F96" s="605"/>
      <c r="G96" s="605"/>
      <c r="H96" s="605"/>
      <c r="I96" s="605"/>
      <c r="J96" s="605"/>
      <c r="K96" s="605"/>
      <c r="L96" s="605"/>
      <c r="M96" s="605"/>
      <c r="N96" s="605"/>
      <c r="O96" s="605"/>
      <c r="P96" s="605"/>
      <c r="Q96" s="605"/>
      <c r="R96" s="605"/>
      <c r="S96" s="605"/>
      <c r="T96" s="662"/>
      <c r="U96" s="605"/>
      <c r="V96" s="663">
        <v>0</v>
      </c>
      <c r="W96" s="607"/>
      <c r="X96" s="588"/>
    </row>
    <row r="97" spans="1:25" s="589" customFormat="1" x14ac:dyDescent="0.25">
      <c r="A97" s="604"/>
      <c r="B97" s="605" t="s">
        <v>30</v>
      </c>
      <c r="C97" s="605"/>
      <c r="D97" s="605"/>
      <c r="E97" s="605"/>
      <c r="F97" s="605"/>
      <c r="G97" s="605"/>
      <c r="H97" s="605"/>
      <c r="I97" s="605"/>
      <c r="J97" s="605"/>
      <c r="K97" s="605"/>
      <c r="L97" s="605"/>
      <c r="M97" s="605"/>
      <c r="N97" s="605"/>
      <c r="O97" s="605"/>
      <c r="P97" s="605"/>
      <c r="Q97" s="605"/>
      <c r="R97" s="605"/>
      <c r="S97" s="605"/>
      <c r="T97" s="662">
        <f>SUM(T88:T96)</f>
        <v>9316</v>
      </c>
      <c r="U97" s="605"/>
      <c r="V97" s="662">
        <f>SUM(V88:V96)</f>
        <v>4002</v>
      </c>
      <c r="W97" s="607"/>
      <c r="X97" s="588"/>
    </row>
    <row r="98" spans="1:25" s="589" customFormat="1" x14ac:dyDescent="0.25">
      <c r="A98" s="604"/>
      <c r="B98" s="605" t="s">
        <v>161</v>
      </c>
      <c r="C98" s="605"/>
      <c r="D98" s="605"/>
      <c r="E98" s="605"/>
      <c r="F98" s="605"/>
      <c r="G98" s="605"/>
      <c r="H98" s="605"/>
      <c r="I98" s="605"/>
      <c r="J98" s="605"/>
      <c r="K98" s="605"/>
      <c r="L98" s="605"/>
      <c r="M98" s="605"/>
      <c r="N98" s="605"/>
      <c r="O98" s="605"/>
      <c r="P98" s="605"/>
      <c r="Q98" s="605"/>
      <c r="R98" s="605"/>
      <c r="S98" s="605"/>
      <c r="T98" s="662">
        <f>-V98</f>
        <v>0</v>
      </c>
      <c r="U98" s="605"/>
      <c r="V98" s="662">
        <v>0</v>
      </c>
      <c r="W98" s="607"/>
      <c r="X98" s="588"/>
    </row>
    <row r="99" spans="1:25" s="589" customFormat="1" x14ac:dyDescent="0.25">
      <c r="A99" s="604"/>
      <c r="B99" s="605" t="s">
        <v>31</v>
      </c>
      <c r="C99" s="605"/>
      <c r="D99" s="605"/>
      <c r="E99" s="605"/>
      <c r="F99" s="605"/>
      <c r="G99" s="605"/>
      <c r="H99" s="605"/>
      <c r="I99" s="605"/>
      <c r="J99" s="605"/>
      <c r="K99" s="605"/>
      <c r="L99" s="605"/>
      <c r="M99" s="605"/>
      <c r="N99" s="605"/>
      <c r="O99" s="605"/>
      <c r="P99" s="605"/>
      <c r="Q99" s="605"/>
      <c r="R99" s="605"/>
      <c r="S99" s="605"/>
      <c r="T99" s="662">
        <f>-V99</f>
        <v>0</v>
      </c>
      <c r="U99" s="605"/>
      <c r="V99" s="663">
        <v>0</v>
      </c>
      <c r="W99" s="607"/>
      <c r="X99" s="588"/>
    </row>
    <row r="100" spans="1:25" s="589" customFormat="1" x14ac:dyDescent="0.25">
      <c r="A100" s="604"/>
      <c r="B100" s="605" t="s">
        <v>274</v>
      </c>
      <c r="C100" s="605"/>
      <c r="D100" s="605"/>
      <c r="E100" s="605"/>
      <c r="F100" s="605"/>
      <c r="G100" s="605"/>
      <c r="H100" s="605"/>
      <c r="I100" s="605"/>
      <c r="J100" s="605"/>
      <c r="K100" s="605"/>
      <c r="L100" s="605"/>
      <c r="M100" s="605"/>
      <c r="N100" s="605"/>
      <c r="O100" s="605"/>
      <c r="P100" s="605"/>
      <c r="Q100" s="605"/>
      <c r="R100" s="605"/>
      <c r="S100" s="605"/>
      <c r="T100" s="662"/>
      <c r="U100" s="605"/>
      <c r="V100" s="663">
        <v>247</v>
      </c>
      <c r="W100" s="607"/>
      <c r="X100" s="588"/>
    </row>
    <row r="101" spans="1:25" s="589" customFormat="1" x14ac:dyDescent="0.25">
      <c r="A101" s="604"/>
      <c r="B101" s="605" t="s">
        <v>32</v>
      </c>
      <c r="C101" s="605"/>
      <c r="D101" s="605"/>
      <c r="E101" s="605"/>
      <c r="F101" s="605"/>
      <c r="G101" s="605"/>
      <c r="H101" s="605"/>
      <c r="I101" s="605"/>
      <c r="J101" s="605"/>
      <c r="K101" s="605"/>
      <c r="L101" s="605"/>
      <c r="M101" s="605"/>
      <c r="N101" s="605"/>
      <c r="O101" s="605"/>
      <c r="P101" s="605"/>
      <c r="Q101" s="605"/>
      <c r="R101" s="605"/>
      <c r="S101" s="605"/>
      <c r="T101" s="662">
        <f>T97+T99+T98</f>
        <v>9316</v>
      </c>
      <c r="U101" s="605"/>
      <c r="V101" s="662">
        <f>V97+V99+V98+V100</f>
        <v>4249</v>
      </c>
      <c r="W101" s="607"/>
      <c r="X101" s="588"/>
    </row>
    <row r="102" spans="1:25" x14ac:dyDescent="0.25">
      <c r="A102" s="677"/>
      <c r="B102" s="678" t="s">
        <v>33</v>
      </c>
      <c r="C102" s="679"/>
      <c r="D102" s="679"/>
      <c r="E102" s="679"/>
      <c r="F102" s="679"/>
      <c r="G102" s="679"/>
      <c r="H102" s="679"/>
      <c r="I102" s="679"/>
      <c r="J102" s="679"/>
      <c r="K102" s="679"/>
      <c r="L102" s="679"/>
      <c r="M102" s="679"/>
      <c r="N102" s="679"/>
      <c r="O102" s="679"/>
      <c r="P102" s="679"/>
      <c r="Q102" s="679"/>
      <c r="R102" s="679"/>
      <c r="S102" s="679"/>
      <c r="T102" s="680"/>
      <c r="U102" s="681"/>
      <c r="V102" s="682"/>
      <c r="W102" s="683"/>
      <c r="X102" s="572"/>
    </row>
    <row r="103" spans="1:25" s="589" customFormat="1" x14ac:dyDescent="0.25">
      <c r="A103" s="604">
        <v>1</v>
      </c>
      <c r="B103" s="605" t="s">
        <v>34</v>
      </c>
      <c r="C103" s="605"/>
      <c r="D103" s="605"/>
      <c r="E103" s="605"/>
      <c r="F103" s="605"/>
      <c r="G103" s="605"/>
      <c r="H103" s="605"/>
      <c r="I103" s="605"/>
      <c r="J103" s="605"/>
      <c r="K103" s="605"/>
      <c r="L103" s="605"/>
      <c r="M103" s="605"/>
      <c r="N103" s="605"/>
      <c r="O103" s="605"/>
      <c r="P103" s="605"/>
      <c r="Q103" s="605"/>
      <c r="R103" s="605"/>
      <c r="S103" s="605"/>
      <c r="T103" s="605"/>
      <c r="U103" s="605"/>
      <c r="V103" s="663">
        <v>0</v>
      </c>
      <c r="W103" s="607"/>
      <c r="X103" s="588"/>
    </row>
    <row r="104" spans="1:25" s="589" customFormat="1" x14ac:dyDescent="0.25">
      <c r="A104" s="604">
        <f>+A103+1</f>
        <v>2</v>
      </c>
      <c r="B104" s="605" t="s">
        <v>314</v>
      </c>
      <c r="C104" s="605"/>
      <c r="D104" s="605"/>
      <c r="E104" s="605"/>
      <c r="F104" s="605"/>
      <c r="G104" s="605"/>
      <c r="H104" s="605"/>
      <c r="I104" s="605"/>
      <c r="J104" s="605"/>
      <c r="K104" s="605"/>
      <c r="L104" s="605"/>
      <c r="M104" s="605"/>
      <c r="N104" s="605"/>
      <c r="O104" s="605"/>
      <c r="P104" s="605"/>
      <c r="Q104" s="605"/>
      <c r="R104" s="605"/>
      <c r="S104" s="605"/>
      <c r="T104" s="605"/>
      <c r="U104" s="605"/>
      <c r="V104" s="663">
        <v>-2</v>
      </c>
      <c r="W104" s="607"/>
      <c r="X104" s="588"/>
    </row>
    <row r="105" spans="1:25" s="589" customFormat="1" x14ac:dyDescent="0.25">
      <c r="A105" s="604">
        <f>+A104+1</f>
        <v>3</v>
      </c>
      <c r="B105" s="684" t="s">
        <v>316</v>
      </c>
      <c r="C105" s="605"/>
      <c r="D105" s="605"/>
      <c r="E105" s="605"/>
      <c r="F105" s="605"/>
      <c r="G105" s="605"/>
      <c r="H105" s="605"/>
      <c r="I105" s="605"/>
      <c r="J105" s="605"/>
      <c r="K105" s="605"/>
      <c r="L105" s="605"/>
      <c r="M105" s="605"/>
      <c r="N105" s="605"/>
      <c r="O105" s="605"/>
      <c r="P105" s="605"/>
      <c r="Q105" s="605"/>
      <c r="R105" s="605"/>
      <c r="S105" s="605"/>
      <c r="T105" s="605"/>
      <c r="U105" s="605"/>
      <c r="V105" s="663">
        <f>-208-96-8</f>
        <v>-312</v>
      </c>
      <c r="W105" s="607"/>
      <c r="X105" s="588"/>
    </row>
    <row r="106" spans="1:25" s="589" customFormat="1" x14ac:dyDescent="0.25">
      <c r="A106" s="604" t="s">
        <v>127</v>
      </c>
      <c r="B106" s="605" t="s">
        <v>116</v>
      </c>
      <c r="C106" s="605"/>
      <c r="D106" s="605"/>
      <c r="E106" s="605"/>
      <c r="F106" s="605"/>
      <c r="G106" s="605"/>
      <c r="H106" s="605"/>
      <c r="I106" s="605"/>
      <c r="J106" s="605"/>
      <c r="K106" s="605"/>
      <c r="L106" s="605"/>
      <c r="M106" s="605"/>
      <c r="N106" s="605"/>
      <c r="O106" s="605"/>
      <c r="P106" s="605"/>
      <c r="Q106" s="605"/>
      <c r="R106" s="605"/>
      <c r="S106" s="605"/>
      <c r="T106" s="605"/>
      <c r="U106" s="605"/>
      <c r="V106" s="663">
        <v>0</v>
      </c>
      <c r="W106" s="607"/>
      <c r="X106" s="588"/>
    </row>
    <row r="107" spans="1:25" s="589" customFormat="1" x14ac:dyDescent="0.25">
      <c r="A107" s="604" t="s">
        <v>128</v>
      </c>
      <c r="B107" s="605" t="s">
        <v>220</v>
      </c>
      <c r="C107" s="605"/>
      <c r="D107" s="605"/>
      <c r="E107" s="605"/>
      <c r="F107" s="605"/>
      <c r="G107" s="605"/>
      <c r="H107" s="605"/>
      <c r="I107" s="605"/>
      <c r="J107" s="605"/>
      <c r="K107" s="605"/>
      <c r="L107" s="605"/>
      <c r="M107" s="605"/>
      <c r="N107" s="605"/>
      <c r="O107" s="605"/>
      <c r="P107" s="605"/>
      <c r="Q107" s="605"/>
      <c r="R107" s="605"/>
      <c r="S107" s="605"/>
      <c r="T107" s="605"/>
      <c r="U107" s="605"/>
      <c r="V107" s="663">
        <f>-1016+258</f>
        <v>-758</v>
      </c>
      <c r="W107" s="607"/>
      <c r="X107" s="588"/>
      <c r="Y107" s="685"/>
    </row>
    <row r="108" spans="1:25" s="589" customFormat="1" x14ac:dyDescent="0.25">
      <c r="A108" s="604" t="s">
        <v>150</v>
      </c>
      <c r="B108" s="605" t="s">
        <v>184</v>
      </c>
      <c r="C108" s="605"/>
      <c r="D108" s="605"/>
      <c r="E108" s="605"/>
      <c r="F108" s="605"/>
      <c r="G108" s="605"/>
      <c r="H108" s="605"/>
      <c r="I108" s="605"/>
      <c r="J108" s="605"/>
      <c r="K108" s="605"/>
      <c r="L108" s="605"/>
      <c r="M108" s="605"/>
      <c r="N108" s="605"/>
      <c r="O108" s="605"/>
      <c r="P108" s="605"/>
      <c r="Q108" s="605"/>
      <c r="R108" s="605"/>
      <c r="S108" s="605"/>
      <c r="T108" s="605"/>
      <c r="U108" s="605"/>
      <c r="V108" s="663">
        <v>-258</v>
      </c>
      <c r="W108" s="607"/>
      <c r="X108" s="588"/>
      <c r="Y108" s="685"/>
    </row>
    <row r="109" spans="1:25" s="589" customFormat="1" x14ac:dyDescent="0.25">
      <c r="A109" s="604" t="s">
        <v>205</v>
      </c>
      <c r="B109" s="605" t="s">
        <v>185</v>
      </c>
      <c r="C109" s="605"/>
      <c r="D109" s="605"/>
      <c r="E109" s="605"/>
      <c r="F109" s="605"/>
      <c r="G109" s="605"/>
      <c r="H109" s="605"/>
      <c r="I109" s="605"/>
      <c r="J109" s="605"/>
      <c r="K109" s="605"/>
      <c r="L109" s="605"/>
      <c r="M109" s="605"/>
      <c r="N109" s="605"/>
      <c r="O109" s="605"/>
      <c r="P109" s="605"/>
      <c r="Q109" s="605"/>
      <c r="R109" s="605"/>
      <c r="S109" s="605"/>
      <c r="T109" s="605"/>
      <c r="U109" s="605"/>
      <c r="V109" s="663">
        <v>-204</v>
      </c>
      <c r="W109" s="607"/>
      <c r="X109" s="588"/>
      <c r="Y109" s="685"/>
    </row>
    <row r="110" spans="1:25" s="589" customFormat="1" x14ac:dyDescent="0.25">
      <c r="A110" s="604" t="s">
        <v>206</v>
      </c>
      <c r="B110" s="605" t="s">
        <v>186</v>
      </c>
      <c r="C110" s="605"/>
      <c r="D110" s="605"/>
      <c r="E110" s="605"/>
      <c r="F110" s="605"/>
      <c r="G110" s="605"/>
      <c r="H110" s="605"/>
      <c r="I110" s="605"/>
      <c r="J110" s="605"/>
      <c r="K110" s="605"/>
      <c r="L110" s="605"/>
      <c r="M110" s="605"/>
      <c r="N110" s="605"/>
      <c r="O110" s="605"/>
      <c r="P110" s="605"/>
      <c r="Q110" s="605"/>
      <c r="R110" s="605"/>
      <c r="S110" s="605"/>
      <c r="T110" s="605"/>
      <c r="U110" s="605"/>
      <c r="V110" s="663">
        <v>-57</v>
      </c>
      <c r="W110" s="607"/>
      <c r="X110" s="588"/>
      <c r="Y110" s="685"/>
    </row>
    <row r="111" spans="1:25" s="589" customFormat="1" x14ac:dyDescent="0.25">
      <c r="A111" s="604">
        <v>6</v>
      </c>
      <c r="B111" s="605" t="s">
        <v>196</v>
      </c>
      <c r="C111" s="605"/>
      <c r="D111" s="605"/>
      <c r="E111" s="605"/>
      <c r="F111" s="605"/>
      <c r="G111" s="605"/>
      <c r="H111" s="605"/>
      <c r="I111" s="605"/>
      <c r="J111" s="605"/>
      <c r="K111" s="605"/>
      <c r="L111" s="605"/>
      <c r="M111" s="605"/>
      <c r="N111" s="605"/>
      <c r="O111" s="605"/>
      <c r="P111" s="605"/>
      <c r="Q111" s="605"/>
      <c r="R111" s="605"/>
      <c r="S111" s="605"/>
      <c r="T111" s="605"/>
      <c r="U111" s="605"/>
      <c r="V111" s="663">
        <v>-379</v>
      </c>
      <c r="W111" s="607"/>
      <c r="X111" s="588"/>
      <c r="Y111" s="685"/>
    </row>
    <row r="112" spans="1:25" s="589" customFormat="1" x14ac:dyDescent="0.25">
      <c r="A112" s="604">
        <v>7</v>
      </c>
      <c r="B112" s="684" t="s">
        <v>315</v>
      </c>
      <c r="C112" s="605"/>
      <c r="D112" s="605"/>
      <c r="E112" s="605"/>
      <c r="F112" s="605"/>
      <c r="G112" s="605"/>
      <c r="H112" s="605"/>
      <c r="I112" s="605"/>
      <c r="J112" s="605"/>
      <c r="K112" s="605"/>
      <c r="L112" s="605"/>
      <c r="M112" s="605"/>
      <c r="N112" s="605"/>
      <c r="O112" s="605"/>
      <c r="P112" s="605"/>
      <c r="Q112" s="605"/>
      <c r="R112" s="605"/>
      <c r="S112" s="605"/>
      <c r="T112" s="605"/>
      <c r="U112" s="605"/>
      <c r="V112" s="663">
        <v>0</v>
      </c>
      <c r="W112" s="607"/>
      <c r="X112" s="588"/>
      <c r="Y112" s="685"/>
    </row>
    <row r="113" spans="1:24" s="589" customFormat="1" x14ac:dyDescent="0.25">
      <c r="A113" s="604">
        <v>8</v>
      </c>
      <c r="B113" s="605" t="s">
        <v>35</v>
      </c>
      <c r="C113" s="605"/>
      <c r="D113" s="605"/>
      <c r="E113" s="605"/>
      <c r="F113" s="605"/>
      <c r="G113" s="605"/>
      <c r="H113" s="605"/>
      <c r="I113" s="605"/>
      <c r="J113" s="605"/>
      <c r="K113" s="605"/>
      <c r="L113" s="605"/>
      <c r="M113" s="605"/>
      <c r="N113" s="605"/>
      <c r="O113" s="605"/>
      <c r="P113" s="605"/>
      <c r="Q113" s="605"/>
      <c r="R113" s="605"/>
      <c r="S113" s="605"/>
      <c r="T113" s="605"/>
      <c r="U113" s="605"/>
      <c r="V113" s="663">
        <v>-9</v>
      </c>
      <c r="W113" s="607"/>
      <c r="X113" s="588"/>
    </row>
    <row r="114" spans="1:24" s="589" customFormat="1" x14ac:dyDescent="0.25">
      <c r="A114" s="604">
        <f t="shared" ref="A114:A122" si="0">+A113+1</f>
        <v>9</v>
      </c>
      <c r="B114" s="605" t="s">
        <v>45</v>
      </c>
      <c r="C114" s="605"/>
      <c r="D114" s="605"/>
      <c r="E114" s="605"/>
      <c r="F114" s="605"/>
      <c r="G114" s="605"/>
      <c r="H114" s="605"/>
      <c r="I114" s="605"/>
      <c r="J114" s="605"/>
      <c r="K114" s="605"/>
      <c r="L114" s="605"/>
      <c r="M114" s="605"/>
      <c r="N114" s="605"/>
      <c r="O114" s="605"/>
      <c r="P114" s="605"/>
      <c r="Q114" s="605"/>
      <c r="R114" s="605"/>
      <c r="S114" s="605"/>
      <c r="T114" s="662">
        <f>-V114</f>
        <v>397</v>
      </c>
      <c r="U114" s="605"/>
      <c r="V114" s="663">
        <v>-397</v>
      </c>
      <c r="W114" s="607"/>
      <c r="X114" s="588"/>
    </row>
    <row r="115" spans="1:24" s="589" customFormat="1" x14ac:dyDescent="0.25">
      <c r="A115" s="604">
        <f t="shared" si="0"/>
        <v>10</v>
      </c>
      <c r="B115" s="605" t="s">
        <v>125</v>
      </c>
      <c r="C115" s="605"/>
      <c r="D115" s="605"/>
      <c r="E115" s="605"/>
      <c r="F115" s="605"/>
      <c r="G115" s="605"/>
      <c r="H115" s="605"/>
      <c r="I115" s="605"/>
      <c r="J115" s="605"/>
      <c r="K115" s="605"/>
      <c r="L115" s="605"/>
      <c r="M115" s="605"/>
      <c r="N115" s="605"/>
      <c r="O115" s="605"/>
      <c r="P115" s="605"/>
      <c r="Q115" s="605"/>
      <c r="R115" s="605"/>
      <c r="S115" s="605"/>
      <c r="T115" s="605"/>
      <c r="U115" s="605"/>
      <c r="V115" s="663">
        <v>0</v>
      </c>
      <c r="W115" s="607"/>
      <c r="X115" s="588"/>
    </row>
    <row r="116" spans="1:24" s="589" customFormat="1" x14ac:dyDescent="0.25">
      <c r="A116" s="604">
        <f t="shared" si="0"/>
        <v>11</v>
      </c>
      <c r="B116" s="605" t="s">
        <v>225</v>
      </c>
      <c r="C116" s="605"/>
      <c r="D116" s="605"/>
      <c r="E116" s="605"/>
      <c r="F116" s="605"/>
      <c r="G116" s="605"/>
      <c r="H116" s="605"/>
      <c r="I116" s="605"/>
      <c r="J116" s="605"/>
      <c r="K116" s="605"/>
      <c r="L116" s="605"/>
      <c r="M116" s="605"/>
      <c r="N116" s="605"/>
      <c r="O116" s="605"/>
      <c r="P116" s="605"/>
      <c r="Q116" s="605"/>
      <c r="R116" s="605"/>
      <c r="S116" s="605"/>
      <c r="T116" s="605"/>
      <c r="U116" s="605"/>
      <c r="V116" s="663">
        <v>0</v>
      </c>
      <c r="W116" s="607"/>
      <c r="X116" s="588"/>
    </row>
    <row r="117" spans="1:24" s="589" customFormat="1" x14ac:dyDescent="0.25">
      <c r="A117" s="604">
        <f t="shared" si="0"/>
        <v>12</v>
      </c>
      <c r="B117" s="605" t="s">
        <v>36</v>
      </c>
      <c r="C117" s="605"/>
      <c r="D117" s="605"/>
      <c r="E117" s="605"/>
      <c r="F117" s="605"/>
      <c r="G117" s="605"/>
      <c r="H117" s="605"/>
      <c r="I117" s="605"/>
      <c r="J117" s="605"/>
      <c r="K117" s="605"/>
      <c r="L117" s="605"/>
      <c r="M117" s="605"/>
      <c r="N117" s="605"/>
      <c r="O117" s="605"/>
      <c r="P117" s="605"/>
      <c r="Q117" s="605"/>
      <c r="R117" s="605"/>
      <c r="S117" s="605"/>
      <c r="T117" s="605"/>
      <c r="U117" s="605"/>
      <c r="V117" s="663">
        <v>0</v>
      </c>
      <c r="W117" s="607"/>
      <c r="X117" s="588"/>
    </row>
    <row r="118" spans="1:24" s="589" customFormat="1" x14ac:dyDescent="0.25">
      <c r="A118" s="604">
        <f t="shared" si="0"/>
        <v>13</v>
      </c>
      <c r="B118" s="605" t="s">
        <v>149</v>
      </c>
      <c r="C118" s="605"/>
      <c r="D118" s="605"/>
      <c r="E118" s="605"/>
      <c r="F118" s="605"/>
      <c r="G118" s="605"/>
      <c r="H118" s="605"/>
      <c r="I118" s="605"/>
      <c r="J118" s="605"/>
      <c r="K118" s="605"/>
      <c r="L118" s="605"/>
      <c r="M118" s="605"/>
      <c r="N118" s="605"/>
      <c r="O118" s="605"/>
      <c r="P118" s="605"/>
      <c r="Q118" s="605"/>
      <c r="R118" s="605"/>
      <c r="S118" s="605"/>
      <c r="T118" s="605"/>
      <c r="U118" s="605"/>
      <c r="V118" s="663">
        <v>-208</v>
      </c>
      <c r="W118" s="607"/>
      <c r="X118" s="588"/>
    </row>
    <row r="119" spans="1:24" s="589" customFormat="1" x14ac:dyDescent="0.25">
      <c r="A119" s="604">
        <f t="shared" si="0"/>
        <v>14</v>
      </c>
      <c r="B119" s="605" t="s">
        <v>353</v>
      </c>
      <c r="C119" s="605"/>
      <c r="D119" s="605"/>
      <c r="E119" s="605"/>
      <c r="F119" s="605"/>
      <c r="G119" s="605"/>
      <c r="H119" s="605"/>
      <c r="I119" s="605"/>
      <c r="J119" s="605"/>
      <c r="K119" s="605"/>
      <c r="L119" s="605"/>
      <c r="M119" s="605"/>
      <c r="N119" s="605"/>
      <c r="O119" s="605"/>
      <c r="P119" s="605"/>
      <c r="Q119" s="605"/>
      <c r="R119" s="605"/>
      <c r="S119" s="605"/>
      <c r="T119" s="605"/>
      <c r="U119" s="605"/>
      <c r="V119" s="663">
        <v>-227</v>
      </c>
      <c r="W119" s="607"/>
      <c r="X119" s="588"/>
    </row>
    <row r="120" spans="1:24" s="589" customFormat="1" x14ac:dyDescent="0.25">
      <c r="A120" s="604">
        <f t="shared" si="0"/>
        <v>15</v>
      </c>
      <c r="B120" s="605" t="s">
        <v>350</v>
      </c>
      <c r="C120" s="605"/>
      <c r="D120" s="605"/>
      <c r="E120" s="605"/>
      <c r="F120" s="605"/>
      <c r="G120" s="605"/>
      <c r="H120" s="605"/>
      <c r="I120" s="605"/>
      <c r="J120" s="605"/>
      <c r="K120" s="605"/>
      <c r="L120" s="605"/>
      <c r="M120" s="605"/>
      <c r="N120" s="605"/>
      <c r="O120" s="605"/>
      <c r="P120" s="605"/>
      <c r="Q120" s="605"/>
      <c r="R120" s="605"/>
      <c r="S120" s="605"/>
      <c r="T120" s="605"/>
      <c r="U120" s="605"/>
      <c r="V120" s="663">
        <v>0</v>
      </c>
      <c r="W120" s="607"/>
      <c r="X120" s="588"/>
    </row>
    <row r="121" spans="1:24" s="589" customFormat="1" x14ac:dyDescent="0.25">
      <c r="A121" s="604">
        <f t="shared" si="0"/>
        <v>16</v>
      </c>
      <c r="B121" s="605" t="s">
        <v>352</v>
      </c>
      <c r="C121" s="605"/>
      <c r="D121" s="605"/>
      <c r="E121" s="605"/>
      <c r="F121" s="605"/>
      <c r="G121" s="605"/>
      <c r="H121" s="605"/>
      <c r="I121" s="605"/>
      <c r="J121" s="605"/>
      <c r="K121" s="605"/>
      <c r="L121" s="605"/>
      <c r="M121" s="605"/>
      <c r="N121" s="605"/>
      <c r="O121" s="605"/>
      <c r="P121" s="605"/>
      <c r="Q121" s="605"/>
      <c r="R121" s="605"/>
      <c r="S121" s="605"/>
      <c r="T121" s="605"/>
      <c r="U121" s="605"/>
      <c r="V121" s="663">
        <v>0</v>
      </c>
      <c r="W121" s="607"/>
      <c r="X121" s="588"/>
    </row>
    <row r="122" spans="1:24" s="589" customFormat="1" x14ac:dyDescent="0.25">
      <c r="A122" s="604">
        <f t="shared" si="0"/>
        <v>17</v>
      </c>
      <c r="B122" s="605" t="s">
        <v>351</v>
      </c>
      <c r="C122" s="605"/>
      <c r="D122" s="605"/>
      <c r="E122" s="605"/>
      <c r="F122" s="605"/>
      <c r="G122" s="605"/>
      <c r="H122" s="605"/>
      <c r="I122" s="605"/>
      <c r="J122" s="605"/>
      <c r="K122" s="605"/>
      <c r="L122" s="605"/>
      <c r="M122" s="605"/>
      <c r="N122" s="605"/>
      <c r="O122" s="605"/>
      <c r="P122" s="605"/>
      <c r="Q122" s="605"/>
      <c r="R122" s="605"/>
      <c r="S122" s="605"/>
      <c r="T122" s="605"/>
      <c r="U122" s="605"/>
      <c r="V122" s="663">
        <f>-V101-SUM(V103:V121)</f>
        <v>-1438</v>
      </c>
      <c r="W122" s="607"/>
      <c r="X122" s="588"/>
    </row>
    <row r="123" spans="1:24" x14ac:dyDescent="0.25">
      <c r="A123" s="677"/>
      <c r="B123" s="678" t="s">
        <v>37</v>
      </c>
      <c r="C123" s="679"/>
      <c r="D123" s="679"/>
      <c r="E123" s="679"/>
      <c r="F123" s="679"/>
      <c r="G123" s="679"/>
      <c r="H123" s="679"/>
      <c r="I123" s="679"/>
      <c r="J123" s="679"/>
      <c r="K123" s="679"/>
      <c r="L123" s="679"/>
      <c r="M123" s="679"/>
      <c r="N123" s="679"/>
      <c r="O123" s="679"/>
      <c r="P123" s="679"/>
      <c r="Q123" s="679"/>
      <c r="R123" s="679"/>
      <c r="S123" s="679"/>
      <c r="T123" s="681"/>
      <c r="U123" s="681"/>
      <c r="V123" s="686"/>
      <c r="W123" s="683"/>
      <c r="X123" s="572"/>
    </row>
    <row r="124" spans="1:24" s="589" customFormat="1" x14ac:dyDescent="0.25">
      <c r="A124" s="604"/>
      <c r="B124" s="605" t="s">
        <v>173</v>
      </c>
      <c r="C124" s="605"/>
      <c r="D124" s="605"/>
      <c r="E124" s="605"/>
      <c r="F124" s="605"/>
      <c r="G124" s="605"/>
      <c r="H124" s="605"/>
      <c r="I124" s="605"/>
      <c r="J124" s="605"/>
      <c r="K124" s="605"/>
      <c r="L124" s="605"/>
      <c r="M124" s="605"/>
      <c r="N124" s="605"/>
      <c r="O124" s="605"/>
      <c r="P124" s="605"/>
      <c r="Q124" s="605"/>
      <c r="R124" s="605"/>
      <c r="S124" s="605"/>
      <c r="T124" s="662">
        <f>-T189</f>
        <v>0</v>
      </c>
      <c r="U124" s="662"/>
      <c r="V124" s="663"/>
      <c r="W124" s="607"/>
      <c r="X124" s="588"/>
    </row>
    <row r="125" spans="1:24" s="589" customFormat="1" x14ac:dyDescent="0.25">
      <c r="A125" s="604"/>
      <c r="B125" s="605" t="s">
        <v>174</v>
      </c>
      <c r="C125" s="605"/>
      <c r="D125" s="605"/>
      <c r="E125" s="605"/>
      <c r="F125" s="605"/>
      <c r="G125" s="605"/>
      <c r="H125" s="605"/>
      <c r="I125" s="605"/>
      <c r="J125" s="605"/>
      <c r="K125" s="605"/>
      <c r="L125" s="605"/>
      <c r="M125" s="605"/>
      <c r="N125" s="605"/>
      <c r="O125" s="605"/>
      <c r="P125" s="605"/>
      <c r="Q125" s="605"/>
      <c r="R125" s="605"/>
      <c r="S125" s="605"/>
      <c r="T125" s="662">
        <v>0</v>
      </c>
      <c r="U125" s="662"/>
      <c r="V125" s="663"/>
      <c r="W125" s="607"/>
      <c r="X125" s="588"/>
    </row>
    <row r="126" spans="1:24" s="589" customFormat="1" x14ac:dyDescent="0.25">
      <c r="A126" s="604"/>
      <c r="B126" s="605" t="s">
        <v>38</v>
      </c>
      <c r="C126" s="605"/>
      <c r="D126" s="605"/>
      <c r="E126" s="605"/>
      <c r="F126" s="605"/>
      <c r="G126" s="605"/>
      <c r="H126" s="605"/>
      <c r="I126" s="605"/>
      <c r="J126" s="605"/>
      <c r="K126" s="605"/>
      <c r="L126" s="605"/>
      <c r="M126" s="605"/>
      <c r="N126" s="605"/>
      <c r="O126" s="605"/>
      <c r="P126" s="605"/>
      <c r="Q126" s="605"/>
      <c r="R126" s="605"/>
      <c r="S126" s="605"/>
      <c r="T126" s="662">
        <f>-S189</f>
        <v>0</v>
      </c>
      <c r="U126" s="662"/>
      <c r="V126" s="663"/>
      <c r="W126" s="607"/>
      <c r="X126" s="588"/>
    </row>
    <row r="127" spans="1:24" s="589" customFormat="1" x14ac:dyDescent="0.25">
      <c r="A127" s="604"/>
      <c r="B127" s="605" t="s">
        <v>197</v>
      </c>
      <c r="C127" s="605"/>
      <c r="D127" s="605"/>
      <c r="E127" s="605"/>
      <c r="F127" s="605"/>
      <c r="G127" s="605"/>
      <c r="H127" s="605"/>
      <c r="I127" s="605"/>
      <c r="J127" s="605"/>
      <c r="K127" s="605"/>
      <c r="L127" s="605"/>
      <c r="M127" s="605"/>
      <c r="N127" s="605"/>
      <c r="O127" s="605"/>
      <c r="P127" s="605"/>
      <c r="Q127" s="605"/>
      <c r="R127" s="605"/>
      <c r="S127" s="605"/>
      <c r="T127" s="662">
        <v>-5626</v>
      </c>
      <c r="U127" s="662"/>
      <c r="V127" s="663"/>
      <c r="W127" s="607"/>
      <c r="X127" s="588"/>
    </row>
    <row r="128" spans="1:24" s="589" customFormat="1" x14ac:dyDescent="0.25">
      <c r="A128" s="604"/>
      <c r="B128" s="605" t="s">
        <v>195</v>
      </c>
      <c r="C128" s="605"/>
      <c r="D128" s="605"/>
      <c r="E128" s="605"/>
      <c r="F128" s="605"/>
      <c r="G128" s="605"/>
      <c r="H128" s="605"/>
      <c r="I128" s="605"/>
      <c r="J128" s="605"/>
      <c r="K128" s="605"/>
      <c r="L128" s="605"/>
      <c r="M128" s="605"/>
      <c r="N128" s="605"/>
      <c r="O128" s="605"/>
      <c r="P128" s="605"/>
      <c r="Q128" s="605"/>
      <c r="R128" s="605"/>
      <c r="S128" s="605"/>
      <c r="T128" s="662">
        <v>-2391</v>
      </c>
      <c r="U128" s="662"/>
      <c r="V128" s="663"/>
      <c r="W128" s="607"/>
      <c r="X128" s="588"/>
    </row>
    <row r="129" spans="1:24" s="589" customFormat="1" x14ac:dyDescent="0.25">
      <c r="A129" s="604"/>
      <c r="B129" s="605" t="s">
        <v>194</v>
      </c>
      <c r="C129" s="605"/>
      <c r="D129" s="605"/>
      <c r="E129" s="605"/>
      <c r="F129" s="605"/>
      <c r="G129" s="605"/>
      <c r="H129" s="605"/>
      <c r="I129" s="605"/>
      <c r="J129" s="605"/>
      <c r="K129" s="605"/>
      <c r="L129" s="605"/>
      <c r="M129" s="605"/>
      <c r="N129" s="605"/>
      <c r="O129" s="605"/>
      <c r="P129" s="605"/>
      <c r="Q129" s="605"/>
      <c r="R129" s="605"/>
      <c r="S129" s="605"/>
      <c r="T129" s="662">
        <v>-852</v>
      </c>
      <c r="U129" s="662"/>
      <c r="V129" s="663"/>
      <c r="W129" s="607"/>
      <c r="X129" s="588"/>
    </row>
    <row r="130" spans="1:24" s="589" customFormat="1" x14ac:dyDescent="0.25">
      <c r="A130" s="604"/>
      <c r="B130" s="605" t="s">
        <v>222</v>
      </c>
      <c r="C130" s="605"/>
      <c r="D130" s="605"/>
      <c r="E130" s="605"/>
      <c r="F130" s="605"/>
      <c r="G130" s="605"/>
      <c r="H130" s="605"/>
      <c r="I130" s="605"/>
      <c r="J130" s="605"/>
      <c r="K130" s="605"/>
      <c r="L130" s="605"/>
      <c r="M130" s="605"/>
      <c r="N130" s="605"/>
      <c r="O130" s="605"/>
      <c r="P130" s="605"/>
      <c r="Q130" s="605"/>
      <c r="R130" s="605"/>
      <c r="S130" s="605"/>
      <c r="T130" s="662">
        <v>-844</v>
      </c>
      <c r="U130" s="662"/>
      <c r="V130" s="663"/>
      <c r="W130" s="607"/>
      <c r="X130" s="588"/>
    </row>
    <row r="131" spans="1:24" s="589" customFormat="1" x14ac:dyDescent="0.25">
      <c r="A131" s="604"/>
      <c r="B131" s="605" t="s">
        <v>189</v>
      </c>
      <c r="C131" s="605"/>
      <c r="D131" s="605"/>
      <c r="E131" s="605"/>
      <c r="F131" s="605"/>
      <c r="G131" s="605"/>
      <c r="H131" s="605"/>
      <c r="I131" s="605"/>
      <c r="J131" s="605"/>
      <c r="K131" s="605"/>
      <c r="L131" s="605"/>
      <c r="M131" s="605"/>
      <c r="N131" s="605"/>
      <c r="O131" s="605"/>
      <c r="P131" s="605"/>
      <c r="Q131" s="605"/>
      <c r="R131" s="605"/>
      <c r="S131" s="605"/>
      <c r="T131" s="662">
        <v>0</v>
      </c>
      <c r="U131" s="662"/>
      <c r="V131" s="663"/>
      <c r="W131" s="607"/>
      <c r="X131" s="588"/>
    </row>
    <row r="132" spans="1:24" s="589" customFormat="1" x14ac:dyDescent="0.25">
      <c r="A132" s="604"/>
      <c r="B132" s="605" t="s">
        <v>188</v>
      </c>
      <c r="C132" s="605"/>
      <c r="D132" s="605"/>
      <c r="E132" s="605"/>
      <c r="F132" s="605"/>
      <c r="G132" s="605"/>
      <c r="H132" s="605"/>
      <c r="I132" s="605"/>
      <c r="J132" s="605"/>
      <c r="K132" s="605"/>
      <c r="L132" s="605"/>
      <c r="M132" s="605"/>
      <c r="N132" s="605"/>
      <c r="O132" s="605"/>
      <c r="P132" s="605"/>
      <c r="Q132" s="605"/>
      <c r="R132" s="605"/>
      <c r="S132" s="605"/>
      <c r="T132" s="662">
        <v>0</v>
      </c>
      <c r="U132" s="662"/>
      <c r="V132" s="663"/>
      <c r="W132" s="607"/>
      <c r="X132" s="588"/>
    </row>
    <row r="133" spans="1:24" s="589" customFormat="1" x14ac:dyDescent="0.25">
      <c r="A133" s="604"/>
      <c r="B133" s="605" t="s">
        <v>187</v>
      </c>
      <c r="C133" s="605"/>
      <c r="D133" s="605"/>
      <c r="E133" s="605"/>
      <c r="F133" s="605"/>
      <c r="G133" s="605"/>
      <c r="H133" s="605"/>
      <c r="I133" s="605"/>
      <c r="J133" s="605"/>
      <c r="K133" s="605"/>
      <c r="L133" s="605"/>
      <c r="M133" s="605"/>
      <c r="N133" s="605"/>
      <c r="O133" s="605"/>
      <c r="P133" s="605"/>
      <c r="Q133" s="605"/>
      <c r="R133" s="605"/>
      <c r="S133" s="605"/>
      <c r="T133" s="662">
        <v>0</v>
      </c>
      <c r="U133" s="662"/>
      <c r="V133" s="663"/>
      <c r="W133" s="607"/>
      <c r="X133" s="588"/>
    </row>
    <row r="134" spans="1:24" s="589" customFormat="1" x14ac:dyDescent="0.25">
      <c r="A134" s="604"/>
      <c r="B134" s="605" t="s">
        <v>39</v>
      </c>
      <c r="C134" s="605"/>
      <c r="D134" s="605"/>
      <c r="E134" s="605"/>
      <c r="F134" s="605"/>
      <c r="G134" s="605"/>
      <c r="H134" s="605"/>
      <c r="I134" s="605"/>
      <c r="J134" s="605"/>
      <c r="K134" s="605"/>
      <c r="L134" s="605"/>
      <c r="M134" s="605"/>
      <c r="N134" s="605"/>
      <c r="O134" s="605"/>
      <c r="P134" s="605"/>
      <c r="Q134" s="605"/>
      <c r="R134" s="605"/>
      <c r="S134" s="605"/>
      <c r="T134" s="662">
        <f>SUM(T124:T133)</f>
        <v>-9713</v>
      </c>
      <c r="U134" s="662"/>
      <c r="V134" s="662">
        <f>SUM(V102:V132)</f>
        <v>-4249</v>
      </c>
      <c r="W134" s="607"/>
      <c r="X134" s="588"/>
    </row>
    <row r="135" spans="1:24" s="589" customFormat="1" x14ac:dyDescent="0.25">
      <c r="A135" s="604"/>
      <c r="B135" s="605" t="s">
        <v>40</v>
      </c>
      <c r="C135" s="605"/>
      <c r="D135" s="605"/>
      <c r="E135" s="605"/>
      <c r="F135" s="605"/>
      <c r="G135" s="605"/>
      <c r="H135" s="605"/>
      <c r="I135" s="605"/>
      <c r="J135" s="605"/>
      <c r="K135" s="605"/>
      <c r="L135" s="605"/>
      <c r="M135" s="605"/>
      <c r="N135" s="605"/>
      <c r="O135" s="605"/>
      <c r="P135" s="605"/>
      <c r="Q135" s="605"/>
      <c r="R135" s="605"/>
      <c r="S135" s="605"/>
      <c r="T135" s="662">
        <f>T101+T134+T114</f>
        <v>0</v>
      </c>
      <c r="U135" s="662"/>
      <c r="V135" s="662">
        <f>V101+V134</f>
        <v>0</v>
      </c>
      <c r="W135" s="607"/>
      <c r="X135" s="588"/>
    </row>
    <row r="136" spans="1:24" s="589" customFormat="1" x14ac:dyDescent="0.25">
      <c r="A136" s="585"/>
      <c r="B136" s="602"/>
      <c r="C136" s="602"/>
      <c r="D136" s="602"/>
      <c r="E136" s="602"/>
      <c r="F136" s="602"/>
      <c r="G136" s="602"/>
      <c r="H136" s="602"/>
      <c r="I136" s="602"/>
      <c r="J136" s="602"/>
      <c r="K136" s="602"/>
      <c r="L136" s="602"/>
      <c r="M136" s="602"/>
      <c r="N136" s="602"/>
      <c r="O136" s="602"/>
      <c r="P136" s="602"/>
      <c r="Q136" s="602"/>
      <c r="R136" s="602"/>
      <c r="S136" s="602"/>
      <c r="T136" s="673"/>
      <c r="U136" s="673"/>
      <c r="V136" s="673"/>
      <c r="W136" s="602"/>
      <c r="X136" s="588"/>
    </row>
    <row r="137" spans="1:24" s="589" customFormat="1" x14ac:dyDescent="0.25">
      <c r="A137" s="585"/>
      <c r="B137" s="586"/>
      <c r="C137" s="586"/>
      <c r="D137" s="586"/>
      <c r="E137" s="586"/>
      <c r="F137" s="586"/>
      <c r="G137" s="586"/>
      <c r="H137" s="586"/>
      <c r="I137" s="586"/>
      <c r="J137" s="586"/>
      <c r="K137" s="586"/>
      <c r="L137" s="586"/>
      <c r="M137" s="586"/>
      <c r="N137" s="586"/>
      <c r="O137" s="586"/>
      <c r="P137" s="586"/>
      <c r="Q137" s="586"/>
      <c r="R137" s="586"/>
      <c r="S137" s="586"/>
      <c r="T137" s="586"/>
      <c r="U137" s="586"/>
      <c r="V137" s="687"/>
      <c r="W137" s="586"/>
      <c r="X137" s="588"/>
    </row>
    <row r="138" spans="1:24" s="589" customFormat="1" ht="19.5" thickBot="1" x14ac:dyDescent="0.35">
      <c r="A138" s="649"/>
      <c r="B138" s="568" t="str">
        <f>B64</f>
        <v>PM15 INVESTOR REPORT QUARTER ENDING FEBRUARY 2020</v>
      </c>
      <c r="C138" s="650"/>
      <c r="D138" s="650"/>
      <c r="E138" s="650"/>
      <c r="F138" s="650"/>
      <c r="G138" s="650"/>
      <c r="H138" s="650"/>
      <c r="I138" s="650"/>
      <c r="J138" s="650"/>
      <c r="K138" s="650"/>
      <c r="L138" s="650"/>
      <c r="M138" s="650"/>
      <c r="N138" s="650"/>
      <c r="O138" s="650"/>
      <c r="P138" s="650"/>
      <c r="Q138" s="650"/>
      <c r="R138" s="650"/>
      <c r="S138" s="650"/>
      <c r="T138" s="650"/>
      <c r="U138" s="650"/>
      <c r="V138" s="688"/>
      <c r="W138" s="652"/>
      <c r="X138" s="588"/>
    </row>
    <row r="139" spans="1:24" x14ac:dyDescent="0.25">
      <c r="A139" s="689"/>
      <c r="B139" s="690" t="s">
        <v>41</v>
      </c>
      <c r="C139" s="691"/>
      <c r="D139" s="691"/>
      <c r="E139" s="691"/>
      <c r="F139" s="691"/>
      <c r="G139" s="691"/>
      <c r="H139" s="691"/>
      <c r="I139" s="691"/>
      <c r="J139" s="691"/>
      <c r="K139" s="691"/>
      <c r="L139" s="691"/>
      <c r="M139" s="691"/>
      <c r="N139" s="691"/>
      <c r="O139" s="691"/>
      <c r="P139" s="691"/>
      <c r="Q139" s="691"/>
      <c r="R139" s="691"/>
      <c r="S139" s="691"/>
      <c r="T139" s="691"/>
      <c r="U139" s="691"/>
      <c r="V139" s="692"/>
      <c r="W139" s="691"/>
      <c r="X139" s="572"/>
    </row>
    <row r="140" spans="1:24" x14ac:dyDescent="0.25">
      <c r="A140" s="574"/>
      <c r="B140" s="693"/>
      <c r="C140" s="576"/>
      <c r="D140" s="576"/>
      <c r="E140" s="576"/>
      <c r="F140" s="576"/>
      <c r="G140" s="576"/>
      <c r="H140" s="576"/>
      <c r="I140" s="576"/>
      <c r="J140" s="576"/>
      <c r="K140" s="576"/>
      <c r="L140" s="576"/>
      <c r="M140" s="576"/>
      <c r="N140" s="576"/>
      <c r="O140" s="576"/>
      <c r="P140" s="576"/>
      <c r="Q140" s="576"/>
      <c r="R140" s="576"/>
      <c r="S140" s="576"/>
      <c r="T140" s="576"/>
      <c r="U140" s="576"/>
      <c r="V140" s="656"/>
      <c r="W140" s="576"/>
      <c r="X140" s="572"/>
    </row>
    <row r="141" spans="1:24" x14ac:dyDescent="0.25">
      <c r="A141" s="574"/>
      <c r="B141" s="694" t="s">
        <v>42</v>
      </c>
      <c r="C141" s="576"/>
      <c r="D141" s="576"/>
      <c r="E141" s="576"/>
      <c r="F141" s="576"/>
      <c r="G141" s="576"/>
      <c r="H141" s="576"/>
      <c r="I141" s="576"/>
      <c r="J141" s="576"/>
      <c r="K141" s="576"/>
      <c r="L141" s="576"/>
      <c r="M141" s="576"/>
      <c r="N141" s="576"/>
      <c r="O141" s="576"/>
      <c r="P141" s="576"/>
      <c r="Q141" s="576"/>
      <c r="R141" s="576"/>
      <c r="S141" s="576"/>
      <c r="T141" s="576"/>
      <c r="U141" s="576"/>
      <c r="V141" s="656"/>
      <c r="W141" s="576"/>
      <c r="X141" s="572"/>
    </row>
    <row r="142" spans="1:24" s="589" customFormat="1" x14ac:dyDescent="0.25">
      <c r="A142" s="604"/>
      <c r="B142" s="605" t="s">
        <v>43</v>
      </c>
      <c r="C142" s="605"/>
      <c r="D142" s="605"/>
      <c r="E142" s="605"/>
      <c r="F142" s="605"/>
      <c r="G142" s="605"/>
      <c r="H142" s="605"/>
      <c r="I142" s="605"/>
      <c r="J142" s="605"/>
      <c r="K142" s="605"/>
      <c r="L142" s="605"/>
      <c r="M142" s="605"/>
      <c r="N142" s="605"/>
      <c r="O142" s="605"/>
      <c r="P142" s="605"/>
      <c r="Q142" s="605"/>
      <c r="R142" s="605"/>
      <c r="S142" s="605"/>
      <c r="T142" s="605"/>
      <c r="U142" s="605"/>
      <c r="V142" s="663">
        <f>+V34*0.019</f>
        <v>19021.526999999998</v>
      </c>
      <c r="W142" s="607"/>
      <c r="X142" s="588"/>
    </row>
    <row r="143" spans="1:24" s="589" customFormat="1" x14ac:dyDescent="0.25">
      <c r="A143" s="604"/>
      <c r="B143" s="605" t="s">
        <v>44</v>
      </c>
      <c r="C143" s="605"/>
      <c r="D143" s="605"/>
      <c r="E143" s="605"/>
      <c r="F143" s="605"/>
      <c r="G143" s="605"/>
      <c r="H143" s="605"/>
      <c r="I143" s="605"/>
      <c r="J143" s="605"/>
      <c r="K143" s="605"/>
      <c r="L143" s="605"/>
      <c r="M143" s="605"/>
      <c r="N143" s="605"/>
      <c r="O143" s="605"/>
      <c r="P143" s="605"/>
      <c r="Q143" s="605"/>
      <c r="R143" s="605"/>
      <c r="S143" s="605"/>
      <c r="T143" s="605"/>
      <c r="U143" s="605"/>
      <c r="V143" s="663">
        <v>19022</v>
      </c>
      <c r="W143" s="607"/>
      <c r="X143" s="588"/>
    </row>
    <row r="144" spans="1:24" s="589" customFormat="1" x14ac:dyDescent="0.25">
      <c r="A144" s="604"/>
      <c r="B144" s="605" t="s">
        <v>136</v>
      </c>
      <c r="C144" s="605"/>
      <c r="D144" s="605"/>
      <c r="E144" s="605"/>
      <c r="F144" s="605"/>
      <c r="G144" s="605"/>
      <c r="H144" s="605"/>
      <c r="I144" s="605"/>
      <c r="J144" s="605"/>
      <c r="K144" s="605"/>
      <c r="L144" s="605"/>
      <c r="M144" s="605"/>
      <c r="N144" s="605"/>
      <c r="O144" s="605"/>
      <c r="P144" s="605"/>
      <c r="Q144" s="605"/>
      <c r="R144" s="605"/>
      <c r="S144" s="605"/>
      <c r="T144" s="605"/>
      <c r="U144" s="605"/>
      <c r="V144" s="663"/>
      <c r="W144" s="607"/>
      <c r="X144" s="588"/>
    </row>
    <row r="145" spans="1:25" s="589" customFormat="1" x14ac:dyDescent="0.25">
      <c r="A145" s="604"/>
      <c r="B145" s="605" t="s">
        <v>123</v>
      </c>
      <c r="C145" s="605"/>
      <c r="D145" s="605"/>
      <c r="E145" s="605"/>
      <c r="F145" s="605"/>
      <c r="G145" s="605"/>
      <c r="H145" s="605"/>
      <c r="I145" s="605"/>
      <c r="J145" s="605"/>
      <c r="K145" s="605"/>
      <c r="L145" s="605"/>
      <c r="M145" s="605"/>
      <c r="N145" s="605"/>
      <c r="O145" s="605"/>
      <c r="P145" s="605"/>
      <c r="Q145" s="605"/>
      <c r="R145" s="605"/>
      <c r="S145" s="605"/>
      <c r="T145" s="605"/>
      <c r="U145" s="605"/>
      <c r="V145" s="663">
        <v>0</v>
      </c>
      <c r="W145" s="607"/>
      <c r="X145" s="588"/>
    </row>
    <row r="146" spans="1:25" s="589" customFormat="1" x14ac:dyDescent="0.25">
      <c r="A146" s="604"/>
      <c r="B146" s="605" t="s">
        <v>124</v>
      </c>
      <c r="C146" s="605"/>
      <c r="D146" s="605"/>
      <c r="E146" s="605"/>
      <c r="F146" s="605"/>
      <c r="G146" s="605"/>
      <c r="H146" s="605"/>
      <c r="I146" s="605"/>
      <c r="J146" s="605"/>
      <c r="K146" s="605"/>
      <c r="L146" s="605"/>
      <c r="M146" s="605"/>
      <c r="N146" s="605"/>
      <c r="O146" s="605"/>
      <c r="P146" s="605"/>
      <c r="Q146" s="605"/>
      <c r="R146" s="605"/>
      <c r="S146" s="605"/>
      <c r="T146" s="605"/>
      <c r="U146" s="605"/>
      <c r="V146" s="663">
        <v>0</v>
      </c>
      <c r="W146" s="607"/>
      <c r="X146" s="588"/>
    </row>
    <row r="147" spans="1:25" s="589" customFormat="1" x14ac:dyDescent="0.25">
      <c r="A147" s="604"/>
      <c r="B147" s="605" t="s">
        <v>175</v>
      </c>
      <c r="C147" s="605"/>
      <c r="D147" s="605"/>
      <c r="E147" s="605"/>
      <c r="F147" s="605"/>
      <c r="G147" s="605"/>
      <c r="H147" s="605"/>
      <c r="I147" s="605"/>
      <c r="J147" s="605"/>
      <c r="K147" s="605"/>
      <c r="L147" s="605"/>
      <c r="M147" s="605"/>
      <c r="N147" s="605"/>
      <c r="O147" s="605"/>
      <c r="P147" s="605"/>
      <c r="Q147" s="605"/>
      <c r="R147" s="605"/>
      <c r="S147" s="605"/>
      <c r="T147" s="605"/>
      <c r="U147" s="605"/>
      <c r="V147" s="663">
        <v>0</v>
      </c>
      <c r="W147" s="607"/>
      <c r="X147" s="588"/>
    </row>
    <row r="148" spans="1:25" s="589" customFormat="1" x14ac:dyDescent="0.25">
      <c r="A148" s="604"/>
      <c r="B148" s="605" t="s">
        <v>45</v>
      </c>
      <c r="C148" s="605"/>
      <c r="D148" s="605"/>
      <c r="E148" s="605"/>
      <c r="F148" s="605"/>
      <c r="G148" s="605"/>
      <c r="H148" s="605"/>
      <c r="I148" s="605"/>
      <c r="J148" s="605"/>
      <c r="K148" s="605"/>
      <c r="L148" s="605"/>
      <c r="M148" s="605"/>
      <c r="N148" s="605"/>
      <c r="O148" s="605"/>
      <c r="P148" s="605"/>
      <c r="Q148" s="605"/>
      <c r="R148" s="605"/>
      <c r="S148" s="605"/>
      <c r="T148" s="605"/>
      <c r="U148" s="605"/>
      <c r="V148" s="663">
        <v>0</v>
      </c>
      <c r="W148" s="607"/>
      <c r="X148" s="588"/>
    </row>
    <row r="149" spans="1:25" s="589" customFormat="1" x14ac:dyDescent="0.25">
      <c r="A149" s="604"/>
      <c r="B149" s="605" t="s">
        <v>129</v>
      </c>
      <c r="C149" s="605"/>
      <c r="D149" s="605"/>
      <c r="E149" s="605"/>
      <c r="F149" s="605"/>
      <c r="G149" s="605"/>
      <c r="H149" s="605"/>
      <c r="I149" s="605"/>
      <c r="J149" s="605"/>
      <c r="K149" s="605"/>
      <c r="L149" s="605"/>
      <c r="M149" s="605"/>
      <c r="N149" s="605"/>
      <c r="O149" s="605"/>
      <c r="P149" s="605"/>
      <c r="Q149" s="605"/>
      <c r="R149" s="605"/>
      <c r="S149" s="605"/>
      <c r="T149" s="605"/>
      <c r="U149" s="605"/>
      <c r="V149" s="663">
        <v>0</v>
      </c>
      <c r="W149" s="607"/>
      <c r="X149" s="588"/>
    </row>
    <row r="150" spans="1:25" s="589" customFormat="1" x14ac:dyDescent="0.25">
      <c r="A150" s="604"/>
      <c r="B150" s="605" t="s">
        <v>241</v>
      </c>
      <c r="C150" s="605"/>
      <c r="D150" s="605"/>
      <c r="E150" s="605"/>
      <c r="F150" s="605"/>
      <c r="G150" s="605"/>
      <c r="H150" s="605"/>
      <c r="I150" s="605"/>
      <c r="J150" s="605"/>
      <c r="K150" s="605"/>
      <c r="L150" s="605"/>
      <c r="M150" s="605"/>
      <c r="N150" s="605"/>
      <c r="O150" s="605"/>
      <c r="P150" s="605"/>
      <c r="Q150" s="605"/>
      <c r="R150" s="605"/>
      <c r="S150" s="605"/>
      <c r="T150" s="605"/>
      <c r="U150" s="605"/>
      <c r="V150" s="663">
        <v>0</v>
      </c>
      <c r="W150" s="607"/>
      <c r="X150" s="588"/>
      <c r="Y150" s="685"/>
    </row>
    <row r="151" spans="1:25" s="589" customFormat="1" x14ac:dyDescent="0.25">
      <c r="A151" s="604"/>
      <c r="B151" s="605" t="s">
        <v>46</v>
      </c>
      <c r="C151" s="605"/>
      <c r="D151" s="605"/>
      <c r="E151" s="605"/>
      <c r="F151" s="605"/>
      <c r="G151" s="605"/>
      <c r="H151" s="605"/>
      <c r="I151" s="605"/>
      <c r="J151" s="605"/>
      <c r="K151" s="605"/>
      <c r="L151" s="605"/>
      <c r="M151" s="605"/>
      <c r="N151" s="605"/>
      <c r="O151" s="605"/>
      <c r="P151" s="605"/>
      <c r="Q151" s="605"/>
      <c r="R151" s="605"/>
      <c r="S151" s="605"/>
      <c r="T151" s="605"/>
      <c r="U151" s="605"/>
      <c r="V151" s="663">
        <f>SUM(V143:V150)</f>
        <v>19022</v>
      </c>
      <c r="W151" s="607"/>
      <c r="X151" s="588"/>
    </row>
    <row r="152" spans="1:25" x14ac:dyDescent="0.25">
      <c r="A152" s="677"/>
      <c r="B152" s="679"/>
      <c r="C152" s="679"/>
      <c r="D152" s="679"/>
      <c r="E152" s="679"/>
      <c r="F152" s="679"/>
      <c r="G152" s="679"/>
      <c r="H152" s="679"/>
      <c r="I152" s="679"/>
      <c r="J152" s="679"/>
      <c r="K152" s="679"/>
      <c r="L152" s="679"/>
      <c r="M152" s="679"/>
      <c r="N152" s="679"/>
      <c r="O152" s="679"/>
      <c r="P152" s="679"/>
      <c r="Q152" s="679"/>
      <c r="R152" s="679"/>
      <c r="S152" s="679"/>
      <c r="T152" s="679"/>
      <c r="U152" s="679"/>
      <c r="V152" s="695"/>
      <c r="W152" s="683"/>
      <c r="X152" s="572"/>
    </row>
    <row r="153" spans="1:25" x14ac:dyDescent="0.25">
      <c r="A153" s="677"/>
      <c r="B153" s="678" t="s">
        <v>269</v>
      </c>
      <c r="C153" s="679"/>
      <c r="D153" s="679"/>
      <c r="E153" s="679"/>
      <c r="F153" s="679"/>
      <c r="G153" s="679"/>
      <c r="H153" s="679"/>
      <c r="I153" s="679"/>
      <c r="J153" s="679"/>
      <c r="K153" s="679"/>
      <c r="L153" s="679"/>
      <c r="M153" s="679"/>
      <c r="N153" s="679"/>
      <c r="O153" s="679"/>
      <c r="P153" s="679"/>
      <c r="Q153" s="679"/>
      <c r="R153" s="679"/>
      <c r="S153" s="679"/>
      <c r="T153" s="679"/>
      <c r="U153" s="679"/>
      <c r="V153" s="695"/>
      <c r="W153" s="683"/>
      <c r="X153" s="572"/>
    </row>
    <row r="154" spans="1:25" s="589" customFormat="1" x14ac:dyDescent="0.25">
      <c r="A154" s="604"/>
      <c r="B154" s="605" t="s">
        <v>155</v>
      </c>
      <c r="C154" s="605"/>
      <c r="D154" s="605"/>
      <c r="E154" s="605"/>
      <c r="F154" s="605"/>
      <c r="G154" s="605"/>
      <c r="H154" s="605"/>
      <c r="I154" s="605"/>
      <c r="J154" s="605"/>
      <c r="K154" s="605"/>
      <c r="L154" s="605"/>
      <c r="M154" s="605"/>
      <c r="N154" s="605"/>
      <c r="O154" s="605"/>
      <c r="P154" s="605"/>
      <c r="Q154" s="605"/>
      <c r="R154" s="605"/>
      <c r="S154" s="605"/>
      <c r="T154" s="605"/>
      <c r="U154" s="605"/>
      <c r="V154" s="663">
        <v>0</v>
      </c>
      <c r="W154" s="607"/>
      <c r="X154" s="588"/>
    </row>
    <row r="155" spans="1:25" s="589" customFormat="1" x14ac:dyDescent="0.25">
      <c r="A155" s="604"/>
      <c r="B155" s="605" t="s">
        <v>172</v>
      </c>
      <c r="C155" s="605"/>
      <c r="D155" s="605"/>
      <c r="E155" s="605"/>
      <c r="F155" s="605"/>
      <c r="G155" s="605"/>
      <c r="H155" s="605"/>
      <c r="I155" s="605"/>
      <c r="J155" s="605"/>
      <c r="K155" s="605"/>
      <c r="L155" s="605"/>
      <c r="M155" s="605"/>
      <c r="N155" s="605"/>
      <c r="O155" s="605"/>
      <c r="P155" s="605"/>
      <c r="Q155" s="605"/>
      <c r="R155" s="605"/>
      <c r="S155" s="605"/>
      <c r="T155" s="605"/>
      <c r="U155" s="605"/>
      <c r="V155" s="663">
        <v>0</v>
      </c>
      <c r="W155" s="607"/>
      <c r="X155" s="588"/>
    </row>
    <row r="156" spans="1:25" s="589" customFormat="1" x14ac:dyDescent="0.25">
      <c r="A156" s="604"/>
      <c r="B156" s="605" t="s">
        <v>226</v>
      </c>
      <c r="C156" s="605"/>
      <c r="D156" s="605"/>
      <c r="E156" s="605"/>
      <c r="F156" s="605"/>
      <c r="G156" s="605"/>
      <c r="H156" s="605"/>
      <c r="I156" s="605"/>
      <c r="J156" s="605"/>
      <c r="K156" s="605"/>
      <c r="L156" s="605"/>
      <c r="M156" s="605"/>
      <c r="N156" s="605"/>
      <c r="O156" s="605"/>
      <c r="P156" s="605"/>
      <c r="Q156" s="605"/>
      <c r="R156" s="605"/>
      <c r="S156" s="605"/>
      <c r="T156" s="605"/>
      <c r="U156" s="605"/>
      <c r="V156" s="663">
        <v>0</v>
      </c>
      <c r="W156" s="607"/>
      <c r="X156" s="588"/>
    </row>
    <row r="157" spans="1:25" x14ac:dyDescent="0.25">
      <c r="A157" s="677"/>
      <c r="B157" s="679"/>
      <c r="C157" s="679"/>
      <c r="D157" s="679"/>
      <c r="E157" s="679"/>
      <c r="F157" s="679"/>
      <c r="G157" s="679"/>
      <c r="H157" s="679"/>
      <c r="I157" s="679"/>
      <c r="J157" s="679"/>
      <c r="K157" s="679"/>
      <c r="L157" s="679"/>
      <c r="M157" s="679"/>
      <c r="N157" s="679"/>
      <c r="O157" s="679"/>
      <c r="P157" s="679"/>
      <c r="Q157" s="679"/>
      <c r="R157" s="679"/>
      <c r="S157" s="679"/>
      <c r="T157" s="679"/>
      <c r="U157" s="679"/>
      <c r="V157" s="695"/>
      <c r="W157" s="683"/>
      <c r="X157" s="572"/>
    </row>
    <row r="158" spans="1:25" x14ac:dyDescent="0.25">
      <c r="A158" s="574"/>
      <c r="B158" s="664"/>
      <c r="C158" s="664"/>
      <c r="D158" s="664"/>
      <c r="E158" s="664"/>
      <c r="F158" s="664"/>
      <c r="G158" s="664"/>
      <c r="H158" s="664"/>
      <c r="I158" s="664"/>
      <c r="J158" s="664"/>
      <c r="K158" s="664"/>
      <c r="L158" s="664"/>
      <c r="M158" s="664"/>
      <c r="N158" s="664"/>
      <c r="O158" s="664"/>
      <c r="P158" s="664"/>
      <c r="Q158" s="664"/>
      <c r="R158" s="664"/>
      <c r="S158" s="664"/>
      <c r="T158" s="664"/>
      <c r="U158" s="664"/>
      <c r="V158" s="696"/>
      <c r="W158" s="664"/>
      <c r="X158" s="572"/>
    </row>
    <row r="159" spans="1:25" x14ac:dyDescent="0.25">
      <c r="A159" s="574"/>
      <c r="B159" s="694" t="s">
        <v>24</v>
      </c>
      <c r="C159" s="576"/>
      <c r="D159" s="576"/>
      <c r="E159" s="576"/>
      <c r="F159" s="576"/>
      <c r="G159" s="576"/>
      <c r="H159" s="576"/>
      <c r="I159" s="576"/>
      <c r="J159" s="576"/>
      <c r="K159" s="576"/>
      <c r="L159" s="576"/>
      <c r="M159" s="576"/>
      <c r="N159" s="576"/>
      <c r="O159" s="576"/>
      <c r="P159" s="576"/>
      <c r="Q159" s="576"/>
      <c r="R159" s="576"/>
      <c r="S159" s="576"/>
      <c r="T159" s="576"/>
      <c r="U159" s="576"/>
      <c r="V159" s="656"/>
      <c r="W159" s="576"/>
      <c r="X159" s="572"/>
    </row>
    <row r="160" spans="1:25" s="589" customFormat="1" x14ac:dyDescent="0.25">
      <c r="A160" s="604"/>
      <c r="B160" s="605" t="s">
        <v>47</v>
      </c>
      <c r="C160" s="605"/>
      <c r="D160" s="605"/>
      <c r="E160" s="605"/>
      <c r="F160" s="605"/>
      <c r="G160" s="605"/>
      <c r="H160" s="605"/>
      <c r="I160" s="605"/>
      <c r="J160" s="605"/>
      <c r="K160" s="605"/>
      <c r="L160" s="605"/>
      <c r="M160" s="605"/>
      <c r="N160" s="605"/>
      <c r="O160" s="605"/>
      <c r="P160" s="605"/>
      <c r="Q160" s="605"/>
      <c r="R160" s="605"/>
      <c r="S160" s="605"/>
      <c r="T160" s="605"/>
      <c r="U160" s="605"/>
      <c r="V160" s="697" t="s">
        <v>118</v>
      </c>
      <c r="W160" s="607"/>
      <c r="X160" s="588"/>
    </row>
    <row r="161" spans="1:256" s="589" customFormat="1" x14ac:dyDescent="0.25">
      <c r="A161" s="604"/>
      <c r="B161" s="605" t="s">
        <v>48</v>
      </c>
      <c r="C161" s="605"/>
      <c r="D161" s="605"/>
      <c r="E161" s="605"/>
      <c r="F161" s="605"/>
      <c r="G161" s="605"/>
      <c r="H161" s="605"/>
      <c r="I161" s="605"/>
      <c r="J161" s="605"/>
      <c r="K161" s="605"/>
      <c r="L161" s="605"/>
      <c r="M161" s="605"/>
      <c r="N161" s="605"/>
      <c r="O161" s="605"/>
      <c r="P161" s="605"/>
      <c r="Q161" s="605"/>
      <c r="R161" s="605"/>
      <c r="S161" s="605"/>
      <c r="T161" s="605"/>
      <c r="U161" s="605"/>
      <c r="V161" s="697" t="s">
        <v>118</v>
      </c>
      <c r="W161" s="607"/>
      <c r="X161" s="588"/>
    </row>
    <row r="162" spans="1:256" s="589" customFormat="1" x14ac:dyDescent="0.25">
      <c r="A162" s="604"/>
      <c r="B162" s="605" t="s">
        <v>49</v>
      </c>
      <c r="C162" s="605"/>
      <c r="D162" s="605"/>
      <c r="E162" s="605"/>
      <c r="F162" s="605"/>
      <c r="G162" s="605"/>
      <c r="H162" s="605"/>
      <c r="I162" s="605"/>
      <c r="J162" s="605"/>
      <c r="K162" s="605"/>
      <c r="L162" s="605"/>
      <c r="M162" s="605"/>
      <c r="N162" s="605"/>
      <c r="O162" s="605"/>
      <c r="P162" s="605"/>
      <c r="Q162" s="605"/>
      <c r="R162" s="605"/>
      <c r="S162" s="605"/>
      <c r="T162" s="605"/>
      <c r="U162" s="605"/>
      <c r="V162" s="697" t="s">
        <v>118</v>
      </c>
      <c r="W162" s="607"/>
      <c r="X162" s="588"/>
    </row>
    <row r="163" spans="1:256" s="589" customFormat="1" x14ac:dyDescent="0.25">
      <c r="A163" s="604"/>
      <c r="B163" s="605" t="s">
        <v>50</v>
      </c>
      <c r="C163" s="605"/>
      <c r="D163" s="605"/>
      <c r="E163" s="605"/>
      <c r="F163" s="605"/>
      <c r="G163" s="605"/>
      <c r="H163" s="605"/>
      <c r="I163" s="605"/>
      <c r="J163" s="605"/>
      <c r="K163" s="605"/>
      <c r="L163" s="605"/>
      <c r="M163" s="605"/>
      <c r="N163" s="605"/>
      <c r="O163" s="605"/>
      <c r="P163" s="605"/>
      <c r="Q163" s="605"/>
      <c r="R163" s="605"/>
      <c r="S163" s="605"/>
      <c r="T163" s="605"/>
      <c r="U163" s="605"/>
      <c r="V163" s="697" t="s">
        <v>118</v>
      </c>
      <c r="W163" s="607"/>
      <c r="X163" s="588"/>
    </row>
    <row r="164" spans="1:256" x14ac:dyDescent="0.25">
      <c r="A164" s="574"/>
      <c r="B164" s="664"/>
      <c r="C164" s="664"/>
      <c r="D164" s="664"/>
      <c r="E164" s="664"/>
      <c r="F164" s="664"/>
      <c r="G164" s="664"/>
      <c r="H164" s="664"/>
      <c r="I164" s="664"/>
      <c r="J164" s="664"/>
      <c r="K164" s="664"/>
      <c r="L164" s="664"/>
      <c r="M164" s="664"/>
      <c r="N164" s="664"/>
      <c r="O164" s="664"/>
      <c r="P164" s="664"/>
      <c r="Q164" s="664"/>
      <c r="R164" s="664"/>
      <c r="S164" s="664"/>
      <c r="T164" s="664"/>
      <c r="U164" s="664"/>
      <c r="V164" s="696"/>
      <c r="W164" s="664"/>
      <c r="X164" s="572"/>
    </row>
    <row r="165" spans="1:256" x14ac:dyDescent="0.25">
      <c r="A165" s="574"/>
      <c r="B165" s="694" t="s">
        <v>51</v>
      </c>
      <c r="C165" s="576"/>
      <c r="D165" s="576"/>
      <c r="E165" s="576"/>
      <c r="F165" s="576"/>
      <c r="G165" s="576"/>
      <c r="H165" s="576"/>
      <c r="I165" s="576"/>
      <c r="J165" s="576"/>
      <c r="K165" s="576"/>
      <c r="L165" s="576"/>
      <c r="M165" s="576"/>
      <c r="N165" s="576"/>
      <c r="O165" s="576"/>
      <c r="P165" s="576"/>
      <c r="Q165" s="576"/>
      <c r="R165" s="576"/>
      <c r="S165" s="576"/>
      <c r="T165" s="576"/>
      <c r="U165" s="576"/>
      <c r="V165" s="698"/>
      <c r="W165" s="576"/>
      <c r="X165" s="572"/>
    </row>
    <row r="166" spans="1:256" s="589" customFormat="1" x14ac:dyDescent="0.25">
      <c r="A166" s="604"/>
      <c r="B166" s="605" t="s">
        <v>52</v>
      </c>
      <c r="C166" s="605"/>
      <c r="D166" s="605"/>
      <c r="E166" s="605"/>
      <c r="F166" s="605"/>
      <c r="G166" s="605"/>
      <c r="H166" s="605"/>
      <c r="I166" s="605"/>
      <c r="J166" s="605"/>
      <c r="K166" s="605"/>
      <c r="L166" s="605"/>
      <c r="M166" s="605"/>
      <c r="N166" s="605"/>
      <c r="O166" s="605"/>
      <c r="P166" s="605"/>
      <c r="Q166" s="605"/>
      <c r="R166" s="605"/>
      <c r="S166" s="605"/>
      <c r="T166" s="605"/>
      <c r="U166" s="605"/>
      <c r="V166" s="663">
        <v>0</v>
      </c>
      <c r="W166" s="607"/>
      <c r="X166" s="588"/>
    </row>
    <row r="167" spans="1:256" s="589" customFormat="1" x14ac:dyDescent="0.25">
      <c r="A167" s="604"/>
      <c r="B167" s="605" t="s">
        <v>53</v>
      </c>
      <c r="C167" s="605"/>
      <c r="D167" s="605"/>
      <c r="E167" s="605"/>
      <c r="F167" s="605"/>
      <c r="G167" s="605"/>
      <c r="H167" s="605"/>
      <c r="I167" s="605"/>
      <c r="J167" s="605"/>
      <c r="K167" s="605"/>
      <c r="L167" s="605"/>
      <c r="M167" s="605"/>
      <c r="N167" s="605"/>
      <c r="O167" s="605"/>
      <c r="P167" s="605"/>
      <c r="Q167" s="605"/>
      <c r="R167" s="605"/>
      <c r="S167" s="605"/>
      <c r="T167" s="605"/>
      <c r="U167" s="605"/>
      <c r="V167" s="663">
        <v>397</v>
      </c>
      <c r="W167" s="607"/>
      <c r="X167" s="588"/>
    </row>
    <row r="168" spans="1:256" s="589" customFormat="1" x14ac:dyDescent="0.25">
      <c r="A168" s="604"/>
      <c r="B168" s="605" t="s">
        <v>54</v>
      </c>
      <c r="C168" s="605"/>
      <c r="D168" s="605"/>
      <c r="E168" s="605"/>
      <c r="F168" s="605"/>
      <c r="G168" s="605"/>
      <c r="H168" s="605"/>
      <c r="I168" s="605"/>
      <c r="J168" s="605"/>
      <c r="K168" s="605"/>
      <c r="L168" s="605"/>
      <c r="M168" s="605"/>
      <c r="N168" s="605"/>
      <c r="O168" s="605"/>
      <c r="P168" s="605"/>
      <c r="Q168" s="605"/>
      <c r="R168" s="605"/>
      <c r="S168" s="605"/>
      <c r="T168" s="605"/>
      <c r="U168" s="605"/>
      <c r="V168" s="663">
        <f>V167+V166</f>
        <v>397</v>
      </c>
      <c r="W168" s="607"/>
      <c r="X168" s="588"/>
    </row>
    <row r="169" spans="1:256" s="589" customFormat="1" x14ac:dyDescent="0.25">
      <c r="A169" s="604"/>
      <c r="B169" s="605" t="s">
        <v>303</v>
      </c>
      <c r="C169" s="605"/>
      <c r="D169" s="605"/>
      <c r="E169" s="605"/>
      <c r="F169" s="605"/>
      <c r="G169" s="605"/>
      <c r="H169" s="605"/>
      <c r="I169" s="605"/>
      <c r="J169" s="605"/>
      <c r="K169" s="605"/>
      <c r="L169" s="605"/>
      <c r="M169" s="605"/>
      <c r="N169" s="605"/>
      <c r="O169" s="605"/>
      <c r="P169" s="605"/>
      <c r="Q169" s="605"/>
      <c r="R169" s="605"/>
      <c r="S169" s="605"/>
      <c r="T169" s="605"/>
      <c r="U169" s="605"/>
      <c r="V169" s="663">
        <f>V114</f>
        <v>-397</v>
      </c>
      <c r="W169" s="607"/>
      <c r="X169" s="588"/>
    </row>
    <row r="170" spans="1:256" s="589" customFormat="1" x14ac:dyDescent="0.25">
      <c r="A170" s="604"/>
      <c r="B170" s="605" t="s">
        <v>55</v>
      </c>
      <c r="C170" s="605"/>
      <c r="D170" s="605"/>
      <c r="E170" s="605"/>
      <c r="F170" s="605"/>
      <c r="G170" s="605"/>
      <c r="H170" s="605"/>
      <c r="I170" s="605"/>
      <c r="J170" s="605"/>
      <c r="K170" s="605"/>
      <c r="L170" s="605"/>
      <c r="M170" s="605"/>
      <c r="N170" s="605"/>
      <c r="O170" s="605"/>
      <c r="P170" s="605"/>
      <c r="Q170" s="605"/>
      <c r="R170" s="605"/>
      <c r="S170" s="605"/>
      <c r="T170" s="605"/>
      <c r="U170" s="605"/>
      <c r="V170" s="663">
        <f>V168+V169</f>
        <v>0</v>
      </c>
      <c r="W170" s="607"/>
      <c r="X170" s="588"/>
    </row>
    <row r="171" spans="1:256" s="589" customFormat="1" x14ac:dyDescent="0.25">
      <c r="A171" s="604"/>
      <c r="B171" s="605" t="s">
        <v>274</v>
      </c>
      <c r="C171" s="605"/>
      <c r="D171" s="605"/>
      <c r="E171" s="605"/>
      <c r="F171" s="605"/>
      <c r="G171" s="605"/>
      <c r="H171" s="605"/>
      <c r="I171" s="605"/>
      <c r="J171" s="605"/>
      <c r="K171" s="605"/>
      <c r="L171" s="605"/>
      <c r="M171" s="605"/>
      <c r="N171" s="605"/>
      <c r="O171" s="605"/>
      <c r="P171" s="605"/>
      <c r="Q171" s="605"/>
      <c r="R171" s="605"/>
      <c r="S171" s="605"/>
      <c r="T171" s="605"/>
      <c r="U171" s="605"/>
      <c r="V171" s="663">
        <v>0</v>
      </c>
      <c r="W171" s="607"/>
      <c r="X171" s="588"/>
    </row>
    <row r="172" spans="1:256" ht="16.5" thickBot="1" x14ac:dyDescent="0.3">
      <c r="A172" s="574"/>
      <c r="B172" s="664"/>
      <c r="C172" s="664"/>
      <c r="D172" s="664"/>
      <c r="E172" s="664"/>
      <c r="F172" s="664"/>
      <c r="G172" s="664"/>
      <c r="H172" s="664"/>
      <c r="I172" s="664"/>
      <c r="J172" s="664"/>
      <c r="K172" s="664"/>
      <c r="L172" s="664"/>
      <c r="M172" s="664"/>
      <c r="N172" s="664"/>
      <c r="O172" s="664"/>
      <c r="P172" s="664"/>
      <c r="Q172" s="664"/>
      <c r="R172" s="664"/>
      <c r="S172" s="664"/>
      <c r="T172" s="664"/>
      <c r="U172" s="664"/>
      <c r="V172" s="696"/>
      <c r="W172" s="664"/>
      <c r="X172" s="572"/>
    </row>
    <row r="173" spans="1:256" x14ac:dyDescent="0.25">
      <c r="A173" s="569"/>
      <c r="B173" s="571"/>
      <c r="C173" s="571"/>
      <c r="D173" s="571"/>
      <c r="E173" s="571"/>
      <c r="F173" s="571"/>
      <c r="G173" s="571"/>
      <c r="H173" s="571"/>
      <c r="I173" s="571"/>
      <c r="J173" s="571"/>
      <c r="K173" s="571"/>
      <c r="L173" s="571"/>
      <c r="M173" s="571"/>
      <c r="N173" s="571"/>
      <c r="O173" s="571"/>
      <c r="P173" s="571"/>
      <c r="Q173" s="571"/>
      <c r="R173" s="571"/>
      <c r="S173" s="571"/>
      <c r="T173" s="571"/>
      <c r="U173" s="571"/>
      <c r="V173" s="699"/>
      <c r="W173" s="571"/>
      <c r="X173" s="572"/>
    </row>
    <row r="174" spans="1:256" s="701" customFormat="1" x14ac:dyDescent="0.25">
      <c r="A174" s="574"/>
      <c r="B174" s="694" t="s">
        <v>230</v>
      </c>
      <c r="C174" s="664"/>
      <c r="D174" s="664"/>
      <c r="E174" s="664"/>
      <c r="F174" s="664"/>
      <c r="G174" s="664"/>
      <c r="H174" s="664"/>
      <c r="I174" s="664"/>
      <c r="J174" s="664"/>
      <c r="K174" s="664"/>
      <c r="L174" s="664"/>
      <c r="M174" s="664"/>
      <c r="N174" s="664"/>
      <c r="O174" s="664"/>
      <c r="P174" s="664"/>
      <c r="Q174" s="664"/>
      <c r="R174" s="664"/>
      <c r="S174" s="664"/>
      <c r="T174" s="664"/>
      <c r="U174" s="664"/>
      <c r="V174" s="700"/>
      <c r="W174" s="664"/>
      <c r="X174" s="572"/>
      <c r="Y174" s="573"/>
      <c r="Z174" s="573"/>
      <c r="AA174" s="573"/>
      <c r="AB174" s="573"/>
      <c r="AC174" s="573"/>
      <c r="AD174" s="573"/>
      <c r="AE174" s="573"/>
      <c r="AF174" s="573"/>
      <c r="AG174" s="573"/>
      <c r="AH174" s="573"/>
      <c r="AI174" s="573"/>
      <c r="AJ174" s="573"/>
      <c r="AK174" s="573"/>
      <c r="AL174" s="573"/>
      <c r="AM174" s="573"/>
      <c r="AN174" s="573"/>
      <c r="AO174" s="573"/>
      <c r="AP174" s="573"/>
      <c r="AQ174" s="573"/>
      <c r="AR174" s="573"/>
      <c r="AS174" s="573"/>
      <c r="AT174" s="573"/>
      <c r="AU174" s="573"/>
      <c r="AV174" s="573"/>
      <c r="AW174" s="573"/>
      <c r="AX174" s="573"/>
      <c r="AY174" s="573"/>
      <c r="AZ174" s="573"/>
      <c r="BA174" s="573"/>
      <c r="BB174" s="573"/>
      <c r="BC174" s="573"/>
      <c r="BD174" s="573"/>
      <c r="BE174" s="573"/>
      <c r="BF174" s="573"/>
      <c r="BG174" s="573"/>
      <c r="BH174" s="573"/>
      <c r="BI174" s="573"/>
      <c r="BJ174" s="573"/>
      <c r="BK174" s="573"/>
      <c r="BL174" s="573"/>
      <c r="BM174" s="573"/>
      <c r="BN174" s="573"/>
      <c r="BO174" s="573"/>
      <c r="BP174" s="573"/>
      <c r="BQ174" s="573"/>
      <c r="BR174" s="573"/>
      <c r="BS174" s="573"/>
      <c r="BT174" s="573"/>
      <c r="BU174" s="573"/>
      <c r="BV174" s="573"/>
      <c r="BW174" s="573"/>
      <c r="BX174" s="573"/>
      <c r="BY174" s="573"/>
      <c r="BZ174" s="573"/>
      <c r="CA174" s="573"/>
      <c r="CB174" s="573"/>
      <c r="CC174" s="573"/>
      <c r="CD174" s="573"/>
      <c r="CE174" s="573"/>
      <c r="CF174" s="573"/>
      <c r="CG174" s="573"/>
      <c r="CH174" s="573"/>
      <c r="CI174" s="573"/>
      <c r="CJ174" s="573"/>
      <c r="CK174" s="573"/>
      <c r="CL174" s="573"/>
      <c r="CM174" s="573"/>
      <c r="CN174" s="573"/>
      <c r="CO174" s="573"/>
      <c r="CP174" s="573"/>
      <c r="CQ174" s="573"/>
      <c r="CR174" s="573"/>
      <c r="CS174" s="573"/>
      <c r="CT174" s="573"/>
      <c r="CU174" s="573"/>
      <c r="CV174" s="573"/>
      <c r="CW174" s="573"/>
      <c r="CX174" s="573"/>
      <c r="CY174" s="573"/>
      <c r="CZ174" s="573"/>
      <c r="DA174" s="573"/>
      <c r="DB174" s="573"/>
      <c r="DC174" s="573"/>
      <c r="DD174" s="573"/>
      <c r="DE174" s="573"/>
      <c r="DF174" s="573"/>
      <c r="DG174" s="573"/>
      <c r="DH174" s="573"/>
      <c r="DI174" s="573"/>
      <c r="DJ174" s="573"/>
      <c r="DK174" s="573"/>
      <c r="DL174" s="573"/>
      <c r="DM174" s="573"/>
      <c r="DN174" s="573"/>
      <c r="DO174" s="573"/>
      <c r="DP174" s="573"/>
      <c r="DQ174" s="573"/>
      <c r="DR174" s="573"/>
      <c r="DS174" s="573"/>
      <c r="DT174" s="573"/>
      <c r="DU174" s="573"/>
      <c r="DV174" s="573"/>
      <c r="DW174" s="573"/>
      <c r="DX174" s="573"/>
      <c r="DY174" s="573"/>
      <c r="DZ174" s="573"/>
      <c r="EA174" s="573"/>
      <c r="EB174" s="573"/>
      <c r="EC174" s="573"/>
      <c r="ED174" s="573"/>
      <c r="EE174" s="573"/>
      <c r="EF174" s="573"/>
      <c r="EG174" s="573"/>
      <c r="EH174" s="573"/>
      <c r="EI174" s="573"/>
      <c r="EJ174" s="573"/>
      <c r="EK174" s="573"/>
      <c r="EL174" s="573"/>
      <c r="EM174" s="573"/>
      <c r="EN174" s="573"/>
      <c r="EO174" s="573"/>
      <c r="EP174" s="573"/>
      <c r="EQ174" s="573"/>
      <c r="ER174" s="573"/>
      <c r="ES174" s="573"/>
      <c r="ET174" s="573"/>
      <c r="EU174" s="573"/>
      <c r="EV174" s="573"/>
      <c r="EW174" s="573"/>
      <c r="EX174" s="573"/>
      <c r="EY174" s="573"/>
      <c r="EZ174" s="573"/>
      <c r="FA174" s="573"/>
      <c r="FB174" s="573"/>
      <c r="FC174" s="573"/>
      <c r="FD174" s="573"/>
      <c r="FE174" s="573"/>
      <c r="FF174" s="573"/>
      <c r="FG174" s="573"/>
      <c r="FH174" s="573"/>
      <c r="FI174" s="573"/>
      <c r="FJ174" s="573"/>
      <c r="FK174" s="573"/>
      <c r="FL174" s="573"/>
      <c r="FM174" s="573"/>
      <c r="FN174" s="573"/>
      <c r="FO174" s="573"/>
      <c r="FP174" s="573"/>
      <c r="FQ174" s="573"/>
      <c r="FR174" s="573"/>
      <c r="FS174" s="573"/>
      <c r="FT174" s="573"/>
      <c r="FU174" s="573"/>
      <c r="FV174" s="573"/>
      <c r="FW174" s="573"/>
      <c r="FX174" s="573"/>
      <c r="FY174" s="573"/>
      <c r="FZ174" s="573"/>
      <c r="GA174" s="573"/>
      <c r="GB174" s="573"/>
      <c r="GC174" s="573"/>
      <c r="GD174" s="573"/>
      <c r="GE174" s="573"/>
      <c r="GF174" s="573"/>
      <c r="GG174" s="573"/>
      <c r="GH174" s="573"/>
      <c r="GI174" s="573"/>
      <c r="GJ174" s="573"/>
      <c r="GK174" s="573"/>
      <c r="GL174" s="573"/>
      <c r="GM174" s="573"/>
      <c r="GN174" s="573"/>
      <c r="GO174" s="573"/>
      <c r="GP174" s="573"/>
      <c r="GQ174" s="573"/>
      <c r="GR174" s="573"/>
      <c r="GS174" s="573"/>
      <c r="GT174" s="573"/>
      <c r="GU174" s="573"/>
      <c r="GV174" s="573"/>
      <c r="GW174" s="573"/>
      <c r="GX174" s="573"/>
      <c r="GY174" s="573"/>
      <c r="GZ174" s="573"/>
      <c r="HA174" s="573"/>
      <c r="HB174" s="573"/>
      <c r="HC174" s="573"/>
      <c r="HD174" s="573"/>
      <c r="HE174" s="573"/>
      <c r="HF174" s="573"/>
      <c r="HG174" s="573"/>
      <c r="HH174" s="573"/>
      <c r="HI174" s="573"/>
      <c r="HJ174" s="573"/>
      <c r="HK174" s="573"/>
      <c r="HL174" s="573"/>
      <c r="HM174" s="573"/>
      <c r="HN174" s="573"/>
      <c r="HO174" s="573"/>
      <c r="HP174" s="573"/>
      <c r="HQ174" s="573"/>
      <c r="HR174" s="573"/>
      <c r="HS174" s="573"/>
      <c r="HT174" s="573"/>
      <c r="HU174" s="573"/>
      <c r="HV174" s="573"/>
      <c r="HW174" s="573"/>
      <c r="HX174" s="573"/>
      <c r="HY174" s="573"/>
      <c r="HZ174" s="573"/>
      <c r="IA174" s="573"/>
      <c r="IB174" s="573"/>
      <c r="IC174" s="573"/>
      <c r="ID174" s="573"/>
      <c r="IE174" s="573"/>
      <c r="IF174" s="573"/>
      <c r="IG174" s="573"/>
      <c r="IH174" s="573"/>
      <c r="II174" s="573"/>
      <c r="IJ174" s="573"/>
      <c r="IK174" s="573"/>
      <c r="IL174" s="573"/>
      <c r="IM174" s="573"/>
      <c r="IN174" s="573"/>
      <c r="IO174" s="573"/>
      <c r="IP174" s="573"/>
      <c r="IQ174" s="573"/>
      <c r="IR174" s="573"/>
      <c r="IS174" s="573"/>
      <c r="IT174" s="573"/>
      <c r="IU174" s="573"/>
      <c r="IV174" s="573"/>
    </row>
    <row r="175" spans="1:256" s="702" customFormat="1" x14ac:dyDescent="0.25">
      <c r="A175" s="604"/>
      <c r="B175" s="605" t="s">
        <v>231</v>
      </c>
      <c r="C175" s="605"/>
      <c r="D175" s="605"/>
      <c r="E175" s="605"/>
      <c r="F175" s="605"/>
      <c r="G175" s="605"/>
      <c r="H175" s="605"/>
      <c r="I175" s="605"/>
      <c r="J175" s="605"/>
      <c r="K175" s="605"/>
      <c r="L175" s="605"/>
      <c r="M175" s="605"/>
      <c r="N175" s="605"/>
      <c r="O175" s="605"/>
      <c r="P175" s="605"/>
      <c r="Q175" s="605"/>
      <c r="R175" s="605"/>
      <c r="S175" s="605"/>
      <c r="T175" s="605"/>
      <c r="U175" s="605"/>
      <c r="V175" s="663">
        <f>+'Aug 08'!V173</f>
        <v>0</v>
      </c>
      <c r="W175" s="607"/>
      <c r="X175" s="588"/>
      <c r="Y175" s="589"/>
      <c r="Z175" s="589"/>
      <c r="AA175" s="589"/>
      <c r="AB175" s="589"/>
      <c r="AC175" s="589"/>
      <c r="AD175" s="589"/>
      <c r="AE175" s="589"/>
      <c r="AF175" s="589"/>
      <c r="AG175" s="589"/>
      <c r="AH175" s="589"/>
      <c r="AI175" s="589"/>
      <c r="AJ175" s="589"/>
      <c r="AK175" s="589"/>
      <c r="AL175" s="589"/>
      <c r="AM175" s="589"/>
      <c r="AN175" s="589"/>
      <c r="AO175" s="589"/>
      <c r="AP175" s="589"/>
      <c r="AQ175" s="589"/>
      <c r="AR175" s="589"/>
      <c r="AS175" s="589"/>
      <c r="AT175" s="589"/>
      <c r="AU175" s="589"/>
      <c r="AV175" s="589"/>
      <c r="AW175" s="589"/>
      <c r="AX175" s="589"/>
      <c r="AY175" s="589"/>
      <c r="AZ175" s="589"/>
      <c r="BA175" s="589"/>
      <c r="BB175" s="589"/>
      <c r="BC175" s="589"/>
      <c r="BD175" s="589"/>
      <c r="BE175" s="589"/>
      <c r="BF175" s="589"/>
      <c r="BG175" s="589"/>
      <c r="BH175" s="589"/>
      <c r="BI175" s="589"/>
      <c r="BJ175" s="589"/>
      <c r="BK175" s="589"/>
      <c r="BL175" s="589"/>
      <c r="BM175" s="589"/>
      <c r="BN175" s="589"/>
      <c r="BO175" s="589"/>
      <c r="BP175" s="589"/>
      <c r="BQ175" s="589"/>
      <c r="BR175" s="589"/>
      <c r="BS175" s="589"/>
      <c r="BT175" s="589"/>
      <c r="BU175" s="589"/>
      <c r="BV175" s="589"/>
      <c r="BW175" s="589"/>
      <c r="BX175" s="589"/>
      <c r="BY175" s="589"/>
      <c r="BZ175" s="589"/>
      <c r="CA175" s="589"/>
      <c r="CB175" s="589"/>
      <c r="CC175" s="589"/>
      <c r="CD175" s="589"/>
      <c r="CE175" s="589"/>
      <c r="CF175" s="589"/>
      <c r="CG175" s="589"/>
      <c r="CH175" s="589"/>
      <c r="CI175" s="589"/>
      <c r="CJ175" s="589"/>
      <c r="CK175" s="589"/>
      <c r="CL175" s="589"/>
      <c r="CM175" s="589"/>
      <c r="CN175" s="589"/>
      <c r="CO175" s="589"/>
      <c r="CP175" s="589"/>
      <c r="CQ175" s="589"/>
      <c r="CR175" s="589"/>
      <c r="CS175" s="589"/>
      <c r="CT175" s="589"/>
      <c r="CU175" s="589"/>
      <c r="CV175" s="589"/>
      <c r="CW175" s="589"/>
      <c r="CX175" s="589"/>
      <c r="CY175" s="589"/>
      <c r="CZ175" s="589"/>
      <c r="DA175" s="589"/>
      <c r="DB175" s="589"/>
      <c r="DC175" s="589"/>
      <c r="DD175" s="589"/>
      <c r="DE175" s="589"/>
      <c r="DF175" s="589"/>
      <c r="DG175" s="589"/>
      <c r="DH175" s="589"/>
      <c r="DI175" s="589"/>
      <c r="DJ175" s="589"/>
      <c r="DK175" s="589"/>
      <c r="DL175" s="589"/>
      <c r="DM175" s="589"/>
      <c r="DN175" s="589"/>
      <c r="DO175" s="589"/>
      <c r="DP175" s="589"/>
      <c r="DQ175" s="589"/>
      <c r="DR175" s="589"/>
      <c r="DS175" s="589"/>
      <c r="DT175" s="589"/>
      <c r="DU175" s="589"/>
      <c r="DV175" s="589"/>
      <c r="DW175" s="589"/>
      <c r="DX175" s="589"/>
      <c r="DY175" s="589"/>
      <c r="DZ175" s="589"/>
      <c r="EA175" s="589"/>
      <c r="EB175" s="589"/>
      <c r="EC175" s="589"/>
      <c r="ED175" s="589"/>
      <c r="EE175" s="589"/>
      <c r="EF175" s="589"/>
      <c r="EG175" s="589"/>
      <c r="EH175" s="589"/>
      <c r="EI175" s="589"/>
      <c r="EJ175" s="589"/>
      <c r="EK175" s="589"/>
      <c r="EL175" s="589"/>
      <c r="EM175" s="589"/>
      <c r="EN175" s="589"/>
      <c r="EO175" s="589"/>
      <c r="EP175" s="589"/>
      <c r="EQ175" s="589"/>
      <c r="ER175" s="589"/>
      <c r="ES175" s="589"/>
      <c r="ET175" s="589"/>
      <c r="EU175" s="589"/>
      <c r="EV175" s="589"/>
      <c r="EW175" s="589"/>
      <c r="EX175" s="589"/>
      <c r="EY175" s="589"/>
      <c r="EZ175" s="589"/>
      <c r="FA175" s="589"/>
      <c r="FB175" s="589"/>
      <c r="FC175" s="589"/>
      <c r="FD175" s="589"/>
      <c r="FE175" s="589"/>
      <c r="FF175" s="589"/>
      <c r="FG175" s="589"/>
      <c r="FH175" s="589"/>
      <c r="FI175" s="589"/>
      <c r="FJ175" s="589"/>
      <c r="FK175" s="589"/>
      <c r="FL175" s="589"/>
      <c r="FM175" s="589"/>
      <c r="FN175" s="589"/>
      <c r="FO175" s="589"/>
      <c r="FP175" s="589"/>
      <c r="FQ175" s="589"/>
      <c r="FR175" s="589"/>
      <c r="FS175" s="589"/>
      <c r="FT175" s="589"/>
      <c r="FU175" s="589"/>
      <c r="FV175" s="589"/>
      <c r="FW175" s="589"/>
      <c r="FX175" s="589"/>
      <c r="FY175" s="589"/>
      <c r="FZ175" s="589"/>
      <c r="GA175" s="589"/>
      <c r="GB175" s="589"/>
      <c r="GC175" s="589"/>
      <c r="GD175" s="589"/>
      <c r="GE175" s="589"/>
      <c r="GF175" s="589"/>
      <c r="GG175" s="589"/>
      <c r="GH175" s="589"/>
      <c r="GI175" s="589"/>
      <c r="GJ175" s="589"/>
      <c r="GK175" s="589"/>
      <c r="GL175" s="589"/>
      <c r="GM175" s="589"/>
      <c r="GN175" s="589"/>
      <c r="GO175" s="589"/>
      <c r="GP175" s="589"/>
      <c r="GQ175" s="589"/>
      <c r="GR175" s="589"/>
      <c r="GS175" s="589"/>
      <c r="GT175" s="589"/>
      <c r="GU175" s="589"/>
      <c r="GV175" s="589"/>
      <c r="GW175" s="589"/>
      <c r="GX175" s="589"/>
      <c r="GY175" s="589"/>
      <c r="GZ175" s="589"/>
      <c r="HA175" s="589"/>
      <c r="HB175" s="589"/>
      <c r="HC175" s="589"/>
      <c r="HD175" s="589"/>
      <c r="HE175" s="589"/>
      <c r="HF175" s="589"/>
      <c r="HG175" s="589"/>
      <c r="HH175" s="589"/>
      <c r="HI175" s="589"/>
      <c r="HJ175" s="589"/>
      <c r="HK175" s="589"/>
      <c r="HL175" s="589"/>
      <c r="HM175" s="589"/>
      <c r="HN175" s="589"/>
      <c r="HO175" s="589"/>
      <c r="HP175" s="589"/>
      <c r="HQ175" s="589"/>
      <c r="HR175" s="589"/>
      <c r="HS175" s="589"/>
      <c r="HT175" s="589"/>
      <c r="HU175" s="589"/>
      <c r="HV175" s="589"/>
      <c r="HW175" s="589"/>
      <c r="HX175" s="589"/>
      <c r="HY175" s="589"/>
      <c r="HZ175" s="589"/>
      <c r="IA175" s="589"/>
      <c r="IB175" s="589"/>
      <c r="IC175" s="589"/>
      <c r="ID175" s="589"/>
      <c r="IE175" s="589"/>
      <c r="IF175" s="589"/>
      <c r="IG175" s="589"/>
      <c r="IH175" s="589"/>
      <c r="II175" s="589"/>
      <c r="IJ175" s="589"/>
      <c r="IK175" s="589"/>
      <c r="IL175" s="589"/>
      <c r="IM175" s="589"/>
      <c r="IN175" s="589"/>
      <c r="IO175" s="589"/>
      <c r="IP175" s="589"/>
      <c r="IQ175" s="589"/>
      <c r="IR175" s="589"/>
      <c r="IS175" s="589"/>
      <c r="IT175" s="589"/>
      <c r="IU175" s="589"/>
      <c r="IV175" s="589"/>
    </row>
    <row r="176" spans="1:256" s="702" customFormat="1" x14ac:dyDescent="0.25">
      <c r="A176" s="604"/>
      <c r="B176" s="605" t="s">
        <v>234</v>
      </c>
      <c r="C176" s="605"/>
      <c r="D176" s="605"/>
      <c r="E176" s="605"/>
      <c r="F176" s="605"/>
      <c r="G176" s="605"/>
      <c r="H176" s="605"/>
      <c r="I176" s="605"/>
      <c r="J176" s="605"/>
      <c r="K176" s="605"/>
      <c r="L176" s="605"/>
      <c r="M176" s="605"/>
      <c r="N176" s="605"/>
      <c r="O176" s="605"/>
      <c r="P176" s="605"/>
      <c r="Q176" s="605"/>
      <c r="R176" s="605"/>
      <c r="S176" s="605"/>
      <c r="T176" s="605"/>
      <c r="U176" s="605"/>
      <c r="V176" s="663">
        <f>+V94</f>
        <v>0</v>
      </c>
      <c r="W176" s="607"/>
      <c r="X176" s="588"/>
      <c r="Y176" s="589"/>
      <c r="Z176" s="589"/>
      <c r="AA176" s="589"/>
      <c r="AB176" s="589"/>
      <c r="AC176" s="589"/>
      <c r="AD176" s="589"/>
      <c r="AE176" s="589"/>
      <c r="AF176" s="589"/>
      <c r="AG176" s="589"/>
      <c r="AH176" s="589"/>
      <c r="AI176" s="589"/>
      <c r="AJ176" s="589"/>
      <c r="AK176" s="589"/>
      <c r="AL176" s="589"/>
      <c r="AM176" s="589"/>
      <c r="AN176" s="589"/>
      <c r="AO176" s="589"/>
      <c r="AP176" s="589"/>
      <c r="AQ176" s="589"/>
      <c r="AR176" s="589"/>
      <c r="AS176" s="589"/>
      <c r="AT176" s="589"/>
      <c r="AU176" s="589"/>
      <c r="AV176" s="589"/>
      <c r="AW176" s="589"/>
      <c r="AX176" s="589"/>
      <c r="AY176" s="589"/>
      <c r="AZ176" s="589"/>
      <c r="BA176" s="589"/>
      <c r="BB176" s="589"/>
      <c r="BC176" s="589"/>
      <c r="BD176" s="589"/>
      <c r="BE176" s="589"/>
      <c r="BF176" s="589"/>
      <c r="BG176" s="589"/>
      <c r="BH176" s="589"/>
      <c r="BI176" s="589"/>
      <c r="BJ176" s="589"/>
      <c r="BK176" s="589"/>
      <c r="BL176" s="589"/>
      <c r="BM176" s="589"/>
      <c r="BN176" s="589"/>
      <c r="BO176" s="589"/>
      <c r="BP176" s="589"/>
      <c r="BQ176" s="589"/>
      <c r="BR176" s="589"/>
      <c r="BS176" s="589"/>
      <c r="BT176" s="589"/>
      <c r="BU176" s="589"/>
      <c r="BV176" s="589"/>
      <c r="BW176" s="589"/>
      <c r="BX176" s="589"/>
      <c r="BY176" s="589"/>
      <c r="BZ176" s="589"/>
      <c r="CA176" s="589"/>
      <c r="CB176" s="589"/>
      <c r="CC176" s="589"/>
      <c r="CD176" s="589"/>
      <c r="CE176" s="589"/>
      <c r="CF176" s="589"/>
      <c r="CG176" s="589"/>
      <c r="CH176" s="589"/>
      <c r="CI176" s="589"/>
      <c r="CJ176" s="589"/>
      <c r="CK176" s="589"/>
      <c r="CL176" s="589"/>
      <c r="CM176" s="589"/>
      <c r="CN176" s="589"/>
      <c r="CO176" s="589"/>
      <c r="CP176" s="589"/>
      <c r="CQ176" s="589"/>
      <c r="CR176" s="589"/>
      <c r="CS176" s="589"/>
      <c r="CT176" s="589"/>
      <c r="CU176" s="589"/>
      <c r="CV176" s="589"/>
      <c r="CW176" s="589"/>
      <c r="CX176" s="589"/>
      <c r="CY176" s="589"/>
      <c r="CZ176" s="589"/>
      <c r="DA176" s="589"/>
      <c r="DB176" s="589"/>
      <c r="DC176" s="589"/>
      <c r="DD176" s="589"/>
      <c r="DE176" s="589"/>
      <c r="DF176" s="589"/>
      <c r="DG176" s="589"/>
      <c r="DH176" s="589"/>
      <c r="DI176" s="589"/>
      <c r="DJ176" s="589"/>
      <c r="DK176" s="589"/>
      <c r="DL176" s="589"/>
      <c r="DM176" s="589"/>
      <c r="DN176" s="589"/>
      <c r="DO176" s="589"/>
      <c r="DP176" s="589"/>
      <c r="DQ176" s="589"/>
      <c r="DR176" s="589"/>
      <c r="DS176" s="589"/>
      <c r="DT176" s="589"/>
      <c r="DU176" s="589"/>
      <c r="DV176" s="589"/>
      <c r="DW176" s="589"/>
      <c r="DX176" s="589"/>
      <c r="DY176" s="589"/>
      <c r="DZ176" s="589"/>
      <c r="EA176" s="589"/>
      <c r="EB176" s="589"/>
      <c r="EC176" s="589"/>
      <c r="ED176" s="589"/>
      <c r="EE176" s="589"/>
      <c r="EF176" s="589"/>
      <c r="EG176" s="589"/>
      <c r="EH176" s="589"/>
      <c r="EI176" s="589"/>
      <c r="EJ176" s="589"/>
      <c r="EK176" s="589"/>
      <c r="EL176" s="589"/>
      <c r="EM176" s="589"/>
      <c r="EN176" s="589"/>
      <c r="EO176" s="589"/>
      <c r="EP176" s="589"/>
      <c r="EQ176" s="589"/>
      <c r="ER176" s="589"/>
      <c r="ES176" s="589"/>
      <c r="ET176" s="589"/>
      <c r="EU176" s="589"/>
      <c r="EV176" s="589"/>
      <c r="EW176" s="589"/>
      <c r="EX176" s="589"/>
      <c r="EY176" s="589"/>
      <c r="EZ176" s="589"/>
      <c r="FA176" s="589"/>
      <c r="FB176" s="589"/>
      <c r="FC176" s="589"/>
      <c r="FD176" s="589"/>
      <c r="FE176" s="589"/>
      <c r="FF176" s="589"/>
      <c r="FG176" s="589"/>
      <c r="FH176" s="589"/>
      <c r="FI176" s="589"/>
      <c r="FJ176" s="589"/>
      <c r="FK176" s="589"/>
      <c r="FL176" s="589"/>
      <c r="FM176" s="589"/>
      <c r="FN176" s="589"/>
      <c r="FO176" s="589"/>
      <c r="FP176" s="589"/>
      <c r="FQ176" s="589"/>
      <c r="FR176" s="589"/>
      <c r="FS176" s="589"/>
      <c r="FT176" s="589"/>
      <c r="FU176" s="589"/>
      <c r="FV176" s="589"/>
      <c r="FW176" s="589"/>
      <c r="FX176" s="589"/>
      <c r="FY176" s="589"/>
      <c r="FZ176" s="589"/>
      <c r="GA176" s="589"/>
      <c r="GB176" s="589"/>
      <c r="GC176" s="589"/>
      <c r="GD176" s="589"/>
      <c r="GE176" s="589"/>
      <c r="GF176" s="589"/>
      <c r="GG176" s="589"/>
      <c r="GH176" s="589"/>
      <c r="GI176" s="589"/>
      <c r="GJ176" s="589"/>
      <c r="GK176" s="589"/>
      <c r="GL176" s="589"/>
      <c r="GM176" s="589"/>
      <c r="GN176" s="589"/>
      <c r="GO176" s="589"/>
      <c r="GP176" s="589"/>
      <c r="GQ176" s="589"/>
      <c r="GR176" s="589"/>
      <c r="GS176" s="589"/>
      <c r="GT176" s="589"/>
      <c r="GU176" s="589"/>
      <c r="GV176" s="589"/>
      <c r="GW176" s="589"/>
      <c r="GX176" s="589"/>
      <c r="GY176" s="589"/>
      <c r="GZ176" s="589"/>
      <c r="HA176" s="589"/>
      <c r="HB176" s="589"/>
      <c r="HC176" s="589"/>
      <c r="HD176" s="589"/>
      <c r="HE176" s="589"/>
      <c r="HF176" s="589"/>
      <c r="HG176" s="589"/>
      <c r="HH176" s="589"/>
      <c r="HI176" s="589"/>
      <c r="HJ176" s="589"/>
      <c r="HK176" s="589"/>
      <c r="HL176" s="589"/>
      <c r="HM176" s="589"/>
      <c r="HN176" s="589"/>
      <c r="HO176" s="589"/>
      <c r="HP176" s="589"/>
      <c r="HQ176" s="589"/>
      <c r="HR176" s="589"/>
      <c r="HS176" s="589"/>
      <c r="HT176" s="589"/>
      <c r="HU176" s="589"/>
      <c r="HV176" s="589"/>
      <c r="HW176" s="589"/>
      <c r="HX176" s="589"/>
      <c r="HY176" s="589"/>
      <c r="HZ176" s="589"/>
      <c r="IA176" s="589"/>
      <c r="IB176" s="589"/>
      <c r="IC176" s="589"/>
      <c r="ID176" s="589"/>
      <c r="IE176" s="589"/>
      <c r="IF176" s="589"/>
      <c r="IG176" s="589"/>
      <c r="IH176" s="589"/>
      <c r="II176" s="589"/>
      <c r="IJ176" s="589"/>
      <c r="IK176" s="589"/>
      <c r="IL176" s="589"/>
      <c r="IM176" s="589"/>
      <c r="IN176" s="589"/>
      <c r="IO176" s="589"/>
      <c r="IP176" s="589"/>
      <c r="IQ176" s="589"/>
      <c r="IR176" s="589"/>
      <c r="IS176" s="589"/>
      <c r="IT176" s="589"/>
      <c r="IU176" s="589"/>
      <c r="IV176" s="589"/>
    </row>
    <row r="177" spans="1:256" s="702" customFormat="1" x14ac:dyDescent="0.25">
      <c r="A177" s="604"/>
      <c r="B177" s="605" t="s">
        <v>232</v>
      </c>
      <c r="C177" s="605"/>
      <c r="D177" s="605"/>
      <c r="E177" s="605"/>
      <c r="F177" s="605"/>
      <c r="G177" s="605"/>
      <c r="H177" s="605"/>
      <c r="I177" s="605"/>
      <c r="J177" s="605"/>
      <c r="K177" s="605"/>
      <c r="L177" s="605"/>
      <c r="M177" s="605"/>
      <c r="N177" s="605"/>
      <c r="O177" s="605"/>
      <c r="P177" s="605"/>
      <c r="Q177" s="605"/>
      <c r="R177" s="605"/>
      <c r="S177" s="605"/>
      <c r="T177" s="605"/>
      <c r="U177" s="605"/>
      <c r="V177" s="663">
        <f>+V175-V176</f>
        <v>0</v>
      </c>
      <c r="W177" s="607"/>
      <c r="X177" s="588"/>
      <c r="Y177" s="589"/>
      <c r="Z177" s="589"/>
      <c r="AA177" s="589"/>
      <c r="AB177" s="589"/>
      <c r="AC177" s="589"/>
      <c r="AD177" s="589"/>
      <c r="AE177" s="589"/>
      <c r="AF177" s="589"/>
      <c r="AG177" s="589"/>
      <c r="AH177" s="589"/>
      <c r="AI177" s="589"/>
      <c r="AJ177" s="589"/>
      <c r="AK177" s="589"/>
      <c r="AL177" s="589"/>
      <c r="AM177" s="589"/>
      <c r="AN177" s="589"/>
      <c r="AO177" s="589"/>
      <c r="AP177" s="589"/>
      <c r="AQ177" s="589"/>
      <c r="AR177" s="589"/>
      <c r="AS177" s="589"/>
      <c r="AT177" s="589"/>
      <c r="AU177" s="589"/>
      <c r="AV177" s="589"/>
      <c r="AW177" s="589"/>
      <c r="AX177" s="589"/>
      <c r="AY177" s="589"/>
      <c r="AZ177" s="589"/>
      <c r="BA177" s="589"/>
      <c r="BB177" s="589"/>
      <c r="BC177" s="589"/>
      <c r="BD177" s="589"/>
      <c r="BE177" s="589"/>
      <c r="BF177" s="589"/>
      <c r="BG177" s="589"/>
      <c r="BH177" s="589"/>
      <c r="BI177" s="589"/>
      <c r="BJ177" s="589"/>
      <c r="BK177" s="589"/>
      <c r="BL177" s="589"/>
      <c r="BM177" s="589"/>
      <c r="BN177" s="589"/>
      <c r="BO177" s="589"/>
      <c r="BP177" s="589"/>
      <c r="BQ177" s="589"/>
      <c r="BR177" s="589"/>
      <c r="BS177" s="589"/>
      <c r="BT177" s="589"/>
      <c r="BU177" s="589"/>
      <c r="BV177" s="589"/>
      <c r="BW177" s="589"/>
      <c r="BX177" s="589"/>
      <c r="BY177" s="589"/>
      <c r="BZ177" s="589"/>
      <c r="CA177" s="589"/>
      <c r="CB177" s="589"/>
      <c r="CC177" s="589"/>
      <c r="CD177" s="589"/>
      <c r="CE177" s="589"/>
      <c r="CF177" s="589"/>
      <c r="CG177" s="589"/>
      <c r="CH177" s="589"/>
      <c r="CI177" s="589"/>
      <c r="CJ177" s="589"/>
      <c r="CK177" s="589"/>
      <c r="CL177" s="589"/>
      <c r="CM177" s="589"/>
      <c r="CN177" s="589"/>
      <c r="CO177" s="589"/>
      <c r="CP177" s="589"/>
      <c r="CQ177" s="589"/>
      <c r="CR177" s="589"/>
      <c r="CS177" s="589"/>
      <c r="CT177" s="589"/>
      <c r="CU177" s="589"/>
      <c r="CV177" s="589"/>
      <c r="CW177" s="589"/>
      <c r="CX177" s="589"/>
      <c r="CY177" s="589"/>
      <c r="CZ177" s="589"/>
      <c r="DA177" s="589"/>
      <c r="DB177" s="589"/>
      <c r="DC177" s="589"/>
      <c r="DD177" s="589"/>
      <c r="DE177" s="589"/>
      <c r="DF177" s="589"/>
      <c r="DG177" s="589"/>
      <c r="DH177" s="589"/>
      <c r="DI177" s="589"/>
      <c r="DJ177" s="589"/>
      <c r="DK177" s="589"/>
      <c r="DL177" s="589"/>
      <c r="DM177" s="589"/>
      <c r="DN177" s="589"/>
      <c r="DO177" s="589"/>
      <c r="DP177" s="589"/>
      <c r="DQ177" s="589"/>
      <c r="DR177" s="589"/>
      <c r="DS177" s="589"/>
      <c r="DT177" s="589"/>
      <c r="DU177" s="589"/>
      <c r="DV177" s="589"/>
      <c r="DW177" s="589"/>
      <c r="DX177" s="589"/>
      <c r="DY177" s="589"/>
      <c r="DZ177" s="589"/>
      <c r="EA177" s="589"/>
      <c r="EB177" s="589"/>
      <c r="EC177" s="589"/>
      <c r="ED177" s="589"/>
      <c r="EE177" s="589"/>
      <c r="EF177" s="589"/>
      <c r="EG177" s="589"/>
      <c r="EH177" s="589"/>
      <c r="EI177" s="589"/>
      <c r="EJ177" s="589"/>
      <c r="EK177" s="589"/>
      <c r="EL177" s="589"/>
      <c r="EM177" s="589"/>
      <c r="EN177" s="589"/>
      <c r="EO177" s="589"/>
      <c r="EP177" s="589"/>
      <c r="EQ177" s="589"/>
      <c r="ER177" s="589"/>
      <c r="ES177" s="589"/>
      <c r="ET177" s="589"/>
      <c r="EU177" s="589"/>
      <c r="EV177" s="589"/>
      <c r="EW177" s="589"/>
      <c r="EX177" s="589"/>
      <c r="EY177" s="589"/>
      <c r="EZ177" s="589"/>
      <c r="FA177" s="589"/>
      <c r="FB177" s="589"/>
      <c r="FC177" s="589"/>
      <c r="FD177" s="589"/>
      <c r="FE177" s="589"/>
      <c r="FF177" s="589"/>
      <c r="FG177" s="589"/>
      <c r="FH177" s="589"/>
      <c r="FI177" s="589"/>
      <c r="FJ177" s="589"/>
      <c r="FK177" s="589"/>
      <c r="FL177" s="589"/>
      <c r="FM177" s="589"/>
      <c r="FN177" s="589"/>
      <c r="FO177" s="589"/>
      <c r="FP177" s="589"/>
      <c r="FQ177" s="589"/>
      <c r="FR177" s="589"/>
      <c r="FS177" s="589"/>
      <c r="FT177" s="589"/>
      <c r="FU177" s="589"/>
      <c r="FV177" s="589"/>
      <c r="FW177" s="589"/>
      <c r="FX177" s="589"/>
      <c r="FY177" s="589"/>
      <c r="FZ177" s="589"/>
      <c r="GA177" s="589"/>
      <c r="GB177" s="589"/>
      <c r="GC177" s="589"/>
      <c r="GD177" s="589"/>
      <c r="GE177" s="589"/>
      <c r="GF177" s="589"/>
      <c r="GG177" s="589"/>
      <c r="GH177" s="589"/>
      <c r="GI177" s="589"/>
      <c r="GJ177" s="589"/>
      <c r="GK177" s="589"/>
      <c r="GL177" s="589"/>
      <c r="GM177" s="589"/>
      <c r="GN177" s="589"/>
      <c r="GO177" s="589"/>
      <c r="GP177" s="589"/>
      <c r="GQ177" s="589"/>
      <c r="GR177" s="589"/>
      <c r="GS177" s="589"/>
      <c r="GT177" s="589"/>
      <c r="GU177" s="589"/>
      <c r="GV177" s="589"/>
      <c r="GW177" s="589"/>
      <c r="GX177" s="589"/>
      <c r="GY177" s="589"/>
      <c r="GZ177" s="589"/>
      <c r="HA177" s="589"/>
      <c r="HB177" s="589"/>
      <c r="HC177" s="589"/>
      <c r="HD177" s="589"/>
      <c r="HE177" s="589"/>
      <c r="HF177" s="589"/>
      <c r="HG177" s="589"/>
      <c r="HH177" s="589"/>
      <c r="HI177" s="589"/>
      <c r="HJ177" s="589"/>
      <c r="HK177" s="589"/>
      <c r="HL177" s="589"/>
      <c r="HM177" s="589"/>
      <c r="HN177" s="589"/>
      <c r="HO177" s="589"/>
      <c r="HP177" s="589"/>
      <c r="HQ177" s="589"/>
      <c r="HR177" s="589"/>
      <c r="HS177" s="589"/>
      <c r="HT177" s="589"/>
      <c r="HU177" s="589"/>
      <c r="HV177" s="589"/>
      <c r="HW177" s="589"/>
      <c r="HX177" s="589"/>
      <c r="HY177" s="589"/>
      <c r="HZ177" s="589"/>
      <c r="IA177" s="589"/>
      <c r="IB177" s="589"/>
      <c r="IC177" s="589"/>
      <c r="ID177" s="589"/>
      <c r="IE177" s="589"/>
      <c r="IF177" s="589"/>
      <c r="IG177" s="589"/>
      <c r="IH177" s="589"/>
      <c r="II177" s="589"/>
      <c r="IJ177" s="589"/>
      <c r="IK177" s="589"/>
      <c r="IL177" s="589"/>
      <c r="IM177" s="589"/>
      <c r="IN177" s="589"/>
      <c r="IO177" s="589"/>
      <c r="IP177" s="589"/>
      <c r="IQ177" s="589"/>
      <c r="IR177" s="589"/>
      <c r="IS177" s="589"/>
      <c r="IT177" s="589"/>
      <c r="IU177" s="589"/>
      <c r="IV177" s="589"/>
    </row>
    <row r="178" spans="1:256" s="704" customFormat="1" ht="16.5" thickBot="1" x14ac:dyDescent="0.3">
      <c r="A178" s="703"/>
      <c r="B178" s="664"/>
      <c r="C178" s="664"/>
      <c r="D178" s="664"/>
      <c r="E178" s="664"/>
      <c r="F178" s="664"/>
      <c r="G178" s="664"/>
      <c r="H178" s="664"/>
      <c r="I178" s="664"/>
      <c r="J178" s="664"/>
      <c r="K178" s="664"/>
      <c r="L178" s="664"/>
      <c r="M178" s="664"/>
      <c r="N178" s="664"/>
      <c r="O178" s="664"/>
      <c r="P178" s="664"/>
      <c r="Q178" s="664"/>
      <c r="R178" s="664"/>
      <c r="S178" s="664"/>
      <c r="T178" s="664"/>
      <c r="U178" s="664"/>
      <c r="V178" s="696"/>
      <c r="W178" s="664"/>
      <c r="X178" s="572"/>
      <c r="Y178" s="573"/>
      <c r="Z178" s="573"/>
      <c r="AA178" s="573"/>
      <c r="AB178" s="573"/>
      <c r="AC178" s="573"/>
      <c r="AD178" s="573"/>
      <c r="AE178" s="573"/>
      <c r="AF178" s="573"/>
      <c r="AG178" s="573"/>
      <c r="AH178" s="573"/>
      <c r="AI178" s="573"/>
      <c r="AJ178" s="573"/>
      <c r="AK178" s="573"/>
      <c r="AL178" s="573"/>
      <c r="AM178" s="573"/>
      <c r="AN178" s="573"/>
      <c r="AO178" s="573"/>
      <c r="AP178" s="573"/>
      <c r="AQ178" s="573"/>
      <c r="AR178" s="573"/>
      <c r="AS178" s="573"/>
      <c r="AT178" s="573"/>
      <c r="AU178" s="573"/>
      <c r="AV178" s="573"/>
      <c r="AW178" s="573"/>
      <c r="AX178" s="573"/>
      <c r="AY178" s="573"/>
      <c r="AZ178" s="573"/>
      <c r="BA178" s="573"/>
      <c r="BB178" s="573"/>
      <c r="BC178" s="573"/>
      <c r="BD178" s="573"/>
      <c r="BE178" s="573"/>
      <c r="BF178" s="573"/>
      <c r="BG178" s="573"/>
      <c r="BH178" s="573"/>
      <c r="BI178" s="573"/>
      <c r="BJ178" s="573"/>
      <c r="BK178" s="573"/>
      <c r="BL178" s="573"/>
      <c r="BM178" s="573"/>
      <c r="BN178" s="573"/>
      <c r="BO178" s="573"/>
      <c r="BP178" s="573"/>
      <c r="BQ178" s="573"/>
      <c r="BR178" s="573"/>
      <c r="BS178" s="573"/>
      <c r="BT178" s="573"/>
      <c r="BU178" s="573"/>
      <c r="BV178" s="573"/>
      <c r="BW178" s="573"/>
      <c r="BX178" s="573"/>
      <c r="BY178" s="573"/>
      <c r="BZ178" s="573"/>
      <c r="CA178" s="573"/>
      <c r="CB178" s="573"/>
      <c r="CC178" s="573"/>
      <c r="CD178" s="573"/>
      <c r="CE178" s="573"/>
      <c r="CF178" s="573"/>
      <c r="CG178" s="573"/>
      <c r="CH178" s="573"/>
      <c r="CI178" s="573"/>
      <c r="CJ178" s="573"/>
      <c r="CK178" s="573"/>
      <c r="CL178" s="573"/>
      <c r="CM178" s="573"/>
      <c r="CN178" s="573"/>
      <c r="CO178" s="573"/>
      <c r="CP178" s="573"/>
      <c r="CQ178" s="573"/>
      <c r="CR178" s="573"/>
      <c r="CS178" s="573"/>
      <c r="CT178" s="573"/>
      <c r="CU178" s="573"/>
      <c r="CV178" s="573"/>
      <c r="CW178" s="573"/>
      <c r="CX178" s="573"/>
      <c r="CY178" s="573"/>
      <c r="CZ178" s="573"/>
      <c r="DA178" s="573"/>
      <c r="DB178" s="573"/>
      <c r="DC178" s="573"/>
      <c r="DD178" s="573"/>
      <c r="DE178" s="573"/>
      <c r="DF178" s="573"/>
      <c r="DG178" s="573"/>
      <c r="DH178" s="573"/>
      <c r="DI178" s="573"/>
      <c r="DJ178" s="573"/>
      <c r="DK178" s="573"/>
      <c r="DL178" s="573"/>
      <c r="DM178" s="573"/>
      <c r="DN178" s="573"/>
      <c r="DO178" s="573"/>
      <c r="DP178" s="573"/>
      <c r="DQ178" s="573"/>
      <c r="DR178" s="573"/>
      <c r="DS178" s="573"/>
      <c r="DT178" s="573"/>
      <c r="DU178" s="573"/>
      <c r="DV178" s="573"/>
      <c r="DW178" s="573"/>
      <c r="DX178" s="573"/>
      <c r="DY178" s="573"/>
      <c r="DZ178" s="573"/>
      <c r="EA178" s="573"/>
      <c r="EB178" s="573"/>
      <c r="EC178" s="573"/>
      <c r="ED178" s="573"/>
      <c r="EE178" s="573"/>
      <c r="EF178" s="573"/>
      <c r="EG178" s="573"/>
      <c r="EH178" s="573"/>
      <c r="EI178" s="573"/>
      <c r="EJ178" s="573"/>
      <c r="EK178" s="573"/>
      <c r="EL178" s="573"/>
      <c r="EM178" s="573"/>
      <c r="EN178" s="573"/>
      <c r="EO178" s="573"/>
      <c r="EP178" s="573"/>
      <c r="EQ178" s="573"/>
      <c r="ER178" s="573"/>
      <c r="ES178" s="573"/>
      <c r="ET178" s="573"/>
      <c r="EU178" s="573"/>
      <c r="EV178" s="573"/>
      <c r="EW178" s="573"/>
      <c r="EX178" s="573"/>
      <c r="EY178" s="573"/>
      <c r="EZ178" s="573"/>
      <c r="FA178" s="573"/>
      <c r="FB178" s="573"/>
      <c r="FC178" s="573"/>
      <c r="FD178" s="573"/>
      <c r="FE178" s="573"/>
      <c r="FF178" s="573"/>
      <c r="FG178" s="573"/>
      <c r="FH178" s="573"/>
      <c r="FI178" s="573"/>
      <c r="FJ178" s="573"/>
      <c r="FK178" s="573"/>
      <c r="FL178" s="573"/>
      <c r="FM178" s="573"/>
      <c r="FN178" s="573"/>
      <c r="FO178" s="573"/>
      <c r="FP178" s="573"/>
      <c r="FQ178" s="573"/>
      <c r="FR178" s="573"/>
      <c r="FS178" s="573"/>
      <c r="FT178" s="573"/>
      <c r="FU178" s="573"/>
      <c r="FV178" s="573"/>
      <c r="FW178" s="573"/>
      <c r="FX178" s="573"/>
      <c r="FY178" s="573"/>
      <c r="FZ178" s="573"/>
      <c r="GA178" s="573"/>
      <c r="GB178" s="573"/>
      <c r="GC178" s="573"/>
      <c r="GD178" s="573"/>
      <c r="GE178" s="573"/>
      <c r="GF178" s="573"/>
      <c r="GG178" s="573"/>
      <c r="GH178" s="573"/>
      <c r="GI178" s="573"/>
      <c r="GJ178" s="573"/>
      <c r="GK178" s="573"/>
      <c r="GL178" s="573"/>
      <c r="GM178" s="573"/>
      <c r="GN178" s="573"/>
      <c r="GO178" s="573"/>
      <c r="GP178" s="573"/>
      <c r="GQ178" s="573"/>
      <c r="GR178" s="573"/>
      <c r="GS178" s="573"/>
      <c r="GT178" s="573"/>
      <c r="GU178" s="573"/>
      <c r="GV178" s="573"/>
      <c r="GW178" s="573"/>
      <c r="GX178" s="573"/>
      <c r="GY178" s="573"/>
      <c r="GZ178" s="573"/>
      <c r="HA178" s="573"/>
      <c r="HB178" s="573"/>
      <c r="HC178" s="573"/>
      <c r="HD178" s="573"/>
      <c r="HE178" s="573"/>
      <c r="HF178" s="573"/>
      <c r="HG178" s="573"/>
      <c r="HH178" s="573"/>
      <c r="HI178" s="573"/>
      <c r="HJ178" s="573"/>
      <c r="HK178" s="573"/>
      <c r="HL178" s="573"/>
      <c r="HM178" s="573"/>
      <c r="HN178" s="573"/>
      <c r="HO178" s="573"/>
      <c r="HP178" s="573"/>
      <c r="HQ178" s="573"/>
      <c r="HR178" s="573"/>
      <c r="HS178" s="573"/>
      <c r="HT178" s="573"/>
      <c r="HU178" s="573"/>
      <c r="HV178" s="573"/>
      <c r="HW178" s="573"/>
      <c r="HX178" s="573"/>
      <c r="HY178" s="573"/>
      <c r="HZ178" s="573"/>
      <c r="IA178" s="573"/>
      <c r="IB178" s="573"/>
      <c r="IC178" s="573"/>
      <c r="ID178" s="573"/>
      <c r="IE178" s="573"/>
      <c r="IF178" s="573"/>
      <c r="IG178" s="573"/>
      <c r="IH178" s="573"/>
      <c r="II178" s="573"/>
      <c r="IJ178" s="573"/>
      <c r="IK178" s="573"/>
      <c r="IL178" s="573"/>
      <c r="IM178" s="573"/>
      <c r="IN178" s="573"/>
      <c r="IO178" s="573"/>
      <c r="IP178" s="573"/>
      <c r="IQ178" s="573"/>
      <c r="IR178" s="573"/>
      <c r="IS178" s="573"/>
      <c r="IT178" s="573"/>
      <c r="IU178" s="573"/>
      <c r="IV178" s="573"/>
    </row>
    <row r="179" spans="1:256" s="705" customFormat="1" x14ac:dyDescent="0.25">
      <c r="A179" s="569"/>
      <c r="B179" s="571"/>
      <c r="C179" s="571"/>
      <c r="D179" s="571"/>
      <c r="E179" s="571"/>
      <c r="F179" s="571"/>
      <c r="G179" s="571"/>
      <c r="H179" s="571"/>
      <c r="I179" s="571"/>
      <c r="J179" s="571"/>
      <c r="K179" s="571"/>
      <c r="L179" s="571"/>
      <c r="M179" s="571"/>
      <c r="N179" s="571"/>
      <c r="O179" s="571"/>
      <c r="P179" s="571"/>
      <c r="Q179" s="571"/>
      <c r="R179" s="571"/>
      <c r="S179" s="571"/>
      <c r="T179" s="571"/>
      <c r="U179" s="571"/>
      <c r="V179" s="699"/>
      <c r="W179" s="571"/>
      <c r="X179" s="572"/>
      <c r="Y179" s="573"/>
      <c r="Z179" s="573"/>
      <c r="AA179" s="573"/>
      <c r="AB179" s="573"/>
      <c r="AC179" s="573"/>
      <c r="AD179" s="573"/>
      <c r="AE179" s="573"/>
      <c r="AF179" s="573"/>
      <c r="AG179" s="573"/>
      <c r="AH179" s="573"/>
      <c r="AI179" s="573"/>
      <c r="AJ179" s="573"/>
      <c r="AK179" s="573"/>
      <c r="AL179" s="573"/>
      <c r="AM179" s="573"/>
      <c r="AN179" s="573"/>
      <c r="AO179" s="573"/>
      <c r="AP179" s="573"/>
      <c r="AQ179" s="573"/>
      <c r="AR179" s="573"/>
      <c r="AS179" s="573"/>
      <c r="AT179" s="573"/>
      <c r="AU179" s="573"/>
      <c r="AV179" s="573"/>
      <c r="AW179" s="573"/>
      <c r="AX179" s="573"/>
      <c r="AY179" s="573"/>
      <c r="AZ179" s="573"/>
      <c r="BA179" s="573"/>
      <c r="BB179" s="573"/>
      <c r="BC179" s="573"/>
      <c r="BD179" s="573"/>
      <c r="BE179" s="573"/>
      <c r="BF179" s="573"/>
      <c r="BG179" s="573"/>
      <c r="BH179" s="573"/>
      <c r="BI179" s="573"/>
      <c r="BJ179" s="573"/>
      <c r="BK179" s="573"/>
      <c r="BL179" s="573"/>
      <c r="BM179" s="573"/>
      <c r="BN179" s="573"/>
      <c r="BO179" s="573"/>
      <c r="BP179" s="573"/>
      <c r="BQ179" s="573"/>
      <c r="BR179" s="573"/>
      <c r="BS179" s="573"/>
      <c r="BT179" s="573"/>
      <c r="BU179" s="573"/>
      <c r="BV179" s="573"/>
      <c r="BW179" s="573"/>
      <c r="BX179" s="573"/>
      <c r="BY179" s="573"/>
      <c r="BZ179" s="573"/>
      <c r="CA179" s="573"/>
      <c r="CB179" s="573"/>
      <c r="CC179" s="573"/>
      <c r="CD179" s="573"/>
      <c r="CE179" s="573"/>
      <c r="CF179" s="573"/>
      <c r="CG179" s="573"/>
      <c r="CH179" s="573"/>
      <c r="CI179" s="573"/>
      <c r="CJ179" s="573"/>
      <c r="CK179" s="573"/>
      <c r="CL179" s="573"/>
      <c r="CM179" s="573"/>
      <c r="CN179" s="573"/>
      <c r="CO179" s="573"/>
      <c r="CP179" s="573"/>
      <c r="CQ179" s="573"/>
      <c r="CR179" s="573"/>
      <c r="CS179" s="573"/>
      <c r="CT179" s="573"/>
      <c r="CU179" s="573"/>
      <c r="CV179" s="573"/>
      <c r="CW179" s="573"/>
      <c r="CX179" s="573"/>
      <c r="CY179" s="573"/>
      <c r="CZ179" s="573"/>
      <c r="DA179" s="573"/>
      <c r="DB179" s="573"/>
      <c r="DC179" s="573"/>
      <c r="DD179" s="573"/>
      <c r="DE179" s="573"/>
      <c r="DF179" s="573"/>
      <c r="DG179" s="573"/>
      <c r="DH179" s="573"/>
      <c r="DI179" s="573"/>
      <c r="DJ179" s="573"/>
      <c r="DK179" s="573"/>
      <c r="DL179" s="573"/>
      <c r="DM179" s="573"/>
      <c r="DN179" s="573"/>
      <c r="DO179" s="573"/>
      <c r="DP179" s="573"/>
      <c r="DQ179" s="573"/>
      <c r="DR179" s="573"/>
      <c r="DS179" s="573"/>
      <c r="DT179" s="573"/>
      <c r="DU179" s="573"/>
      <c r="DV179" s="573"/>
      <c r="DW179" s="573"/>
      <c r="DX179" s="573"/>
      <c r="DY179" s="573"/>
      <c r="DZ179" s="573"/>
      <c r="EA179" s="573"/>
      <c r="EB179" s="573"/>
      <c r="EC179" s="573"/>
      <c r="ED179" s="573"/>
      <c r="EE179" s="573"/>
      <c r="EF179" s="573"/>
      <c r="EG179" s="573"/>
      <c r="EH179" s="573"/>
      <c r="EI179" s="573"/>
      <c r="EJ179" s="573"/>
      <c r="EK179" s="573"/>
      <c r="EL179" s="573"/>
      <c r="EM179" s="573"/>
      <c r="EN179" s="573"/>
      <c r="EO179" s="573"/>
      <c r="EP179" s="573"/>
      <c r="EQ179" s="573"/>
      <c r="ER179" s="573"/>
      <c r="ES179" s="573"/>
      <c r="ET179" s="573"/>
      <c r="EU179" s="573"/>
      <c r="EV179" s="573"/>
      <c r="EW179" s="573"/>
      <c r="EX179" s="573"/>
      <c r="EY179" s="573"/>
      <c r="EZ179" s="573"/>
      <c r="FA179" s="573"/>
      <c r="FB179" s="573"/>
      <c r="FC179" s="573"/>
      <c r="FD179" s="573"/>
      <c r="FE179" s="573"/>
      <c r="FF179" s="573"/>
      <c r="FG179" s="573"/>
      <c r="FH179" s="573"/>
      <c r="FI179" s="573"/>
      <c r="FJ179" s="573"/>
      <c r="FK179" s="573"/>
      <c r="FL179" s="573"/>
      <c r="FM179" s="573"/>
      <c r="FN179" s="573"/>
      <c r="FO179" s="573"/>
      <c r="FP179" s="573"/>
      <c r="FQ179" s="573"/>
      <c r="FR179" s="573"/>
      <c r="FS179" s="573"/>
      <c r="FT179" s="573"/>
      <c r="FU179" s="573"/>
      <c r="FV179" s="573"/>
      <c r="FW179" s="573"/>
      <c r="FX179" s="573"/>
      <c r="FY179" s="573"/>
      <c r="FZ179" s="573"/>
      <c r="GA179" s="573"/>
      <c r="GB179" s="573"/>
      <c r="GC179" s="573"/>
      <c r="GD179" s="573"/>
      <c r="GE179" s="573"/>
      <c r="GF179" s="573"/>
      <c r="GG179" s="573"/>
      <c r="GH179" s="573"/>
      <c r="GI179" s="573"/>
      <c r="GJ179" s="573"/>
      <c r="GK179" s="573"/>
      <c r="GL179" s="573"/>
      <c r="GM179" s="573"/>
      <c r="GN179" s="573"/>
      <c r="GO179" s="573"/>
      <c r="GP179" s="573"/>
      <c r="GQ179" s="573"/>
      <c r="GR179" s="573"/>
      <c r="GS179" s="573"/>
      <c r="GT179" s="573"/>
      <c r="GU179" s="573"/>
      <c r="GV179" s="573"/>
      <c r="GW179" s="573"/>
      <c r="GX179" s="573"/>
      <c r="GY179" s="573"/>
      <c r="GZ179" s="573"/>
      <c r="HA179" s="573"/>
      <c r="HB179" s="573"/>
      <c r="HC179" s="573"/>
      <c r="HD179" s="573"/>
      <c r="HE179" s="573"/>
      <c r="HF179" s="573"/>
      <c r="HG179" s="573"/>
      <c r="HH179" s="573"/>
      <c r="HI179" s="573"/>
      <c r="HJ179" s="573"/>
      <c r="HK179" s="573"/>
      <c r="HL179" s="573"/>
      <c r="HM179" s="573"/>
      <c r="HN179" s="573"/>
      <c r="HO179" s="573"/>
      <c r="HP179" s="573"/>
      <c r="HQ179" s="573"/>
      <c r="HR179" s="573"/>
      <c r="HS179" s="573"/>
      <c r="HT179" s="573"/>
      <c r="HU179" s="573"/>
      <c r="HV179" s="573"/>
      <c r="HW179" s="573"/>
      <c r="HX179" s="573"/>
      <c r="HY179" s="573"/>
      <c r="HZ179" s="573"/>
      <c r="IA179" s="573"/>
      <c r="IB179" s="573"/>
      <c r="IC179" s="573"/>
      <c r="ID179" s="573"/>
      <c r="IE179" s="573"/>
      <c r="IF179" s="573"/>
      <c r="IG179" s="573"/>
      <c r="IH179" s="573"/>
      <c r="II179" s="573"/>
      <c r="IJ179" s="573"/>
      <c r="IK179" s="573"/>
      <c r="IL179" s="573"/>
      <c r="IM179" s="573"/>
      <c r="IN179" s="573"/>
      <c r="IO179" s="573"/>
      <c r="IP179" s="573"/>
      <c r="IQ179" s="573"/>
      <c r="IR179" s="573"/>
      <c r="IS179" s="573"/>
      <c r="IT179" s="573"/>
      <c r="IU179" s="573"/>
      <c r="IV179" s="573"/>
    </row>
    <row r="180" spans="1:256" x14ac:dyDescent="0.25">
      <c r="A180" s="574"/>
      <c r="B180" s="694" t="s">
        <v>56</v>
      </c>
      <c r="C180" s="576"/>
      <c r="D180" s="576"/>
      <c r="E180" s="576"/>
      <c r="F180" s="576"/>
      <c r="G180" s="576"/>
      <c r="H180" s="576"/>
      <c r="I180" s="576"/>
      <c r="J180" s="576"/>
      <c r="K180" s="576"/>
      <c r="L180" s="576"/>
      <c r="M180" s="576"/>
      <c r="N180" s="576"/>
      <c r="O180" s="576"/>
      <c r="P180" s="576"/>
      <c r="Q180" s="576"/>
      <c r="R180" s="576"/>
      <c r="S180" s="576"/>
      <c r="T180" s="576"/>
      <c r="U180" s="576"/>
      <c r="V180" s="656"/>
      <c r="W180" s="576"/>
      <c r="X180" s="572"/>
    </row>
    <row r="181" spans="1:256" x14ac:dyDescent="0.25">
      <c r="A181" s="574"/>
      <c r="B181" s="693"/>
      <c r="C181" s="576"/>
      <c r="D181" s="576"/>
      <c r="E181" s="576"/>
      <c r="F181" s="576"/>
      <c r="G181" s="576"/>
      <c r="H181" s="576"/>
      <c r="I181" s="576"/>
      <c r="J181" s="576"/>
      <c r="K181" s="576"/>
      <c r="L181" s="576"/>
      <c r="M181" s="576"/>
      <c r="N181" s="576"/>
      <c r="O181" s="576"/>
      <c r="P181" s="576"/>
      <c r="Q181" s="576"/>
      <c r="R181" s="576"/>
      <c r="S181" s="576"/>
      <c r="T181" s="576"/>
      <c r="U181" s="576"/>
      <c r="V181" s="656"/>
      <c r="W181" s="576"/>
      <c r="X181" s="572"/>
    </row>
    <row r="182" spans="1:256" s="589" customFormat="1" x14ac:dyDescent="0.25">
      <c r="A182" s="604"/>
      <c r="B182" s="605" t="s">
        <v>57</v>
      </c>
      <c r="C182" s="605"/>
      <c r="D182" s="605"/>
      <c r="E182" s="605"/>
      <c r="F182" s="605"/>
      <c r="G182" s="605"/>
      <c r="H182" s="605"/>
      <c r="I182" s="605"/>
      <c r="J182" s="605"/>
      <c r="K182" s="605"/>
      <c r="L182" s="605"/>
      <c r="M182" s="605"/>
      <c r="N182" s="605"/>
      <c r="O182" s="605"/>
      <c r="P182" s="605"/>
      <c r="Q182" s="605"/>
      <c r="R182" s="605"/>
      <c r="S182" s="605"/>
      <c r="T182" s="605"/>
      <c r="U182" s="605"/>
      <c r="V182" s="663">
        <f>V71</f>
        <v>537521</v>
      </c>
      <c r="W182" s="607"/>
      <c r="X182" s="588"/>
    </row>
    <row r="183" spans="1:256" s="589" customFormat="1" x14ac:dyDescent="0.25">
      <c r="A183" s="604"/>
      <c r="B183" s="605" t="s">
        <v>58</v>
      </c>
      <c r="C183" s="605"/>
      <c r="D183" s="605"/>
      <c r="E183" s="605"/>
      <c r="F183" s="605"/>
      <c r="G183" s="605"/>
      <c r="H183" s="605"/>
      <c r="I183" s="605"/>
      <c r="J183" s="605"/>
      <c r="K183" s="605"/>
      <c r="L183" s="605"/>
      <c r="M183" s="605"/>
      <c r="N183" s="605"/>
      <c r="O183" s="605"/>
      <c r="P183" s="605"/>
      <c r="Q183" s="605"/>
      <c r="R183" s="605"/>
      <c r="S183" s="605"/>
      <c r="T183" s="605"/>
      <c r="U183" s="605"/>
      <c r="V183" s="663">
        <f>V84</f>
        <v>537521</v>
      </c>
      <c r="W183" s="607"/>
      <c r="X183" s="588"/>
    </row>
    <row r="184" spans="1:256" ht="16.5" thickBot="1" x14ac:dyDescent="0.3">
      <c r="A184" s="574"/>
      <c r="B184" s="664"/>
      <c r="C184" s="664"/>
      <c r="D184" s="664"/>
      <c r="E184" s="664"/>
      <c r="F184" s="664"/>
      <c r="G184" s="664"/>
      <c r="H184" s="664"/>
      <c r="I184" s="664"/>
      <c r="J184" s="664"/>
      <c r="K184" s="664"/>
      <c r="L184" s="664"/>
      <c r="M184" s="664"/>
      <c r="N184" s="664"/>
      <c r="O184" s="664"/>
      <c r="P184" s="664"/>
      <c r="Q184" s="664"/>
      <c r="R184" s="664"/>
      <c r="S184" s="664"/>
      <c r="T184" s="664"/>
      <c r="U184" s="664"/>
      <c r="V184" s="696"/>
      <c r="W184" s="664"/>
      <c r="X184" s="572"/>
    </row>
    <row r="185" spans="1:256" x14ac:dyDescent="0.25">
      <c r="A185" s="569"/>
      <c r="B185" s="571"/>
      <c r="C185" s="571"/>
      <c r="D185" s="571"/>
      <c r="E185" s="571"/>
      <c r="F185" s="571"/>
      <c r="G185" s="571"/>
      <c r="H185" s="571"/>
      <c r="I185" s="571"/>
      <c r="J185" s="571"/>
      <c r="K185" s="571"/>
      <c r="L185" s="571"/>
      <c r="M185" s="571"/>
      <c r="N185" s="571"/>
      <c r="O185" s="571"/>
      <c r="P185" s="571"/>
      <c r="Q185" s="571"/>
      <c r="R185" s="571"/>
      <c r="S185" s="571"/>
      <c r="T185" s="571"/>
      <c r="U185" s="571"/>
      <c r="V185" s="699"/>
      <c r="W185" s="571"/>
      <c r="X185" s="572"/>
    </row>
    <row r="186" spans="1:256" s="629" customFormat="1" x14ac:dyDescent="0.25">
      <c r="A186" s="657"/>
      <c r="B186" s="694" t="s">
        <v>59</v>
      </c>
      <c r="C186" s="661"/>
      <c r="D186" s="661"/>
      <c r="E186" s="661"/>
      <c r="F186" s="661"/>
      <c r="G186" s="661"/>
      <c r="H186" s="706"/>
      <c r="I186" s="706"/>
      <c r="J186" s="706"/>
      <c r="K186" s="706"/>
      <c r="L186" s="706"/>
      <c r="M186" s="706"/>
      <c r="N186" s="706"/>
      <c r="O186" s="706"/>
      <c r="P186" s="706"/>
      <c r="Q186" s="706"/>
      <c r="R186" s="706"/>
      <c r="S186" s="706" t="s">
        <v>101</v>
      </c>
      <c r="T186" s="706" t="s">
        <v>176</v>
      </c>
      <c r="U186" s="578"/>
      <c r="V186" s="707" t="s">
        <v>114</v>
      </c>
      <c r="W186" s="578"/>
      <c r="X186" s="628"/>
    </row>
    <row r="187" spans="1:256" s="589" customFormat="1" x14ac:dyDescent="0.25">
      <c r="A187" s="604"/>
      <c r="B187" s="605" t="s">
        <v>60</v>
      </c>
      <c r="C187" s="605"/>
      <c r="D187" s="605"/>
      <c r="E187" s="605"/>
      <c r="F187" s="605"/>
      <c r="G187" s="605"/>
      <c r="H187" s="605"/>
      <c r="I187" s="605"/>
      <c r="J187" s="605"/>
      <c r="K187" s="605"/>
      <c r="L187" s="605"/>
      <c r="M187" s="605"/>
      <c r="N187" s="605"/>
      <c r="O187" s="605"/>
      <c r="P187" s="605"/>
      <c r="Q187" s="605"/>
      <c r="R187" s="605"/>
      <c r="S187" s="663">
        <f>+V34*0.16</f>
        <v>160181.28</v>
      </c>
      <c r="T187" s="635"/>
      <c r="U187" s="605"/>
      <c r="V187" s="663"/>
      <c r="W187" s="607"/>
      <c r="X187" s="588"/>
    </row>
    <row r="188" spans="1:256" s="589" customFormat="1" x14ac:dyDescent="0.25">
      <c r="A188" s="604"/>
      <c r="B188" s="605" t="s">
        <v>61</v>
      </c>
      <c r="C188" s="605"/>
      <c r="D188" s="605"/>
      <c r="E188" s="605"/>
      <c r="F188" s="605"/>
      <c r="G188" s="605"/>
      <c r="H188" s="605"/>
      <c r="I188" s="605"/>
      <c r="J188" s="605"/>
      <c r="K188" s="605"/>
      <c r="L188" s="605"/>
      <c r="M188" s="605"/>
      <c r="N188" s="605"/>
      <c r="O188" s="605"/>
      <c r="P188" s="605"/>
      <c r="Q188" s="605"/>
      <c r="R188" s="605"/>
      <c r="S188" s="663">
        <f>+'Nov 19'!S190</f>
        <v>14163</v>
      </c>
      <c r="T188" s="663">
        <f>+'Nov 19'!T190</f>
        <v>6098</v>
      </c>
      <c r="U188" s="605"/>
      <c r="V188" s="663">
        <f>S188+T188</f>
        <v>20261</v>
      </c>
      <c r="W188" s="607"/>
      <c r="X188" s="588"/>
    </row>
    <row r="189" spans="1:256" s="589" customFormat="1" x14ac:dyDescent="0.25">
      <c r="A189" s="604"/>
      <c r="B189" s="605" t="s">
        <v>62</v>
      </c>
      <c r="C189" s="605"/>
      <c r="D189" s="605"/>
      <c r="E189" s="605"/>
      <c r="F189" s="605"/>
      <c r="G189" s="605"/>
      <c r="H189" s="605"/>
      <c r="I189" s="605"/>
      <c r="J189" s="605"/>
      <c r="K189" s="605"/>
      <c r="L189" s="605"/>
      <c r="M189" s="605"/>
      <c r="N189" s="605"/>
      <c r="O189" s="605"/>
      <c r="P189" s="605"/>
      <c r="Q189" s="605"/>
      <c r="R189" s="605"/>
      <c r="S189" s="662">
        <v>0</v>
      </c>
      <c r="T189" s="662">
        <v>0</v>
      </c>
      <c r="U189" s="605"/>
      <c r="V189" s="663">
        <f>S189+T189</f>
        <v>0</v>
      </c>
      <c r="W189" s="607"/>
      <c r="X189" s="588"/>
    </row>
    <row r="190" spans="1:256" s="589" customFormat="1" x14ac:dyDescent="0.25">
      <c r="A190" s="604"/>
      <c r="B190" s="605" t="s">
        <v>63</v>
      </c>
      <c r="C190" s="605"/>
      <c r="D190" s="605"/>
      <c r="E190" s="605"/>
      <c r="F190" s="605"/>
      <c r="G190" s="605"/>
      <c r="H190" s="605"/>
      <c r="I190" s="605"/>
      <c r="J190" s="605"/>
      <c r="K190" s="605"/>
      <c r="L190" s="605"/>
      <c r="M190" s="605"/>
      <c r="N190" s="605"/>
      <c r="O190" s="605"/>
      <c r="P190" s="605"/>
      <c r="Q190" s="605"/>
      <c r="R190" s="605"/>
      <c r="S190" s="663">
        <f>S188+S189</f>
        <v>14163</v>
      </c>
      <c r="T190" s="663">
        <f>T189+T188</f>
        <v>6098</v>
      </c>
      <c r="U190" s="605"/>
      <c r="V190" s="663">
        <f>S190+T190</f>
        <v>20261</v>
      </c>
      <c r="W190" s="607"/>
      <c r="X190" s="588"/>
    </row>
    <row r="191" spans="1:256" s="589" customFormat="1" x14ac:dyDescent="0.25">
      <c r="A191" s="604"/>
      <c r="B191" s="605" t="s">
        <v>64</v>
      </c>
      <c r="C191" s="605"/>
      <c r="D191" s="605"/>
      <c r="E191" s="605"/>
      <c r="F191" s="605"/>
      <c r="G191" s="605"/>
      <c r="H191" s="605"/>
      <c r="I191" s="605"/>
      <c r="J191" s="605"/>
      <c r="K191" s="605"/>
      <c r="L191" s="605"/>
      <c r="M191" s="605"/>
      <c r="N191" s="605"/>
      <c r="O191" s="605"/>
      <c r="P191" s="605"/>
      <c r="Q191" s="605"/>
      <c r="R191" s="605"/>
      <c r="S191" s="663">
        <f>S187-S190-T190</f>
        <v>139920.28</v>
      </c>
      <c r="T191" s="635"/>
      <c r="U191" s="605"/>
      <c r="V191" s="663"/>
      <c r="W191" s="607"/>
      <c r="X191" s="588"/>
    </row>
    <row r="192" spans="1:256" ht="16.5" thickBot="1" x14ac:dyDescent="0.3">
      <c r="A192" s="574"/>
      <c r="B192" s="664"/>
      <c r="C192" s="664"/>
      <c r="D192" s="664"/>
      <c r="E192" s="664"/>
      <c r="F192" s="664"/>
      <c r="G192" s="664"/>
      <c r="H192" s="664"/>
      <c r="I192" s="664"/>
      <c r="J192" s="664"/>
      <c r="K192" s="664"/>
      <c r="L192" s="664"/>
      <c r="M192" s="664"/>
      <c r="N192" s="664"/>
      <c r="O192" s="664"/>
      <c r="P192" s="664"/>
      <c r="Q192" s="664"/>
      <c r="R192" s="664"/>
      <c r="S192" s="664"/>
      <c r="T192" s="664"/>
      <c r="U192" s="664"/>
      <c r="V192" s="696"/>
      <c r="W192" s="664"/>
      <c r="X192" s="572"/>
    </row>
    <row r="193" spans="1:24" x14ac:dyDescent="0.25">
      <c r="A193" s="569"/>
      <c r="B193" s="571"/>
      <c r="C193" s="571"/>
      <c r="D193" s="571"/>
      <c r="E193" s="571"/>
      <c r="F193" s="571"/>
      <c r="G193" s="571"/>
      <c r="H193" s="571"/>
      <c r="I193" s="571"/>
      <c r="J193" s="571"/>
      <c r="K193" s="571"/>
      <c r="L193" s="571"/>
      <c r="M193" s="571"/>
      <c r="N193" s="571"/>
      <c r="O193" s="571"/>
      <c r="P193" s="571"/>
      <c r="Q193" s="571"/>
      <c r="R193" s="571"/>
      <c r="S193" s="571"/>
      <c r="T193" s="571"/>
      <c r="U193" s="571"/>
      <c r="V193" s="699"/>
      <c r="W193" s="571"/>
      <c r="X193" s="572"/>
    </row>
    <row r="194" spans="1:24" x14ac:dyDescent="0.25">
      <c r="A194" s="574"/>
      <c r="B194" s="694" t="s">
        <v>65</v>
      </c>
      <c r="C194" s="576"/>
      <c r="D194" s="576"/>
      <c r="E194" s="576"/>
      <c r="F194" s="576"/>
      <c r="G194" s="576"/>
      <c r="H194" s="576"/>
      <c r="I194" s="576"/>
      <c r="J194" s="576"/>
      <c r="K194" s="576"/>
      <c r="L194" s="576"/>
      <c r="M194" s="576"/>
      <c r="N194" s="576"/>
      <c r="O194" s="576"/>
      <c r="P194" s="576"/>
      <c r="Q194" s="576"/>
      <c r="R194" s="576"/>
      <c r="S194" s="576"/>
      <c r="T194" s="576"/>
      <c r="U194" s="576"/>
      <c r="V194" s="708"/>
      <c r="W194" s="576"/>
      <c r="X194" s="572"/>
    </row>
    <row r="195" spans="1:24" s="589" customFormat="1" x14ac:dyDescent="0.25">
      <c r="A195" s="604"/>
      <c r="B195" s="605" t="s">
        <v>66</v>
      </c>
      <c r="C195" s="605"/>
      <c r="D195" s="605"/>
      <c r="E195" s="605"/>
      <c r="F195" s="605"/>
      <c r="G195" s="605"/>
      <c r="H195" s="605"/>
      <c r="I195" s="605"/>
      <c r="J195" s="605"/>
      <c r="K195" s="605"/>
      <c r="L195" s="605"/>
      <c r="M195" s="605"/>
      <c r="N195" s="605"/>
      <c r="O195" s="605"/>
      <c r="P195" s="605"/>
      <c r="Q195" s="605"/>
      <c r="R195" s="605"/>
      <c r="S195" s="605"/>
      <c r="T195" s="605"/>
      <c r="U195" s="605"/>
      <c r="V195" s="697">
        <f>(V101+V103+V104+V105+V106)/-(V107+V108)</f>
        <v>3.8730314960629921</v>
      </c>
      <c r="W195" s="607" t="s">
        <v>115</v>
      </c>
      <c r="X195" s="588"/>
    </row>
    <row r="196" spans="1:24" s="589" customFormat="1" x14ac:dyDescent="0.25">
      <c r="A196" s="604"/>
      <c r="B196" s="605" t="s">
        <v>67</v>
      </c>
      <c r="C196" s="605"/>
      <c r="D196" s="605"/>
      <c r="E196" s="605"/>
      <c r="F196" s="605"/>
      <c r="G196" s="605"/>
      <c r="H196" s="605"/>
      <c r="I196" s="605"/>
      <c r="J196" s="605"/>
      <c r="K196" s="605"/>
      <c r="L196" s="605"/>
      <c r="M196" s="605"/>
      <c r="N196" s="605"/>
      <c r="O196" s="605"/>
      <c r="P196" s="605"/>
      <c r="Q196" s="605"/>
      <c r="R196" s="605"/>
      <c r="S196" s="605"/>
      <c r="T196" s="605"/>
      <c r="U196" s="605"/>
      <c r="V196" s="709">
        <v>2.27</v>
      </c>
      <c r="W196" s="607" t="s">
        <v>115</v>
      </c>
      <c r="X196" s="588"/>
    </row>
    <row r="197" spans="1:24" s="589" customFormat="1" x14ac:dyDescent="0.25">
      <c r="A197" s="604"/>
      <c r="B197" s="605" t="s">
        <v>68</v>
      </c>
      <c r="C197" s="605"/>
      <c r="D197" s="605"/>
      <c r="E197" s="605"/>
      <c r="F197" s="605"/>
      <c r="G197" s="605"/>
      <c r="H197" s="605"/>
      <c r="I197" s="605"/>
      <c r="J197" s="605"/>
      <c r="K197" s="605"/>
      <c r="L197" s="605"/>
      <c r="M197" s="605"/>
      <c r="N197" s="605"/>
      <c r="O197" s="605"/>
      <c r="P197" s="605"/>
      <c r="Q197" s="605"/>
      <c r="R197" s="605"/>
      <c r="S197" s="605"/>
      <c r="T197" s="605"/>
      <c r="U197" s="605"/>
      <c r="V197" s="697">
        <f>(V101+V103+V104+V105+V106+V107+V108)/-(V109+V110)</f>
        <v>11.183908045977011</v>
      </c>
      <c r="W197" s="607" t="s">
        <v>115</v>
      </c>
      <c r="X197" s="588"/>
    </row>
    <row r="198" spans="1:24" s="589" customFormat="1" x14ac:dyDescent="0.25">
      <c r="A198" s="604"/>
      <c r="B198" s="605" t="s">
        <v>69</v>
      </c>
      <c r="C198" s="605"/>
      <c r="D198" s="605"/>
      <c r="E198" s="605"/>
      <c r="F198" s="605"/>
      <c r="G198" s="605"/>
      <c r="H198" s="605"/>
      <c r="I198" s="605"/>
      <c r="J198" s="605"/>
      <c r="K198" s="605"/>
      <c r="L198" s="605"/>
      <c r="M198" s="605"/>
      <c r="N198" s="605"/>
      <c r="O198" s="605"/>
      <c r="P198" s="605"/>
      <c r="Q198" s="605"/>
      <c r="R198" s="605"/>
      <c r="S198" s="605"/>
      <c r="T198" s="605"/>
      <c r="U198" s="605"/>
      <c r="V198" s="709">
        <v>10.07</v>
      </c>
      <c r="W198" s="607" t="s">
        <v>115</v>
      </c>
      <c r="X198" s="588"/>
    </row>
    <row r="199" spans="1:24" s="589" customFormat="1" x14ac:dyDescent="0.25">
      <c r="A199" s="604"/>
      <c r="B199" s="605" t="s">
        <v>198</v>
      </c>
      <c r="C199" s="605"/>
      <c r="D199" s="605"/>
      <c r="E199" s="605"/>
      <c r="F199" s="605"/>
      <c r="G199" s="605"/>
      <c r="H199" s="605"/>
      <c r="I199" s="605"/>
      <c r="J199" s="605"/>
      <c r="K199" s="605"/>
      <c r="L199" s="605"/>
      <c r="M199" s="605"/>
      <c r="N199" s="605"/>
      <c r="O199" s="605"/>
      <c r="P199" s="605"/>
      <c r="Q199" s="605"/>
      <c r="R199" s="605"/>
      <c r="S199" s="605"/>
      <c r="T199" s="605"/>
      <c r="U199" s="605"/>
      <c r="V199" s="697">
        <f>(V101+V103+V104+V105+V106+V107+V108+V109+V110)/-(V111)</f>
        <v>7.0131926121372032</v>
      </c>
      <c r="W199" s="607" t="s">
        <v>115</v>
      </c>
      <c r="X199" s="588"/>
    </row>
    <row r="200" spans="1:24" s="589" customFormat="1" x14ac:dyDescent="0.25">
      <c r="A200" s="604"/>
      <c r="B200" s="605" t="s">
        <v>199</v>
      </c>
      <c r="C200" s="605"/>
      <c r="D200" s="605"/>
      <c r="E200" s="605"/>
      <c r="F200" s="605"/>
      <c r="G200" s="605"/>
      <c r="H200" s="605"/>
      <c r="I200" s="605"/>
      <c r="J200" s="605"/>
      <c r="K200" s="605"/>
      <c r="L200" s="605"/>
      <c r="M200" s="605"/>
      <c r="N200" s="605"/>
      <c r="O200" s="605"/>
      <c r="P200" s="605"/>
      <c r="Q200" s="605"/>
      <c r="R200" s="605"/>
      <c r="S200" s="605"/>
      <c r="T200" s="605"/>
      <c r="U200" s="605"/>
      <c r="V200" s="709">
        <v>7.08</v>
      </c>
      <c r="W200" s="607" t="s">
        <v>115</v>
      </c>
      <c r="X200" s="588"/>
    </row>
    <row r="201" spans="1:24" s="589" customFormat="1" x14ac:dyDescent="0.25">
      <c r="A201" s="604"/>
      <c r="B201" s="605"/>
      <c r="C201" s="605"/>
      <c r="D201" s="605"/>
      <c r="E201" s="605"/>
      <c r="F201" s="605"/>
      <c r="G201" s="605"/>
      <c r="H201" s="605"/>
      <c r="I201" s="605"/>
      <c r="J201" s="605"/>
      <c r="K201" s="605"/>
      <c r="L201" s="605"/>
      <c r="M201" s="605"/>
      <c r="N201" s="605"/>
      <c r="O201" s="605"/>
      <c r="P201" s="605"/>
      <c r="Q201" s="605"/>
      <c r="R201" s="605"/>
      <c r="S201" s="605"/>
      <c r="T201" s="605"/>
      <c r="U201" s="605"/>
      <c r="V201" s="605"/>
      <c r="W201" s="607"/>
      <c r="X201" s="588"/>
    </row>
    <row r="202" spans="1:24" s="589" customFormat="1" x14ac:dyDescent="0.25">
      <c r="A202" s="585"/>
      <c r="B202" s="602"/>
      <c r="C202" s="602"/>
      <c r="D202" s="602"/>
      <c r="E202" s="602"/>
      <c r="F202" s="602"/>
      <c r="G202" s="602"/>
      <c r="H202" s="602"/>
      <c r="I202" s="602"/>
      <c r="J202" s="602"/>
      <c r="K202" s="602"/>
      <c r="L202" s="602"/>
      <c r="M202" s="602"/>
      <c r="N202" s="602"/>
      <c r="O202" s="602"/>
      <c r="P202" s="602"/>
      <c r="Q202" s="602"/>
      <c r="R202" s="602"/>
      <c r="S202" s="602"/>
      <c r="T202" s="602"/>
      <c r="U202" s="602"/>
      <c r="V202" s="602"/>
      <c r="W202" s="602"/>
      <c r="X202" s="588"/>
    </row>
    <row r="203" spans="1:24" s="589" customFormat="1" x14ac:dyDescent="0.25">
      <c r="A203" s="585"/>
      <c r="B203" s="586"/>
      <c r="C203" s="586"/>
      <c r="D203" s="586"/>
      <c r="E203" s="586"/>
      <c r="F203" s="586"/>
      <c r="G203" s="586"/>
      <c r="H203" s="586"/>
      <c r="I203" s="586"/>
      <c r="J203" s="586"/>
      <c r="K203" s="586"/>
      <c r="L203" s="586"/>
      <c r="M203" s="586"/>
      <c r="N203" s="586"/>
      <c r="O203" s="586"/>
      <c r="P203" s="586"/>
      <c r="Q203" s="586"/>
      <c r="R203" s="586"/>
      <c r="S203" s="586"/>
      <c r="T203" s="586"/>
      <c r="U203" s="586"/>
      <c r="V203" s="586"/>
      <c r="W203" s="586"/>
      <c r="X203" s="588"/>
    </row>
    <row r="204" spans="1:24" s="589" customFormat="1" ht="19.5" thickBot="1" x14ac:dyDescent="0.35">
      <c r="A204" s="649"/>
      <c r="B204" s="568" t="str">
        <f>B138</f>
        <v>PM15 INVESTOR REPORT QUARTER ENDING FEBRUARY 2020</v>
      </c>
      <c r="C204" s="650"/>
      <c r="D204" s="650"/>
      <c r="E204" s="650"/>
      <c r="F204" s="650"/>
      <c r="G204" s="650"/>
      <c r="H204" s="650"/>
      <c r="I204" s="650"/>
      <c r="J204" s="650"/>
      <c r="K204" s="650"/>
      <c r="L204" s="650"/>
      <c r="M204" s="650"/>
      <c r="N204" s="650"/>
      <c r="O204" s="650"/>
      <c r="P204" s="650"/>
      <c r="Q204" s="650"/>
      <c r="R204" s="650"/>
      <c r="S204" s="650"/>
      <c r="T204" s="650"/>
      <c r="U204" s="650"/>
      <c r="V204" s="650"/>
      <c r="W204" s="652"/>
      <c r="X204" s="588"/>
    </row>
    <row r="205" spans="1:24" x14ac:dyDescent="0.25">
      <c r="A205" s="689"/>
      <c r="B205" s="690" t="s">
        <v>70</v>
      </c>
      <c r="C205" s="710"/>
      <c r="D205" s="710"/>
      <c r="E205" s="710"/>
      <c r="F205" s="710"/>
      <c r="G205" s="711"/>
      <c r="H205" s="711"/>
      <c r="I205" s="711"/>
      <c r="J205" s="711"/>
      <c r="K205" s="711"/>
      <c r="L205" s="711"/>
      <c r="M205" s="711"/>
      <c r="N205" s="711"/>
      <c r="O205" s="711"/>
      <c r="P205" s="711"/>
      <c r="Q205" s="711"/>
      <c r="R205" s="711"/>
      <c r="S205" s="711"/>
      <c r="T205" s="711">
        <v>43889</v>
      </c>
      <c r="U205" s="691"/>
      <c r="V205" s="691"/>
      <c r="W205" s="691"/>
      <c r="X205" s="572"/>
    </row>
    <row r="206" spans="1:24" x14ac:dyDescent="0.25">
      <c r="A206" s="712"/>
      <c r="B206" s="713"/>
      <c r="C206" s="714"/>
      <c r="D206" s="714"/>
      <c r="E206" s="714"/>
      <c r="F206" s="714"/>
      <c r="G206" s="715"/>
      <c r="H206" s="715"/>
      <c r="I206" s="715"/>
      <c r="J206" s="715"/>
      <c r="K206" s="715"/>
      <c r="L206" s="715"/>
      <c r="M206" s="715"/>
      <c r="N206" s="715"/>
      <c r="O206" s="715"/>
      <c r="P206" s="715"/>
      <c r="Q206" s="715"/>
      <c r="R206" s="715"/>
      <c r="S206" s="715"/>
      <c r="T206" s="715"/>
      <c r="U206" s="576"/>
      <c r="V206" s="576"/>
      <c r="W206" s="576"/>
      <c r="X206" s="572"/>
    </row>
    <row r="207" spans="1:24" s="589" customFormat="1" x14ac:dyDescent="0.25">
      <c r="A207" s="604"/>
      <c r="B207" s="605" t="s">
        <v>71</v>
      </c>
      <c r="C207" s="716"/>
      <c r="D207" s="716"/>
      <c r="E207" s="716"/>
      <c r="F207" s="716"/>
      <c r="G207" s="639"/>
      <c r="H207" s="639"/>
      <c r="I207" s="639"/>
      <c r="J207" s="639"/>
      <c r="K207" s="639"/>
      <c r="L207" s="639"/>
      <c r="M207" s="639"/>
      <c r="N207" s="639"/>
      <c r="O207" s="639"/>
      <c r="P207" s="639"/>
      <c r="Q207" s="639"/>
      <c r="R207" s="639"/>
      <c r="S207" s="639"/>
      <c r="T207" s="633">
        <v>5.3830000000000003E-2</v>
      </c>
      <c r="U207" s="605"/>
      <c r="V207" s="605"/>
      <c r="W207" s="607"/>
      <c r="X207" s="588"/>
    </row>
    <row r="208" spans="1:24" s="589" customFormat="1" x14ac:dyDescent="0.25">
      <c r="A208" s="604"/>
      <c r="B208" s="605" t="s">
        <v>151</v>
      </c>
      <c r="C208" s="716"/>
      <c r="D208" s="716"/>
      <c r="E208" s="716"/>
      <c r="F208" s="716"/>
      <c r="G208" s="639"/>
      <c r="H208" s="639"/>
      <c r="I208" s="639"/>
      <c r="J208" s="639"/>
      <c r="K208" s="639"/>
      <c r="L208" s="639"/>
      <c r="M208" s="639"/>
      <c r="N208" s="639"/>
      <c r="O208" s="639"/>
      <c r="P208" s="639"/>
      <c r="Q208" s="639"/>
      <c r="R208" s="639"/>
      <c r="S208" s="639"/>
      <c r="T208" s="633">
        <v>6.25E-2</v>
      </c>
      <c r="U208" s="605"/>
      <c r="V208" s="605"/>
      <c r="W208" s="607"/>
      <c r="X208" s="588"/>
    </row>
    <row r="209" spans="1:24" s="589" customFormat="1" x14ac:dyDescent="0.25">
      <c r="A209" s="604"/>
      <c r="B209" s="605" t="s">
        <v>72</v>
      </c>
      <c r="C209" s="716"/>
      <c r="D209" s="716"/>
      <c r="E209" s="716"/>
      <c r="F209" s="716"/>
      <c r="G209" s="639"/>
      <c r="H209" s="639"/>
      <c r="I209" s="639"/>
      <c r="J209" s="639"/>
      <c r="K209" s="639"/>
      <c r="L209" s="639"/>
      <c r="M209" s="639"/>
      <c r="N209" s="639"/>
      <c r="O209" s="639"/>
      <c r="P209" s="639"/>
      <c r="Q209" s="639"/>
      <c r="R209" s="639"/>
      <c r="S209" s="639"/>
      <c r="T209" s="633">
        <f>T207-T208</f>
        <v>-8.6699999999999972E-3</v>
      </c>
      <c r="U209" s="605"/>
      <c r="V209" s="605"/>
      <c r="W209" s="607"/>
      <c r="X209" s="588"/>
    </row>
    <row r="210" spans="1:24" s="589" customFormat="1" x14ac:dyDescent="0.25">
      <c r="A210" s="604"/>
      <c r="B210" s="605" t="s">
        <v>73</v>
      </c>
      <c r="C210" s="716"/>
      <c r="D210" s="716"/>
      <c r="E210" s="716"/>
      <c r="F210" s="716"/>
      <c r="G210" s="639"/>
      <c r="H210" s="639"/>
      <c r="I210" s="639"/>
      <c r="J210" s="639"/>
      <c r="K210" s="639"/>
      <c r="L210" s="639"/>
      <c r="M210" s="639"/>
      <c r="N210" s="639"/>
      <c r="O210" s="639"/>
      <c r="P210" s="639"/>
      <c r="Q210" s="639"/>
      <c r="R210" s="639"/>
      <c r="S210" s="639"/>
      <c r="T210" s="633">
        <v>2.7740000000000001E-2</v>
      </c>
      <c r="U210" s="605"/>
      <c r="V210" s="605"/>
      <c r="W210" s="607"/>
      <c r="X210" s="588"/>
    </row>
    <row r="211" spans="1:24" s="589" customFormat="1" x14ac:dyDescent="0.25">
      <c r="A211" s="604"/>
      <c r="B211" s="605" t="s">
        <v>218</v>
      </c>
      <c r="C211" s="716"/>
      <c r="D211" s="716"/>
      <c r="E211" s="716"/>
      <c r="F211" s="716"/>
      <c r="G211" s="639"/>
      <c r="H211" s="639"/>
      <c r="I211" s="639"/>
      <c r="J211" s="639"/>
      <c r="K211" s="639"/>
      <c r="L211" s="639"/>
      <c r="M211" s="639"/>
      <c r="N211" s="639"/>
      <c r="O211" s="639"/>
      <c r="P211" s="639"/>
      <c r="Q211" s="639"/>
      <c r="R211" s="639"/>
      <c r="S211" s="639"/>
      <c r="T211" s="633">
        <f>V43</f>
        <v>1.2133096155594932E-2</v>
      </c>
      <c r="U211" s="605"/>
      <c r="V211" s="605"/>
      <c r="W211" s="607"/>
      <c r="X211" s="588"/>
    </row>
    <row r="212" spans="1:24" s="589" customFormat="1" x14ac:dyDescent="0.25">
      <c r="A212" s="604"/>
      <c r="B212" s="605" t="s">
        <v>74</v>
      </c>
      <c r="C212" s="716"/>
      <c r="D212" s="716"/>
      <c r="E212" s="716"/>
      <c r="F212" s="716"/>
      <c r="G212" s="639"/>
      <c r="H212" s="639"/>
      <c r="I212" s="639"/>
      <c r="J212" s="639"/>
      <c r="K212" s="639"/>
      <c r="L212" s="639"/>
      <c r="M212" s="639"/>
      <c r="N212" s="639"/>
      <c r="O212" s="639"/>
      <c r="P212" s="639"/>
      <c r="Q212" s="639"/>
      <c r="R212" s="639"/>
      <c r="S212" s="639"/>
      <c r="T212" s="633">
        <f>T210-T211</f>
        <v>1.5606903844405069E-2</v>
      </c>
      <c r="U212" s="605"/>
      <c r="V212" s="605"/>
      <c r="W212" s="607"/>
      <c r="X212" s="588"/>
    </row>
    <row r="213" spans="1:24" s="589" customFormat="1" x14ac:dyDescent="0.25">
      <c r="A213" s="604"/>
      <c r="B213" s="605" t="s">
        <v>227</v>
      </c>
      <c r="C213" s="716"/>
      <c r="D213" s="716"/>
      <c r="E213" s="716"/>
      <c r="F213" s="716"/>
      <c r="G213" s="639"/>
      <c r="H213" s="639"/>
      <c r="I213" s="639"/>
      <c r="J213" s="639"/>
      <c r="K213" s="639"/>
      <c r="L213" s="639"/>
      <c r="M213" s="639"/>
      <c r="N213" s="639"/>
      <c r="O213" s="639"/>
      <c r="P213" s="639"/>
      <c r="Q213" s="639"/>
      <c r="R213" s="639"/>
      <c r="S213" s="639"/>
      <c r="T213" s="633">
        <f>V101/N71</f>
        <v>7.7645029365865422E-3</v>
      </c>
      <c r="U213" s="605"/>
      <c r="V213" s="605"/>
      <c r="W213" s="607"/>
      <c r="X213" s="588"/>
    </row>
    <row r="214" spans="1:24" s="589" customFormat="1" x14ac:dyDescent="0.25">
      <c r="A214" s="604"/>
      <c r="B214" s="605" t="s">
        <v>207</v>
      </c>
      <c r="C214" s="716"/>
      <c r="D214" s="716"/>
      <c r="E214" s="716"/>
      <c r="F214" s="716"/>
      <c r="G214" s="639"/>
      <c r="H214" s="639"/>
      <c r="I214" s="639"/>
      <c r="J214" s="639"/>
      <c r="K214" s="639"/>
      <c r="L214" s="639"/>
      <c r="M214" s="639"/>
      <c r="N214" s="639"/>
      <c r="O214" s="639"/>
      <c r="P214" s="639"/>
      <c r="Q214" s="639"/>
      <c r="R214" s="639"/>
      <c r="S214" s="639"/>
      <c r="T214" s="717">
        <v>51105</v>
      </c>
      <c r="U214" s="605"/>
      <c r="V214" s="605"/>
      <c r="W214" s="607"/>
      <c r="X214" s="588"/>
    </row>
    <row r="215" spans="1:24" s="589" customFormat="1" x14ac:dyDescent="0.25">
      <c r="A215" s="604"/>
      <c r="B215" s="605" t="s">
        <v>208</v>
      </c>
      <c r="C215" s="716"/>
      <c r="D215" s="716"/>
      <c r="E215" s="716"/>
      <c r="F215" s="716"/>
      <c r="G215" s="639"/>
      <c r="H215" s="639"/>
      <c r="I215" s="639"/>
      <c r="J215" s="639"/>
      <c r="K215" s="639"/>
      <c r="L215" s="639"/>
      <c r="M215" s="639"/>
      <c r="N215" s="639"/>
      <c r="O215" s="639"/>
      <c r="P215" s="639"/>
      <c r="Q215" s="639"/>
      <c r="R215" s="639"/>
      <c r="S215" s="639"/>
      <c r="T215" s="717">
        <v>51105</v>
      </c>
      <c r="U215" s="605"/>
      <c r="V215" s="605"/>
      <c r="W215" s="607"/>
      <c r="X215" s="588"/>
    </row>
    <row r="216" spans="1:24" s="589" customFormat="1" x14ac:dyDescent="0.25">
      <c r="A216" s="604"/>
      <c r="B216" s="605" t="s">
        <v>209</v>
      </c>
      <c r="C216" s="716"/>
      <c r="D216" s="716"/>
      <c r="E216" s="716"/>
      <c r="F216" s="716"/>
      <c r="G216" s="639"/>
      <c r="H216" s="639"/>
      <c r="I216" s="639"/>
      <c r="J216" s="639"/>
      <c r="K216" s="639"/>
      <c r="L216" s="639"/>
      <c r="M216" s="639"/>
      <c r="N216" s="639"/>
      <c r="O216" s="639"/>
      <c r="P216" s="639"/>
      <c r="Q216" s="639"/>
      <c r="R216" s="639"/>
      <c r="S216" s="639"/>
      <c r="T216" s="717">
        <v>51105</v>
      </c>
      <c r="U216" s="605"/>
      <c r="V216" s="605"/>
      <c r="W216" s="607"/>
      <c r="X216" s="588"/>
    </row>
    <row r="217" spans="1:24" s="589" customFormat="1" x14ac:dyDescent="0.25">
      <c r="A217" s="604"/>
      <c r="B217" s="605" t="s">
        <v>75</v>
      </c>
      <c r="C217" s="716"/>
      <c r="D217" s="716"/>
      <c r="E217" s="716"/>
      <c r="F217" s="716"/>
      <c r="G217" s="639"/>
      <c r="H217" s="639"/>
      <c r="I217" s="639"/>
      <c r="J217" s="639"/>
      <c r="K217" s="639"/>
      <c r="L217" s="639"/>
      <c r="M217" s="639"/>
      <c r="N217" s="639"/>
      <c r="O217" s="639"/>
      <c r="P217" s="639"/>
      <c r="Q217" s="639"/>
      <c r="R217" s="639"/>
      <c r="S217" s="639"/>
      <c r="T217" s="637">
        <v>21.06</v>
      </c>
      <c r="U217" s="605" t="s">
        <v>110</v>
      </c>
      <c r="V217" s="605"/>
      <c r="W217" s="607"/>
      <c r="X217" s="588"/>
    </row>
    <row r="218" spans="1:24" s="589" customFormat="1" x14ac:dyDescent="0.25">
      <c r="A218" s="604"/>
      <c r="B218" s="605" t="s">
        <v>76</v>
      </c>
      <c r="C218" s="716"/>
      <c r="D218" s="716"/>
      <c r="E218" s="716"/>
      <c r="F218" s="716"/>
      <c r="G218" s="639"/>
      <c r="H218" s="639"/>
      <c r="I218" s="639"/>
      <c r="J218" s="639"/>
      <c r="K218" s="639"/>
      <c r="L218" s="639"/>
      <c r="M218" s="639"/>
      <c r="N218" s="639"/>
      <c r="O218" s="639"/>
      <c r="P218" s="639"/>
      <c r="Q218" s="639"/>
      <c r="R218" s="639"/>
      <c r="S218" s="639"/>
      <c r="T218" s="637">
        <v>9.4499999999999993</v>
      </c>
      <c r="U218" s="605" t="s">
        <v>110</v>
      </c>
      <c r="V218" s="605"/>
      <c r="W218" s="607"/>
      <c r="X218" s="588"/>
    </row>
    <row r="219" spans="1:24" s="589" customFormat="1" x14ac:dyDescent="0.25">
      <c r="A219" s="604"/>
      <c r="B219" s="605" t="s">
        <v>77</v>
      </c>
      <c r="C219" s="716"/>
      <c r="D219" s="716"/>
      <c r="E219" s="716"/>
      <c r="F219" s="716"/>
      <c r="G219" s="639"/>
      <c r="H219" s="639"/>
      <c r="I219" s="639"/>
      <c r="J219" s="639"/>
      <c r="K219" s="639"/>
      <c r="L219" s="639"/>
      <c r="M219" s="639"/>
      <c r="N219" s="639"/>
      <c r="O219" s="639"/>
      <c r="P219" s="639"/>
      <c r="Q219" s="639"/>
      <c r="R219" s="639"/>
      <c r="S219" s="639"/>
      <c r="T219" s="633">
        <f>+P68/N68</f>
        <v>1.7749262655463657E-2</v>
      </c>
      <c r="U219" s="605"/>
      <c r="V219" s="605"/>
      <c r="W219" s="607"/>
      <c r="X219" s="588"/>
    </row>
    <row r="220" spans="1:24" s="589" customFormat="1" x14ac:dyDescent="0.25">
      <c r="A220" s="604"/>
      <c r="B220" s="605" t="s">
        <v>78</v>
      </c>
      <c r="C220" s="716"/>
      <c r="D220" s="716"/>
      <c r="E220" s="716"/>
      <c r="F220" s="716"/>
      <c r="G220" s="639"/>
      <c r="H220" s="639"/>
      <c r="I220" s="639"/>
      <c r="J220" s="639"/>
      <c r="K220" s="639"/>
      <c r="L220" s="639"/>
      <c r="M220" s="639"/>
      <c r="N220" s="639"/>
      <c r="O220" s="639"/>
      <c r="P220" s="639"/>
      <c r="Q220" s="639"/>
      <c r="R220" s="639"/>
      <c r="S220" s="639"/>
      <c r="T220" s="633">
        <v>4.9399999999999999E-2</v>
      </c>
      <c r="U220" s="605"/>
      <c r="V220" s="605"/>
      <c r="W220" s="607"/>
      <c r="X220" s="588"/>
    </row>
    <row r="221" spans="1:24" x14ac:dyDescent="0.25">
      <c r="A221" s="712"/>
      <c r="B221" s="718"/>
      <c r="C221" s="718"/>
      <c r="D221" s="718"/>
      <c r="E221" s="718"/>
      <c r="F221" s="718"/>
      <c r="G221" s="664"/>
      <c r="H221" s="664"/>
      <c r="I221" s="664"/>
      <c r="J221" s="664"/>
      <c r="K221" s="664"/>
      <c r="L221" s="664"/>
      <c r="M221" s="664"/>
      <c r="N221" s="664"/>
      <c r="O221" s="664"/>
      <c r="P221" s="664"/>
      <c r="Q221" s="664"/>
      <c r="R221" s="664"/>
      <c r="S221" s="664"/>
      <c r="T221" s="696"/>
      <c r="U221" s="664"/>
      <c r="V221" s="719"/>
      <c r="W221" s="664"/>
      <c r="X221" s="572"/>
    </row>
    <row r="222" spans="1:24" x14ac:dyDescent="0.25">
      <c r="A222" s="720"/>
      <c r="B222" s="669" t="s">
        <v>79</v>
      </c>
      <c r="C222" s="670"/>
      <c r="D222" s="670"/>
      <c r="E222" s="670"/>
      <c r="F222" s="721"/>
      <c r="G222" s="670"/>
      <c r="H222" s="670"/>
      <c r="I222" s="670"/>
      <c r="J222" s="670"/>
      <c r="K222" s="670"/>
      <c r="L222" s="670"/>
      <c r="M222" s="670"/>
      <c r="N222" s="670"/>
      <c r="O222" s="670"/>
      <c r="P222" s="670"/>
      <c r="Q222" s="670"/>
      <c r="R222" s="670"/>
      <c r="S222" s="670" t="s">
        <v>102</v>
      </c>
      <c r="T222" s="721" t="s">
        <v>108</v>
      </c>
      <c r="U222" s="598"/>
      <c r="V222" s="598"/>
      <c r="W222" s="601"/>
      <c r="X222" s="572"/>
    </row>
    <row r="223" spans="1:24" s="589" customFormat="1" x14ac:dyDescent="0.25">
      <c r="A223" s="722"/>
      <c r="B223" s="602" t="s">
        <v>80</v>
      </c>
      <c r="C223" s="673"/>
      <c r="D223" s="673"/>
      <c r="E223" s="673"/>
      <c r="F223" s="602"/>
      <c r="G223" s="602"/>
      <c r="H223" s="723"/>
      <c r="I223" s="723"/>
      <c r="J223" s="723"/>
      <c r="K223" s="723"/>
      <c r="L223" s="723"/>
      <c r="M223" s="723"/>
      <c r="N223" s="723"/>
      <c r="O223" s="723"/>
      <c r="P223" s="723"/>
      <c r="Q223" s="723"/>
      <c r="R223" s="723"/>
      <c r="S223" s="723">
        <v>2</v>
      </c>
      <c r="T223" s="724">
        <v>144</v>
      </c>
      <c r="U223" s="602"/>
      <c r="V223" s="725"/>
      <c r="W223" s="726"/>
      <c r="X223" s="588"/>
    </row>
    <row r="224" spans="1:24" s="589" customFormat="1" x14ac:dyDescent="0.25">
      <c r="A224" s="727"/>
      <c r="B224" s="605" t="s">
        <v>145</v>
      </c>
      <c r="C224" s="662"/>
      <c r="D224" s="662"/>
      <c r="E224" s="662"/>
      <c r="F224" s="605"/>
      <c r="G224" s="605"/>
      <c r="H224" s="611"/>
      <c r="I224" s="611"/>
      <c r="J224" s="611"/>
      <c r="K224" s="611"/>
      <c r="L224" s="611"/>
      <c r="M224" s="611"/>
      <c r="N224" s="611"/>
      <c r="O224" s="611"/>
      <c r="P224" s="611"/>
      <c r="Q224" s="611"/>
      <c r="R224" s="611"/>
      <c r="S224" s="728">
        <f>+R276</f>
        <v>63</v>
      </c>
      <c r="T224" s="729">
        <f>+T276</f>
        <v>8692</v>
      </c>
      <c r="U224" s="605"/>
      <c r="V224" s="730"/>
      <c r="W224" s="731"/>
      <c r="X224" s="588"/>
    </row>
    <row r="225" spans="1:24" s="589" customFormat="1" x14ac:dyDescent="0.25">
      <c r="A225" s="727"/>
      <c r="B225" s="605" t="s">
        <v>81</v>
      </c>
      <c r="C225" s="662"/>
      <c r="D225" s="662"/>
      <c r="E225" s="662"/>
      <c r="F225" s="605"/>
      <c r="G225" s="605"/>
      <c r="H225" s="611"/>
      <c r="I225" s="611"/>
      <c r="J225" s="611"/>
      <c r="K225" s="611"/>
      <c r="L225" s="611"/>
      <c r="M225" s="611"/>
      <c r="N225" s="611"/>
      <c r="O225" s="611"/>
      <c r="P225" s="611"/>
      <c r="Q225" s="611"/>
      <c r="R225" s="611"/>
      <c r="S225" s="728">
        <f>+R288</f>
        <v>1</v>
      </c>
      <c r="T225" s="729">
        <f>+T288</f>
        <v>31</v>
      </c>
      <c r="U225" s="605"/>
      <c r="V225" s="730"/>
      <c r="W225" s="731"/>
      <c r="X225" s="588"/>
    </row>
    <row r="226" spans="1:24" x14ac:dyDescent="0.25">
      <c r="A226" s="732"/>
      <c r="B226" s="623" t="s">
        <v>82</v>
      </c>
      <c r="C226" s="733"/>
      <c r="D226" s="733"/>
      <c r="E226" s="733"/>
      <c r="F226" s="679"/>
      <c r="G226" s="679"/>
      <c r="H226" s="679"/>
      <c r="I226" s="679"/>
      <c r="J226" s="679"/>
      <c r="K226" s="679"/>
      <c r="L226" s="679"/>
      <c r="M226" s="679"/>
      <c r="N226" s="679"/>
      <c r="O226" s="679"/>
      <c r="P226" s="679"/>
      <c r="Q226" s="679"/>
      <c r="R226" s="679"/>
      <c r="S226" s="681"/>
      <c r="T226" s="729">
        <v>0</v>
      </c>
      <c r="U226" s="679"/>
      <c r="V226" s="734"/>
      <c r="W226" s="735"/>
      <c r="X226" s="572"/>
    </row>
    <row r="227" spans="1:24" x14ac:dyDescent="0.25">
      <c r="A227" s="732"/>
      <c r="B227" s="623" t="s">
        <v>228</v>
      </c>
      <c r="C227" s="733"/>
      <c r="D227" s="733"/>
      <c r="E227" s="733"/>
      <c r="F227" s="679"/>
      <c r="G227" s="679"/>
      <c r="H227" s="679"/>
      <c r="I227" s="679"/>
      <c r="J227" s="679"/>
      <c r="K227" s="679"/>
      <c r="L227" s="679"/>
      <c r="M227" s="679"/>
      <c r="N227" s="679"/>
      <c r="O227" s="679"/>
      <c r="P227" s="679"/>
      <c r="Q227" s="679"/>
      <c r="R227" s="679"/>
      <c r="S227" s="681"/>
      <c r="T227" s="729">
        <f>+N81</f>
        <v>0</v>
      </c>
      <c r="U227" s="679"/>
      <c r="V227" s="734"/>
      <c r="W227" s="735"/>
      <c r="X227" s="572"/>
    </row>
    <row r="228" spans="1:24" x14ac:dyDescent="0.25">
      <c r="A228" s="736"/>
      <c r="B228" s="623" t="s">
        <v>83</v>
      </c>
      <c r="C228" s="737"/>
      <c r="D228" s="737"/>
      <c r="E228" s="737"/>
      <c r="F228" s="737"/>
      <c r="G228" s="679"/>
      <c r="H228" s="679"/>
      <c r="I228" s="679"/>
      <c r="J228" s="679"/>
      <c r="K228" s="679"/>
      <c r="L228" s="679"/>
      <c r="M228" s="679"/>
      <c r="N228" s="679"/>
      <c r="O228" s="679"/>
      <c r="P228" s="679"/>
      <c r="Q228" s="679"/>
      <c r="R228" s="679"/>
      <c r="S228" s="681"/>
      <c r="T228" s="738"/>
      <c r="U228" s="679"/>
      <c r="V228" s="734"/>
      <c r="W228" s="739"/>
      <c r="X228" s="572"/>
    </row>
    <row r="229" spans="1:24" s="589" customFormat="1" x14ac:dyDescent="0.25">
      <c r="A229" s="740"/>
      <c r="B229" s="605" t="s">
        <v>84</v>
      </c>
      <c r="C229" s="605"/>
      <c r="D229" s="605"/>
      <c r="E229" s="605"/>
      <c r="F229" s="605"/>
      <c r="G229" s="605"/>
      <c r="H229" s="605"/>
      <c r="I229" s="605"/>
      <c r="J229" s="605"/>
      <c r="K229" s="605"/>
      <c r="L229" s="605"/>
      <c r="M229" s="605"/>
      <c r="N229" s="605"/>
      <c r="O229" s="605"/>
      <c r="P229" s="605"/>
      <c r="Q229" s="605"/>
      <c r="R229" s="605"/>
      <c r="S229" s="611"/>
      <c r="T229" s="729">
        <f>V167</f>
        <v>397</v>
      </c>
      <c r="U229" s="605"/>
      <c r="V229" s="730"/>
      <c r="W229" s="741"/>
      <c r="X229" s="588"/>
    </row>
    <row r="230" spans="1:24" s="589" customFormat="1" x14ac:dyDescent="0.25">
      <c r="A230" s="727"/>
      <c r="B230" s="605" t="s">
        <v>85</v>
      </c>
      <c r="C230" s="662"/>
      <c r="D230" s="662"/>
      <c r="E230" s="662"/>
      <c r="F230" s="662"/>
      <c r="G230" s="605"/>
      <c r="H230" s="605"/>
      <c r="I230" s="605"/>
      <c r="J230" s="605"/>
      <c r="K230" s="605"/>
      <c r="L230" s="605"/>
      <c r="M230" s="605"/>
      <c r="N230" s="605"/>
      <c r="O230" s="605"/>
      <c r="P230" s="605"/>
      <c r="Q230" s="605"/>
      <c r="R230" s="605"/>
      <c r="S230" s="611"/>
      <c r="T230" s="729">
        <f>'Nov 19'!T230+T229</f>
        <v>10261</v>
      </c>
      <c r="U230" s="605"/>
      <c r="V230" s="730"/>
      <c r="W230" s="741"/>
      <c r="X230" s="588"/>
    </row>
    <row r="231" spans="1:24" x14ac:dyDescent="0.25">
      <c r="A231" s="736"/>
      <c r="B231" s="623" t="s">
        <v>285</v>
      </c>
      <c r="C231" s="737"/>
      <c r="D231" s="737"/>
      <c r="E231" s="737"/>
      <c r="F231" s="737"/>
      <c r="G231" s="679"/>
      <c r="H231" s="679"/>
      <c r="I231" s="679"/>
      <c r="J231" s="679"/>
      <c r="K231" s="679"/>
      <c r="L231" s="679"/>
      <c r="M231" s="679"/>
      <c r="N231" s="679"/>
      <c r="O231" s="679"/>
      <c r="P231" s="679"/>
      <c r="Q231" s="679"/>
      <c r="R231" s="679"/>
      <c r="S231" s="742"/>
      <c r="T231" s="738"/>
      <c r="U231" s="679"/>
      <c r="V231" s="734"/>
      <c r="W231" s="739"/>
      <c r="X231" s="572"/>
    </row>
    <row r="232" spans="1:24" s="589" customFormat="1" x14ac:dyDescent="0.25">
      <c r="A232" s="740"/>
      <c r="B232" s="605" t="s">
        <v>282</v>
      </c>
      <c r="C232" s="605"/>
      <c r="D232" s="605"/>
      <c r="E232" s="605"/>
      <c r="F232" s="605"/>
      <c r="G232" s="605"/>
      <c r="H232" s="605"/>
      <c r="I232" s="605"/>
      <c r="J232" s="605"/>
      <c r="K232" s="605"/>
      <c r="L232" s="605"/>
      <c r="M232" s="605"/>
      <c r="N232" s="605"/>
      <c r="O232" s="605"/>
      <c r="P232" s="605"/>
      <c r="Q232" s="605"/>
      <c r="R232" s="605"/>
      <c r="S232" s="611">
        <v>0</v>
      </c>
      <c r="T232" s="729">
        <v>0</v>
      </c>
      <c r="U232" s="605"/>
      <c r="V232" s="730"/>
      <c r="W232" s="741"/>
      <c r="X232" s="588"/>
    </row>
    <row r="233" spans="1:24" s="589" customFormat="1" x14ac:dyDescent="0.25">
      <c r="A233" s="727"/>
      <c r="B233" s="605" t="s">
        <v>86</v>
      </c>
      <c r="C233" s="635"/>
      <c r="D233" s="635"/>
      <c r="E233" s="635"/>
      <c r="F233" s="743"/>
      <c r="G233" s="605"/>
      <c r="H233" s="605"/>
      <c r="I233" s="605"/>
      <c r="J233" s="605"/>
      <c r="K233" s="605"/>
      <c r="L233" s="605"/>
      <c r="M233" s="605"/>
      <c r="N233" s="605"/>
      <c r="O233" s="605"/>
      <c r="P233" s="605"/>
      <c r="Q233" s="605"/>
      <c r="R233" s="605"/>
      <c r="S233" s="605"/>
      <c r="T233" s="744">
        <v>0</v>
      </c>
      <c r="U233" s="605"/>
      <c r="V233" s="730"/>
      <c r="W233" s="741"/>
      <c r="X233" s="588"/>
    </row>
    <row r="234" spans="1:24" s="589" customFormat="1" x14ac:dyDescent="0.25">
      <c r="A234" s="727"/>
      <c r="B234" s="605" t="s">
        <v>87</v>
      </c>
      <c r="C234" s="635"/>
      <c r="D234" s="635"/>
      <c r="E234" s="635"/>
      <c r="F234" s="743"/>
      <c r="G234" s="605"/>
      <c r="H234" s="605"/>
      <c r="I234" s="605"/>
      <c r="J234" s="605"/>
      <c r="K234" s="605"/>
      <c r="L234" s="605"/>
      <c r="M234" s="605"/>
      <c r="N234" s="605"/>
      <c r="O234" s="605"/>
      <c r="P234" s="605"/>
      <c r="Q234" s="605"/>
      <c r="R234" s="605"/>
      <c r="S234" s="605"/>
      <c r="T234" s="744">
        <v>0</v>
      </c>
      <c r="U234" s="605"/>
      <c r="V234" s="730"/>
      <c r="W234" s="741"/>
      <c r="X234" s="588"/>
    </row>
    <row r="235" spans="1:24" x14ac:dyDescent="0.25">
      <c r="A235" s="732"/>
      <c r="B235" s="623" t="s">
        <v>216</v>
      </c>
      <c r="C235" s="745"/>
      <c r="D235" s="745"/>
      <c r="E235" s="745"/>
      <c r="F235" s="746"/>
      <c r="G235" s="679"/>
      <c r="H235" s="679"/>
      <c r="I235" s="679"/>
      <c r="J235" s="679"/>
      <c r="K235" s="679"/>
      <c r="L235" s="679"/>
      <c r="M235" s="679"/>
      <c r="N235" s="679"/>
      <c r="O235" s="679"/>
      <c r="P235" s="679"/>
      <c r="Q235" s="679"/>
      <c r="R235" s="679"/>
      <c r="S235" s="681"/>
      <c r="T235" s="747"/>
      <c r="U235" s="679"/>
      <c r="V235" s="734"/>
      <c r="W235" s="739"/>
      <c r="X235" s="572"/>
    </row>
    <row r="236" spans="1:24" s="589" customFormat="1" x14ac:dyDescent="0.25">
      <c r="A236" s="727"/>
      <c r="B236" s="605" t="s">
        <v>282</v>
      </c>
      <c r="C236" s="635"/>
      <c r="D236" s="635"/>
      <c r="E236" s="635"/>
      <c r="F236" s="743"/>
      <c r="G236" s="605"/>
      <c r="H236" s="605"/>
      <c r="I236" s="605"/>
      <c r="J236" s="605"/>
      <c r="K236" s="605"/>
      <c r="L236" s="605"/>
      <c r="M236" s="605"/>
      <c r="N236" s="605"/>
      <c r="O236" s="605"/>
      <c r="P236" s="605"/>
      <c r="Q236" s="605"/>
      <c r="R236" s="605"/>
      <c r="S236" s="611">
        <v>2</v>
      </c>
      <c r="T236" s="729">
        <v>692</v>
      </c>
      <c r="U236" s="605"/>
      <c r="V236" s="730"/>
      <c r="W236" s="741"/>
      <c r="X236" s="588"/>
    </row>
    <row r="237" spans="1:24" s="589" customFormat="1" x14ac:dyDescent="0.25">
      <c r="A237" s="727"/>
      <c r="B237" s="605" t="s">
        <v>217</v>
      </c>
      <c r="C237" s="635"/>
      <c r="D237" s="635"/>
      <c r="E237" s="635"/>
      <c r="F237" s="743"/>
      <c r="G237" s="605"/>
      <c r="H237" s="605"/>
      <c r="I237" s="605"/>
      <c r="J237" s="605"/>
      <c r="K237" s="605"/>
      <c r="L237" s="605"/>
      <c r="M237" s="605"/>
      <c r="N237" s="605"/>
      <c r="O237" s="605"/>
      <c r="P237" s="605"/>
      <c r="Q237" s="605"/>
      <c r="R237" s="605"/>
      <c r="S237" s="605"/>
      <c r="T237" s="744">
        <v>16.21</v>
      </c>
      <c r="U237" s="605"/>
      <c r="V237" s="730"/>
      <c r="W237" s="741"/>
      <c r="X237" s="588"/>
    </row>
    <row r="238" spans="1:24" x14ac:dyDescent="0.25">
      <c r="A238" s="732"/>
      <c r="B238" s="737"/>
      <c r="C238" s="745"/>
      <c r="D238" s="745"/>
      <c r="E238" s="745"/>
      <c r="F238" s="746"/>
      <c r="G238" s="679"/>
      <c r="H238" s="679"/>
      <c r="I238" s="679"/>
      <c r="J238" s="679"/>
      <c r="K238" s="679"/>
      <c r="L238" s="679"/>
      <c r="M238" s="679"/>
      <c r="N238" s="679"/>
      <c r="O238" s="679"/>
      <c r="P238" s="679"/>
      <c r="Q238" s="679"/>
      <c r="R238" s="679"/>
      <c r="S238" s="681"/>
      <c r="T238" s="747"/>
      <c r="U238" s="679"/>
      <c r="V238" s="734"/>
      <c r="W238" s="739"/>
      <c r="X238" s="572"/>
    </row>
    <row r="239" spans="1:24" x14ac:dyDescent="0.25">
      <c r="A239" s="732"/>
      <c r="B239" s="737"/>
      <c r="C239" s="745"/>
      <c r="D239" s="745"/>
      <c r="E239" s="745"/>
      <c r="F239" s="746"/>
      <c r="G239" s="679"/>
      <c r="H239" s="679"/>
      <c r="I239" s="679"/>
      <c r="J239" s="679"/>
      <c r="K239" s="679"/>
      <c r="L239" s="679"/>
      <c r="M239" s="679"/>
      <c r="N239" s="679"/>
      <c r="O239" s="679"/>
      <c r="P239" s="679"/>
      <c r="Q239" s="679"/>
      <c r="R239" s="679"/>
      <c r="S239" s="679"/>
      <c r="T239" s="748"/>
      <c r="U239" s="679"/>
      <c r="V239" s="734"/>
      <c r="W239" s="739"/>
      <c r="X239" s="572"/>
    </row>
    <row r="240" spans="1:24" ht="18.75" x14ac:dyDescent="0.3">
      <c r="A240" s="732"/>
      <c r="B240" s="749" t="s">
        <v>168</v>
      </c>
      <c r="C240" s="745"/>
      <c r="D240" s="745"/>
      <c r="E240" s="745"/>
      <c r="F240" s="746"/>
      <c r="G240" s="679"/>
      <c r="H240" s="679"/>
      <c r="I240" s="679"/>
      <c r="J240" s="679"/>
      <c r="K240" s="679"/>
      <c r="L240" s="679"/>
      <c r="M240" s="679"/>
      <c r="N240" s="679"/>
      <c r="O240" s="679"/>
      <c r="P240" s="535" t="s">
        <v>341</v>
      </c>
      <c r="Q240" s="679"/>
      <c r="R240" s="679"/>
      <c r="S240" s="679"/>
      <c r="T240" s="748"/>
      <c r="U240" s="679"/>
      <c r="V240" s="734"/>
      <c r="W240" s="739"/>
      <c r="X240" s="572"/>
    </row>
    <row r="241" spans="1:25" x14ac:dyDescent="0.25">
      <c r="A241" s="750"/>
      <c r="B241" s="718"/>
      <c r="C241" s="751"/>
      <c r="D241" s="751"/>
      <c r="E241" s="751"/>
      <c r="F241" s="752"/>
      <c r="G241" s="664"/>
      <c r="H241" s="664"/>
      <c r="I241" s="664"/>
      <c r="J241" s="664"/>
      <c r="K241" s="664"/>
      <c r="L241" s="664"/>
      <c r="M241" s="664"/>
      <c r="N241" s="664"/>
      <c r="O241" s="664"/>
      <c r="P241" s="664"/>
      <c r="Q241" s="664"/>
      <c r="R241" s="664"/>
      <c r="S241" s="664"/>
      <c r="T241" s="753"/>
      <c r="U241" s="664"/>
      <c r="V241" s="719"/>
      <c r="W241" s="754"/>
      <c r="X241" s="572"/>
    </row>
    <row r="242" spans="1:25" x14ac:dyDescent="0.25">
      <c r="A242" s="597"/>
      <c r="B242" s="669" t="s">
        <v>297</v>
      </c>
      <c r="C242" s="670"/>
      <c r="D242" s="670"/>
      <c r="E242" s="670"/>
      <c r="F242" s="721"/>
      <c r="G242" s="670"/>
      <c r="H242" s="670"/>
      <c r="I242" s="670"/>
      <c r="J242" s="670"/>
      <c r="K242" s="670"/>
      <c r="L242" s="670"/>
      <c r="M242" s="670"/>
      <c r="N242" s="670"/>
      <c r="O242" s="670"/>
      <c r="P242" s="670"/>
      <c r="Q242" s="670"/>
      <c r="R242" s="721" t="s">
        <v>102</v>
      </c>
      <c r="S242" s="670" t="s">
        <v>103</v>
      </c>
      <c r="T242" s="721" t="s">
        <v>109</v>
      </c>
      <c r="U242" s="670" t="s">
        <v>103</v>
      </c>
      <c r="V242" s="598"/>
      <c r="W242" s="755"/>
      <c r="X242" s="572"/>
    </row>
    <row r="243" spans="1:25" s="589" customFormat="1" x14ac:dyDescent="0.25">
      <c r="A243" s="585"/>
      <c r="B243" s="673" t="s">
        <v>88</v>
      </c>
      <c r="C243" s="756"/>
      <c r="D243" s="756"/>
      <c r="E243" s="756"/>
      <c r="F243" s="602"/>
      <c r="G243" s="756"/>
      <c r="H243" s="756"/>
      <c r="I243" s="756"/>
      <c r="J243" s="756"/>
      <c r="K243" s="756"/>
      <c r="L243" s="756"/>
      <c r="M243" s="756"/>
      <c r="N243" s="756"/>
      <c r="O243" s="756"/>
      <c r="P243" s="756"/>
      <c r="Q243" s="756"/>
      <c r="R243" s="673">
        <f t="shared" ref="R243:R250" si="1">+R255+R267+R279</f>
        <v>3942</v>
      </c>
      <c r="S243" s="757">
        <f t="shared" ref="S243:S250" si="2">R243/$R$252</f>
        <v>0.99194765978862609</v>
      </c>
      <c r="T243" s="674">
        <f t="shared" ref="T243:T250" si="3">+T255+T267+T279</f>
        <v>532405</v>
      </c>
      <c r="U243" s="757">
        <f t="shared" ref="U243:U250" si="4">T243/$T$252</f>
        <v>0.99048223232208599</v>
      </c>
      <c r="V243" s="725"/>
      <c r="W243" s="758"/>
      <c r="X243" s="588"/>
    </row>
    <row r="244" spans="1:25" s="589" customFormat="1" x14ac:dyDescent="0.25">
      <c r="A244" s="604"/>
      <c r="B244" s="662" t="s">
        <v>89</v>
      </c>
      <c r="C244" s="759"/>
      <c r="D244" s="759"/>
      <c r="E244" s="759"/>
      <c r="F244" s="605"/>
      <c r="G244" s="760"/>
      <c r="H244" s="759"/>
      <c r="I244" s="759"/>
      <c r="J244" s="759"/>
      <c r="K244" s="759"/>
      <c r="L244" s="759"/>
      <c r="M244" s="759"/>
      <c r="N244" s="759"/>
      <c r="O244" s="759"/>
      <c r="P244" s="759"/>
      <c r="Q244" s="759"/>
      <c r="R244" s="662">
        <f t="shared" si="1"/>
        <v>15</v>
      </c>
      <c r="S244" s="760">
        <f t="shared" si="2"/>
        <v>3.7745344740815301E-3</v>
      </c>
      <c r="T244" s="663">
        <f t="shared" si="3"/>
        <v>2914</v>
      </c>
      <c r="U244" s="760">
        <f t="shared" si="4"/>
        <v>5.421183544456868E-3</v>
      </c>
      <c r="V244" s="730"/>
      <c r="W244" s="741"/>
      <c r="X244" s="588"/>
      <c r="Y244" s="685"/>
    </row>
    <row r="245" spans="1:25" s="589" customFormat="1" x14ac:dyDescent="0.25">
      <c r="A245" s="604"/>
      <c r="B245" s="662" t="s">
        <v>90</v>
      </c>
      <c r="C245" s="759"/>
      <c r="D245" s="759"/>
      <c r="E245" s="759"/>
      <c r="F245" s="605"/>
      <c r="G245" s="760"/>
      <c r="H245" s="759"/>
      <c r="I245" s="759"/>
      <c r="J245" s="759"/>
      <c r="K245" s="759"/>
      <c r="L245" s="759"/>
      <c r="M245" s="759"/>
      <c r="N245" s="759"/>
      <c r="O245" s="759"/>
      <c r="P245" s="759"/>
      <c r="Q245" s="759"/>
      <c r="R245" s="662">
        <f t="shared" si="1"/>
        <v>13</v>
      </c>
      <c r="S245" s="760">
        <f t="shared" si="2"/>
        <v>3.2712632108706594E-3</v>
      </c>
      <c r="T245" s="663">
        <f t="shared" si="3"/>
        <v>1636</v>
      </c>
      <c r="U245" s="760">
        <f t="shared" si="4"/>
        <v>3.0436020174095524E-3</v>
      </c>
      <c r="V245" s="730"/>
      <c r="W245" s="741"/>
      <c r="X245" s="588"/>
    </row>
    <row r="246" spans="1:25" s="589" customFormat="1" x14ac:dyDescent="0.25">
      <c r="A246" s="604"/>
      <c r="B246" s="662" t="s">
        <v>156</v>
      </c>
      <c r="C246" s="759"/>
      <c r="D246" s="759"/>
      <c r="E246" s="759"/>
      <c r="F246" s="605"/>
      <c r="G246" s="760"/>
      <c r="H246" s="759"/>
      <c r="I246" s="759"/>
      <c r="J246" s="759"/>
      <c r="K246" s="759"/>
      <c r="L246" s="759"/>
      <c r="M246" s="759"/>
      <c r="N246" s="759"/>
      <c r="O246" s="759"/>
      <c r="P246" s="759"/>
      <c r="Q246" s="759"/>
      <c r="R246" s="662">
        <f t="shared" si="1"/>
        <v>1</v>
      </c>
      <c r="S246" s="760">
        <f t="shared" si="2"/>
        <v>2.5163563160543532E-4</v>
      </c>
      <c r="T246" s="663">
        <f t="shared" si="3"/>
        <v>179</v>
      </c>
      <c r="U246" s="760">
        <f t="shared" si="4"/>
        <v>3.3301024518111853E-4</v>
      </c>
      <c r="V246" s="730"/>
      <c r="W246" s="741"/>
      <c r="X246" s="588"/>
      <c r="Y246" s="685"/>
    </row>
    <row r="247" spans="1:25" s="589" customFormat="1" x14ac:dyDescent="0.25">
      <c r="A247" s="604"/>
      <c r="B247" s="662" t="s">
        <v>157</v>
      </c>
      <c r="C247" s="759"/>
      <c r="D247" s="759"/>
      <c r="E247" s="759"/>
      <c r="F247" s="605"/>
      <c r="G247" s="760"/>
      <c r="H247" s="759"/>
      <c r="I247" s="759"/>
      <c r="J247" s="759"/>
      <c r="K247" s="759"/>
      <c r="L247" s="759"/>
      <c r="M247" s="759"/>
      <c r="N247" s="759"/>
      <c r="O247" s="759"/>
      <c r="P247" s="759"/>
      <c r="Q247" s="759"/>
      <c r="R247" s="662">
        <f t="shared" si="1"/>
        <v>1</v>
      </c>
      <c r="S247" s="760">
        <f t="shared" si="2"/>
        <v>2.5163563160543532E-4</v>
      </c>
      <c r="T247" s="663">
        <f t="shared" si="3"/>
        <v>117</v>
      </c>
      <c r="U247" s="760">
        <f t="shared" si="4"/>
        <v>2.1766591444799367E-4</v>
      </c>
      <c r="V247" s="730"/>
      <c r="W247" s="741"/>
      <c r="X247" s="588"/>
    </row>
    <row r="248" spans="1:25" s="589" customFormat="1" x14ac:dyDescent="0.25">
      <c r="A248" s="604"/>
      <c r="B248" s="662" t="s">
        <v>158</v>
      </c>
      <c r="C248" s="759"/>
      <c r="D248" s="759"/>
      <c r="E248" s="759"/>
      <c r="F248" s="605"/>
      <c r="G248" s="760"/>
      <c r="H248" s="759"/>
      <c r="I248" s="759"/>
      <c r="J248" s="759"/>
      <c r="K248" s="759"/>
      <c r="L248" s="759"/>
      <c r="M248" s="759"/>
      <c r="N248" s="759"/>
      <c r="O248" s="759"/>
      <c r="P248" s="759"/>
      <c r="Q248" s="759"/>
      <c r="R248" s="662">
        <f t="shared" si="1"/>
        <v>0</v>
      </c>
      <c r="S248" s="760">
        <f t="shared" si="2"/>
        <v>0</v>
      </c>
      <c r="T248" s="663">
        <f t="shared" si="3"/>
        <v>0</v>
      </c>
      <c r="U248" s="760">
        <f t="shared" si="4"/>
        <v>0</v>
      </c>
      <c r="V248" s="730"/>
      <c r="W248" s="741"/>
      <c r="X248" s="588"/>
      <c r="Y248" s="685"/>
    </row>
    <row r="249" spans="1:25" s="589" customFormat="1" x14ac:dyDescent="0.25">
      <c r="A249" s="604"/>
      <c r="B249" s="662" t="s">
        <v>159</v>
      </c>
      <c r="C249" s="759"/>
      <c r="D249" s="759"/>
      <c r="E249" s="759"/>
      <c r="F249" s="605"/>
      <c r="G249" s="760"/>
      <c r="H249" s="759"/>
      <c r="I249" s="759"/>
      <c r="J249" s="759"/>
      <c r="K249" s="759"/>
      <c r="L249" s="759"/>
      <c r="M249" s="759"/>
      <c r="N249" s="759"/>
      <c r="O249" s="759"/>
      <c r="P249" s="759"/>
      <c r="Q249" s="759"/>
      <c r="R249" s="662">
        <f t="shared" si="1"/>
        <v>2</v>
      </c>
      <c r="S249" s="760">
        <f t="shared" si="2"/>
        <v>5.0327126321087065E-4</v>
      </c>
      <c r="T249" s="663">
        <f t="shared" si="3"/>
        <v>270</v>
      </c>
      <c r="U249" s="760">
        <f t="shared" si="4"/>
        <v>5.0230595641844692E-4</v>
      </c>
      <c r="V249" s="730"/>
      <c r="W249" s="741"/>
      <c r="X249" s="588"/>
    </row>
    <row r="250" spans="1:25" s="589" customFormat="1" x14ac:dyDescent="0.25">
      <c r="A250" s="604"/>
      <c r="B250" s="662" t="s">
        <v>160</v>
      </c>
      <c r="C250" s="759"/>
      <c r="D250" s="759"/>
      <c r="E250" s="759"/>
      <c r="F250" s="605"/>
      <c r="G250" s="760"/>
      <c r="H250" s="759"/>
      <c r="I250" s="759"/>
      <c r="J250" s="759"/>
      <c r="K250" s="759"/>
      <c r="L250" s="759"/>
      <c r="M250" s="759"/>
      <c r="N250" s="759"/>
      <c r="O250" s="759"/>
      <c r="P250" s="759"/>
      <c r="Q250" s="759"/>
      <c r="R250" s="673">
        <f t="shared" si="1"/>
        <v>0</v>
      </c>
      <c r="S250" s="760">
        <f t="shared" si="2"/>
        <v>0</v>
      </c>
      <c r="T250" s="674">
        <f t="shared" si="3"/>
        <v>0</v>
      </c>
      <c r="U250" s="757">
        <f t="shared" si="4"/>
        <v>0</v>
      </c>
      <c r="V250" s="730"/>
      <c r="W250" s="741"/>
      <c r="X250" s="588"/>
      <c r="Y250" s="685"/>
    </row>
    <row r="251" spans="1:25" s="589" customFormat="1" x14ac:dyDescent="0.25">
      <c r="A251" s="604"/>
      <c r="B251" s="662"/>
      <c r="C251" s="759"/>
      <c r="D251" s="759"/>
      <c r="E251" s="759"/>
      <c r="F251" s="605"/>
      <c r="G251" s="760"/>
      <c r="H251" s="759"/>
      <c r="I251" s="759"/>
      <c r="J251" s="759"/>
      <c r="K251" s="759"/>
      <c r="L251" s="759"/>
      <c r="M251" s="759"/>
      <c r="N251" s="759"/>
      <c r="O251" s="759"/>
      <c r="P251" s="759"/>
      <c r="Q251" s="759"/>
      <c r="R251" s="662"/>
      <c r="S251" s="760"/>
      <c r="T251" s="663"/>
      <c r="U251" s="760"/>
      <c r="V251" s="730"/>
      <c r="W251" s="741"/>
      <c r="X251" s="588"/>
    </row>
    <row r="252" spans="1:25" s="589" customFormat="1" x14ac:dyDescent="0.25">
      <c r="A252" s="604"/>
      <c r="B252" s="605"/>
      <c r="C252" s="605"/>
      <c r="D252" s="605"/>
      <c r="E252" s="605"/>
      <c r="F252" s="605"/>
      <c r="G252" s="605"/>
      <c r="H252" s="761"/>
      <c r="I252" s="761"/>
      <c r="J252" s="761"/>
      <c r="K252" s="761"/>
      <c r="L252" s="761"/>
      <c r="M252" s="761"/>
      <c r="N252" s="761"/>
      <c r="O252" s="761"/>
      <c r="P252" s="761"/>
      <c r="Q252" s="761"/>
      <c r="R252" s="662">
        <f>SUM(R243:R251)</f>
        <v>3974</v>
      </c>
      <c r="S252" s="760">
        <f>SUM(S243:S251)</f>
        <v>1</v>
      </c>
      <c r="T252" s="663">
        <f>SUM(T243:T251)</f>
        <v>537521</v>
      </c>
      <c r="U252" s="760">
        <f>SUM(U243:U251)</f>
        <v>0.99999999999999978</v>
      </c>
      <c r="V252" s="605"/>
      <c r="W252" s="607"/>
      <c r="X252" s="588"/>
    </row>
    <row r="253" spans="1:25" x14ac:dyDescent="0.25">
      <c r="A253" s="574"/>
      <c r="B253" s="664"/>
      <c r="C253" s="664"/>
      <c r="D253" s="664"/>
      <c r="E253" s="664"/>
      <c r="F253" s="664"/>
      <c r="G253" s="664"/>
      <c r="H253" s="762"/>
      <c r="I253" s="762"/>
      <c r="J253" s="762"/>
      <c r="K253" s="762"/>
      <c r="L253" s="762"/>
      <c r="M253" s="762"/>
      <c r="N253" s="762"/>
      <c r="O253" s="762"/>
      <c r="P253" s="762"/>
      <c r="Q253" s="762"/>
      <c r="R253" s="665"/>
      <c r="S253" s="763"/>
      <c r="T253" s="764"/>
      <c r="U253" s="763"/>
      <c r="V253" s="664"/>
      <c r="W253" s="664"/>
      <c r="X253" s="572"/>
    </row>
    <row r="254" spans="1:25" x14ac:dyDescent="0.25">
      <c r="A254" s="597"/>
      <c r="B254" s="669" t="s">
        <v>162</v>
      </c>
      <c r="C254" s="670"/>
      <c r="D254" s="670"/>
      <c r="E254" s="670"/>
      <c r="F254" s="721"/>
      <c r="G254" s="670"/>
      <c r="H254" s="670"/>
      <c r="I254" s="670"/>
      <c r="J254" s="670"/>
      <c r="K254" s="670"/>
      <c r="L254" s="670"/>
      <c r="M254" s="670"/>
      <c r="N254" s="670"/>
      <c r="O254" s="670"/>
      <c r="P254" s="670"/>
      <c r="Q254" s="670"/>
      <c r="R254" s="721" t="s">
        <v>102</v>
      </c>
      <c r="S254" s="670" t="s">
        <v>103</v>
      </c>
      <c r="T254" s="721" t="s">
        <v>109</v>
      </c>
      <c r="U254" s="670" t="s">
        <v>103</v>
      </c>
      <c r="V254" s="598"/>
      <c r="W254" s="755"/>
      <c r="X254" s="572"/>
    </row>
    <row r="255" spans="1:25" s="589" customFormat="1" x14ac:dyDescent="0.25">
      <c r="A255" s="585"/>
      <c r="B255" s="673" t="s">
        <v>88</v>
      </c>
      <c r="C255" s="756"/>
      <c r="D255" s="756"/>
      <c r="E255" s="756"/>
      <c r="F255" s="602"/>
      <c r="G255" s="756"/>
      <c r="H255" s="756"/>
      <c r="I255" s="756"/>
      <c r="J255" s="756"/>
      <c r="K255" s="756"/>
      <c r="L255" s="756"/>
      <c r="M255" s="756"/>
      <c r="N255" s="756"/>
      <c r="O255" s="756"/>
      <c r="P255" s="756"/>
      <c r="Q255" s="756"/>
      <c r="R255" s="673">
        <v>3887</v>
      </c>
      <c r="S255" s="757">
        <f>R255/$R$264</f>
        <v>0.99411764705882355</v>
      </c>
      <c r="T255" s="674">
        <v>524926</v>
      </c>
      <c r="U255" s="757">
        <f t="shared" ref="U255:U262" si="5">T255/$T$264</f>
        <v>0.99267773327433162</v>
      </c>
      <c r="V255" s="725"/>
      <c r="W255" s="758"/>
      <c r="X255" s="588"/>
    </row>
    <row r="256" spans="1:25" s="589" customFormat="1" x14ac:dyDescent="0.25">
      <c r="A256" s="604"/>
      <c r="B256" s="662" t="s">
        <v>89</v>
      </c>
      <c r="C256" s="759"/>
      <c r="D256" s="759"/>
      <c r="E256" s="759"/>
      <c r="F256" s="605"/>
      <c r="G256" s="760"/>
      <c r="H256" s="759"/>
      <c r="I256" s="759"/>
      <c r="J256" s="759"/>
      <c r="K256" s="759"/>
      <c r="L256" s="759"/>
      <c r="M256" s="759"/>
      <c r="N256" s="759"/>
      <c r="O256" s="759"/>
      <c r="P256" s="759"/>
      <c r="Q256" s="759"/>
      <c r="R256" s="662">
        <v>13</v>
      </c>
      <c r="S256" s="760">
        <f t="shared" ref="S256:S262" si="6">R256/$R$264</f>
        <v>3.3248081841432226E-3</v>
      </c>
      <c r="T256" s="663">
        <v>2596</v>
      </c>
      <c r="U256" s="760">
        <f t="shared" si="5"/>
        <v>4.9092470092549521E-3</v>
      </c>
      <c r="V256" s="730"/>
      <c r="W256" s="741"/>
      <c r="X256" s="588"/>
      <c r="Y256" s="685"/>
    </row>
    <row r="257" spans="1:25" s="589" customFormat="1" x14ac:dyDescent="0.25">
      <c r="A257" s="604"/>
      <c r="B257" s="662" t="s">
        <v>90</v>
      </c>
      <c r="C257" s="759"/>
      <c r="D257" s="759"/>
      <c r="E257" s="759"/>
      <c r="F257" s="605"/>
      <c r="G257" s="760"/>
      <c r="H257" s="759"/>
      <c r="I257" s="759"/>
      <c r="J257" s="759"/>
      <c r="K257" s="759"/>
      <c r="L257" s="759"/>
      <c r="M257" s="759"/>
      <c r="N257" s="759"/>
      <c r="O257" s="759"/>
      <c r="P257" s="759"/>
      <c r="Q257" s="759"/>
      <c r="R257" s="662">
        <v>10</v>
      </c>
      <c r="S257" s="760">
        <f t="shared" si="6"/>
        <v>2.5575447570332483E-3</v>
      </c>
      <c r="T257" s="663">
        <v>1276</v>
      </c>
      <c r="U257" s="760">
        <f t="shared" si="5"/>
        <v>2.4130197164134509E-3</v>
      </c>
      <c r="V257" s="730"/>
      <c r="W257" s="741"/>
      <c r="X257" s="588"/>
    </row>
    <row r="258" spans="1:25" s="589" customFormat="1" x14ac:dyDescent="0.25">
      <c r="A258" s="604"/>
      <c r="B258" s="662" t="s">
        <v>156</v>
      </c>
      <c r="C258" s="759"/>
      <c r="D258" s="759"/>
      <c r="E258" s="759"/>
      <c r="F258" s="605"/>
      <c r="G258" s="760"/>
      <c r="H258" s="759"/>
      <c r="I258" s="759"/>
      <c r="J258" s="759"/>
      <c r="K258" s="759"/>
      <c r="L258" s="759"/>
      <c r="M258" s="759"/>
      <c r="N258" s="759"/>
      <c r="O258" s="759"/>
      <c r="P258" s="759"/>
      <c r="Q258" s="759"/>
      <c r="R258" s="662">
        <v>0</v>
      </c>
      <c r="S258" s="760">
        <f t="shared" si="6"/>
        <v>0</v>
      </c>
      <c r="T258" s="663">
        <v>0</v>
      </c>
      <c r="U258" s="760">
        <f t="shared" si="5"/>
        <v>0</v>
      </c>
      <c r="V258" s="730"/>
      <c r="W258" s="741"/>
      <c r="X258" s="588"/>
      <c r="Y258" s="685"/>
    </row>
    <row r="259" spans="1:25" s="589" customFormat="1" x14ac:dyDescent="0.25">
      <c r="A259" s="604"/>
      <c r="B259" s="662" t="s">
        <v>157</v>
      </c>
      <c r="C259" s="759"/>
      <c r="D259" s="759"/>
      <c r="E259" s="759"/>
      <c r="F259" s="605"/>
      <c r="G259" s="760"/>
      <c r="H259" s="759"/>
      <c r="I259" s="759"/>
      <c r="J259" s="759"/>
      <c r="K259" s="759"/>
      <c r="L259" s="759"/>
      <c r="M259" s="759"/>
      <c r="N259" s="759"/>
      <c r="O259" s="759"/>
      <c r="P259" s="759"/>
      <c r="Q259" s="759"/>
      <c r="R259" s="662">
        <v>0</v>
      </c>
      <c r="S259" s="760">
        <f t="shared" si="6"/>
        <v>0</v>
      </c>
      <c r="T259" s="663">
        <v>0</v>
      </c>
      <c r="U259" s="760">
        <f t="shared" si="5"/>
        <v>0</v>
      </c>
      <c r="V259" s="730"/>
      <c r="W259" s="741"/>
      <c r="X259" s="588"/>
    </row>
    <row r="260" spans="1:25" s="589" customFormat="1" x14ac:dyDescent="0.25">
      <c r="A260" s="604"/>
      <c r="B260" s="662" t="s">
        <v>158</v>
      </c>
      <c r="C260" s="759"/>
      <c r="D260" s="759"/>
      <c r="E260" s="759"/>
      <c r="F260" s="605"/>
      <c r="G260" s="760"/>
      <c r="H260" s="759"/>
      <c r="I260" s="759"/>
      <c r="J260" s="759"/>
      <c r="K260" s="759"/>
      <c r="L260" s="759"/>
      <c r="M260" s="759"/>
      <c r="N260" s="759"/>
      <c r="O260" s="759"/>
      <c r="P260" s="759"/>
      <c r="Q260" s="759"/>
      <c r="R260" s="662">
        <v>0</v>
      </c>
      <c r="S260" s="760">
        <f t="shared" si="6"/>
        <v>0</v>
      </c>
      <c r="T260" s="663">
        <v>0</v>
      </c>
      <c r="U260" s="760">
        <f t="shared" si="5"/>
        <v>0</v>
      </c>
      <c r="V260" s="730"/>
      <c r="W260" s="741"/>
      <c r="X260" s="588"/>
      <c r="Y260" s="685"/>
    </row>
    <row r="261" spans="1:25" s="589" customFormat="1" x14ac:dyDescent="0.25">
      <c r="A261" s="604"/>
      <c r="B261" s="662" t="s">
        <v>159</v>
      </c>
      <c r="C261" s="759"/>
      <c r="D261" s="759"/>
      <c r="E261" s="759"/>
      <c r="F261" s="605"/>
      <c r="G261" s="760"/>
      <c r="H261" s="759"/>
      <c r="I261" s="759"/>
      <c r="J261" s="759"/>
      <c r="K261" s="759"/>
      <c r="L261" s="759"/>
      <c r="M261" s="759"/>
      <c r="N261" s="759"/>
      <c r="O261" s="759"/>
      <c r="P261" s="759"/>
      <c r="Q261" s="759"/>
      <c r="R261" s="662">
        <v>0</v>
      </c>
      <c r="S261" s="760">
        <f t="shared" si="6"/>
        <v>0</v>
      </c>
      <c r="T261" s="663">
        <v>0</v>
      </c>
      <c r="U261" s="760">
        <f t="shared" si="5"/>
        <v>0</v>
      </c>
      <c r="V261" s="730"/>
      <c r="W261" s="741"/>
      <c r="X261" s="588"/>
    </row>
    <row r="262" spans="1:25" s="589" customFormat="1" x14ac:dyDescent="0.25">
      <c r="A262" s="604"/>
      <c r="B262" s="662" t="s">
        <v>160</v>
      </c>
      <c r="C262" s="759"/>
      <c r="D262" s="759"/>
      <c r="E262" s="759"/>
      <c r="F262" s="605"/>
      <c r="G262" s="760"/>
      <c r="H262" s="759"/>
      <c r="I262" s="759"/>
      <c r="J262" s="759"/>
      <c r="K262" s="759"/>
      <c r="L262" s="759"/>
      <c r="M262" s="759"/>
      <c r="N262" s="759"/>
      <c r="O262" s="759"/>
      <c r="P262" s="759"/>
      <c r="Q262" s="759"/>
      <c r="R262" s="662">
        <v>0</v>
      </c>
      <c r="S262" s="760">
        <f t="shared" si="6"/>
        <v>0</v>
      </c>
      <c r="T262" s="663">
        <v>0</v>
      </c>
      <c r="U262" s="760">
        <f t="shared" si="5"/>
        <v>0</v>
      </c>
      <c r="V262" s="730"/>
      <c r="W262" s="741"/>
      <c r="X262" s="588"/>
      <c r="Y262" s="685"/>
    </row>
    <row r="263" spans="1:25" s="589" customFormat="1" x14ac:dyDescent="0.25">
      <c r="A263" s="604"/>
      <c r="B263" s="662"/>
      <c r="C263" s="759"/>
      <c r="D263" s="759"/>
      <c r="E263" s="759"/>
      <c r="F263" s="605"/>
      <c r="G263" s="760"/>
      <c r="H263" s="759"/>
      <c r="I263" s="759"/>
      <c r="J263" s="759"/>
      <c r="K263" s="759"/>
      <c r="L263" s="759"/>
      <c r="M263" s="759"/>
      <c r="N263" s="759"/>
      <c r="O263" s="759"/>
      <c r="P263" s="759"/>
      <c r="Q263" s="759"/>
      <c r="R263" s="662"/>
      <c r="S263" s="760"/>
      <c r="T263" s="663"/>
      <c r="U263" s="760"/>
      <c r="V263" s="730"/>
      <c r="W263" s="741"/>
      <c r="X263" s="588"/>
    </row>
    <row r="264" spans="1:25" s="589" customFormat="1" x14ac:dyDescent="0.25">
      <c r="A264" s="604"/>
      <c r="B264" s="605"/>
      <c r="C264" s="605"/>
      <c r="D264" s="605"/>
      <c r="E264" s="605"/>
      <c r="F264" s="605"/>
      <c r="G264" s="605"/>
      <c r="H264" s="761"/>
      <c r="I264" s="761"/>
      <c r="J264" s="761"/>
      <c r="K264" s="761"/>
      <c r="L264" s="761"/>
      <c r="M264" s="761"/>
      <c r="N264" s="761"/>
      <c r="O264" s="761"/>
      <c r="P264" s="761"/>
      <c r="Q264" s="761"/>
      <c r="R264" s="662">
        <f>SUM(R255:R263)</f>
        <v>3910</v>
      </c>
      <c r="S264" s="760">
        <f>SUM(S255:S263)</f>
        <v>1</v>
      </c>
      <c r="T264" s="663">
        <f>SUM(T255:T263)</f>
        <v>528798</v>
      </c>
      <c r="U264" s="760">
        <f>SUM(U255:U263)</f>
        <v>1</v>
      </c>
      <c r="V264" s="605"/>
      <c r="W264" s="607"/>
      <c r="X264" s="588"/>
    </row>
    <row r="265" spans="1:25" x14ac:dyDescent="0.25">
      <c r="A265" s="574"/>
      <c r="B265" s="664"/>
      <c r="C265" s="664"/>
      <c r="D265" s="664"/>
      <c r="E265" s="664"/>
      <c r="F265" s="664"/>
      <c r="G265" s="664"/>
      <c r="H265" s="762"/>
      <c r="I265" s="762"/>
      <c r="J265" s="762"/>
      <c r="K265" s="762"/>
      <c r="L265" s="762"/>
      <c r="M265" s="762"/>
      <c r="N265" s="762"/>
      <c r="O265" s="762"/>
      <c r="P265" s="762"/>
      <c r="Q265" s="762"/>
      <c r="R265" s="665"/>
      <c r="S265" s="763"/>
      <c r="T265" s="764"/>
      <c r="U265" s="763"/>
      <c r="V265" s="664"/>
      <c r="W265" s="664"/>
      <c r="X265" s="572"/>
    </row>
    <row r="266" spans="1:25" x14ac:dyDescent="0.25">
      <c r="A266" s="597"/>
      <c r="B266" s="669" t="s">
        <v>236</v>
      </c>
      <c r="C266" s="670"/>
      <c r="D266" s="670"/>
      <c r="E266" s="670"/>
      <c r="F266" s="721"/>
      <c r="G266" s="670"/>
      <c r="H266" s="670"/>
      <c r="I266" s="670"/>
      <c r="J266" s="670"/>
      <c r="K266" s="670"/>
      <c r="L266" s="670"/>
      <c r="M266" s="670"/>
      <c r="N266" s="670"/>
      <c r="O266" s="670"/>
      <c r="P266" s="670"/>
      <c r="Q266" s="670"/>
      <c r="R266" s="721" t="s">
        <v>102</v>
      </c>
      <c r="S266" s="670" t="s">
        <v>103</v>
      </c>
      <c r="T266" s="721" t="s">
        <v>109</v>
      </c>
      <c r="U266" s="670" t="s">
        <v>103</v>
      </c>
      <c r="V266" s="598"/>
      <c r="W266" s="601"/>
      <c r="X266" s="572"/>
    </row>
    <row r="267" spans="1:25" s="589" customFormat="1" x14ac:dyDescent="0.25">
      <c r="A267" s="585"/>
      <c r="B267" s="673" t="s">
        <v>88</v>
      </c>
      <c r="C267" s="756"/>
      <c r="D267" s="756"/>
      <c r="E267" s="756"/>
      <c r="F267" s="602"/>
      <c r="G267" s="756"/>
      <c r="H267" s="756"/>
      <c r="I267" s="756"/>
      <c r="J267" s="756"/>
      <c r="K267" s="756"/>
      <c r="L267" s="756"/>
      <c r="M267" s="756"/>
      <c r="N267" s="756"/>
      <c r="O267" s="756"/>
      <c r="P267" s="756"/>
      <c r="Q267" s="756"/>
      <c r="R267" s="673">
        <v>54</v>
      </c>
      <c r="S267" s="757">
        <f t="shared" ref="S267:S273" si="7">R267/$R$276</f>
        <v>0.8571428571428571</v>
      </c>
      <c r="T267" s="674">
        <v>7448</v>
      </c>
      <c r="U267" s="757">
        <f t="shared" ref="U267:U274" si="8">T267/$T$276</f>
        <v>0.85687988955361249</v>
      </c>
      <c r="V267" s="602"/>
      <c r="W267" s="602"/>
      <c r="X267" s="588"/>
    </row>
    <row r="268" spans="1:25" s="589" customFormat="1" x14ac:dyDescent="0.25">
      <c r="A268" s="604"/>
      <c r="B268" s="662" t="s">
        <v>89</v>
      </c>
      <c r="C268" s="759"/>
      <c r="D268" s="759"/>
      <c r="E268" s="759"/>
      <c r="F268" s="605"/>
      <c r="G268" s="760"/>
      <c r="H268" s="759"/>
      <c r="I268" s="759"/>
      <c r="J268" s="759"/>
      <c r="K268" s="759"/>
      <c r="L268" s="759"/>
      <c r="M268" s="759"/>
      <c r="N268" s="759"/>
      <c r="O268" s="759"/>
      <c r="P268" s="759"/>
      <c r="Q268" s="759"/>
      <c r="R268" s="662">
        <v>2</v>
      </c>
      <c r="S268" s="760">
        <f t="shared" si="7"/>
        <v>3.1746031746031744E-2</v>
      </c>
      <c r="T268" s="663">
        <v>318</v>
      </c>
      <c r="U268" s="760">
        <f t="shared" si="8"/>
        <v>3.6585365853658534E-2</v>
      </c>
      <c r="V268" s="605"/>
      <c r="W268" s="607"/>
      <c r="X268" s="588"/>
    </row>
    <row r="269" spans="1:25" s="589" customFormat="1" x14ac:dyDescent="0.25">
      <c r="A269" s="604"/>
      <c r="B269" s="662" t="s">
        <v>90</v>
      </c>
      <c r="C269" s="759"/>
      <c r="D269" s="759"/>
      <c r="E269" s="759"/>
      <c r="F269" s="605"/>
      <c r="G269" s="760"/>
      <c r="H269" s="759"/>
      <c r="I269" s="759"/>
      <c r="J269" s="759"/>
      <c r="K269" s="759"/>
      <c r="L269" s="759"/>
      <c r="M269" s="759"/>
      <c r="N269" s="759"/>
      <c r="O269" s="759"/>
      <c r="P269" s="759"/>
      <c r="Q269" s="759"/>
      <c r="R269" s="662">
        <v>3</v>
      </c>
      <c r="S269" s="760">
        <f t="shared" si="7"/>
        <v>4.7619047619047616E-2</v>
      </c>
      <c r="T269" s="663">
        <v>360</v>
      </c>
      <c r="U269" s="760">
        <f t="shared" si="8"/>
        <v>4.1417395306028532E-2</v>
      </c>
      <c r="V269" s="605"/>
      <c r="W269" s="607"/>
      <c r="X269" s="588"/>
    </row>
    <row r="270" spans="1:25" s="589" customFormat="1" x14ac:dyDescent="0.25">
      <c r="A270" s="604"/>
      <c r="B270" s="662" t="s">
        <v>156</v>
      </c>
      <c r="C270" s="759"/>
      <c r="D270" s="759"/>
      <c r="E270" s="759"/>
      <c r="F270" s="605"/>
      <c r="G270" s="760"/>
      <c r="H270" s="759"/>
      <c r="I270" s="759"/>
      <c r="J270" s="759"/>
      <c r="K270" s="759"/>
      <c r="L270" s="759"/>
      <c r="M270" s="759"/>
      <c r="N270" s="759"/>
      <c r="O270" s="759"/>
      <c r="P270" s="759"/>
      <c r="Q270" s="759"/>
      <c r="R270" s="662">
        <v>1</v>
      </c>
      <c r="S270" s="760">
        <f t="shared" si="7"/>
        <v>1.5873015873015872E-2</v>
      </c>
      <c r="T270" s="663">
        <v>179</v>
      </c>
      <c r="U270" s="760">
        <f t="shared" si="8"/>
        <v>2.0593649332719743E-2</v>
      </c>
      <c r="V270" s="605"/>
      <c r="W270" s="607"/>
      <c r="X270" s="588"/>
    </row>
    <row r="271" spans="1:25" s="589" customFormat="1" x14ac:dyDescent="0.25">
      <c r="A271" s="604"/>
      <c r="B271" s="662" t="s">
        <v>157</v>
      </c>
      <c r="C271" s="759"/>
      <c r="D271" s="759"/>
      <c r="E271" s="759"/>
      <c r="F271" s="605"/>
      <c r="G271" s="760"/>
      <c r="H271" s="759"/>
      <c r="I271" s="759"/>
      <c r="J271" s="759"/>
      <c r="K271" s="759"/>
      <c r="L271" s="759"/>
      <c r="M271" s="759"/>
      <c r="N271" s="759"/>
      <c r="O271" s="759"/>
      <c r="P271" s="759"/>
      <c r="Q271" s="759"/>
      <c r="R271" s="662">
        <v>1</v>
      </c>
      <c r="S271" s="760">
        <f t="shared" si="7"/>
        <v>1.5873015873015872E-2</v>
      </c>
      <c r="T271" s="663">
        <v>117</v>
      </c>
      <c r="U271" s="760">
        <f t="shared" si="8"/>
        <v>1.3460653474459273E-2</v>
      </c>
      <c r="V271" s="605"/>
      <c r="W271" s="607"/>
      <c r="X271" s="588"/>
    </row>
    <row r="272" spans="1:25" s="589" customFormat="1" x14ac:dyDescent="0.25">
      <c r="A272" s="604"/>
      <c r="B272" s="662" t="s">
        <v>158</v>
      </c>
      <c r="C272" s="759"/>
      <c r="D272" s="759"/>
      <c r="E272" s="759"/>
      <c r="F272" s="605"/>
      <c r="G272" s="760"/>
      <c r="H272" s="759"/>
      <c r="I272" s="759"/>
      <c r="J272" s="759"/>
      <c r="K272" s="759"/>
      <c r="L272" s="759"/>
      <c r="M272" s="759"/>
      <c r="N272" s="759"/>
      <c r="O272" s="759"/>
      <c r="P272" s="759"/>
      <c r="Q272" s="759"/>
      <c r="R272" s="662">
        <v>0</v>
      </c>
      <c r="S272" s="760">
        <f t="shared" si="7"/>
        <v>0</v>
      </c>
      <c r="T272" s="663">
        <v>0</v>
      </c>
      <c r="U272" s="760">
        <f t="shared" si="8"/>
        <v>0</v>
      </c>
      <c r="V272" s="605"/>
      <c r="W272" s="607"/>
      <c r="X272" s="588"/>
    </row>
    <row r="273" spans="1:24" s="589" customFormat="1" x14ac:dyDescent="0.25">
      <c r="A273" s="604"/>
      <c r="B273" s="662" t="s">
        <v>159</v>
      </c>
      <c r="C273" s="759"/>
      <c r="D273" s="759"/>
      <c r="E273" s="759"/>
      <c r="F273" s="605"/>
      <c r="G273" s="760"/>
      <c r="H273" s="759"/>
      <c r="I273" s="759"/>
      <c r="J273" s="759"/>
      <c r="K273" s="759"/>
      <c r="L273" s="759"/>
      <c r="M273" s="759"/>
      <c r="N273" s="759"/>
      <c r="O273" s="759"/>
      <c r="P273" s="759"/>
      <c r="Q273" s="759"/>
      <c r="R273" s="662">
        <v>2</v>
      </c>
      <c r="S273" s="760">
        <f t="shared" si="7"/>
        <v>3.1746031746031744E-2</v>
      </c>
      <c r="T273" s="663">
        <v>270</v>
      </c>
      <c r="U273" s="760">
        <f t="shared" si="8"/>
        <v>3.1063046479521399E-2</v>
      </c>
      <c r="V273" s="605"/>
      <c r="W273" s="607"/>
      <c r="X273" s="588"/>
    </row>
    <row r="274" spans="1:24" s="589" customFormat="1" x14ac:dyDescent="0.25">
      <c r="A274" s="604"/>
      <c r="B274" s="662" t="s">
        <v>160</v>
      </c>
      <c r="C274" s="759"/>
      <c r="D274" s="759"/>
      <c r="E274" s="759"/>
      <c r="F274" s="605"/>
      <c r="G274" s="760"/>
      <c r="H274" s="759"/>
      <c r="I274" s="759"/>
      <c r="J274" s="759"/>
      <c r="K274" s="759"/>
      <c r="L274" s="759"/>
      <c r="M274" s="759"/>
      <c r="N274" s="759"/>
      <c r="O274" s="759"/>
      <c r="P274" s="759"/>
      <c r="Q274" s="759"/>
      <c r="R274" s="662">
        <v>0</v>
      </c>
      <c r="S274" s="760">
        <f>R274/$R$276</f>
        <v>0</v>
      </c>
      <c r="T274" s="663">
        <v>0</v>
      </c>
      <c r="U274" s="760">
        <f t="shared" si="8"/>
        <v>0</v>
      </c>
      <c r="V274" s="605"/>
      <c r="W274" s="607"/>
      <c r="X274" s="588"/>
    </row>
    <row r="275" spans="1:24" s="589" customFormat="1" x14ac:dyDescent="0.25">
      <c r="A275" s="604"/>
      <c r="B275" s="662"/>
      <c r="C275" s="759"/>
      <c r="D275" s="759"/>
      <c r="E275" s="759"/>
      <c r="F275" s="605"/>
      <c r="G275" s="760"/>
      <c r="H275" s="759"/>
      <c r="I275" s="759"/>
      <c r="J275" s="759"/>
      <c r="K275" s="759"/>
      <c r="L275" s="759"/>
      <c r="M275" s="759"/>
      <c r="N275" s="759"/>
      <c r="O275" s="759"/>
      <c r="P275" s="759"/>
      <c r="Q275" s="759"/>
      <c r="R275" s="662"/>
      <c r="S275" s="760"/>
      <c r="T275" s="663"/>
      <c r="U275" s="760"/>
      <c r="V275" s="605"/>
      <c r="W275" s="607"/>
      <c r="X275" s="588"/>
    </row>
    <row r="276" spans="1:24" s="589" customFormat="1" x14ac:dyDescent="0.25">
      <c r="A276" s="604"/>
      <c r="B276" s="605"/>
      <c r="C276" s="605"/>
      <c r="D276" s="605"/>
      <c r="E276" s="605"/>
      <c r="F276" s="605"/>
      <c r="G276" s="605"/>
      <c r="H276" s="761"/>
      <c r="I276" s="761"/>
      <c r="J276" s="761"/>
      <c r="K276" s="761"/>
      <c r="L276" s="761"/>
      <c r="M276" s="761"/>
      <c r="N276" s="761"/>
      <c r="O276" s="761"/>
      <c r="P276" s="761"/>
      <c r="Q276" s="761"/>
      <c r="R276" s="662">
        <f>SUM(R267:R275)</f>
        <v>63</v>
      </c>
      <c r="S276" s="760">
        <f>SUM(S267:S275)</f>
        <v>0.99999999999999989</v>
      </c>
      <c r="T276" s="663">
        <f>SUM(T267:T275)</f>
        <v>8692</v>
      </c>
      <c r="U276" s="760">
        <f>SUM(U267:U275)</f>
        <v>1</v>
      </c>
      <c r="V276" s="605"/>
      <c r="W276" s="607"/>
      <c r="X276" s="588"/>
    </row>
    <row r="277" spans="1:24" x14ac:dyDescent="0.25">
      <c r="A277" s="574"/>
      <c r="B277" s="664"/>
      <c r="C277" s="664"/>
      <c r="D277" s="664"/>
      <c r="E277" s="664"/>
      <c r="F277" s="664"/>
      <c r="G277" s="664"/>
      <c r="H277" s="762"/>
      <c r="I277" s="762"/>
      <c r="J277" s="762"/>
      <c r="K277" s="762"/>
      <c r="L277" s="762"/>
      <c r="M277" s="762"/>
      <c r="N277" s="762"/>
      <c r="O277" s="762"/>
      <c r="P277" s="762"/>
      <c r="Q277" s="762"/>
      <c r="R277" s="665"/>
      <c r="S277" s="763"/>
      <c r="T277" s="764"/>
      <c r="U277" s="763"/>
      <c r="V277" s="664"/>
      <c r="W277" s="664"/>
      <c r="X277" s="572"/>
    </row>
    <row r="278" spans="1:24" x14ac:dyDescent="0.25">
      <c r="A278" s="597"/>
      <c r="B278" s="669" t="s">
        <v>163</v>
      </c>
      <c r="C278" s="598"/>
      <c r="D278" s="598"/>
      <c r="E278" s="598"/>
      <c r="F278" s="598"/>
      <c r="G278" s="598"/>
      <c r="H278" s="765"/>
      <c r="I278" s="765"/>
      <c r="J278" s="765"/>
      <c r="K278" s="765"/>
      <c r="L278" s="765"/>
      <c r="M278" s="765"/>
      <c r="N278" s="765"/>
      <c r="O278" s="765"/>
      <c r="P278" s="765"/>
      <c r="Q278" s="765"/>
      <c r="R278" s="721" t="s">
        <v>102</v>
      </c>
      <c r="S278" s="670" t="s">
        <v>103</v>
      </c>
      <c r="T278" s="721" t="s">
        <v>109</v>
      </c>
      <c r="U278" s="670" t="s">
        <v>103</v>
      </c>
      <c r="V278" s="598"/>
      <c r="W278" s="601"/>
      <c r="X278" s="572"/>
    </row>
    <row r="279" spans="1:24" s="589" customFormat="1" x14ac:dyDescent="0.25">
      <c r="A279" s="585"/>
      <c r="B279" s="673" t="s">
        <v>88</v>
      </c>
      <c r="C279" s="602"/>
      <c r="D279" s="602"/>
      <c r="E279" s="602"/>
      <c r="F279" s="602"/>
      <c r="G279" s="602"/>
      <c r="H279" s="766"/>
      <c r="I279" s="766"/>
      <c r="J279" s="766"/>
      <c r="K279" s="766"/>
      <c r="L279" s="766"/>
      <c r="M279" s="766"/>
      <c r="N279" s="766"/>
      <c r="O279" s="766"/>
      <c r="P279" s="766"/>
      <c r="Q279" s="766"/>
      <c r="R279" s="673">
        <v>1</v>
      </c>
      <c r="S279" s="757">
        <v>1</v>
      </c>
      <c r="T279" s="674">
        <v>31</v>
      </c>
      <c r="U279" s="757">
        <v>1</v>
      </c>
      <c r="V279" s="602"/>
      <c r="W279" s="602"/>
      <c r="X279" s="588"/>
    </row>
    <row r="280" spans="1:24" s="589" customFormat="1" x14ac:dyDescent="0.25">
      <c r="A280" s="604"/>
      <c r="B280" s="662" t="s">
        <v>89</v>
      </c>
      <c r="C280" s="605"/>
      <c r="D280" s="605"/>
      <c r="E280" s="605"/>
      <c r="F280" s="605"/>
      <c r="G280" s="605"/>
      <c r="H280" s="761"/>
      <c r="I280" s="761"/>
      <c r="J280" s="761"/>
      <c r="K280" s="761"/>
      <c r="L280" s="761"/>
      <c r="M280" s="761"/>
      <c r="N280" s="761"/>
      <c r="O280" s="761"/>
      <c r="P280" s="761"/>
      <c r="Q280" s="761"/>
      <c r="R280" s="662">
        <v>0</v>
      </c>
      <c r="S280" s="760">
        <v>0</v>
      </c>
      <c r="T280" s="663">
        <v>0</v>
      </c>
      <c r="U280" s="760">
        <v>0</v>
      </c>
      <c r="V280" s="605"/>
      <c r="W280" s="607"/>
      <c r="X280" s="588"/>
    </row>
    <row r="281" spans="1:24" s="589" customFormat="1" x14ac:dyDescent="0.25">
      <c r="A281" s="604"/>
      <c r="B281" s="662" t="s">
        <v>90</v>
      </c>
      <c r="C281" s="605"/>
      <c r="D281" s="605"/>
      <c r="E281" s="605"/>
      <c r="F281" s="605"/>
      <c r="G281" s="605"/>
      <c r="H281" s="761"/>
      <c r="I281" s="761"/>
      <c r="J281" s="761"/>
      <c r="K281" s="761"/>
      <c r="L281" s="761"/>
      <c r="M281" s="761"/>
      <c r="N281" s="761"/>
      <c r="O281" s="761"/>
      <c r="P281" s="761"/>
      <c r="Q281" s="761"/>
      <c r="R281" s="662">
        <v>0</v>
      </c>
      <c r="S281" s="760">
        <v>0</v>
      </c>
      <c r="T281" s="663">
        <v>0</v>
      </c>
      <c r="U281" s="760">
        <v>0</v>
      </c>
      <c r="V281" s="605"/>
      <c r="W281" s="607"/>
      <c r="X281" s="588"/>
    </row>
    <row r="282" spans="1:24" s="589" customFormat="1" x14ac:dyDescent="0.25">
      <c r="A282" s="604"/>
      <c r="B282" s="662" t="s">
        <v>156</v>
      </c>
      <c r="C282" s="605"/>
      <c r="D282" s="605"/>
      <c r="E282" s="605"/>
      <c r="F282" s="605"/>
      <c r="G282" s="605"/>
      <c r="H282" s="761"/>
      <c r="I282" s="761"/>
      <c r="J282" s="761"/>
      <c r="K282" s="761"/>
      <c r="L282" s="761"/>
      <c r="M282" s="761"/>
      <c r="N282" s="761"/>
      <c r="O282" s="761"/>
      <c r="P282" s="761"/>
      <c r="Q282" s="761"/>
      <c r="R282" s="662">
        <v>0</v>
      </c>
      <c r="S282" s="760">
        <v>0</v>
      </c>
      <c r="T282" s="663">
        <v>0</v>
      </c>
      <c r="U282" s="760">
        <v>0</v>
      </c>
      <c r="V282" s="605"/>
      <c r="W282" s="607"/>
      <c r="X282" s="588"/>
    </row>
    <row r="283" spans="1:24" s="589" customFormat="1" x14ac:dyDescent="0.25">
      <c r="A283" s="604"/>
      <c r="B283" s="662" t="s">
        <v>157</v>
      </c>
      <c r="C283" s="605"/>
      <c r="D283" s="605"/>
      <c r="E283" s="605"/>
      <c r="F283" s="605"/>
      <c r="G283" s="605"/>
      <c r="H283" s="761"/>
      <c r="I283" s="761"/>
      <c r="J283" s="761"/>
      <c r="K283" s="761"/>
      <c r="L283" s="761"/>
      <c r="M283" s="761"/>
      <c r="N283" s="761"/>
      <c r="O283" s="761"/>
      <c r="P283" s="761"/>
      <c r="Q283" s="761"/>
      <c r="R283" s="662">
        <v>0</v>
      </c>
      <c r="S283" s="760">
        <v>0</v>
      </c>
      <c r="T283" s="663">
        <v>0</v>
      </c>
      <c r="U283" s="760">
        <v>0</v>
      </c>
      <c r="V283" s="605"/>
      <c r="W283" s="607"/>
      <c r="X283" s="588"/>
    </row>
    <row r="284" spans="1:24" s="589" customFormat="1" x14ac:dyDescent="0.25">
      <c r="A284" s="604"/>
      <c r="B284" s="662" t="s">
        <v>158</v>
      </c>
      <c r="C284" s="605"/>
      <c r="D284" s="605"/>
      <c r="E284" s="605"/>
      <c r="F284" s="605"/>
      <c r="G284" s="605"/>
      <c r="H284" s="761"/>
      <c r="I284" s="761"/>
      <c r="J284" s="761"/>
      <c r="K284" s="761"/>
      <c r="L284" s="761"/>
      <c r="M284" s="761"/>
      <c r="N284" s="761"/>
      <c r="O284" s="761"/>
      <c r="P284" s="761"/>
      <c r="Q284" s="761"/>
      <c r="R284" s="662">
        <v>0</v>
      </c>
      <c r="S284" s="760">
        <v>0</v>
      </c>
      <c r="T284" s="663">
        <v>0</v>
      </c>
      <c r="U284" s="760">
        <v>0</v>
      </c>
      <c r="V284" s="605"/>
      <c r="W284" s="607"/>
      <c r="X284" s="588"/>
    </row>
    <row r="285" spans="1:24" s="589" customFormat="1" x14ac:dyDescent="0.25">
      <c r="A285" s="604"/>
      <c r="B285" s="662" t="s">
        <v>159</v>
      </c>
      <c r="C285" s="605"/>
      <c r="D285" s="605"/>
      <c r="E285" s="605"/>
      <c r="F285" s="605"/>
      <c r="G285" s="605"/>
      <c r="H285" s="761"/>
      <c r="I285" s="761"/>
      <c r="J285" s="761"/>
      <c r="K285" s="761"/>
      <c r="L285" s="761"/>
      <c r="M285" s="761"/>
      <c r="N285" s="761"/>
      <c r="O285" s="761"/>
      <c r="P285" s="761"/>
      <c r="Q285" s="761"/>
      <c r="R285" s="662">
        <v>0</v>
      </c>
      <c r="S285" s="760">
        <v>0</v>
      </c>
      <c r="T285" s="663">
        <v>0</v>
      </c>
      <c r="U285" s="760">
        <v>0</v>
      </c>
      <c r="V285" s="605"/>
      <c r="W285" s="607"/>
      <c r="X285" s="588"/>
    </row>
    <row r="286" spans="1:24" s="589" customFormat="1" x14ac:dyDescent="0.25">
      <c r="A286" s="604"/>
      <c r="B286" s="662" t="s">
        <v>160</v>
      </c>
      <c r="C286" s="605"/>
      <c r="D286" s="605"/>
      <c r="E286" s="605"/>
      <c r="F286" s="605"/>
      <c r="G286" s="605"/>
      <c r="H286" s="761"/>
      <c r="I286" s="761"/>
      <c r="J286" s="761"/>
      <c r="K286" s="761"/>
      <c r="L286" s="761"/>
      <c r="M286" s="761"/>
      <c r="N286" s="761"/>
      <c r="O286" s="761"/>
      <c r="P286" s="761"/>
      <c r="Q286" s="761"/>
      <c r="R286" s="662">
        <v>0</v>
      </c>
      <c r="S286" s="760">
        <v>0</v>
      </c>
      <c r="T286" s="663">
        <v>0</v>
      </c>
      <c r="U286" s="760">
        <v>0</v>
      </c>
      <c r="V286" s="605"/>
      <c r="W286" s="607"/>
      <c r="X286" s="588"/>
    </row>
    <row r="287" spans="1:24" s="589" customFormat="1" x14ac:dyDescent="0.25">
      <c r="A287" s="604"/>
      <c r="B287" s="662"/>
      <c r="C287" s="605"/>
      <c r="D287" s="605"/>
      <c r="E287" s="605"/>
      <c r="F287" s="605"/>
      <c r="G287" s="605"/>
      <c r="H287" s="761"/>
      <c r="I287" s="761"/>
      <c r="J287" s="761"/>
      <c r="K287" s="761"/>
      <c r="L287" s="761"/>
      <c r="M287" s="761"/>
      <c r="N287" s="761"/>
      <c r="O287" s="761"/>
      <c r="P287" s="761"/>
      <c r="Q287" s="761"/>
      <c r="R287" s="662"/>
      <c r="S287" s="760"/>
      <c r="T287" s="663"/>
      <c r="U287" s="760"/>
      <c r="V287" s="605"/>
      <c r="W287" s="607"/>
      <c r="X287" s="588"/>
    </row>
    <row r="288" spans="1:24" s="589" customFormat="1" x14ac:dyDescent="0.25">
      <c r="A288" s="604"/>
      <c r="B288" s="605" t="s">
        <v>114</v>
      </c>
      <c r="C288" s="605"/>
      <c r="D288" s="605"/>
      <c r="E288" s="605"/>
      <c r="F288" s="605"/>
      <c r="G288" s="605"/>
      <c r="H288" s="761"/>
      <c r="I288" s="761"/>
      <c r="J288" s="761"/>
      <c r="K288" s="761"/>
      <c r="L288" s="761"/>
      <c r="M288" s="761"/>
      <c r="N288" s="761"/>
      <c r="O288" s="761"/>
      <c r="P288" s="761"/>
      <c r="Q288" s="761"/>
      <c r="R288" s="662">
        <f>SUM(R279:R286)</f>
        <v>1</v>
      </c>
      <c r="S288" s="760">
        <f>SUM(S279:S286)</f>
        <v>1</v>
      </c>
      <c r="T288" s="663">
        <f>SUM(T279:T286)</f>
        <v>31</v>
      </c>
      <c r="U288" s="760">
        <f>SUM(U279:U286)</f>
        <v>1</v>
      </c>
      <c r="V288" s="605"/>
      <c r="W288" s="607"/>
      <c r="X288" s="588"/>
    </row>
    <row r="289" spans="1:24" s="589" customFormat="1" x14ac:dyDescent="0.25">
      <c r="A289" s="604"/>
      <c r="B289" s="605"/>
      <c r="C289" s="605"/>
      <c r="D289" s="605"/>
      <c r="E289" s="605"/>
      <c r="F289" s="605"/>
      <c r="G289" s="605"/>
      <c r="H289" s="761"/>
      <c r="I289" s="761"/>
      <c r="J289" s="761"/>
      <c r="K289" s="761"/>
      <c r="L289" s="761"/>
      <c r="M289" s="761"/>
      <c r="N289" s="761"/>
      <c r="O289" s="761"/>
      <c r="P289" s="761"/>
      <c r="Q289" s="761"/>
      <c r="R289" s="662"/>
      <c r="S289" s="760"/>
      <c r="T289" s="663"/>
      <c r="U289" s="760"/>
      <c r="V289" s="605"/>
      <c r="W289" s="607"/>
      <c r="X289" s="588"/>
    </row>
    <row r="290" spans="1:24" s="589" customFormat="1" x14ac:dyDescent="0.25">
      <c r="A290" s="604"/>
      <c r="B290" s="610" t="s">
        <v>164</v>
      </c>
      <c r="C290" s="605"/>
      <c r="D290" s="605"/>
      <c r="E290" s="605"/>
      <c r="F290" s="605"/>
      <c r="G290" s="605"/>
      <c r="H290" s="761"/>
      <c r="I290" s="761"/>
      <c r="J290" s="761"/>
      <c r="K290" s="761"/>
      <c r="L290" s="761"/>
      <c r="M290" s="761"/>
      <c r="N290" s="761"/>
      <c r="O290" s="761"/>
      <c r="P290" s="761"/>
      <c r="Q290" s="761"/>
      <c r="R290" s="767">
        <f>R288+R276+R264</f>
        <v>3974</v>
      </c>
      <c r="S290" s="760"/>
      <c r="T290" s="768">
        <f>+T288+T276+T264</f>
        <v>537521</v>
      </c>
      <c r="U290" s="760"/>
      <c r="V290" s="605"/>
      <c r="W290" s="607"/>
      <c r="X290" s="588"/>
    </row>
    <row r="291" spans="1:24" s="589" customFormat="1" x14ac:dyDescent="0.25">
      <c r="A291" s="585"/>
      <c r="B291" s="602"/>
      <c r="C291" s="602"/>
      <c r="D291" s="602"/>
      <c r="E291" s="602"/>
      <c r="F291" s="602"/>
      <c r="G291" s="602"/>
      <c r="H291" s="766"/>
      <c r="I291" s="766"/>
      <c r="J291" s="766"/>
      <c r="K291" s="766"/>
      <c r="L291" s="766"/>
      <c r="M291" s="766"/>
      <c r="N291" s="766"/>
      <c r="O291" s="766"/>
      <c r="P291" s="766"/>
      <c r="Q291" s="766"/>
      <c r="R291" s="766"/>
      <c r="S291" s="766"/>
      <c r="T291" s="674"/>
      <c r="U291" s="766"/>
      <c r="V291" s="602"/>
      <c r="W291" s="602"/>
      <c r="X291" s="588"/>
    </row>
    <row r="292" spans="1:24" s="589" customFormat="1" x14ac:dyDescent="0.25">
      <c r="A292" s="585"/>
      <c r="B292" s="586"/>
      <c r="C292" s="586"/>
      <c r="D292" s="586"/>
      <c r="E292" s="586"/>
      <c r="F292" s="586"/>
      <c r="G292" s="586"/>
      <c r="H292" s="769"/>
      <c r="I292" s="769"/>
      <c r="J292" s="769"/>
      <c r="K292" s="769"/>
      <c r="L292" s="769"/>
      <c r="M292" s="769"/>
      <c r="N292" s="769"/>
      <c r="O292" s="769"/>
      <c r="P292" s="769"/>
      <c r="Q292" s="769"/>
      <c r="R292" s="769"/>
      <c r="S292" s="769"/>
      <c r="T292" s="770"/>
      <c r="U292" s="769"/>
      <c r="V292" s="586"/>
      <c r="W292" s="586"/>
      <c r="X292" s="588"/>
    </row>
    <row r="293" spans="1:24" s="589" customFormat="1" x14ac:dyDescent="0.25">
      <c r="A293" s="585"/>
      <c r="B293" s="584" t="s">
        <v>91</v>
      </c>
      <c r="C293" s="586"/>
      <c r="D293" s="586"/>
      <c r="E293" s="586"/>
      <c r="F293" s="592" t="s">
        <v>97</v>
      </c>
      <c r="G293" s="586"/>
      <c r="H293" s="584" t="s">
        <v>99</v>
      </c>
      <c r="I293" s="584"/>
      <c r="J293" s="584"/>
      <c r="K293" s="586"/>
      <c r="L293" s="586"/>
      <c r="M293" s="586"/>
      <c r="N293" s="586"/>
      <c r="O293" s="586"/>
      <c r="P293" s="586"/>
      <c r="Q293" s="586"/>
      <c r="R293" s="586"/>
      <c r="S293" s="586"/>
      <c r="T293" s="586"/>
      <c r="U293" s="586"/>
      <c r="V293" s="586"/>
      <c r="W293" s="586"/>
      <c r="X293" s="588"/>
    </row>
    <row r="294" spans="1:24" s="589" customFormat="1" x14ac:dyDescent="0.25">
      <c r="A294" s="585"/>
      <c r="B294" s="586"/>
      <c r="C294" s="586"/>
      <c r="D294" s="586"/>
      <c r="E294" s="586"/>
      <c r="F294" s="586"/>
      <c r="G294" s="586"/>
      <c r="H294" s="586"/>
      <c r="I294" s="586"/>
      <c r="J294" s="586"/>
      <c r="K294" s="586"/>
      <c r="L294" s="586"/>
      <c r="M294" s="586"/>
      <c r="N294" s="586"/>
      <c r="O294" s="586"/>
      <c r="P294" s="586"/>
      <c r="Q294" s="586"/>
      <c r="R294" s="586"/>
      <c r="S294" s="586"/>
      <c r="T294" s="586"/>
      <c r="U294" s="586"/>
      <c r="V294" s="586"/>
      <c r="W294" s="586"/>
      <c r="X294" s="588"/>
    </row>
    <row r="295" spans="1:24" s="589" customFormat="1" x14ac:dyDescent="0.25">
      <c r="A295" s="585"/>
      <c r="B295" s="584" t="s">
        <v>319</v>
      </c>
      <c r="C295" s="584"/>
      <c r="D295" s="584"/>
      <c r="E295" s="584"/>
      <c r="F295" s="771" t="s">
        <v>266</v>
      </c>
      <c r="G295" s="584"/>
      <c r="H295" s="584" t="s">
        <v>267</v>
      </c>
      <c r="I295" s="584"/>
      <c r="J295" s="584"/>
      <c r="K295" s="586"/>
      <c r="L295" s="586"/>
      <c r="M295" s="586"/>
      <c r="N295" s="586"/>
      <c r="O295" s="586"/>
      <c r="P295" s="586"/>
      <c r="Q295" s="586"/>
      <c r="R295" s="586"/>
      <c r="S295" s="586"/>
      <c r="T295" s="586"/>
      <c r="U295" s="586"/>
      <c r="V295" s="586"/>
      <c r="W295" s="586"/>
      <c r="X295" s="588"/>
    </row>
    <row r="296" spans="1:24" s="589" customFormat="1" x14ac:dyDescent="0.25">
      <c r="A296" s="585"/>
      <c r="B296" s="584" t="s">
        <v>320</v>
      </c>
      <c r="C296" s="584"/>
      <c r="D296" s="584"/>
      <c r="E296" s="584"/>
      <c r="F296" s="771" t="s">
        <v>147</v>
      </c>
      <c r="G296" s="584"/>
      <c r="H296" s="584" t="s">
        <v>153</v>
      </c>
      <c r="I296" s="584"/>
      <c r="J296" s="584"/>
      <c r="K296" s="586"/>
      <c r="L296" s="586"/>
      <c r="M296" s="586"/>
      <c r="N296" s="586"/>
      <c r="O296" s="586"/>
      <c r="P296" s="586"/>
      <c r="Q296" s="586"/>
      <c r="R296" s="586"/>
      <c r="S296" s="586"/>
      <c r="T296" s="586"/>
      <c r="U296" s="586"/>
      <c r="V296" s="586"/>
      <c r="W296" s="586"/>
      <c r="X296" s="588"/>
    </row>
    <row r="297" spans="1:24" s="589" customFormat="1" x14ac:dyDescent="0.25">
      <c r="A297" s="585"/>
      <c r="B297" s="584"/>
      <c r="C297" s="584"/>
      <c r="D297" s="584"/>
      <c r="E297" s="584"/>
      <c r="F297" s="584"/>
      <c r="G297" s="584"/>
      <c r="H297" s="586"/>
      <c r="I297" s="586"/>
      <c r="J297" s="586"/>
      <c r="K297" s="586"/>
      <c r="L297" s="586"/>
      <c r="M297" s="586"/>
      <c r="N297" s="586"/>
      <c r="O297" s="586"/>
      <c r="P297" s="586"/>
      <c r="Q297" s="586"/>
      <c r="R297" s="586"/>
      <c r="S297" s="586"/>
      <c r="T297" s="586"/>
      <c r="U297" s="586"/>
      <c r="V297" s="586"/>
      <c r="W297" s="586"/>
      <c r="X297" s="588"/>
    </row>
    <row r="298" spans="1:24" s="589" customFormat="1" x14ac:dyDescent="0.25">
      <c r="A298" s="585"/>
      <c r="B298" s="584"/>
      <c r="C298" s="584"/>
      <c r="D298" s="584"/>
      <c r="E298" s="584"/>
      <c r="F298" s="584"/>
      <c r="G298" s="584"/>
      <c r="H298" s="586"/>
      <c r="I298" s="586"/>
      <c r="J298" s="586"/>
      <c r="K298" s="586"/>
      <c r="L298" s="586"/>
      <c r="M298" s="586"/>
      <c r="N298" s="586"/>
      <c r="O298" s="586"/>
      <c r="P298" s="586"/>
      <c r="Q298" s="586"/>
      <c r="R298" s="586"/>
      <c r="S298" s="586"/>
      <c r="T298" s="586"/>
      <c r="U298" s="586"/>
      <c r="V298" s="586"/>
      <c r="W298" s="586"/>
      <c r="X298" s="588"/>
    </row>
    <row r="299" spans="1:24" s="589" customFormat="1" ht="19.5" thickBot="1" x14ac:dyDescent="0.35">
      <c r="A299" s="585"/>
      <c r="B299" s="772" t="str">
        <f>B204</f>
        <v>PM15 INVESTOR REPORT QUARTER ENDING FEBRUARY 2020</v>
      </c>
      <c r="C299" s="584"/>
      <c r="D299" s="584"/>
      <c r="E299" s="584"/>
      <c r="F299" s="584"/>
      <c r="G299" s="584"/>
      <c r="H299" s="586"/>
      <c r="I299" s="586"/>
      <c r="J299" s="586"/>
      <c r="K299" s="586"/>
      <c r="L299" s="586"/>
      <c r="M299" s="586"/>
      <c r="N299" s="586"/>
      <c r="O299" s="586"/>
      <c r="P299" s="586"/>
      <c r="Q299" s="586"/>
      <c r="R299" s="586"/>
      <c r="S299" s="586"/>
      <c r="T299" s="586"/>
      <c r="U299" s="586"/>
      <c r="V299" s="586"/>
      <c r="W299" s="586"/>
      <c r="X299" s="588"/>
    </row>
    <row r="300" spans="1:24" x14ac:dyDescent="0.25">
      <c r="A300" s="773"/>
      <c r="B300" s="773"/>
      <c r="C300" s="773"/>
      <c r="D300" s="773"/>
      <c r="E300" s="773"/>
      <c r="F300" s="773"/>
      <c r="G300" s="773"/>
      <c r="H300" s="773"/>
      <c r="I300" s="773"/>
      <c r="J300" s="773"/>
      <c r="K300" s="773"/>
      <c r="L300" s="773"/>
      <c r="M300" s="773"/>
      <c r="N300" s="773"/>
      <c r="O300" s="773"/>
      <c r="P300" s="773"/>
      <c r="Q300" s="773"/>
      <c r="R300" s="773"/>
      <c r="S300" s="773"/>
      <c r="T300" s="773"/>
      <c r="U300" s="773"/>
      <c r="V300" s="773"/>
      <c r="W300" s="773"/>
    </row>
  </sheetData>
  <hyperlinks>
    <hyperlink ref="I9" r:id="rId1" xr:uid="{F0322A54-FCC9-434D-8DD7-49228657F97D}"/>
    <hyperlink ref="P240" r:id="rId2" xr:uid="{5BDC6266-EC2E-4110-B2C9-312E19215E27}"/>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8" max="14" man="1"/>
    <brk id="204" max="14" man="1"/>
  </rowBreaks>
  <drawing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49D48-FC1A-4201-AA11-7FE3D6BF4D66}">
  <sheetPr>
    <tabColor rgb="FF89CB31"/>
  </sheetPr>
  <dimension ref="A1:IV337"/>
  <sheetViews>
    <sheetView showGridLines="0" showOutlineSymbols="0" zoomScale="70" zoomScaleNormal="70" workbookViewId="0"/>
  </sheetViews>
  <sheetFormatPr defaultColWidth="9.6640625" defaultRowHeight="15.75" x14ac:dyDescent="0.25"/>
  <cols>
    <col min="1" max="1" width="4" style="573" customWidth="1"/>
    <col min="2" max="2" width="71.21875" style="573" customWidth="1"/>
    <col min="3" max="3" width="2.21875" style="573" customWidth="1"/>
    <col min="4" max="4" width="19.33203125" style="573" customWidth="1"/>
    <col min="5" max="5" width="2.21875" style="573" customWidth="1"/>
    <col min="6" max="6" width="25.109375" style="573" customWidth="1"/>
    <col min="7" max="7" width="2.21875" style="573" customWidth="1"/>
    <col min="8" max="8" width="16.21875" style="573" customWidth="1"/>
    <col min="9" max="9" width="2.88671875" style="573" customWidth="1"/>
    <col min="10" max="10" width="16.21875" style="573" customWidth="1"/>
    <col min="11" max="11" width="2.21875" style="573" customWidth="1"/>
    <col min="12" max="12" width="17.88671875" style="573" customWidth="1"/>
    <col min="13" max="13" width="2.33203125" style="573" customWidth="1"/>
    <col min="14" max="14" width="14.88671875" style="573" customWidth="1"/>
    <col min="15" max="15" width="2.33203125" style="573" customWidth="1"/>
    <col min="16" max="16" width="15.5546875" style="573" customWidth="1"/>
    <col min="17" max="17" width="2.21875" style="573" customWidth="1"/>
    <col min="18" max="18" width="15.5546875" style="573" customWidth="1"/>
    <col min="19" max="20" width="12.6640625" style="573" customWidth="1"/>
    <col min="21" max="21" width="7.77734375" style="573" customWidth="1"/>
    <col min="22" max="22" width="14.6640625" style="573" customWidth="1"/>
    <col min="23" max="23" width="11.77734375" style="573" customWidth="1"/>
    <col min="24" max="16384" width="9.6640625" style="573"/>
  </cols>
  <sheetData>
    <row r="1" spans="1:24" ht="21" x14ac:dyDescent="0.35">
      <c r="A1" s="569"/>
      <c r="B1" s="570" t="s">
        <v>237</v>
      </c>
      <c r="C1" s="571"/>
      <c r="D1" s="571"/>
      <c r="E1" s="571"/>
      <c r="F1" s="571"/>
      <c r="G1" s="571"/>
      <c r="H1" s="571"/>
      <c r="I1" s="571"/>
      <c r="J1" s="571"/>
      <c r="K1" s="571"/>
      <c r="L1" s="571"/>
      <c r="M1" s="571"/>
      <c r="N1" s="571"/>
      <c r="O1" s="571"/>
      <c r="P1" s="571"/>
      <c r="Q1" s="571"/>
      <c r="R1" s="571"/>
      <c r="S1" s="571"/>
      <c r="T1" s="571"/>
      <c r="U1" s="571"/>
      <c r="V1" s="571"/>
      <c r="W1" s="571"/>
      <c r="X1" s="572"/>
    </row>
    <row r="2" spans="1:24" x14ac:dyDescent="0.25">
      <c r="A2" s="574"/>
      <c r="B2" s="575"/>
      <c r="C2" s="576"/>
      <c r="D2" s="576"/>
      <c r="E2" s="576"/>
      <c r="F2" s="576"/>
      <c r="G2" s="576"/>
      <c r="H2" s="576"/>
      <c r="I2" s="576"/>
      <c r="J2" s="576"/>
      <c r="K2" s="576"/>
      <c r="L2" s="576"/>
      <c r="M2" s="576"/>
      <c r="N2" s="576"/>
      <c r="O2" s="576"/>
      <c r="P2" s="576"/>
      <c r="Q2" s="576"/>
      <c r="R2" s="576"/>
      <c r="S2" s="576"/>
      <c r="T2" s="576"/>
      <c r="U2" s="576"/>
      <c r="V2" s="576"/>
      <c r="W2" s="576"/>
      <c r="X2" s="572"/>
    </row>
    <row r="3" spans="1:24" x14ac:dyDescent="0.25">
      <c r="A3" s="577"/>
      <c r="B3" s="578" t="s">
        <v>238</v>
      </c>
      <c r="C3" s="576"/>
      <c r="D3" s="576"/>
      <c r="E3" s="576"/>
      <c r="F3" s="576"/>
      <c r="G3" s="576"/>
      <c r="H3" s="576"/>
      <c r="I3" s="576"/>
      <c r="J3" s="576"/>
      <c r="K3" s="576"/>
      <c r="L3" s="576"/>
      <c r="M3" s="576"/>
      <c r="N3" s="576"/>
      <c r="O3" s="576"/>
      <c r="P3" s="576"/>
      <c r="Q3" s="576"/>
      <c r="R3" s="576"/>
      <c r="S3" s="576"/>
      <c r="T3" s="576"/>
      <c r="U3" s="576"/>
      <c r="V3" s="576"/>
      <c r="W3" s="576"/>
      <c r="X3" s="572"/>
    </row>
    <row r="4" spans="1:24" x14ac:dyDescent="0.25">
      <c r="A4" s="574"/>
      <c r="B4" s="575"/>
      <c r="C4" s="576"/>
      <c r="D4" s="576"/>
      <c r="E4" s="576"/>
      <c r="F4" s="576"/>
      <c r="G4" s="576"/>
      <c r="H4" s="576"/>
      <c r="I4" s="576"/>
      <c r="J4" s="576"/>
      <c r="K4" s="576"/>
      <c r="L4" s="576"/>
      <c r="M4" s="576"/>
      <c r="N4" s="576"/>
      <c r="O4" s="576"/>
      <c r="P4" s="576"/>
      <c r="Q4" s="576"/>
      <c r="R4" s="576"/>
      <c r="S4" s="576"/>
      <c r="T4" s="576"/>
      <c r="U4" s="576"/>
      <c r="V4" s="576"/>
      <c r="W4" s="576"/>
      <c r="X4" s="572"/>
    </row>
    <row r="5" spans="1:24" x14ac:dyDescent="0.25">
      <c r="A5" s="574"/>
      <c r="B5" s="579" t="s">
        <v>137</v>
      </c>
      <c r="C5" s="576"/>
      <c r="D5" s="576"/>
      <c r="E5" s="576"/>
      <c r="F5" s="576"/>
      <c r="G5" s="576"/>
      <c r="H5" s="576"/>
      <c r="I5" s="576"/>
      <c r="J5" s="576"/>
      <c r="K5" s="576"/>
      <c r="L5" s="576"/>
      <c r="M5" s="576"/>
      <c r="N5" s="576"/>
      <c r="O5" s="576"/>
      <c r="P5" s="576"/>
      <c r="Q5" s="576"/>
      <c r="R5" s="576"/>
      <c r="S5" s="576"/>
      <c r="T5" s="576"/>
      <c r="U5" s="576"/>
      <c r="V5" s="576"/>
      <c r="W5" s="576"/>
      <c r="X5" s="572"/>
    </row>
    <row r="6" spans="1:24" x14ac:dyDescent="0.25">
      <c r="A6" s="574"/>
      <c r="B6" s="579" t="s">
        <v>139</v>
      </c>
      <c r="C6" s="576"/>
      <c r="D6" s="576"/>
      <c r="E6" s="576"/>
      <c r="F6" s="576"/>
      <c r="G6" s="576"/>
      <c r="H6" s="576"/>
      <c r="I6" s="576"/>
      <c r="J6" s="576"/>
      <c r="K6" s="576"/>
      <c r="L6" s="576"/>
      <c r="M6" s="576"/>
      <c r="N6" s="576"/>
      <c r="O6" s="576"/>
      <c r="P6" s="576"/>
      <c r="Q6" s="576"/>
      <c r="R6" s="576"/>
      <c r="S6" s="576"/>
      <c r="T6" s="576"/>
      <c r="U6" s="576"/>
      <c r="V6" s="576"/>
      <c r="W6" s="576"/>
      <c r="X6" s="572"/>
    </row>
    <row r="7" spans="1:24" x14ac:dyDescent="0.25">
      <c r="A7" s="574"/>
      <c r="B7" s="579" t="s">
        <v>138</v>
      </c>
      <c r="C7" s="576"/>
      <c r="D7" s="576"/>
      <c r="E7" s="576"/>
      <c r="F7" s="576"/>
      <c r="G7" s="576"/>
      <c r="H7" s="576"/>
      <c r="I7" s="576"/>
      <c r="J7" s="576"/>
      <c r="K7" s="576"/>
      <c r="L7" s="576"/>
      <c r="M7" s="576"/>
      <c r="N7" s="576"/>
      <c r="O7" s="576"/>
      <c r="P7" s="576"/>
      <c r="Q7" s="576"/>
      <c r="R7" s="576"/>
      <c r="S7" s="576"/>
      <c r="T7" s="576"/>
      <c r="U7" s="576"/>
      <c r="V7" s="576"/>
      <c r="W7" s="576"/>
      <c r="X7" s="572"/>
    </row>
    <row r="8" spans="1:24" x14ac:dyDescent="0.25">
      <c r="A8" s="574"/>
      <c r="B8" s="580"/>
      <c r="C8" s="576"/>
      <c r="D8" s="576"/>
      <c r="E8" s="576"/>
      <c r="F8" s="576"/>
      <c r="G8" s="576"/>
      <c r="H8" s="576"/>
      <c r="I8" s="576"/>
      <c r="J8" s="576"/>
      <c r="K8" s="576"/>
      <c r="L8" s="576"/>
      <c r="M8" s="576"/>
      <c r="N8" s="576"/>
      <c r="O8" s="576"/>
      <c r="P8" s="576"/>
      <c r="Q8" s="576"/>
      <c r="R8" s="576"/>
      <c r="S8" s="576"/>
      <c r="T8" s="576"/>
      <c r="U8" s="576"/>
      <c r="V8" s="576"/>
      <c r="W8" s="576"/>
      <c r="X8" s="572"/>
    </row>
    <row r="9" spans="1:24" ht="18.75" x14ac:dyDescent="0.3">
      <c r="A9" s="574"/>
      <c r="B9" s="581" t="s">
        <v>166</v>
      </c>
      <c r="C9" s="576"/>
      <c r="D9" s="576"/>
      <c r="E9" s="576"/>
      <c r="F9" s="576"/>
      <c r="G9" s="576"/>
      <c r="H9" s="576"/>
      <c r="I9" s="513" t="s">
        <v>341</v>
      </c>
      <c r="J9" s="576"/>
      <c r="K9" s="576"/>
      <c r="L9" s="582"/>
      <c r="M9" s="576"/>
      <c r="N9" s="582"/>
      <c r="O9" s="576"/>
      <c r="P9" s="576"/>
      <c r="Q9" s="576"/>
      <c r="R9" s="576"/>
      <c r="S9" s="576"/>
      <c r="T9" s="576"/>
      <c r="U9" s="576"/>
      <c r="V9" s="576"/>
      <c r="W9" s="576"/>
      <c r="X9" s="572"/>
    </row>
    <row r="10" spans="1:24" x14ac:dyDescent="0.25">
      <c r="A10" s="574"/>
      <c r="B10" s="580"/>
      <c r="C10" s="583"/>
      <c r="D10" s="583"/>
      <c r="E10" s="583"/>
      <c r="F10" s="576"/>
      <c r="G10" s="576"/>
      <c r="H10" s="576"/>
      <c r="I10" s="576"/>
      <c r="J10" s="576"/>
      <c r="K10" s="576"/>
      <c r="L10" s="576"/>
      <c r="M10" s="576"/>
      <c r="N10" s="576"/>
      <c r="O10" s="576"/>
      <c r="P10" s="576"/>
      <c r="Q10" s="576"/>
      <c r="R10" s="576"/>
      <c r="S10" s="576"/>
      <c r="T10" s="576"/>
      <c r="U10" s="576"/>
      <c r="V10" s="576"/>
      <c r="W10" s="576"/>
      <c r="X10" s="572"/>
    </row>
    <row r="11" spans="1:24" x14ac:dyDescent="0.25">
      <c r="A11" s="574"/>
      <c r="B11" s="584" t="s">
        <v>0</v>
      </c>
      <c r="C11" s="576"/>
      <c r="D11" s="576"/>
      <c r="E11" s="576"/>
      <c r="F11" s="576"/>
      <c r="G11" s="576"/>
      <c r="H11" s="576"/>
      <c r="I11" s="576"/>
      <c r="J11" s="576"/>
      <c r="K11" s="576"/>
      <c r="L11" s="576"/>
      <c r="M11" s="576"/>
      <c r="N11" s="576"/>
      <c r="O11" s="576"/>
      <c r="P11" s="576"/>
      <c r="Q11" s="576"/>
      <c r="R11" s="576"/>
      <c r="S11" s="576"/>
      <c r="T11" s="576"/>
      <c r="U11" s="576"/>
      <c r="V11" s="576"/>
      <c r="W11" s="576"/>
      <c r="X11" s="572"/>
    </row>
    <row r="12" spans="1:24" ht="16.5" thickBot="1" x14ac:dyDescent="0.3">
      <c r="A12" s="574"/>
      <c r="B12" s="583"/>
      <c r="C12" s="576"/>
      <c r="D12" s="576"/>
      <c r="E12" s="576"/>
      <c r="F12" s="576"/>
      <c r="G12" s="576"/>
      <c r="H12" s="576"/>
      <c r="I12" s="576"/>
      <c r="J12" s="576"/>
      <c r="K12" s="576"/>
      <c r="L12" s="576"/>
      <c r="M12" s="576"/>
      <c r="N12" s="576"/>
      <c r="O12" s="576"/>
      <c r="P12" s="576"/>
      <c r="Q12" s="576"/>
      <c r="R12" s="576"/>
      <c r="S12" s="576"/>
      <c r="T12" s="576"/>
      <c r="U12" s="576"/>
      <c r="V12" s="576"/>
      <c r="W12" s="576"/>
      <c r="X12" s="572"/>
    </row>
    <row r="13" spans="1:24" x14ac:dyDescent="0.25">
      <c r="A13" s="569"/>
      <c r="B13" s="571"/>
      <c r="C13" s="571"/>
      <c r="D13" s="571"/>
      <c r="E13" s="571"/>
      <c r="F13" s="571"/>
      <c r="G13" s="571"/>
      <c r="H13" s="571"/>
      <c r="I13" s="571"/>
      <c r="J13" s="571"/>
      <c r="K13" s="571"/>
      <c r="L13" s="571"/>
      <c r="M13" s="571"/>
      <c r="N13" s="571"/>
      <c r="O13" s="571"/>
      <c r="P13" s="571"/>
      <c r="Q13" s="571"/>
      <c r="R13" s="571"/>
      <c r="S13" s="571"/>
      <c r="T13" s="571"/>
      <c r="U13" s="571"/>
      <c r="V13" s="571"/>
      <c r="W13" s="571"/>
      <c r="X13" s="572"/>
    </row>
    <row r="14" spans="1:24" s="589" customFormat="1" x14ac:dyDescent="0.25">
      <c r="A14" s="585"/>
      <c r="B14" s="584" t="s">
        <v>1</v>
      </c>
      <c r="C14" s="586"/>
      <c r="D14" s="586"/>
      <c r="E14" s="586"/>
      <c r="F14" s="586"/>
      <c r="G14" s="586"/>
      <c r="H14" s="586"/>
      <c r="I14" s="586"/>
      <c r="J14" s="586"/>
      <c r="K14" s="586"/>
      <c r="L14" s="586"/>
      <c r="M14" s="586"/>
      <c r="N14" s="586"/>
      <c r="O14" s="586"/>
      <c r="P14" s="586"/>
      <c r="Q14" s="586"/>
      <c r="R14" s="586"/>
      <c r="S14" s="586"/>
      <c r="T14" s="586"/>
      <c r="U14" s="586"/>
      <c r="V14" s="587" t="s">
        <v>239</v>
      </c>
      <c r="W14" s="586"/>
      <c r="X14" s="588"/>
    </row>
    <row r="15" spans="1:24" s="589" customFormat="1" x14ac:dyDescent="0.25">
      <c r="A15" s="585"/>
      <c r="B15" s="584" t="s">
        <v>2</v>
      </c>
      <c r="C15" s="586"/>
      <c r="D15" s="586"/>
      <c r="E15" s="586"/>
      <c r="F15" s="586"/>
      <c r="G15" s="586"/>
      <c r="H15" s="590"/>
      <c r="I15" s="590"/>
      <c r="J15" s="590"/>
      <c r="K15" s="590"/>
      <c r="L15" s="590"/>
      <c r="M15" s="590"/>
      <c r="N15" s="590"/>
      <c r="O15" s="590"/>
      <c r="P15" s="590"/>
      <c r="Q15" s="590"/>
      <c r="R15" s="590" t="s">
        <v>104</v>
      </c>
      <c r="S15" s="591">
        <v>0.47189999999999999</v>
      </c>
      <c r="T15" s="592" t="s">
        <v>140</v>
      </c>
      <c r="U15" s="591">
        <v>0.52810000000000001</v>
      </c>
      <c r="V15" s="587"/>
      <c r="W15" s="586"/>
      <c r="X15" s="588"/>
    </row>
    <row r="16" spans="1:24" s="589" customFormat="1" x14ac:dyDescent="0.25">
      <c r="A16" s="585"/>
      <c r="B16" s="584" t="s">
        <v>3</v>
      </c>
      <c r="C16" s="586"/>
      <c r="D16" s="586"/>
      <c r="E16" s="586"/>
      <c r="F16" s="586"/>
      <c r="G16" s="586"/>
      <c r="H16" s="590"/>
      <c r="I16" s="590"/>
      <c r="J16" s="590"/>
      <c r="K16" s="590"/>
      <c r="L16" s="590"/>
      <c r="M16" s="590"/>
      <c r="N16" s="590"/>
      <c r="O16" s="590"/>
      <c r="P16" s="590"/>
      <c r="Q16" s="590"/>
      <c r="R16" s="590" t="s">
        <v>104</v>
      </c>
      <c r="S16" s="591">
        <v>0.58896475425897288</v>
      </c>
      <c r="T16" s="592" t="s">
        <v>140</v>
      </c>
      <c r="U16" s="591">
        <v>0.41103524574102718</v>
      </c>
      <c r="V16" s="587"/>
      <c r="W16" s="586"/>
      <c r="X16" s="588"/>
    </row>
    <row r="17" spans="1:24" s="589" customFormat="1" x14ac:dyDescent="0.25">
      <c r="A17" s="585"/>
      <c r="B17" s="584" t="s">
        <v>4</v>
      </c>
      <c r="C17" s="586"/>
      <c r="D17" s="586"/>
      <c r="E17" s="586"/>
      <c r="F17" s="586"/>
      <c r="G17" s="586"/>
      <c r="H17" s="586"/>
      <c r="I17" s="586"/>
      <c r="J17" s="586"/>
      <c r="K17" s="586"/>
      <c r="L17" s="586"/>
      <c r="M17" s="586"/>
      <c r="N17" s="586"/>
      <c r="O17" s="586"/>
      <c r="P17" s="586"/>
      <c r="Q17" s="586"/>
      <c r="R17" s="586"/>
      <c r="S17" s="586"/>
      <c r="T17" s="586"/>
      <c r="U17" s="586"/>
      <c r="V17" s="593">
        <v>39282</v>
      </c>
      <c r="W17" s="586"/>
      <c r="X17" s="588"/>
    </row>
    <row r="18" spans="1:24" s="589" customFormat="1" x14ac:dyDescent="0.25">
      <c r="A18" s="585"/>
      <c r="B18" s="584" t="s">
        <v>5</v>
      </c>
      <c r="C18" s="586"/>
      <c r="D18" s="586"/>
      <c r="E18" s="586"/>
      <c r="F18" s="586"/>
      <c r="G18" s="586"/>
      <c r="H18" s="586"/>
      <c r="I18" s="586"/>
      <c r="J18" s="586"/>
      <c r="K18" s="586"/>
      <c r="L18" s="586"/>
      <c r="M18" s="586"/>
      <c r="N18" s="586"/>
      <c r="O18" s="586"/>
      <c r="P18" s="586"/>
      <c r="Q18" s="586"/>
      <c r="R18" s="586"/>
      <c r="S18" s="586"/>
      <c r="T18" s="586"/>
      <c r="U18" s="586"/>
      <c r="V18" s="593">
        <v>44001</v>
      </c>
      <c r="W18" s="586"/>
      <c r="X18" s="588"/>
    </row>
    <row r="19" spans="1:24" s="589" customFormat="1" x14ac:dyDescent="0.25">
      <c r="A19" s="585"/>
      <c r="B19" s="586"/>
      <c r="C19" s="586"/>
      <c r="D19" s="586"/>
      <c r="E19" s="586"/>
      <c r="F19" s="586"/>
      <c r="G19" s="586"/>
      <c r="H19" s="586"/>
      <c r="I19" s="586"/>
      <c r="J19" s="586"/>
      <c r="K19" s="586"/>
      <c r="L19" s="586"/>
      <c r="M19" s="586"/>
      <c r="N19" s="586"/>
      <c r="O19" s="586"/>
      <c r="P19" s="586"/>
      <c r="Q19" s="586"/>
      <c r="R19" s="586"/>
      <c r="S19" s="586"/>
      <c r="T19" s="586"/>
      <c r="U19" s="586"/>
      <c r="V19" s="594"/>
      <c r="W19" s="586"/>
      <c r="X19" s="588"/>
    </row>
    <row r="20" spans="1:24" s="589" customFormat="1" x14ac:dyDescent="0.25">
      <c r="A20" s="585"/>
      <c r="B20" s="595" t="s">
        <v>6</v>
      </c>
      <c r="C20" s="586"/>
      <c r="D20" s="586"/>
      <c r="E20" s="586"/>
      <c r="F20" s="586"/>
      <c r="G20" s="586"/>
      <c r="H20" s="586"/>
      <c r="I20" s="586"/>
      <c r="J20" s="586"/>
      <c r="K20" s="586"/>
      <c r="L20" s="586"/>
      <c r="M20" s="586"/>
      <c r="N20" s="586"/>
      <c r="O20" s="586"/>
      <c r="P20" s="586"/>
      <c r="Q20" s="586"/>
      <c r="R20" s="586"/>
      <c r="S20" s="586"/>
      <c r="T20" s="594" t="s">
        <v>105</v>
      </c>
      <c r="U20" s="586"/>
      <c r="V20" s="586"/>
      <c r="W20" s="586"/>
      <c r="X20" s="588"/>
    </row>
    <row r="21" spans="1:24" x14ac:dyDescent="0.25">
      <c r="A21" s="574"/>
      <c r="B21" s="576"/>
      <c r="C21" s="576"/>
      <c r="D21" s="576"/>
      <c r="E21" s="576"/>
      <c r="F21" s="576"/>
      <c r="G21" s="576"/>
      <c r="H21" s="576"/>
      <c r="I21" s="576"/>
      <c r="J21" s="576"/>
      <c r="K21" s="576"/>
      <c r="L21" s="576"/>
      <c r="M21" s="576"/>
      <c r="N21" s="576"/>
      <c r="O21" s="576"/>
      <c r="P21" s="576"/>
      <c r="Q21" s="576"/>
      <c r="R21" s="576"/>
      <c r="S21" s="576"/>
      <c r="T21" s="576"/>
      <c r="U21" s="576"/>
      <c r="V21" s="596"/>
      <c r="W21" s="576"/>
      <c r="X21" s="572"/>
    </row>
    <row r="22" spans="1:24" x14ac:dyDescent="0.25">
      <c r="A22" s="597"/>
      <c r="B22" s="598"/>
      <c r="C22" s="599"/>
      <c r="D22" s="599" t="s">
        <v>177</v>
      </c>
      <c r="E22" s="599"/>
      <c r="F22" s="599" t="s">
        <v>178</v>
      </c>
      <c r="G22" s="599"/>
      <c r="H22" s="599" t="s">
        <v>179</v>
      </c>
      <c r="I22" s="599"/>
      <c r="J22" s="599" t="s">
        <v>219</v>
      </c>
      <c r="K22" s="599"/>
      <c r="L22" s="599" t="s">
        <v>180</v>
      </c>
      <c r="M22" s="599"/>
      <c r="N22" s="599" t="s">
        <v>181</v>
      </c>
      <c r="O22" s="599"/>
      <c r="P22" s="599" t="s">
        <v>182</v>
      </c>
      <c r="Q22" s="599"/>
      <c r="R22" s="599"/>
      <c r="S22" s="600"/>
      <c r="T22" s="600"/>
      <c r="U22" s="598"/>
      <c r="V22" s="598"/>
      <c r="W22" s="601"/>
      <c r="X22" s="572"/>
    </row>
    <row r="23" spans="1:24" s="589" customFormat="1" x14ac:dyDescent="0.25">
      <c r="A23" s="585"/>
      <c r="B23" s="602" t="s">
        <v>7</v>
      </c>
      <c r="C23" s="603"/>
      <c r="D23" s="603" t="s">
        <v>212</v>
      </c>
      <c r="E23" s="603"/>
      <c r="F23" s="603" t="s">
        <v>141</v>
      </c>
      <c r="G23" s="603"/>
      <c r="H23" s="603" t="s">
        <v>141</v>
      </c>
      <c r="I23" s="603"/>
      <c r="J23" s="603" t="s">
        <v>141</v>
      </c>
      <c r="K23" s="603"/>
      <c r="L23" s="603" t="s">
        <v>183</v>
      </c>
      <c r="M23" s="603"/>
      <c r="N23" s="603" t="s">
        <v>183</v>
      </c>
      <c r="O23" s="603"/>
      <c r="P23" s="603" t="s">
        <v>142</v>
      </c>
      <c r="Q23" s="603"/>
      <c r="R23" s="603"/>
      <c r="S23" s="603"/>
      <c r="T23" s="603"/>
      <c r="U23" s="602"/>
      <c r="V23" s="602"/>
      <c r="W23" s="602"/>
      <c r="X23" s="588"/>
    </row>
    <row r="24" spans="1:24" s="589" customFormat="1" x14ac:dyDescent="0.25">
      <c r="A24" s="604"/>
      <c r="B24" s="605" t="s">
        <v>8</v>
      </c>
      <c r="C24" s="606"/>
      <c r="D24" s="606" t="s">
        <v>213</v>
      </c>
      <c r="E24" s="606"/>
      <c r="F24" s="606" t="s">
        <v>143</v>
      </c>
      <c r="G24" s="606"/>
      <c r="H24" s="606" t="s">
        <v>143</v>
      </c>
      <c r="I24" s="606"/>
      <c r="J24" s="606" t="s">
        <v>143</v>
      </c>
      <c r="K24" s="606"/>
      <c r="L24" s="606" t="s">
        <v>165</v>
      </c>
      <c r="M24" s="606"/>
      <c r="N24" s="606" t="s">
        <v>165</v>
      </c>
      <c r="O24" s="606"/>
      <c r="P24" s="606" t="s">
        <v>144</v>
      </c>
      <c r="Q24" s="606"/>
      <c r="R24" s="606"/>
      <c r="S24" s="606"/>
      <c r="T24" s="606"/>
      <c r="U24" s="605"/>
      <c r="V24" s="605"/>
      <c r="W24" s="607"/>
      <c r="X24" s="588"/>
    </row>
    <row r="25" spans="1:24" s="589" customFormat="1" x14ac:dyDescent="0.25">
      <c r="A25" s="608"/>
      <c r="B25" s="605" t="s">
        <v>190</v>
      </c>
      <c r="C25" s="609"/>
      <c r="D25" s="606" t="s">
        <v>214</v>
      </c>
      <c r="E25" s="606"/>
      <c r="F25" s="606" t="s">
        <v>143</v>
      </c>
      <c r="G25" s="606"/>
      <c r="H25" s="606" t="s">
        <v>143</v>
      </c>
      <c r="I25" s="606"/>
      <c r="J25" s="606" t="s">
        <v>143</v>
      </c>
      <c r="K25" s="606"/>
      <c r="L25" s="606" t="s">
        <v>165</v>
      </c>
      <c r="M25" s="606"/>
      <c r="N25" s="606" t="s">
        <v>165</v>
      </c>
      <c r="O25" s="606"/>
      <c r="P25" s="606" t="s">
        <v>144</v>
      </c>
      <c r="Q25" s="606"/>
      <c r="R25" s="606"/>
      <c r="S25" s="609"/>
      <c r="T25" s="606"/>
      <c r="U25" s="605"/>
      <c r="V25" s="605"/>
      <c r="W25" s="607"/>
      <c r="X25" s="588"/>
    </row>
    <row r="26" spans="1:24" s="589" customFormat="1" x14ac:dyDescent="0.25">
      <c r="A26" s="608"/>
      <c r="B26" s="610" t="s">
        <v>9</v>
      </c>
      <c r="C26" s="609"/>
      <c r="D26" s="609" t="s">
        <v>141</v>
      </c>
      <c r="E26" s="609"/>
      <c r="F26" s="609" t="s">
        <v>141</v>
      </c>
      <c r="G26" s="609"/>
      <c r="H26" s="609" t="s">
        <v>141</v>
      </c>
      <c r="I26" s="609"/>
      <c r="J26" s="609" t="s">
        <v>141</v>
      </c>
      <c r="K26" s="609"/>
      <c r="L26" s="609" t="s">
        <v>356</v>
      </c>
      <c r="M26" s="609"/>
      <c r="N26" s="609" t="s">
        <v>356</v>
      </c>
      <c r="O26" s="609"/>
      <c r="P26" s="609" t="s">
        <v>142</v>
      </c>
      <c r="Q26" s="609"/>
      <c r="R26" s="609"/>
      <c r="S26" s="609"/>
      <c r="T26" s="606"/>
      <c r="U26" s="605"/>
      <c r="V26" s="605"/>
      <c r="W26" s="607"/>
      <c r="X26" s="588"/>
    </row>
    <row r="27" spans="1:24" s="589" customFormat="1" x14ac:dyDescent="0.25">
      <c r="A27" s="604"/>
      <c r="B27" s="610" t="s">
        <v>191</v>
      </c>
      <c r="C27" s="606"/>
      <c r="D27" s="609" t="s">
        <v>143</v>
      </c>
      <c r="E27" s="609"/>
      <c r="F27" s="609" t="s">
        <v>143</v>
      </c>
      <c r="G27" s="609"/>
      <c r="H27" s="609" t="s">
        <v>143</v>
      </c>
      <c r="I27" s="609"/>
      <c r="J27" s="609" t="s">
        <v>143</v>
      </c>
      <c r="K27" s="609"/>
      <c r="L27" s="609" t="s">
        <v>329</v>
      </c>
      <c r="M27" s="609"/>
      <c r="N27" s="609" t="s">
        <v>329</v>
      </c>
      <c r="O27" s="609"/>
      <c r="P27" s="609" t="s">
        <v>307</v>
      </c>
      <c r="Q27" s="609"/>
      <c r="R27" s="609"/>
      <c r="S27" s="606"/>
      <c r="T27" s="611"/>
      <c r="U27" s="605"/>
      <c r="V27" s="605"/>
      <c r="W27" s="607"/>
      <c r="X27" s="588"/>
    </row>
    <row r="28" spans="1:24" s="589" customFormat="1" x14ac:dyDescent="0.25">
      <c r="A28" s="604"/>
      <c r="B28" s="610" t="s">
        <v>192</v>
      </c>
      <c r="C28" s="606"/>
      <c r="D28" s="609" t="s">
        <v>143</v>
      </c>
      <c r="E28" s="609"/>
      <c r="F28" s="609" t="s">
        <v>143</v>
      </c>
      <c r="G28" s="609"/>
      <c r="H28" s="609" t="s">
        <v>143</v>
      </c>
      <c r="I28" s="609"/>
      <c r="J28" s="609" t="s">
        <v>143</v>
      </c>
      <c r="K28" s="609"/>
      <c r="L28" s="609" t="s">
        <v>143</v>
      </c>
      <c r="M28" s="609"/>
      <c r="N28" s="609" t="s">
        <v>143</v>
      </c>
      <c r="O28" s="609"/>
      <c r="P28" s="609" t="s">
        <v>330</v>
      </c>
      <c r="Q28" s="609"/>
      <c r="R28" s="609"/>
      <c r="S28" s="606"/>
      <c r="T28" s="611"/>
      <c r="U28" s="605"/>
      <c r="V28" s="605"/>
      <c r="W28" s="607"/>
      <c r="X28" s="588"/>
    </row>
    <row r="29" spans="1:24" s="589" customFormat="1" x14ac:dyDescent="0.25">
      <c r="A29" s="604"/>
      <c r="B29" s="605" t="s">
        <v>10</v>
      </c>
      <c r="C29" s="612"/>
      <c r="D29" s="606" t="s">
        <v>242</v>
      </c>
      <c r="E29" s="606"/>
      <c r="F29" s="611" t="s">
        <v>244</v>
      </c>
      <c r="G29" s="606"/>
      <c r="H29" s="606" t="s">
        <v>245</v>
      </c>
      <c r="I29" s="606"/>
      <c r="J29" s="606" t="s">
        <v>247</v>
      </c>
      <c r="K29" s="606"/>
      <c r="L29" s="606" t="s">
        <v>248</v>
      </c>
      <c r="M29" s="606"/>
      <c r="N29" s="606" t="s">
        <v>249</v>
      </c>
      <c r="O29" s="606"/>
      <c r="P29" s="606" t="s">
        <v>250</v>
      </c>
      <c r="Q29" s="606"/>
      <c r="R29" s="606"/>
      <c r="S29" s="613"/>
      <c r="T29" s="613"/>
      <c r="U29" s="612"/>
      <c r="V29" s="613"/>
      <c r="W29" s="614"/>
      <c r="X29" s="588"/>
    </row>
    <row r="30" spans="1:24" s="589" customFormat="1" x14ac:dyDescent="0.25">
      <c r="A30" s="604"/>
      <c r="B30" s="605" t="s">
        <v>10</v>
      </c>
      <c r="C30" s="612"/>
      <c r="D30" s="606" t="s">
        <v>243</v>
      </c>
      <c r="E30" s="606"/>
      <c r="F30" s="611" t="s">
        <v>118</v>
      </c>
      <c r="G30" s="606"/>
      <c r="H30" s="606" t="s">
        <v>118</v>
      </c>
      <c r="I30" s="606"/>
      <c r="J30" s="606" t="s">
        <v>246</v>
      </c>
      <c r="K30" s="606"/>
      <c r="L30" s="606" t="s">
        <v>118</v>
      </c>
      <c r="M30" s="606"/>
      <c r="N30" s="606" t="s">
        <v>118</v>
      </c>
      <c r="O30" s="606"/>
      <c r="P30" s="606" t="s">
        <v>118</v>
      </c>
      <c r="Q30" s="606"/>
      <c r="R30" s="606"/>
      <c r="S30" s="613"/>
      <c r="T30" s="613"/>
      <c r="U30" s="612"/>
      <c r="V30" s="613"/>
      <c r="W30" s="614"/>
      <c r="X30" s="588"/>
    </row>
    <row r="31" spans="1:24" s="589" customFormat="1" x14ac:dyDescent="0.25">
      <c r="A31" s="608"/>
      <c r="B31" s="605" t="s">
        <v>133</v>
      </c>
      <c r="C31" s="615"/>
      <c r="D31" s="616">
        <v>1000000</v>
      </c>
      <c r="E31" s="612"/>
      <c r="F31" s="613">
        <v>209500</v>
      </c>
      <c r="G31" s="613"/>
      <c r="H31" s="617">
        <v>110000</v>
      </c>
      <c r="I31" s="617"/>
      <c r="J31" s="616">
        <v>150000</v>
      </c>
      <c r="K31" s="613"/>
      <c r="L31" s="613">
        <v>17000</v>
      </c>
      <c r="M31" s="613"/>
      <c r="N31" s="617">
        <v>85500</v>
      </c>
      <c r="O31" s="613"/>
      <c r="P31" s="617">
        <v>110500</v>
      </c>
      <c r="Q31" s="613"/>
      <c r="R31" s="617"/>
      <c r="S31" s="618"/>
      <c r="T31" s="618"/>
      <c r="U31" s="615"/>
      <c r="V31" s="618"/>
      <c r="W31" s="614"/>
      <c r="X31" s="588"/>
    </row>
    <row r="32" spans="1:24" s="589" customFormat="1" x14ac:dyDescent="0.25">
      <c r="A32" s="604"/>
      <c r="B32" s="605" t="s">
        <v>132</v>
      </c>
      <c r="C32" s="612"/>
      <c r="D32" s="616">
        <f>D31*D38</f>
        <v>455258.9</v>
      </c>
      <c r="E32" s="612"/>
      <c r="F32" s="613">
        <f>F31*F38</f>
        <v>95377.305200000003</v>
      </c>
      <c r="G32" s="613"/>
      <c r="H32" s="617">
        <f>H31*H38</f>
        <v>50079.964</v>
      </c>
      <c r="I32" s="617"/>
      <c r="J32" s="616">
        <f>J31*J38</f>
        <v>68288.835000000006</v>
      </c>
      <c r="K32" s="613"/>
      <c r="L32" s="613">
        <f>L31*L38</f>
        <v>17000</v>
      </c>
      <c r="M32" s="613"/>
      <c r="N32" s="617">
        <f>N31*N38</f>
        <v>85500</v>
      </c>
      <c r="O32" s="613"/>
      <c r="P32" s="617">
        <f>P31*P38</f>
        <v>110500</v>
      </c>
      <c r="Q32" s="613"/>
      <c r="R32" s="617"/>
      <c r="S32" s="613"/>
      <c r="T32" s="613"/>
      <c r="U32" s="612"/>
      <c r="V32" s="613"/>
      <c r="W32" s="614"/>
      <c r="X32" s="588"/>
    </row>
    <row r="33" spans="1:27" s="589" customFormat="1" x14ac:dyDescent="0.25">
      <c r="A33" s="604"/>
      <c r="B33" s="610" t="s">
        <v>134</v>
      </c>
      <c r="C33" s="612"/>
      <c r="D33" s="619">
        <f>D37*D31</f>
        <v>444305.10000000003</v>
      </c>
      <c r="E33" s="615"/>
      <c r="F33" s="618">
        <f>F37*F31</f>
        <v>93082.484100000001</v>
      </c>
      <c r="G33" s="618"/>
      <c r="H33" s="620">
        <f>H31*H37</f>
        <v>48875.067999999999</v>
      </c>
      <c r="I33" s="620"/>
      <c r="J33" s="619">
        <f>J37*J31</f>
        <v>66645.764999999999</v>
      </c>
      <c r="K33" s="618"/>
      <c r="L33" s="618">
        <f>L31*L37</f>
        <v>17000</v>
      </c>
      <c r="M33" s="618"/>
      <c r="N33" s="620">
        <f>N31*N37</f>
        <v>85500</v>
      </c>
      <c r="O33" s="618"/>
      <c r="P33" s="620">
        <f>P31*P37</f>
        <v>110500</v>
      </c>
      <c r="Q33" s="618"/>
      <c r="R33" s="620"/>
      <c r="S33" s="613"/>
      <c r="T33" s="613"/>
      <c r="U33" s="612"/>
      <c r="V33" s="613"/>
      <c r="W33" s="614"/>
      <c r="X33" s="588"/>
    </row>
    <row r="34" spans="1:27" s="589" customFormat="1" x14ac:dyDescent="0.25">
      <c r="A34" s="608"/>
      <c r="B34" s="605" t="s">
        <v>286</v>
      </c>
      <c r="C34" s="615"/>
      <c r="D34" s="613">
        <v>492951</v>
      </c>
      <c r="E34" s="612"/>
      <c r="F34" s="613">
        <v>209500</v>
      </c>
      <c r="G34" s="613"/>
      <c r="H34" s="613">
        <v>74677</v>
      </c>
      <c r="I34" s="613"/>
      <c r="J34" s="613">
        <v>73943</v>
      </c>
      <c r="K34" s="613"/>
      <c r="L34" s="613">
        <v>17000</v>
      </c>
      <c r="M34" s="613"/>
      <c r="N34" s="613">
        <v>58045</v>
      </c>
      <c r="O34" s="613"/>
      <c r="P34" s="613">
        <v>75017</v>
      </c>
      <c r="Q34" s="613"/>
      <c r="R34" s="613"/>
      <c r="S34" s="618"/>
      <c r="T34" s="618"/>
      <c r="U34" s="615"/>
      <c r="V34" s="613">
        <f>SUM(C34:R34)</f>
        <v>1001133</v>
      </c>
      <c r="W34" s="614"/>
      <c r="X34" s="588"/>
    </row>
    <row r="35" spans="1:27" s="589" customFormat="1" x14ac:dyDescent="0.25">
      <c r="A35" s="608"/>
      <c r="B35" s="605" t="s">
        <v>287</v>
      </c>
      <c r="C35" s="615"/>
      <c r="D35" s="613">
        <f>D34*D38</f>
        <v>224420.33001390001</v>
      </c>
      <c r="E35" s="612"/>
      <c r="F35" s="613">
        <f>F34*F38</f>
        <v>95377.305200000003</v>
      </c>
      <c r="G35" s="613"/>
      <c r="H35" s="613">
        <f>H34*H38</f>
        <v>33998.377014800004</v>
      </c>
      <c r="I35" s="613"/>
      <c r="J35" s="613">
        <f>J34*J38</f>
        <v>33663.208842699998</v>
      </c>
      <c r="K35" s="613"/>
      <c r="L35" s="613">
        <f>L34*L38</f>
        <v>17000</v>
      </c>
      <c r="M35" s="613"/>
      <c r="N35" s="613">
        <f>N34*N38</f>
        <v>58045</v>
      </c>
      <c r="O35" s="613"/>
      <c r="P35" s="613">
        <f>P34*P38</f>
        <v>75017</v>
      </c>
      <c r="Q35" s="613"/>
      <c r="R35" s="613"/>
      <c r="S35" s="613"/>
      <c r="T35" s="613"/>
      <c r="U35" s="612"/>
      <c r="V35" s="613">
        <f>SUM(C35:R35)</f>
        <v>537521.22107139998</v>
      </c>
      <c r="W35" s="614"/>
      <c r="X35" s="588"/>
    </row>
    <row r="36" spans="1:27" s="589" customFormat="1" x14ac:dyDescent="0.25">
      <c r="A36" s="608"/>
      <c r="B36" s="610" t="s">
        <v>288</v>
      </c>
      <c r="C36" s="615"/>
      <c r="D36" s="618">
        <f>D34*D37</f>
        <v>219020.6433501</v>
      </c>
      <c r="E36" s="615"/>
      <c r="F36" s="618">
        <f>F34*F37</f>
        <v>93082.484100000001</v>
      </c>
      <c r="G36" s="618"/>
      <c r="H36" s="618">
        <f>H34*H37</f>
        <v>33180.395027600003</v>
      </c>
      <c r="I36" s="618"/>
      <c r="J36" s="618">
        <f>J34*J37</f>
        <v>32853.252009299998</v>
      </c>
      <c r="K36" s="618"/>
      <c r="L36" s="618">
        <f>L34*L37</f>
        <v>17000</v>
      </c>
      <c r="M36" s="618"/>
      <c r="N36" s="618">
        <f>N34*N37</f>
        <v>58045</v>
      </c>
      <c r="O36" s="618"/>
      <c r="P36" s="618">
        <f>P34*P37</f>
        <v>75017</v>
      </c>
      <c r="Q36" s="618"/>
      <c r="R36" s="618"/>
      <c r="S36" s="621"/>
      <c r="T36" s="621"/>
      <c r="U36" s="612"/>
      <c r="V36" s="618">
        <f>SUM(C36:R36)-1</f>
        <v>528197.77448699996</v>
      </c>
      <c r="W36" s="614"/>
      <c r="X36" s="588"/>
    </row>
    <row r="37" spans="1:27" s="629" customFormat="1" x14ac:dyDescent="0.25">
      <c r="A37" s="622"/>
      <c r="B37" s="623" t="s">
        <v>130</v>
      </c>
      <c r="C37" s="624"/>
      <c r="D37" s="625">
        <v>0.44430510000000001</v>
      </c>
      <c r="E37" s="625"/>
      <c r="F37" s="625">
        <v>0.44430779999999997</v>
      </c>
      <c r="G37" s="625"/>
      <c r="H37" s="625">
        <v>0.44431880000000001</v>
      </c>
      <c r="I37" s="625"/>
      <c r="J37" s="625">
        <v>0.44430510000000001</v>
      </c>
      <c r="K37" s="625"/>
      <c r="L37" s="625">
        <v>1</v>
      </c>
      <c r="M37" s="625"/>
      <c r="N37" s="625">
        <v>1</v>
      </c>
      <c r="O37" s="625"/>
      <c r="P37" s="625">
        <v>1</v>
      </c>
      <c r="Q37" s="625"/>
      <c r="R37" s="625"/>
      <c r="S37" s="626"/>
      <c r="T37" s="626"/>
      <c r="U37" s="624"/>
      <c r="V37" s="624"/>
      <c r="W37" s="627"/>
      <c r="X37" s="628"/>
    </row>
    <row r="38" spans="1:27" s="629" customFormat="1" x14ac:dyDescent="0.25">
      <c r="A38" s="622"/>
      <c r="B38" s="623" t="s">
        <v>131</v>
      </c>
      <c r="C38" s="624"/>
      <c r="D38" s="625">
        <v>0.45525890000000002</v>
      </c>
      <c r="E38" s="625"/>
      <c r="F38" s="625">
        <v>0.45526159999999999</v>
      </c>
      <c r="G38" s="625"/>
      <c r="H38" s="625">
        <v>0.45527240000000002</v>
      </c>
      <c r="I38" s="625"/>
      <c r="J38" s="625">
        <v>0.45525890000000002</v>
      </c>
      <c r="K38" s="625"/>
      <c r="L38" s="625">
        <v>1</v>
      </c>
      <c r="M38" s="625"/>
      <c r="N38" s="625">
        <v>1</v>
      </c>
      <c r="O38" s="625"/>
      <c r="P38" s="625">
        <v>1</v>
      </c>
      <c r="Q38" s="625"/>
      <c r="R38" s="625"/>
      <c r="S38" s="630"/>
      <c r="T38" s="631"/>
      <c r="U38" s="624"/>
      <c r="V38" s="630"/>
      <c r="W38" s="627"/>
      <c r="X38" s="628"/>
    </row>
    <row r="39" spans="1:27" s="629" customFormat="1" x14ac:dyDescent="0.25">
      <c r="A39" s="622"/>
      <c r="B39" s="624" t="s">
        <v>11</v>
      </c>
      <c r="C39" s="624"/>
      <c r="D39" s="626" t="s">
        <v>304</v>
      </c>
      <c r="E39" s="624"/>
      <c r="F39" s="626" t="s">
        <v>256</v>
      </c>
      <c r="G39" s="626"/>
      <c r="H39" s="626" t="s">
        <v>257</v>
      </c>
      <c r="I39" s="626"/>
      <c r="J39" s="626" t="s">
        <v>258</v>
      </c>
      <c r="K39" s="626"/>
      <c r="L39" s="626" t="s">
        <v>259</v>
      </c>
      <c r="M39" s="626"/>
      <c r="N39" s="626" t="s">
        <v>259</v>
      </c>
      <c r="O39" s="626"/>
      <c r="P39" s="626" t="s">
        <v>260</v>
      </c>
      <c r="Q39" s="626"/>
      <c r="R39" s="626"/>
      <c r="S39" s="630"/>
      <c r="T39" s="631"/>
      <c r="U39" s="624"/>
      <c r="V39" s="624"/>
      <c r="W39" s="627"/>
      <c r="X39" s="628"/>
    </row>
    <row r="40" spans="1:27" s="589" customFormat="1" x14ac:dyDescent="0.25">
      <c r="A40" s="604"/>
      <c r="B40" s="605" t="s">
        <v>12</v>
      </c>
      <c r="C40" s="605"/>
      <c r="D40" s="632">
        <v>3.6362999999999999E-3</v>
      </c>
      <c r="E40" s="605"/>
      <c r="F40" s="632">
        <v>7.4675000000000002E-3</v>
      </c>
      <c r="G40" s="633"/>
      <c r="H40" s="632">
        <v>0</v>
      </c>
      <c r="I40" s="632"/>
      <c r="J40" s="632">
        <v>9.6050000000000007E-3</v>
      </c>
      <c r="K40" s="633"/>
      <c r="L40" s="632">
        <v>1.0267500000000001E-2</v>
      </c>
      <c r="M40" s="633"/>
      <c r="N40" s="632">
        <v>5.1000000000000004E-4</v>
      </c>
      <c r="O40" s="633"/>
      <c r="P40" s="632">
        <v>6.11E-3</v>
      </c>
      <c r="Q40" s="633"/>
      <c r="R40" s="632"/>
      <c r="S40" s="633"/>
      <c r="T40" s="632"/>
      <c r="U40" s="605"/>
      <c r="V40" s="611"/>
      <c r="W40" s="607"/>
      <c r="X40" s="588"/>
      <c r="AA40" s="589" t="s">
        <v>193</v>
      </c>
    </row>
    <row r="41" spans="1:27" s="589" customFormat="1" x14ac:dyDescent="0.25">
      <c r="A41" s="604"/>
      <c r="B41" s="605" t="s">
        <v>13</v>
      </c>
      <c r="C41" s="605"/>
      <c r="D41" s="632">
        <v>1.83825E-2</v>
      </c>
      <c r="E41" s="605"/>
      <c r="F41" s="632">
        <v>1.0574999999999999E-2</v>
      </c>
      <c r="G41" s="633"/>
      <c r="H41" s="632">
        <v>0</v>
      </c>
      <c r="I41" s="632"/>
      <c r="J41" s="632">
        <v>2.11363E-2</v>
      </c>
      <c r="K41" s="633"/>
      <c r="L41" s="632">
        <v>1.3375E-2</v>
      </c>
      <c r="M41" s="633"/>
      <c r="N41" s="632">
        <v>1.4499999999999999E-3</v>
      </c>
      <c r="O41" s="633"/>
      <c r="P41" s="632">
        <v>7.0499999999999998E-3</v>
      </c>
      <c r="Q41" s="633"/>
      <c r="R41" s="632"/>
      <c r="S41" s="633"/>
      <c r="T41" s="632"/>
      <c r="U41" s="605"/>
      <c r="V41" s="633" t="s">
        <v>193</v>
      </c>
      <c r="W41" s="607"/>
      <c r="X41" s="588"/>
    </row>
    <row r="42" spans="1:27" s="589" customFormat="1" x14ac:dyDescent="0.25">
      <c r="A42" s="604"/>
      <c r="B42" s="605" t="s">
        <v>289</v>
      </c>
      <c r="C42" s="605"/>
      <c r="D42" s="611" t="s">
        <v>311</v>
      </c>
      <c r="E42" s="605"/>
      <c r="F42" s="611" t="s">
        <v>256</v>
      </c>
      <c r="G42" s="611"/>
      <c r="H42" s="611" t="s">
        <v>261</v>
      </c>
      <c r="I42" s="611"/>
      <c r="J42" s="611" t="s">
        <v>261</v>
      </c>
      <c r="K42" s="611"/>
      <c r="L42" s="611" t="s">
        <v>259</v>
      </c>
      <c r="M42" s="611"/>
      <c r="N42" s="611" t="s">
        <v>263</v>
      </c>
      <c r="O42" s="611"/>
      <c r="P42" s="611" t="s">
        <v>264</v>
      </c>
      <c r="Q42" s="611"/>
      <c r="R42" s="611"/>
      <c r="S42" s="633"/>
      <c r="T42" s="632"/>
      <c r="U42" s="605"/>
      <c r="V42" s="605"/>
      <c r="W42" s="607"/>
      <c r="X42" s="588"/>
    </row>
    <row r="43" spans="1:27" s="589" customFormat="1" x14ac:dyDescent="0.25">
      <c r="A43" s="604"/>
      <c r="B43" s="605" t="s">
        <v>290</v>
      </c>
      <c r="C43" s="634"/>
      <c r="D43" s="632">
        <v>6.8643999999999997E-3</v>
      </c>
      <c r="E43" s="632"/>
      <c r="F43" s="632">
        <f>+F40</f>
        <v>7.4675000000000002E-3</v>
      </c>
      <c r="G43" s="632"/>
      <c r="H43" s="632">
        <v>7.6175000000000001E-3</v>
      </c>
      <c r="I43" s="632"/>
      <c r="J43" s="632">
        <v>7.6474999999999998E-3</v>
      </c>
      <c r="K43" s="632"/>
      <c r="L43" s="632">
        <f>+L40</f>
        <v>1.0267500000000001E-2</v>
      </c>
      <c r="M43" s="632"/>
      <c r="N43" s="632">
        <v>1.1001500000000001E-2</v>
      </c>
      <c r="O43" s="632"/>
      <c r="P43" s="632">
        <v>1.71615E-2</v>
      </c>
      <c r="Q43" s="633"/>
      <c r="R43" s="632"/>
      <c r="S43" s="611"/>
      <c r="T43" s="611"/>
      <c r="U43" s="605"/>
      <c r="V43" s="633">
        <f>SUMPRODUCT(D43:R43,D35:R35)/V35</f>
        <v>9.0595433046472239E-3</v>
      </c>
      <c r="W43" s="607"/>
      <c r="X43" s="588"/>
    </row>
    <row r="44" spans="1:27" s="589" customFormat="1" x14ac:dyDescent="0.25">
      <c r="A44" s="604"/>
      <c r="B44" s="605" t="s">
        <v>291</v>
      </c>
      <c r="C44" s="634"/>
      <c r="D44" s="632">
        <v>9.9719000000000006E-3</v>
      </c>
      <c r="E44" s="632"/>
      <c r="F44" s="632">
        <f>+F41</f>
        <v>1.0574999999999999E-2</v>
      </c>
      <c r="G44" s="632"/>
      <c r="H44" s="632">
        <v>1.0725E-2</v>
      </c>
      <c r="I44" s="632"/>
      <c r="J44" s="632">
        <v>1.0755000000000001E-2</v>
      </c>
      <c r="K44" s="632"/>
      <c r="L44" s="632">
        <f>+L41</f>
        <v>1.3375E-2</v>
      </c>
      <c r="M44" s="632"/>
      <c r="N44" s="632">
        <v>1.4109E-2</v>
      </c>
      <c r="O44" s="632"/>
      <c r="P44" s="632">
        <v>2.0268999999999999E-2</v>
      </c>
      <c r="Q44" s="633"/>
      <c r="R44" s="632"/>
      <c r="S44" s="611"/>
      <c r="T44" s="611"/>
      <c r="U44" s="605"/>
      <c r="V44" s="605"/>
      <c r="W44" s="607"/>
      <c r="X44" s="588"/>
    </row>
    <row r="45" spans="1:27" s="589" customFormat="1" x14ac:dyDescent="0.25">
      <c r="A45" s="604"/>
      <c r="B45" s="605" t="s">
        <v>14</v>
      </c>
      <c r="C45" s="605"/>
      <c r="D45" s="634">
        <v>40709</v>
      </c>
      <c r="E45" s="634"/>
      <c r="F45" s="634">
        <v>40709</v>
      </c>
      <c r="G45" s="634"/>
      <c r="H45" s="634">
        <v>40709</v>
      </c>
      <c r="I45" s="634"/>
      <c r="J45" s="634">
        <v>40709</v>
      </c>
      <c r="K45" s="634"/>
      <c r="L45" s="634">
        <v>40709</v>
      </c>
      <c r="M45" s="634"/>
      <c r="N45" s="634">
        <v>40709</v>
      </c>
      <c r="O45" s="634"/>
      <c r="P45" s="634">
        <v>40709</v>
      </c>
      <c r="Q45" s="634"/>
      <c r="R45" s="634"/>
      <c r="S45" s="611"/>
      <c r="T45" s="611"/>
      <c r="U45" s="605"/>
      <c r="V45" s="605"/>
      <c r="W45" s="607"/>
      <c r="X45" s="588"/>
    </row>
    <row r="46" spans="1:27" s="589" customFormat="1" x14ac:dyDescent="0.25">
      <c r="A46" s="604"/>
      <c r="B46" s="605" t="s">
        <v>15</v>
      </c>
      <c r="C46" s="605"/>
      <c r="D46" s="634">
        <v>41075</v>
      </c>
      <c r="E46" s="634"/>
      <c r="F46" s="634">
        <v>41075</v>
      </c>
      <c r="G46" s="634"/>
      <c r="H46" s="634">
        <v>41075</v>
      </c>
      <c r="I46" s="634"/>
      <c r="J46" s="634">
        <v>41075</v>
      </c>
      <c r="K46" s="611"/>
      <c r="L46" s="634">
        <v>41075</v>
      </c>
      <c r="M46" s="611"/>
      <c r="N46" s="634">
        <v>41075</v>
      </c>
      <c r="O46" s="611"/>
      <c r="P46" s="634">
        <v>41075</v>
      </c>
      <c r="Q46" s="611"/>
      <c r="R46" s="634"/>
      <c r="S46" s="611"/>
      <c r="T46" s="611"/>
      <c r="U46" s="605"/>
      <c r="V46" s="605"/>
      <c r="W46" s="607"/>
      <c r="X46" s="588"/>
    </row>
    <row r="47" spans="1:27" s="589" customFormat="1" x14ac:dyDescent="0.25">
      <c r="A47" s="604"/>
      <c r="B47" s="605" t="s">
        <v>119</v>
      </c>
      <c r="C47" s="605"/>
      <c r="D47" s="611" t="s">
        <v>304</v>
      </c>
      <c r="E47" s="605"/>
      <c r="F47" s="611" t="s">
        <v>256</v>
      </c>
      <c r="G47" s="611"/>
      <c r="H47" s="611" t="s">
        <v>257</v>
      </c>
      <c r="I47" s="611"/>
      <c r="J47" s="611" t="s">
        <v>258</v>
      </c>
      <c r="K47" s="611"/>
      <c r="L47" s="611" t="s">
        <v>259</v>
      </c>
      <c r="M47" s="611"/>
      <c r="N47" s="611" t="s">
        <v>259</v>
      </c>
      <c r="O47" s="611"/>
      <c r="P47" s="611" t="s">
        <v>260</v>
      </c>
      <c r="Q47" s="611"/>
      <c r="R47" s="611"/>
      <c r="S47" s="635"/>
      <c r="T47" s="635"/>
      <c r="U47" s="635"/>
      <c r="V47" s="635"/>
      <c r="W47" s="607"/>
      <c r="X47" s="588"/>
    </row>
    <row r="48" spans="1:27" s="589" customFormat="1" x14ac:dyDescent="0.25">
      <c r="A48" s="604"/>
      <c r="B48" s="605" t="s">
        <v>292</v>
      </c>
      <c r="C48" s="605"/>
      <c r="D48" s="611" t="s">
        <v>311</v>
      </c>
      <c r="E48" s="605"/>
      <c r="F48" s="611" t="s">
        <v>256</v>
      </c>
      <c r="G48" s="611"/>
      <c r="H48" s="611" t="s">
        <v>261</v>
      </c>
      <c r="I48" s="611"/>
      <c r="J48" s="611" t="s">
        <v>261</v>
      </c>
      <c r="K48" s="611"/>
      <c r="L48" s="611" t="s">
        <v>259</v>
      </c>
      <c r="M48" s="611"/>
      <c r="N48" s="611" t="s">
        <v>263</v>
      </c>
      <c r="O48" s="611"/>
      <c r="P48" s="611" t="s">
        <v>264</v>
      </c>
      <c r="Q48" s="611"/>
      <c r="R48" s="611"/>
      <c r="S48" s="605"/>
      <c r="T48" s="605"/>
      <c r="U48" s="605"/>
      <c r="V48" s="633"/>
      <c r="W48" s="607"/>
      <c r="X48" s="588"/>
    </row>
    <row r="49" spans="1:25" s="589" customFormat="1" x14ac:dyDescent="0.25">
      <c r="A49" s="604"/>
      <c r="B49" s="605"/>
      <c r="C49" s="605"/>
      <c r="D49" s="611"/>
      <c r="E49" s="605"/>
      <c r="F49" s="611"/>
      <c r="G49" s="611"/>
      <c r="H49" s="611"/>
      <c r="I49" s="611"/>
      <c r="J49" s="611"/>
      <c r="K49" s="611"/>
      <c r="L49" s="611"/>
      <c r="M49" s="611"/>
      <c r="N49" s="611"/>
      <c r="O49" s="611"/>
      <c r="P49" s="611"/>
      <c r="Q49" s="611"/>
      <c r="R49" s="611"/>
      <c r="S49" s="605"/>
      <c r="T49" s="605"/>
      <c r="U49" s="605"/>
      <c r="V49" s="633" t="s">
        <v>193</v>
      </c>
      <c r="W49" s="607"/>
      <c r="X49" s="588"/>
    </row>
    <row r="50" spans="1:25" s="589" customFormat="1" x14ac:dyDescent="0.25">
      <c r="A50" s="604"/>
      <c r="B50" s="605" t="s">
        <v>169</v>
      </c>
      <c r="C50" s="605"/>
      <c r="D50" s="611"/>
      <c r="E50" s="605"/>
      <c r="F50" s="611"/>
      <c r="G50" s="611"/>
      <c r="H50" s="611"/>
      <c r="I50" s="611"/>
      <c r="J50" s="611"/>
      <c r="K50" s="611"/>
      <c r="L50" s="611"/>
      <c r="M50" s="611"/>
      <c r="N50" s="611"/>
      <c r="O50" s="611"/>
      <c r="P50" s="611"/>
      <c r="Q50" s="611"/>
      <c r="R50" s="611"/>
      <c r="S50" s="605"/>
      <c r="T50" s="605"/>
      <c r="U50" s="605"/>
      <c r="V50" s="633">
        <f>SUM(L34:R34)/SUM(D34:J34)</f>
        <v>0.17632136449250416</v>
      </c>
      <c r="W50" s="607"/>
      <c r="X50" s="588"/>
    </row>
    <row r="51" spans="1:25" s="589" customFormat="1" x14ac:dyDescent="0.25">
      <c r="A51" s="604"/>
      <c r="B51" s="605" t="s">
        <v>170</v>
      </c>
      <c r="C51" s="605"/>
      <c r="D51" s="605"/>
      <c r="E51" s="605"/>
      <c r="F51" s="636"/>
      <c r="G51" s="605"/>
      <c r="H51" s="605"/>
      <c r="I51" s="605"/>
      <c r="J51" s="605"/>
      <c r="K51" s="605"/>
      <c r="L51" s="605"/>
      <c r="M51" s="605"/>
      <c r="N51" s="605"/>
      <c r="O51" s="605"/>
      <c r="P51" s="605"/>
      <c r="Q51" s="605"/>
      <c r="R51" s="605"/>
      <c r="S51" s="605"/>
      <c r="T51" s="605"/>
      <c r="U51" s="605"/>
      <c r="V51" s="633">
        <f>SUM(L36:R36)/SUM(D36:J36)</f>
        <v>0.39684582438082594</v>
      </c>
      <c r="W51" s="607"/>
      <c r="X51" s="588"/>
    </row>
    <row r="52" spans="1:25" s="589" customFormat="1" x14ac:dyDescent="0.25">
      <c r="A52" s="604"/>
      <c r="B52" s="605" t="s">
        <v>171</v>
      </c>
      <c r="C52" s="605"/>
      <c r="D52" s="605"/>
      <c r="E52" s="605"/>
      <c r="F52" s="605"/>
      <c r="G52" s="605"/>
      <c r="H52" s="605"/>
      <c r="I52" s="605"/>
      <c r="J52" s="605"/>
      <c r="K52" s="605"/>
      <c r="L52" s="605"/>
      <c r="M52" s="605"/>
      <c r="N52" s="605"/>
      <c r="O52" s="605"/>
      <c r="P52" s="605"/>
      <c r="Q52" s="605"/>
      <c r="R52" s="605"/>
      <c r="S52" s="605"/>
      <c r="T52" s="611"/>
      <c r="U52" s="611"/>
      <c r="V52" s="613" t="s">
        <v>268</v>
      </c>
      <c r="W52" s="607"/>
      <c r="X52" s="588"/>
    </row>
    <row r="53" spans="1:25" s="589" customFormat="1" x14ac:dyDescent="0.25">
      <c r="A53" s="604"/>
      <c r="B53" s="605"/>
      <c r="C53" s="605"/>
      <c r="D53" s="605"/>
      <c r="E53" s="605"/>
      <c r="F53" s="605"/>
      <c r="G53" s="605"/>
      <c r="H53" s="605"/>
      <c r="I53" s="605"/>
      <c r="J53" s="605"/>
      <c r="K53" s="605"/>
      <c r="L53" s="605"/>
      <c r="M53" s="605"/>
      <c r="N53" s="605"/>
      <c r="O53" s="605"/>
      <c r="P53" s="605"/>
      <c r="Q53" s="605"/>
      <c r="R53" s="605"/>
      <c r="S53" s="605"/>
      <c r="T53" s="605"/>
      <c r="U53" s="605"/>
      <c r="V53" s="637"/>
      <c r="W53" s="607"/>
      <c r="X53" s="588"/>
    </row>
    <row r="54" spans="1:25" s="589" customFormat="1" x14ac:dyDescent="0.25">
      <c r="A54" s="604"/>
      <c r="B54" s="605" t="s">
        <v>202</v>
      </c>
      <c r="C54" s="605"/>
      <c r="D54" s="605"/>
      <c r="E54" s="605"/>
      <c r="F54" s="605"/>
      <c r="G54" s="605"/>
      <c r="H54" s="605"/>
      <c r="I54" s="605"/>
      <c r="J54" s="605"/>
      <c r="K54" s="605"/>
      <c r="L54" s="605"/>
      <c r="M54" s="605"/>
      <c r="N54" s="605"/>
      <c r="O54" s="605"/>
      <c r="P54" s="605"/>
      <c r="Q54" s="605"/>
      <c r="R54" s="605"/>
      <c r="S54" s="605"/>
      <c r="T54" s="605"/>
      <c r="U54" s="605"/>
      <c r="V54" s="621" t="s">
        <v>203</v>
      </c>
      <c r="W54" s="607"/>
      <c r="X54" s="588"/>
    </row>
    <row r="55" spans="1:25" s="589" customFormat="1" x14ac:dyDescent="0.25">
      <c r="A55" s="604"/>
      <c r="B55" s="605" t="s">
        <v>270</v>
      </c>
      <c r="C55" s="605"/>
      <c r="D55" s="605"/>
      <c r="E55" s="605"/>
      <c r="F55" s="605"/>
      <c r="G55" s="605"/>
      <c r="H55" s="605"/>
      <c r="I55" s="605"/>
      <c r="J55" s="605"/>
      <c r="K55" s="605"/>
      <c r="L55" s="605"/>
      <c r="M55" s="605"/>
      <c r="N55" s="605"/>
      <c r="O55" s="605"/>
      <c r="P55" s="605"/>
      <c r="Q55" s="605"/>
      <c r="R55" s="605"/>
      <c r="S55" s="605"/>
      <c r="T55" s="611"/>
      <c r="U55" s="611"/>
      <c r="V55" s="638" t="s">
        <v>111</v>
      </c>
      <c r="W55" s="607"/>
      <c r="X55" s="588"/>
    </row>
    <row r="56" spans="1:25" s="589" customFormat="1" x14ac:dyDescent="0.25">
      <c r="A56" s="604"/>
      <c r="B56" s="610" t="s">
        <v>201</v>
      </c>
      <c r="C56" s="610"/>
      <c r="D56" s="610"/>
      <c r="E56" s="610"/>
      <c r="F56" s="610"/>
      <c r="G56" s="610"/>
      <c r="H56" s="610"/>
      <c r="I56" s="610"/>
      <c r="J56" s="610"/>
      <c r="K56" s="610"/>
      <c r="L56" s="610"/>
      <c r="M56" s="610"/>
      <c r="N56" s="610"/>
      <c r="O56" s="610"/>
      <c r="P56" s="610"/>
      <c r="Q56" s="610"/>
      <c r="R56" s="610"/>
      <c r="S56" s="610"/>
      <c r="T56" s="639"/>
      <c r="U56" s="639"/>
      <c r="V56" s="640">
        <v>43997</v>
      </c>
      <c r="W56" s="607"/>
      <c r="X56" s="588"/>
    </row>
    <row r="57" spans="1:25" s="589" customFormat="1" x14ac:dyDescent="0.25">
      <c r="A57" s="604"/>
      <c r="B57" s="605" t="s">
        <v>121</v>
      </c>
      <c r="C57" s="605"/>
      <c r="D57" s="605"/>
      <c r="E57" s="605"/>
      <c r="F57" s="605"/>
      <c r="G57" s="605"/>
      <c r="H57" s="641"/>
      <c r="I57" s="641"/>
      <c r="J57" s="641"/>
      <c r="K57" s="641"/>
      <c r="L57" s="641"/>
      <c r="M57" s="641"/>
      <c r="N57" s="641"/>
      <c r="O57" s="641"/>
      <c r="P57" s="641"/>
      <c r="Q57" s="641"/>
      <c r="R57" s="605">
        <f>+V57-T57+1</f>
        <v>91</v>
      </c>
      <c r="S57" s="641"/>
      <c r="T57" s="642">
        <v>43815</v>
      </c>
      <c r="U57" s="643"/>
      <c r="V57" s="642">
        <v>43905</v>
      </c>
      <c r="W57" s="607"/>
      <c r="X57" s="588"/>
    </row>
    <row r="58" spans="1:25" s="589" customFormat="1" x14ac:dyDescent="0.25">
      <c r="A58" s="604"/>
      <c r="B58" s="605" t="s">
        <v>122</v>
      </c>
      <c r="C58" s="605"/>
      <c r="D58" s="605"/>
      <c r="E58" s="605"/>
      <c r="F58" s="605"/>
      <c r="G58" s="605"/>
      <c r="H58" s="605"/>
      <c r="I58" s="605"/>
      <c r="J58" s="605"/>
      <c r="K58" s="605"/>
      <c r="L58" s="605"/>
      <c r="M58" s="605"/>
      <c r="N58" s="605"/>
      <c r="O58" s="605"/>
      <c r="P58" s="605"/>
      <c r="Q58" s="605"/>
      <c r="R58" s="605">
        <f>+V58-T58+1</f>
        <v>91</v>
      </c>
      <c r="S58" s="605"/>
      <c r="T58" s="642">
        <v>43906</v>
      </c>
      <c r="U58" s="643"/>
      <c r="V58" s="642">
        <v>43996</v>
      </c>
      <c r="W58" s="607"/>
      <c r="X58" s="588"/>
    </row>
    <row r="59" spans="1:25" s="589" customFormat="1" x14ac:dyDescent="0.25">
      <c r="A59" s="604"/>
      <c r="B59" s="605" t="s">
        <v>223</v>
      </c>
      <c r="C59" s="605"/>
      <c r="D59" s="605"/>
      <c r="E59" s="605"/>
      <c r="F59" s="605"/>
      <c r="G59" s="605"/>
      <c r="H59" s="605"/>
      <c r="I59" s="605"/>
      <c r="J59" s="605"/>
      <c r="K59" s="605"/>
      <c r="L59" s="605"/>
      <c r="M59" s="605"/>
      <c r="N59" s="605"/>
      <c r="O59" s="605"/>
      <c r="P59" s="605"/>
      <c r="Q59" s="605"/>
      <c r="R59" s="605"/>
      <c r="S59" s="605"/>
      <c r="T59" s="642"/>
      <c r="U59" s="643"/>
      <c r="V59" s="642" t="s">
        <v>120</v>
      </c>
      <c r="W59" s="607"/>
      <c r="X59" s="588"/>
    </row>
    <row r="60" spans="1:25" s="589" customFormat="1" x14ac:dyDescent="0.25">
      <c r="A60" s="604"/>
      <c r="B60" s="605" t="s">
        <v>271</v>
      </c>
      <c r="C60" s="605"/>
      <c r="D60" s="605"/>
      <c r="E60" s="605"/>
      <c r="F60" s="605"/>
      <c r="G60" s="605"/>
      <c r="H60" s="605"/>
      <c r="I60" s="605"/>
      <c r="J60" s="605"/>
      <c r="K60" s="605"/>
      <c r="L60" s="605"/>
      <c r="M60" s="605"/>
      <c r="N60" s="605"/>
      <c r="O60" s="605"/>
      <c r="P60" s="605"/>
      <c r="Q60" s="605"/>
      <c r="R60" s="605"/>
      <c r="S60" s="605"/>
      <c r="T60" s="642"/>
      <c r="U60" s="643"/>
      <c r="V60" s="642" t="s">
        <v>154</v>
      </c>
      <c r="W60" s="607"/>
      <c r="X60" s="588"/>
      <c r="Y60" s="644"/>
    </row>
    <row r="61" spans="1:25" s="589" customFormat="1" x14ac:dyDescent="0.25">
      <c r="A61" s="604"/>
      <c r="B61" s="605" t="s">
        <v>16</v>
      </c>
      <c r="C61" s="605"/>
      <c r="D61" s="605"/>
      <c r="E61" s="605"/>
      <c r="F61" s="605"/>
      <c r="G61" s="605"/>
      <c r="H61" s="605"/>
      <c r="I61" s="605"/>
      <c r="J61" s="605"/>
      <c r="K61" s="605"/>
      <c r="L61" s="605"/>
      <c r="M61" s="605"/>
      <c r="N61" s="605"/>
      <c r="O61" s="605"/>
      <c r="P61" s="605"/>
      <c r="Q61" s="605"/>
      <c r="R61" s="605"/>
      <c r="S61" s="605"/>
      <c r="T61" s="642"/>
      <c r="U61" s="643"/>
      <c r="V61" s="642">
        <v>43983</v>
      </c>
      <c r="W61" s="607"/>
      <c r="X61" s="588"/>
    </row>
    <row r="62" spans="1:25" s="589" customFormat="1" x14ac:dyDescent="0.25">
      <c r="A62" s="585"/>
      <c r="B62" s="602"/>
      <c r="C62" s="602"/>
      <c r="D62" s="602"/>
      <c r="E62" s="602"/>
      <c r="F62" s="602"/>
      <c r="G62" s="602"/>
      <c r="H62" s="602"/>
      <c r="I62" s="602"/>
      <c r="J62" s="602"/>
      <c r="K62" s="602"/>
      <c r="L62" s="602"/>
      <c r="M62" s="602"/>
      <c r="N62" s="602"/>
      <c r="O62" s="602"/>
      <c r="P62" s="602"/>
      <c r="Q62" s="602"/>
      <c r="R62" s="602"/>
      <c r="S62" s="602"/>
      <c r="T62" s="645"/>
      <c r="U62" s="646"/>
      <c r="V62" s="645"/>
      <c r="W62" s="602"/>
      <c r="X62" s="588"/>
    </row>
    <row r="63" spans="1:25" s="589" customFormat="1" x14ac:dyDescent="0.25">
      <c r="A63" s="585"/>
      <c r="B63" s="586"/>
      <c r="C63" s="586"/>
      <c r="D63" s="586"/>
      <c r="E63" s="586"/>
      <c r="F63" s="586"/>
      <c r="G63" s="586"/>
      <c r="H63" s="586"/>
      <c r="I63" s="586"/>
      <c r="J63" s="586"/>
      <c r="K63" s="586"/>
      <c r="L63" s="586"/>
      <c r="M63" s="586"/>
      <c r="N63" s="586"/>
      <c r="O63" s="586"/>
      <c r="P63" s="586"/>
      <c r="Q63" s="586"/>
      <c r="R63" s="586"/>
      <c r="S63" s="586"/>
      <c r="T63" s="647"/>
      <c r="U63" s="648"/>
      <c r="V63" s="647"/>
      <c r="W63" s="586"/>
      <c r="X63" s="588"/>
    </row>
    <row r="64" spans="1:25" s="589" customFormat="1" ht="19.5" thickBot="1" x14ac:dyDescent="0.35">
      <c r="A64" s="649"/>
      <c r="B64" s="568" t="s">
        <v>357</v>
      </c>
      <c r="C64" s="650"/>
      <c r="D64" s="650"/>
      <c r="E64" s="650"/>
      <c r="F64" s="650"/>
      <c r="G64" s="650"/>
      <c r="H64" s="650"/>
      <c r="I64" s="650"/>
      <c r="J64" s="650"/>
      <c r="K64" s="650"/>
      <c r="L64" s="650"/>
      <c r="M64" s="650"/>
      <c r="N64" s="650"/>
      <c r="O64" s="650"/>
      <c r="P64" s="650"/>
      <c r="Q64" s="650"/>
      <c r="R64" s="650"/>
      <c r="S64" s="650"/>
      <c r="T64" s="650"/>
      <c r="U64" s="650"/>
      <c r="V64" s="651"/>
      <c r="W64" s="652"/>
      <c r="X64" s="588"/>
    </row>
    <row r="65" spans="1:24" x14ac:dyDescent="0.25">
      <c r="A65" s="597"/>
      <c r="B65" s="653" t="s">
        <v>17</v>
      </c>
      <c r="C65" s="654"/>
      <c r="D65" s="654"/>
      <c r="E65" s="654"/>
      <c r="F65" s="654"/>
      <c r="G65" s="654"/>
      <c r="H65" s="654"/>
      <c r="I65" s="654"/>
      <c r="J65" s="654"/>
      <c r="K65" s="654"/>
      <c r="L65" s="654"/>
      <c r="M65" s="654"/>
      <c r="N65" s="654"/>
      <c r="O65" s="654"/>
      <c r="P65" s="654"/>
      <c r="Q65" s="654"/>
      <c r="R65" s="654"/>
      <c r="S65" s="654"/>
      <c r="T65" s="654"/>
      <c r="U65" s="654"/>
      <c r="V65" s="655"/>
      <c r="W65" s="654"/>
      <c r="X65" s="572"/>
    </row>
    <row r="66" spans="1:24" x14ac:dyDescent="0.25">
      <c r="A66" s="574"/>
      <c r="B66" s="583"/>
      <c r="C66" s="576"/>
      <c r="D66" s="576"/>
      <c r="E66" s="576"/>
      <c r="F66" s="576"/>
      <c r="G66" s="576"/>
      <c r="H66" s="576"/>
      <c r="I66" s="576"/>
      <c r="J66" s="576"/>
      <c r="K66" s="576"/>
      <c r="L66" s="576"/>
      <c r="M66" s="576"/>
      <c r="N66" s="576"/>
      <c r="O66" s="576"/>
      <c r="P66" s="576"/>
      <c r="Q66" s="576"/>
      <c r="R66" s="576"/>
      <c r="S66" s="576"/>
      <c r="T66" s="576"/>
      <c r="U66" s="576"/>
      <c r="V66" s="656"/>
      <c r="W66" s="576"/>
      <c r="X66" s="572"/>
    </row>
    <row r="67" spans="1:24" s="629" customFormat="1" ht="47.25" x14ac:dyDescent="0.25">
      <c r="A67" s="657"/>
      <c r="B67" s="658" t="s">
        <v>18</v>
      </c>
      <c r="C67" s="659"/>
      <c r="D67" s="659"/>
      <c r="E67" s="659"/>
      <c r="F67" s="659"/>
      <c r="G67" s="659"/>
      <c r="H67" s="659"/>
      <c r="I67" s="659"/>
      <c r="J67" s="659"/>
      <c r="K67" s="659"/>
      <c r="L67" s="659" t="s">
        <v>94</v>
      </c>
      <c r="M67" s="659"/>
      <c r="N67" s="659" t="s">
        <v>96</v>
      </c>
      <c r="O67" s="659"/>
      <c r="P67" s="659" t="s">
        <v>98</v>
      </c>
      <c r="Q67" s="659"/>
      <c r="R67" s="659" t="s">
        <v>100</v>
      </c>
      <c r="S67" s="659"/>
      <c r="T67" s="659" t="s">
        <v>106</v>
      </c>
      <c r="U67" s="659"/>
      <c r="V67" s="660" t="s">
        <v>112</v>
      </c>
      <c r="W67" s="661"/>
      <c r="X67" s="628"/>
    </row>
    <row r="68" spans="1:24" s="589" customFormat="1" x14ac:dyDescent="0.25">
      <c r="A68" s="604"/>
      <c r="B68" s="605" t="s">
        <v>19</v>
      </c>
      <c r="C68" s="662"/>
      <c r="D68" s="662"/>
      <c r="E68" s="662"/>
      <c r="F68" s="662"/>
      <c r="G68" s="662"/>
      <c r="H68" s="662"/>
      <c r="I68" s="662"/>
      <c r="J68" s="662"/>
      <c r="K68" s="662"/>
      <c r="L68" s="662">
        <v>812446</v>
      </c>
      <c r="M68" s="662"/>
      <c r="N68" s="663">
        <v>537521</v>
      </c>
      <c r="O68" s="662"/>
      <c r="P68" s="662">
        <v>9323</v>
      </c>
      <c r="Q68" s="662"/>
      <c r="R68" s="662">
        <v>0</v>
      </c>
      <c r="S68" s="662"/>
      <c r="T68" s="662">
        <v>0</v>
      </c>
      <c r="U68" s="662"/>
      <c r="V68" s="663">
        <f>+N68-P68+R68-T68</f>
        <v>528198</v>
      </c>
      <c r="W68" s="607"/>
      <c r="X68" s="588"/>
    </row>
    <row r="69" spans="1:24" s="589" customFormat="1" x14ac:dyDescent="0.25">
      <c r="A69" s="604"/>
      <c r="B69" s="605" t="s">
        <v>20</v>
      </c>
      <c r="C69" s="662"/>
      <c r="D69" s="662"/>
      <c r="E69" s="662"/>
      <c r="F69" s="662"/>
      <c r="G69" s="662"/>
      <c r="H69" s="662"/>
      <c r="I69" s="662"/>
      <c r="J69" s="662"/>
      <c r="K69" s="662"/>
      <c r="L69" s="662">
        <v>0</v>
      </c>
      <c r="M69" s="662"/>
      <c r="N69" s="663">
        <v>0</v>
      </c>
      <c r="O69" s="662"/>
      <c r="P69" s="662">
        <v>0</v>
      </c>
      <c r="Q69" s="662"/>
      <c r="R69" s="662">
        <v>0</v>
      </c>
      <c r="S69" s="662"/>
      <c r="T69" s="662">
        <v>0</v>
      </c>
      <c r="U69" s="662"/>
      <c r="V69" s="663">
        <f>+L69-P69</f>
        <v>0</v>
      </c>
      <c r="W69" s="607"/>
      <c r="X69" s="588"/>
    </row>
    <row r="70" spans="1:24" s="589" customFormat="1" x14ac:dyDescent="0.25">
      <c r="A70" s="604"/>
      <c r="B70" s="605"/>
      <c r="C70" s="662"/>
      <c r="D70" s="662"/>
      <c r="E70" s="662"/>
      <c r="F70" s="662"/>
      <c r="G70" s="662"/>
      <c r="H70" s="662"/>
      <c r="I70" s="662"/>
      <c r="J70" s="662"/>
      <c r="K70" s="662"/>
      <c r="L70" s="662"/>
      <c r="M70" s="662"/>
      <c r="N70" s="663"/>
      <c r="O70" s="662"/>
      <c r="P70" s="662"/>
      <c r="Q70" s="662"/>
      <c r="R70" s="662"/>
      <c r="S70" s="662"/>
      <c r="T70" s="662"/>
      <c r="U70" s="662"/>
      <c r="V70" s="663"/>
      <c r="W70" s="607"/>
      <c r="X70" s="588"/>
    </row>
    <row r="71" spans="1:24" s="589" customFormat="1" x14ac:dyDescent="0.25">
      <c r="A71" s="604"/>
      <c r="B71" s="605" t="s">
        <v>21</v>
      </c>
      <c r="C71" s="662"/>
      <c r="D71" s="662"/>
      <c r="E71" s="662"/>
      <c r="F71" s="662"/>
      <c r="G71" s="662"/>
      <c r="H71" s="662"/>
      <c r="I71" s="662"/>
      <c r="J71" s="662"/>
      <c r="K71" s="662"/>
      <c r="L71" s="662">
        <f>SUM(L68:L70)</f>
        <v>812446</v>
      </c>
      <c r="M71" s="662"/>
      <c r="N71" s="662">
        <f>N68+N69</f>
        <v>537521</v>
      </c>
      <c r="O71" s="662"/>
      <c r="P71" s="662">
        <f>SUM(P68:P70)</f>
        <v>9323</v>
      </c>
      <c r="Q71" s="662"/>
      <c r="R71" s="662">
        <f>SUM(R68:R70)</f>
        <v>0</v>
      </c>
      <c r="S71" s="662"/>
      <c r="T71" s="662">
        <f>SUM(T68:T70)</f>
        <v>0</v>
      </c>
      <c r="U71" s="662"/>
      <c r="V71" s="662">
        <f>SUM(V68:V70)</f>
        <v>528198</v>
      </c>
      <c r="W71" s="607"/>
      <c r="X71" s="588"/>
    </row>
    <row r="72" spans="1:24" x14ac:dyDescent="0.25">
      <c r="A72" s="574"/>
      <c r="B72" s="664"/>
      <c r="C72" s="665"/>
      <c r="D72" s="665"/>
      <c r="E72" s="665"/>
      <c r="F72" s="665"/>
      <c r="G72" s="665"/>
      <c r="H72" s="665"/>
      <c r="I72" s="665"/>
      <c r="J72" s="665"/>
      <c r="K72" s="665"/>
      <c r="L72" s="665"/>
      <c r="M72" s="665"/>
      <c r="N72" s="665"/>
      <c r="O72" s="665"/>
      <c r="P72" s="665"/>
      <c r="Q72" s="665"/>
      <c r="R72" s="665"/>
      <c r="S72" s="665"/>
      <c r="T72" s="665"/>
      <c r="U72" s="665"/>
      <c r="V72" s="666"/>
      <c r="W72" s="664"/>
      <c r="X72" s="572"/>
    </row>
    <row r="73" spans="1:24" x14ac:dyDescent="0.25">
      <c r="A73" s="574"/>
      <c r="B73" s="578" t="s">
        <v>22</v>
      </c>
      <c r="C73" s="667"/>
      <c r="D73" s="667"/>
      <c r="E73" s="667"/>
      <c r="F73" s="667"/>
      <c r="G73" s="667"/>
      <c r="H73" s="667"/>
      <c r="I73" s="667"/>
      <c r="J73" s="667"/>
      <c r="K73" s="667"/>
      <c r="L73" s="667"/>
      <c r="M73" s="667"/>
      <c r="N73" s="667"/>
      <c r="O73" s="667"/>
      <c r="P73" s="667"/>
      <c r="Q73" s="667"/>
      <c r="R73" s="667"/>
      <c r="S73" s="667"/>
      <c r="T73" s="667"/>
      <c r="U73" s="667"/>
      <c r="V73" s="668"/>
      <c r="W73" s="576"/>
      <c r="X73" s="572"/>
    </row>
    <row r="74" spans="1:24" x14ac:dyDescent="0.25">
      <c r="A74" s="574"/>
      <c r="B74" s="576"/>
      <c r="C74" s="667"/>
      <c r="D74" s="667"/>
      <c r="E74" s="667"/>
      <c r="F74" s="667"/>
      <c r="G74" s="667"/>
      <c r="H74" s="667"/>
      <c r="I74" s="667"/>
      <c r="J74" s="667"/>
      <c r="K74" s="667"/>
      <c r="L74" s="667"/>
      <c r="M74" s="667"/>
      <c r="N74" s="667"/>
      <c r="O74" s="667"/>
      <c r="P74" s="667"/>
      <c r="Q74" s="667"/>
      <c r="R74" s="667"/>
      <c r="S74" s="667"/>
      <c r="T74" s="667"/>
      <c r="U74" s="667"/>
      <c r="V74" s="668"/>
      <c r="W74" s="576"/>
      <c r="X74" s="572"/>
    </row>
    <row r="75" spans="1:24" s="589" customFormat="1" x14ac:dyDescent="0.25">
      <c r="A75" s="604"/>
      <c r="B75" s="605" t="s">
        <v>19</v>
      </c>
      <c r="C75" s="662"/>
      <c r="D75" s="662"/>
      <c r="E75" s="662"/>
      <c r="F75" s="662"/>
      <c r="G75" s="662"/>
      <c r="H75" s="662"/>
      <c r="I75" s="662"/>
      <c r="J75" s="662"/>
      <c r="K75" s="662"/>
      <c r="L75" s="662"/>
      <c r="M75" s="662"/>
      <c r="N75" s="662"/>
      <c r="O75" s="662"/>
      <c r="P75" s="662"/>
      <c r="Q75" s="662"/>
      <c r="R75" s="662"/>
      <c r="S75" s="662"/>
      <c r="T75" s="662"/>
      <c r="U75" s="662"/>
      <c r="V75" s="662"/>
      <c r="W75" s="607"/>
      <c r="X75" s="588"/>
    </row>
    <row r="76" spans="1:24" s="589" customFormat="1" x14ac:dyDescent="0.25">
      <c r="A76" s="604"/>
      <c r="B76" s="605" t="s">
        <v>20</v>
      </c>
      <c r="C76" s="662"/>
      <c r="D76" s="662"/>
      <c r="E76" s="662"/>
      <c r="F76" s="662"/>
      <c r="G76" s="662"/>
      <c r="H76" s="662"/>
      <c r="I76" s="662"/>
      <c r="J76" s="662"/>
      <c r="K76" s="662"/>
      <c r="L76" s="662"/>
      <c r="M76" s="662"/>
      <c r="N76" s="662"/>
      <c r="O76" s="662"/>
      <c r="P76" s="662"/>
      <c r="Q76" s="662"/>
      <c r="R76" s="662"/>
      <c r="S76" s="662"/>
      <c r="T76" s="662"/>
      <c r="U76" s="662"/>
      <c r="V76" s="662"/>
      <c r="W76" s="607"/>
      <c r="X76" s="588"/>
    </row>
    <row r="77" spans="1:24" s="589" customFormat="1" x14ac:dyDescent="0.25">
      <c r="A77" s="604"/>
      <c r="B77" s="605"/>
      <c r="C77" s="662"/>
      <c r="D77" s="662"/>
      <c r="E77" s="662"/>
      <c r="F77" s="662"/>
      <c r="G77" s="662"/>
      <c r="H77" s="662"/>
      <c r="I77" s="662"/>
      <c r="J77" s="662"/>
      <c r="K77" s="662"/>
      <c r="L77" s="662"/>
      <c r="M77" s="662"/>
      <c r="N77" s="662"/>
      <c r="O77" s="662"/>
      <c r="P77" s="662"/>
      <c r="Q77" s="662"/>
      <c r="R77" s="662"/>
      <c r="S77" s="662"/>
      <c r="T77" s="662"/>
      <c r="U77" s="662"/>
      <c r="V77" s="662"/>
      <c r="W77" s="607"/>
      <c r="X77" s="588"/>
    </row>
    <row r="78" spans="1:24" s="589" customFormat="1" x14ac:dyDescent="0.25">
      <c r="A78" s="604"/>
      <c r="B78" s="605" t="s">
        <v>21</v>
      </c>
      <c r="C78" s="662"/>
      <c r="D78" s="662"/>
      <c r="E78" s="662"/>
      <c r="F78" s="662"/>
      <c r="G78" s="662"/>
      <c r="H78" s="662"/>
      <c r="I78" s="662"/>
      <c r="J78" s="662"/>
      <c r="K78" s="662"/>
      <c r="L78" s="662"/>
      <c r="M78" s="662"/>
      <c r="N78" s="662"/>
      <c r="O78" s="662"/>
      <c r="P78" s="662"/>
      <c r="Q78" s="662"/>
      <c r="R78" s="662"/>
      <c r="S78" s="662"/>
      <c r="T78" s="662"/>
      <c r="U78" s="662"/>
      <c r="V78" s="662"/>
      <c r="W78" s="607"/>
      <c r="X78" s="588"/>
    </row>
    <row r="79" spans="1:24" s="589" customFormat="1" x14ac:dyDescent="0.25">
      <c r="A79" s="604"/>
      <c r="B79" s="605"/>
      <c r="C79" s="662"/>
      <c r="D79" s="662"/>
      <c r="E79" s="662"/>
      <c r="F79" s="662"/>
      <c r="G79" s="662"/>
      <c r="H79" s="662"/>
      <c r="I79" s="662"/>
      <c r="J79" s="662"/>
      <c r="K79" s="662"/>
      <c r="L79" s="662"/>
      <c r="M79" s="662"/>
      <c r="N79" s="662"/>
      <c r="O79" s="662"/>
      <c r="P79" s="662"/>
      <c r="Q79" s="662"/>
      <c r="R79" s="662"/>
      <c r="S79" s="662"/>
      <c r="T79" s="662"/>
      <c r="U79" s="662"/>
      <c r="V79" s="662"/>
      <c r="W79" s="607"/>
      <c r="X79" s="588"/>
    </row>
    <row r="80" spans="1:24" s="589" customFormat="1" x14ac:dyDescent="0.25">
      <c r="A80" s="604"/>
      <c r="B80" s="605" t="s">
        <v>23</v>
      </c>
      <c r="C80" s="662"/>
      <c r="D80" s="662"/>
      <c r="E80" s="662"/>
      <c r="F80" s="662"/>
      <c r="G80" s="662"/>
      <c r="H80" s="662"/>
      <c r="I80" s="662"/>
      <c r="J80" s="662"/>
      <c r="K80" s="662"/>
      <c r="L80" s="662">
        <v>0</v>
      </c>
      <c r="M80" s="662"/>
      <c r="N80" s="662">
        <v>0</v>
      </c>
      <c r="O80" s="662"/>
      <c r="P80" s="662"/>
      <c r="Q80" s="662"/>
      <c r="R80" s="662"/>
      <c r="S80" s="662"/>
      <c r="T80" s="662"/>
      <c r="U80" s="662"/>
      <c r="V80" s="663">
        <v>0</v>
      </c>
      <c r="W80" s="607"/>
      <c r="X80" s="588"/>
    </row>
    <row r="81" spans="1:24" s="589" customFormat="1" x14ac:dyDescent="0.25">
      <c r="A81" s="604"/>
      <c r="B81" s="605" t="s">
        <v>117</v>
      </c>
      <c r="C81" s="662"/>
      <c r="D81" s="662"/>
      <c r="E81" s="662"/>
      <c r="F81" s="662"/>
      <c r="G81" s="662"/>
      <c r="H81" s="662"/>
      <c r="I81" s="662"/>
      <c r="J81" s="662"/>
      <c r="K81" s="662"/>
      <c r="L81" s="662">
        <v>188687</v>
      </c>
      <c r="M81" s="662"/>
      <c r="N81" s="662">
        <v>0</v>
      </c>
      <c r="O81" s="662"/>
      <c r="P81" s="662">
        <v>0</v>
      </c>
      <c r="Q81" s="662"/>
      <c r="R81" s="662"/>
      <c r="S81" s="662"/>
      <c r="T81" s="662"/>
      <c r="U81" s="662"/>
      <c r="V81" s="662">
        <f>SUM(N81:R81)</f>
        <v>0</v>
      </c>
      <c r="W81" s="607"/>
      <c r="X81" s="588"/>
    </row>
    <row r="82" spans="1:24" s="589" customFormat="1" x14ac:dyDescent="0.25">
      <c r="A82" s="604"/>
      <c r="B82" s="605" t="s">
        <v>146</v>
      </c>
      <c r="C82" s="662"/>
      <c r="D82" s="662"/>
      <c r="E82" s="662"/>
      <c r="F82" s="662"/>
      <c r="G82" s="662"/>
      <c r="H82" s="662"/>
      <c r="I82" s="662"/>
      <c r="J82" s="662"/>
      <c r="K82" s="662"/>
      <c r="L82" s="662">
        <v>0</v>
      </c>
      <c r="M82" s="662"/>
      <c r="N82" s="662">
        <v>0</v>
      </c>
      <c r="O82" s="662"/>
      <c r="P82" s="662">
        <v>0</v>
      </c>
      <c r="Q82" s="662"/>
      <c r="R82" s="662"/>
      <c r="S82" s="662"/>
      <c r="T82" s="662"/>
      <c r="U82" s="662"/>
      <c r="V82" s="662">
        <f>+N82+P82</f>
        <v>0</v>
      </c>
      <c r="W82" s="607"/>
      <c r="X82" s="588"/>
    </row>
    <row r="83" spans="1:24" s="589" customFormat="1" x14ac:dyDescent="0.25">
      <c r="A83" s="604"/>
      <c r="B83" s="605" t="s">
        <v>25</v>
      </c>
      <c r="C83" s="662"/>
      <c r="D83" s="662"/>
      <c r="E83" s="662"/>
      <c r="F83" s="662"/>
      <c r="G83" s="662"/>
      <c r="H83" s="662"/>
      <c r="I83" s="662"/>
      <c r="J83" s="662"/>
      <c r="K83" s="662"/>
      <c r="L83" s="662">
        <v>0</v>
      </c>
      <c r="M83" s="662"/>
      <c r="N83" s="662">
        <v>0</v>
      </c>
      <c r="O83" s="662"/>
      <c r="P83" s="662"/>
      <c r="Q83" s="662"/>
      <c r="R83" s="662"/>
      <c r="S83" s="662"/>
      <c r="T83" s="662"/>
      <c r="U83" s="662"/>
      <c r="V83" s="662">
        <v>0</v>
      </c>
      <c r="W83" s="607"/>
      <c r="X83" s="588"/>
    </row>
    <row r="84" spans="1:24" s="589" customFormat="1" x14ac:dyDescent="0.25">
      <c r="A84" s="604"/>
      <c r="B84" s="605" t="s">
        <v>26</v>
      </c>
      <c r="C84" s="662"/>
      <c r="D84" s="662"/>
      <c r="E84" s="662"/>
      <c r="F84" s="662"/>
      <c r="G84" s="662"/>
      <c r="H84" s="662"/>
      <c r="I84" s="662"/>
      <c r="J84" s="662"/>
      <c r="K84" s="662"/>
      <c r="L84" s="662">
        <f>SUM(L71:L83)</f>
        <v>1001133</v>
      </c>
      <c r="M84" s="662"/>
      <c r="N84" s="662">
        <f>SUM(N71:N83)</f>
        <v>537521</v>
      </c>
      <c r="O84" s="662"/>
      <c r="P84" s="662"/>
      <c r="Q84" s="662"/>
      <c r="R84" s="662"/>
      <c r="S84" s="662"/>
      <c r="T84" s="662"/>
      <c r="U84" s="662"/>
      <c r="V84" s="662">
        <f>SUM(V71:V83)</f>
        <v>528198</v>
      </c>
      <c r="W84" s="607"/>
      <c r="X84" s="588"/>
    </row>
    <row r="85" spans="1:24" x14ac:dyDescent="0.25">
      <c r="A85" s="574"/>
      <c r="B85" s="664"/>
      <c r="C85" s="665"/>
      <c r="D85" s="665"/>
      <c r="E85" s="665"/>
      <c r="F85" s="665"/>
      <c r="G85" s="665"/>
      <c r="H85" s="665"/>
      <c r="I85" s="665"/>
      <c r="J85" s="665"/>
      <c r="K85" s="665"/>
      <c r="L85" s="665"/>
      <c r="M85" s="665"/>
      <c r="N85" s="665"/>
      <c r="O85" s="665"/>
      <c r="P85" s="665"/>
      <c r="Q85" s="665"/>
      <c r="R85" s="665"/>
      <c r="S85" s="665"/>
      <c r="T85" s="665"/>
      <c r="U85" s="665"/>
      <c r="V85" s="666"/>
      <c r="W85" s="664"/>
      <c r="X85" s="572"/>
    </row>
    <row r="86" spans="1:24" x14ac:dyDescent="0.25">
      <c r="A86" s="574"/>
      <c r="B86" s="576"/>
      <c r="C86" s="576"/>
      <c r="D86" s="576"/>
      <c r="E86" s="576"/>
      <c r="F86" s="576"/>
      <c r="G86" s="576"/>
      <c r="H86" s="576"/>
      <c r="I86" s="576"/>
      <c r="J86" s="576"/>
      <c r="K86" s="576"/>
      <c r="L86" s="576"/>
      <c r="M86" s="576"/>
      <c r="N86" s="576"/>
      <c r="O86" s="576"/>
      <c r="P86" s="576"/>
      <c r="Q86" s="576"/>
      <c r="R86" s="576"/>
      <c r="S86" s="576"/>
      <c r="T86" s="576"/>
      <c r="U86" s="576"/>
      <c r="V86" s="576"/>
      <c r="W86" s="576"/>
      <c r="X86" s="572"/>
    </row>
    <row r="87" spans="1:24" x14ac:dyDescent="0.25">
      <c r="A87" s="597"/>
      <c r="B87" s="669" t="s">
        <v>27</v>
      </c>
      <c r="C87" s="669"/>
      <c r="D87" s="669"/>
      <c r="E87" s="669"/>
      <c r="F87" s="669"/>
      <c r="G87" s="669"/>
      <c r="H87" s="670"/>
      <c r="I87" s="670"/>
      <c r="J87" s="670"/>
      <c r="K87" s="670"/>
      <c r="L87" s="671" t="s">
        <v>95</v>
      </c>
      <c r="M87" s="670"/>
      <c r="N87" s="672">
        <f>+T205</f>
        <v>43980</v>
      </c>
      <c r="O87" s="670"/>
      <c r="P87" s="670"/>
      <c r="Q87" s="670"/>
      <c r="R87" s="670"/>
      <c r="S87" s="670"/>
      <c r="T87" s="670" t="s">
        <v>107</v>
      </c>
      <c r="U87" s="670"/>
      <c r="V87" s="670" t="s">
        <v>113</v>
      </c>
      <c r="W87" s="601"/>
      <c r="X87" s="572"/>
    </row>
    <row r="88" spans="1:24" s="589" customFormat="1" x14ac:dyDescent="0.25">
      <c r="A88" s="585"/>
      <c r="B88" s="602" t="s">
        <v>28</v>
      </c>
      <c r="C88" s="602"/>
      <c r="D88" s="602"/>
      <c r="E88" s="602"/>
      <c r="F88" s="602"/>
      <c r="G88" s="602"/>
      <c r="H88" s="602"/>
      <c r="I88" s="602"/>
      <c r="J88" s="602"/>
      <c r="K88" s="602"/>
      <c r="L88" s="602"/>
      <c r="M88" s="602"/>
      <c r="N88" s="602"/>
      <c r="O88" s="602"/>
      <c r="P88" s="602"/>
      <c r="Q88" s="602"/>
      <c r="R88" s="602"/>
      <c r="S88" s="602"/>
      <c r="T88" s="673">
        <v>0</v>
      </c>
      <c r="U88" s="602"/>
      <c r="V88" s="674">
        <v>0</v>
      </c>
      <c r="W88" s="602"/>
      <c r="X88" s="588"/>
    </row>
    <row r="89" spans="1:24" s="589" customFormat="1" x14ac:dyDescent="0.25">
      <c r="A89" s="604"/>
      <c r="B89" s="605" t="s">
        <v>29</v>
      </c>
      <c r="C89" s="605"/>
      <c r="D89" s="605"/>
      <c r="E89" s="605"/>
      <c r="F89" s="605"/>
      <c r="G89" s="605"/>
      <c r="H89" s="635"/>
      <c r="I89" s="635"/>
      <c r="J89" s="635"/>
      <c r="K89" s="675"/>
      <c r="L89" s="635"/>
      <c r="M89" s="605"/>
      <c r="N89" s="676"/>
      <c r="O89" s="605"/>
      <c r="P89" s="605"/>
      <c r="Q89" s="605"/>
      <c r="R89" s="605"/>
      <c r="S89" s="605"/>
      <c r="T89" s="662">
        <f>9323-3</f>
        <v>9320</v>
      </c>
      <c r="U89" s="605"/>
      <c r="V89" s="663"/>
      <c r="W89" s="607"/>
      <c r="X89" s="588"/>
    </row>
    <row r="90" spans="1:24" s="589" customFormat="1" x14ac:dyDescent="0.25">
      <c r="A90" s="604"/>
      <c r="B90" s="605" t="s">
        <v>215</v>
      </c>
      <c r="C90" s="605"/>
      <c r="D90" s="605"/>
      <c r="E90" s="605"/>
      <c r="F90" s="605"/>
      <c r="G90" s="605"/>
      <c r="H90" s="635"/>
      <c r="I90" s="635"/>
      <c r="J90" s="635"/>
      <c r="K90" s="675"/>
      <c r="L90" s="635"/>
      <c r="M90" s="605"/>
      <c r="N90" s="676"/>
      <c r="O90" s="605"/>
      <c r="P90" s="605"/>
      <c r="Q90" s="605"/>
      <c r="R90" s="605"/>
      <c r="S90" s="605"/>
      <c r="T90" s="662"/>
      <c r="U90" s="605"/>
      <c r="V90" s="663">
        <f>2275+1746-76-441-457</f>
        <v>3047</v>
      </c>
      <c r="W90" s="607"/>
      <c r="X90" s="588"/>
    </row>
    <row r="91" spans="1:24" s="589" customFormat="1" x14ac:dyDescent="0.25">
      <c r="A91" s="604"/>
      <c r="B91" s="605" t="s">
        <v>210</v>
      </c>
      <c r="C91" s="605"/>
      <c r="D91" s="605"/>
      <c r="E91" s="605"/>
      <c r="F91" s="605"/>
      <c r="G91" s="605"/>
      <c r="H91" s="635"/>
      <c r="I91" s="635"/>
      <c r="J91" s="635"/>
      <c r="K91" s="675"/>
      <c r="L91" s="635"/>
      <c r="M91" s="605"/>
      <c r="N91" s="676"/>
      <c r="O91" s="605"/>
      <c r="P91" s="605"/>
      <c r="Q91" s="605"/>
      <c r="R91" s="605"/>
      <c r="S91" s="605"/>
      <c r="T91" s="662"/>
      <c r="U91" s="605"/>
      <c r="V91" s="663">
        <f>15+16</f>
        <v>31</v>
      </c>
      <c r="W91" s="607"/>
      <c r="X91" s="588"/>
    </row>
    <row r="92" spans="1:24" s="589" customFormat="1" x14ac:dyDescent="0.25">
      <c r="A92" s="604"/>
      <c r="B92" s="605" t="s">
        <v>211</v>
      </c>
      <c r="C92" s="605"/>
      <c r="D92" s="605"/>
      <c r="E92" s="605"/>
      <c r="F92" s="605"/>
      <c r="G92" s="605"/>
      <c r="H92" s="635"/>
      <c r="I92" s="635"/>
      <c r="J92" s="635"/>
      <c r="K92" s="675"/>
      <c r="L92" s="635"/>
      <c r="M92" s="605"/>
      <c r="N92" s="676"/>
      <c r="O92" s="605"/>
      <c r="P92" s="605"/>
      <c r="Q92" s="605"/>
      <c r="R92" s="605"/>
      <c r="S92" s="605"/>
      <c r="T92" s="662"/>
      <c r="U92" s="605"/>
      <c r="V92" s="663">
        <v>42</v>
      </c>
      <c r="W92" s="607"/>
      <c r="X92" s="588"/>
    </row>
    <row r="93" spans="1:24" s="589" customFormat="1" x14ac:dyDescent="0.25">
      <c r="A93" s="604"/>
      <c r="B93" s="605" t="s">
        <v>233</v>
      </c>
      <c r="C93" s="605"/>
      <c r="D93" s="605"/>
      <c r="E93" s="605"/>
      <c r="F93" s="605"/>
      <c r="G93" s="605"/>
      <c r="H93" s="635"/>
      <c r="I93" s="635"/>
      <c r="J93" s="635"/>
      <c r="K93" s="675"/>
      <c r="L93" s="635"/>
      <c r="M93" s="605"/>
      <c r="N93" s="676"/>
      <c r="O93" s="605"/>
      <c r="P93" s="605"/>
      <c r="Q93" s="605"/>
      <c r="R93" s="605"/>
      <c r="S93" s="605"/>
      <c r="T93" s="662"/>
      <c r="U93" s="605"/>
      <c r="V93" s="663">
        <v>0</v>
      </c>
      <c r="W93" s="607"/>
      <c r="X93" s="588"/>
    </row>
    <row r="94" spans="1:24" s="589" customFormat="1" x14ac:dyDescent="0.25">
      <c r="A94" s="604"/>
      <c r="B94" s="605" t="s">
        <v>235</v>
      </c>
      <c r="C94" s="605"/>
      <c r="D94" s="605"/>
      <c r="E94" s="605"/>
      <c r="F94" s="605"/>
      <c r="G94" s="605"/>
      <c r="H94" s="635"/>
      <c r="I94" s="635"/>
      <c r="J94" s="635"/>
      <c r="K94" s="675"/>
      <c r="L94" s="635"/>
      <c r="M94" s="605"/>
      <c r="N94" s="676"/>
      <c r="O94" s="605"/>
      <c r="P94" s="605"/>
      <c r="Q94" s="605"/>
      <c r="R94" s="605"/>
      <c r="S94" s="605"/>
      <c r="T94" s="662"/>
      <c r="U94" s="605"/>
      <c r="V94" s="663">
        <v>0</v>
      </c>
      <c r="W94" s="607"/>
      <c r="X94" s="588"/>
    </row>
    <row r="95" spans="1:24" s="589" customFormat="1" x14ac:dyDescent="0.25">
      <c r="A95" s="604"/>
      <c r="B95" s="605" t="s">
        <v>135</v>
      </c>
      <c r="C95" s="605"/>
      <c r="D95" s="605"/>
      <c r="E95" s="605"/>
      <c r="F95" s="605"/>
      <c r="G95" s="605"/>
      <c r="H95" s="605"/>
      <c r="I95" s="605"/>
      <c r="J95" s="605"/>
      <c r="K95" s="605"/>
      <c r="L95" s="605"/>
      <c r="M95" s="605"/>
      <c r="N95" s="605"/>
      <c r="O95" s="605"/>
      <c r="P95" s="605"/>
      <c r="Q95" s="605"/>
      <c r="R95" s="605"/>
      <c r="S95" s="605"/>
      <c r="T95" s="662"/>
      <c r="U95" s="605"/>
      <c r="V95" s="663">
        <v>0</v>
      </c>
      <c r="W95" s="607"/>
      <c r="X95" s="588"/>
    </row>
    <row r="96" spans="1:24" s="589" customFormat="1" x14ac:dyDescent="0.25">
      <c r="A96" s="604"/>
      <c r="B96" s="605" t="s">
        <v>272</v>
      </c>
      <c r="C96" s="605"/>
      <c r="D96" s="605"/>
      <c r="E96" s="605"/>
      <c r="F96" s="605"/>
      <c r="G96" s="605"/>
      <c r="H96" s="605"/>
      <c r="I96" s="605"/>
      <c r="J96" s="605"/>
      <c r="K96" s="605"/>
      <c r="L96" s="605"/>
      <c r="M96" s="605"/>
      <c r="N96" s="605"/>
      <c r="O96" s="605"/>
      <c r="P96" s="605"/>
      <c r="Q96" s="605"/>
      <c r="R96" s="605"/>
      <c r="S96" s="605"/>
      <c r="T96" s="662"/>
      <c r="U96" s="605"/>
      <c r="V96" s="663">
        <v>0</v>
      </c>
      <c r="W96" s="607"/>
      <c r="X96" s="588"/>
    </row>
    <row r="97" spans="1:25" s="589" customFormat="1" x14ac:dyDescent="0.25">
      <c r="A97" s="604"/>
      <c r="B97" s="605" t="s">
        <v>30</v>
      </c>
      <c r="C97" s="605"/>
      <c r="D97" s="605"/>
      <c r="E97" s="605"/>
      <c r="F97" s="605"/>
      <c r="G97" s="605"/>
      <c r="H97" s="605"/>
      <c r="I97" s="605"/>
      <c r="J97" s="605"/>
      <c r="K97" s="605"/>
      <c r="L97" s="605"/>
      <c r="M97" s="605"/>
      <c r="N97" s="605"/>
      <c r="O97" s="605"/>
      <c r="P97" s="605"/>
      <c r="Q97" s="605"/>
      <c r="R97" s="605"/>
      <c r="S97" s="605"/>
      <c r="T97" s="662">
        <f>SUM(T88:T96)</f>
        <v>9320</v>
      </c>
      <c r="U97" s="605"/>
      <c r="V97" s="662">
        <f>SUM(V88:V96)</f>
        <v>3120</v>
      </c>
      <c r="W97" s="607"/>
      <c r="X97" s="588"/>
    </row>
    <row r="98" spans="1:25" s="589" customFormat="1" x14ac:dyDescent="0.25">
      <c r="A98" s="604"/>
      <c r="B98" s="605" t="s">
        <v>161</v>
      </c>
      <c r="C98" s="605"/>
      <c r="D98" s="605"/>
      <c r="E98" s="605"/>
      <c r="F98" s="605"/>
      <c r="G98" s="605"/>
      <c r="H98" s="605"/>
      <c r="I98" s="605"/>
      <c r="J98" s="605"/>
      <c r="K98" s="605"/>
      <c r="L98" s="605"/>
      <c r="M98" s="605"/>
      <c r="N98" s="605"/>
      <c r="O98" s="605"/>
      <c r="P98" s="605"/>
      <c r="Q98" s="605"/>
      <c r="R98" s="605"/>
      <c r="S98" s="605"/>
      <c r="T98" s="662">
        <f>-V98</f>
        <v>0</v>
      </c>
      <c r="U98" s="605"/>
      <c r="V98" s="662">
        <v>0</v>
      </c>
      <c r="W98" s="607"/>
      <c r="X98" s="588"/>
    </row>
    <row r="99" spans="1:25" s="589" customFormat="1" x14ac:dyDescent="0.25">
      <c r="A99" s="604"/>
      <c r="B99" s="605" t="s">
        <v>31</v>
      </c>
      <c r="C99" s="605"/>
      <c r="D99" s="605"/>
      <c r="E99" s="605"/>
      <c r="F99" s="605"/>
      <c r="G99" s="605"/>
      <c r="H99" s="605"/>
      <c r="I99" s="605"/>
      <c r="J99" s="605"/>
      <c r="K99" s="605"/>
      <c r="L99" s="605"/>
      <c r="M99" s="605"/>
      <c r="N99" s="605"/>
      <c r="O99" s="605"/>
      <c r="P99" s="605"/>
      <c r="Q99" s="605"/>
      <c r="R99" s="605"/>
      <c r="S99" s="605"/>
      <c r="T99" s="662">
        <f>-V99</f>
        <v>0</v>
      </c>
      <c r="U99" s="605"/>
      <c r="V99" s="663">
        <v>0</v>
      </c>
      <c r="W99" s="607"/>
      <c r="X99" s="588"/>
    </row>
    <row r="100" spans="1:25" s="589" customFormat="1" x14ac:dyDescent="0.25">
      <c r="A100" s="604"/>
      <c r="B100" s="605" t="s">
        <v>274</v>
      </c>
      <c r="C100" s="605"/>
      <c r="D100" s="605"/>
      <c r="E100" s="605"/>
      <c r="F100" s="605"/>
      <c r="G100" s="605"/>
      <c r="H100" s="605"/>
      <c r="I100" s="605"/>
      <c r="J100" s="605"/>
      <c r="K100" s="605"/>
      <c r="L100" s="605"/>
      <c r="M100" s="605"/>
      <c r="N100" s="605"/>
      <c r="O100" s="605"/>
      <c r="P100" s="605"/>
      <c r="Q100" s="605"/>
      <c r="R100" s="605"/>
      <c r="S100" s="605"/>
      <c r="T100" s="662"/>
      <c r="U100" s="605"/>
      <c r="V100" s="663">
        <v>0</v>
      </c>
      <c r="W100" s="607"/>
      <c r="X100" s="588"/>
    </row>
    <row r="101" spans="1:25" s="589" customFormat="1" x14ac:dyDescent="0.25">
      <c r="A101" s="604"/>
      <c r="B101" s="605" t="s">
        <v>32</v>
      </c>
      <c r="C101" s="605"/>
      <c r="D101" s="605"/>
      <c r="E101" s="605"/>
      <c r="F101" s="605"/>
      <c r="G101" s="605"/>
      <c r="H101" s="605"/>
      <c r="I101" s="605"/>
      <c r="J101" s="605"/>
      <c r="K101" s="605"/>
      <c r="L101" s="605"/>
      <c r="M101" s="605"/>
      <c r="N101" s="605"/>
      <c r="O101" s="605"/>
      <c r="P101" s="605"/>
      <c r="Q101" s="605"/>
      <c r="R101" s="605"/>
      <c r="S101" s="605"/>
      <c r="T101" s="662">
        <f>T97+T99+T98</f>
        <v>9320</v>
      </c>
      <c r="U101" s="605"/>
      <c r="V101" s="662">
        <f>V97+V99+V98+V100</f>
        <v>3120</v>
      </c>
      <c r="W101" s="607"/>
      <c r="X101" s="588"/>
    </row>
    <row r="102" spans="1:25" x14ac:dyDescent="0.25">
      <c r="A102" s="677"/>
      <c r="B102" s="678" t="s">
        <v>33</v>
      </c>
      <c r="C102" s="679"/>
      <c r="D102" s="679"/>
      <c r="E102" s="679"/>
      <c r="F102" s="679"/>
      <c r="G102" s="679"/>
      <c r="H102" s="679"/>
      <c r="I102" s="679"/>
      <c r="J102" s="679"/>
      <c r="K102" s="679"/>
      <c r="L102" s="679"/>
      <c r="M102" s="679"/>
      <c r="N102" s="679"/>
      <c r="O102" s="679"/>
      <c r="P102" s="679"/>
      <c r="Q102" s="679"/>
      <c r="R102" s="679"/>
      <c r="S102" s="679"/>
      <c r="T102" s="680"/>
      <c r="U102" s="681"/>
      <c r="V102" s="682"/>
      <c r="W102" s="683"/>
      <c r="X102" s="572"/>
    </row>
    <row r="103" spans="1:25" s="589" customFormat="1" x14ac:dyDescent="0.25">
      <c r="A103" s="604">
        <v>1</v>
      </c>
      <c r="B103" s="605" t="s">
        <v>34</v>
      </c>
      <c r="C103" s="605"/>
      <c r="D103" s="605"/>
      <c r="E103" s="605"/>
      <c r="F103" s="605"/>
      <c r="G103" s="605"/>
      <c r="H103" s="605"/>
      <c r="I103" s="605"/>
      <c r="J103" s="605"/>
      <c r="K103" s="605"/>
      <c r="L103" s="605"/>
      <c r="M103" s="605"/>
      <c r="N103" s="605"/>
      <c r="O103" s="605"/>
      <c r="P103" s="605"/>
      <c r="Q103" s="605"/>
      <c r="R103" s="605"/>
      <c r="S103" s="605"/>
      <c r="T103" s="605"/>
      <c r="U103" s="605"/>
      <c r="V103" s="663">
        <v>0</v>
      </c>
      <c r="W103" s="607"/>
      <c r="X103" s="588"/>
    </row>
    <row r="104" spans="1:25" s="589" customFormat="1" x14ac:dyDescent="0.25">
      <c r="A104" s="604">
        <f>+A103+1</f>
        <v>2</v>
      </c>
      <c r="B104" s="605" t="s">
        <v>314</v>
      </c>
      <c r="C104" s="605"/>
      <c r="D104" s="605"/>
      <c r="E104" s="605"/>
      <c r="F104" s="605"/>
      <c r="G104" s="605"/>
      <c r="H104" s="605"/>
      <c r="I104" s="605"/>
      <c r="J104" s="605"/>
      <c r="K104" s="605"/>
      <c r="L104" s="605"/>
      <c r="M104" s="605"/>
      <c r="N104" s="605"/>
      <c r="O104" s="605"/>
      <c r="P104" s="605"/>
      <c r="Q104" s="605"/>
      <c r="R104" s="605"/>
      <c r="S104" s="605"/>
      <c r="T104" s="605"/>
      <c r="U104" s="605"/>
      <c r="V104" s="663">
        <v>-2</v>
      </c>
      <c r="W104" s="607"/>
      <c r="X104" s="588"/>
    </row>
    <row r="105" spans="1:25" s="589" customFormat="1" x14ac:dyDescent="0.25">
      <c r="A105" s="604">
        <f>+A104+1</f>
        <v>3</v>
      </c>
      <c r="B105" s="684" t="s">
        <v>316</v>
      </c>
      <c r="C105" s="605"/>
      <c r="D105" s="605"/>
      <c r="E105" s="605"/>
      <c r="F105" s="605"/>
      <c r="G105" s="605"/>
      <c r="H105" s="605"/>
      <c r="I105" s="605"/>
      <c r="J105" s="605"/>
      <c r="K105" s="605"/>
      <c r="L105" s="605"/>
      <c r="M105" s="605"/>
      <c r="N105" s="605"/>
      <c r="O105" s="605"/>
      <c r="P105" s="605"/>
      <c r="Q105" s="605"/>
      <c r="R105" s="605"/>
      <c r="S105" s="605"/>
      <c r="T105" s="605"/>
      <c r="U105" s="605"/>
      <c r="V105" s="663">
        <f>-207-54-8</f>
        <v>-269</v>
      </c>
      <c r="W105" s="607"/>
      <c r="X105" s="588"/>
    </row>
    <row r="106" spans="1:25" s="589" customFormat="1" x14ac:dyDescent="0.25">
      <c r="A106" s="604" t="s">
        <v>127</v>
      </c>
      <c r="B106" s="605" t="s">
        <v>116</v>
      </c>
      <c r="C106" s="605"/>
      <c r="D106" s="605"/>
      <c r="E106" s="605"/>
      <c r="F106" s="605"/>
      <c r="G106" s="605"/>
      <c r="H106" s="605"/>
      <c r="I106" s="605"/>
      <c r="J106" s="605"/>
      <c r="K106" s="605"/>
      <c r="L106" s="605"/>
      <c r="M106" s="605"/>
      <c r="N106" s="605"/>
      <c r="O106" s="605"/>
      <c r="P106" s="605"/>
      <c r="Q106" s="605"/>
      <c r="R106" s="605"/>
      <c r="S106" s="605"/>
      <c r="T106" s="605"/>
      <c r="U106" s="605"/>
      <c r="V106" s="663">
        <v>0</v>
      </c>
      <c r="W106" s="607"/>
      <c r="X106" s="588"/>
    </row>
    <row r="107" spans="1:25" s="589" customFormat="1" x14ac:dyDescent="0.25">
      <c r="A107" s="604" t="s">
        <v>128</v>
      </c>
      <c r="B107" s="605" t="s">
        <v>220</v>
      </c>
      <c r="C107" s="605"/>
      <c r="D107" s="605"/>
      <c r="E107" s="605"/>
      <c r="F107" s="605"/>
      <c r="G107" s="605"/>
      <c r="H107" s="605"/>
      <c r="I107" s="605"/>
      <c r="J107" s="605"/>
      <c r="K107" s="605"/>
      <c r="L107" s="605"/>
      <c r="M107" s="605"/>
      <c r="N107" s="605"/>
      <c r="O107" s="605"/>
      <c r="P107" s="605"/>
      <c r="Q107" s="605"/>
      <c r="R107" s="605"/>
      <c r="S107" s="605"/>
      <c r="T107" s="605"/>
      <c r="U107" s="605"/>
      <c r="V107" s="663">
        <f>-690+177</f>
        <v>-513</v>
      </c>
      <c r="W107" s="607"/>
      <c r="X107" s="588"/>
      <c r="Y107" s="685"/>
    </row>
    <row r="108" spans="1:25" s="589" customFormat="1" x14ac:dyDescent="0.25">
      <c r="A108" s="604" t="s">
        <v>150</v>
      </c>
      <c r="B108" s="605" t="s">
        <v>184</v>
      </c>
      <c r="C108" s="605"/>
      <c r="D108" s="605"/>
      <c r="E108" s="605"/>
      <c r="F108" s="605"/>
      <c r="G108" s="605"/>
      <c r="H108" s="605"/>
      <c r="I108" s="605"/>
      <c r="J108" s="605"/>
      <c r="K108" s="605"/>
      <c r="L108" s="605"/>
      <c r="M108" s="605"/>
      <c r="N108" s="605"/>
      <c r="O108" s="605"/>
      <c r="P108" s="605"/>
      <c r="Q108" s="605"/>
      <c r="R108" s="605"/>
      <c r="S108" s="605"/>
      <c r="T108" s="605"/>
      <c r="U108" s="605"/>
      <c r="V108" s="663">
        <v>-177</v>
      </c>
      <c r="W108" s="607"/>
      <c r="X108" s="588"/>
      <c r="Y108" s="685"/>
    </row>
    <row r="109" spans="1:25" s="589" customFormat="1" x14ac:dyDescent="0.25">
      <c r="A109" s="604" t="s">
        <v>205</v>
      </c>
      <c r="B109" s="605" t="s">
        <v>185</v>
      </c>
      <c r="C109" s="605"/>
      <c r="D109" s="605"/>
      <c r="E109" s="605"/>
      <c r="F109" s="605"/>
      <c r="G109" s="605"/>
      <c r="H109" s="605"/>
      <c r="I109" s="605"/>
      <c r="J109" s="605"/>
      <c r="K109" s="605"/>
      <c r="L109" s="605"/>
      <c r="M109" s="605"/>
      <c r="N109" s="605"/>
      <c r="O109" s="605"/>
      <c r="P109" s="605"/>
      <c r="Q109" s="605"/>
      <c r="R109" s="605"/>
      <c r="S109" s="605"/>
      <c r="T109" s="605"/>
      <c r="U109" s="605"/>
      <c r="V109" s="663">
        <v>-159</v>
      </c>
      <c r="W109" s="607"/>
      <c r="X109" s="588"/>
      <c r="Y109" s="685"/>
    </row>
    <row r="110" spans="1:25" s="589" customFormat="1" x14ac:dyDescent="0.25">
      <c r="A110" s="604" t="s">
        <v>206</v>
      </c>
      <c r="B110" s="605" t="s">
        <v>186</v>
      </c>
      <c r="C110" s="605"/>
      <c r="D110" s="605"/>
      <c r="E110" s="605"/>
      <c r="F110" s="605"/>
      <c r="G110" s="605"/>
      <c r="H110" s="605"/>
      <c r="I110" s="605"/>
      <c r="J110" s="605"/>
      <c r="K110" s="605"/>
      <c r="L110" s="605"/>
      <c r="M110" s="605"/>
      <c r="N110" s="605"/>
      <c r="O110" s="605"/>
      <c r="P110" s="605"/>
      <c r="Q110" s="605"/>
      <c r="R110" s="605"/>
      <c r="S110" s="605"/>
      <c r="T110" s="605"/>
      <c r="U110" s="605"/>
      <c r="V110" s="663">
        <v>-44</v>
      </c>
      <c r="W110" s="607"/>
      <c r="X110" s="588"/>
      <c r="Y110" s="685"/>
    </row>
    <row r="111" spans="1:25" s="589" customFormat="1" x14ac:dyDescent="0.25">
      <c r="A111" s="604">
        <v>6</v>
      </c>
      <c r="B111" s="605" t="s">
        <v>196</v>
      </c>
      <c r="C111" s="605"/>
      <c r="D111" s="605"/>
      <c r="E111" s="605"/>
      <c r="F111" s="605"/>
      <c r="G111" s="605"/>
      <c r="H111" s="605"/>
      <c r="I111" s="605"/>
      <c r="J111" s="605"/>
      <c r="K111" s="605"/>
      <c r="L111" s="605"/>
      <c r="M111" s="605"/>
      <c r="N111" s="605"/>
      <c r="O111" s="605"/>
      <c r="P111" s="605"/>
      <c r="Q111" s="605"/>
      <c r="R111" s="605"/>
      <c r="S111" s="605"/>
      <c r="T111" s="605"/>
      <c r="U111" s="605"/>
      <c r="V111" s="663">
        <v>-321</v>
      </c>
      <c r="W111" s="607"/>
      <c r="X111" s="588"/>
      <c r="Y111" s="685"/>
    </row>
    <row r="112" spans="1:25" s="589" customFormat="1" x14ac:dyDescent="0.25">
      <c r="A112" s="604">
        <v>7</v>
      </c>
      <c r="B112" s="684" t="s">
        <v>315</v>
      </c>
      <c r="C112" s="605"/>
      <c r="D112" s="605"/>
      <c r="E112" s="605"/>
      <c r="F112" s="605"/>
      <c r="G112" s="605"/>
      <c r="H112" s="605"/>
      <c r="I112" s="605"/>
      <c r="J112" s="605"/>
      <c r="K112" s="605"/>
      <c r="L112" s="605"/>
      <c r="M112" s="605"/>
      <c r="N112" s="605"/>
      <c r="O112" s="605"/>
      <c r="P112" s="605"/>
      <c r="Q112" s="605"/>
      <c r="R112" s="605"/>
      <c r="S112" s="605"/>
      <c r="T112" s="605"/>
      <c r="U112" s="605"/>
      <c r="V112" s="663">
        <v>0</v>
      </c>
      <c r="W112" s="607"/>
      <c r="X112" s="588"/>
      <c r="Y112" s="685"/>
    </row>
    <row r="113" spans="1:24" s="589" customFormat="1" x14ac:dyDescent="0.25">
      <c r="A113" s="604">
        <v>8</v>
      </c>
      <c r="B113" s="605" t="s">
        <v>35</v>
      </c>
      <c r="C113" s="605"/>
      <c r="D113" s="605"/>
      <c r="E113" s="605"/>
      <c r="F113" s="605"/>
      <c r="G113" s="605"/>
      <c r="H113" s="605"/>
      <c r="I113" s="605"/>
      <c r="J113" s="605"/>
      <c r="K113" s="605"/>
      <c r="L113" s="605"/>
      <c r="M113" s="605"/>
      <c r="N113" s="605"/>
      <c r="O113" s="605"/>
      <c r="P113" s="605"/>
      <c r="Q113" s="605"/>
      <c r="R113" s="605"/>
      <c r="S113" s="605"/>
      <c r="T113" s="605"/>
      <c r="U113" s="605"/>
      <c r="V113" s="663">
        <v>-9</v>
      </c>
      <c r="W113" s="607"/>
      <c r="X113" s="588"/>
    </row>
    <row r="114" spans="1:24" s="589" customFormat="1" x14ac:dyDescent="0.25">
      <c r="A114" s="604">
        <f t="shared" ref="A114:A122" si="0">+A113+1</f>
        <v>9</v>
      </c>
      <c r="B114" s="605" t="s">
        <v>45</v>
      </c>
      <c r="C114" s="605"/>
      <c r="D114" s="605"/>
      <c r="E114" s="605"/>
      <c r="F114" s="605"/>
      <c r="G114" s="605"/>
      <c r="H114" s="605"/>
      <c r="I114" s="605"/>
      <c r="J114" s="605"/>
      <c r="K114" s="605"/>
      <c r="L114" s="605"/>
      <c r="M114" s="605"/>
      <c r="N114" s="605"/>
      <c r="O114" s="605"/>
      <c r="P114" s="605"/>
      <c r="Q114" s="605"/>
      <c r="R114" s="605"/>
      <c r="S114" s="605"/>
      <c r="T114" s="662">
        <f>-V114</f>
        <v>3</v>
      </c>
      <c r="U114" s="605"/>
      <c r="V114" s="663">
        <v>-3</v>
      </c>
      <c r="W114" s="607"/>
      <c r="X114" s="588"/>
    </row>
    <row r="115" spans="1:24" s="589" customFormat="1" x14ac:dyDescent="0.25">
      <c r="A115" s="604">
        <f t="shared" si="0"/>
        <v>10</v>
      </c>
      <c r="B115" s="605" t="s">
        <v>125</v>
      </c>
      <c r="C115" s="605"/>
      <c r="D115" s="605"/>
      <c r="E115" s="605"/>
      <c r="F115" s="605"/>
      <c r="G115" s="605"/>
      <c r="H115" s="605"/>
      <c r="I115" s="605"/>
      <c r="J115" s="605"/>
      <c r="K115" s="605"/>
      <c r="L115" s="605"/>
      <c r="M115" s="605"/>
      <c r="N115" s="605"/>
      <c r="O115" s="605"/>
      <c r="P115" s="605"/>
      <c r="Q115" s="605"/>
      <c r="R115" s="605"/>
      <c r="S115" s="605"/>
      <c r="T115" s="605"/>
      <c r="U115" s="605"/>
      <c r="V115" s="663">
        <v>0</v>
      </c>
      <c r="W115" s="607"/>
      <c r="X115" s="588"/>
    </row>
    <row r="116" spans="1:24" s="589" customFormat="1" x14ac:dyDescent="0.25">
      <c r="A116" s="604">
        <f t="shared" si="0"/>
        <v>11</v>
      </c>
      <c r="B116" s="605" t="s">
        <v>225</v>
      </c>
      <c r="C116" s="605"/>
      <c r="D116" s="605"/>
      <c r="E116" s="605"/>
      <c r="F116" s="605"/>
      <c r="G116" s="605"/>
      <c r="H116" s="605"/>
      <c r="I116" s="605"/>
      <c r="J116" s="605"/>
      <c r="K116" s="605"/>
      <c r="L116" s="605"/>
      <c r="M116" s="605"/>
      <c r="N116" s="605"/>
      <c r="O116" s="605"/>
      <c r="P116" s="605"/>
      <c r="Q116" s="605"/>
      <c r="R116" s="605"/>
      <c r="S116" s="605"/>
      <c r="T116" s="605"/>
      <c r="U116" s="605"/>
      <c r="V116" s="663">
        <v>0</v>
      </c>
      <c r="W116" s="607"/>
      <c r="X116" s="588"/>
    </row>
    <row r="117" spans="1:24" s="589" customFormat="1" x14ac:dyDescent="0.25">
      <c r="A117" s="604">
        <f t="shared" si="0"/>
        <v>12</v>
      </c>
      <c r="B117" s="605" t="s">
        <v>36</v>
      </c>
      <c r="C117" s="605"/>
      <c r="D117" s="605"/>
      <c r="E117" s="605"/>
      <c r="F117" s="605"/>
      <c r="G117" s="605"/>
      <c r="H117" s="605"/>
      <c r="I117" s="605"/>
      <c r="J117" s="605"/>
      <c r="K117" s="605"/>
      <c r="L117" s="605"/>
      <c r="M117" s="605"/>
      <c r="N117" s="605"/>
      <c r="O117" s="605"/>
      <c r="P117" s="605"/>
      <c r="Q117" s="605"/>
      <c r="R117" s="605"/>
      <c r="S117" s="605"/>
      <c r="T117" s="605"/>
      <c r="U117" s="605"/>
      <c r="V117" s="663">
        <v>0</v>
      </c>
      <c r="W117" s="607"/>
      <c r="X117" s="588"/>
    </row>
    <row r="118" spans="1:24" s="589" customFormat="1" x14ac:dyDescent="0.25">
      <c r="A118" s="604">
        <f t="shared" si="0"/>
        <v>13</v>
      </c>
      <c r="B118" s="605" t="s">
        <v>149</v>
      </c>
      <c r="C118" s="605"/>
      <c r="D118" s="605"/>
      <c r="E118" s="605"/>
      <c r="F118" s="605"/>
      <c r="G118" s="605"/>
      <c r="H118" s="605"/>
      <c r="I118" s="605"/>
      <c r="J118" s="605"/>
      <c r="K118" s="605"/>
      <c r="L118" s="605"/>
      <c r="M118" s="605"/>
      <c r="N118" s="605"/>
      <c r="O118" s="605"/>
      <c r="P118" s="605"/>
      <c r="Q118" s="605"/>
      <c r="R118" s="605"/>
      <c r="S118" s="605"/>
      <c r="T118" s="605"/>
      <c r="U118" s="605"/>
      <c r="V118" s="663">
        <v>-207</v>
      </c>
      <c r="W118" s="607"/>
      <c r="X118" s="588"/>
    </row>
    <row r="119" spans="1:24" s="589" customFormat="1" x14ac:dyDescent="0.25">
      <c r="A119" s="604">
        <f t="shared" si="0"/>
        <v>14</v>
      </c>
      <c r="B119" s="605" t="s">
        <v>353</v>
      </c>
      <c r="C119" s="605"/>
      <c r="D119" s="605"/>
      <c r="E119" s="605"/>
      <c r="F119" s="605"/>
      <c r="G119" s="605"/>
      <c r="H119" s="605"/>
      <c r="I119" s="605"/>
      <c r="J119" s="605"/>
      <c r="K119" s="605"/>
      <c r="L119" s="605"/>
      <c r="M119" s="605"/>
      <c r="N119" s="605"/>
      <c r="O119" s="605"/>
      <c r="P119" s="605"/>
      <c r="Q119" s="605"/>
      <c r="R119" s="605"/>
      <c r="S119" s="605"/>
      <c r="T119" s="605"/>
      <c r="U119" s="605"/>
      <c r="V119" s="663">
        <v>-213</v>
      </c>
      <c r="W119" s="607"/>
      <c r="X119" s="588"/>
    </row>
    <row r="120" spans="1:24" s="589" customFormat="1" x14ac:dyDescent="0.25">
      <c r="A120" s="604">
        <f t="shared" si="0"/>
        <v>15</v>
      </c>
      <c r="B120" s="605" t="s">
        <v>350</v>
      </c>
      <c r="C120" s="605"/>
      <c r="D120" s="605"/>
      <c r="E120" s="605"/>
      <c r="F120" s="605"/>
      <c r="G120" s="605"/>
      <c r="H120" s="605"/>
      <c r="I120" s="605"/>
      <c r="J120" s="605"/>
      <c r="K120" s="605"/>
      <c r="L120" s="605"/>
      <c r="M120" s="605"/>
      <c r="N120" s="605"/>
      <c r="O120" s="605"/>
      <c r="P120" s="605"/>
      <c r="Q120" s="605"/>
      <c r="R120" s="605"/>
      <c r="S120" s="605"/>
      <c r="T120" s="605"/>
      <c r="U120" s="605"/>
      <c r="V120" s="663">
        <v>0</v>
      </c>
      <c r="W120" s="607"/>
      <c r="X120" s="588"/>
    </row>
    <row r="121" spans="1:24" s="589" customFormat="1" x14ac:dyDescent="0.25">
      <c r="A121" s="604">
        <f t="shared" si="0"/>
        <v>16</v>
      </c>
      <c r="B121" s="605" t="s">
        <v>352</v>
      </c>
      <c r="C121" s="605"/>
      <c r="D121" s="605"/>
      <c r="E121" s="605"/>
      <c r="F121" s="605"/>
      <c r="G121" s="605"/>
      <c r="H121" s="605"/>
      <c r="I121" s="605"/>
      <c r="J121" s="605"/>
      <c r="K121" s="605"/>
      <c r="L121" s="605"/>
      <c r="M121" s="605"/>
      <c r="N121" s="605"/>
      <c r="O121" s="605"/>
      <c r="P121" s="605"/>
      <c r="Q121" s="605"/>
      <c r="R121" s="605"/>
      <c r="S121" s="605"/>
      <c r="T121" s="605"/>
      <c r="U121" s="605"/>
      <c r="V121" s="663">
        <v>0</v>
      </c>
      <c r="W121" s="607"/>
      <c r="X121" s="588"/>
    </row>
    <row r="122" spans="1:24" s="589" customFormat="1" x14ac:dyDescent="0.25">
      <c r="A122" s="604">
        <f t="shared" si="0"/>
        <v>17</v>
      </c>
      <c r="B122" s="605" t="s">
        <v>351</v>
      </c>
      <c r="C122" s="605"/>
      <c r="D122" s="605"/>
      <c r="E122" s="605"/>
      <c r="F122" s="605"/>
      <c r="G122" s="605"/>
      <c r="H122" s="605"/>
      <c r="I122" s="605"/>
      <c r="J122" s="605"/>
      <c r="K122" s="605"/>
      <c r="L122" s="605"/>
      <c r="M122" s="605"/>
      <c r="N122" s="605"/>
      <c r="O122" s="605"/>
      <c r="P122" s="605"/>
      <c r="Q122" s="605"/>
      <c r="R122" s="605"/>
      <c r="S122" s="605"/>
      <c r="T122" s="605"/>
      <c r="U122" s="605"/>
      <c r="V122" s="663">
        <f>-V101-SUM(V103:V121)</f>
        <v>-1203</v>
      </c>
      <c r="W122" s="607"/>
      <c r="X122" s="588"/>
    </row>
    <row r="123" spans="1:24" x14ac:dyDescent="0.25">
      <c r="A123" s="677"/>
      <c r="B123" s="678" t="s">
        <v>37</v>
      </c>
      <c r="C123" s="679"/>
      <c r="D123" s="679"/>
      <c r="E123" s="679"/>
      <c r="F123" s="679"/>
      <c r="G123" s="679"/>
      <c r="H123" s="679"/>
      <c r="I123" s="679"/>
      <c r="J123" s="679"/>
      <c r="K123" s="679"/>
      <c r="L123" s="679"/>
      <c r="M123" s="679"/>
      <c r="N123" s="679"/>
      <c r="O123" s="679"/>
      <c r="P123" s="679"/>
      <c r="Q123" s="679"/>
      <c r="R123" s="679"/>
      <c r="S123" s="679"/>
      <c r="T123" s="681"/>
      <c r="U123" s="681"/>
      <c r="V123" s="686"/>
      <c r="W123" s="683"/>
      <c r="X123" s="572"/>
    </row>
    <row r="124" spans="1:24" s="589" customFormat="1" x14ac:dyDescent="0.25">
      <c r="A124" s="604"/>
      <c r="B124" s="605" t="s">
        <v>173</v>
      </c>
      <c r="C124" s="605"/>
      <c r="D124" s="605"/>
      <c r="E124" s="605"/>
      <c r="F124" s="605"/>
      <c r="G124" s="605"/>
      <c r="H124" s="605"/>
      <c r="I124" s="605"/>
      <c r="J124" s="605"/>
      <c r="K124" s="605"/>
      <c r="L124" s="605"/>
      <c r="M124" s="605"/>
      <c r="N124" s="605"/>
      <c r="O124" s="605"/>
      <c r="P124" s="605"/>
      <c r="Q124" s="605"/>
      <c r="R124" s="605"/>
      <c r="S124" s="605"/>
      <c r="T124" s="662">
        <f>-T189</f>
        <v>0</v>
      </c>
      <c r="U124" s="662"/>
      <c r="V124" s="663"/>
      <c r="W124" s="607"/>
      <c r="X124" s="588"/>
    </row>
    <row r="125" spans="1:24" s="589" customFormat="1" x14ac:dyDescent="0.25">
      <c r="A125" s="604"/>
      <c r="B125" s="605" t="s">
        <v>174</v>
      </c>
      <c r="C125" s="605"/>
      <c r="D125" s="605"/>
      <c r="E125" s="605"/>
      <c r="F125" s="605"/>
      <c r="G125" s="605"/>
      <c r="H125" s="605"/>
      <c r="I125" s="605"/>
      <c r="J125" s="605"/>
      <c r="K125" s="605"/>
      <c r="L125" s="605"/>
      <c r="M125" s="605"/>
      <c r="N125" s="605"/>
      <c r="O125" s="605"/>
      <c r="P125" s="605"/>
      <c r="Q125" s="605"/>
      <c r="R125" s="605"/>
      <c r="S125" s="605"/>
      <c r="T125" s="662">
        <v>0</v>
      </c>
      <c r="U125" s="662"/>
      <c r="V125" s="663"/>
      <c r="W125" s="607"/>
      <c r="X125" s="588"/>
    </row>
    <row r="126" spans="1:24" s="589" customFormat="1" x14ac:dyDescent="0.25">
      <c r="A126" s="604"/>
      <c r="B126" s="605" t="s">
        <v>38</v>
      </c>
      <c r="C126" s="605"/>
      <c r="D126" s="605"/>
      <c r="E126" s="605"/>
      <c r="F126" s="605"/>
      <c r="G126" s="605"/>
      <c r="H126" s="605"/>
      <c r="I126" s="605"/>
      <c r="J126" s="605"/>
      <c r="K126" s="605"/>
      <c r="L126" s="605"/>
      <c r="M126" s="605"/>
      <c r="N126" s="605"/>
      <c r="O126" s="605"/>
      <c r="P126" s="605"/>
      <c r="Q126" s="605"/>
      <c r="R126" s="605"/>
      <c r="S126" s="605"/>
      <c r="T126" s="662">
        <f>-S189</f>
        <v>0</v>
      </c>
      <c r="U126" s="662"/>
      <c r="V126" s="663"/>
      <c r="W126" s="607"/>
      <c r="X126" s="588"/>
    </row>
    <row r="127" spans="1:24" s="589" customFormat="1" x14ac:dyDescent="0.25">
      <c r="A127" s="604"/>
      <c r="B127" s="605" t="s">
        <v>197</v>
      </c>
      <c r="C127" s="605"/>
      <c r="D127" s="605"/>
      <c r="E127" s="605"/>
      <c r="F127" s="605"/>
      <c r="G127" s="605"/>
      <c r="H127" s="605"/>
      <c r="I127" s="605"/>
      <c r="J127" s="605"/>
      <c r="K127" s="605"/>
      <c r="L127" s="605"/>
      <c r="M127" s="605"/>
      <c r="N127" s="605"/>
      <c r="O127" s="605"/>
      <c r="P127" s="605"/>
      <c r="Q127" s="605"/>
      <c r="R127" s="605"/>
      <c r="S127" s="605"/>
      <c r="T127" s="662">
        <v>-5400</v>
      </c>
      <c r="U127" s="662"/>
      <c r="V127" s="663"/>
      <c r="W127" s="607"/>
      <c r="X127" s="588"/>
    </row>
    <row r="128" spans="1:24" s="589" customFormat="1" x14ac:dyDescent="0.25">
      <c r="A128" s="604"/>
      <c r="B128" s="605" t="s">
        <v>195</v>
      </c>
      <c r="C128" s="605"/>
      <c r="D128" s="605"/>
      <c r="E128" s="605"/>
      <c r="F128" s="605"/>
      <c r="G128" s="605"/>
      <c r="H128" s="605"/>
      <c r="I128" s="605"/>
      <c r="J128" s="605"/>
      <c r="K128" s="605"/>
      <c r="L128" s="605"/>
      <c r="M128" s="605"/>
      <c r="N128" s="605"/>
      <c r="O128" s="605"/>
      <c r="P128" s="605"/>
      <c r="Q128" s="605"/>
      <c r="R128" s="605"/>
      <c r="S128" s="605"/>
      <c r="T128" s="662">
        <v>-2295</v>
      </c>
      <c r="U128" s="662"/>
      <c r="V128" s="663"/>
      <c r="W128" s="607"/>
      <c r="X128" s="588"/>
    </row>
    <row r="129" spans="1:24" s="589" customFormat="1" x14ac:dyDescent="0.25">
      <c r="A129" s="604"/>
      <c r="B129" s="605" t="s">
        <v>194</v>
      </c>
      <c r="C129" s="605"/>
      <c r="D129" s="605"/>
      <c r="E129" s="605"/>
      <c r="F129" s="605"/>
      <c r="G129" s="605"/>
      <c r="H129" s="605"/>
      <c r="I129" s="605"/>
      <c r="J129" s="605"/>
      <c r="K129" s="605"/>
      <c r="L129" s="605"/>
      <c r="M129" s="605"/>
      <c r="N129" s="605"/>
      <c r="O129" s="605"/>
      <c r="P129" s="605"/>
      <c r="Q129" s="605"/>
      <c r="R129" s="605"/>
      <c r="S129" s="605"/>
      <c r="T129" s="662">
        <v>-818</v>
      </c>
      <c r="U129" s="662"/>
      <c r="V129" s="663"/>
      <c r="W129" s="607"/>
      <c r="X129" s="588"/>
    </row>
    <row r="130" spans="1:24" s="589" customFormat="1" x14ac:dyDescent="0.25">
      <c r="A130" s="604"/>
      <c r="B130" s="605" t="s">
        <v>222</v>
      </c>
      <c r="C130" s="605"/>
      <c r="D130" s="605"/>
      <c r="E130" s="605"/>
      <c r="F130" s="605"/>
      <c r="G130" s="605"/>
      <c r="H130" s="605"/>
      <c r="I130" s="605"/>
      <c r="J130" s="605"/>
      <c r="K130" s="605"/>
      <c r="L130" s="605"/>
      <c r="M130" s="605"/>
      <c r="N130" s="605"/>
      <c r="O130" s="605"/>
      <c r="P130" s="605"/>
      <c r="Q130" s="605"/>
      <c r="R130" s="605"/>
      <c r="S130" s="605"/>
      <c r="T130" s="662">
        <v>-810</v>
      </c>
      <c r="U130" s="662"/>
      <c r="V130" s="663"/>
      <c r="W130" s="607"/>
      <c r="X130" s="588"/>
    </row>
    <row r="131" spans="1:24" s="589" customFormat="1" x14ac:dyDescent="0.25">
      <c r="A131" s="604"/>
      <c r="B131" s="605" t="s">
        <v>189</v>
      </c>
      <c r="C131" s="605"/>
      <c r="D131" s="605"/>
      <c r="E131" s="605"/>
      <c r="F131" s="605"/>
      <c r="G131" s="605"/>
      <c r="H131" s="605"/>
      <c r="I131" s="605"/>
      <c r="J131" s="605"/>
      <c r="K131" s="605"/>
      <c r="L131" s="605"/>
      <c r="M131" s="605"/>
      <c r="N131" s="605"/>
      <c r="O131" s="605"/>
      <c r="P131" s="605"/>
      <c r="Q131" s="605"/>
      <c r="R131" s="605"/>
      <c r="S131" s="605"/>
      <c r="T131" s="662">
        <v>0</v>
      </c>
      <c r="U131" s="662"/>
      <c r="V131" s="663"/>
      <c r="W131" s="607"/>
      <c r="X131" s="588"/>
    </row>
    <row r="132" spans="1:24" s="589" customFormat="1" x14ac:dyDescent="0.25">
      <c r="A132" s="604"/>
      <c r="B132" s="605" t="s">
        <v>188</v>
      </c>
      <c r="C132" s="605"/>
      <c r="D132" s="605"/>
      <c r="E132" s="605"/>
      <c r="F132" s="605"/>
      <c r="G132" s="605"/>
      <c r="H132" s="605"/>
      <c r="I132" s="605"/>
      <c r="J132" s="605"/>
      <c r="K132" s="605"/>
      <c r="L132" s="605"/>
      <c r="M132" s="605"/>
      <c r="N132" s="605"/>
      <c r="O132" s="605"/>
      <c r="P132" s="605"/>
      <c r="Q132" s="605"/>
      <c r="R132" s="605"/>
      <c r="S132" s="605"/>
      <c r="T132" s="662">
        <v>0</v>
      </c>
      <c r="U132" s="662"/>
      <c r="V132" s="663"/>
      <c r="W132" s="607"/>
      <c r="X132" s="588"/>
    </row>
    <row r="133" spans="1:24" s="589" customFormat="1" x14ac:dyDescent="0.25">
      <c r="A133" s="604"/>
      <c r="B133" s="605" t="s">
        <v>187</v>
      </c>
      <c r="C133" s="605"/>
      <c r="D133" s="605"/>
      <c r="E133" s="605"/>
      <c r="F133" s="605"/>
      <c r="G133" s="605"/>
      <c r="H133" s="605"/>
      <c r="I133" s="605"/>
      <c r="J133" s="605"/>
      <c r="K133" s="605"/>
      <c r="L133" s="605"/>
      <c r="M133" s="605"/>
      <c r="N133" s="605"/>
      <c r="O133" s="605"/>
      <c r="P133" s="605"/>
      <c r="Q133" s="605"/>
      <c r="R133" s="605"/>
      <c r="S133" s="605"/>
      <c r="T133" s="662">
        <v>0</v>
      </c>
      <c r="U133" s="662"/>
      <c r="V133" s="663"/>
      <c r="W133" s="607"/>
      <c r="X133" s="588"/>
    </row>
    <row r="134" spans="1:24" s="589" customFormat="1" x14ac:dyDescent="0.25">
      <c r="A134" s="604"/>
      <c r="B134" s="605" t="s">
        <v>39</v>
      </c>
      <c r="C134" s="605"/>
      <c r="D134" s="605"/>
      <c r="E134" s="605"/>
      <c r="F134" s="605"/>
      <c r="G134" s="605"/>
      <c r="H134" s="605"/>
      <c r="I134" s="605"/>
      <c r="J134" s="605"/>
      <c r="K134" s="605"/>
      <c r="L134" s="605"/>
      <c r="M134" s="605"/>
      <c r="N134" s="605"/>
      <c r="O134" s="605"/>
      <c r="P134" s="605"/>
      <c r="Q134" s="605"/>
      <c r="R134" s="605"/>
      <c r="S134" s="605"/>
      <c r="T134" s="662">
        <f>SUM(T124:T133)</f>
        <v>-9323</v>
      </c>
      <c r="U134" s="662"/>
      <c r="V134" s="662">
        <f>SUM(V102:V132)</f>
        <v>-3120</v>
      </c>
      <c r="W134" s="607"/>
      <c r="X134" s="588"/>
    </row>
    <row r="135" spans="1:24" s="589" customFormat="1" x14ac:dyDescent="0.25">
      <c r="A135" s="604"/>
      <c r="B135" s="605" t="s">
        <v>40</v>
      </c>
      <c r="C135" s="605"/>
      <c r="D135" s="605"/>
      <c r="E135" s="605"/>
      <c r="F135" s="605"/>
      <c r="G135" s="605"/>
      <c r="H135" s="605"/>
      <c r="I135" s="605"/>
      <c r="J135" s="605"/>
      <c r="K135" s="605"/>
      <c r="L135" s="605"/>
      <c r="M135" s="605"/>
      <c r="N135" s="605"/>
      <c r="O135" s="605"/>
      <c r="P135" s="605"/>
      <c r="Q135" s="605"/>
      <c r="R135" s="605"/>
      <c r="S135" s="605"/>
      <c r="T135" s="662">
        <f>T101+T134+T114</f>
        <v>0</v>
      </c>
      <c r="U135" s="662"/>
      <c r="V135" s="662">
        <f>V101+V134</f>
        <v>0</v>
      </c>
      <c r="W135" s="607"/>
      <c r="X135" s="588"/>
    </row>
    <row r="136" spans="1:24" s="589" customFormat="1" x14ac:dyDescent="0.25">
      <c r="A136" s="585"/>
      <c r="B136" s="602"/>
      <c r="C136" s="602"/>
      <c r="D136" s="602"/>
      <c r="E136" s="602"/>
      <c r="F136" s="602"/>
      <c r="G136" s="602"/>
      <c r="H136" s="602"/>
      <c r="I136" s="602"/>
      <c r="J136" s="602"/>
      <c r="K136" s="602"/>
      <c r="L136" s="602"/>
      <c r="M136" s="602"/>
      <c r="N136" s="602"/>
      <c r="O136" s="602"/>
      <c r="P136" s="602"/>
      <c r="Q136" s="602"/>
      <c r="R136" s="602"/>
      <c r="S136" s="602"/>
      <c r="T136" s="673"/>
      <c r="U136" s="673"/>
      <c r="V136" s="673"/>
      <c r="W136" s="602"/>
      <c r="X136" s="588"/>
    </row>
    <row r="137" spans="1:24" s="589" customFormat="1" x14ac:dyDescent="0.25">
      <c r="A137" s="585"/>
      <c r="B137" s="586"/>
      <c r="C137" s="586"/>
      <c r="D137" s="586"/>
      <c r="E137" s="586"/>
      <c r="F137" s="586"/>
      <c r="G137" s="586"/>
      <c r="H137" s="586"/>
      <c r="I137" s="586"/>
      <c r="J137" s="586"/>
      <c r="K137" s="586"/>
      <c r="L137" s="586"/>
      <c r="M137" s="586"/>
      <c r="N137" s="586"/>
      <c r="O137" s="586"/>
      <c r="P137" s="586"/>
      <c r="Q137" s="586"/>
      <c r="R137" s="586"/>
      <c r="S137" s="586"/>
      <c r="T137" s="586"/>
      <c r="U137" s="586"/>
      <c r="V137" s="687"/>
      <c r="W137" s="586"/>
      <c r="X137" s="588"/>
    </row>
    <row r="138" spans="1:24" s="589" customFormat="1" ht="19.5" thickBot="1" x14ac:dyDescent="0.35">
      <c r="A138" s="649"/>
      <c r="B138" s="568" t="str">
        <f>B64</f>
        <v>PM15 INVESTOR REPORT QUARTER ENDING MAY 2020</v>
      </c>
      <c r="C138" s="650"/>
      <c r="D138" s="650"/>
      <c r="E138" s="650"/>
      <c r="F138" s="650"/>
      <c r="G138" s="650"/>
      <c r="H138" s="650"/>
      <c r="I138" s="650"/>
      <c r="J138" s="650"/>
      <c r="K138" s="650"/>
      <c r="L138" s="650"/>
      <c r="M138" s="650"/>
      <c r="N138" s="650"/>
      <c r="O138" s="650"/>
      <c r="P138" s="650"/>
      <c r="Q138" s="650"/>
      <c r="R138" s="650"/>
      <c r="S138" s="650"/>
      <c r="T138" s="650"/>
      <c r="U138" s="650"/>
      <c r="V138" s="688"/>
      <c r="W138" s="652"/>
      <c r="X138" s="588"/>
    </row>
    <row r="139" spans="1:24" x14ac:dyDescent="0.25">
      <c r="A139" s="689"/>
      <c r="B139" s="690" t="s">
        <v>41</v>
      </c>
      <c r="C139" s="691"/>
      <c r="D139" s="691"/>
      <c r="E139" s="691"/>
      <c r="F139" s="691"/>
      <c r="G139" s="691"/>
      <c r="H139" s="691"/>
      <c r="I139" s="691"/>
      <c r="J139" s="691"/>
      <c r="K139" s="691"/>
      <c r="L139" s="691"/>
      <c r="M139" s="691"/>
      <c r="N139" s="691"/>
      <c r="O139" s="691"/>
      <c r="P139" s="691"/>
      <c r="Q139" s="691"/>
      <c r="R139" s="691"/>
      <c r="S139" s="691"/>
      <c r="T139" s="691"/>
      <c r="U139" s="691"/>
      <c r="V139" s="692"/>
      <c r="W139" s="691"/>
      <c r="X139" s="572"/>
    </row>
    <row r="140" spans="1:24" x14ac:dyDescent="0.25">
      <c r="A140" s="574"/>
      <c r="B140" s="693"/>
      <c r="C140" s="576"/>
      <c r="D140" s="576"/>
      <c r="E140" s="576"/>
      <c r="F140" s="576"/>
      <c r="G140" s="576"/>
      <c r="H140" s="576"/>
      <c r="I140" s="576"/>
      <c r="J140" s="576"/>
      <c r="K140" s="576"/>
      <c r="L140" s="576"/>
      <c r="M140" s="576"/>
      <c r="N140" s="576"/>
      <c r="O140" s="576"/>
      <c r="P140" s="576"/>
      <c r="Q140" s="576"/>
      <c r="R140" s="576"/>
      <c r="S140" s="576"/>
      <c r="T140" s="576"/>
      <c r="U140" s="576"/>
      <c r="V140" s="656"/>
      <c r="W140" s="576"/>
      <c r="X140" s="572"/>
    </row>
    <row r="141" spans="1:24" x14ac:dyDescent="0.25">
      <c r="A141" s="574"/>
      <c r="B141" s="694" t="s">
        <v>42</v>
      </c>
      <c r="C141" s="576"/>
      <c r="D141" s="576"/>
      <c r="E141" s="576"/>
      <c r="F141" s="576"/>
      <c r="G141" s="576"/>
      <c r="H141" s="576"/>
      <c r="I141" s="576"/>
      <c r="J141" s="576"/>
      <c r="K141" s="576"/>
      <c r="L141" s="576"/>
      <c r="M141" s="576"/>
      <c r="N141" s="576"/>
      <c r="O141" s="576"/>
      <c r="P141" s="576"/>
      <c r="Q141" s="576"/>
      <c r="R141" s="576"/>
      <c r="S141" s="576"/>
      <c r="T141" s="576"/>
      <c r="U141" s="576"/>
      <c r="V141" s="656"/>
      <c r="W141" s="576"/>
      <c r="X141" s="572"/>
    </row>
    <row r="142" spans="1:24" s="589" customFormat="1" x14ac:dyDescent="0.25">
      <c r="A142" s="604"/>
      <c r="B142" s="605" t="s">
        <v>43</v>
      </c>
      <c r="C142" s="605"/>
      <c r="D142" s="605"/>
      <c r="E142" s="605"/>
      <c r="F142" s="605"/>
      <c r="G142" s="605"/>
      <c r="H142" s="605"/>
      <c r="I142" s="605"/>
      <c r="J142" s="605"/>
      <c r="K142" s="605"/>
      <c r="L142" s="605"/>
      <c r="M142" s="605"/>
      <c r="N142" s="605"/>
      <c r="O142" s="605"/>
      <c r="P142" s="605"/>
      <c r="Q142" s="605"/>
      <c r="R142" s="605"/>
      <c r="S142" s="605"/>
      <c r="T142" s="605"/>
      <c r="U142" s="605"/>
      <c r="V142" s="663">
        <f>+V34*0.019</f>
        <v>19021.526999999998</v>
      </c>
      <c r="W142" s="607"/>
      <c r="X142" s="588"/>
    </row>
    <row r="143" spans="1:24" s="589" customFormat="1" x14ac:dyDescent="0.25">
      <c r="A143" s="604"/>
      <c r="B143" s="605" t="s">
        <v>44</v>
      </c>
      <c r="C143" s="605"/>
      <c r="D143" s="605"/>
      <c r="E143" s="605"/>
      <c r="F143" s="605"/>
      <c r="G143" s="605"/>
      <c r="H143" s="605"/>
      <c r="I143" s="605"/>
      <c r="J143" s="605"/>
      <c r="K143" s="605"/>
      <c r="L143" s="605"/>
      <c r="M143" s="605"/>
      <c r="N143" s="605"/>
      <c r="O143" s="605"/>
      <c r="P143" s="605"/>
      <c r="Q143" s="605"/>
      <c r="R143" s="605"/>
      <c r="S143" s="605"/>
      <c r="T143" s="605"/>
      <c r="U143" s="605"/>
      <c r="V143" s="663">
        <v>19022</v>
      </c>
      <c r="W143" s="607"/>
      <c r="X143" s="588"/>
    </row>
    <row r="144" spans="1:24" s="589" customFormat="1" x14ac:dyDescent="0.25">
      <c r="A144" s="604"/>
      <c r="B144" s="605" t="s">
        <v>136</v>
      </c>
      <c r="C144" s="605"/>
      <c r="D144" s="605"/>
      <c r="E144" s="605"/>
      <c r="F144" s="605"/>
      <c r="G144" s="605"/>
      <c r="H144" s="605"/>
      <c r="I144" s="605"/>
      <c r="J144" s="605"/>
      <c r="K144" s="605"/>
      <c r="L144" s="605"/>
      <c r="M144" s="605"/>
      <c r="N144" s="605"/>
      <c r="O144" s="605"/>
      <c r="P144" s="605"/>
      <c r="Q144" s="605"/>
      <c r="R144" s="605"/>
      <c r="S144" s="605"/>
      <c r="T144" s="605"/>
      <c r="U144" s="605"/>
      <c r="V144" s="663"/>
      <c r="W144" s="607"/>
      <c r="X144" s="588"/>
    </row>
    <row r="145" spans="1:25" s="589" customFormat="1" x14ac:dyDescent="0.25">
      <c r="A145" s="604"/>
      <c r="B145" s="605" t="s">
        <v>123</v>
      </c>
      <c r="C145" s="605"/>
      <c r="D145" s="605"/>
      <c r="E145" s="605"/>
      <c r="F145" s="605"/>
      <c r="G145" s="605"/>
      <c r="H145" s="605"/>
      <c r="I145" s="605"/>
      <c r="J145" s="605"/>
      <c r="K145" s="605"/>
      <c r="L145" s="605"/>
      <c r="M145" s="605"/>
      <c r="N145" s="605"/>
      <c r="O145" s="605"/>
      <c r="P145" s="605"/>
      <c r="Q145" s="605"/>
      <c r="R145" s="605"/>
      <c r="S145" s="605"/>
      <c r="T145" s="605"/>
      <c r="U145" s="605"/>
      <c r="V145" s="663">
        <v>0</v>
      </c>
      <c r="W145" s="607"/>
      <c r="X145" s="588"/>
    </row>
    <row r="146" spans="1:25" s="589" customFormat="1" x14ac:dyDescent="0.25">
      <c r="A146" s="604"/>
      <c r="B146" s="605" t="s">
        <v>124</v>
      </c>
      <c r="C146" s="605"/>
      <c r="D146" s="605"/>
      <c r="E146" s="605"/>
      <c r="F146" s="605"/>
      <c r="G146" s="605"/>
      <c r="H146" s="605"/>
      <c r="I146" s="605"/>
      <c r="J146" s="605"/>
      <c r="K146" s="605"/>
      <c r="L146" s="605"/>
      <c r="M146" s="605"/>
      <c r="N146" s="605"/>
      <c r="O146" s="605"/>
      <c r="P146" s="605"/>
      <c r="Q146" s="605"/>
      <c r="R146" s="605"/>
      <c r="S146" s="605"/>
      <c r="T146" s="605"/>
      <c r="U146" s="605"/>
      <c r="V146" s="663">
        <v>0</v>
      </c>
      <c r="W146" s="607"/>
      <c r="X146" s="588"/>
    </row>
    <row r="147" spans="1:25" s="589" customFormat="1" x14ac:dyDescent="0.25">
      <c r="A147" s="604"/>
      <c r="B147" s="605" t="s">
        <v>175</v>
      </c>
      <c r="C147" s="605"/>
      <c r="D147" s="605"/>
      <c r="E147" s="605"/>
      <c r="F147" s="605"/>
      <c r="G147" s="605"/>
      <c r="H147" s="605"/>
      <c r="I147" s="605"/>
      <c r="J147" s="605"/>
      <c r="K147" s="605"/>
      <c r="L147" s="605"/>
      <c r="M147" s="605"/>
      <c r="N147" s="605"/>
      <c r="O147" s="605"/>
      <c r="P147" s="605"/>
      <c r="Q147" s="605"/>
      <c r="R147" s="605"/>
      <c r="S147" s="605"/>
      <c r="T147" s="605"/>
      <c r="U147" s="605"/>
      <c r="V147" s="663">
        <v>0</v>
      </c>
      <c r="W147" s="607"/>
      <c r="X147" s="588"/>
    </row>
    <row r="148" spans="1:25" s="589" customFormat="1" x14ac:dyDescent="0.25">
      <c r="A148" s="604"/>
      <c r="B148" s="605" t="s">
        <v>45</v>
      </c>
      <c r="C148" s="605"/>
      <c r="D148" s="605"/>
      <c r="E148" s="605"/>
      <c r="F148" s="605"/>
      <c r="G148" s="605"/>
      <c r="H148" s="605"/>
      <c r="I148" s="605"/>
      <c r="J148" s="605"/>
      <c r="K148" s="605"/>
      <c r="L148" s="605"/>
      <c r="M148" s="605"/>
      <c r="N148" s="605"/>
      <c r="O148" s="605"/>
      <c r="P148" s="605"/>
      <c r="Q148" s="605"/>
      <c r="R148" s="605"/>
      <c r="S148" s="605"/>
      <c r="T148" s="605"/>
      <c r="U148" s="605"/>
      <c r="V148" s="663">
        <v>0</v>
      </c>
      <c r="W148" s="607"/>
      <c r="X148" s="588"/>
    </row>
    <row r="149" spans="1:25" s="589" customFormat="1" x14ac:dyDescent="0.25">
      <c r="A149" s="604"/>
      <c r="B149" s="605" t="s">
        <v>129</v>
      </c>
      <c r="C149" s="605"/>
      <c r="D149" s="605"/>
      <c r="E149" s="605"/>
      <c r="F149" s="605"/>
      <c r="G149" s="605"/>
      <c r="H149" s="605"/>
      <c r="I149" s="605"/>
      <c r="J149" s="605"/>
      <c r="K149" s="605"/>
      <c r="L149" s="605"/>
      <c r="M149" s="605"/>
      <c r="N149" s="605"/>
      <c r="O149" s="605"/>
      <c r="P149" s="605"/>
      <c r="Q149" s="605"/>
      <c r="R149" s="605"/>
      <c r="S149" s="605"/>
      <c r="T149" s="605"/>
      <c r="U149" s="605"/>
      <c r="V149" s="663">
        <v>0</v>
      </c>
      <c r="W149" s="607"/>
      <c r="X149" s="588"/>
    </row>
    <row r="150" spans="1:25" s="589" customFormat="1" x14ac:dyDescent="0.25">
      <c r="A150" s="604"/>
      <c r="B150" s="605" t="s">
        <v>241</v>
      </c>
      <c r="C150" s="605"/>
      <c r="D150" s="605"/>
      <c r="E150" s="605"/>
      <c r="F150" s="605"/>
      <c r="G150" s="605"/>
      <c r="H150" s="605"/>
      <c r="I150" s="605"/>
      <c r="J150" s="605"/>
      <c r="K150" s="605"/>
      <c r="L150" s="605"/>
      <c r="M150" s="605"/>
      <c r="N150" s="605"/>
      <c r="O150" s="605"/>
      <c r="P150" s="605"/>
      <c r="Q150" s="605"/>
      <c r="R150" s="605"/>
      <c r="S150" s="605"/>
      <c r="T150" s="605"/>
      <c r="U150" s="605"/>
      <c r="V150" s="663">
        <v>0</v>
      </c>
      <c r="W150" s="607"/>
      <c r="X150" s="588"/>
      <c r="Y150" s="685"/>
    </row>
    <row r="151" spans="1:25" s="589" customFormat="1" x14ac:dyDescent="0.25">
      <c r="A151" s="604"/>
      <c r="B151" s="605" t="s">
        <v>46</v>
      </c>
      <c r="C151" s="605"/>
      <c r="D151" s="605"/>
      <c r="E151" s="605"/>
      <c r="F151" s="605"/>
      <c r="G151" s="605"/>
      <c r="H151" s="605"/>
      <c r="I151" s="605"/>
      <c r="J151" s="605"/>
      <c r="K151" s="605"/>
      <c r="L151" s="605"/>
      <c r="M151" s="605"/>
      <c r="N151" s="605"/>
      <c r="O151" s="605"/>
      <c r="P151" s="605"/>
      <c r="Q151" s="605"/>
      <c r="R151" s="605"/>
      <c r="S151" s="605"/>
      <c r="T151" s="605"/>
      <c r="U151" s="605"/>
      <c r="V151" s="663">
        <f>SUM(V143:V150)</f>
        <v>19022</v>
      </c>
      <c r="W151" s="607"/>
      <c r="X151" s="588"/>
    </row>
    <row r="152" spans="1:25" x14ac:dyDescent="0.25">
      <c r="A152" s="677"/>
      <c r="B152" s="679"/>
      <c r="C152" s="679"/>
      <c r="D152" s="679"/>
      <c r="E152" s="679"/>
      <c r="F152" s="679"/>
      <c r="G152" s="679"/>
      <c r="H152" s="679"/>
      <c r="I152" s="679"/>
      <c r="J152" s="679"/>
      <c r="K152" s="679"/>
      <c r="L152" s="679"/>
      <c r="M152" s="679"/>
      <c r="N152" s="679"/>
      <c r="O152" s="679"/>
      <c r="P152" s="679"/>
      <c r="Q152" s="679"/>
      <c r="R152" s="679"/>
      <c r="S152" s="679"/>
      <c r="T152" s="679"/>
      <c r="U152" s="679"/>
      <c r="V152" s="695"/>
      <c r="W152" s="683"/>
      <c r="X152" s="572"/>
    </row>
    <row r="153" spans="1:25" x14ac:dyDescent="0.25">
      <c r="A153" s="677"/>
      <c r="B153" s="678" t="s">
        <v>269</v>
      </c>
      <c r="C153" s="679"/>
      <c r="D153" s="679"/>
      <c r="E153" s="679"/>
      <c r="F153" s="679"/>
      <c r="G153" s="679"/>
      <c r="H153" s="679"/>
      <c r="I153" s="679"/>
      <c r="J153" s="679"/>
      <c r="K153" s="679"/>
      <c r="L153" s="679"/>
      <c r="M153" s="679"/>
      <c r="N153" s="679"/>
      <c r="O153" s="679"/>
      <c r="P153" s="679"/>
      <c r="Q153" s="679"/>
      <c r="R153" s="679"/>
      <c r="S153" s="679"/>
      <c r="T153" s="679"/>
      <c r="U153" s="679"/>
      <c r="V153" s="695"/>
      <c r="W153" s="683"/>
      <c r="X153" s="572"/>
    </row>
    <row r="154" spans="1:25" s="589" customFormat="1" x14ac:dyDescent="0.25">
      <c r="A154" s="604"/>
      <c r="B154" s="605" t="s">
        <v>155</v>
      </c>
      <c r="C154" s="605"/>
      <c r="D154" s="605"/>
      <c r="E154" s="605"/>
      <c r="F154" s="605"/>
      <c r="G154" s="605"/>
      <c r="H154" s="605"/>
      <c r="I154" s="605"/>
      <c r="J154" s="605"/>
      <c r="K154" s="605"/>
      <c r="L154" s="605"/>
      <c r="M154" s="605"/>
      <c r="N154" s="605"/>
      <c r="O154" s="605"/>
      <c r="P154" s="605"/>
      <c r="Q154" s="605"/>
      <c r="R154" s="605"/>
      <c r="S154" s="605"/>
      <c r="T154" s="605"/>
      <c r="U154" s="605"/>
      <c r="V154" s="663">
        <v>0</v>
      </c>
      <c r="W154" s="607"/>
      <c r="X154" s="588"/>
    </row>
    <row r="155" spans="1:25" s="589" customFormat="1" x14ac:dyDescent="0.25">
      <c r="A155" s="604"/>
      <c r="B155" s="605" t="s">
        <v>172</v>
      </c>
      <c r="C155" s="605"/>
      <c r="D155" s="605"/>
      <c r="E155" s="605"/>
      <c r="F155" s="605"/>
      <c r="G155" s="605"/>
      <c r="H155" s="605"/>
      <c r="I155" s="605"/>
      <c r="J155" s="605"/>
      <c r="K155" s="605"/>
      <c r="L155" s="605"/>
      <c r="M155" s="605"/>
      <c r="N155" s="605"/>
      <c r="O155" s="605"/>
      <c r="P155" s="605"/>
      <c r="Q155" s="605"/>
      <c r="R155" s="605"/>
      <c r="S155" s="605"/>
      <c r="T155" s="605"/>
      <c r="U155" s="605"/>
      <c r="V155" s="663">
        <v>0</v>
      </c>
      <c r="W155" s="607"/>
      <c r="X155" s="588"/>
    </row>
    <row r="156" spans="1:25" s="589" customFormat="1" x14ac:dyDescent="0.25">
      <c r="A156" s="604"/>
      <c r="B156" s="605" t="s">
        <v>226</v>
      </c>
      <c r="C156" s="605"/>
      <c r="D156" s="605"/>
      <c r="E156" s="605"/>
      <c r="F156" s="605"/>
      <c r="G156" s="605"/>
      <c r="H156" s="605"/>
      <c r="I156" s="605"/>
      <c r="J156" s="605"/>
      <c r="K156" s="605"/>
      <c r="L156" s="605"/>
      <c r="M156" s="605"/>
      <c r="N156" s="605"/>
      <c r="O156" s="605"/>
      <c r="P156" s="605"/>
      <c r="Q156" s="605"/>
      <c r="R156" s="605"/>
      <c r="S156" s="605"/>
      <c r="T156" s="605"/>
      <c r="U156" s="605"/>
      <c r="V156" s="663">
        <v>0</v>
      </c>
      <c r="W156" s="607"/>
      <c r="X156" s="588"/>
    </row>
    <row r="157" spans="1:25" x14ac:dyDescent="0.25">
      <c r="A157" s="677"/>
      <c r="B157" s="679"/>
      <c r="C157" s="679"/>
      <c r="D157" s="679"/>
      <c r="E157" s="679"/>
      <c r="F157" s="679"/>
      <c r="G157" s="679"/>
      <c r="H157" s="679"/>
      <c r="I157" s="679"/>
      <c r="J157" s="679"/>
      <c r="K157" s="679"/>
      <c r="L157" s="679"/>
      <c r="M157" s="679"/>
      <c r="N157" s="679"/>
      <c r="O157" s="679"/>
      <c r="P157" s="679"/>
      <c r="Q157" s="679"/>
      <c r="R157" s="679"/>
      <c r="S157" s="679"/>
      <c r="T157" s="679"/>
      <c r="U157" s="679"/>
      <c r="V157" s="695"/>
      <c r="W157" s="683"/>
      <c r="X157" s="572"/>
    </row>
    <row r="158" spans="1:25" x14ac:dyDescent="0.25">
      <c r="A158" s="574"/>
      <c r="B158" s="664"/>
      <c r="C158" s="664"/>
      <c r="D158" s="664"/>
      <c r="E158" s="664"/>
      <c r="F158" s="664"/>
      <c r="G158" s="664"/>
      <c r="H158" s="664"/>
      <c r="I158" s="664"/>
      <c r="J158" s="664"/>
      <c r="K158" s="664"/>
      <c r="L158" s="664"/>
      <c r="M158" s="664"/>
      <c r="N158" s="664"/>
      <c r="O158" s="664"/>
      <c r="P158" s="664"/>
      <c r="Q158" s="664"/>
      <c r="R158" s="664"/>
      <c r="S158" s="664"/>
      <c r="T158" s="664"/>
      <c r="U158" s="664"/>
      <c r="V158" s="696"/>
      <c r="W158" s="664"/>
      <c r="X158" s="572"/>
    </row>
    <row r="159" spans="1:25" x14ac:dyDescent="0.25">
      <c r="A159" s="574"/>
      <c r="B159" s="694" t="s">
        <v>24</v>
      </c>
      <c r="C159" s="576"/>
      <c r="D159" s="576"/>
      <c r="E159" s="576"/>
      <c r="F159" s="576"/>
      <c r="G159" s="576"/>
      <c r="H159" s="576"/>
      <c r="I159" s="576"/>
      <c r="J159" s="576"/>
      <c r="K159" s="576"/>
      <c r="L159" s="576"/>
      <c r="M159" s="576"/>
      <c r="N159" s="576"/>
      <c r="O159" s="576"/>
      <c r="P159" s="576"/>
      <c r="Q159" s="576"/>
      <c r="R159" s="576"/>
      <c r="S159" s="576"/>
      <c r="T159" s="576"/>
      <c r="U159" s="576"/>
      <c r="V159" s="656"/>
      <c r="W159" s="576"/>
      <c r="X159" s="572"/>
    </row>
    <row r="160" spans="1:25" s="589" customFormat="1" x14ac:dyDescent="0.25">
      <c r="A160" s="604"/>
      <c r="B160" s="605" t="s">
        <v>47</v>
      </c>
      <c r="C160" s="605"/>
      <c r="D160" s="605"/>
      <c r="E160" s="605"/>
      <c r="F160" s="605"/>
      <c r="G160" s="605"/>
      <c r="H160" s="605"/>
      <c r="I160" s="605"/>
      <c r="J160" s="605"/>
      <c r="K160" s="605"/>
      <c r="L160" s="605"/>
      <c r="M160" s="605"/>
      <c r="N160" s="605"/>
      <c r="O160" s="605"/>
      <c r="P160" s="605"/>
      <c r="Q160" s="605"/>
      <c r="R160" s="605"/>
      <c r="S160" s="605"/>
      <c r="T160" s="605"/>
      <c r="U160" s="605"/>
      <c r="V160" s="697" t="s">
        <v>118</v>
      </c>
      <c r="W160" s="607"/>
      <c r="X160" s="588"/>
    </row>
    <row r="161" spans="1:256" s="589" customFormat="1" x14ac:dyDescent="0.25">
      <c r="A161" s="604"/>
      <c r="B161" s="605" t="s">
        <v>48</v>
      </c>
      <c r="C161" s="605"/>
      <c r="D161" s="605"/>
      <c r="E161" s="605"/>
      <c r="F161" s="605"/>
      <c r="G161" s="605"/>
      <c r="H161" s="605"/>
      <c r="I161" s="605"/>
      <c r="J161" s="605"/>
      <c r="K161" s="605"/>
      <c r="L161" s="605"/>
      <c r="M161" s="605"/>
      <c r="N161" s="605"/>
      <c r="O161" s="605"/>
      <c r="P161" s="605"/>
      <c r="Q161" s="605"/>
      <c r="R161" s="605"/>
      <c r="S161" s="605"/>
      <c r="T161" s="605"/>
      <c r="U161" s="605"/>
      <c r="V161" s="697" t="s">
        <v>118</v>
      </c>
      <c r="W161" s="607"/>
      <c r="X161" s="588"/>
    </row>
    <row r="162" spans="1:256" s="589" customFormat="1" x14ac:dyDescent="0.25">
      <c r="A162" s="604"/>
      <c r="B162" s="605" t="s">
        <v>49</v>
      </c>
      <c r="C162" s="605"/>
      <c r="D162" s="605"/>
      <c r="E162" s="605"/>
      <c r="F162" s="605"/>
      <c r="G162" s="605"/>
      <c r="H162" s="605"/>
      <c r="I162" s="605"/>
      <c r="J162" s="605"/>
      <c r="K162" s="605"/>
      <c r="L162" s="605"/>
      <c r="M162" s="605"/>
      <c r="N162" s="605"/>
      <c r="O162" s="605"/>
      <c r="P162" s="605"/>
      <c r="Q162" s="605"/>
      <c r="R162" s="605"/>
      <c r="S162" s="605"/>
      <c r="T162" s="605"/>
      <c r="U162" s="605"/>
      <c r="V162" s="697" t="s">
        <v>118</v>
      </c>
      <c r="W162" s="607"/>
      <c r="X162" s="588"/>
    </row>
    <row r="163" spans="1:256" s="589" customFormat="1" x14ac:dyDescent="0.25">
      <c r="A163" s="604"/>
      <c r="B163" s="605" t="s">
        <v>50</v>
      </c>
      <c r="C163" s="605"/>
      <c r="D163" s="605"/>
      <c r="E163" s="605"/>
      <c r="F163" s="605"/>
      <c r="G163" s="605"/>
      <c r="H163" s="605"/>
      <c r="I163" s="605"/>
      <c r="J163" s="605"/>
      <c r="K163" s="605"/>
      <c r="L163" s="605"/>
      <c r="M163" s="605"/>
      <c r="N163" s="605"/>
      <c r="O163" s="605"/>
      <c r="P163" s="605"/>
      <c r="Q163" s="605"/>
      <c r="R163" s="605"/>
      <c r="S163" s="605"/>
      <c r="T163" s="605"/>
      <c r="U163" s="605"/>
      <c r="V163" s="697" t="s">
        <v>118</v>
      </c>
      <c r="W163" s="607"/>
      <c r="X163" s="588"/>
    </row>
    <row r="164" spans="1:256" x14ac:dyDescent="0.25">
      <c r="A164" s="574"/>
      <c r="B164" s="664"/>
      <c r="C164" s="664"/>
      <c r="D164" s="664"/>
      <c r="E164" s="664"/>
      <c r="F164" s="664"/>
      <c r="G164" s="664"/>
      <c r="H164" s="664"/>
      <c r="I164" s="664"/>
      <c r="J164" s="664"/>
      <c r="K164" s="664"/>
      <c r="L164" s="664"/>
      <c r="M164" s="664"/>
      <c r="N164" s="664"/>
      <c r="O164" s="664"/>
      <c r="P164" s="664"/>
      <c r="Q164" s="664"/>
      <c r="R164" s="664"/>
      <c r="S164" s="664"/>
      <c r="T164" s="664"/>
      <c r="U164" s="664"/>
      <c r="V164" s="696"/>
      <c r="W164" s="664"/>
      <c r="X164" s="572"/>
    </row>
    <row r="165" spans="1:256" x14ac:dyDescent="0.25">
      <c r="A165" s="574"/>
      <c r="B165" s="694" t="s">
        <v>51</v>
      </c>
      <c r="C165" s="576"/>
      <c r="D165" s="576"/>
      <c r="E165" s="576"/>
      <c r="F165" s="576"/>
      <c r="G165" s="576"/>
      <c r="H165" s="576"/>
      <c r="I165" s="576"/>
      <c r="J165" s="576"/>
      <c r="K165" s="576"/>
      <c r="L165" s="576"/>
      <c r="M165" s="576"/>
      <c r="N165" s="576"/>
      <c r="O165" s="576"/>
      <c r="P165" s="576"/>
      <c r="Q165" s="576"/>
      <c r="R165" s="576"/>
      <c r="S165" s="576"/>
      <c r="T165" s="576"/>
      <c r="U165" s="576"/>
      <c r="V165" s="698"/>
      <c r="W165" s="576"/>
      <c r="X165" s="572"/>
    </row>
    <row r="166" spans="1:256" s="589" customFormat="1" x14ac:dyDescent="0.25">
      <c r="A166" s="604"/>
      <c r="B166" s="605" t="s">
        <v>52</v>
      </c>
      <c r="C166" s="605"/>
      <c r="D166" s="605"/>
      <c r="E166" s="605"/>
      <c r="F166" s="605"/>
      <c r="G166" s="605"/>
      <c r="H166" s="605"/>
      <c r="I166" s="605"/>
      <c r="J166" s="605"/>
      <c r="K166" s="605"/>
      <c r="L166" s="605"/>
      <c r="M166" s="605"/>
      <c r="N166" s="605"/>
      <c r="O166" s="605"/>
      <c r="P166" s="605"/>
      <c r="Q166" s="605"/>
      <c r="R166" s="605"/>
      <c r="S166" s="605"/>
      <c r="T166" s="605"/>
      <c r="U166" s="605"/>
      <c r="V166" s="663">
        <v>0</v>
      </c>
      <c r="W166" s="607"/>
      <c r="X166" s="588"/>
    </row>
    <row r="167" spans="1:256" s="589" customFormat="1" x14ac:dyDescent="0.25">
      <c r="A167" s="604"/>
      <c r="B167" s="605" t="s">
        <v>53</v>
      </c>
      <c r="C167" s="605"/>
      <c r="D167" s="605"/>
      <c r="E167" s="605"/>
      <c r="F167" s="605"/>
      <c r="G167" s="605"/>
      <c r="H167" s="605"/>
      <c r="I167" s="605"/>
      <c r="J167" s="605"/>
      <c r="K167" s="605"/>
      <c r="L167" s="605"/>
      <c r="M167" s="605"/>
      <c r="N167" s="605"/>
      <c r="O167" s="605"/>
      <c r="P167" s="605"/>
      <c r="Q167" s="605"/>
      <c r="R167" s="605"/>
      <c r="S167" s="605"/>
      <c r="T167" s="605"/>
      <c r="U167" s="605"/>
      <c r="V167" s="663">
        <v>3</v>
      </c>
      <c r="W167" s="607"/>
      <c r="X167" s="588"/>
    </row>
    <row r="168" spans="1:256" s="589" customFormat="1" x14ac:dyDescent="0.25">
      <c r="A168" s="604"/>
      <c r="B168" s="605" t="s">
        <v>54</v>
      </c>
      <c r="C168" s="605"/>
      <c r="D168" s="605"/>
      <c r="E168" s="605"/>
      <c r="F168" s="605"/>
      <c r="G168" s="605"/>
      <c r="H168" s="605"/>
      <c r="I168" s="605"/>
      <c r="J168" s="605"/>
      <c r="K168" s="605"/>
      <c r="L168" s="605"/>
      <c r="M168" s="605"/>
      <c r="N168" s="605"/>
      <c r="O168" s="605"/>
      <c r="P168" s="605"/>
      <c r="Q168" s="605"/>
      <c r="R168" s="605"/>
      <c r="S168" s="605"/>
      <c r="T168" s="605"/>
      <c r="U168" s="605"/>
      <c r="V168" s="663">
        <f>V167+V166</f>
        <v>3</v>
      </c>
      <c r="W168" s="607"/>
      <c r="X168" s="588"/>
    </row>
    <row r="169" spans="1:256" s="589" customFormat="1" x14ac:dyDescent="0.25">
      <c r="A169" s="604"/>
      <c r="B169" s="605" t="s">
        <v>303</v>
      </c>
      <c r="C169" s="605"/>
      <c r="D169" s="605"/>
      <c r="E169" s="605"/>
      <c r="F169" s="605"/>
      <c r="G169" s="605"/>
      <c r="H169" s="605"/>
      <c r="I169" s="605"/>
      <c r="J169" s="605"/>
      <c r="K169" s="605"/>
      <c r="L169" s="605"/>
      <c r="M169" s="605"/>
      <c r="N169" s="605"/>
      <c r="O169" s="605"/>
      <c r="P169" s="605"/>
      <c r="Q169" s="605"/>
      <c r="R169" s="605"/>
      <c r="S169" s="605"/>
      <c r="T169" s="605"/>
      <c r="U169" s="605"/>
      <c r="V169" s="663">
        <f>V114</f>
        <v>-3</v>
      </c>
      <c r="W169" s="607"/>
      <c r="X169" s="588"/>
    </row>
    <row r="170" spans="1:256" s="589" customFormat="1" x14ac:dyDescent="0.25">
      <c r="A170" s="604"/>
      <c r="B170" s="605" t="s">
        <v>55</v>
      </c>
      <c r="C170" s="605"/>
      <c r="D170" s="605"/>
      <c r="E170" s="605"/>
      <c r="F170" s="605"/>
      <c r="G170" s="605"/>
      <c r="H170" s="605"/>
      <c r="I170" s="605"/>
      <c r="J170" s="605"/>
      <c r="K170" s="605"/>
      <c r="L170" s="605"/>
      <c r="M170" s="605"/>
      <c r="N170" s="605"/>
      <c r="O170" s="605"/>
      <c r="P170" s="605"/>
      <c r="Q170" s="605"/>
      <c r="R170" s="605"/>
      <c r="S170" s="605"/>
      <c r="T170" s="605"/>
      <c r="U170" s="605"/>
      <c r="V170" s="663">
        <f>V168+V169</f>
        <v>0</v>
      </c>
      <c r="W170" s="607"/>
      <c r="X170" s="588"/>
    </row>
    <row r="171" spans="1:256" s="589" customFormat="1" x14ac:dyDescent="0.25">
      <c r="A171" s="604"/>
      <c r="B171" s="605" t="s">
        <v>274</v>
      </c>
      <c r="C171" s="605"/>
      <c r="D171" s="605"/>
      <c r="E171" s="605"/>
      <c r="F171" s="605"/>
      <c r="G171" s="605"/>
      <c r="H171" s="605"/>
      <c r="I171" s="605"/>
      <c r="J171" s="605"/>
      <c r="K171" s="605"/>
      <c r="L171" s="605"/>
      <c r="M171" s="605"/>
      <c r="N171" s="605"/>
      <c r="O171" s="605"/>
      <c r="P171" s="605"/>
      <c r="Q171" s="605"/>
      <c r="R171" s="605"/>
      <c r="S171" s="605"/>
      <c r="T171" s="605"/>
      <c r="U171" s="605"/>
      <c r="V171" s="663">
        <v>0</v>
      </c>
      <c r="W171" s="607"/>
      <c r="X171" s="588"/>
    </row>
    <row r="172" spans="1:256" ht="16.5" thickBot="1" x14ac:dyDescent="0.3">
      <c r="A172" s="574"/>
      <c r="B172" s="664"/>
      <c r="C172" s="664"/>
      <c r="D172" s="664"/>
      <c r="E172" s="664"/>
      <c r="F172" s="664"/>
      <c r="G172" s="664"/>
      <c r="H172" s="664"/>
      <c r="I172" s="664"/>
      <c r="J172" s="664"/>
      <c r="K172" s="664"/>
      <c r="L172" s="664"/>
      <c r="M172" s="664"/>
      <c r="N172" s="664"/>
      <c r="O172" s="664"/>
      <c r="P172" s="664"/>
      <c r="Q172" s="664"/>
      <c r="R172" s="664"/>
      <c r="S172" s="664"/>
      <c r="T172" s="664"/>
      <c r="U172" s="664"/>
      <c r="V172" s="696"/>
      <c r="W172" s="664"/>
      <c r="X172" s="572"/>
    </row>
    <row r="173" spans="1:256" x14ac:dyDescent="0.25">
      <c r="A173" s="569"/>
      <c r="B173" s="571"/>
      <c r="C173" s="571"/>
      <c r="D173" s="571"/>
      <c r="E173" s="571"/>
      <c r="F173" s="571"/>
      <c r="G173" s="571"/>
      <c r="H173" s="571"/>
      <c r="I173" s="571"/>
      <c r="J173" s="571"/>
      <c r="K173" s="571"/>
      <c r="L173" s="571"/>
      <c r="M173" s="571"/>
      <c r="N173" s="571"/>
      <c r="O173" s="571"/>
      <c r="P173" s="571"/>
      <c r="Q173" s="571"/>
      <c r="R173" s="571"/>
      <c r="S173" s="571"/>
      <c r="T173" s="571"/>
      <c r="U173" s="571"/>
      <c r="V173" s="699"/>
      <c r="W173" s="571"/>
      <c r="X173" s="572"/>
    </row>
    <row r="174" spans="1:256" s="701" customFormat="1" x14ac:dyDescent="0.25">
      <c r="A174" s="574"/>
      <c r="B174" s="694" t="s">
        <v>230</v>
      </c>
      <c r="C174" s="664"/>
      <c r="D174" s="664"/>
      <c r="E174" s="664"/>
      <c r="F174" s="664"/>
      <c r="G174" s="664"/>
      <c r="H174" s="664"/>
      <c r="I174" s="664"/>
      <c r="J174" s="664"/>
      <c r="K174" s="664"/>
      <c r="L174" s="664"/>
      <c r="M174" s="664"/>
      <c r="N174" s="664"/>
      <c r="O174" s="664"/>
      <c r="P174" s="664"/>
      <c r="Q174" s="664"/>
      <c r="R174" s="664"/>
      <c r="S174" s="664"/>
      <c r="T174" s="664"/>
      <c r="U174" s="664"/>
      <c r="V174" s="700"/>
      <c r="W174" s="664"/>
      <c r="X174" s="572"/>
      <c r="Y174" s="573"/>
      <c r="Z174" s="573"/>
      <c r="AA174" s="573"/>
      <c r="AB174" s="573"/>
      <c r="AC174" s="573"/>
      <c r="AD174" s="573"/>
      <c r="AE174" s="573"/>
      <c r="AF174" s="573"/>
      <c r="AG174" s="573"/>
      <c r="AH174" s="573"/>
      <c r="AI174" s="573"/>
      <c r="AJ174" s="573"/>
      <c r="AK174" s="573"/>
      <c r="AL174" s="573"/>
      <c r="AM174" s="573"/>
      <c r="AN174" s="573"/>
      <c r="AO174" s="573"/>
      <c r="AP174" s="573"/>
      <c r="AQ174" s="573"/>
      <c r="AR174" s="573"/>
      <c r="AS174" s="573"/>
      <c r="AT174" s="573"/>
      <c r="AU174" s="573"/>
      <c r="AV174" s="573"/>
      <c r="AW174" s="573"/>
      <c r="AX174" s="573"/>
      <c r="AY174" s="573"/>
      <c r="AZ174" s="573"/>
      <c r="BA174" s="573"/>
      <c r="BB174" s="573"/>
      <c r="BC174" s="573"/>
      <c r="BD174" s="573"/>
      <c r="BE174" s="573"/>
      <c r="BF174" s="573"/>
      <c r="BG174" s="573"/>
      <c r="BH174" s="573"/>
      <c r="BI174" s="573"/>
      <c r="BJ174" s="573"/>
      <c r="BK174" s="573"/>
      <c r="BL174" s="573"/>
      <c r="BM174" s="573"/>
      <c r="BN174" s="573"/>
      <c r="BO174" s="573"/>
      <c r="BP174" s="573"/>
      <c r="BQ174" s="573"/>
      <c r="BR174" s="573"/>
      <c r="BS174" s="573"/>
      <c r="BT174" s="573"/>
      <c r="BU174" s="573"/>
      <c r="BV174" s="573"/>
      <c r="BW174" s="573"/>
      <c r="BX174" s="573"/>
      <c r="BY174" s="573"/>
      <c r="BZ174" s="573"/>
      <c r="CA174" s="573"/>
      <c r="CB174" s="573"/>
      <c r="CC174" s="573"/>
      <c r="CD174" s="573"/>
      <c r="CE174" s="573"/>
      <c r="CF174" s="573"/>
      <c r="CG174" s="573"/>
      <c r="CH174" s="573"/>
      <c r="CI174" s="573"/>
      <c r="CJ174" s="573"/>
      <c r="CK174" s="573"/>
      <c r="CL174" s="573"/>
      <c r="CM174" s="573"/>
      <c r="CN174" s="573"/>
      <c r="CO174" s="573"/>
      <c r="CP174" s="573"/>
      <c r="CQ174" s="573"/>
      <c r="CR174" s="573"/>
      <c r="CS174" s="573"/>
      <c r="CT174" s="573"/>
      <c r="CU174" s="573"/>
      <c r="CV174" s="573"/>
      <c r="CW174" s="573"/>
      <c r="CX174" s="573"/>
      <c r="CY174" s="573"/>
      <c r="CZ174" s="573"/>
      <c r="DA174" s="573"/>
      <c r="DB174" s="573"/>
      <c r="DC174" s="573"/>
      <c r="DD174" s="573"/>
      <c r="DE174" s="573"/>
      <c r="DF174" s="573"/>
      <c r="DG174" s="573"/>
      <c r="DH174" s="573"/>
      <c r="DI174" s="573"/>
      <c r="DJ174" s="573"/>
      <c r="DK174" s="573"/>
      <c r="DL174" s="573"/>
      <c r="DM174" s="573"/>
      <c r="DN174" s="573"/>
      <c r="DO174" s="573"/>
      <c r="DP174" s="573"/>
      <c r="DQ174" s="573"/>
      <c r="DR174" s="573"/>
      <c r="DS174" s="573"/>
      <c r="DT174" s="573"/>
      <c r="DU174" s="573"/>
      <c r="DV174" s="573"/>
      <c r="DW174" s="573"/>
      <c r="DX174" s="573"/>
      <c r="DY174" s="573"/>
      <c r="DZ174" s="573"/>
      <c r="EA174" s="573"/>
      <c r="EB174" s="573"/>
      <c r="EC174" s="573"/>
      <c r="ED174" s="573"/>
      <c r="EE174" s="573"/>
      <c r="EF174" s="573"/>
      <c r="EG174" s="573"/>
      <c r="EH174" s="573"/>
      <c r="EI174" s="573"/>
      <c r="EJ174" s="573"/>
      <c r="EK174" s="573"/>
      <c r="EL174" s="573"/>
      <c r="EM174" s="573"/>
      <c r="EN174" s="573"/>
      <c r="EO174" s="573"/>
      <c r="EP174" s="573"/>
      <c r="EQ174" s="573"/>
      <c r="ER174" s="573"/>
      <c r="ES174" s="573"/>
      <c r="ET174" s="573"/>
      <c r="EU174" s="573"/>
      <c r="EV174" s="573"/>
      <c r="EW174" s="573"/>
      <c r="EX174" s="573"/>
      <c r="EY174" s="573"/>
      <c r="EZ174" s="573"/>
      <c r="FA174" s="573"/>
      <c r="FB174" s="573"/>
      <c r="FC174" s="573"/>
      <c r="FD174" s="573"/>
      <c r="FE174" s="573"/>
      <c r="FF174" s="573"/>
      <c r="FG174" s="573"/>
      <c r="FH174" s="573"/>
      <c r="FI174" s="573"/>
      <c r="FJ174" s="573"/>
      <c r="FK174" s="573"/>
      <c r="FL174" s="573"/>
      <c r="FM174" s="573"/>
      <c r="FN174" s="573"/>
      <c r="FO174" s="573"/>
      <c r="FP174" s="573"/>
      <c r="FQ174" s="573"/>
      <c r="FR174" s="573"/>
      <c r="FS174" s="573"/>
      <c r="FT174" s="573"/>
      <c r="FU174" s="573"/>
      <c r="FV174" s="573"/>
      <c r="FW174" s="573"/>
      <c r="FX174" s="573"/>
      <c r="FY174" s="573"/>
      <c r="FZ174" s="573"/>
      <c r="GA174" s="573"/>
      <c r="GB174" s="573"/>
      <c r="GC174" s="573"/>
      <c r="GD174" s="573"/>
      <c r="GE174" s="573"/>
      <c r="GF174" s="573"/>
      <c r="GG174" s="573"/>
      <c r="GH174" s="573"/>
      <c r="GI174" s="573"/>
      <c r="GJ174" s="573"/>
      <c r="GK174" s="573"/>
      <c r="GL174" s="573"/>
      <c r="GM174" s="573"/>
      <c r="GN174" s="573"/>
      <c r="GO174" s="573"/>
      <c r="GP174" s="573"/>
      <c r="GQ174" s="573"/>
      <c r="GR174" s="573"/>
      <c r="GS174" s="573"/>
      <c r="GT174" s="573"/>
      <c r="GU174" s="573"/>
      <c r="GV174" s="573"/>
      <c r="GW174" s="573"/>
      <c r="GX174" s="573"/>
      <c r="GY174" s="573"/>
      <c r="GZ174" s="573"/>
      <c r="HA174" s="573"/>
      <c r="HB174" s="573"/>
      <c r="HC174" s="573"/>
      <c r="HD174" s="573"/>
      <c r="HE174" s="573"/>
      <c r="HF174" s="573"/>
      <c r="HG174" s="573"/>
      <c r="HH174" s="573"/>
      <c r="HI174" s="573"/>
      <c r="HJ174" s="573"/>
      <c r="HK174" s="573"/>
      <c r="HL174" s="573"/>
      <c r="HM174" s="573"/>
      <c r="HN174" s="573"/>
      <c r="HO174" s="573"/>
      <c r="HP174" s="573"/>
      <c r="HQ174" s="573"/>
      <c r="HR174" s="573"/>
      <c r="HS174" s="573"/>
      <c r="HT174" s="573"/>
      <c r="HU174" s="573"/>
      <c r="HV174" s="573"/>
      <c r="HW174" s="573"/>
      <c r="HX174" s="573"/>
      <c r="HY174" s="573"/>
      <c r="HZ174" s="573"/>
      <c r="IA174" s="573"/>
      <c r="IB174" s="573"/>
      <c r="IC174" s="573"/>
      <c r="ID174" s="573"/>
      <c r="IE174" s="573"/>
      <c r="IF174" s="573"/>
      <c r="IG174" s="573"/>
      <c r="IH174" s="573"/>
      <c r="II174" s="573"/>
      <c r="IJ174" s="573"/>
      <c r="IK174" s="573"/>
      <c r="IL174" s="573"/>
      <c r="IM174" s="573"/>
      <c r="IN174" s="573"/>
      <c r="IO174" s="573"/>
      <c r="IP174" s="573"/>
      <c r="IQ174" s="573"/>
      <c r="IR174" s="573"/>
      <c r="IS174" s="573"/>
      <c r="IT174" s="573"/>
      <c r="IU174" s="573"/>
      <c r="IV174" s="573"/>
    </row>
    <row r="175" spans="1:256" s="702" customFormat="1" x14ac:dyDescent="0.25">
      <c r="A175" s="604"/>
      <c r="B175" s="605" t="s">
        <v>231</v>
      </c>
      <c r="C175" s="605"/>
      <c r="D175" s="605"/>
      <c r="E175" s="605"/>
      <c r="F175" s="605"/>
      <c r="G175" s="605"/>
      <c r="H175" s="605"/>
      <c r="I175" s="605"/>
      <c r="J175" s="605"/>
      <c r="K175" s="605"/>
      <c r="L175" s="605"/>
      <c r="M175" s="605"/>
      <c r="N175" s="605"/>
      <c r="O175" s="605"/>
      <c r="P175" s="605"/>
      <c r="Q175" s="605"/>
      <c r="R175" s="605"/>
      <c r="S175" s="605"/>
      <c r="T175" s="605"/>
      <c r="U175" s="605"/>
      <c r="V175" s="663">
        <f>+'Aug 08'!V173</f>
        <v>0</v>
      </c>
      <c r="W175" s="607"/>
      <c r="X175" s="588"/>
      <c r="Y175" s="589"/>
      <c r="Z175" s="589"/>
      <c r="AA175" s="589"/>
      <c r="AB175" s="589"/>
      <c r="AC175" s="589"/>
      <c r="AD175" s="589"/>
      <c r="AE175" s="589"/>
      <c r="AF175" s="589"/>
      <c r="AG175" s="589"/>
      <c r="AH175" s="589"/>
      <c r="AI175" s="589"/>
      <c r="AJ175" s="589"/>
      <c r="AK175" s="589"/>
      <c r="AL175" s="589"/>
      <c r="AM175" s="589"/>
      <c r="AN175" s="589"/>
      <c r="AO175" s="589"/>
      <c r="AP175" s="589"/>
      <c r="AQ175" s="589"/>
      <c r="AR175" s="589"/>
      <c r="AS175" s="589"/>
      <c r="AT175" s="589"/>
      <c r="AU175" s="589"/>
      <c r="AV175" s="589"/>
      <c r="AW175" s="589"/>
      <c r="AX175" s="589"/>
      <c r="AY175" s="589"/>
      <c r="AZ175" s="589"/>
      <c r="BA175" s="589"/>
      <c r="BB175" s="589"/>
      <c r="BC175" s="589"/>
      <c r="BD175" s="589"/>
      <c r="BE175" s="589"/>
      <c r="BF175" s="589"/>
      <c r="BG175" s="589"/>
      <c r="BH175" s="589"/>
      <c r="BI175" s="589"/>
      <c r="BJ175" s="589"/>
      <c r="BK175" s="589"/>
      <c r="BL175" s="589"/>
      <c r="BM175" s="589"/>
      <c r="BN175" s="589"/>
      <c r="BO175" s="589"/>
      <c r="BP175" s="589"/>
      <c r="BQ175" s="589"/>
      <c r="BR175" s="589"/>
      <c r="BS175" s="589"/>
      <c r="BT175" s="589"/>
      <c r="BU175" s="589"/>
      <c r="BV175" s="589"/>
      <c r="BW175" s="589"/>
      <c r="BX175" s="589"/>
      <c r="BY175" s="589"/>
      <c r="BZ175" s="589"/>
      <c r="CA175" s="589"/>
      <c r="CB175" s="589"/>
      <c r="CC175" s="589"/>
      <c r="CD175" s="589"/>
      <c r="CE175" s="589"/>
      <c r="CF175" s="589"/>
      <c r="CG175" s="589"/>
      <c r="CH175" s="589"/>
      <c r="CI175" s="589"/>
      <c r="CJ175" s="589"/>
      <c r="CK175" s="589"/>
      <c r="CL175" s="589"/>
      <c r="CM175" s="589"/>
      <c r="CN175" s="589"/>
      <c r="CO175" s="589"/>
      <c r="CP175" s="589"/>
      <c r="CQ175" s="589"/>
      <c r="CR175" s="589"/>
      <c r="CS175" s="589"/>
      <c r="CT175" s="589"/>
      <c r="CU175" s="589"/>
      <c r="CV175" s="589"/>
      <c r="CW175" s="589"/>
      <c r="CX175" s="589"/>
      <c r="CY175" s="589"/>
      <c r="CZ175" s="589"/>
      <c r="DA175" s="589"/>
      <c r="DB175" s="589"/>
      <c r="DC175" s="589"/>
      <c r="DD175" s="589"/>
      <c r="DE175" s="589"/>
      <c r="DF175" s="589"/>
      <c r="DG175" s="589"/>
      <c r="DH175" s="589"/>
      <c r="DI175" s="589"/>
      <c r="DJ175" s="589"/>
      <c r="DK175" s="589"/>
      <c r="DL175" s="589"/>
      <c r="DM175" s="589"/>
      <c r="DN175" s="589"/>
      <c r="DO175" s="589"/>
      <c r="DP175" s="589"/>
      <c r="DQ175" s="589"/>
      <c r="DR175" s="589"/>
      <c r="DS175" s="589"/>
      <c r="DT175" s="589"/>
      <c r="DU175" s="589"/>
      <c r="DV175" s="589"/>
      <c r="DW175" s="589"/>
      <c r="DX175" s="589"/>
      <c r="DY175" s="589"/>
      <c r="DZ175" s="589"/>
      <c r="EA175" s="589"/>
      <c r="EB175" s="589"/>
      <c r="EC175" s="589"/>
      <c r="ED175" s="589"/>
      <c r="EE175" s="589"/>
      <c r="EF175" s="589"/>
      <c r="EG175" s="589"/>
      <c r="EH175" s="589"/>
      <c r="EI175" s="589"/>
      <c r="EJ175" s="589"/>
      <c r="EK175" s="589"/>
      <c r="EL175" s="589"/>
      <c r="EM175" s="589"/>
      <c r="EN175" s="589"/>
      <c r="EO175" s="589"/>
      <c r="EP175" s="589"/>
      <c r="EQ175" s="589"/>
      <c r="ER175" s="589"/>
      <c r="ES175" s="589"/>
      <c r="ET175" s="589"/>
      <c r="EU175" s="589"/>
      <c r="EV175" s="589"/>
      <c r="EW175" s="589"/>
      <c r="EX175" s="589"/>
      <c r="EY175" s="589"/>
      <c r="EZ175" s="589"/>
      <c r="FA175" s="589"/>
      <c r="FB175" s="589"/>
      <c r="FC175" s="589"/>
      <c r="FD175" s="589"/>
      <c r="FE175" s="589"/>
      <c r="FF175" s="589"/>
      <c r="FG175" s="589"/>
      <c r="FH175" s="589"/>
      <c r="FI175" s="589"/>
      <c r="FJ175" s="589"/>
      <c r="FK175" s="589"/>
      <c r="FL175" s="589"/>
      <c r="FM175" s="589"/>
      <c r="FN175" s="589"/>
      <c r="FO175" s="589"/>
      <c r="FP175" s="589"/>
      <c r="FQ175" s="589"/>
      <c r="FR175" s="589"/>
      <c r="FS175" s="589"/>
      <c r="FT175" s="589"/>
      <c r="FU175" s="589"/>
      <c r="FV175" s="589"/>
      <c r="FW175" s="589"/>
      <c r="FX175" s="589"/>
      <c r="FY175" s="589"/>
      <c r="FZ175" s="589"/>
      <c r="GA175" s="589"/>
      <c r="GB175" s="589"/>
      <c r="GC175" s="589"/>
      <c r="GD175" s="589"/>
      <c r="GE175" s="589"/>
      <c r="GF175" s="589"/>
      <c r="GG175" s="589"/>
      <c r="GH175" s="589"/>
      <c r="GI175" s="589"/>
      <c r="GJ175" s="589"/>
      <c r="GK175" s="589"/>
      <c r="GL175" s="589"/>
      <c r="GM175" s="589"/>
      <c r="GN175" s="589"/>
      <c r="GO175" s="589"/>
      <c r="GP175" s="589"/>
      <c r="GQ175" s="589"/>
      <c r="GR175" s="589"/>
      <c r="GS175" s="589"/>
      <c r="GT175" s="589"/>
      <c r="GU175" s="589"/>
      <c r="GV175" s="589"/>
      <c r="GW175" s="589"/>
      <c r="GX175" s="589"/>
      <c r="GY175" s="589"/>
      <c r="GZ175" s="589"/>
      <c r="HA175" s="589"/>
      <c r="HB175" s="589"/>
      <c r="HC175" s="589"/>
      <c r="HD175" s="589"/>
      <c r="HE175" s="589"/>
      <c r="HF175" s="589"/>
      <c r="HG175" s="589"/>
      <c r="HH175" s="589"/>
      <c r="HI175" s="589"/>
      <c r="HJ175" s="589"/>
      <c r="HK175" s="589"/>
      <c r="HL175" s="589"/>
      <c r="HM175" s="589"/>
      <c r="HN175" s="589"/>
      <c r="HO175" s="589"/>
      <c r="HP175" s="589"/>
      <c r="HQ175" s="589"/>
      <c r="HR175" s="589"/>
      <c r="HS175" s="589"/>
      <c r="HT175" s="589"/>
      <c r="HU175" s="589"/>
      <c r="HV175" s="589"/>
      <c r="HW175" s="589"/>
      <c r="HX175" s="589"/>
      <c r="HY175" s="589"/>
      <c r="HZ175" s="589"/>
      <c r="IA175" s="589"/>
      <c r="IB175" s="589"/>
      <c r="IC175" s="589"/>
      <c r="ID175" s="589"/>
      <c r="IE175" s="589"/>
      <c r="IF175" s="589"/>
      <c r="IG175" s="589"/>
      <c r="IH175" s="589"/>
      <c r="II175" s="589"/>
      <c r="IJ175" s="589"/>
      <c r="IK175" s="589"/>
      <c r="IL175" s="589"/>
      <c r="IM175" s="589"/>
      <c r="IN175" s="589"/>
      <c r="IO175" s="589"/>
      <c r="IP175" s="589"/>
      <c r="IQ175" s="589"/>
      <c r="IR175" s="589"/>
      <c r="IS175" s="589"/>
      <c r="IT175" s="589"/>
      <c r="IU175" s="589"/>
      <c r="IV175" s="589"/>
    </row>
    <row r="176" spans="1:256" s="702" customFormat="1" x14ac:dyDescent="0.25">
      <c r="A176" s="604"/>
      <c r="B176" s="605" t="s">
        <v>234</v>
      </c>
      <c r="C176" s="605"/>
      <c r="D176" s="605"/>
      <c r="E176" s="605"/>
      <c r="F176" s="605"/>
      <c r="G176" s="605"/>
      <c r="H176" s="605"/>
      <c r="I176" s="605"/>
      <c r="J176" s="605"/>
      <c r="K176" s="605"/>
      <c r="L176" s="605"/>
      <c r="M176" s="605"/>
      <c r="N176" s="605"/>
      <c r="O176" s="605"/>
      <c r="P176" s="605"/>
      <c r="Q176" s="605"/>
      <c r="R176" s="605"/>
      <c r="S176" s="605"/>
      <c r="T176" s="605"/>
      <c r="U176" s="605"/>
      <c r="V176" s="663">
        <f>+V94</f>
        <v>0</v>
      </c>
      <c r="W176" s="607"/>
      <c r="X176" s="588"/>
      <c r="Y176" s="589"/>
      <c r="Z176" s="589"/>
      <c r="AA176" s="589"/>
      <c r="AB176" s="589"/>
      <c r="AC176" s="589"/>
      <c r="AD176" s="589"/>
      <c r="AE176" s="589"/>
      <c r="AF176" s="589"/>
      <c r="AG176" s="589"/>
      <c r="AH176" s="589"/>
      <c r="AI176" s="589"/>
      <c r="AJ176" s="589"/>
      <c r="AK176" s="589"/>
      <c r="AL176" s="589"/>
      <c r="AM176" s="589"/>
      <c r="AN176" s="589"/>
      <c r="AO176" s="589"/>
      <c r="AP176" s="589"/>
      <c r="AQ176" s="589"/>
      <c r="AR176" s="589"/>
      <c r="AS176" s="589"/>
      <c r="AT176" s="589"/>
      <c r="AU176" s="589"/>
      <c r="AV176" s="589"/>
      <c r="AW176" s="589"/>
      <c r="AX176" s="589"/>
      <c r="AY176" s="589"/>
      <c r="AZ176" s="589"/>
      <c r="BA176" s="589"/>
      <c r="BB176" s="589"/>
      <c r="BC176" s="589"/>
      <c r="BD176" s="589"/>
      <c r="BE176" s="589"/>
      <c r="BF176" s="589"/>
      <c r="BG176" s="589"/>
      <c r="BH176" s="589"/>
      <c r="BI176" s="589"/>
      <c r="BJ176" s="589"/>
      <c r="BK176" s="589"/>
      <c r="BL176" s="589"/>
      <c r="BM176" s="589"/>
      <c r="BN176" s="589"/>
      <c r="BO176" s="589"/>
      <c r="BP176" s="589"/>
      <c r="BQ176" s="589"/>
      <c r="BR176" s="589"/>
      <c r="BS176" s="589"/>
      <c r="BT176" s="589"/>
      <c r="BU176" s="589"/>
      <c r="BV176" s="589"/>
      <c r="BW176" s="589"/>
      <c r="BX176" s="589"/>
      <c r="BY176" s="589"/>
      <c r="BZ176" s="589"/>
      <c r="CA176" s="589"/>
      <c r="CB176" s="589"/>
      <c r="CC176" s="589"/>
      <c r="CD176" s="589"/>
      <c r="CE176" s="589"/>
      <c r="CF176" s="589"/>
      <c r="CG176" s="589"/>
      <c r="CH176" s="589"/>
      <c r="CI176" s="589"/>
      <c r="CJ176" s="589"/>
      <c r="CK176" s="589"/>
      <c r="CL176" s="589"/>
      <c r="CM176" s="589"/>
      <c r="CN176" s="589"/>
      <c r="CO176" s="589"/>
      <c r="CP176" s="589"/>
      <c r="CQ176" s="589"/>
      <c r="CR176" s="589"/>
      <c r="CS176" s="589"/>
      <c r="CT176" s="589"/>
      <c r="CU176" s="589"/>
      <c r="CV176" s="589"/>
      <c r="CW176" s="589"/>
      <c r="CX176" s="589"/>
      <c r="CY176" s="589"/>
      <c r="CZ176" s="589"/>
      <c r="DA176" s="589"/>
      <c r="DB176" s="589"/>
      <c r="DC176" s="589"/>
      <c r="DD176" s="589"/>
      <c r="DE176" s="589"/>
      <c r="DF176" s="589"/>
      <c r="DG176" s="589"/>
      <c r="DH176" s="589"/>
      <c r="DI176" s="589"/>
      <c r="DJ176" s="589"/>
      <c r="DK176" s="589"/>
      <c r="DL176" s="589"/>
      <c r="DM176" s="589"/>
      <c r="DN176" s="589"/>
      <c r="DO176" s="589"/>
      <c r="DP176" s="589"/>
      <c r="DQ176" s="589"/>
      <c r="DR176" s="589"/>
      <c r="DS176" s="589"/>
      <c r="DT176" s="589"/>
      <c r="DU176" s="589"/>
      <c r="DV176" s="589"/>
      <c r="DW176" s="589"/>
      <c r="DX176" s="589"/>
      <c r="DY176" s="589"/>
      <c r="DZ176" s="589"/>
      <c r="EA176" s="589"/>
      <c r="EB176" s="589"/>
      <c r="EC176" s="589"/>
      <c r="ED176" s="589"/>
      <c r="EE176" s="589"/>
      <c r="EF176" s="589"/>
      <c r="EG176" s="589"/>
      <c r="EH176" s="589"/>
      <c r="EI176" s="589"/>
      <c r="EJ176" s="589"/>
      <c r="EK176" s="589"/>
      <c r="EL176" s="589"/>
      <c r="EM176" s="589"/>
      <c r="EN176" s="589"/>
      <c r="EO176" s="589"/>
      <c r="EP176" s="589"/>
      <c r="EQ176" s="589"/>
      <c r="ER176" s="589"/>
      <c r="ES176" s="589"/>
      <c r="ET176" s="589"/>
      <c r="EU176" s="589"/>
      <c r="EV176" s="589"/>
      <c r="EW176" s="589"/>
      <c r="EX176" s="589"/>
      <c r="EY176" s="589"/>
      <c r="EZ176" s="589"/>
      <c r="FA176" s="589"/>
      <c r="FB176" s="589"/>
      <c r="FC176" s="589"/>
      <c r="FD176" s="589"/>
      <c r="FE176" s="589"/>
      <c r="FF176" s="589"/>
      <c r="FG176" s="589"/>
      <c r="FH176" s="589"/>
      <c r="FI176" s="589"/>
      <c r="FJ176" s="589"/>
      <c r="FK176" s="589"/>
      <c r="FL176" s="589"/>
      <c r="FM176" s="589"/>
      <c r="FN176" s="589"/>
      <c r="FO176" s="589"/>
      <c r="FP176" s="589"/>
      <c r="FQ176" s="589"/>
      <c r="FR176" s="589"/>
      <c r="FS176" s="589"/>
      <c r="FT176" s="589"/>
      <c r="FU176" s="589"/>
      <c r="FV176" s="589"/>
      <c r="FW176" s="589"/>
      <c r="FX176" s="589"/>
      <c r="FY176" s="589"/>
      <c r="FZ176" s="589"/>
      <c r="GA176" s="589"/>
      <c r="GB176" s="589"/>
      <c r="GC176" s="589"/>
      <c r="GD176" s="589"/>
      <c r="GE176" s="589"/>
      <c r="GF176" s="589"/>
      <c r="GG176" s="589"/>
      <c r="GH176" s="589"/>
      <c r="GI176" s="589"/>
      <c r="GJ176" s="589"/>
      <c r="GK176" s="589"/>
      <c r="GL176" s="589"/>
      <c r="GM176" s="589"/>
      <c r="GN176" s="589"/>
      <c r="GO176" s="589"/>
      <c r="GP176" s="589"/>
      <c r="GQ176" s="589"/>
      <c r="GR176" s="589"/>
      <c r="GS176" s="589"/>
      <c r="GT176" s="589"/>
      <c r="GU176" s="589"/>
      <c r="GV176" s="589"/>
      <c r="GW176" s="589"/>
      <c r="GX176" s="589"/>
      <c r="GY176" s="589"/>
      <c r="GZ176" s="589"/>
      <c r="HA176" s="589"/>
      <c r="HB176" s="589"/>
      <c r="HC176" s="589"/>
      <c r="HD176" s="589"/>
      <c r="HE176" s="589"/>
      <c r="HF176" s="589"/>
      <c r="HG176" s="589"/>
      <c r="HH176" s="589"/>
      <c r="HI176" s="589"/>
      <c r="HJ176" s="589"/>
      <c r="HK176" s="589"/>
      <c r="HL176" s="589"/>
      <c r="HM176" s="589"/>
      <c r="HN176" s="589"/>
      <c r="HO176" s="589"/>
      <c r="HP176" s="589"/>
      <c r="HQ176" s="589"/>
      <c r="HR176" s="589"/>
      <c r="HS176" s="589"/>
      <c r="HT176" s="589"/>
      <c r="HU176" s="589"/>
      <c r="HV176" s="589"/>
      <c r="HW176" s="589"/>
      <c r="HX176" s="589"/>
      <c r="HY176" s="589"/>
      <c r="HZ176" s="589"/>
      <c r="IA176" s="589"/>
      <c r="IB176" s="589"/>
      <c r="IC176" s="589"/>
      <c r="ID176" s="589"/>
      <c r="IE176" s="589"/>
      <c r="IF176" s="589"/>
      <c r="IG176" s="589"/>
      <c r="IH176" s="589"/>
      <c r="II176" s="589"/>
      <c r="IJ176" s="589"/>
      <c r="IK176" s="589"/>
      <c r="IL176" s="589"/>
      <c r="IM176" s="589"/>
      <c r="IN176" s="589"/>
      <c r="IO176" s="589"/>
      <c r="IP176" s="589"/>
      <c r="IQ176" s="589"/>
      <c r="IR176" s="589"/>
      <c r="IS176" s="589"/>
      <c r="IT176" s="589"/>
      <c r="IU176" s="589"/>
      <c r="IV176" s="589"/>
    </row>
    <row r="177" spans="1:256" s="702" customFormat="1" x14ac:dyDescent="0.25">
      <c r="A177" s="604"/>
      <c r="B177" s="605" t="s">
        <v>232</v>
      </c>
      <c r="C177" s="605"/>
      <c r="D177" s="605"/>
      <c r="E177" s="605"/>
      <c r="F177" s="605"/>
      <c r="G177" s="605"/>
      <c r="H177" s="605"/>
      <c r="I177" s="605"/>
      <c r="J177" s="605"/>
      <c r="K177" s="605"/>
      <c r="L177" s="605"/>
      <c r="M177" s="605"/>
      <c r="N177" s="605"/>
      <c r="O177" s="605"/>
      <c r="P177" s="605"/>
      <c r="Q177" s="605"/>
      <c r="R177" s="605"/>
      <c r="S177" s="605"/>
      <c r="T177" s="605"/>
      <c r="U177" s="605"/>
      <c r="V177" s="663">
        <f>+V175-V176</f>
        <v>0</v>
      </c>
      <c r="W177" s="607"/>
      <c r="X177" s="588"/>
      <c r="Y177" s="589"/>
      <c r="Z177" s="589"/>
      <c r="AA177" s="589"/>
      <c r="AB177" s="589"/>
      <c r="AC177" s="589"/>
      <c r="AD177" s="589"/>
      <c r="AE177" s="589"/>
      <c r="AF177" s="589"/>
      <c r="AG177" s="589"/>
      <c r="AH177" s="589"/>
      <c r="AI177" s="589"/>
      <c r="AJ177" s="589"/>
      <c r="AK177" s="589"/>
      <c r="AL177" s="589"/>
      <c r="AM177" s="589"/>
      <c r="AN177" s="589"/>
      <c r="AO177" s="589"/>
      <c r="AP177" s="589"/>
      <c r="AQ177" s="589"/>
      <c r="AR177" s="589"/>
      <c r="AS177" s="589"/>
      <c r="AT177" s="589"/>
      <c r="AU177" s="589"/>
      <c r="AV177" s="589"/>
      <c r="AW177" s="589"/>
      <c r="AX177" s="589"/>
      <c r="AY177" s="589"/>
      <c r="AZ177" s="589"/>
      <c r="BA177" s="589"/>
      <c r="BB177" s="589"/>
      <c r="BC177" s="589"/>
      <c r="BD177" s="589"/>
      <c r="BE177" s="589"/>
      <c r="BF177" s="589"/>
      <c r="BG177" s="589"/>
      <c r="BH177" s="589"/>
      <c r="BI177" s="589"/>
      <c r="BJ177" s="589"/>
      <c r="BK177" s="589"/>
      <c r="BL177" s="589"/>
      <c r="BM177" s="589"/>
      <c r="BN177" s="589"/>
      <c r="BO177" s="589"/>
      <c r="BP177" s="589"/>
      <c r="BQ177" s="589"/>
      <c r="BR177" s="589"/>
      <c r="BS177" s="589"/>
      <c r="BT177" s="589"/>
      <c r="BU177" s="589"/>
      <c r="BV177" s="589"/>
      <c r="BW177" s="589"/>
      <c r="BX177" s="589"/>
      <c r="BY177" s="589"/>
      <c r="BZ177" s="589"/>
      <c r="CA177" s="589"/>
      <c r="CB177" s="589"/>
      <c r="CC177" s="589"/>
      <c r="CD177" s="589"/>
      <c r="CE177" s="589"/>
      <c r="CF177" s="589"/>
      <c r="CG177" s="589"/>
      <c r="CH177" s="589"/>
      <c r="CI177" s="589"/>
      <c r="CJ177" s="589"/>
      <c r="CK177" s="589"/>
      <c r="CL177" s="589"/>
      <c r="CM177" s="589"/>
      <c r="CN177" s="589"/>
      <c r="CO177" s="589"/>
      <c r="CP177" s="589"/>
      <c r="CQ177" s="589"/>
      <c r="CR177" s="589"/>
      <c r="CS177" s="589"/>
      <c r="CT177" s="589"/>
      <c r="CU177" s="589"/>
      <c r="CV177" s="589"/>
      <c r="CW177" s="589"/>
      <c r="CX177" s="589"/>
      <c r="CY177" s="589"/>
      <c r="CZ177" s="589"/>
      <c r="DA177" s="589"/>
      <c r="DB177" s="589"/>
      <c r="DC177" s="589"/>
      <c r="DD177" s="589"/>
      <c r="DE177" s="589"/>
      <c r="DF177" s="589"/>
      <c r="DG177" s="589"/>
      <c r="DH177" s="589"/>
      <c r="DI177" s="589"/>
      <c r="DJ177" s="589"/>
      <c r="DK177" s="589"/>
      <c r="DL177" s="589"/>
      <c r="DM177" s="589"/>
      <c r="DN177" s="589"/>
      <c r="DO177" s="589"/>
      <c r="DP177" s="589"/>
      <c r="DQ177" s="589"/>
      <c r="DR177" s="589"/>
      <c r="DS177" s="589"/>
      <c r="DT177" s="589"/>
      <c r="DU177" s="589"/>
      <c r="DV177" s="589"/>
      <c r="DW177" s="589"/>
      <c r="DX177" s="589"/>
      <c r="DY177" s="589"/>
      <c r="DZ177" s="589"/>
      <c r="EA177" s="589"/>
      <c r="EB177" s="589"/>
      <c r="EC177" s="589"/>
      <c r="ED177" s="589"/>
      <c r="EE177" s="589"/>
      <c r="EF177" s="589"/>
      <c r="EG177" s="589"/>
      <c r="EH177" s="589"/>
      <c r="EI177" s="589"/>
      <c r="EJ177" s="589"/>
      <c r="EK177" s="589"/>
      <c r="EL177" s="589"/>
      <c r="EM177" s="589"/>
      <c r="EN177" s="589"/>
      <c r="EO177" s="589"/>
      <c r="EP177" s="589"/>
      <c r="EQ177" s="589"/>
      <c r="ER177" s="589"/>
      <c r="ES177" s="589"/>
      <c r="ET177" s="589"/>
      <c r="EU177" s="589"/>
      <c r="EV177" s="589"/>
      <c r="EW177" s="589"/>
      <c r="EX177" s="589"/>
      <c r="EY177" s="589"/>
      <c r="EZ177" s="589"/>
      <c r="FA177" s="589"/>
      <c r="FB177" s="589"/>
      <c r="FC177" s="589"/>
      <c r="FD177" s="589"/>
      <c r="FE177" s="589"/>
      <c r="FF177" s="589"/>
      <c r="FG177" s="589"/>
      <c r="FH177" s="589"/>
      <c r="FI177" s="589"/>
      <c r="FJ177" s="589"/>
      <c r="FK177" s="589"/>
      <c r="FL177" s="589"/>
      <c r="FM177" s="589"/>
      <c r="FN177" s="589"/>
      <c r="FO177" s="589"/>
      <c r="FP177" s="589"/>
      <c r="FQ177" s="589"/>
      <c r="FR177" s="589"/>
      <c r="FS177" s="589"/>
      <c r="FT177" s="589"/>
      <c r="FU177" s="589"/>
      <c r="FV177" s="589"/>
      <c r="FW177" s="589"/>
      <c r="FX177" s="589"/>
      <c r="FY177" s="589"/>
      <c r="FZ177" s="589"/>
      <c r="GA177" s="589"/>
      <c r="GB177" s="589"/>
      <c r="GC177" s="589"/>
      <c r="GD177" s="589"/>
      <c r="GE177" s="589"/>
      <c r="GF177" s="589"/>
      <c r="GG177" s="589"/>
      <c r="GH177" s="589"/>
      <c r="GI177" s="589"/>
      <c r="GJ177" s="589"/>
      <c r="GK177" s="589"/>
      <c r="GL177" s="589"/>
      <c r="GM177" s="589"/>
      <c r="GN177" s="589"/>
      <c r="GO177" s="589"/>
      <c r="GP177" s="589"/>
      <c r="GQ177" s="589"/>
      <c r="GR177" s="589"/>
      <c r="GS177" s="589"/>
      <c r="GT177" s="589"/>
      <c r="GU177" s="589"/>
      <c r="GV177" s="589"/>
      <c r="GW177" s="589"/>
      <c r="GX177" s="589"/>
      <c r="GY177" s="589"/>
      <c r="GZ177" s="589"/>
      <c r="HA177" s="589"/>
      <c r="HB177" s="589"/>
      <c r="HC177" s="589"/>
      <c r="HD177" s="589"/>
      <c r="HE177" s="589"/>
      <c r="HF177" s="589"/>
      <c r="HG177" s="589"/>
      <c r="HH177" s="589"/>
      <c r="HI177" s="589"/>
      <c r="HJ177" s="589"/>
      <c r="HK177" s="589"/>
      <c r="HL177" s="589"/>
      <c r="HM177" s="589"/>
      <c r="HN177" s="589"/>
      <c r="HO177" s="589"/>
      <c r="HP177" s="589"/>
      <c r="HQ177" s="589"/>
      <c r="HR177" s="589"/>
      <c r="HS177" s="589"/>
      <c r="HT177" s="589"/>
      <c r="HU177" s="589"/>
      <c r="HV177" s="589"/>
      <c r="HW177" s="589"/>
      <c r="HX177" s="589"/>
      <c r="HY177" s="589"/>
      <c r="HZ177" s="589"/>
      <c r="IA177" s="589"/>
      <c r="IB177" s="589"/>
      <c r="IC177" s="589"/>
      <c r="ID177" s="589"/>
      <c r="IE177" s="589"/>
      <c r="IF177" s="589"/>
      <c r="IG177" s="589"/>
      <c r="IH177" s="589"/>
      <c r="II177" s="589"/>
      <c r="IJ177" s="589"/>
      <c r="IK177" s="589"/>
      <c r="IL177" s="589"/>
      <c r="IM177" s="589"/>
      <c r="IN177" s="589"/>
      <c r="IO177" s="589"/>
      <c r="IP177" s="589"/>
      <c r="IQ177" s="589"/>
      <c r="IR177" s="589"/>
      <c r="IS177" s="589"/>
      <c r="IT177" s="589"/>
      <c r="IU177" s="589"/>
      <c r="IV177" s="589"/>
    </row>
    <row r="178" spans="1:256" s="704" customFormat="1" ht="16.5" thickBot="1" x14ac:dyDescent="0.3">
      <c r="A178" s="703"/>
      <c r="B178" s="664"/>
      <c r="C178" s="664"/>
      <c r="D178" s="664"/>
      <c r="E178" s="664"/>
      <c r="F178" s="664"/>
      <c r="G178" s="664"/>
      <c r="H178" s="664"/>
      <c r="I178" s="664"/>
      <c r="J178" s="664"/>
      <c r="K178" s="664"/>
      <c r="L178" s="664"/>
      <c r="M178" s="664"/>
      <c r="N178" s="664"/>
      <c r="O178" s="664"/>
      <c r="P178" s="664"/>
      <c r="Q178" s="664"/>
      <c r="R178" s="664"/>
      <c r="S178" s="664"/>
      <c r="T178" s="664"/>
      <c r="U178" s="664"/>
      <c r="V178" s="696"/>
      <c r="W178" s="664"/>
      <c r="X178" s="572"/>
      <c r="Y178" s="573"/>
      <c r="Z178" s="573"/>
      <c r="AA178" s="573"/>
      <c r="AB178" s="573"/>
      <c r="AC178" s="573"/>
      <c r="AD178" s="573"/>
      <c r="AE178" s="573"/>
      <c r="AF178" s="573"/>
      <c r="AG178" s="573"/>
      <c r="AH178" s="573"/>
      <c r="AI178" s="573"/>
      <c r="AJ178" s="573"/>
      <c r="AK178" s="573"/>
      <c r="AL178" s="573"/>
      <c r="AM178" s="573"/>
      <c r="AN178" s="573"/>
      <c r="AO178" s="573"/>
      <c r="AP178" s="573"/>
      <c r="AQ178" s="573"/>
      <c r="AR178" s="573"/>
      <c r="AS178" s="573"/>
      <c r="AT178" s="573"/>
      <c r="AU178" s="573"/>
      <c r="AV178" s="573"/>
      <c r="AW178" s="573"/>
      <c r="AX178" s="573"/>
      <c r="AY178" s="573"/>
      <c r="AZ178" s="573"/>
      <c r="BA178" s="573"/>
      <c r="BB178" s="573"/>
      <c r="BC178" s="573"/>
      <c r="BD178" s="573"/>
      <c r="BE178" s="573"/>
      <c r="BF178" s="573"/>
      <c r="BG178" s="573"/>
      <c r="BH178" s="573"/>
      <c r="BI178" s="573"/>
      <c r="BJ178" s="573"/>
      <c r="BK178" s="573"/>
      <c r="BL178" s="573"/>
      <c r="BM178" s="573"/>
      <c r="BN178" s="573"/>
      <c r="BO178" s="573"/>
      <c r="BP178" s="573"/>
      <c r="BQ178" s="573"/>
      <c r="BR178" s="573"/>
      <c r="BS178" s="573"/>
      <c r="BT178" s="573"/>
      <c r="BU178" s="573"/>
      <c r="BV178" s="573"/>
      <c r="BW178" s="573"/>
      <c r="BX178" s="573"/>
      <c r="BY178" s="573"/>
      <c r="BZ178" s="573"/>
      <c r="CA178" s="573"/>
      <c r="CB178" s="573"/>
      <c r="CC178" s="573"/>
      <c r="CD178" s="573"/>
      <c r="CE178" s="573"/>
      <c r="CF178" s="573"/>
      <c r="CG178" s="573"/>
      <c r="CH178" s="573"/>
      <c r="CI178" s="573"/>
      <c r="CJ178" s="573"/>
      <c r="CK178" s="573"/>
      <c r="CL178" s="573"/>
      <c r="CM178" s="573"/>
      <c r="CN178" s="573"/>
      <c r="CO178" s="573"/>
      <c r="CP178" s="573"/>
      <c r="CQ178" s="573"/>
      <c r="CR178" s="573"/>
      <c r="CS178" s="573"/>
      <c r="CT178" s="573"/>
      <c r="CU178" s="573"/>
      <c r="CV178" s="573"/>
      <c r="CW178" s="573"/>
      <c r="CX178" s="573"/>
      <c r="CY178" s="573"/>
      <c r="CZ178" s="573"/>
      <c r="DA178" s="573"/>
      <c r="DB178" s="573"/>
      <c r="DC178" s="573"/>
      <c r="DD178" s="573"/>
      <c r="DE178" s="573"/>
      <c r="DF178" s="573"/>
      <c r="DG178" s="573"/>
      <c r="DH178" s="573"/>
      <c r="DI178" s="573"/>
      <c r="DJ178" s="573"/>
      <c r="DK178" s="573"/>
      <c r="DL178" s="573"/>
      <c r="DM178" s="573"/>
      <c r="DN178" s="573"/>
      <c r="DO178" s="573"/>
      <c r="DP178" s="573"/>
      <c r="DQ178" s="573"/>
      <c r="DR178" s="573"/>
      <c r="DS178" s="573"/>
      <c r="DT178" s="573"/>
      <c r="DU178" s="573"/>
      <c r="DV178" s="573"/>
      <c r="DW178" s="573"/>
      <c r="DX178" s="573"/>
      <c r="DY178" s="573"/>
      <c r="DZ178" s="573"/>
      <c r="EA178" s="573"/>
      <c r="EB178" s="573"/>
      <c r="EC178" s="573"/>
      <c r="ED178" s="573"/>
      <c r="EE178" s="573"/>
      <c r="EF178" s="573"/>
      <c r="EG178" s="573"/>
      <c r="EH178" s="573"/>
      <c r="EI178" s="573"/>
      <c r="EJ178" s="573"/>
      <c r="EK178" s="573"/>
      <c r="EL178" s="573"/>
      <c r="EM178" s="573"/>
      <c r="EN178" s="573"/>
      <c r="EO178" s="573"/>
      <c r="EP178" s="573"/>
      <c r="EQ178" s="573"/>
      <c r="ER178" s="573"/>
      <c r="ES178" s="573"/>
      <c r="ET178" s="573"/>
      <c r="EU178" s="573"/>
      <c r="EV178" s="573"/>
      <c r="EW178" s="573"/>
      <c r="EX178" s="573"/>
      <c r="EY178" s="573"/>
      <c r="EZ178" s="573"/>
      <c r="FA178" s="573"/>
      <c r="FB178" s="573"/>
      <c r="FC178" s="573"/>
      <c r="FD178" s="573"/>
      <c r="FE178" s="573"/>
      <c r="FF178" s="573"/>
      <c r="FG178" s="573"/>
      <c r="FH178" s="573"/>
      <c r="FI178" s="573"/>
      <c r="FJ178" s="573"/>
      <c r="FK178" s="573"/>
      <c r="FL178" s="573"/>
      <c r="FM178" s="573"/>
      <c r="FN178" s="573"/>
      <c r="FO178" s="573"/>
      <c r="FP178" s="573"/>
      <c r="FQ178" s="573"/>
      <c r="FR178" s="573"/>
      <c r="FS178" s="573"/>
      <c r="FT178" s="573"/>
      <c r="FU178" s="573"/>
      <c r="FV178" s="573"/>
      <c r="FW178" s="573"/>
      <c r="FX178" s="573"/>
      <c r="FY178" s="573"/>
      <c r="FZ178" s="573"/>
      <c r="GA178" s="573"/>
      <c r="GB178" s="573"/>
      <c r="GC178" s="573"/>
      <c r="GD178" s="573"/>
      <c r="GE178" s="573"/>
      <c r="GF178" s="573"/>
      <c r="GG178" s="573"/>
      <c r="GH178" s="573"/>
      <c r="GI178" s="573"/>
      <c r="GJ178" s="573"/>
      <c r="GK178" s="573"/>
      <c r="GL178" s="573"/>
      <c r="GM178" s="573"/>
      <c r="GN178" s="573"/>
      <c r="GO178" s="573"/>
      <c r="GP178" s="573"/>
      <c r="GQ178" s="573"/>
      <c r="GR178" s="573"/>
      <c r="GS178" s="573"/>
      <c r="GT178" s="573"/>
      <c r="GU178" s="573"/>
      <c r="GV178" s="573"/>
      <c r="GW178" s="573"/>
      <c r="GX178" s="573"/>
      <c r="GY178" s="573"/>
      <c r="GZ178" s="573"/>
      <c r="HA178" s="573"/>
      <c r="HB178" s="573"/>
      <c r="HC178" s="573"/>
      <c r="HD178" s="573"/>
      <c r="HE178" s="573"/>
      <c r="HF178" s="573"/>
      <c r="HG178" s="573"/>
      <c r="HH178" s="573"/>
      <c r="HI178" s="573"/>
      <c r="HJ178" s="573"/>
      <c r="HK178" s="573"/>
      <c r="HL178" s="573"/>
      <c r="HM178" s="573"/>
      <c r="HN178" s="573"/>
      <c r="HO178" s="573"/>
      <c r="HP178" s="573"/>
      <c r="HQ178" s="573"/>
      <c r="HR178" s="573"/>
      <c r="HS178" s="573"/>
      <c r="HT178" s="573"/>
      <c r="HU178" s="573"/>
      <c r="HV178" s="573"/>
      <c r="HW178" s="573"/>
      <c r="HX178" s="573"/>
      <c r="HY178" s="573"/>
      <c r="HZ178" s="573"/>
      <c r="IA178" s="573"/>
      <c r="IB178" s="573"/>
      <c r="IC178" s="573"/>
      <c r="ID178" s="573"/>
      <c r="IE178" s="573"/>
      <c r="IF178" s="573"/>
      <c r="IG178" s="573"/>
      <c r="IH178" s="573"/>
      <c r="II178" s="573"/>
      <c r="IJ178" s="573"/>
      <c r="IK178" s="573"/>
      <c r="IL178" s="573"/>
      <c r="IM178" s="573"/>
      <c r="IN178" s="573"/>
      <c r="IO178" s="573"/>
      <c r="IP178" s="573"/>
      <c r="IQ178" s="573"/>
      <c r="IR178" s="573"/>
      <c r="IS178" s="573"/>
      <c r="IT178" s="573"/>
      <c r="IU178" s="573"/>
      <c r="IV178" s="573"/>
    </row>
    <row r="179" spans="1:256" s="705" customFormat="1" x14ac:dyDescent="0.25">
      <c r="A179" s="569"/>
      <c r="B179" s="571"/>
      <c r="C179" s="571"/>
      <c r="D179" s="571"/>
      <c r="E179" s="571"/>
      <c r="F179" s="571"/>
      <c r="G179" s="571"/>
      <c r="H179" s="571"/>
      <c r="I179" s="571"/>
      <c r="J179" s="571"/>
      <c r="K179" s="571"/>
      <c r="L179" s="571"/>
      <c r="M179" s="571"/>
      <c r="N179" s="571"/>
      <c r="O179" s="571"/>
      <c r="P179" s="571"/>
      <c r="Q179" s="571"/>
      <c r="R179" s="571"/>
      <c r="S179" s="571"/>
      <c r="T179" s="571"/>
      <c r="U179" s="571"/>
      <c r="V179" s="699"/>
      <c r="W179" s="571"/>
      <c r="X179" s="572"/>
      <c r="Y179" s="573"/>
      <c r="Z179" s="573"/>
      <c r="AA179" s="573"/>
      <c r="AB179" s="573"/>
      <c r="AC179" s="573"/>
      <c r="AD179" s="573"/>
      <c r="AE179" s="573"/>
      <c r="AF179" s="573"/>
      <c r="AG179" s="573"/>
      <c r="AH179" s="573"/>
      <c r="AI179" s="573"/>
      <c r="AJ179" s="573"/>
      <c r="AK179" s="573"/>
      <c r="AL179" s="573"/>
      <c r="AM179" s="573"/>
      <c r="AN179" s="573"/>
      <c r="AO179" s="573"/>
      <c r="AP179" s="573"/>
      <c r="AQ179" s="573"/>
      <c r="AR179" s="573"/>
      <c r="AS179" s="573"/>
      <c r="AT179" s="573"/>
      <c r="AU179" s="573"/>
      <c r="AV179" s="573"/>
      <c r="AW179" s="573"/>
      <c r="AX179" s="573"/>
      <c r="AY179" s="573"/>
      <c r="AZ179" s="573"/>
      <c r="BA179" s="573"/>
      <c r="BB179" s="573"/>
      <c r="BC179" s="573"/>
      <c r="BD179" s="573"/>
      <c r="BE179" s="573"/>
      <c r="BF179" s="573"/>
      <c r="BG179" s="573"/>
      <c r="BH179" s="573"/>
      <c r="BI179" s="573"/>
      <c r="BJ179" s="573"/>
      <c r="BK179" s="573"/>
      <c r="BL179" s="573"/>
      <c r="BM179" s="573"/>
      <c r="BN179" s="573"/>
      <c r="BO179" s="573"/>
      <c r="BP179" s="573"/>
      <c r="BQ179" s="573"/>
      <c r="BR179" s="573"/>
      <c r="BS179" s="573"/>
      <c r="BT179" s="573"/>
      <c r="BU179" s="573"/>
      <c r="BV179" s="573"/>
      <c r="BW179" s="573"/>
      <c r="BX179" s="573"/>
      <c r="BY179" s="573"/>
      <c r="BZ179" s="573"/>
      <c r="CA179" s="573"/>
      <c r="CB179" s="573"/>
      <c r="CC179" s="573"/>
      <c r="CD179" s="573"/>
      <c r="CE179" s="573"/>
      <c r="CF179" s="573"/>
      <c r="CG179" s="573"/>
      <c r="CH179" s="573"/>
      <c r="CI179" s="573"/>
      <c r="CJ179" s="573"/>
      <c r="CK179" s="573"/>
      <c r="CL179" s="573"/>
      <c r="CM179" s="573"/>
      <c r="CN179" s="573"/>
      <c r="CO179" s="573"/>
      <c r="CP179" s="573"/>
      <c r="CQ179" s="573"/>
      <c r="CR179" s="573"/>
      <c r="CS179" s="573"/>
      <c r="CT179" s="573"/>
      <c r="CU179" s="573"/>
      <c r="CV179" s="573"/>
      <c r="CW179" s="573"/>
      <c r="CX179" s="573"/>
      <c r="CY179" s="573"/>
      <c r="CZ179" s="573"/>
      <c r="DA179" s="573"/>
      <c r="DB179" s="573"/>
      <c r="DC179" s="573"/>
      <c r="DD179" s="573"/>
      <c r="DE179" s="573"/>
      <c r="DF179" s="573"/>
      <c r="DG179" s="573"/>
      <c r="DH179" s="573"/>
      <c r="DI179" s="573"/>
      <c r="DJ179" s="573"/>
      <c r="DK179" s="573"/>
      <c r="DL179" s="573"/>
      <c r="DM179" s="573"/>
      <c r="DN179" s="573"/>
      <c r="DO179" s="573"/>
      <c r="DP179" s="573"/>
      <c r="DQ179" s="573"/>
      <c r="DR179" s="573"/>
      <c r="DS179" s="573"/>
      <c r="DT179" s="573"/>
      <c r="DU179" s="573"/>
      <c r="DV179" s="573"/>
      <c r="DW179" s="573"/>
      <c r="DX179" s="573"/>
      <c r="DY179" s="573"/>
      <c r="DZ179" s="573"/>
      <c r="EA179" s="573"/>
      <c r="EB179" s="573"/>
      <c r="EC179" s="573"/>
      <c r="ED179" s="573"/>
      <c r="EE179" s="573"/>
      <c r="EF179" s="573"/>
      <c r="EG179" s="573"/>
      <c r="EH179" s="573"/>
      <c r="EI179" s="573"/>
      <c r="EJ179" s="573"/>
      <c r="EK179" s="573"/>
      <c r="EL179" s="573"/>
      <c r="EM179" s="573"/>
      <c r="EN179" s="573"/>
      <c r="EO179" s="573"/>
      <c r="EP179" s="573"/>
      <c r="EQ179" s="573"/>
      <c r="ER179" s="573"/>
      <c r="ES179" s="573"/>
      <c r="ET179" s="573"/>
      <c r="EU179" s="573"/>
      <c r="EV179" s="573"/>
      <c r="EW179" s="573"/>
      <c r="EX179" s="573"/>
      <c r="EY179" s="573"/>
      <c r="EZ179" s="573"/>
      <c r="FA179" s="573"/>
      <c r="FB179" s="573"/>
      <c r="FC179" s="573"/>
      <c r="FD179" s="573"/>
      <c r="FE179" s="573"/>
      <c r="FF179" s="573"/>
      <c r="FG179" s="573"/>
      <c r="FH179" s="573"/>
      <c r="FI179" s="573"/>
      <c r="FJ179" s="573"/>
      <c r="FK179" s="573"/>
      <c r="FL179" s="573"/>
      <c r="FM179" s="573"/>
      <c r="FN179" s="573"/>
      <c r="FO179" s="573"/>
      <c r="FP179" s="573"/>
      <c r="FQ179" s="573"/>
      <c r="FR179" s="573"/>
      <c r="FS179" s="573"/>
      <c r="FT179" s="573"/>
      <c r="FU179" s="573"/>
      <c r="FV179" s="573"/>
      <c r="FW179" s="573"/>
      <c r="FX179" s="573"/>
      <c r="FY179" s="573"/>
      <c r="FZ179" s="573"/>
      <c r="GA179" s="573"/>
      <c r="GB179" s="573"/>
      <c r="GC179" s="573"/>
      <c r="GD179" s="573"/>
      <c r="GE179" s="573"/>
      <c r="GF179" s="573"/>
      <c r="GG179" s="573"/>
      <c r="GH179" s="573"/>
      <c r="GI179" s="573"/>
      <c r="GJ179" s="573"/>
      <c r="GK179" s="573"/>
      <c r="GL179" s="573"/>
      <c r="GM179" s="573"/>
      <c r="GN179" s="573"/>
      <c r="GO179" s="573"/>
      <c r="GP179" s="573"/>
      <c r="GQ179" s="573"/>
      <c r="GR179" s="573"/>
      <c r="GS179" s="573"/>
      <c r="GT179" s="573"/>
      <c r="GU179" s="573"/>
      <c r="GV179" s="573"/>
      <c r="GW179" s="573"/>
      <c r="GX179" s="573"/>
      <c r="GY179" s="573"/>
      <c r="GZ179" s="573"/>
      <c r="HA179" s="573"/>
      <c r="HB179" s="573"/>
      <c r="HC179" s="573"/>
      <c r="HD179" s="573"/>
      <c r="HE179" s="573"/>
      <c r="HF179" s="573"/>
      <c r="HG179" s="573"/>
      <c r="HH179" s="573"/>
      <c r="HI179" s="573"/>
      <c r="HJ179" s="573"/>
      <c r="HK179" s="573"/>
      <c r="HL179" s="573"/>
      <c r="HM179" s="573"/>
      <c r="HN179" s="573"/>
      <c r="HO179" s="573"/>
      <c r="HP179" s="573"/>
      <c r="HQ179" s="573"/>
      <c r="HR179" s="573"/>
      <c r="HS179" s="573"/>
      <c r="HT179" s="573"/>
      <c r="HU179" s="573"/>
      <c r="HV179" s="573"/>
      <c r="HW179" s="573"/>
      <c r="HX179" s="573"/>
      <c r="HY179" s="573"/>
      <c r="HZ179" s="573"/>
      <c r="IA179" s="573"/>
      <c r="IB179" s="573"/>
      <c r="IC179" s="573"/>
      <c r="ID179" s="573"/>
      <c r="IE179" s="573"/>
      <c r="IF179" s="573"/>
      <c r="IG179" s="573"/>
      <c r="IH179" s="573"/>
      <c r="II179" s="573"/>
      <c r="IJ179" s="573"/>
      <c r="IK179" s="573"/>
      <c r="IL179" s="573"/>
      <c r="IM179" s="573"/>
      <c r="IN179" s="573"/>
      <c r="IO179" s="573"/>
      <c r="IP179" s="573"/>
      <c r="IQ179" s="573"/>
      <c r="IR179" s="573"/>
      <c r="IS179" s="573"/>
      <c r="IT179" s="573"/>
      <c r="IU179" s="573"/>
      <c r="IV179" s="573"/>
    </row>
    <row r="180" spans="1:256" x14ac:dyDescent="0.25">
      <c r="A180" s="574"/>
      <c r="B180" s="694" t="s">
        <v>56</v>
      </c>
      <c r="C180" s="576"/>
      <c r="D180" s="576"/>
      <c r="E180" s="576"/>
      <c r="F180" s="576"/>
      <c r="G180" s="576"/>
      <c r="H180" s="576"/>
      <c r="I180" s="576"/>
      <c r="J180" s="576"/>
      <c r="K180" s="576"/>
      <c r="L180" s="576"/>
      <c r="M180" s="576"/>
      <c r="N180" s="576"/>
      <c r="O180" s="576"/>
      <c r="P180" s="576"/>
      <c r="Q180" s="576"/>
      <c r="R180" s="576"/>
      <c r="S180" s="576"/>
      <c r="T180" s="576"/>
      <c r="U180" s="576"/>
      <c r="V180" s="656"/>
      <c r="W180" s="576"/>
      <c r="X180" s="572"/>
    </row>
    <row r="181" spans="1:256" x14ac:dyDescent="0.25">
      <c r="A181" s="574"/>
      <c r="B181" s="693"/>
      <c r="C181" s="576"/>
      <c r="D181" s="576"/>
      <c r="E181" s="576"/>
      <c r="F181" s="576"/>
      <c r="G181" s="576"/>
      <c r="H181" s="576"/>
      <c r="I181" s="576"/>
      <c r="J181" s="576"/>
      <c r="K181" s="576"/>
      <c r="L181" s="576"/>
      <c r="M181" s="576"/>
      <c r="N181" s="576"/>
      <c r="O181" s="576"/>
      <c r="P181" s="576"/>
      <c r="Q181" s="576"/>
      <c r="R181" s="576"/>
      <c r="S181" s="576"/>
      <c r="T181" s="576"/>
      <c r="U181" s="576"/>
      <c r="V181" s="656"/>
      <c r="W181" s="576"/>
      <c r="X181" s="572"/>
    </row>
    <row r="182" spans="1:256" s="589" customFormat="1" x14ac:dyDescent="0.25">
      <c r="A182" s="604"/>
      <c r="B182" s="605" t="s">
        <v>57</v>
      </c>
      <c r="C182" s="605"/>
      <c r="D182" s="605"/>
      <c r="E182" s="605"/>
      <c r="F182" s="605"/>
      <c r="G182" s="605"/>
      <c r="H182" s="605"/>
      <c r="I182" s="605"/>
      <c r="J182" s="605"/>
      <c r="K182" s="605"/>
      <c r="L182" s="605"/>
      <c r="M182" s="605"/>
      <c r="N182" s="605"/>
      <c r="O182" s="605"/>
      <c r="P182" s="605"/>
      <c r="Q182" s="605"/>
      <c r="R182" s="605"/>
      <c r="S182" s="605"/>
      <c r="T182" s="605"/>
      <c r="U182" s="605"/>
      <c r="V182" s="663">
        <f>V71</f>
        <v>528198</v>
      </c>
      <c r="W182" s="607"/>
      <c r="X182" s="588"/>
    </row>
    <row r="183" spans="1:256" s="589" customFormat="1" x14ac:dyDescent="0.25">
      <c r="A183" s="604"/>
      <c r="B183" s="605" t="s">
        <v>58</v>
      </c>
      <c r="C183" s="605"/>
      <c r="D183" s="605"/>
      <c r="E183" s="605"/>
      <c r="F183" s="605"/>
      <c r="G183" s="605"/>
      <c r="H183" s="605"/>
      <c r="I183" s="605"/>
      <c r="J183" s="605"/>
      <c r="K183" s="605"/>
      <c r="L183" s="605"/>
      <c r="M183" s="605"/>
      <c r="N183" s="605"/>
      <c r="O183" s="605"/>
      <c r="P183" s="605"/>
      <c r="Q183" s="605"/>
      <c r="R183" s="605"/>
      <c r="S183" s="605"/>
      <c r="T183" s="605"/>
      <c r="U183" s="605"/>
      <c r="V183" s="663">
        <f>V84</f>
        <v>528198</v>
      </c>
      <c r="W183" s="607"/>
      <c r="X183" s="588"/>
    </row>
    <row r="184" spans="1:256" ht="16.5" thickBot="1" x14ac:dyDescent="0.3">
      <c r="A184" s="574"/>
      <c r="B184" s="664"/>
      <c r="C184" s="664"/>
      <c r="D184" s="664"/>
      <c r="E184" s="664"/>
      <c r="F184" s="664"/>
      <c r="G184" s="664"/>
      <c r="H184" s="664"/>
      <c r="I184" s="664"/>
      <c r="J184" s="664"/>
      <c r="K184" s="664"/>
      <c r="L184" s="664"/>
      <c r="M184" s="664"/>
      <c r="N184" s="664"/>
      <c r="O184" s="664"/>
      <c r="P184" s="664"/>
      <c r="Q184" s="664"/>
      <c r="R184" s="664"/>
      <c r="S184" s="664"/>
      <c r="T184" s="664"/>
      <c r="U184" s="664"/>
      <c r="V184" s="696"/>
      <c r="W184" s="664"/>
      <c r="X184" s="572"/>
    </row>
    <row r="185" spans="1:256" x14ac:dyDescent="0.25">
      <c r="A185" s="569"/>
      <c r="B185" s="571"/>
      <c r="C185" s="571"/>
      <c r="D185" s="571"/>
      <c r="E185" s="571"/>
      <c r="F185" s="571"/>
      <c r="G185" s="571"/>
      <c r="H185" s="571"/>
      <c r="I185" s="571"/>
      <c r="J185" s="571"/>
      <c r="K185" s="571"/>
      <c r="L185" s="571"/>
      <c r="M185" s="571"/>
      <c r="N185" s="571"/>
      <c r="O185" s="571"/>
      <c r="P185" s="571"/>
      <c r="Q185" s="571"/>
      <c r="R185" s="571"/>
      <c r="S185" s="571"/>
      <c r="T185" s="571"/>
      <c r="U185" s="571"/>
      <c r="V185" s="699"/>
      <c r="W185" s="571"/>
      <c r="X185" s="572"/>
    </row>
    <row r="186" spans="1:256" s="629" customFormat="1" x14ac:dyDescent="0.25">
      <c r="A186" s="657"/>
      <c r="B186" s="694" t="s">
        <v>59</v>
      </c>
      <c r="C186" s="661"/>
      <c r="D186" s="661"/>
      <c r="E186" s="661"/>
      <c r="F186" s="661"/>
      <c r="G186" s="661"/>
      <c r="H186" s="706"/>
      <c r="I186" s="706"/>
      <c r="J186" s="706"/>
      <c r="K186" s="706"/>
      <c r="L186" s="706"/>
      <c r="M186" s="706"/>
      <c r="N186" s="706"/>
      <c r="O186" s="706"/>
      <c r="P186" s="706"/>
      <c r="Q186" s="706"/>
      <c r="R186" s="706"/>
      <c r="S186" s="706" t="s">
        <v>101</v>
      </c>
      <c r="T186" s="706" t="s">
        <v>176</v>
      </c>
      <c r="U186" s="578"/>
      <c r="V186" s="707" t="s">
        <v>114</v>
      </c>
      <c r="W186" s="578"/>
      <c r="X186" s="628"/>
    </row>
    <row r="187" spans="1:256" s="589" customFormat="1" x14ac:dyDescent="0.25">
      <c r="A187" s="604"/>
      <c r="B187" s="605" t="s">
        <v>60</v>
      </c>
      <c r="C187" s="605"/>
      <c r="D187" s="605"/>
      <c r="E187" s="605"/>
      <c r="F187" s="605"/>
      <c r="G187" s="605"/>
      <c r="H187" s="605"/>
      <c r="I187" s="605"/>
      <c r="J187" s="605"/>
      <c r="K187" s="605"/>
      <c r="L187" s="605"/>
      <c r="M187" s="605"/>
      <c r="N187" s="605"/>
      <c r="O187" s="605"/>
      <c r="P187" s="605"/>
      <c r="Q187" s="605"/>
      <c r="R187" s="605"/>
      <c r="S187" s="663">
        <f>+V34*0.16</f>
        <v>160181.28</v>
      </c>
      <c r="T187" s="635"/>
      <c r="U187" s="605"/>
      <c r="V187" s="663"/>
      <c r="W187" s="607"/>
      <c r="X187" s="588"/>
    </row>
    <row r="188" spans="1:256" s="589" customFormat="1" x14ac:dyDescent="0.25">
      <c r="A188" s="604"/>
      <c r="B188" s="605" t="s">
        <v>61</v>
      </c>
      <c r="C188" s="605"/>
      <c r="D188" s="605"/>
      <c r="E188" s="605"/>
      <c r="F188" s="605"/>
      <c r="G188" s="605"/>
      <c r="H188" s="605"/>
      <c r="I188" s="605"/>
      <c r="J188" s="605"/>
      <c r="K188" s="605"/>
      <c r="L188" s="605"/>
      <c r="M188" s="605"/>
      <c r="N188" s="605"/>
      <c r="O188" s="605"/>
      <c r="P188" s="605"/>
      <c r="Q188" s="605"/>
      <c r="R188" s="605"/>
      <c r="S188" s="663">
        <f>+'Feb 20'!S190</f>
        <v>14163</v>
      </c>
      <c r="T188" s="663">
        <f>+'Feb 20'!T190</f>
        <v>6098</v>
      </c>
      <c r="U188" s="605"/>
      <c r="V188" s="663">
        <f>S188+T188</f>
        <v>20261</v>
      </c>
      <c r="W188" s="607"/>
      <c r="X188" s="588"/>
    </row>
    <row r="189" spans="1:256" s="589" customFormat="1" x14ac:dyDescent="0.25">
      <c r="A189" s="604"/>
      <c r="B189" s="605" t="s">
        <v>62</v>
      </c>
      <c r="C189" s="605"/>
      <c r="D189" s="605"/>
      <c r="E189" s="605"/>
      <c r="F189" s="605"/>
      <c r="G189" s="605"/>
      <c r="H189" s="605"/>
      <c r="I189" s="605"/>
      <c r="J189" s="605"/>
      <c r="K189" s="605"/>
      <c r="L189" s="605"/>
      <c r="M189" s="605"/>
      <c r="N189" s="605"/>
      <c r="O189" s="605"/>
      <c r="P189" s="605"/>
      <c r="Q189" s="605"/>
      <c r="R189" s="605"/>
      <c r="S189" s="662">
        <v>0</v>
      </c>
      <c r="T189" s="662">
        <v>0</v>
      </c>
      <c r="U189" s="605"/>
      <c r="V189" s="663">
        <f>S189+T189</f>
        <v>0</v>
      </c>
      <c r="W189" s="607"/>
      <c r="X189" s="588"/>
    </row>
    <row r="190" spans="1:256" s="589" customFormat="1" x14ac:dyDescent="0.25">
      <c r="A190" s="604"/>
      <c r="B190" s="605" t="s">
        <v>63</v>
      </c>
      <c r="C190" s="605"/>
      <c r="D190" s="605"/>
      <c r="E190" s="605"/>
      <c r="F190" s="605"/>
      <c r="G190" s="605"/>
      <c r="H190" s="605"/>
      <c r="I190" s="605"/>
      <c r="J190" s="605"/>
      <c r="K190" s="605"/>
      <c r="L190" s="605"/>
      <c r="M190" s="605"/>
      <c r="N190" s="605"/>
      <c r="O190" s="605"/>
      <c r="P190" s="605"/>
      <c r="Q190" s="605"/>
      <c r="R190" s="605"/>
      <c r="S190" s="663">
        <f>S188+S189</f>
        <v>14163</v>
      </c>
      <c r="T190" s="663">
        <f>T189+T188</f>
        <v>6098</v>
      </c>
      <c r="U190" s="605"/>
      <c r="V190" s="663">
        <f>S190+T190</f>
        <v>20261</v>
      </c>
      <c r="W190" s="607"/>
      <c r="X190" s="588"/>
    </row>
    <row r="191" spans="1:256" s="589" customFormat="1" x14ac:dyDescent="0.25">
      <c r="A191" s="604"/>
      <c r="B191" s="605" t="s">
        <v>64</v>
      </c>
      <c r="C191" s="605"/>
      <c r="D191" s="605"/>
      <c r="E191" s="605"/>
      <c r="F191" s="605"/>
      <c r="G191" s="605"/>
      <c r="H191" s="605"/>
      <c r="I191" s="605"/>
      <c r="J191" s="605"/>
      <c r="K191" s="605"/>
      <c r="L191" s="605"/>
      <c r="M191" s="605"/>
      <c r="N191" s="605"/>
      <c r="O191" s="605"/>
      <c r="P191" s="605"/>
      <c r="Q191" s="605"/>
      <c r="R191" s="605"/>
      <c r="S191" s="663">
        <f>S187-S190-T190</f>
        <v>139920.28</v>
      </c>
      <c r="T191" s="635"/>
      <c r="U191" s="605"/>
      <c r="V191" s="663"/>
      <c r="W191" s="607"/>
      <c r="X191" s="588"/>
    </row>
    <row r="192" spans="1:256" ht="16.5" thickBot="1" x14ac:dyDescent="0.3">
      <c r="A192" s="574"/>
      <c r="B192" s="664"/>
      <c r="C192" s="664"/>
      <c r="D192" s="664"/>
      <c r="E192" s="664"/>
      <c r="F192" s="664"/>
      <c r="G192" s="664"/>
      <c r="H192" s="664"/>
      <c r="I192" s="664"/>
      <c r="J192" s="664"/>
      <c r="K192" s="664"/>
      <c r="L192" s="664"/>
      <c r="M192" s="664"/>
      <c r="N192" s="664"/>
      <c r="O192" s="664"/>
      <c r="P192" s="664"/>
      <c r="Q192" s="664"/>
      <c r="R192" s="664"/>
      <c r="S192" s="664"/>
      <c r="T192" s="664"/>
      <c r="U192" s="664"/>
      <c r="V192" s="696"/>
      <c r="W192" s="664"/>
      <c r="X192" s="572"/>
    </row>
    <row r="193" spans="1:24" x14ac:dyDescent="0.25">
      <c r="A193" s="569"/>
      <c r="B193" s="571"/>
      <c r="C193" s="571"/>
      <c r="D193" s="571"/>
      <c r="E193" s="571"/>
      <c r="F193" s="571"/>
      <c r="G193" s="571"/>
      <c r="H193" s="571"/>
      <c r="I193" s="571"/>
      <c r="J193" s="571"/>
      <c r="K193" s="571"/>
      <c r="L193" s="571"/>
      <c r="M193" s="571"/>
      <c r="N193" s="571"/>
      <c r="O193" s="571"/>
      <c r="P193" s="571"/>
      <c r="Q193" s="571"/>
      <c r="R193" s="571"/>
      <c r="S193" s="571"/>
      <c r="T193" s="571"/>
      <c r="U193" s="571"/>
      <c r="V193" s="699"/>
      <c r="W193" s="571"/>
      <c r="X193" s="572"/>
    </row>
    <row r="194" spans="1:24" x14ac:dyDescent="0.25">
      <c r="A194" s="574"/>
      <c r="B194" s="694" t="s">
        <v>65</v>
      </c>
      <c r="C194" s="576"/>
      <c r="D194" s="576"/>
      <c r="E194" s="576"/>
      <c r="F194" s="576"/>
      <c r="G194" s="576"/>
      <c r="H194" s="576"/>
      <c r="I194" s="576"/>
      <c r="J194" s="576"/>
      <c r="K194" s="576"/>
      <c r="L194" s="576"/>
      <c r="M194" s="576"/>
      <c r="N194" s="576"/>
      <c r="O194" s="576"/>
      <c r="P194" s="576"/>
      <c r="Q194" s="576"/>
      <c r="R194" s="576"/>
      <c r="S194" s="576"/>
      <c r="T194" s="576"/>
      <c r="U194" s="576"/>
      <c r="V194" s="708"/>
      <c r="W194" s="576"/>
      <c r="X194" s="572"/>
    </row>
    <row r="195" spans="1:24" s="589" customFormat="1" x14ac:dyDescent="0.25">
      <c r="A195" s="604"/>
      <c r="B195" s="605" t="s">
        <v>66</v>
      </c>
      <c r="C195" s="605"/>
      <c r="D195" s="605"/>
      <c r="E195" s="605"/>
      <c r="F195" s="605"/>
      <c r="G195" s="605"/>
      <c r="H195" s="605"/>
      <c r="I195" s="605"/>
      <c r="J195" s="605"/>
      <c r="K195" s="605"/>
      <c r="L195" s="605"/>
      <c r="M195" s="605"/>
      <c r="N195" s="605"/>
      <c r="O195" s="605"/>
      <c r="P195" s="605"/>
      <c r="Q195" s="605"/>
      <c r="R195" s="605"/>
      <c r="S195" s="605"/>
      <c r="T195" s="605"/>
      <c r="U195" s="605"/>
      <c r="V195" s="697">
        <f>(V101+V103+V104+V105+V106)/-(V107+V108)</f>
        <v>4.1289855072463766</v>
      </c>
      <c r="W195" s="607" t="s">
        <v>115</v>
      </c>
      <c r="X195" s="588"/>
    </row>
    <row r="196" spans="1:24" s="589" customFormat="1" x14ac:dyDescent="0.25">
      <c r="A196" s="604"/>
      <c r="B196" s="605" t="s">
        <v>67</v>
      </c>
      <c r="C196" s="605"/>
      <c r="D196" s="605"/>
      <c r="E196" s="605"/>
      <c r="F196" s="605"/>
      <c r="G196" s="605"/>
      <c r="H196" s="605"/>
      <c r="I196" s="605"/>
      <c r="J196" s="605"/>
      <c r="K196" s="605"/>
      <c r="L196" s="605"/>
      <c r="M196" s="605"/>
      <c r="N196" s="605"/>
      <c r="O196" s="605"/>
      <c r="P196" s="605"/>
      <c r="Q196" s="605"/>
      <c r="R196" s="605"/>
      <c r="S196" s="605"/>
      <c r="T196" s="605"/>
      <c r="U196" s="605"/>
      <c r="V196" s="709">
        <v>2.2799999999999998</v>
      </c>
      <c r="W196" s="607" t="s">
        <v>115</v>
      </c>
      <c r="X196" s="588"/>
    </row>
    <row r="197" spans="1:24" s="589" customFormat="1" x14ac:dyDescent="0.25">
      <c r="A197" s="604"/>
      <c r="B197" s="605" t="s">
        <v>68</v>
      </c>
      <c r="C197" s="605"/>
      <c r="D197" s="605"/>
      <c r="E197" s="605"/>
      <c r="F197" s="605"/>
      <c r="G197" s="605"/>
      <c r="H197" s="605"/>
      <c r="I197" s="605"/>
      <c r="J197" s="605"/>
      <c r="K197" s="605"/>
      <c r="L197" s="605"/>
      <c r="M197" s="605"/>
      <c r="N197" s="605"/>
      <c r="O197" s="605"/>
      <c r="P197" s="605"/>
      <c r="Q197" s="605"/>
      <c r="R197" s="605"/>
      <c r="S197" s="605"/>
      <c r="T197" s="605"/>
      <c r="U197" s="605"/>
      <c r="V197" s="697">
        <f>(V101+V103+V104+V105+V106+V107+V108)/-(V109+V110)</f>
        <v>10.635467980295566</v>
      </c>
      <c r="W197" s="607" t="s">
        <v>115</v>
      </c>
      <c r="X197" s="588"/>
    </row>
    <row r="198" spans="1:24" s="589" customFormat="1" x14ac:dyDescent="0.25">
      <c r="A198" s="604"/>
      <c r="B198" s="605" t="s">
        <v>69</v>
      </c>
      <c r="C198" s="605"/>
      <c r="D198" s="605"/>
      <c r="E198" s="605"/>
      <c r="F198" s="605"/>
      <c r="G198" s="605"/>
      <c r="H198" s="605"/>
      <c r="I198" s="605"/>
      <c r="J198" s="605"/>
      <c r="K198" s="605"/>
      <c r="L198" s="605"/>
      <c r="M198" s="605"/>
      <c r="N198" s="605"/>
      <c r="O198" s="605"/>
      <c r="P198" s="605"/>
      <c r="Q198" s="605"/>
      <c r="R198" s="605"/>
      <c r="S198" s="605"/>
      <c r="T198" s="605"/>
      <c r="U198" s="605"/>
      <c r="V198" s="709">
        <v>10.07</v>
      </c>
      <c r="W198" s="607" t="s">
        <v>115</v>
      </c>
      <c r="X198" s="588"/>
    </row>
    <row r="199" spans="1:24" s="589" customFormat="1" x14ac:dyDescent="0.25">
      <c r="A199" s="604"/>
      <c r="B199" s="605" t="s">
        <v>198</v>
      </c>
      <c r="C199" s="605"/>
      <c r="D199" s="605"/>
      <c r="E199" s="605"/>
      <c r="F199" s="605"/>
      <c r="G199" s="605"/>
      <c r="H199" s="605"/>
      <c r="I199" s="605"/>
      <c r="J199" s="605"/>
      <c r="K199" s="605"/>
      <c r="L199" s="605"/>
      <c r="M199" s="605"/>
      <c r="N199" s="605"/>
      <c r="O199" s="605"/>
      <c r="P199" s="605"/>
      <c r="Q199" s="605"/>
      <c r="R199" s="605"/>
      <c r="S199" s="605"/>
      <c r="T199" s="605"/>
      <c r="U199" s="605"/>
      <c r="V199" s="697">
        <f>(V101+V103+V104+V105+V106+V107+V108+V109+V110)/-(V111)</f>
        <v>6.0934579439252339</v>
      </c>
      <c r="W199" s="607" t="s">
        <v>115</v>
      </c>
      <c r="X199" s="588"/>
    </row>
    <row r="200" spans="1:24" s="589" customFormat="1" x14ac:dyDescent="0.25">
      <c r="A200" s="604"/>
      <c r="B200" s="605" t="s">
        <v>199</v>
      </c>
      <c r="C200" s="605"/>
      <c r="D200" s="605"/>
      <c r="E200" s="605"/>
      <c r="F200" s="605"/>
      <c r="G200" s="605"/>
      <c r="H200" s="605"/>
      <c r="I200" s="605"/>
      <c r="J200" s="605"/>
      <c r="K200" s="605"/>
      <c r="L200" s="605"/>
      <c r="M200" s="605"/>
      <c r="N200" s="605"/>
      <c r="O200" s="605"/>
      <c r="P200" s="605"/>
      <c r="Q200" s="605"/>
      <c r="R200" s="605"/>
      <c r="S200" s="605"/>
      <c r="T200" s="605"/>
      <c r="U200" s="605"/>
      <c r="V200" s="709">
        <v>7.06</v>
      </c>
      <c r="W200" s="607" t="s">
        <v>115</v>
      </c>
      <c r="X200" s="588"/>
    </row>
    <row r="201" spans="1:24" s="589" customFormat="1" x14ac:dyDescent="0.25">
      <c r="A201" s="604"/>
      <c r="B201" s="605"/>
      <c r="C201" s="605"/>
      <c r="D201" s="605"/>
      <c r="E201" s="605"/>
      <c r="F201" s="605"/>
      <c r="G201" s="605"/>
      <c r="H201" s="605"/>
      <c r="I201" s="605"/>
      <c r="J201" s="605"/>
      <c r="K201" s="605"/>
      <c r="L201" s="605"/>
      <c r="M201" s="605"/>
      <c r="N201" s="605"/>
      <c r="O201" s="605"/>
      <c r="P201" s="605"/>
      <c r="Q201" s="605"/>
      <c r="R201" s="605"/>
      <c r="S201" s="605"/>
      <c r="T201" s="605"/>
      <c r="U201" s="605"/>
      <c r="V201" s="605"/>
      <c r="W201" s="607"/>
      <c r="X201" s="588"/>
    </row>
    <row r="202" spans="1:24" s="589" customFormat="1" x14ac:dyDescent="0.25">
      <c r="A202" s="585"/>
      <c r="B202" s="602"/>
      <c r="C202" s="602"/>
      <c r="D202" s="602"/>
      <c r="E202" s="602"/>
      <c r="F202" s="602"/>
      <c r="G202" s="602"/>
      <c r="H202" s="602"/>
      <c r="I202" s="602"/>
      <c r="J202" s="602"/>
      <c r="K202" s="602"/>
      <c r="L202" s="602"/>
      <c r="M202" s="602"/>
      <c r="N202" s="602"/>
      <c r="O202" s="602"/>
      <c r="P202" s="602"/>
      <c r="Q202" s="602"/>
      <c r="R202" s="602"/>
      <c r="S202" s="602"/>
      <c r="T202" s="602"/>
      <c r="U202" s="602"/>
      <c r="V202" s="602"/>
      <c r="W202" s="602"/>
      <c r="X202" s="588"/>
    </row>
    <row r="203" spans="1:24" s="589" customFormat="1" x14ac:dyDescent="0.25">
      <c r="A203" s="585"/>
      <c r="B203" s="586"/>
      <c r="C203" s="586"/>
      <c r="D203" s="586"/>
      <c r="E203" s="586"/>
      <c r="F203" s="586"/>
      <c r="G203" s="586"/>
      <c r="H203" s="586"/>
      <c r="I203" s="586"/>
      <c r="J203" s="586"/>
      <c r="K203" s="586"/>
      <c r="L203" s="586"/>
      <c r="M203" s="586"/>
      <c r="N203" s="586"/>
      <c r="O203" s="586"/>
      <c r="P203" s="586"/>
      <c r="Q203" s="586"/>
      <c r="R203" s="586"/>
      <c r="S203" s="586"/>
      <c r="T203" s="586"/>
      <c r="U203" s="586"/>
      <c r="V203" s="586"/>
      <c r="W203" s="586"/>
      <c r="X203" s="588"/>
    </row>
    <row r="204" spans="1:24" s="589" customFormat="1" ht="19.5" thickBot="1" x14ac:dyDescent="0.35">
      <c r="A204" s="649"/>
      <c r="B204" s="568" t="str">
        <f>B138</f>
        <v>PM15 INVESTOR REPORT QUARTER ENDING MAY 2020</v>
      </c>
      <c r="C204" s="650"/>
      <c r="D204" s="650"/>
      <c r="E204" s="650"/>
      <c r="F204" s="650"/>
      <c r="G204" s="650"/>
      <c r="H204" s="650"/>
      <c r="I204" s="650"/>
      <c r="J204" s="650"/>
      <c r="K204" s="650"/>
      <c r="L204" s="650"/>
      <c r="M204" s="650"/>
      <c r="N204" s="650"/>
      <c r="O204" s="650"/>
      <c r="P204" s="650"/>
      <c r="Q204" s="650"/>
      <c r="R204" s="650"/>
      <c r="S204" s="650"/>
      <c r="T204" s="650"/>
      <c r="U204" s="650"/>
      <c r="V204" s="650"/>
      <c r="W204" s="652"/>
      <c r="X204" s="588"/>
    </row>
    <row r="205" spans="1:24" x14ac:dyDescent="0.25">
      <c r="A205" s="689"/>
      <c r="B205" s="690" t="s">
        <v>70</v>
      </c>
      <c r="C205" s="710"/>
      <c r="D205" s="710"/>
      <c r="E205" s="710"/>
      <c r="F205" s="710"/>
      <c r="G205" s="711"/>
      <c r="H205" s="711"/>
      <c r="I205" s="711"/>
      <c r="J205" s="711"/>
      <c r="K205" s="711"/>
      <c r="L205" s="711"/>
      <c r="M205" s="711"/>
      <c r="N205" s="711"/>
      <c r="O205" s="711"/>
      <c r="P205" s="711"/>
      <c r="Q205" s="711"/>
      <c r="R205" s="711"/>
      <c r="S205" s="711"/>
      <c r="T205" s="711">
        <v>43980</v>
      </c>
      <c r="U205" s="691"/>
      <c r="V205" s="691"/>
      <c r="W205" s="691"/>
      <c r="X205" s="572"/>
    </row>
    <row r="206" spans="1:24" x14ac:dyDescent="0.25">
      <c r="A206" s="712"/>
      <c r="B206" s="713"/>
      <c r="C206" s="714"/>
      <c r="D206" s="714"/>
      <c r="E206" s="714"/>
      <c r="F206" s="714"/>
      <c r="G206" s="715"/>
      <c r="H206" s="715"/>
      <c r="I206" s="715"/>
      <c r="J206" s="715"/>
      <c r="K206" s="715"/>
      <c r="L206" s="715"/>
      <c r="M206" s="715"/>
      <c r="N206" s="715"/>
      <c r="O206" s="715"/>
      <c r="P206" s="715"/>
      <c r="Q206" s="715"/>
      <c r="R206" s="715"/>
      <c r="S206" s="715"/>
      <c r="T206" s="715"/>
      <c r="U206" s="576"/>
      <c r="V206" s="576"/>
      <c r="W206" s="576"/>
      <c r="X206" s="572"/>
    </row>
    <row r="207" spans="1:24" s="589" customFormat="1" x14ac:dyDescent="0.25">
      <c r="A207" s="604"/>
      <c r="B207" s="605" t="s">
        <v>71</v>
      </c>
      <c r="C207" s="716"/>
      <c r="D207" s="716"/>
      <c r="E207" s="716"/>
      <c r="F207" s="716"/>
      <c r="G207" s="639"/>
      <c r="H207" s="639"/>
      <c r="I207" s="639"/>
      <c r="J207" s="639"/>
      <c r="K207" s="639"/>
      <c r="L207" s="639"/>
      <c r="M207" s="639"/>
      <c r="N207" s="639"/>
      <c r="O207" s="639"/>
      <c r="P207" s="639"/>
      <c r="Q207" s="639"/>
      <c r="R207" s="639"/>
      <c r="S207" s="639"/>
      <c r="T207" s="633">
        <v>5.3830000000000003E-2</v>
      </c>
      <c r="U207" s="605"/>
      <c r="V207" s="605"/>
      <c r="W207" s="607"/>
      <c r="X207" s="588"/>
    </row>
    <row r="208" spans="1:24" s="589" customFormat="1" x14ac:dyDescent="0.25">
      <c r="A208" s="604"/>
      <c r="B208" s="605" t="s">
        <v>151</v>
      </c>
      <c r="C208" s="716"/>
      <c r="D208" s="716"/>
      <c r="E208" s="716"/>
      <c r="F208" s="716"/>
      <c r="G208" s="639"/>
      <c r="H208" s="639"/>
      <c r="I208" s="639"/>
      <c r="J208" s="639"/>
      <c r="K208" s="639"/>
      <c r="L208" s="639"/>
      <c r="M208" s="639"/>
      <c r="N208" s="639"/>
      <c r="O208" s="639"/>
      <c r="P208" s="639"/>
      <c r="Q208" s="639"/>
      <c r="R208" s="639"/>
      <c r="S208" s="639"/>
      <c r="T208" s="633">
        <v>6.25E-2</v>
      </c>
      <c r="U208" s="605"/>
      <c r="V208" s="605"/>
      <c r="W208" s="607"/>
      <c r="X208" s="588"/>
    </row>
    <row r="209" spans="1:24" s="589" customFormat="1" x14ac:dyDescent="0.25">
      <c r="A209" s="604"/>
      <c r="B209" s="605" t="s">
        <v>72</v>
      </c>
      <c r="C209" s="716"/>
      <c r="D209" s="716"/>
      <c r="E209" s="716"/>
      <c r="F209" s="716"/>
      <c r="G209" s="639"/>
      <c r="H209" s="639"/>
      <c r="I209" s="639"/>
      <c r="J209" s="639"/>
      <c r="K209" s="639"/>
      <c r="L209" s="639"/>
      <c r="M209" s="639"/>
      <c r="N209" s="639"/>
      <c r="O209" s="639"/>
      <c r="P209" s="639"/>
      <c r="Q209" s="639"/>
      <c r="R209" s="639"/>
      <c r="S209" s="639"/>
      <c r="T209" s="633">
        <f>T207-T208</f>
        <v>-8.6699999999999972E-3</v>
      </c>
      <c r="U209" s="605"/>
      <c r="V209" s="605"/>
      <c r="W209" s="607"/>
      <c r="X209" s="588"/>
    </row>
    <row r="210" spans="1:24" s="589" customFormat="1" x14ac:dyDescent="0.25">
      <c r="A210" s="604"/>
      <c r="B210" s="605" t="s">
        <v>73</v>
      </c>
      <c r="C210" s="716"/>
      <c r="D210" s="716"/>
      <c r="E210" s="716"/>
      <c r="F210" s="716"/>
      <c r="G210" s="639"/>
      <c r="H210" s="639"/>
      <c r="I210" s="639"/>
      <c r="J210" s="639"/>
      <c r="K210" s="639"/>
      <c r="L210" s="639"/>
      <c r="M210" s="639"/>
      <c r="N210" s="639"/>
      <c r="O210" s="639"/>
      <c r="P210" s="639"/>
      <c r="Q210" s="639"/>
      <c r="R210" s="639"/>
      <c r="S210" s="639"/>
      <c r="T210" s="633">
        <v>2.486E-2</v>
      </c>
      <c r="U210" s="605"/>
      <c r="V210" s="605"/>
      <c r="W210" s="607"/>
      <c r="X210" s="588"/>
    </row>
    <row r="211" spans="1:24" s="589" customFormat="1" x14ac:dyDescent="0.25">
      <c r="A211" s="604"/>
      <c r="B211" s="605" t="s">
        <v>218</v>
      </c>
      <c r="C211" s="716"/>
      <c r="D211" s="716"/>
      <c r="E211" s="716"/>
      <c r="F211" s="716"/>
      <c r="G211" s="639"/>
      <c r="H211" s="639"/>
      <c r="I211" s="639"/>
      <c r="J211" s="639"/>
      <c r="K211" s="639"/>
      <c r="L211" s="639"/>
      <c r="M211" s="639"/>
      <c r="N211" s="639"/>
      <c r="O211" s="639"/>
      <c r="P211" s="639"/>
      <c r="Q211" s="639"/>
      <c r="R211" s="639"/>
      <c r="S211" s="639"/>
      <c r="T211" s="633">
        <f>V43</f>
        <v>9.0595433046472239E-3</v>
      </c>
      <c r="U211" s="605"/>
      <c r="V211" s="605"/>
      <c r="W211" s="607"/>
      <c r="X211" s="588"/>
    </row>
    <row r="212" spans="1:24" s="589" customFormat="1" x14ac:dyDescent="0.25">
      <c r="A212" s="604"/>
      <c r="B212" s="605" t="s">
        <v>74</v>
      </c>
      <c r="C212" s="716"/>
      <c r="D212" s="716"/>
      <c r="E212" s="716"/>
      <c r="F212" s="716"/>
      <c r="G212" s="639"/>
      <c r="H212" s="639"/>
      <c r="I212" s="639"/>
      <c r="J212" s="639"/>
      <c r="K212" s="639"/>
      <c r="L212" s="639"/>
      <c r="M212" s="639"/>
      <c r="N212" s="639"/>
      <c r="O212" s="639"/>
      <c r="P212" s="639"/>
      <c r="Q212" s="639"/>
      <c r="R212" s="639"/>
      <c r="S212" s="639"/>
      <c r="T212" s="633">
        <f>T210-T211</f>
        <v>1.5800456695352776E-2</v>
      </c>
      <c r="U212" s="605"/>
      <c r="V212" s="605"/>
      <c r="W212" s="607"/>
      <c r="X212" s="588"/>
    </row>
    <row r="213" spans="1:24" s="589" customFormat="1" x14ac:dyDescent="0.25">
      <c r="A213" s="604"/>
      <c r="B213" s="605" t="s">
        <v>227</v>
      </c>
      <c r="C213" s="716"/>
      <c r="D213" s="716"/>
      <c r="E213" s="716"/>
      <c r="F213" s="716"/>
      <c r="G213" s="639"/>
      <c r="H213" s="639"/>
      <c r="I213" s="639"/>
      <c r="J213" s="639"/>
      <c r="K213" s="639"/>
      <c r="L213" s="639"/>
      <c r="M213" s="639"/>
      <c r="N213" s="639"/>
      <c r="O213" s="639"/>
      <c r="P213" s="639"/>
      <c r="Q213" s="639"/>
      <c r="R213" s="639"/>
      <c r="S213" s="639"/>
      <c r="T213" s="633">
        <f>V101/N71</f>
        <v>5.8044243852798313E-3</v>
      </c>
      <c r="U213" s="605"/>
      <c r="V213" s="605"/>
      <c r="W213" s="607"/>
      <c r="X213" s="588"/>
    </row>
    <row r="214" spans="1:24" s="589" customFormat="1" x14ac:dyDescent="0.25">
      <c r="A214" s="604"/>
      <c r="B214" s="605" t="s">
        <v>207</v>
      </c>
      <c r="C214" s="716"/>
      <c r="D214" s="716"/>
      <c r="E214" s="716"/>
      <c r="F214" s="716"/>
      <c r="G214" s="639"/>
      <c r="H214" s="639"/>
      <c r="I214" s="639"/>
      <c r="J214" s="639"/>
      <c r="K214" s="639"/>
      <c r="L214" s="639"/>
      <c r="M214" s="639"/>
      <c r="N214" s="639"/>
      <c r="O214" s="639"/>
      <c r="P214" s="639"/>
      <c r="Q214" s="639"/>
      <c r="R214" s="639"/>
      <c r="S214" s="639"/>
      <c r="T214" s="717">
        <v>51105</v>
      </c>
      <c r="U214" s="605"/>
      <c r="V214" s="605"/>
      <c r="W214" s="607"/>
      <c r="X214" s="588"/>
    </row>
    <row r="215" spans="1:24" s="589" customFormat="1" x14ac:dyDescent="0.25">
      <c r="A215" s="604"/>
      <c r="B215" s="605" t="s">
        <v>208</v>
      </c>
      <c r="C215" s="716"/>
      <c r="D215" s="716"/>
      <c r="E215" s="716"/>
      <c r="F215" s="716"/>
      <c r="G215" s="639"/>
      <c r="H215" s="639"/>
      <c r="I215" s="639"/>
      <c r="J215" s="639"/>
      <c r="K215" s="639"/>
      <c r="L215" s="639"/>
      <c r="M215" s="639"/>
      <c r="N215" s="639"/>
      <c r="O215" s="639"/>
      <c r="P215" s="639"/>
      <c r="Q215" s="639"/>
      <c r="R215" s="639"/>
      <c r="S215" s="639"/>
      <c r="T215" s="717">
        <v>51105</v>
      </c>
      <c r="U215" s="605"/>
      <c r="V215" s="605"/>
      <c r="W215" s="607"/>
      <c r="X215" s="588"/>
    </row>
    <row r="216" spans="1:24" s="589" customFormat="1" x14ac:dyDescent="0.25">
      <c r="A216" s="604"/>
      <c r="B216" s="605" t="s">
        <v>209</v>
      </c>
      <c r="C216" s="716"/>
      <c r="D216" s="716"/>
      <c r="E216" s="716"/>
      <c r="F216" s="716"/>
      <c r="G216" s="639"/>
      <c r="H216" s="639"/>
      <c r="I216" s="639"/>
      <c r="J216" s="639"/>
      <c r="K216" s="639"/>
      <c r="L216" s="639"/>
      <c r="M216" s="639"/>
      <c r="N216" s="639"/>
      <c r="O216" s="639"/>
      <c r="P216" s="639"/>
      <c r="Q216" s="639"/>
      <c r="R216" s="639"/>
      <c r="S216" s="639"/>
      <c r="T216" s="717">
        <v>51105</v>
      </c>
      <c r="U216" s="605"/>
      <c r="V216" s="605"/>
      <c r="W216" s="607"/>
      <c r="X216" s="588"/>
    </row>
    <row r="217" spans="1:24" s="589" customFormat="1" x14ac:dyDescent="0.25">
      <c r="A217" s="604"/>
      <c r="B217" s="605" t="s">
        <v>75</v>
      </c>
      <c r="C217" s="716"/>
      <c r="D217" s="716"/>
      <c r="E217" s="716"/>
      <c r="F217" s="716"/>
      <c r="G217" s="639"/>
      <c r="H217" s="639"/>
      <c r="I217" s="639"/>
      <c r="J217" s="639"/>
      <c r="K217" s="639"/>
      <c r="L217" s="639"/>
      <c r="M217" s="639"/>
      <c r="N217" s="639"/>
      <c r="O217" s="639"/>
      <c r="P217" s="639"/>
      <c r="Q217" s="639"/>
      <c r="R217" s="639"/>
      <c r="S217" s="639"/>
      <c r="T217" s="637">
        <v>21.06</v>
      </c>
      <c r="U217" s="605" t="s">
        <v>110</v>
      </c>
      <c r="V217" s="605"/>
      <c r="W217" s="607"/>
      <c r="X217" s="588"/>
    </row>
    <row r="218" spans="1:24" s="589" customFormat="1" x14ac:dyDescent="0.25">
      <c r="A218" s="604"/>
      <c r="B218" s="605" t="s">
        <v>76</v>
      </c>
      <c r="C218" s="716"/>
      <c r="D218" s="716"/>
      <c r="E218" s="716"/>
      <c r="F218" s="716"/>
      <c r="G218" s="639"/>
      <c r="H218" s="639"/>
      <c r="I218" s="639"/>
      <c r="J218" s="639"/>
      <c r="K218" s="639"/>
      <c r="L218" s="639"/>
      <c r="M218" s="639"/>
      <c r="N218" s="639"/>
      <c r="O218" s="639"/>
      <c r="P218" s="639"/>
      <c r="Q218" s="639"/>
      <c r="R218" s="639"/>
      <c r="S218" s="639"/>
      <c r="T218" s="637">
        <v>9.23</v>
      </c>
      <c r="U218" s="605" t="s">
        <v>110</v>
      </c>
      <c r="V218" s="605"/>
      <c r="W218" s="607"/>
      <c r="X218" s="588"/>
    </row>
    <row r="219" spans="1:24" s="589" customFormat="1" x14ac:dyDescent="0.25">
      <c r="A219" s="604"/>
      <c r="B219" s="605" t="s">
        <v>77</v>
      </c>
      <c r="C219" s="716"/>
      <c r="D219" s="716"/>
      <c r="E219" s="716"/>
      <c r="F219" s="716"/>
      <c r="G219" s="639"/>
      <c r="H219" s="639"/>
      <c r="I219" s="639"/>
      <c r="J219" s="639"/>
      <c r="K219" s="639"/>
      <c r="L219" s="639"/>
      <c r="M219" s="639"/>
      <c r="N219" s="639"/>
      <c r="O219" s="639"/>
      <c r="P219" s="639"/>
      <c r="Q219" s="639"/>
      <c r="R219" s="639"/>
      <c r="S219" s="639"/>
      <c r="T219" s="633">
        <f>+P68/N68</f>
        <v>1.7344438635885855E-2</v>
      </c>
      <c r="U219" s="605"/>
      <c r="V219" s="605"/>
      <c r="W219" s="607"/>
      <c r="X219" s="588"/>
    </row>
    <row r="220" spans="1:24" s="589" customFormat="1" x14ac:dyDescent="0.25">
      <c r="A220" s="604"/>
      <c r="B220" s="605" t="s">
        <v>78</v>
      </c>
      <c r="C220" s="716"/>
      <c r="D220" s="716"/>
      <c r="E220" s="716"/>
      <c r="F220" s="716"/>
      <c r="G220" s="639"/>
      <c r="H220" s="639"/>
      <c r="I220" s="639"/>
      <c r="J220" s="639"/>
      <c r="K220" s="639"/>
      <c r="L220" s="639"/>
      <c r="M220" s="639"/>
      <c r="N220" s="639"/>
      <c r="O220" s="639"/>
      <c r="P220" s="639"/>
      <c r="Q220" s="639"/>
      <c r="R220" s="639"/>
      <c r="S220" s="639"/>
      <c r="T220" s="633">
        <v>4.9700000000000001E-2</v>
      </c>
      <c r="U220" s="605"/>
      <c r="V220" s="605"/>
      <c r="W220" s="607"/>
      <c r="X220" s="588"/>
    </row>
    <row r="221" spans="1:24" x14ac:dyDescent="0.25">
      <c r="A221" s="712"/>
      <c r="B221" s="718"/>
      <c r="C221" s="718"/>
      <c r="D221" s="718"/>
      <c r="E221" s="718"/>
      <c r="F221" s="718"/>
      <c r="G221" s="664"/>
      <c r="H221" s="664"/>
      <c r="I221" s="664"/>
      <c r="J221" s="664"/>
      <c r="K221" s="664"/>
      <c r="L221" s="664"/>
      <c r="M221" s="664"/>
      <c r="N221" s="664"/>
      <c r="O221" s="664"/>
      <c r="P221" s="664"/>
      <c r="Q221" s="664"/>
      <c r="R221" s="664"/>
      <c r="S221" s="664"/>
      <c r="T221" s="696"/>
      <c r="U221" s="664"/>
      <c r="V221" s="719"/>
      <c r="W221" s="664"/>
      <c r="X221" s="572"/>
    </row>
    <row r="222" spans="1:24" x14ac:dyDescent="0.25">
      <c r="A222" s="720"/>
      <c r="B222" s="669" t="s">
        <v>79</v>
      </c>
      <c r="C222" s="670"/>
      <c r="D222" s="670"/>
      <c r="E222" s="670"/>
      <c r="F222" s="721"/>
      <c r="G222" s="670"/>
      <c r="H222" s="670"/>
      <c r="I222" s="670"/>
      <c r="J222" s="670"/>
      <c r="K222" s="670"/>
      <c r="L222" s="670"/>
      <c r="M222" s="670"/>
      <c r="N222" s="670"/>
      <c r="O222" s="670"/>
      <c r="P222" s="670"/>
      <c r="Q222" s="670"/>
      <c r="R222" s="670"/>
      <c r="S222" s="670" t="s">
        <v>102</v>
      </c>
      <c r="T222" s="721" t="s">
        <v>108</v>
      </c>
      <c r="U222" s="598"/>
      <c r="V222" s="598"/>
      <c r="W222" s="601"/>
      <c r="X222" s="572"/>
    </row>
    <row r="223" spans="1:24" s="589" customFormat="1" x14ac:dyDescent="0.25">
      <c r="A223" s="722"/>
      <c r="B223" s="602" t="s">
        <v>80</v>
      </c>
      <c r="C223" s="673"/>
      <c r="D223" s="673"/>
      <c r="E223" s="673"/>
      <c r="F223" s="602"/>
      <c r="G223" s="602"/>
      <c r="H223" s="723"/>
      <c r="I223" s="723"/>
      <c r="J223" s="723"/>
      <c r="K223" s="723"/>
      <c r="L223" s="723"/>
      <c r="M223" s="723"/>
      <c r="N223" s="723"/>
      <c r="O223" s="723"/>
      <c r="P223" s="723"/>
      <c r="Q223" s="723"/>
      <c r="R223" s="723"/>
      <c r="S223" s="723">
        <v>0</v>
      </c>
      <c r="T223" s="724">
        <v>0</v>
      </c>
      <c r="U223" s="602"/>
      <c r="V223" s="725"/>
      <c r="W223" s="726"/>
      <c r="X223" s="588"/>
    </row>
    <row r="224" spans="1:24" s="589" customFormat="1" x14ac:dyDescent="0.25">
      <c r="A224" s="727"/>
      <c r="B224" s="605" t="s">
        <v>145</v>
      </c>
      <c r="C224" s="662"/>
      <c r="D224" s="662"/>
      <c r="E224" s="662"/>
      <c r="F224" s="605"/>
      <c r="G224" s="605"/>
      <c r="H224" s="611"/>
      <c r="I224" s="611"/>
      <c r="J224" s="611"/>
      <c r="K224" s="611"/>
      <c r="L224" s="611"/>
      <c r="M224" s="611"/>
      <c r="N224" s="611"/>
      <c r="O224" s="611"/>
      <c r="P224" s="611"/>
      <c r="Q224" s="611"/>
      <c r="R224" s="611"/>
      <c r="S224" s="728">
        <f>+R276</f>
        <v>63</v>
      </c>
      <c r="T224" s="729">
        <f>+T276</f>
        <v>8699</v>
      </c>
      <c r="U224" s="605"/>
      <c r="V224" s="730"/>
      <c r="W224" s="731"/>
      <c r="X224" s="588"/>
    </row>
    <row r="225" spans="1:24" s="589" customFormat="1" x14ac:dyDescent="0.25">
      <c r="A225" s="727"/>
      <c r="B225" s="605" t="s">
        <v>81</v>
      </c>
      <c r="C225" s="662"/>
      <c r="D225" s="662"/>
      <c r="E225" s="662"/>
      <c r="F225" s="605"/>
      <c r="G225" s="605"/>
      <c r="H225" s="611"/>
      <c r="I225" s="611"/>
      <c r="J225" s="611"/>
      <c r="K225" s="611"/>
      <c r="L225" s="611"/>
      <c r="M225" s="611"/>
      <c r="N225" s="611"/>
      <c r="O225" s="611"/>
      <c r="P225" s="611"/>
      <c r="Q225" s="611"/>
      <c r="R225" s="611"/>
      <c r="S225" s="728">
        <f>+R298</f>
        <v>1</v>
      </c>
      <c r="T225" s="729">
        <f>+T298</f>
        <v>31</v>
      </c>
      <c r="U225" s="605"/>
      <c r="V225" s="730"/>
      <c r="W225" s="731"/>
      <c r="X225" s="588"/>
    </row>
    <row r="226" spans="1:24" x14ac:dyDescent="0.25">
      <c r="A226" s="732"/>
      <c r="B226" s="623" t="s">
        <v>82</v>
      </c>
      <c r="C226" s="733"/>
      <c r="D226" s="733"/>
      <c r="E226" s="733"/>
      <c r="F226" s="679"/>
      <c r="G226" s="679"/>
      <c r="H226" s="679"/>
      <c r="I226" s="679"/>
      <c r="J226" s="679"/>
      <c r="K226" s="679"/>
      <c r="L226" s="679"/>
      <c r="M226" s="679"/>
      <c r="N226" s="679"/>
      <c r="O226" s="679"/>
      <c r="P226" s="679"/>
      <c r="Q226" s="679"/>
      <c r="R226" s="679"/>
      <c r="S226" s="681"/>
      <c r="T226" s="729">
        <v>0</v>
      </c>
      <c r="U226" s="679"/>
      <c r="V226" s="734"/>
      <c r="W226" s="735"/>
      <c r="X226" s="572"/>
    </row>
    <row r="227" spans="1:24" x14ac:dyDescent="0.25">
      <c r="A227" s="732"/>
      <c r="B227" s="623" t="s">
        <v>228</v>
      </c>
      <c r="C227" s="733"/>
      <c r="D227" s="733"/>
      <c r="E227" s="733"/>
      <c r="F227" s="679"/>
      <c r="G227" s="679"/>
      <c r="H227" s="679"/>
      <c r="I227" s="679"/>
      <c r="J227" s="679"/>
      <c r="K227" s="679"/>
      <c r="L227" s="679"/>
      <c r="M227" s="679"/>
      <c r="N227" s="679"/>
      <c r="O227" s="679"/>
      <c r="P227" s="679"/>
      <c r="Q227" s="679"/>
      <c r="R227" s="679"/>
      <c r="S227" s="681"/>
      <c r="T227" s="729">
        <f>+N81</f>
        <v>0</v>
      </c>
      <c r="U227" s="679"/>
      <c r="V227" s="734"/>
      <c r="W227" s="735"/>
      <c r="X227" s="572"/>
    </row>
    <row r="228" spans="1:24" x14ac:dyDescent="0.25">
      <c r="A228" s="736"/>
      <c r="B228" s="623" t="s">
        <v>83</v>
      </c>
      <c r="C228" s="737"/>
      <c r="D228" s="737"/>
      <c r="E228" s="737"/>
      <c r="F228" s="737"/>
      <c r="G228" s="679"/>
      <c r="H228" s="679"/>
      <c r="I228" s="679"/>
      <c r="J228" s="679"/>
      <c r="K228" s="679"/>
      <c r="L228" s="679"/>
      <c r="M228" s="679"/>
      <c r="N228" s="679"/>
      <c r="O228" s="679"/>
      <c r="P228" s="679"/>
      <c r="Q228" s="679"/>
      <c r="R228" s="679"/>
      <c r="S228" s="681"/>
      <c r="T228" s="738"/>
      <c r="U228" s="679"/>
      <c r="V228" s="734"/>
      <c r="W228" s="739"/>
      <c r="X228" s="572"/>
    </row>
    <row r="229" spans="1:24" s="589" customFormat="1" x14ac:dyDescent="0.25">
      <c r="A229" s="740"/>
      <c r="B229" s="605" t="s">
        <v>84</v>
      </c>
      <c r="C229" s="605"/>
      <c r="D229" s="605"/>
      <c r="E229" s="605"/>
      <c r="F229" s="605"/>
      <c r="G229" s="605"/>
      <c r="H229" s="605"/>
      <c r="I229" s="605"/>
      <c r="J229" s="605"/>
      <c r="K229" s="605"/>
      <c r="L229" s="605"/>
      <c r="M229" s="605"/>
      <c r="N229" s="605"/>
      <c r="O229" s="605"/>
      <c r="P229" s="605"/>
      <c r="Q229" s="605"/>
      <c r="R229" s="605"/>
      <c r="S229" s="611"/>
      <c r="T229" s="729">
        <f>V167</f>
        <v>3</v>
      </c>
      <c r="U229" s="605"/>
      <c r="V229" s="730"/>
      <c r="W229" s="741"/>
      <c r="X229" s="588"/>
    </row>
    <row r="230" spans="1:24" s="589" customFormat="1" x14ac:dyDescent="0.25">
      <c r="A230" s="727"/>
      <c r="B230" s="605" t="s">
        <v>85</v>
      </c>
      <c r="C230" s="662"/>
      <c r="D230" s="662"/>
      <c r="E230" s="662"/>
      <c r="F230" s="662"/>
      <c r="G230" s="605"/>
      <c r="H230" s="605"/>
      <c r="I230" s="605"/>
      <c r="J230" s="605"/>
      <c r="K230" s="605"/>
      <c r="L230" s="605"/>
      <c r="M230" s="605"/>
      <c r="N230" s="605"/>
      <c r="O230" s="605"/>
      <c r="P230" s="605"/>
      <c r="Q230" s="605"/>
      <c r="R230" s="605"/>
      <c r="S230" s="611"/>
      <c r="T230" s="729">
        <f>'Feb 20'!T230+T229</f>
        <v>10264</v>
      </c>
      <c r="U230" s="605"/>
      <c r="V230" s="730"/>
      <c r="W230" s="741"/>
      <c r="X230" s="588"/>
    </row>
    <row r="231" spans="1:24" x14ac:dyDescent="0.25">
      <c r="A231" s="736"/>
      <c r="B231" s="623" t="s">
        <v>285</v>
      </c>
      <c r="C231" s="737"/>
      <c r="D231" s="737"/>
      <c r="E231" s="737"/>
      <c r="F231" s="737"/>
      <c r="G231" s="679"/>
      <c r="H231" s="679"/>
      <c r="I231" s="679"/>
      <c r="J231" s="679"/>
      <c r="K231" s="679"/>
      <c r="L231" s="679"/>
      <c r="M231" s="679"/>
      <c r="N231" s="679"/>
      <c r="O231" s="679"/>
      <c r="P231" s="679"/>
      <c r="Q231" s="679"/>
      <c r="R231" s="679"/>
      <c r="S231" s="742"/>
      <c r="T231" s="738"/>
      <c r="U231" s="679"/>
      <c r="V231" s="734"/>
      <c r="W231" s="739"/>
      <c r="X231" s="572"/>
    </row>
    <row r="232" spans="1:24" s="589" customFormat="1" x14ac:dyDescent="0.25">
      <c r="A232" s="740"/>
      <c r="B232" s="605" t="s">
        <v>282</v>
      </c>
      <c r="C232" s="605"/>
      <c r="D232" s="605"/>
      <c r="E232" s="605"/>
      <c r="F232" s="605"/>
      <c r="G232" s="605"/>
      <c r="H232" s="605"/>
      <c r="I232" s="605"/>
      <c r="J232" s="605"/>
      <c r="K232" s="605"/>
      <c r="L232" s="605"/>
      <c r="M232" s="605"/>
      <c r="N232" s="605"/>
      <c r="O232" s="605"/>
      <c r="P232" s="605"/>
      <c r="Q232" s="605"/>
      <c r="R232" s="605"/>
      <c r="S232" s="611">
        <v>0</v>
      </c>
      <c r="T232" s="729">
        <v>0</v>
      </c>
      <c r="U232" s="605"/>
      <c r="V232" s="730"/>
      <c r="W232" s="741"/>
      <c r="X232" s="588"/>
    </row>
    <row r="233" spans="1:24" s="589" customFormat="1" x14ac:dyDescent="0.25">
      <c r="A233" s="727"/>
      <c r="B233" s="605" t="s">
        <v>86</v>
      </c>
      <c r="C233" s="635"/>
      <c r="D233" s="635"/>
      <c r="E233" s="635"/>
      <c r="F233" s="743"/>
      <c r="G233" s="605"/>
      <c r="H233" s="605"/>
      <c r="I233" s="605"/>
      <c r="J233" s="605"/>
      <c r="K233" s="605"/>
      <c r="L233" s="605"/>
      <c r="M233" s="605"/>
      <c r="N233" s="605"/>
      <c r="O233" s="605"/>
      <c r="P233" s="605"/>
      <c r="Q233" s="605"/>
      <c r="R233" s="605"/>
      <c r="S233" s="605"/>
      <c r="T233" s="744">
        <v>0</v>
      </c>
      <c r="U233" s="605"/>
      <c r="V233" s="730"/>
      <c r="W233" s="741"/>
      <c r="X233" s="588"/>
    </row>
    <row r="234" spans="1:24" s="589" customFormat="1" x14ac:dyDescent="0.25">
      <c r="A234" s="727"/>
      <c r="B234" s="605" t="s">
        <v>87</v>
      </c>
      <c r="C234" s="635"/>
      <c r="D234" s="635"/>
      <c r="E234" s="635"/>
      <c r="F234" s="743"/>
      <c r="G234" s="605"/>
      <c r="H234" s="605"/>
      <c r="I234" s="605"/>
      <c r="J234" s="605"/>
      <c r="K234" s="605"/>
      <c r="L234" s="605"/>
      <c r="M234" s="605"/>
      <c r="N234" s="605"/>
      <c r="O234" s="605"/>
      <c r="P234" s="605"/>
      <c r="Q234" s="605"/>
      <c r="R234" s="605"/>
      <c r="S234" s="605"/>
      <c r="T234" s="744">
        <v>0</v>
      </c>
      <c r="U234" s="605"/>
      <c r="V234" s="730"/>
      <c r="W234" s="741"/>
      <c r="X234" s="588"/>
    </row>
    <row r="235" spans="1:24" x14ac:dyDescent="0.25">
      <c r="A235" s="732"/>
      <c r="B235" s="623" t="s">
        <v>216</v>
      </c>
      <c r="C235" s="745"/>
      <c r="D235" s="745"/>
      <c r="E235" s="745"/>
      <c r="F235" s="746"/>
      <c r="G235" s="679"/>
      <c r="H235" s="679"/>
      <c r="I235" s="679"/>
      <c r="J235" s="679"/>
      <c r="K235" s="679"/>
      <c r="L235" s="679"/>
      <c r="M235" s="679"/>
      <c r="N235" s="679"/>
      <c r="O235" s="679"/>
      <c r="P235" s="679"/>
      <c r="Q235" s="679"/>
      <c r="R235" s="679"/>
      <c r="S235" s="681"/>
      <c r="T235" s="747"/>
      <c r="U235" s="679"/>
      <c r="V235" s="734"/>
      <c r="W235" s="739"/>
      <c r="X235" s="572"/>
    </row>
    <row r="236" spans="1:24" s="589" customFormat="1" x14ac:dyDescent="0.25">
      <c r="A236" s="727"/>
      <c r="B236" s="605" t="s">
        <v>282</v>
      </c>
      <c r="C236" s="635"/>
      <c r="D236" s="635"/>
      <c r="E236" s="635"/>
      <c r="F236" s="743"/>
      <c r="G236" s="605"/>
      <c r="H236" s="605"/>
      <c r="I236" s="605"/>
      <c r="J236" s="605"/>
      <c r="K236" s="605"/>
      <c r="L236" s="605"/>
      <c r="M236" s="605"/>
      <c r="N236" s="605"/>
      <c r="O236" s="605"/>
      <c r="P236" s="605"/>
      <c r="Q236" s="605"/>
      <c r="R236" s="605"/>
      <c r="S236" s="611">
        <v>0</v>
      </c>
      <c r="T236" s="729">
        <v>0</v>
      </c>
      <c r="U236" s="605"/>
      <c r="V236" s="730"/>
      <c r="W236" s="741"/>
      <c r="X236" s="588"/>
    </row>
    <row r="237" spans="1:24" s="589" customFormat="1" x14ac:dyDescent="0.25">
      <c r="A237" s="727"/>
      <c r="B237" s="605" t="s">
        <v>217</v>
      </c>
      <c r="C237" s="635"/>
      <c r="D237" s="635"/>
      <c r="E237" s="635"/>
      <c r="F237" s="743"/>
      <c r="G237" s="605"/>
      <c r="H237" s="605"/>
      <c r="I237" s="605"/>
      <c r="J237" s="605"/>
      <c r="K237" s="605"/>
      <c r="L237" s="605"/>
      <c r="M237" s="605"/>
      <c r="N237" s="605"/>
      <c r="O237" s="605"/>
      <c r="P237" s="605"/>
      <c r="Q237" s="605"/>
      <c r="R237" s="605"/>
      <c r="S237" s="605"/>
      <c r="T237" s="744">
        <v>0</v>
      </c>
      <c r="U237" s="605"/>
      <c r="V237" s="730"/>
      <c r="W237" s="741"/>
      <c r="X237" s="588"/>
    </row>
    <row r="238" spans="1:24" x14ac:dyDescent="0.25">
      <c r="A238" s="732"/>
      <c r="B238" s="737"/>
      <c r="C238" s="745"/>
      <c r="D238" s="745"/>
      <c r="E238" s="745"/>
      <c r="F238" s="746"/>
      <c r="G238" s="679"/>
      <c r="H238" s="679"/>
      <c r="I238" s="679"/>
      <c r="J238" s="679"/>
      <c r="K238" s="679"/>
      <c r="L238" s="679"/>
      <c r="M238" s="679"/>
      <c r="N238" s="679"/>
      <c r="O238" s="679"/>
      <c r="P238" s="679"/>
      <c r="Q238" s="679"/>
      <c r="R238" s="679"/>
      <c r="S238" s="681"/>
      <c r="T238" s="747"/>
      <c r="U238" s="679"/>
      <c r="V238" s="734"/>
      <c r="W238" s="739"/>
      <c r="X238" s="572"/>
    </row>
    <row r="239" spans="1:24" x14ac:dyDescent="0.25">
      <c r="A239" s="732"/>
      <c r="B239" s="737"/>
      <c r="C239" s="745"/>
      <c r="D239" s="745"/>
      <c r="E239" s="745"/>
      <c r="F239" s="746"/>
      <c r="G239" s="679"/>
      <c r="H239" s="679"/>
      <c r="I239" s="679"/>
      <c r="J239" s="679"/>
      <c r="K239" s="679"/>
      <c r="L239" s="679"/>
      <c r="M239" s="679"/>
      <c r="N239" s="679"/>
      <c r="O239" s="679"/>
      <c r="P239" s="679"/>
      <c r="Q239" s="679"/>
      <c r="R239" s="679"/>
      <c r="S239" s="679"/>
      <c r="T239" s="748"/>
      <c r="U239" s="679"/>
      <c r="V239" s="734"/>
      <c r="W239" s="739"/>
      <c r="X239" s="572"/>
    </row>
    <row r="240" spans="1:24" ht="18.75" x14ac:dyDescent="0.3">
      <c r="A240" s="732"/>
      <c r="B240" s="749" t="s">
        <v>168</v>
      </c>
      <c r="C240" s="745"/>
      <c r="D240" s="745"/>
      <c r="E240" s="745"/>
      <c r="F240" s="746"/>
      <c r="G240" s="679"/>
      <c r="H240" s="679"/>
      <c r="I240" s="679"/>
      <c r="J240" s="679"/>
      <c r="K240" s="679"/>
      <c r="L240" s="679"/>
      <c r="M240" s="679"/>
      <c r="N240" s="679"/>
      <c r="O240" s="679"/>
      <c r="P240" s="535" t="s">
        <v>341</v>
      </c>
      <c r="Q240" s="679"/>
      <c r="R240" s="679"/>
      <c r="S240" s="679"/>
      <c r="T240" s="748"/>
      <c r="U240" s="679"/>
      <c r="V240" s="734"/>
      <c r="W240" s="739"/>
      <c r="X240" s="572"/>
    </row>
    <row r="241" spans="1:25" x14ac:dyDescent="0.25">
      <c r="A241" s="750"/>
      <c r="B241" s="718"/>
      <c r="C241" s="751"/>
      <c r="D241" s="751"/>
      <c r="E241" s="751"/>
      <c r="F241" s="752"/>
      <c r="G241" s="664"/>
      <c r="H241" s="664"/>
      <c r="I241" s="664"/>
      <c r="J241" s="664"/>
      <c r="K241" s="664"/>
      <c r="L241" s="664"/>
      <c r="M241" s="664"/>
      <c r="N241" s="664"/>
      <c r="O241" s="664"/>
      <c r="P241" s="664"/>
      <c r="Q241" s="664"/>
      <c r="R241" s="664"/>
      <c r="S241" s="664"/>
      <c r="T241" s="753"/>
      <c r="U241" s="664"/>
      <c r="V241" s="719"/>
      <c r="W241" s="754"/>
      <c r="X241" s="572"/>
    </row>
    <row r="242" spans="1:25" x14ac:dyDescent="0.25">
      <c r="A242" s="597"/>
      <c r="B242" s="669" t="s">
        <v>297</v>
      </c>
      <c r="C242" s="670"/>
      <c r="D242" s="670"/>
      <c r="E242" s="670"/>
      <c r="F242" s="721"/>
      <c r="G242" s="670"/>
      <c r="H242" s="670"/>
      <c r="I242" s="670"/>
      <c r="J242" s="670"/>
      <c r="K242" s="670"/>
      <c r="L242" s="670"/>
      <c r="M242" s="670"/>
      <c r="N242" s="670"/>
      <c r="O242" s="670"/>
      <c r="P242" s="670"/>
      <c r="Q242" s="670"/>
      <c r="R242" s="721" t="s">
        <v>102</v>
      </c>
      <c r="S242" s="670" t="s">
        <v>103</v>
      </c>
      <c r="T242" s="721" t="s">
        <v>109</v>
      </c>
      <c r="U242" s="670" t="s">
        <v>103</v>
      </c>
      <c r="V242" s="598"/>
      <c r="W242" s="755"/>
      <c r="X242" s="572"/>
    </row>
    <row r="243" spans="1:25" s="589" customFormat="1" x14ac:dyDescent="0.25">
      <c r="A243" s="585"/>
      <c r="B243" s="673" t="s">
        <v>88</v>
      </c>
      <c r="C243" s="756"/>
      <c r="D243" s="756"/>
      <c r="E243" s="756"/>
      <c r="F243" s="602"/>
      <c r="G243" s="756"/>
      <c r="H243" s="756"/>
      <c r="I243" s="756"/>
      <c r="J243" s="756"/>
      <c r="K243" s="756"/>
      <c r="L243" s="756"/>
      <c r="M243" s="756"/>
      <c r="N243" s="756"/>
      <c r="O243" s="756"/>
      <c r="P243" s="756"/>
      <c r="Q243" s="756"/>
      <c r="R243" s="673">
        <f t="shared" ref="R243:R250" si="1">+R255+R267+R289</f>
        <v>3888</v>
      </c>
      <c r="S243" s="757">
        <f t="shared" ref="S243:S250" si="2">R243/$R$252</f>
        <v>0.99361104012266799</v>
      </c>
      <c r="T243" s="674">
        <f t="shared" ref="T243:T250" si="3">+T255+T267+T289</f>
        <v>523851</v>
      </c>
      <c r="U243" s="757">
        <f t="shared" ref="U243:U250" si="4">T243/$T$252</f>
        <v>0.9917701316551748</v>
      </c>
      <c r="V243" s="725"/>
      <c r="W243" s="758"/>
      <c r="X243" s="588"/>
    </row>
    <row r="244" spans="1:25" s="589" customFormat="1" x14ac:dyDescent="0.25">
      <c r="A244" s="604"/>
      <c r="B244" s="662" t="s">
        <v>89</v>
      </c>
      <c r="C244" s="759"/>
      <c r="D244" s="759"/>
      <c r="E244" s="759"/>
      <c r="F244" s="605"/>
      <c r="G244" s="760"/>
      <c r="H244" s="759"/>
      <c r="I244" s="759"/>
      <c r="J244" s="759"/>
      <c r="K244" s="759"/>
      <c r="L244" s="759"/>
      <c r="M244" s="759"/>
      <c r="N244" s="759"/>
      <c r="O244" s="759"/>
      <c r="P244" s="759"/>
      <c r="Q244" s="759"/>
      <c r="R244" s="662">
        <f t="shared" si="1"/>
        <v>12</v>
      </c>
      <c r="S244" s="760">
        <f t="shared" si="2"/>
        <v>3.0667007411193459E-3</v>
      </c>
      <c r="T244" s="663">
        <f t="shared" si="3"/>
        <v>2611</v>
      </c>
      <c r="U244" s="760">
        <f t="shared" si="4"/>
        <v>4.9432220493072672E-3</v>
      </c>
      <c r="V244" s="730"/>
      <c r="W244" s="741"/>
      <c r="X244" s="588"/>
      <c r="Y244" s="685"/>
    </row>
    <row r="245" spans="1:25" s="589" customFormat="1" x14ac:dyDescent="0.25">
      <c r="A245" s="604"/>
      <c r="B245" s="662" t="s">
        <v>90</v>
      </c>
      <c r="C245" s="759"/>
      <c r="D245" s="759"/>
      <c r="E245" s="759"/>
      <c r="F245" s="605"/>
      <c r="G245" s="760"/>
      <c r="H245" s="759"/>
      <c r="I245" s="759"/>
      <c r="J245" s="759"/>
      <c r="K245" s="759"/>
      <c r="L245" s="759"/>
      <c r="M245" s="759"/>
      <c r="N245" s="759"/>
      <c r="O245" s="759"/>
      <c r="P245" s="759"/>
      <c r="Q245" s="759"/>
      <c r="R245" s="662">
        <f t="shared" si="1"/>
        <v>6</v>
      </c>
      <c r="S245" s="760">
        <f t="shared" si="2"/>
        <v>1.533350370559673E-3</v>
      </c>
      <c r="T245" s="663">
        <f t="shared" si="3"/>
        <v>906</v>
      </c>
      <c r="U245" s="760">
        <f t="shared" si="4"/>
        <v>1.7152658662092624E-3</v>
      </c>
      <c r="V245" s="730"/>
      <c r="W245" s="741"/>
      <c r="X245" s="588"/>
    </row>
    <row r="246" spans="1:25" s="589" customFormat="1" x14ac:dyDescent="0.25">
      <c r="A246" s="604"/>
      <c r="B246" s="662" t="s">
        <v>156</v>
      </c>
      <c r="C246" s="759"/>
      <c r="D246" s="759"/>
      <c r="E246" s="759"/>
      <c r="F246" s="605"/>
      <c r="G246" s="760"/>
      <c r="H246" s="759"/>
      <c r="I246" s="759"/>
      <c r="J246" s="759"/>
      <c r="K246" s="759"/>
      <c r="L246" s="759"/>
      <c r="M246" s="759"/>
      <c r="N246" s="759"/>
      <c r="O246" s="759"/>
      <c r="P246" s="759"/>
      <c r="Q246" s="759"/>
      <c r="R246" s="662">
        <f t="shared" si="1"/>
        <v>2</v>
      </c>
      <c r="S246" s="760">
        <f t="shared" si="2"/>
        <v>5.1111679018655762E-4</v>
      </c>
      <c r="T246" s="663">
        <f t="shared" si="3"/>
        <v>260</v>
      </c>
      <c r="U246" s="760">
        <f t="shared" si="4"/>
        <v>4.922396525545345E-4</v>
      </c>
      <c r="V246" s="730"/>
      <c r="W246" s="741"/>
      <c r="X246" s="588"/>
      <c r="Y246" s="685"/>
    </row>
    <row r="247" spans="1:25" s="589" customFormat="1" x14ac:dyDescent="0.25">
      <c r="A247" s="604"/>
      <c r="B247" s="662" t="s">
        <v>157</v>
      </c>
      <c r="C247" s="759"/>
      <c r="D247" s="759"/>
      <c r="E247" s="759"/>
      <c r="F247" s="605"/>
      <c r="G247" s="760"/>
      <c r="H247" s="759"/>
      <c r="I247" s="759"/>
      <c r="J247" s="759"/>
      <c r="K247" s="759"/>
      <c r="L247" s="759"/>
      <c r="M247" s="759"/>
      <c r="N247" s="759"/>
      <c r="O247" s="759"/>
      <c r="P247" s="759"/>
      <c r="Q247" s="759"/>
      <c r="R247" s="662">
        <f t="shared" si="1"/>
        <v>0</v>
      </c>
      <c r="S247" s="760">
        <f t="shared" si="2"/>
        <v>0</v>
      </c>
      <c r="T247" s="663">
        <f t="shared" si="3"/>
        <v>0</v>
      </c>
      <c r="U247" s="760">
        <f t="shared" si="4"/>
        <v>0</v>
      </c>
      <c r="V247" s="730"/>
      <c r="W247" s="741"/>
      <c r="X247" s="588"/>
    </row>
    <row r="248" spans="1:25" s="589" customFormat="1" x14ac:dyDescent="0.25">
      <c r="A248" s="604"/>
      <c r="B248" s="662" t="s">
        <v>158</v>
      </c>
      <c r="C248" s="759"/>
      <c r="D248" s="759"/>
      <c r="E248" s="759"/>
      <c r="F248" s="605"/>
      <c r="G248" s="760"/>
      <c r="H248" s="759"/>
      <c r="I248" s="759"/>
      <c r="J248" s="759"/>
      <c r="K248" s="759"/>
      <c r="L248" s="759"/>
      <c r="M248" s="759"/>
      <c r="N248" s="759"/>
      <c r="O248" s="759"/>
      <c r="P248" s="759"/>
      <c r="Q248" s="759"/>
      <c r="R248" s="662">
        <f t="shared" si="1"/>
        <v>1</v>
      </c>
      <c r="S248" s="760">
        <f t="shared" si="2"/>
        <v>2.5555839509327881E-4</v>
      </c>
      <c r="T248" s="663">
        <f t="shared" si="3"/>
        <v>116</v>
      </c>
      <c r="U248" s="760">
        <f t="shared" si="4"/>
        <v>2.1961461421663846E-4</v>
      </c>
      <c r="V248" s="730"/>
      <c r="W248" s="741"/>
      <c r="X248" s="588"/>
      <c r="Y248" s="685"/>
    </row>
    <row r="249" spans="1:25" s="589" customFormat="1" x14ac:dyDescent="0.25">
      <c r="A249" s="604"/>
      <c r="B249" s="662" t="s">
        <v>159</v>
      </c>
      <c r="C249" s="759"/>
      <c r="D249" s="759"/>
      <c r="E249" s="759"/>
      <c r="F249" s="605"/>
      <c r="G249" s="760"/>
      <c r="H249" s="759"/>
      <c r="I249" s="759"/>
      <c r="J249" s="759"/>
      <c r="K249" s="759"/>
      <c r="L249" s="759"/>
      <c r="M249" s="759"/>
      <c r="N249" s="759"/>
      <c r="O249" s="759"/>
      <c r="P249" s="759"/>
      <c r="Q249" s="759"/>
      <c r="R249" s="662">
        <f t="shared" si="1"/>
        <v>3</v>
      </c>
      <c r="S249" s="760">
        <f t="shared" si="2"/>
        <v>7.6667518527983648E-4</v>
      </c>
      <c r="T249" s="663">
        <f t="shared" si="3"/>
        <v>275</v>
      </c>
      <c r="U249" s="760">
        <f t="shared" si="4"/>
        <v>5.2063809404806526E-4</v>
      </c>
      <c r="V249" s="730"/>
      <c r="W249" s="741"/>
      <c r="X249" s="588"/>
    </row>
    <row r="250" spans="1:25" s="589" customFormat="1" x14ac:dyDescent="0.25">
      <c r="A250" s="604"/>
      <c r="B250" s="662" t="s">
        <v>160</v>
      </c>
      <c r="C250" s="759"/>
      <c r="D250" s="759"/>
      <c r="E250" s="759"/>
      <c r="F250" s="605"/>
      <c r="G250" s="760"/>
      <c r="H250" s="759"/>
      <c r="I250" s="759"/>
      <c r="J250" s="759"/>
      <c r="K250" s="759"/>
      <c r="L250" s="759"/>
      <c r="M250" s="759"/>
      <c r="N250" s="759"/>
      <c r="O250" s="759"/>
      <c r="P250" s="759"/>
      <c r="Q250" s="759"/>
      <c r="R250" s="673">
        <f t="shared" si="1"/>
        <v>1</v>
      </c>
      <c r="S250" s="760">
        <f t="shared" si="2"/>
        <v>2.5555839509327881E-4</v>
      </c>
      <c r="T250" s="674">
        <f t="shared" si="3"/>
        <v>179</v>
      </c>
      <c r="U250" s="757">
        <f t="shared" si="4"/>
        <v>3.3888806848946797E-4</v>
      </c>
      <c r="V250" s="730"/>
      <c r="W250" s="741"/>
      <c r="X250" s="588"/>
      <c r="Y250" s="685"/>
    </row>
    <row r="251" spans="1:25" s="589" customFormat="1" x14ac:dyDescent="0.25">
      <c r="A251" s="604"/>
      <c r="B251" s="662"/>
      <c r="C251" s="759"/>
      <c r="D251" s="759"/>
      <c r="E251" s="759"/>
      <c r="F251" s="605"/>
      <c r="G251" s="760"/>
      <c r="H251" s="759"/>
      <c r="I251" s="759"/>
      <c r="J251" s="759"/>
      <c r="K251" s="759"/>
      <c r="L251" s="759"/>
      <c r="M251" s="759"/>
      <c r="N251" s="759"/>
      <c r="O251" s="759"/>
      <c r="P251" s="759"/>
      <c r="Q251" s="759"/>
      <c r="R251" s="662"/>
      <c r="S251" s="760"/>
      <c r="T251" s="663"/>
      <c r="U251" s="760"/>
      <c r="V251" s="730"/>
      <c r="W251" s="741"/>
      <c r="X251" s="588"/>
    </row>
    <row r="252" spans="1:25" s="589" customFormat="1" x14ac:dyDescent="0.25">
      <c r="A252" s="604"/>
      <c r="B252" s="605" t="s">
        <v>114</v>
      </c>
      <c r="C252" s="605"/>
      <c r="D252" s="605"/>
      <c r="E252" s="605"/>
      <c r="F252" s="605"/>
      <c r="G252" s="605"/>
      <c r="H252" s="761"/>
      <c r="I252" s="761"/>
      <c r="J252" s="761"/>
      <c r="K252" s="761"/>
      <c r="L252" s="761"/>
      <c r="M252" s="761"/>
      <c r="N252" s="761"/>
      <c r="O252" s="761"/>
      <c r="P252" s="761"/>
      <c r="Q252" s="761"/>
      <c r="R252" s="662">
        <f>SUM(R243:R251)</f>
        <v>3913</v>
      </c>
      <c r="S252" s="760">
        <f>SUM(S243:S251)</f>
        <v>1</v>
      </c>
      <c r="T252" s="663">
        <f>SUM(T243:T251)</f>
        <v>528198</v>
      </c>
      <c r="U252" s="760">
        <f>SUM(U243:U251)</f>
        <v>1</v>
      </c>
      <c r="V252" s="605"/>
      <c r="W252" s="607"/>
      <c r="X252" s="588"/>
    </row>
    <row r="253" spans="1:25" x14ac:dyDescent="0.25">
      <c r="A253" s="574"/>
      <c r="B253" s="664"/>
      <c r="C253" s="664"/>
      <c r="D253" s="664"/>
      <c r="E253" s="664"/>
      <c r="F253" s="664"/>
      <c r="G253" s="664"/>
      <c r="H253" s="762"/>
      <c r="I253" s="762"/>
      <c r="J253" s="762"/>
      <c r="K253" s="762"/>
      <c r="L253" s="762"/>
      <c r="M253" s="762"/>
      <c r="N253" s="762"/>
      <c r="O253" s="762"/>
      <c r="P253" s="762"/>
      <c r="Q253" s="762"/>
      <c r="R253" s="665"/>
      <c r="S253" s="763"/>
      <c r="T253" s="764"/>
      <c r="U253" s="763"/>
      <c r="V253" s="664"/>
      <c r="W253" s="664"/>
      <c r="X253" s="572"/>
    </row>
    <row r="254" spans="1:25" x14ac:dyDescent="0.25">
      <c r="A254" s="597"/>
      <c r="B254" s="669" t="s">
        <v>162</v>
      </c>
      <c r="C254" s="670"/>
      <c r="D254" s="670"/>
      <c r="E254" s="670"/>
      <c r="F254" s="721"/>
      <c r="G254" s="670"/>
      <c r="H254" s="670"/>
      <c r="I254" s="670"/>
      <c r="J254" s="670"/>
      <c r="K254" s="670"/>
      <c r="L254" s="670"/>
      <c r="M254" s="670"/>
      <c r="N254" s="670"/>
      <c r="O254" s="670"/>
      <c r="P254" s="670"/>
      <c r="Q254" s="670"/>
      <c r="R254" s="721" t="s">
        <v>102</v>
      </c>
      <c r="S254" s="670" t="s">
        <v>103</v>
      </c>
      <c r="T254" s="721" t="s">
        <v>109</v>
      </c>
      <c r="U254" s="670" t="s">
        <v>103</v>
      </c>
      <c r="V254" s="598"/>
      <c r="W254" s="755"/>
      <c r="X254" s="572"/>
    </row>
    <row r="255" spans="1:25" s="589" customFormat="1" x14ac:dyDescent="0.25">
      <c r="A255" s="585"/>
      <c r="B255" s="673" t="s">
        <v>88</v>
      </c>
      <c r="C255" s="756"/>
      <c r="D255" s="756"/>
      <c r="E255" s="756"/>
      <c r="F255" s="602"/>
      <c r="G255" s="756"/>
      <c r="H255" s="756"/>
      <c r="I255" s="756"/>
      <c r="J255" s="756"/>
      <c r="K255" s="756"/>
      <c r="L255" s="756"/>
      <c r="M255" s="756"/>
      <c r="N255" s="756"/>
      <c r="O255" s="756"/>
      <c r="P255" s="756"/>
      <c r="Q255" s="756"/>
      <c r="R255" s="673">
        <v>3830</v>
      </c>
      <c r="S255" s="757">
        <f>R255/$R$264</f>
        <v>0.99506365289685628</v>
      </c>
      <c r="T255" s="674">
        <v>515924</v>
      </c>
      <c r="U255" s="757">
        <f t="shared" ref="U255:U262" si="5">T255/$T$264</f>
        <v>0.99317763558101746</v>
      </c>
      <c r="V255" s="725"/>
      <c r="W255" s="758"/>
      <c r="X255" s="588"/>
    </row>
    <row r="256" spans="1:25" s="589" customFormat="1" x14ac:dyDescent="0.25">
      <c r="A256" s="604"/>
      <c r="B256" s="662" t="s">
        <v>89</v>
      </c>
      <c r="C256" s="759"/>
      <c r="D256" s="759"/>
      <c r="E256" s="759"/>
      <c r="F256" s="605"/>
      <c r="G256" s="760"/>
      <c r="H256" s="759"/>
      <c r="I256" s="759"/>
      <c r="J256" s="759"/>
      <c r="K256" s="759"/>
      <c r="L256" s="759"/>
      <c r="M256" s="759"/>
      <c r="N256" s="759"/>
      <c r="O256" s="759"/>
      <c r="P256" s="759"/>
      <c r="Q256" s="759"/>
      <c r="R256" s="662">
        <v>10</v>
      </c>
      <c r="S256" s="760">
        <f t="shared" ref="S256:S262" si="6">R256/$R$264</f>
        <v>2.5980774227071968E-3</v>
      </c>
      <c r="T256" s="663">
        <v>2340</v>
      </c>
      <c r="U256" s="760">
        <f t="shared" si="5"/>
        <v>4.5046085610663221E-3</v>
      </c>
      <c r="V256" s="730"/>
      <c r="W256" s="741"/>
      <c r="X256" s="588"/>
      <c r="Y256" s="685"/>
    </row>
    <row r="257" spans="1:25" s="589" customFormat="1" x14ac:dyDescent="0.25">
      <c r="A257" s="604"/>
      <c r="B257" s="662" t="s">
        <v>90</v>
      </c>
      <c r="C257" s="759"/>
      <c r="D257" s="759"/>
      <c r="E257" s="759"/>
      <c r="F257" s="605"/>
      <c r="G257" s="760"/>
      <c r="H257" s="759"/>
      <c r="I257" s="759"/>
      <c r="J257" s="759"/>
      <c r="K257" s="759"/>
      <c r="L257" s="759"/>
      <c r="M257" s="759"/>
      <c r="N257" s="759"/>
      <c r="O257" s="759"/>
      <c r="P257" s="759"/>
      <c r="Q257" s="759"/>
      <c r="R257" s="662">
        <v>6</v>
      </c>
      <c r="S257" s="760">
        <f t="shared" si="6"/>
        <v>1.558846453624318E-3</v>
      </c>
      <c r="T257" s="663">
        <v>906</v>
      </c>
      <c r="U257" s="760">
        <f t="shared" si="5"/>
        <v>1.744092032617986E-3</v>
      </c>
      <c r="V257" s="730"/>
      <c r="W257" s="741"/>
      <c r="X257" s="588"/>
    </row>
    <row r="258" spans="1:25" s="589" customFormat="1" x14ac:dyDescent="0.25">
      <c r="A258" s="604"/>
      <c r="B258" s="662" t="s">
        <v>156</v>
      </c>
      <c r="C258" s="759"/>
      <c r="D258" s="759"/>
      <c r="E258" s="759"/>
      <c r="F258" s="605"/>
      <c r="G258" s="760"/>
      <c r="H258" s="759"/>
      <c r="I258" s="759"/>
      <c r="J258" s="759"/>
      <c r="K258" s="759"/>
      <c r="L258" s="759"/>
      <c r="M258" s="759"/>
      <c r="N258" s="759"/>
      <c r="O258" s="759"/>
      <c r="P258" s="759"/>
      <c r="Q258" s="759"/>
      <c r="R258" s="662">
        <v>1</v>
      </c>
      <c r="S258" s="760">
        <f t="shared" si="6"/>
        <v>2.5980774227071969E-4</v>
      </c>
      <c r="T258" s="663">
        <v>114</v>
      </c>
      <c r="U258" s="760">
        <f t="shared" si="5"/>
        <v>2.1945528887246183E-4</v>
      </c>
      <c r="V258" s="730"/>
      <c r="W258" s="741"/>
      <c r="X258" s="588"/>
      <c r="Y258" s="685"/>
    </row>
    <row r="259" spans="1:25" s="589" customFormat="1" x14ac:dyDescent="0.25">
      <c r="A259" s="604"/>
      <c r="B259" s="662" t="s">
        <v>157</v>
      </c>
      <c r="C259" s="759"/>
      <c r="D259" s="759"/>
      <c r="E259" s="759"/>
      <c r="F259" s="605"/>
      <c r="G259" s="760"/>
      <c r="H259" s="759"/>
      <c r="I259" s="759"/>
      <c r="J259" s="759"/>
      <c r="K259" s="759"/>
      <c r="L259" s="759"/>
      <c r="M259" s="759"/>
      <c r="N259" s="759"/>
      <c r="O259" s="759"/>
      <c r="P259" s="759"/>
      <c r="Q259" s="759"/>
      <c r="R259" s="662">
        <v>0</v>
      </c>
      <c r="S259" s="760">
        <f t="shared" si="6"/>
        <v>0</v>
      </c>
      <c r="T259" s="663">
        <v>0</v>
      </c>
      <c r="U259" s="760">
        <f t="shared" si="5"/>
        <v>0</v>
      </c>
      <c r="V259" s="730"/>
      <c r="W259" s="741"/>
      <c r="X259" s="588"/>
    </row>
    <row r="260" spans="1:25" s="589" customFormat="1" x14ac:dyDescent="0.25">
      <c r="A260" s="604"/>
      <c r="B260" s="662" t="s">
        <v>158</v>
      </c>
      <c r="C260" s="759"/>
      <c r="D260" s="759"/>
      <c r="E260" s="759"/>
      <c r="F260" s="605"/>
      <c r="G260" s="760"/>
      <c r="H260" s="759"/>
      <c r="I260" s="759"/>
      <c r="J260" s="759"/>
      <c r="K260" s="759"/>
      <c r="L260" s="759"/>
      <c r="M260" s="759"/>
      <c r="N260" s="759"/>
      <c r="O260" s="759"/>
      <c r="P260" s="759"/>
      <c r="Q260" s="759"/>
      <c r="R260" s="662">
        <v>0</v>
      </c>
      <c r="S260" s="760">
        <f t="shared" si="6"/>
        <v>0</v>
      </c>
      <c r="T260" s="663">
        <v>0</v>
      </c>
      <c r="U260" s="760">
        <f t="shared" si="5"/>
        <v>0</v>
      </c>
      <c r="V260" s="730"/>
      <c r="W260" s="741"/>
      <c r="X260" s="588"/>
      <c r="Y260" s="685"/>
    </row>
    <row r="261" spans="1:25" s="589" customFormat="1" x14ac:dyDescent="0.25">
      <c r="A261" s="604"/>
      <c r="B261" s="662" t="s">
        <v>159</v>
      </c>
      <c r="C261" s="759"/>
      <c r="D261" s="759"/>
      <c r="E261" s="759"/>
      <c r="F261" s="605"/>
      <c r="G261" s="760"/>
      <c r="H261" s="759"/>
      <c r="I261" s="759"/>
      <c r="J261" s="759"/>
      <c r="K261" s="759"/>
      <c r="L261" s="759"/>
      <c r="M261" s="759"/>
      <c r="N261" s="759"/>
      <c r="O261" s="759"/>
      <c r="P261" s="759"/>
      <c r="Q261" s="759"/>
      <c r="R261" s="662">
        <v>2</v>
      </c>
      <c r="S261" s="760">
        <f t="shared" si="6"/>
        <v>5.1961548454143938E-4</v>
      </c>
      <c r="T261" s="663">
        <v>184</v>
      </c>
      <c r="U261" s="760">
        <f t="shared" si="5"/>
        <v>3.5420853642572785E-4</v>
      </c>
      <c r="V261" s="730"/>
      <c r="W261" s="741"/>
      <c r="X261" s="588"/>
    </row>
    <row r="262" spans="1:25" s="589" customFormat="1" x14ac:dyDescent="0.25">
      <c r="A262" s="604"/>
      <c r="B262" s="662" t="s">
        <v>160</v>
      </c>
      <c r="C262" s="759"/>
      <c r="D262" s="759"/>
      <c r="E262" s="759"/>
      <c r="F262" s="605"/>
      <c r="G262" s="760"/>
      <c r="H262" s="759"/>
      <c r="I262" s="759"/>
      <c r="J262" s="759"/>
      <c r="K262" s="759"/>
      <c r="L262" s="759"/>
      <c r="M262" s="759"/>
      <c r="N262" s="759"/>
      <c r="O262" s="759"/>
      <c r="P262" s="759"/>
      <c r="Q262" s="759"/>
      <c r="R262" s="662">
        <v>0</v>
      </c>
      <c r="S262" s="760">
        <f t="shared" si="6"/>
        <v>0</v>
      </c>
      <c r="T262" s="663">
        <v>0</v>
      </c>
      <c r="U262" s="760">
        <f t="shared" si="5"/>
        <v>0</v>
      </c>
      <c r="V262" s="730"/>
      <c r="W262" s="741"/>
      <c r="X262" s="588"/>
      <c r="Y262" s="685"/>
    </row>
    <row r="263" spans="1:25" s="589" customFormat="1" x14ac:dyDescent="0.25">
      <c r="A263" s="604"/>
      <c r="B263" s="662"/>
      <c r="C263" s="759"/>
      <c r="D263" s="759"/>
      <c r="E263" s="759"/>
      <c r="F263" s="605"/>
      <c r="G263" s="760"/>
      <c r="H263" s="759"/>
      <c r="I263" s="759"/>
      <c r="J263" s="759"/>
      <c r="K263" s="759"/>
      <c r="L263" s="759"/>
      <c r="M263" s="759"/>
      <c r="N263" s="759"/>
      <c r="O263" s="759"/>
      <c r="P263" s="759"/>
      <c r="Q263" s="759"/>
      <c r="R263" s="662"/>
      <c r="S263" s="760"/>
      <c r="T263" s="663"/>
      <c r="U263" s="760"/>
      <c r="V263" s="730"/>
      <c r="W263" s="741"/>
      <c r="X263" s="588"/>
    </row>
    <row r="264" spans="1:25" s="589" customFormat="1" x14ac:dyDescent="0.25">
      <c r="A264" s="604"/>
      <c r="B264" s="605" t="s">
        <v>114</v>
      </c>
      <c r="C264" s="605"/>
      <c r="D264" s="605"/>
      <c r="E264" s="605"/>
      <c r="F264" s="605"/>
      <c r="G264" s="605"/>
      <c r="H264" s="761"/>
      <c r="I264" s="761"/>
      <c r="J264" s="761"/>
      <c r="K264" s="761"/>
      <c r="L264" s="761"/>
      <c r="M264" s="761"/>
      <c r="N264" s="761"/>
      <c r="O264" s="761"/>
      <c r="P264" s="761"/>
      <c r="Q264" s="761"/>
      <c r="R264" s="662">
        <f>SUM(R255:R263)</f>
        <v>3849</v>
      </c>
      <c r="S264" s="760">
        <f>SUM(S255:S263)</f>
        <v>1</v>
      </c>
      <c r="T264" s="663">
        <f>SUM(T255:T263)</f>
        <v>519468</v>
      </c>
      <c r="U264" s="760">
        <f>SUM(U255:U263)</f>
        <v>0.99999999999999989</v>
      </c>
      <c r="V264" s="605"/>
      <c r="W264" s="607"/>
      <c r="X264" s="588"/>
    </row>
    <row r="265" spans="1:25" x14ac:dyDescent="0.25">
      <c r="A265" s="574"/>
      <c r="B265" s="664"/>
      <c r="C265" s="664"/>
      <c r="D265" s="664"/>
      <c r="E265" s="664"/>
      <c r="F265" s="664"/>
      <c r="G265" s="664"/>
      <c r="H265" s="762"/>
      <c r="I265" s="762"/>
      <c r="J265" s="762"/>
      <c r="K265" s="762"/>
      <c r="L265" s="762"/>
      <c r="M265" s="762"/>
      <c r="N265" s="762"/>
      <c r="O265" s="762"/>
      <c r="P265" s="762"/>
      <c r="Q265" s="762"/>
      <c r="R265" s="665"/>
      <c r="S265" s="763"/>
      <c r="T265" s="764"/>
      <c r="U265" s="763"/>
      <c r="V265" s="664"/>
      <c r="W265" s="664"/>
      <c r="X265" s="572"/>
    </row>
    <row r="266" spans="1:25" x14ac:dyDescent="0.25">
      <c r="A266" s="597"/>
      <c r="B266" s="669" t="s">
        <v>236</v>
      </c>
      <c r="C266" s="670"/>
      <c r="D266" s="670"/>
      <c r="E266" s="670"/>
      <c r="F266" s="721"/>
      <c r="G266" s="670"/>
      <c r="H266" s="670"/>
      <c r="I266" s="670"/>
      <c r="J266" s="670"/>
      <c r="K266" s="670"/>
      <c r="L266" s="670"/>
      <c r="M266" s="670"/>
      <c r="N266" s="670"/>
      <c r="O266" s="670"/>
      <c r="P266" s="670"/>
      <c r="Q266" s="670"/>
      <c r="R266" s="721" t="s">
        <v>102</v>
      </c>
      <c r="S266" s="670" t="s">
        <v>103</v>
      </c>
      <c r="T266" s="721" t="s">
        <v>109</v>
      </c>
      <c r="U266" s="670" t="s">
        <v>103</v>
      </c>
      <c r="V266" s="598"/>
      <c r="W266" s="601"/>
      <c r="X266" s="572"/>
    </row>
    <row r="267" spans="1:25" s="589" customFormat="1" x14ac:dyDescent="0.25">
      <c r="A267" s="585"/>
      <c r="B267" s="673" t="s">
        <v>88</v>
      </c>
      <c r="C267" s="756"/>
      <c r="D267" s="756"/>
      <c r="E267" s="756"/>
      <c r="F267" s="602"/>
      <c r="G267" s="756"/>
      <c r="H267" s="756"/>
      <c r="I267" s="756"/>
      <c r="J267" s="756"/>
      <c r="K267" s="756"/>
      <c r="L267" s="756"/>
      <c r="M267" s="756"/>
      <c r="N267" s="756"/>
      <c r="O267" s="756"/>
      <c r="P267" s="756"/>
      <c r="Q267" s="756"/>
      <c r="R267" s="673">
        <v>57</v>
      </c>
      <c r="S267" s="757">
        <f t="shared" ref="S267:S273" si="7">R267/$R$276</f>
        <v>0.90476190476190477</v>
      </c>
      <c r="T267" s="674">
        <v>7896</v>
      </c>
      <c r="U267" s="757">
        <f t="shared" ref="U267:U274" si="8">T267/$T$276</f>
        <v>0.90769053914243014</v>
      </c>
      <c r="V267" s="602"/>
      <c r="W267" s="602"/>
      <c r="X267" s="588"/>
    </row>
    <row r="268" spans="1:25" s="589" customFormat="1" x14ac:dyDescent="0.25">
      <c r="A268" s="604"/>
      <c r="B268" s="662" t="s">
        <v>89</v>
      </c>
      <c r="C268" s="759"/>
      <c r="D268" s="759"/>
      <c r="E268" s="759"/>
      <c r="F268" s="605"/>
      <c r="G268" s="760"/>
      <c r="H268" s="759"/>
      <c r="I268" s="759"/>
      <c r="J268" s="759"/>
      <c r="K268" s="759"/>
      <c r="L268" s="759"/>
      <c r="M268" s="759"/>
      <c r="N268" s="759"/>
      <c r="O268" s="759"/>
      <c r="P268" s="759"/>
      <c r="Q268" s="759"/>
      <c r="R268" s="662">
        <v>2</v>
      </c>
      <c r="S268" s="760">
        <f t="shared" si="7"/>
        <v>3.1746031746031744E-2</v>
      </c>
      <c r="T268" s="663">
        <v>271</v>
      </c>
      <c r="U268" s="760">
        <f t="shared" si="8"/>
        <v>3.1153006092654329E-2</v>
      </c>
      <c r="V268" s="605"/>
      <c r="W268" s="607"/>
      <c r="X268" s="588"/>
    </row>
    <row r="269" spans="1:25" s="589" customFormat="1" x14ac:dyDescent="0.25">
      <c r="A269" s="604"/>
      <c r="B269" s="662" t="s">
        <v>90</v>
      </c>
      <c r="C269" s="759"/>
      <c r="D269" s="759"/>
      <c r="E269" s="759"/>
      <c r="F269" s="605"/>
      <c r="G269" s="760"/>
      <c r="H269" s="759"/>
      <c r="I269" s="759"/>
      <c r="J269" s="759"/>
      <c r="K269" s="759"/>
      <c r="L269" s="759"/>
      <c r="M269" s="759"/>
      <c r="N269" s="759"/>
      <c r="O269" s="759"/>
      <c r="P269" s="759"/>
      <c r="Q269" s="759"/>
      <c r="R269" s="662">
        <v>0</v>
      </c>
      <c r="S269" s="760">
        <f t="shared" si="7"/>
        <v>0</v>
      </c>
      <c r="T269" s="663">
        <v>0</v>
      </c>
      <c r="U269" s="760">
        <f t="shared" si="8"/>
        <v>0</v>
      </c>
      <c r="V269" s="605"/>
      <c r="W269" s="607"/>
      <c r="X269" s="588"/>
    </row>
    <row r="270" spans="1:25" s="589" customFormat="1" x14ac:dyDescent="0.25">
      <c r="A270" s="604"/>
      <c r="B270" s="662" t="s">
        <v>156</v>
      </c>
      <c r="C270" s="759"/>
      <c r="D270" s="759"/>
      <c r="E270" s="759"/>
      <c r="F270" s="605"/>
      <c r="G270" s="760"/>
      <c r="H270" s="759"/>
      <c r="I270" s="759"/>
      <c r="J270" s="759"/>
      <c r="K270" s="759"/>
      <c r="L270" s="759"/>
      <c r="M270" s="759"/>
      <c r="N270" s="759"/>
      <c r="O270" s="759"/>
      <c r="P270" s="759"/>
      <c r="Q270" s="759"/>
      <c r="R270" s="662">
        <v>1</v>
      </c>
      <c r="S270" s="760">
        <f t="shared" si="7"/>
        <v>1.5873015873015872E-2</v>
      </c>
      <c r="T270" s="663">
        <v>146</v>
      </c>
      <c r="U270" s="760">
        <f t="shared" si="8"/>
        <v>1.6783538337739969E-2</v>
      </c>
      <c r="V270" s="605"/>
      <c r="W270" s="607"/>
      <c r="X270" s="588"/>
    </row>
    <row r="271" spans="1:25" s="589" customFormat="1" x14ac:dyDescent="0.25">
      <c r="A271" s="604"/>
      <c r="B271" s="662" t="s">
        <v>157</v>
      </c>
      <c r="C271" s="759"/>
      <c r="D271" s="759"/>
      <c r="E271" s="759"/>
      <c r="F271" s="605"/>
      <c r="G271" s="760"/>
      <c r="H271" s="759"/>
      <c r="I271" s="759"/>
      <c r="J271" s="759"/>
      <c r="K271" s="759"/>
      <c r="L271" s="759"/>
      <c r="M271" s="759"/>
      <c r="N271" s="759"/>
      <c r="O271" s="759"/>
      <c r="P271" s="759"/>
      <c r="Q271" s="759"/>
      <c r="R271" s="662">
        <v>0</v>
      </c>
      <c r="S271" s="760">
        <f t="shared" si="7"/>
        <v>0</v>
      </c>
      <c r="T271" s="663">
        <v>0</v>
      </c>
      <c r="U271" s="760">
        <f t="shared" si="8"/>
        <v>0</v>
      </c>
      <c r="V271" s="605"/>
      <c r="W271" s="607"/>
      <c r="X271" s="588"/>
    </row>
    <row r="272" spans="1:25" s="589" customFormat="1" x14ac:dyDescent="0.25">
      <c r="A272" s="604"/>
      <c r="B272" s="662" t="s">
        <v>158</v>
      </c>
      <c r="C272" s="759"/>
      <c r="D272" s="759"/>
      <c r="E272" s="759"/>
      <c r="F272" s="605"/>
      <c r="G272" s="760"/>
      <c r="H272" s="759"/>
      <c r="I272" s="759"/>
      <c r="J272" s="759"/>
      <c r="K272" s="759"/>
      <c r="L272" s="759"/>
      <c r="M272" s="759"/>
      <c r="N272" s="759"/>
      <c r="O272" s="759"/>
      <c r="P272" s="759"/>
      <c r="Q272" s="759"/>
      <c r="R272" s="662">
        <v>1</v>
      </c>
      <c r="S272" s="760">
        <f t="shared" si="7"/>
        <v>1.5873015873015872E-2</v>
      </c>
      <c r="T272" s="663">
        <v>116</v>
      </c>
      <c r="U272" s="760">
        <f t="shared" si="8"/>
        <v>1.3334866076560524E-2</v>
      </c>
      <c r="V272" s="605"/>
      <c r="W272" s="607"/>
      <c r="X272" s="588"/>
    </row>
    <row r="273" spans="1:24" s="589" customFormat="1" x14ac:dyDescent="0.25">
      <c r="A273" s="604"/>
      <c r="B273" s="662" t="s">
        <v>159</v>
      </c>
      <c r="C273" s="759"/>
      <c r="D273" s="759"/>
      <c r="E273" s="759"/>
      <c r="F273" s="605"/>
      <c r="G273" s="760"/>
      <c r="H273" s="759"/>
      <c r="I273" s="759"/>
      <c r="J273" s="759"/>
      <c r="K273" s="759"/>
      <c r="L273" s="759"/>
      <c r="M273" s="759"/>
      <c r="N273" s="759"/>
      <c r="O273" s="759"/>
      <c r="P273" s="759"/>
      <c r="Q273" s="759"/>
      <c r="R273" s="662">
        <v>1</v>
      </c>
      <c r="S273" s="760">
        <f t="shared" si="7"/>
        <v>1.5873015873015872E-2</v>
      </c>
      <c r="T273" s="663">
        <v>91</v>
      </c>
      <c r="U273" s="760">
        <f t="shared" si="8"/>
        <v>1.0460972525577653E-2</v>
      </c>
      <c r="V273" s="605"/>
      <c r="W273" s="607"/>
      <c r="X273" s="588"/>
    </row>
    <row r="274" spans="1:24" s="589" customFormat="1" x14ac:dyDescent="0.25">
      <c r="A274" s="604"/>
      <c r="B274" s="662" t="s">
        <v>160</v>
      </c>
      <c r="C274" s="759"/>
      <c r="D274" s="759"/>
      <c r="E274" s="759"/>
      <c r="F274" s="605"/>
      <c r="G274" s="760"/>
      <c r="H274" s="759"/>
      <c r="I274" s="759"/>
      <c r="J274" s="759"/>
      <c r="K274" s="759"/>
      <c r="L274" s="759"/>
      <c r="M274" s="759"/>
      <c r="N274" s="759"/>
      <c r="O274" s="759"/>
      <c r="P274" s="759"/>
      <c r="Q274" s="759"/>
      <c r="R274" s="662">
        <v>1</v>
      </c>
      <c r="S274" s="760">
        <f>R274/$R$276</f>
        <v>1.5873015873015872E-2</v>
      </c>
      <c r="T274" s="663">
        <v>179</v>
      </c>
      <c r="U274" s="760">
        <f t="shared" si="8"/>
        <v>2.0577077825037361E-2</v>
      </c>
      <c r="V274" s="605"/>
      <c r="W274" s="607"/>
      <c r="X274" s="588"/>
    </row>
    <row r="275" spans="1:24" s="589" customFormat="1" x14ac:dyDescent="0.25">
      <c r="A275" s="604"/>
      <c r="B275" s="662"/>
      <c r="C275" s="759"/>
      <c r="D275" s="759"/>
      <c r="E275" s="759"/>
      <c r="F275" s="605"/>
      <c r="G275" s="760"/>
      <c r="H275" s="759"/>
      <c r="I275" s="759"/>
      <c r="J275" s="759"/>
      <c r="K275" s="759"/>
      <c r="L275" s="759"/>
      <c r="M275" s="759"/>
      <c r="N275" s="759"/>
      <c r="O275" s="759"/>
      <c r="P275" s="759"/>
      <c r="Q275" s="759"/>
      <c r="R275" s="662"/>
      <c r="S275" s="760"/>
      <c r="T275" s="663"/>
      <c r="U275" s="760"/>
      <c r="V275" s="605"/>
      <c r="W275" s="607"/>
      <c r="X275" s="588"/>
    </row>
    <row r="276" spans="1:24" s="589" customFormat="1" x14ac:dyDescent="0.25">
      <c r="A276" s="604"/>
      <c r="B276" s="605" t="s">
        <v>114</v>
      </c>
      <c r="C276" s="605"/>
      <c r="D276" s="605"/>
      <c r="E276" s="605"/>
      <c r="F276" s="605"/>
      <c r="G276" s="605"/>
      <c r="H276" s="761"/>
      <c r="I276" s="761"/>
      <c r="J276" s="761"/>
      <c r="K276" s="761"/>
      <c r="L276" s="761"/>
      <c r="M276" s="761"/>
      <c r="N276" s="761"/>
      <c r="O276" s="761"/>
      <c r="P276" s="761"/>
      <c r="Q276" s="761"/>
      <c r="R276" s="662">
        <f>SUM(R267:R275)</f>
        <v>63</v>
      </c>
      <c r="S276" s="760">
        <f>SUM(S267:S275)</f>
        <v>0.99999999999999978</v>
      </c>
      <c r="T276" s="663">
        <f>SUM(T267:T275)</f>
        <v>8699</v>
      </c>
      <c r="U276" s="760">
        <f>SUM(U267:U275)</f>
        <v>1</v>
      </c>
      <c r="V276" s="605"/>
      <c r="W276" s="607"/>
      <c r="X276" s="588"/>
    </row>
    <row r="277" spans="1:24" x14ac:dyDescent="0.25">
      <c r="A277" s="574"/>
      <c r="B277" s="664"/>
      <c r="C277" s="664"/>
      <c r="D277" s="664"/>
      <c r="E277" s="664"/>
      <c r="F277" s="664"/>
      <c r="G277" s="664"/>
      <c r="H277" s="762"/>
      <c r="I277" s="762"/>
      <c r="J277" s="762"/>
      <c r="K277" s="762"/>
      <c r="L277" s="762"/>
      <c r="M277" s="762"/>
      <c r="N277" s="762"/>
      <c r="O277" s="762"/>
      <c r="P277" s="762"/>
      <c r="Q277" s="762"/>
      <c r="R277" s="665"/>
      <c r="S277" s="763"/>
      <c r="T277" s="764"/>
      <c r="U277" s="763"/>
      <c r="V277" s="664"/>
      <c r="W277" s="664"/>
      <c r="X277" s="572"/>
    </row>
    <row r="278" spans="1:24" x14ac:dyDescent="0.25">
      <c r="A278" s="781"/>
      <c r="B278" s="775" t="s">
        <v>372</v>
      </c>
      <c r="C278" s="782"/>
      <c r="D278" s="782"/>
      <c r="E278" s="782"/>
      <c r="F278" s="783"/>
      <c r="G278" s="782"/>
      <c r="H278" s="782"/>
      <c r="I278" s="782"/>
      <c r="J278" s="782"/>
      <c r="K278" s="782"/>
      <c r="L278" s="782"/>
      <c r="M278" s="782"/>
      <c r="N278" s="782"/>
      <c r="O278" s="782"/>
      <c r="P278" s="782"/>
      <c r="Q278" s="782"/>
      <c r="R278" s="783" t="s">
        <v>102</v>
      </c>
      <c r="S278" s="782" t="s">
        <v>103</v>
      </c>
      <c r="T278" s="783" t="s">
        <v>109</v>
      </c>
      <c r="U278" s="782" t="s">
        <v>103</v>
      </c>
      <c r="V278" s="782"/>
      <c r="W278" s="782"/>
      <c r="X278" s="572"/>
    </row>
    <row r="279" spans="1:24" x14ac:dyDescent="0.25">
      <c r="A279" s="784"/>
      <c r="B279" s="785" t="s">
        <v>373</v>
      </c>
      <c r="C279" s="786"/>
      <c r="D279" s="786"/>
      <c r="E279" s="786"/>
      <c r="F279" s="776"/>
      <c r="G279" s="786"/>
      <c r="H279" s="786"/>
      <c r="I279" s="786"/>
      <c r="J279" s="786"/>
      <c r="K279" s="786"/>
      <c r="L279" s="786"/>
      <c r="M279" s="786"/>
      <c r="N279" s="786"/>
      <c r="O279" s="786"/>
      <c r="P279" s="786"/>
      <c r="Q279" s="786"/>
      <c r="R279" s="785">
        <v>47</v>
      </c>
      <c r="S279" s="793">
        <f t="shared" ref="S279:S284" si="9">R279/$R$286</f>
        <v>0.74603174603174605</v>
      </c>
      <c r="T279" s="794">
        <v>6613</v>
      </c>
      <c r="U279" s="793">
        <f t="shared" ref="U279:U284" si="10">T279/$T$286</f>
        <v>0.76020232210598915</v>
      </c>
      <c r="V279" s="786"/>
      <c r="W279" s="786"/>
      <c r="X279" s="572"/>
    </row>
    <row r="280" spans="1:24" x14ac:dyDescent="0.25">
      <c r="A280" s="787"/>
      <c r="B280" s="788" t="s">
        <v>374</v>
      </c>
      <c r="C280" s="789"/>
      <c r="D280" s="789"/>
      <c r="E280" s="789"/>
      <c r="F280" s="790"/>
      <c r="G280" s="791"/>
      <c r="H280" s="789"/>
      <c r="I280" s="789"/>
      <c r="J280" s="789"/>
      <c r="K280" s="789"/>
      <c r="L280" s="789"/>
      <c r="M280" s="789"/>
      <c r="N280" s="789"/>
      <c r="O280" s="789"/>
      <c r="P280" s="789"/>
      <c r="Q280" s="789"/>
      <c r="R280" s="788">
        <v>0</v>
      </c>
      <c r="S280" s="791">
        <f t="shared" si="9"/>
        <v>0</v>
      </c>
      <c r="T280" s="795">
        <v>0</v>
      </c>
      <c r="U280" s="791">
        <f t="shared" si="10"/>
        <v>0</v>
      </c>
      <c r="V280" s="789"/>
      <c r="W280" s="789"/>
      <c r="X280" s="572"/>
    </row>
    <row r="281" spans="1:24" x14ac:dyDescent="0.25">
      <c r="A281" s="787"/>
      <c r="B281" s="788" t="s">
        <v>375</v>
      </c>
      <c r="C281" s="789"/>
      <c r="D281" s="789"/>
      <c r="E281" s="789"/>
      <c r="F281" s="790"/>
      <c r="G281" s="791"/>
      <c r="H281" s="789"/>
      <c r="I281" s="789"/>
      <c r="J281" s="789"/>
      <c r="K281" s="789"/>
      <c r="L281" s="789"/>
      <c r="M281" s="789"/>
      <c r="N281" s="789"/>
      <c r="O281" s="789"/>
      <c r="P281" s="789"/>
      <c r="Q281" s="789"/>
      <c r="R281" s="788">
        <v>3</v>
      </c>
      <c r="S281" s="791">
        <f t="shared" si="9"/>
        <v>4.7619047619047616E-2</v>
      </c>
      <c r="T281" s="795">
        <v>264</v>
      </c>
      <c r="U281" s="791">
        <f t="shared" si="10"/>
        <v>3.0348315898379125E-2</v>
      </c>
      <c r="V281" s="789"/>
      <c r="W281" s="789"/>
      <c r="X281" s="572"/>
    </row>
    <row r="282" spans="1:24" x14ac:dyDescent="0.25">
      <c r="A282" s="787"/>
      <c r="B282" s="788" t="s">
        <v>376</v>
      </c>
      <c r="C282" s="789"/>
      <c r="D282" s="789"/>
      <c r="E282" s="789"/>
      <c r="F282" s="790"/>
      <c r="G282" s="791"/>
      <c r="H282" s="789"/>
      <c r="I282" s="789"/>
      <c r="J282" s="789"/>
      <c r="K282" s="789"/>
      <c r="L282" s="789"/>
      <c r="M282" s="789"/>
      <c r="N282" s="789"/>
      <c r="O282" s="789"/>
      <c r="P282" s="789"/>
      <c r="Q282" s="789"/>
      <c r="R282" s="788">
        <v>8</v>
      </c>
      <c r="S282" s="791">
        <f t="shared" si="9"/>
        <v>0.12698412698412698</v>
      </c>
      <c r="T282" s="795">
        <v>1068</v>
      </c>
      <c r="U282" s="791">
        <f t="shared" si="10"/>
        <v>0.12277273249798827</v>
      </c>
      <c r="V282" s="789"/>
      <c r="W282" s="789"/>
      <c r="X282" s="572"/>
    </row>
    <row r="283" spans="1:24" x14ac:dyDescent="0.25">
      <c r="A283" s="787"/>
      <c r="B283" s="790" t="s">
        <v>380</v>
      </c>
      <c r="C283" s="789"/>
      <c r="D283" s="789"/>
      <c r="E283" s="789"/>
      <c r="F283" s="790"/>
      <c r="G283" s="791"/>
      <c r="H283" s="789"/>
      <c r="I283" s="789"/>
      <c r="J283" s="789"/>
      <c r="K283" s="789"/>
      <c r="L283" s="789"/>
      <c r="M283" s="789"/>
      <c r="N283" s="789"/>
      <c r="O283" s="789"/>
      <c r="P283" s="789"/>
      <c r="Q283" s="789"/>
      <c r="R283" s="788">
        <v>5</v>
      </c>
      <c r="S283" s="791">
        <f t="shared" si="9"/>
        <v>7.9365079365079361E-2</v>
      </c>
      <c r="T283" s="795">
        <v>754</v>
      </c>
      <c r="U283" s="791">
        <f t="shared" si="10"/>
        <v>8.6676629497643404E-2</v>
      </c>
      <c r="V283" s="789"/>
      <c r="W283" s="789"/>
      <c r="X283" s="572"/>
    </row>
    <row r="284" spans="1:24" x14ac:dyDescent="0.25">
      <c r="A284" s="787"/>
      <c r="B284" s="788" t="s">
        <v>377</v>
      </c>
      <c r="C284" s="789"/>
      <c r="D284" s="789"/>
      <c r="E284" s="789"/>
      <c r="F284" s="790"/>
      <c r="G284" s="791"/>
      <c r="H284" s="789"/>
      <c r="I284" s="789"/>
      <c r="J284" s="789"/>
      <c r="K284" s="789"/>
      <c r="L284" s="789"/>
      <c r="M284" s="789"/>
      <c r="N284" s="789"/>
      <c r="O284" s="789"/>
      <c r="P284" s="789"/>
      <c r="Q284" s="789"/>
      <c r="R284" s="788">
        <v>0</v>
      </c>
      <c r="S284" s="791">
        <f t="shared" si="9"/>
        <v>0</v>
      </c>
      <c r="T284" s="795">
        <v>0</v>
      </c>
      <c r="U284" s="791">
        <f t="shared" si="10"/>
        <v>0</v>
      </c>
      <c r="V284" s="789"/>
      <c r="W284" s="789"/>
      <c r="X284" s="572"/>
    </row>
    <row r="285" spans="1:24" x14ac:dyDescent="0.25">
      <c r="A285" s="787"/>
      <c r="B285" s="788"/>
      <c r="C285" s="789"/>
      <c r="D285" s="789"/>
      <c r="E285" s="789"/>
      <c r="F285" s="790"/>
      <c r="G285" s="791"/>
      <c r="H285" s="789"/>
      <c r="I285" s="789"/>
      <c r="J285" s="789"/>
      <c r="K285" s="789"/>
      <c r="L285" s="789"/>
      <c r="M285" s="789"/>
      <c r="N285" s="789"/>
      <c r="O285" s="789"/>
      <c r="P285" s="789"/>
      <c r="Q285" s="789"/>
      <c r="R285" s="788"/>
      <c r="S285" s="791"/>
      <c r="T285" s="795"/>
      <c r="U285" s="791"/>
      <c r="V285" s="789"/>
      <c r="W285" s="789"/>
      <c r="X285" s="572"/>
    </row>
    <row r="286" spans="1:24" x14ac:dyDescent="0.25">
      <c r="A286" s="787"/>
      <c r="B286" s="790" t="s">
        <v>114</v>
      </c>
      <c r="C286" s="790"/>
      <c r="D286" s="790"/>
      <c r="E286" s="790"/>
      <c r="F286" s="790"/>
      <c r="G286" s="790"/>
      <c r="H286" s="792"/>
      <c r="I286" s="792"/>
      <c r="J286" s="792"/>
      <c r="K286" s="792"/>
      <c r="L286" s="792"/>
      <c r="M286" s="792"/>
      <c r="N286" s="792"/>
      <c r="O286" s="792"/>
      <c r="P286" s="792"/>
      <c r="Q286" s="792"/>
      <c r="R286" s="788">
        <f>SUM(R279:R285)</f>
        <v>63</v>
      </c>
      <c r="S286" s="791">
        <f>SUM(S279:S285)</f>
        <v>1</v>
      </c>
      <c r="T286" s="795">
        <f>SUM(T279:T285)</f>
        <v>8699</v>
      </c>
      <c r="U286" s="791">
        <f>SUM(U279:U285)</f>
        <v>1</v>
      </c>
      <c r="V286" s="792"/>
      <c r="W286" s="792"/>
      <c r="X286" s="572"/>
    </row>
    <row r="287" spans="1:24" x14ac:dyDescent="0.25">
      <c r="A287" s="574"/>
      <c r="B287" s="664"/>
      <c r="C287" s="664"/>
      <c r="D287" s="664"/>
      <c r="E287" s="664"/>
      <c r="F287" s="664"/>
      <c r="G287" s="664"/>
      <c r="H287" s="762"/>
      <c r="I287" s="762"/>
      <c r="J287" s="762"/>
      <c r="K287" s="762"/>
      <c r="L287" s="762"/>
      <c r="M287" s="762"/>
      <c r="N287" s="762"/>
      <c r="O287" s="762"/>
      <c r="P287" s="762"/>
      <c r="Q287" s="762"/>
      <c r="R287" s="665"/>
      <c r="S287" s="763"/>
      <c r="T287" s="764"/>
      <c r="U287" s="763"/>
      <c r="V287" s="664"/>
      <c r="W287" s="664"/>
      <c r="X287" s="572"/>
    </row>
    <row r="288" spans="1:24" x14ac:dyDescent="0.25">
      <c r="A288" s="597"/>
      <c r="B288" s="669" t="s">
        <v>163</v>
      </c>
      <c r="C288" s="598"/>
      <c r="D288" s="598"/>
      <c r="E288" s="598"/>
      <c r="F288" s="598"/>
      <c r="G288" s="598"/>
      <c r="H288" s="765"/>
      <c r="I288" s="765"/>
      <c r="J288" s="765"/>
      <c r="K288" s="765"/>
      <c r="L288" s="765"/>
      <c r="M288" s="765"/>
      <c r="N288" s="765"/>
      <c r="O288" s="765"/>
      <c r="P288" s="765"/>
      <c r="Q288" s="765"/>
      <c r="R288" s="721" t="s">
        <v>102</v>
      </c>
      <c r="S288" s="670" t="s">
        <v>103</v>
      </c>
      <c r="T288" s="721" t="s">
        <v>109</v>
      </c>
      <c r="U288" s="670" t="s">
        <v>103</v>
      </c>
      <c r="V288" s="598"/>
      <c r="W288" s="601"/>
      <c r="X288" s="572"/>
    </row>
    <row r="289" spans="1:24" s="589" customFormat="1" x14ac:dyDescent="0.25">
      <c r="A289" s="585"/>
      <c r="B289" s="673" t="s">
        <v>88</v>
      </c>
      <c r="C289" s="602"/>
      <c r="D289" s="602"/>
      <c r="E289" s="602"/>
      <c r="F289" s="602"/>
      <c r="G289" s="602"/>
      <c r="H289" s="766"/>
      <c r="I289" s="766"/>
      <c r="J289" s="766"/>
      <c r="K289" s="766"/>
      <c r="L289" s="766"/>
      <c r="M289" s="766"/>
      <c r="N289" s="766"/>
      <c r="O289" s="766"/>
      <c r="P289" s="766"/>
      <c r="Q289" s="766"/>
      <c r="R289" s="673">
        <v>1</v>
      </c>
      <c r="S289" s="757">
        <v>1</v>
      </c>
      <c r="T289" s="674">
        <v>31</v>
      </c>
      <c r="U289" s="757">
        <v>1</v>
      </c>
      <c r="V289" s="602"/>
      <c r="W289" s="602"/>
      <c r="X289" s="588"/>
    </row>
    <row r="290" spans="1:24" s="589" customFormat="1" x14ac:dyDescent="0.25">
      <c r="A290" s="604"/>
      <c r="B290" s="662" t="s">
        <v>89</v>
      </c>
      <c r="C290" s="605"/>
      <c r="D290" s="605"/>
      <c r="E290" s="605"/>
      <c r="F290" s="605"/>
      <c r="G290" s="605"/>
      <c r="H290" s="761"/>
      <c r="I290" s="761"/>
      <c r="J290" s="761"/>
      <c r="K290" s="761"/>
      <c r="L290" s="761"/>
      <c r="M290" s="761"/>
      <c r="N290" s="761"/>
      <c r="O290" s="761"/>
      <c r="P290" s="761"/>
      <c r="Q290" s="761"/>
      <c r="R290" s="662">
        <v>0</v>
      </c>
      <c r="S290" s="760">
        <v>0</v>
      </c>
      <c r="T290" s="663">
        <v>0</v>
      </c>
      <c r="U290" s="760">
        <v>0</v>
      </c>
      <c r="V290" s="605"/>
      <c r="W290" s="607"/>
      <c r="X290" s="588"/>
    </row>
    <row r="291" spans="1:24" s="589" customFormat="1" x14ac:dyDescent="0.25">
      <c r="A291" s="604"/>
      <c r="B291" s="662" t="s">
        <v>90</v>
      </c>
      <c r="C291" s="605"/>
      <c r="D291" s="605"/>
      <c r="E291" s="605"/>
      <c r="F291" s="605"/>
      <c r="G291" s="605"/>
      <c r="H291" s="761"/>
      <c r="I291" s="761"/>
      <c r="J291" s="761"/>
      <c r="K291" s="761"/>
      <c r="L291" s="761"/>
      <c r="M291" s="761"/>
      <c r="N291" s="761"/>
      <c r="O291" s="761"/>
      <c r="P291" s="761"/>
      <c r="Q291" s="761"/>
      <c r="R291" s="662">
        <v>0</v>
      </c>
      <c r="S291" s="760">
        <v>0</v>
      </c>
      <c r="T291" s="663">
        <v>0</v>
      </c>
      <c r="U291" s="760">
        <v>0</v>
      </c>
      <c r="V291" s="605"/>
      <c r="W291" s="607"/>
      <c r="X291" s="588"/>
    </row>
    <row r="292" spans="1:24" s="589" customFormat="1" x14ac:dyDescent="0.25">
      <c r="A292" s="604"/>
      <c r="B292" s="662" t="s">
        <v>156</v>
      </c>
      <c r="C292" s="605"/>
      <c r="D292" s="605"/>
      <c r="E292" s="605"/>
      <c r="F292" s="605"/>
      <c r="G292" s="605"/>
      <c r="H292" s="761"/>
      <c r="I292" s="761"/>
      <c r="J292" s="761"/>
      <c r="K292" s="761"/>
      <c r="L292" s="761"/>
      <c r="M292" s="761"/>
      <c r="N292" s="761"/>
      <c r="O292" s="761"/>
      <c r="P292" s="761"/>
      <c r="Q292" s="761"/>
      <c r="R292" s="662">
        <v>0</v>
      </c>
      <c r="S292" s="760">
        <v>0</v>
      </c>
      <c r="T292" s="663">
        <v>0</v>
      </c>
      <c r="U292" s="760">
        <v>0</v>
      </c>
      <c r="V292" s="605"/>
      <c r="W292" s="607"/>
      <c r="X292" s="588"/>
    </row>
    <row r="293" spans="1:24" s="589" customFormat="1" x14ac:dyDescent="0.25">
      <c r="A293" s="604"/>
      <c r="B293" s="662" t="s">
        <v>157</v>
      </c>
      <c r="C293" s="605"/>
      <c r="D293" s="605"/>
      <c r="E293" s="605"/>
      <c r="F293" s="605"/>
      <c r="G293" s="605"/>
      <c r="H293" s="761"/>
      <c r="I293" s="761"/>
      <c r="J293" s="761"/>
      <c r="K293" s="761"/>
      <c r="L293" s="761"/>
      <c r="M293" s="761"/>
      <c r="N293" s="761"/>
      <c r="O293" s="761"/>
      <c r="P293" s="761"/>
      <c r="Q293" s="761"/>
      <c r="R293" s="662">
        <v>0</v>
      </c>
      <c r="S293" s="760">
        <v>0</v>
      </c>
      <c r="T293" s="663">
        <v>0</v>
      </c>
      <c r="U293" s="760">
        <v>0</v>
      </c>
      <c r="V293" s="605"/>
      <c r="W293" s="607"/>
      <c r="X293" s="588"/>
    </row>
    <row r="294" spans="1:24" s="589" customFormat="1" x14ac:dyDescent="0.25">
      <c r="A294" s="604"/>
      <c r="B294" s="662" t="s">
        <v>158</v>
      </c>
      <c r="C294" s="605"/>
      <c r="D294" s="605"/>
      <c r="E294" s="605"/>
      <c r="F294" s="605"/>
      <c r="G294" s="605"/>
      <c r="H294" s="761"/>
      <c r="I294" s="761"/>
      <c r="J294" s="761"/>
      <c r="K294" s="761"/>
      <c r="L294" s="761"/>
      <c r="M294" s="761"/>
      <c r="N294" s="761"/>
      <c r="O294" s="761"/>
      <c r="P294" s="761"/>
      <c r="Q294" s="761"/>
      <c r="R294" s="662">
        <v>0</v>
      </c>
      <c r="S294" s="760">
        <v>0</v>
      </c>
      <c r="T294" s="663">
        <v>0</v>
      </c>
      <c r="U294" s="760">
        <v>0</v>
      </c>
      <c r="V294" s="605"/>
      <c r="W294" s="607"/>
      <c r="X294" s="588"/>
    </row>
    <row r="295" spans="1:24" s="589" customFormat="1" x14ac:dyDescent="0.25">
      <c r="A295" s="604"/>
      <c r="B295" s="662" t="s">
        <v>159</v>
      </c>
      <c r="C295" s="605"/>
      <c r="D295" s="605"/>
      <c r="E295" s="605"/>
      <c r="F295" s="605"/>
      <c r="G295" s="605"/>
      <c r="H295" s="761"/>
      <c r="I295" s="761"/>
      <c r="J295" s="761"/>
      <c r="K295" s="761"/>
      <c r="L295" s="761"/>
      <c r="M295" s="761"/>
      <c r="N295" s="761"/>
      <c r="O295" s="761"/>
      <c r="P295" s="761"/>
      <c r="Q295" s="761"/>
      <c r="R295" s="662">
        <v>0</v>
      </c>
      <c r="S295" s="760">
        <v>0</v>
      </c>
      <c r="T295" s="663">
        <v>0</v>
      </c>
      <c r="U295" s="760">
        <v>0</v>
      </c>
      <c r="V295" s="605"/>
      <c r="W295" s="607"/>
      <c r="X295" s="588"/>
    </row>
    <row r="296" spans="1:24" s="589" customFormat="1" x14ac:dyDescent="0.25">
      <c r="A296" s="604"/>
      <c r="B296" s="662" t="s">
        <v>160</v>
      </c>
      <c r="C296" s="605"/>
      <c r="D296" s="605"/>
      <c r="E296" s="605"/>
      <c r="F296" s="605"/>
      <c r="G296" s="605"/>
      <c r="H296" s="761"/>
      <c r="I296" s="761"/>
      <c r="J296" s="761"/>
      <c r="K296" s="761"/>
      <c r="L296" s="761"/>
      <c r="M296" s="761"/>
      <c r="N296" s="761"/>
      <c r="O296" s="761"/>
      <c r="P296" s="761"/>
      <c r="Q296" s="761"/>
      <c r="R296" s="662">
        <v>0</v>
      </c>
      <c r="S296" s="760">
        <v>0</v>
      </c>
      <c r="T296" s="663">
        <v>0</v>
      </c>
      <c r="U296" s="760">
        <v>0</v>
      </c>
      <c r="V296" s="605"/>
      <c r="W296" s="607"/>
      <c r="X296" s="588"/>
    </row>
    <row r="297" spans="1:24" s="589" customFormat="1" x14ac:dyDescent="0.25">
      <c r="A297" s="604"/>
      <c r="B297" s="662"/>
      <c r="C297" s="605"/>
      <c r="D297" s="605"/>
      <c r="E297" s="605"/>
      <c r="F297" s="605"/>
      <c r="G297" s="605"/>
      <c r="H297" s="761"/>
      <c r="I297" s="761"/>
      <c r="J297" s="761"/>
      <c r="K297" s="761"/>
      <c r="L297" s="761"/>
      <c r="M297" s="761"/>
      <c r="N297" s="761"/>
      <c r="O297" s="761"/>
      <c r="P297" s="761"/>
      <c r="Q297" s="761"/>
      <c r="R297" s="662"/>
      <c r="S297" s="760"/>
      <c r="T297" s="663"/>
      <c r="U297" s="760"/>
      <c r="V297" s="605"/>
      <c r="W297" s="607"/>
      <c r="X297" s="588"/>
    </row>
    <row r="298" spans="1:24" s="589" customFormat="1" x14ac:dyDescent="0.25">
      <c r="A298" s="604"/>
      <c r="B298" s="605" t="s">
        <v>114</v>
      </c>
      <c r="C298" s="605"/>
      <c r="D298" s="605"/>
      <c r="E298" s="605"/>
      <c r="F298" s="605"/>
      <c r="G298" s="605"/>
      <c r="H298" s="761"/>
      <c r="I298" s="761"/>
      <c r="J298" s="761"/>
      <c r="K298" s="761"/>
      <c r="L298" s="761"/>
      <c r="M298" s="761"/>
      <c r="N298" s="761"/>
      <c r="O298" s="761"/>
      <c r="P298" s="761"/>
      <c r="Q298" s="761"/>
      <c r="R298" s="662">
        <f>SUM(R289:R296)</f>
        <v>1</v>
      </c>
      <c r="S298" s="760">
        <f>SUM(S289:S296)</f>
        <v>1</v>
      </c>
      <c r="T298" s="663">
        <f>SUM(T289:T296)</f>
        <v>31</v>
      </c>
      <c r="U298" s="760">
        <f>SUM(U289:U296)</f>
        <v>1</v>
      </c>
      <c r="V298" s="605"/>
      <c r="W298" s="607"/>
      <c r="X298" s="588"/>
    </row>
    <row r="299" spans="1:24" s="589" customFormat="1" x14ac:dyDescent="0.25">
      <c r="A299" s="604"/>
      <c r="B299" s="605"/>
      <c r="C299" s="605"/>
      <c r="D299" s="605"/>
      <c r="E299" s="605"/>
      <c r="F299" s="605"/>
      <c r="G299" s="605"/>
      <c r="H299" s="761"/>
      <c r="I299" s="761"/>
      <c r="J299" s="761"/>
      <c r="K299" s="761"/>
      <c r="L299" s="761"/>
      <c r="M299" s="761"/>
      <c r="N299" s="761"/>
      <c r="O299" s="761"/>
      <c r="P299" s="761"/>
      <c r="Q299" s="761"/>
      <c r="R299" s="662"/>
      <c r="S299" s="760"/>
      <c r="T299" s="663"/>
      <c r="U299" s="760"/>
      <c r="V299" s="605"/>
      <c r="W299" s="607"/>
      <c r="X299" s="588"/>
    </row>
    <row r="300" spans="1:24" s="589" customFormat="1" x14ac:dyDescent="0.25">
      <c r="A300" s="604"/>
      <c r="B300" s="610" t="s">
        <v>164</v>
      </c>
      <c r="C300" s="605"/>
      <c r="D300" s="605"/>
      <c r="E300" s="605"/>
      <c r="F300" s="605"/>
      <c r="G300" s="605"/>
      <c r="H300" s="761"/>
      <c r="I300" s="761"/>
      <c r="J300" s="761"/>
      <c r="K300" s="761"/>
      <c r="L300" s="761"/>
      <c r="M300" s="761"/>
      <c r="N300" s="761"/>
      <c r="O300" s="761"/>
      <c r="P300" s="761"/>
      <c r="Q300" s="761"/>
      <c r="R300" s="767">
        <f>R298+R276+R264</f>
        <v>3913</v>
      </c>
      <c r="S300" s="760"/>
      <c r="T300" s="768">
        <f>+T298+T276+T264</f>
        <v>528198</v>
      </c>
      <c r="U300" s="760"/>
      <c r="V300" s="605"/>
      <c r="W300" s="607"/>
      <c r="X300" s="588"/>
    </row>
    <row r="301" spans="1:24" s="589" customFormat="1" x14ac:dyDescent="0.25">
      <c r="A301" s="585"/>
      <c r="B301" s="758"/>
      <c r="C301" s="602"/>
      <c r="D301" s="602"/>
      <c r="E301" s="602"/>
      <c r="F301" s="602"/>
      <c r="G301" s="602"/>
      <c r="H301" s="766"/>
      <c r="I301" s="766"/>
      <c r="J301" s="766"/>
      <c r="K301" s="766"/>
      <c r="L301" s="766"/>
      <c r="M301" s="766"/>
      <c r="N301" s="766"/>
      <c r="O301" s="766"/>
      <c r="P301" s="766"/>
      <c r="Q301" s="766"/>
      <c r="R301" s="726"/>
      <c r="S301" s="757"/>
      <c r="T301" s="774"/>
      <c r="U301" s="757"/>
      <c r="V301" s="602"/>
      <c r="W301" s="602"/>
      <c r="X301" s="588"/>
    </row>
    <row r="302" spans="1:24" s="589" customFormat="1" x14ac:dyDescent="0.25">
      <c r="A302" s="597" t="s">
        <v>358</v>
      </c>
      <c r="B302" s="775" t="s">
        <v>359</v>
      </c>
      <c r="C302" s="598"/>
      <c r="D302" s="598"/>
      <c r="E302" s="598"/>
      <c r="F302" s="598"/>
      <c r="G302" s="598"/>
      <c r="H302" s="765"/>
      <c r="I302" s="765"/>
      <c r="J302" s="765"/>
      <c r="K302" s="765"/>
      <c r="L302" s="765"/>
      <c r="M302" s="765"/>
      <c r="N302" s="765"/>
      <c r="O302" s="765"/>
      <c r="P302" s="765"/>
      <c r="Q302" s="765"/>
      <c r="R302" s="721" t="s">
        <v>102</v>
      </c>
      <c r="S302" s="670" t="s">
        <v>103</v>
      </c>
      <c r="T302" s="721" t="s">
        <v>109</v>
      </c>
      <c r="U302" s="670" t="s">
        <v>103</v>
      </c>
      <c r="V302" s="598"/>
      <c r="W302" s="601"/>
      <c r="X302" s="588"/>
    </row>
    <row r="303" spans="1:24" s="589" customFormat="1" x14ac:dyDescent="0.25">
      <c r="A303" s="585"/>
      <c r="B303" s="673" t="s">
        <v>88</v>
      </c>
      <c r="C303" s="602"/>
      <c r="D303" s="602"/>
      <c r="E303" s="602"/>
      <c r="F303" s="602"/>
      <c r="G303" s="602"/>
      <c r="H303" s="766"/>
      <c r="I303" s="766"/>
      <c r="J303" s="766"/>
      <c r="K303" s="766"/>
      <c r="L303" s="766"/>
      <c r="M303" s="766"/>
      <c r="N303" s="766"/>
      <c r="O303" s="766"/>
      <c r="P303" s="766"/>
      <c r="Q303" s="766"/>
      <c r="R303" s="673">
        <v>657</v>
      </c>
      <c r="S303" s="757">
        <f>+R303/R312</f>
        <v>0.99095022624434392</v>
      </c>
      <c r="T303" s="674">
        <v>97261</v>
      </c>
      <c r="U303" s="757">
        <f>+T303/T312</f>
        <v>0.98205739211211862</v>
      </c>
      <c r="V303" s="602"/>
      <c r="W303" s="602"/>
      <c r="X303" s="588"/>
    </row>
    <row r="304" spans="1:24" s="589" customFormat="1" x14ac:dyDescent="0.25">
      <c r="A304" s="604"/>
      <c r="B304" s="662" t="s">
        <v>89</v>
      </c>
      <c r="C304" s="605"/>
      <c r="D304" s="605"/>
      <c r="E304" s="605"/>
      <c r="F304" s="605"/>
      <c r="G304" s="605"/>
      <c r="H304" s="761"/>
      <c r="I304" s="761"/>
      <c r="J304" s="761"/>
      <c r="K304" s="761"/>
      <c r="L304" s="761"/>
      <c r="M304" s="761"/>
      <c r="N304" s="761"/>
      <c r="O304" s="761"/>
      <c r="P304" s="761"/>
      <c r="Q304" s="761"/>
      <c r="R304" s="662">
        <v>4</v>
      </c>
      <c r="S304" s="760">
        <f>+R304/R312</f>
        <v>6.0331825037707393E-3</v>
      </c>
      <c r="T304" s="663">
        <v>1479</v>
      </c>
      <c r="U304" s="760">
        <f>+T304/T312</f>
        <v>1.4933661826773562E-2</v>
      </c>
      <c r="V304" s="605"/>
      <c r="W304" s="607"/>
      <c r="X304" s="588"/>
    </row>
    <row r="305" spans="1:24" s="589" customFormat="1" x14ac:dyDescent="0.25">
      <c r="A305" s="604"/>
      <c r="B305" s="662" t="s">
        <v>90</v>
      </c>
      <c r="C305" s="605"/>
      <c r="D305" s="605"/>
      <c r="E305" s="605"/>
      <c r="F305" s="605"/>
      <c r="G305" s="605"/>
      <c r="H305" s="761"/>
      <c r="I305" s="761"/>
      <c r="J305" s="761"/>
      <c r="K305" s="761"/>
      <c r="L305" s="761"/>
      <c r="M305" s="761"/>
      <c r="N305" s="761"/>
      <c r="O305" s="761"/>
      <c r="P305" s="761"/>
      <c r="Q305" s="761"/>
      <c r="R305" s="662">
        <v>2</v>
      </c>
      <c r="S305" s="760">
        <f>+R305/R312</f>
        <v>3.0165912518853697E-3</v>
      </c>
      <c r="T305" s="663">
        <v>298</v>
      </c>
      <c r="U305" s="760">
        <f>+T305/T312</f>
        <v>3.0089460611078577E-3</v>
      </c>
      <c r="V305" s="605"/>
      <c r="W305" s="607"/>
      <c r="X305" s="588"/>
    </row>
    <row r="306" spans="1:24" s="589" customFormat="1" x14ac:dyDescent="0.25">
      <c r="A306" s="604"/>
      <c r="B306" s="662" t="s">
        <v>156</v>
      </c>
      <c r="C306" s="605"/>
      <c r="D306" s="605"/>
      <c r="E306" s="605"/>
      <c r="F306" s="605"/>
      <c r="G306" s="605"/>
      <c r="H306" s="761"/>
      <c r="I306" s="761"/>
      <c r="J306" s="761"/>
      <c r="K306" s="761"/>
      <c r="L306" s="761"/>
      <c r="M306" s="761"/>
      <c r="N306" s="761"/>
      <c r="O306" s="761"/>
      <c r="P306" s="761"/>
      <c r="Q306" s="761"/>
      <c r="R306" s="662">
        <v>0</v>
      </c>
      <c r="S306" s="760">
        <f>+R306/R312</f>
        <v>0</v>
      </c>
      <c r="T306" s="663">
        <v>0</v>
      </c>
      <c r="U306" s="760">
        <f>+T306/T312</f>
        <v>0</v>
      </c>
      <c r="V306" s="605"/>
      <c r="W306" s="607"/>
      <c r="X306" s="588"/>
    </row>
    <row r="307" spans="1:24" s="589" customFormat="1" x14ac:dyDescent="0.25">
      <c r="A307" s="604"/>
      <c r="B307" s="662" t="s">
        <v>157</v>
      </c>
      <c r="C307" s="605"/>
      <c r="D307" s="605"/>
      <c r="E307" s="605"/>
      <c r="F307" s="605"/>
      <c r="G307" s="605"/>
      <c r="H307" s="761"/>
      <c r="I307" s="761"/>
      <c r="J307" s="761"/>
      <c r="K307" s="761"/>
      <c r="L307" s="761"/>
      <c r="M307" s="761"/>
      <c r="N307" s="761"/>
      <c r="O307" s="761"/>
      <c r="P307" s="761"/>
      <c r="Q307" s="761"/>
      <c r="R307" s="662">
        <v>0</v>
      </c>
      <c r="S307" s="760">
        <f>+R307/R312</f>
        <v>0</v>
      </c>
      <c r="T307" s="663">
        <v>0</v>
      </c>
      <c r="U307" s="760">
        <f>+T307/T312</f>
        <v>0</v>
      </c>
      <c r="V307" s="605"/>
      <c r="W307" s="607"/>
      <c r="X307" s="588"/>
    </row>
    <row r="308" spans="1:24" s="589" customFormat="1" x14ac:dyDescent="0.25">
      <c r="A308" s="604"/>
      <c r="B308" s="662" t="s">
        <v>158</v>
      </c>
      <c r="C308" s="605"/>
      <c r="D308" s="605"/>
      <c r="E308" s="605"/>
      <c r="F308" s="605"/>
      <c r="G308" s="605"/>
      <c r="H308" s="761"/>
      <c r="I308" s="761"/>
      <c r="J308" s="761"/>
      <c r="K308" s="761"/>
      <c r="L308" s="761"/>
      <c r="M308" s="761"/>
      <c r="N308" s="761"/>
      <c r="O308" s="761"/>
      <c r="P308" s="761"/>
      <c r="Q308" s="761"/>
      <c r="R308" s="662">
        <v>0</v>
      </c>
      <c r="S308" s="760">
        <f>+R308/R312</f>
        <v>0</v>
      </c>
      <c r="T308" s="663">
        <v>0</v>
      </c>
      <c r="U308" s="760">
        <f>+T308/T312</f>
        <v>0</v>
      </c>
      <c r="V308" s="605"/>
      <c r="W308" s="607"/>
      <c r="X308" s="588"/>
    </row>
    <row r="309" spans="1:24" s="589" customFormat="1" x14ac:dyDescent="0.25">
      <c r="A309" s="604"/>
      <c r="B309" s="662" t="s">
        <v>159</v>
      </c>
      <c r="C309" s="605"/>
      <c r="D309" s="605"/>
      <c r="E309" s="605"/>
      <c r="F309" s="605"/>
      <c r="G309" s="605"/>
      <c r="H309" s="761"/>
      <c r="I309" s="761"/>
      <c r="J309" s="761"/>
      <c r="K309" s="761"/>
      <c r="L309" s="761"/>
      <c r="M309" s="761"/>
      <c r="N309" s="761"/>
      <c r="O309" s="761"/>
      <c r="P309" s="761"/>
      <c r="Q309" s="761"/>
      <c r="R309" s="662">
        <v>0</v>
      </c>
      <c r="S309" s="760">
        <f>+R309/R312</f>
        <v>0</v>
      </c>
      <c r="T309" s="663">
        <v>0</v>
      </c>
      <c r="U309" s="760">
        <f>+T309/T312</f>
        <v>0</v>
      </c>
      <c r="V309" s="605"/>
      <c r="W309" s="607"/>
      <c r="X309" s="588"/>
    </row>
    <row r="310" spans="1:24" s="589" customFormat="1" x14ac:dyDescent="0.25">
      <c r="A310" s="604"/>
      <c r="B310" s="662" t="s">
        <v>160</v>
      </c>
      <c r="C310" s="605"/>
      <c r="D310" s="605"/>
      <c r="E310" s="605"/>
      <c r="F310" s="605"/>
      <c r="G310" s="605"/>
      <c r="H310" s="761"/>
      <c r="I310" s="761"/>
      <c r="J310" s="761"/>
      <c r="K310" s="761"/>
      <c r="L310" s="761"/>
      <c r="M310" s="761"/>
      <c r="N310" s="761"/>
      <c r="O310" s="761"/>
      <c r="P310" s="761"/>
      <c r="Q310" s="761"/>
      <c r="R310" s="662">
        <v>0</v>
      </c>
      <c r="S310" s="760">
        <f>+R310/R312</f>
        <v>0</v>
      </c>
      <c r="T310" s="663">
        <v>0</v>
      </c>
      <c r="U310" s="760">
        <f>+T310/T312</f>
        <v>0</v>
      </c>
      <c r="V310" s="605"/>
      <c r="W310" s="607"/>
      <c r="X310" s="588"/>
    </row>
    <row r="311" spans="1:24" s="589" customFormat="1" x14ac:dyDescent="0.25">
      <c r="A311" s="604"/>
      <c r="B311" s="662"/>
      <c r="C311" s="605"/>
      <c r="D311" s="605"/>
      <c r="E311" s="605"/>
      <c r="F311" s="605"/>
      <c r="G311" s="605"/>
      <c r="H311" s="761"/>
      <c r="I311" s="761"/>
      <c r="J311" s="761"/>
      <c r="K311" s="761"/>
      <c r="L311" s="761"/>
      <c r="M311" s="761"/>
      <c r="N311" s="761"/>
      <c r="O311" s="761"/>
      <c r="P311" s="761"/>
      <c r="Q311" s="761"/>
      <c r="R311" s="662"/>
      <c r="S311" s="760"/>
      <c r="T311" s="663"/>
      <c r="U311" s="760"/>
      <c r="V311" s="605"/>
      <c r="W311" s="607"/>
      <c r="X311" s="588"/>
    </row>
    <row r="312" spans="1:24" s="589" customFormat="1" x14ac:dyDescent="0.25">
      <c r="A312" s="604"/>
      <c r="B312" s="605" t="s">
        <v>114</v>
      </c>
      <c r="C312" s="605"/>
      <c r="D312" s="605"/>
      <c r="E312" s="605"/>
      <c r="F312" s="605"/>
      <c r="G312" s="605"/>
      <c r="H312" s="761"/>
      <c r="I312" s="761"/>
      <c r="J312" s="761"/>
      <c r="K312" s="761"/>
      <c r="L312" s="761"/>
      <c r="M312" s="761"/>
      <c r="N312" s="761"/>
      <c r="O312" s="761"/>
      <c r="P312" s="761"/>
      <c r="Q312" s="761"/>
      <c r="R312" s="662">
        <f>SUM(R303:R310)</f>
        <v>663</v>
      </c>
      <c r="S312" s="760">
        <f>SUM(S303:S310)</f>
        <v>1</v>
      </c>
      <c r="T312" s="663">
        <f>SUM(T303:T310)</f>
        <v>99038</v>
      </c>
      <c r="U312" s="760">
        <f>SUM(U303:U310)</f>
        <v>1</v>
      </c>
      <c r="V312" s="605"/>
      <c r="W312" s="607"/>
      <c r="X312" s="588"/>
    </row>
    <row r="313" spans="1:24" s="589" customFormat="1" x14ac:dyDescent="0.25">
      <c r="A313" s="604"/>
      <c r="B313" s="798" t="s">
        <v>379</v>
      </c>
      <c r="C313" s="605"/>
      <c r="D313" s="605"/>
      <c r="E313" s="605"/>
      <c r="F313" s="605"/>
      <c r="G313" s="605"/>
      <c r="H313" s="761"/>
      <c r="I313" s="761"/>
      <c r="J313" s="761"/>
      <c r="K313" s="761"/>
      <c r="L313" s="761"/>
      <c r="M313" s="761"/>
      <c r="N313" s="761"/>
      <c r="O313" s="761"/>
      <c r="P313" s="761"/>
      <c r="Q313" s="761"/>
      <c r="R313" s="796">
        <f>R312/R300</f>
        <v>0.16943521594684385</v>
      </c>
      <c r="S313" s="796"/>
      <c r="T313" s="797">
        <f>T312/T300</f>
        <v>0.18750165657575379</v>
      </c>
      <c r="U313" s="760"/>
      <c r="V313" s="605"/>
      <c r="W313" s="607"/>
      <c r="X313" s="588"/>
    </row>
    <row r="314" spans="1:24" s="589" customFormat="1" x14ac:dyDescent="0.25">
      <c r="A314" s="585"/>
      <c r="B314" s="584" t="s">
        <v>91</v>
      </c>
      <c r="C314" s="586"/>
      <c r="D314" s="586"/>
      <c r="E314" s="586"/>
      <c r="F314" s="592" t="s">
        <v>97</v>
      </c>
      <c r="G314" s="586"/>
      <c r="H314" s="584" t="s">
        <v>99</v>
      </c>
      <c r="I314" s="584"/>
      <c r="J314" s="584"/>
      <c r="K314" s="586"/>
      <c r="L314" s="586"/>
      <c r="M314" s="586"/>
      <c r="N314" s="586"/>
      <c r="O314" s="586"/>
      <c r="P314" s="586"/>
      <c r="Q314" s="586"/>
      <c r="R314" s="586"/>
      <c r="S314" s="586"/>
      <c r="T314" s="586"/>
      <c r="U314" s="586"/>
      <c r="V314" s="586"/>
      <c r="W314" s="586"/>
      <c r="X314" s="588"/>
    </row>
    <row r="315" spans="1:24" s="589" customFormat="1" x14ac:dyDescent="0.25">
      <c r="A315" s="585"/>
      <c r="B315" s="586"/>
      <c r="C315" s="586"/>
      <c r="D315" s="586"/>
      <c r="E315" s="586"/>
      <c r="F315" s="586"/>
      <c r="G315" s="586"/>
      <c r="H315" s="586"/>
      <c r="I315" s="586"/>
      <c r="J315" s="586"/>
      <c r="K315" s="586"/>
      <c r="L315" s="586"/>
      <c r="M315" s="586"/>
      <c r="N315" s="586"/>
      <c r="O315" s="586"/>
      <c r="P315" s="586"/>
      <c r="Q315" s="586"/>
      <c r="R315" s="586"/>
      <c r="S315" s="586"/>
      <c r="T315" s="586"/>
      <c r="U315" s="586"/>
      <c r="V315" s="586"/>
      <c r="W315" s="586"/>
      <c r="X315" s="588"/>
    </row>
    <row r="316" spans="1:24" s="589" customFormat="1" x14ac:dyDescent="0.25">
      <c r="A316" s="585"/>
      <c r="B316" s="584" t="s">
        <v>319</v>
      </c>
      <c r="C316" s="584"/>
      <c r="D316" s="584"/>
      <c r="E316" s="584"/>
      <c r="F316" s="771" t="s">
        <v>266</v>
      </c>
      <c r="G316" s="584"/>
      <c r="H316" s="584" t="s">
        <v>267</v>
      </c>
      <c r="I316" s="584"/>
      <c r="J316" s="584"/>
      <c r="K316" s="586"/>
      <c r="L316" s="586"/>
      <c r="M316" s="586"/>
      <c r="N316" s="586"/>
      <c r="O316" s="586"/>
      <c r="P316" s="586"/>
      <c r="Q316" s="586"/>
      <c r="R316" s="586"/>
      <c r="S316" s="586"/>
      <c r="T316" s="586"/>
      <c r="U316" s="586"/>
      <c r="V316" s="586"/>
      <c r="W316" s="586"/>
      <c r="X316" s="588"/>
    </row>
    <row r="317" spans="1:24" s="589" customFormat="1" x14ac:dyDescent="0.25">
      <c r="A317" s="585"/>
      <c r="B317" s="584" t="s">
        <v>320</v>
      </c>
      <c r="C317" s="584"/>
      <c r="D317" s="584"/>
      <c r="E317" s="584"/>
      <c r="F317" s="771" t="s">
        <v>147</v>
      </c>
      <c r="G317" s="584"/>
      <c r="H317" s="584" t="s">
        <v>153</v>
      </c>
      <c r="I317" s="584"/>
      <c r="J317" s="584"/>
      <c r="K317" s="586"/>
      <c r="L317" s="586"/>
      <c r="M317" s="586"/>
      <c r="N317" s="586"/>
      <c r="O317" s="586"/>
      <c r="P317" s="586"/>
      <c r="Q317" s="586"/>
      <c r="R317" s="586"/>
      <c r="S317" s="586"/>
      <c r="T317" s="586"/>
      <c r="U317" s="586"/>
      <c r="V317" s="586"/>
      <c r="W317" s="586"/>
      <c r="X317" s="588"/>
    </row>
    <row r="318" spans="1:24" s="589" customFormat="1" x14ac:dyDescent="0.25">
      <c r="A318" s="585"/>
      <c r="B318" s="584"/>
      <c r="C318" s="584"/>
      <c r="D318" s="584"/>
      <c r="E318" s="584"/>
      <c r="F318" s="771"/>
      <c r="G318" s="584"/>
      <c r="H318" s="584"/>
      <c r="I318" s="584"/>
      <c r="J318" s="584"/>
      <c r="K318" s="586"/>
      <c r="L318" s="586"/>
      <c r="M318" s="586"/>
      <c r="N318" s="586"/>
      <c r="O318" s="586"/>
      <c r="P318" s="586"/>
      <c r="Q318" s="586"/>
      <c r="R318" s="586"/>
      <c r="S318" s="586"/>
      <c r="T318" s="586"/>
      <c r="U318" s="586"/>
      <c r="V318" s="586"/>
      <c r="W318" s="586"/>
      <c r="X318" s="588"/>
    </row>
    <row r="319" spans="1:24" s="589" customFormat="1" x14ac:dyDescent="0.25">
      <c r="A319" s="585"/>
      <c r="B319" s="776" t="s">
        <v>378</v>
      </c>
      <c r="C319" s="584"/>
      <c r="D319" s="584"/>
      <c r="E319" s="584"/>
      <c r="F319" s="771"/>
      <c r="G319" s="584"/>
      <c r="H319" s="584"/>
      <c r="I319" s="584"/>
      <c r="J319" s="584"/>
      <c r="K319" s="586"/>
      <c r="L319" s="586"/>
      <c r="M319" s="586"/>
      <c r="N319" s="586"/>
      <c r="O319" s="586"/>
      <c r="P319" s="586"/>
      <c r="Q319" s="586"/>
      <c r="R319" s="586"/>
      <c r="S319" s="586"/>
      <c r="T319" s="586"/>
      <c r="U319" s="586"/>
      <c r="V319" s="586"/>
      <c r="W319" s="586"/>
      <c r="X319" s="588"/>
    </row>
    <row r="320" spans="1:24" s="589" customFormat="1" x14ac:dyDescent="0.25">
      <c r="A320" s="585"/>
      <c r="B320" s="584"/>
      <c r="C320" s="584"/>
      <c r="D320" s="584"/>
      <c r="E320" s="584"/>
      <c r="F320" s="771"/>
      <c r="G320" s="584"/>
      <c r="H320" s="584"/>
      <c r="I320" s="584"/>
      <c r="J320" s="584"/>
      <c r="K320" s="586"/>
      <c r="L320" s="586"/>
      <c r="M320" s="586"/>
      <c r="N320" s="586"/>
      <c r="O320" s="586"/>
      <c r="P320" s="586"/>
      <c r="Q320" s="586"/>
      <c r="R320" s="586"/>
      <c r="S320" s="586"/>
      <c r="T320" s="586"/>
      <c r="U320" s="586"/>
      <c r="V320" s="586"/>
      <c r="W320" s="586"/>
      <c r="X320" s="588"/>
    </row>
    <row r="321" spans="1:24" s="589" customFormat="1" ht="18.75" x14ac:dyDescent="0.3">
      <c r="A321" s="585"/>
      <c r="B321" s="777" t="s">
        <v>360</v>
      </c>
      <c r="C321" s="584"/>
      <c r="D321" s="584"/>
      <c r="E321" s="584"/>
      <c r="F321" s="771"/>
      <c r="G321" s="584"/>
      <c r="H321" s="584"/>
      <c r="I321" s="584"/>
      <c r="J321" s="584"/>
      <c r="K321" s="586"/>
      <c r="L321" s="586"/>
      <c r="M321" s="586"/>
      <c r="N321" s="602"/>
      <c r="O321" s="602"/>
      <c r="P321" s="778" t="s">
        <v>341</v>
      </c>
      <c r="Q321" s="586"/>
      <c r="R321" s="586"/>
      <c r="S321" s="586"/>
      <c r="T321" s="586"/>
      <c r="U321" s="586"/>
      <c r="V321" s="586"/>
      <c r="W321" s="586"/>
      <c r="X321" s="588"/>
    </row>
    <row r="322" spans="1:24" s="589" customFormat="1" x14ac:dyDescent="0.25">
      <c r="A322" s="585"/>
      <c r="B322" s="584"/>
      <c r="C322" s="584"/>
      <c r="D322" s="584"/>
      <c r="E322" s="584"/>
      <c r="F322" s="584"/>
      <c r="G322" s="584"/>
      <c r="H322" s="586"/>
      <c r="I322" s="586"/>
      <c r="J322" s="586"/>
      <c r="K322" s="586"/>
      <c r="L322" s="586"/>
      <c r="M322" s="586"/>
      <c r="N322" s="586"/>
      <c r="O322" s="586"/>
      <c r="P322" s="586"/>
      <c r="Q322" s="586"/>
      <c r="R322" s="586"/>
      <c r="S322" s="586"/>
      <c r="T322" s="586"/>
      <c r="U322" s="586"/>
      <c r="V322" s="586"/>
      <c r="W322" s="586"/>
      <c r="X322" s="588"/>
    </row>
    <row r="323" spans="1:24" s="589" customFormat="1" x14ac:dyDescent="0.25">
      <c r="A323" s="585"/>
      <c r="B323" s="584"/>
      <c r="C323" s="584"/>
      <c r="D323" s="584"/>
      <c r="E323" s="584"/>
      <c r="F323" s="584"/>
      <c r="G323" s="584"/>
      <c r="H323" s="586"/>
      <c r="I323" s="586"/>
      <c r="J323" s="586"/>
      <c r="K323" s="586"/>
      <c r="L323" s="586"/>
      <c r="M323" s="586"/>
      <c r="N323" s="586"/>
      <c r="O323" s="586"/>
      <c r="P323" s="586"/>
      <c r="Q323" s="586"/>
      <c r="R323" s="586"/>
      <c r="S323" s="586"/>
      <c r="T323" s="586"/>
      <c r="U323" s="586"/>
      <c r="V323" s="586"/>
      <c r="W323" s="586"/>
      <c r="X323" s="588"/>
    </row>
    <row r="324" spans="1:24" s="589" customFormat="1" ht="19.5" thickBot="1" x14ac:dyDescent="0.35">
      <c r="A324" s="585"/>
      <c r="B324" s="772" t="str">
        <f>B204</f>
        <v>PM15 INVESTOR REPORT QUARTER ENDING MAY 2020</v>
      </c>
      <c r="C324" s="584"/>
      <c r="D324" s="584"/>
      <c r="E324" s="584"/>
      <c r="F324" s="584"/>
      <c r="G324" s="584"/>
      <c r="H324" s="586"/>
      <c r="I324" s="586"/>
      <c r="J324" s="586"/>
      <c r="K324" s="586"/>
      <c r="L324" s="586"/>
      <c r="M324" s="586"/>
      <c r="N324" s="586"/>
      <c r="O324" s="586"/>
      <c r="P324" s="586"/>
      <c r="Q324" s="586"/>
      <c r="R324" s="586"/>
      <c r="S324" s="586"/>
      <c r="T324" s="586"/>
      <c r="U324" s="586"/>
      <c r="V324" s="586"/>
      <c r="W324" s="586"/>
      <c r="X324" s="588"/>
    </row>
    <row r="325" spans="1:24" x14ac:dyDescent="0.25">
      <c r="A325" s="773"/>
      <c r="B325" s="773"/>
      <c r="C325" s="773"/>
      <c r="D325" s="773"/>
      <c r="E325" s="773"/>
      <c r="F325" s="773"/>
      <c r="G325" s="773"/>
      <c r="H325" s="773"/>
      <c r="I325" s="773"/>
      <c r="J325" s="773"/>
      <c r="K325" s="773"/>
      <c r="L325" s="773"/>
      <c r="M325" s="773"/>
      <c r="N325" s="773"/>
      <c r="O325" s="773"/>
      <c r="P325" s="773"/>
      <c r="Q325" s="773"/>
      <c r="R325" s="773"/>
      <c r="S325" s="773"/>
      <c r="T325" s="773"/>
      <c r="U325" s="773"/>
      <c r="V325" s="773"/>
      <c r="W325" s="773"/>
    </row>
    <row r="326" spans="1:24" x14ac:dyDescent="0.25">
      <c r="B326" s="779" t="s">
        <v>361</v>
      </c>
    </row>
    <row r="327" spans="1:24" x14ac:dyDescent="0.25">
      <c r="B327" s="780" t="s">
        <v>362</v>
      </c>
    </row>
    <row r="328" spans="1:24" x14ac:dyDescent="0.25">
      <c r="B328" s="780" t="s">
        <v>363</v>
      </c>
    </row>
    <row r="329" spans="1:24" x14ac:dyDescent="0.25">
      <c r="B329" s="780" t="s">
        <v>364</v>
      </c>
    </row>
    <row r="330" spans="1:24" x14ac:dyDescent="0.25">
      <c r="B330" s="780" t="s">
        <v>365</v>
      </c>
    </row>
    <row r="331" spans="1:24" x14ac:dyDescent="0.25">
      <c r="B331" s="780" t="s">
        <v>366</v>
      </c>
    </row>
    <row r="332" spans="1:24" x14ac:dyDescent="0.25">
      <c r="B332" s="780" t="s">
        <v>367</v>
      </c>
    </row>
    <row r="333" spans="1:24" x14ac:dyDescent="0.25">
      <c r="B333" s="780" t="s">
        <v>368</v>
      </c>
    </row>
    <row r="334" spans="1:24" x14ac:dyDescent="0.25">
      <c r="B334" s="780"/>
    </row>
    <row r="335" spans="1:24" x14ac:dyDescent="0.25">
      <c r="B335" s="779" t="s">
        <v>369</v>
      </c>
    </row>
    <row r="336" spans="1:24" x14ac:dyDescent="0.25">
      <c r="B336" s="780" t="s">
        <v>370</v>
      </c>
    </row>
    <row r="337" spans="2:2" x14ac:dyDescent="0.25">
      <c r="B337" s="780" t="s">
        <v>371</v>
      </c>
    </row>
  </sheetData>
  <hyperlinks>
    <hyperlink ref="I9" r:id="rId1" xr:uid="{118A190E-9E21-4E70-B545-9999D7E1D306}"/>
    <hyperlink ref="P240" r:id="rId2" xr:uid="{AC5255BB-4E86-4726-9ED5-5A2FDFC9E21F}"/>
    <hyperlink ref="P321" r:id="rId3" xr:uid="{D2900381-8B35-481D-AAF6-CEE47224F199}"/>
  </hyperlinks>
  <printOptions horizontalCentered="1" verticalCentered="1"/>
  <pageMargins left="0.19685039370078741" right="0.19685039370078741" top="0.27559055118110237" bottom="0.27559055118110237" header="0" footer="0"/>
  <pageSetup scale="37" orientation="landscape" r:id="rId4"/>
  <headerFooter alignWithMargins="0"/>
  <rowBreaks count="3" manualBreakCount="3">
    <brk id="64" max="23" man="1"/>
    <brk id="138" max="14" man="1"/>
    <brk id="204" max="14" man="1"/>
  </rowBreaks>
  <drawing r:id="rId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7313-6489-4F5C-A5FB-A84BA81AEF8F}">
  <sheetPr>
    <tabColor theme="1"/>
  </sheetPr>
  <dimension ref="A1:IV345"/>
  <sheetViews>
    <sheetView showGridLines="0" showOutlineSymbols="0" zoomScale="70" zoomScaleNormal="70" workbookViewId="0"/>
  </sheetViews>
  <sheetFormatPr defaultColWidth="9.6640625" defaultRowHeight="15.75" x14ac:dyDescent="0.25"/>
  <cols>
    <col min="1" max="1" width="4" style="573" customWidth="1"/>
    <col min="2" max="2" width="71.21875" style="573" customWidth="1"/>
    <col min="3" max="3" width="2.21875" style="573" customWidth="1"/>
    <col min="4" max="4" width="19.33203125" style="573" customWidth="1"/>
    <col min="5" max="5" width="2.21875" style="573" customWidth="1"/>
    <col min="6" max="6" width="25.109375" style="573" customWidth="1"/>
    <col min="7" max="7" width="2.21875" style="573" customWidth="1"/>
    <col min="8" max="8" width="16.21875" style="573" customWidth="1"/>
    <col min="9" max="9" width="2.88671875" style="573" customWidth="1"/>
    <col min="10" max="10" width="16.21875" style="573" customWidth="1"/>
    <col min="11" max="11" width="2.21875" style="573" customWidth="1"/>
    <col min="12" max="12" width="17.88671875" style="573" customWidth="1"/>
    <col min="13" max="13" width="2.33203125" style="573" customWidth="1"/>
    <col min="14" max="14" width="14.88671875" style="573" customWidth="1"/>
    <col min="15" max="15" width="2.33203125" style="573" customWidth="1"/>
    <col min="16" max="16" width="15.5546875" style="573" customWidth="1"/>
    <col min="17" max="17" width="2.21875" style="573" customWidth="1"/>
    <col min="18" max="18" width="15.5546875" style="573" customWidth="1"/>
    <col min="19" max="20" width="12.6640625" style="573" customWidth="1"/>
    <col min="21" max="21" width="7.77734375" style="573" customWidth="1"/>
    <col min="22" max="22" width="14.6640625" style="573" customWidth="1"/>
    <col min="23" max="23" width="11.77734375" style="573" customWidth="1"/>
    <col min="24" max="16384" width="9.6640625" style="573"/>
  </cols>
  <sheetData>
    <row r="1" spans="1:24" ht="21" x14ac:dyDescent="0.35">
      <c r="A1" s="569"/>
      <c r="B1" s="570" t="s">
        <v>237</v>
      </c>
      <c r="C1" s="571"/>
      <c r="D1" s="571"/>
      <c r="E1" s="571"/>
      <c r="F1" s="571"/>
      <c r="G1" s="571"/>
      <c r="H1" s="571"/>
      <c r="I1" s="571"/>
      <c r="J1" s="571"/>
      <c r="K1" s="571"/>
      <c r="L1" s="571"/>
      <c r="M1" s="571"/>
      <c r="N1" s="571"/>
      <c r="O1" s="571"/>
      <c r="P1" s="571"/>
      <c r="Q1" s="571"/>
      <c r="R1" s="571"/>
      <c r="S1" s="571"/>
      <c r="T1" s="571"/>
      <c r="U1" s="571"/>
      <c r="V1" s="571"/>
      <c r="W1" s="571"/>
      <c r="X1" s="572"/>
    </row>
    <row r="2" spans="1:24" x14ac:dyDescent="0.25">
      <c r="A2" s="574"/>
      <c r="B2" s="575"/>
      <c r="C2" s="576"/>
      <c r="D2" s="576"/>
      <c r="E2" s="576"/>
      <c r="F2" s="576"/>
      <c r="G2" s="576"/>
      <c r="H2" s="576"/>
      <c r="I2" s="576"/>
      <c r="J2" s="576"/>
      <c r="K2" s="576"/>
      <c r="L2" s="576"/>
      <c r="M2" s="576"/>
      <c r="N2" s="576"/>
      <c r="O2" s="576"/>
      <c r="P2" s="576"/>
      <c r="Q2" s="576"/>
      <c r="R2" s="576"/>
      <c r="S2" s="576"/>
      <c r="T2" s="576"/>
      <c r="U2" s="576"/>
      <c r="V2" s="576"/>
      <c r="W2" s="576"/>
      <c r="X2" s="572"/>
    </row>
    <row r="3" spans="1:24" x14ac:dyDescent="0.25">
      <c r="A3" s="577"/>
      <c r="B3" s="578" t="s">
        <v>238</v>
      </c>
      <c r="C3" s="576"/>
      <c r="D3" s="576"/>
      <c r="E3" s="576"/>
      <c r="F3" s="576"/>
      <c r="G3" s="576"/>
      <c r="H3" s="576"/>
      <c r="I3" s="576"/>
      <c r="J3" s="576"/>
      <c r="K3" s="576"/>
      <c r="L3" s="576"/>
      <c r="M3" s="576"/>
      <c r="N3" s="576"/>
      <c r="O3" s="576"/>
      <c r="P3" s="576"/>
      <c r="Q3" s="576"/>
      <c r="R3" s="576"/>
      <c r="S3" s="576"/>
      <c r="T3" s="576"/>
      <c r="U3" s="576"/>
      <c r="V3" s="576"/>
      <c r="W3" s="576"/>
      <c r="X3" s="572"/>
    </row>
    <row r="4" spans="1:24" x14ac:dyDescent="0.25">
      <c r="A4" s="574"/>
      <c r="B4" s="575"/>
      <c r="C4" s="576"/>
      <c r="D4" s="576"/>
      <c r="E4" s="576"/>
      <c r="F4" s="576"/>
      <c r="G4" s="576"/>
      <c r="H4" s="576"/>
      <c r="I4" s="576"/>
      <c r="J4" s="576"/>
      <c r="K4" s="576"/>
      <c r="L4" s="576"/>
      <c r="M4" s="576"/>
      <c r="N4" s="576"/>
      <c r="O4" s="576"/>
      <c r="P4" s="576"/>
      <c r="Q4" s="576"/>
      <c r="R4" s="576"/>
      <c r="S4" s="576"/>
      <c r="T4" s="576"/>
      <c r="U4" s="576"/>
      <c r="V4" s="576"/>
      <c r="W4" s="576"/>
      <c r="X4" s="572"/>
    </row>
    <row r="5" spans="1:24" x14ac:dyDescent="0.25">
      <c r="A5" s="574"/>
      <c r="B5" s="579" t="s">
        <v>137</v>
      </c>
      <c r="C5" s="576"/>
      <c r="D5" s="576"/>
      <c r="E5" s="576"/>
      <c r="F5" s="576"/>
      <c r="G5" s="576"/>
      <c r="H5" s="576"/>
      <c r="I5" s="576"/>
      <c r="J5" s="576"/>
      <c r="K5" s="576"/>
      <c r="L5" s="576"/>
      <c r="M5" s="576"/>
      <c r="N5" s="576"/>
      <c r="O5" s="576"/>
      <c r="P5" s="576"/>
      <c r="Q5" s="576"/>
      <c r="R5" s="576"/>
      <c r="S5" s="576"/>
      <c r="T5" s="576"/>
      <c r="U5" s="576"/>
      <c r="V5" s="576"/>
      <c r="W5" s="576"/>
      <c r="X5" s="572"/>
    </row>
    <row r="6" spans="1:24" x14ac:dyDescent="0.25">
      <c r="A6" s="574"/>
      <c r="B6" s="579" t="s">
        <v>139</v>
      </c>
      <c r="C6" s="576"/>
      <c r="D6" s="576"/>
      <c r="E6" s="576"/>
      <c r="F6" s="576"/>
      <c r="G6" s="576"/>
      <c r="H6" s="576"/>
      <c r="I6" s="576"/>
      <c r="J6" s="576"/>
      <c r="K6" s="576"/>
      <c r="L6" s="576"/>
      <c r="M6" s="576"/>
      <c r="N6" s="576"/>
      <c r="O6" s="576"/>
      <c r="P6" s="576"/>
      <c r="Q6" s="576"/>
      <c r="R6" s="576"/>
      <c r="S6" s="576"/>
      <c r="T6" s="576"/>
      <c r="U6" s="576"/>
      <c r="V6" s="576"/>
      <c r="W6" s="576"/>
      <c r="X6" s="572"/>
    </row>
    <row r="7" spans="1:24" x14ac:dyDescent="0.25">
      <c r="A7" s="574"/>
      <c r="B7" s="579" t="s">
        <v>138</v>
      </c>
      <c r="C7" s="576"/>
      <c r="D7" s="576"/>
      <c r="E7" s="576"/>
      <c r="F7" s="576"/>
      <c r="G7" s="576"/>
      <c r="H7" s="576"/>
      <c r="I7" s="576"/>
      <c r="J7" s="576"/>
      <c r="K7" s="576"/>
      <c r="L7" s="576"/>
      <c r="M7" s="576"/>
      <c r="N7" s="576"/>
      <c r="O7" s="576"/>
      <c r="P7" s="576"/>
      <c r="Q7" s="576"/>
      <c r="R7" s="576"/>
      <c r="S7" s="576"/>
      <c r="T7" s="576"/>
      <c r="U7" s="576"/>
      <c r="V7" s="576"/>
      <c r="W7" s="576"/>
      <c r="X7" s="572"/>
    </row>
    <row r="8" spans="1:24" x14ac:dyDescent="0.25">
      <c r="A8" s="574"/>
      <c r="B8" s="580"/>
      <c r="C8" s="576"/>
      <c r="D8" s="576"/>
      <c r="E8" s="576"/>
      <c r="F8" s="576"/>
      <c r="G8" s="576"/>
      <c r="H8" s="576"/>
      <c r="I8" s="576"/>
      <c r="J8" s="576"/>
      <c r="K8" s="576"/>
      <c r="L8" s="576"/>
      <c r="M8" s="576"/>
      <c r="N8" s="576"/>
      <c r="O8" s="576"/>
      <c r="P8" s="576"/>
      <c r="Q8" s="576"/>
      <c r="R8" s="576"/>
      <c r="S8" s="576"/>
      <c r="T8" s="576"/>
      <c r="U8" s="576"/>
      <c r="V8" s="576"/>
      <c r="W8" s="576"/>
      <c r="X8" s="572"/>
    </row>
    <row r="9" spans="1:24" ht="18.75" x14ac:dyDescent="0.3">
      <c r="A9" s="574"/>
      <c r="B9" s="581" t="s">
        <v>166</v>
      </c>
      <c r="C9" s="576"/>
      <c r="D9" s="576"/>
      <c r="E9" s="576"/>
      <c r="F9" s="576"/>
      <c r="G9" s="576"/>
      <c r="H9" s="576"/>
      <c r="I9" s="513" t="s">
        <v>341</v>
      </c>
      <c r="J9" s="576"/>
      <c r="K9" s="576"/>
      <c r="L9" s="582"/>
      <c r="M9" s="576"/>
      <c r="N9" s="582"/>
      <c r="O9" s="576"/>
      <c r="P9" s="576"/>
      <c r="Q9" s="576"/>
      <c r="R9" s="576"/>
      <c r="S9" s="576"/>
      <c r="T9" s="576"/>
      <c r="U9" s="576"/>
      <c r="V9" s="576"/>
      <c r="W9" s="576"/>
      <c r="X9" s="572"/>
    </row>
    <row r="10" spans="1:24" x14ac:dyDescent="0.25">
      <c r="A10" s="574"/>
      <c r="B10" s="580"/>
      <c r="C10" s="583"/>
      <c r="D10" s="583"/>
      <c r="E10" s="583"/>
      <c r="F10" s="576"/>
      <c r="G10" s="576"/>
      <c r="H10" s="576"/>
      <c r="I10" s="576"/>
      <c r="J10" s="576"/>
      <c r="K10" s="576"/>
      <c r="L10" s="576"/>
      <c r="M10" s="576"/>
      <c r="N10" s="576"/>
      <c r="O10" s="576"/>
      <c r="P10" s="576"/>
      <c r="Q10" s="576"/>
      <c r="R10" s="576"/>
      <c r="S10" s="576"/>
      <c r="T10" s="576"/>
      <c r="U10" s="576"/>
      <c r="V10" s="576"/>
      <c r="W10" s="576"/>
      <c r="X10" s="572"/>
    </row>
    <row r="11" spans="1:24" x14ac:dyDescent="0.25">
      <c r="A11" s="574"/>
      <c r="B11" s="584" t="s">
        <v>0</v>
      </c>
      <c r="C11" s="576"/>
      <c r="D11" s="576"/>
      <c r="E11" s="576"/>
      <c r="F11" s="576"/>
      <c r="G11" s="576"/>
      <c r="H11" s="576"/>
      <c r="I11" s="576"/>
      <c r="J11" s="576"/>
      <c r="K11" s="576"/>
      <c r="L11" s="576"/>
      <c r="M11" s="576"/>
      <c r="N11" s="576"/>
      <c r="O11" s="576"/>
      <c r="P11" s="576"/>
      <c r="Q11" s="576"/>
      <c r="R11" s="576"/>
      <c r="S11" s="576"/>
      <c r="T11" s="576"/>
      <c r="U11" s="576"/>
      <c r="V11" s="576"/>
      <c r="W11" s="576"/>
      <c r="X11" s="572"/>
    </row>
    <row r="12" spans="1:24" ht="16.5" thickBot="1" x14ac:dyDescent="0.3">
      <c r="A12" s="574"/>
      <c r="B12" s="583"/>
      <c r="C12" s="576"/>
      <c r="D12" s="576"/>
      <c r="E12" s="576"/>
      <c r="F12" s="576"/>
      <c r="G12" s="576"/>
      <c r="H12" s="576"/>
      <c r="I12" s="576"/>
      <c r="J12" s="576"/>
      <c r="K12" s="576"/>
      <c r="L12" s="576"/>
      <c r="M12" s="576"/>
      <c r="N12" s="576"/>
      <c r="O12" s="576"/>
      <c r="P12" s="576"/>
      <c r="Q12" s="576"/>
      <c r="R12" s="576"/>
      <c r="S12" s="576"/>
      <c r="T12" s="576"/>
      <c r="U12" s="576"/>
      <c r="V12" s="576"/>
      <c r="W12" s="576"/>
      <c r="X12" s="572"/>
    </row>
    <row r="13" spans="1:24" x14ac:dyDescent="0.25">
      <c r="A13" s="569"/>
      <c r="B13" s="571"/>
      <c r="C13" s="571"/>
      <c r="D13" s="571"/>
      <c r="E13" s="571"/>
      <c r="F13" s="571"/>
      <c r="G13" s="571"/>
      <c r="H13" s="571"/>
      <c r="I13" s="571"/>
      <c r="J13" s="571"/>
      <c r="K13" s="571"/>
      <c r="L13" s="571"/>
      <c r="M13" s="571"/>
      <c r="N13" s="571"/>
      <c r="O13" s="571"/>
      <c r="P13" s="571"/>
      <c r="Q13" s="571"/>
      <c r="R13" s="571"/>
      <c r="S13" s="571"/>
      <c r="T13" s="571"/>
      <c r="U13" s="571"/>
      <c r="V13" s="571"/>
      <c r="W13" s="571"/>
      <c r="X13" s="572"/>
    </row>
    <row r="14" spans="1:24" s="589" customFormat="1" x14ac:dyDescent="0.25">
      <c r="A14" s="585"/>
      <c r="B14" s="584" t="s">
        <v>1</v>
      </c>
      <c r="C14" s="586"/>
      <c r="D14" s="586"/>
      <c r="E14" s="586"/>
      <c r="F14" s="586"/>
      <c r="G14" s="586"/>
      <c r="H14" s="586"/>
      <c r="I14" s="586"/>
      <c r="J14" s="586"/>
      <c r="K14" s="586"/>
      <c r="L14" s="586"/>
      <c r="M14" s="586"/>
      <c r="N14" s="586"/>
      <c r="O14" s="586"/>
      <c r="P14" s="586"/>
      <c r="Q14" s="586"/>
      <c r="R14" s="586"/>
      <c r="S14" s="586"/>
      <c r="T14" s="586"/>
      <c r="U14" s="586"/>
      <c r="V14" s="587" t="s">
        <v>239</v>
      </c>
      <c r="W14" s="586"/>
      <c r="X14" s="588"/>
    </row>
    <row r="15" spans="1:24" s="589" customFormat="1" x14ac:dyDescent="0.25">
      <c r="A15" s="585"/>
      <c r="B15" s="584" t="s">
        <v>2</v>
      </c>
      <c r="C15" s="586"/>
      <c r="D15" s="586"/>
      <c r="E15" s="586"/>
      <c r="F15" s="586"/>
      <c r="G15" s="586"/>
      <c r="H15" s="590"/>
      <c r="I15" s="590"/>
      <c r="J15" s="590"/>
      <c r="K15" s="590"/>
      <c r="L15" s="590"/>
      <c r="M15" s="590"/>
      <c r="N15" s="590"/>
      <c r="O15" s="590"/>
      <c r="P15" s="590"/>
      <c r="Q15" s="590"/>
      <c r="R15" s="590" t="s">
        <v>104</v>
      </c>
      <c r="S15" s="591">
        <v>0.47189999999999999</v>
      </c>
      <c r="T15" s="592" t="s">
        <v>140</v>
      </c>
      <c r="U15" s="591">
        <v>0.52810000000000001</v>
      </c>
      <c r="V15" s="587"/>
      <c r="W15" s="586"/>
      <c r="X15" s="588"/>
    </row>
    <row r="16" spans="1:24" s="589" customFormat="1" x14ac:dyDescent="0.25">
      <c r="A16" s="585"/>
      <c r="B16" s="584" t="s">
        <v>3</v>
      </c>
      <c r="C16" s="586"/>
      <c r="D16" s="586"/>
      <c r="E16" s="586"/>
      <c r="F16" s="586"/>
      <c r="G16" s="586"/>
      <c r="H16" s="590"/>
      <c r="I16" s="590"/>
      <c r="J16" s="590"/>
      <c r="K16" s="590"/>
      <c r="L16" s="590"/>
      <c r="M16" s="590"/>
      <c r="N16" s="590"/>
      <c r="O16" s="590"/>
      <c r="P16" s="590"/>
      <c r="Q16" s="590"/>
      <c r="R16" s="590" t="s">
        <v>104</v>
      </c>
      <c r="S16" s="591">
        <v>0.59150000000000003</v>
      </c>
      <c r="T16" s="592" t="s">
        <v>140</v>
      </c>
      <c r="U16" s="591">
        <v>0.40849999999999997</v>
      </c>
      <c r="V16" s="587"/>
      <c r="W16" s="586"/>
      <c r="X16" s="588"/>
    </row>
    <row r="17" spans="1:24" s="589" customFormat="1" x14ac:dyDescent="0.25">
      <c r="A17" s="585"/>
      <c r="B17" s="584" t="s">
        <v>4</v>
      </c>
      <c r="C17" s="586"/>
      <c r="D17" s="586"/>
      <c r="E17" s="586"/>
      <c r="F17" s="586"/>
      <c r="G17" s="586"/>
      <c r="H17" s="586"/>
      <c r="I17" s="586"/>
      <c r="J17" s="586"/>
      <c r="K17" s="586"/>
      <c r="L17" s="586"/>
      <c r="M17" s="586"/>
      <c r="N17" s="586"/>
      <c r="O17" s="586"/>
      <c r="P17" s="586"/>
      <c r="Q17" s="586"/>
      <c r="R17" s="586"/>
      <c r="S17" s="586"/>
      <c r="T17" s="586"/>
      <c r="U17" s="586"/>
      <c r="V17" s="593">
        <v>39282</v>
      </c>
      <c r="W17" s="586"/>
      <c r="X17" s="588"/>
    </row>
    <row r="18" spans="1:24" s="589" customFormat="1" x14ac:dyDescent="0.25">
      <c r="A18" s="585"/>
      <c r="B18" s="584" t="s">
        <v>5</v>
      </c>
      <c r="C18" s="586"/>
      <c r="D18" s="586"/>
      <c r="E18" s="586"/>
      <c r="F18" s="586"/>
      <c r="G18" s="586"/>
      <c r="H18" s="586"/>
      <c r="I18" s="586"/>
      <c r="J18" s="586"/>
      <c r="K18" s="586"/>
      <c r="L18" s="586"/>
      <c r="M18" s="586"/>
      <c r="N18" s="586"/>
      <c r="O18" s="586"/>
      <c r="P18" s="586"/>
      <c r="Q18" s="586"/>
      <c r="R18" s="586"/>
      <c r="S18" s="586"/>
      <c r="T18" s="586"/>
      <c r="U18" s="586"/>
      <c r="V18" s="593">
        <v>44095</v>
      </c>
      <c r="W18" s="586"/>
      <c r="X18" s="588"/>
    </row>
    <row r="19" spans="1:24" s="589" customFormat="1" x14ac:dyDescent="0.25">
      <c r="A19" s="585"/>
      <c r="B19" s="586"/>
      <c r="C19" s="586"/>
      <c r="D19" s="586"/>
      <c r="E19" s="586"/>
      <c r="F19" s="586"/>
      <c r="G19" s="586"/>
      <c r="H19" s="586"/>
      <c r="I19" s="586"/>
      <c r="J19" s="586"/>
      <c r="K19" s="586"/>
      <c r="L19" s="586"/>
      <c r="M19" s="586"/>
      <c r="N19" s="586"/>
      <c r="O19" s="586"/>
      <c r="P19" s="586"/>
      <c r="Q19" s="586"/>
      <c r="R19" s="586"/>
      <c r="S19" s="586"/>
      <c r="T19" s="586"/>
      <c r="U19" s="586"/>
      <c r="V19" s="594"/>
      <c r="W19" s="586"/>
      <c r="X19" s="588"/>
    </row>
    <row r="20" spans="1:24" s="589" customFormat="1" x14ac:dyDescent="0.25">
      <c r="A20" s="585"/>
      <c r="B20" s="595" t="s">
        <v>6</v>
      </c>
      <c r="C20" s="586"/>
      <c r="D20" s="586"/>
      <c r="E20" s="586"/>
      <c r="F20" s="586"/>
      <c r="G20" s="586"/>
      <c r="H20" s="586"/>
      <c r="I20" s="586"/>
      <c r="J20" s="586"/>
      <c r="K20" s="586"/>
      <c r="L20" s="586"/>
      <c r="M20" s="586"/>
      <c r="N20" s="586"/>
      <c r="O20" s="586"/>
      <c r="P20" s="586"/>
      <c r="Q20" s="586"/>
      <c r="R20" s="586"/>
      <c r="S20" s="586"/>
      <c r="T20" s="594" t="s">
        <v>105</v>
      </c>
      <c r="U20" s="586"/>
      <c r="V20" s="586"/>
      <c r="W20" s="586"/>
      <c r="X20" s="588"/>
    </row>
    <row r="21" spans="1:24" x14ac:dyDescent="0.25">
      <c r="A21" s="574"/>
      <c r="B21" s="576"/>
      <c r="C21" s="576"/>
      <c r="D21" s="576"/>
      <c r="E21" s="576"/>
      <c r="F21" s="576"/>
      <c r="G21" s="576"/>
      <c r="H21" s="576"/>
      <c r="I21" s="576"/>
      <c r="J21" s="576"/>
      <c r="K21" s="576"/>
      <c r="L21" s="576"/>
      <c r="M21" s="576"/>
      <c r="N21" s="576"/>
      <c r="O21" s="576"/>
      <c r="P21" s="576"/>
      <c r="Q21" s="576"/>
      <c r="R21" s="576"/>
      <c r="S21" s="576"/>
      <c r="T21" s="576"/>
      <c r="U21" s="576"/>
      <c r="V21" s="596"/>
      <c r="W21" s="576"/>
      <c r="X21" s="572"/>
    </row>
    <row r="22" spans="1:24" x14ac:dyDescent="0.25">
      <c r="A22" s="597"/>
      <c r="B22" s="598"/>
      <c r="C22" s="599"/>
      <c r="D22" s="599" t="s">
        <v>177</v>
      </c>
      <c r="E22" s="599"/>
      <c r="F22" s="599" t="s">
        <v>178</v>
      </c>
      <c r="G22" s="599"/>
      <c r="H22" s="599" t="s">
        <v>179</v>
      </c>
      <c r="I22" s="599"/>
      <c r="J22" s="599" t="s">
        <v>219</v>
      </c>
      <c r="K22" s="599"/>
      <c r="L22" s="599" t="s">
        <v>180</v>
      </c>
      <c r="M22" s="599"/>
      <c r="N22" s="599" t="s">
        <v>181</v>
      </c>
      <c r="O22" s="599"/>
      <c r="P22" s="599" t="s">
        <v>182</v>
      </c>
      <c r="Q22" s="599"/>
      <c r="R22" s="599"/>
      <c r="S22" s="600"/>
      <c r="T22" s="600"/>
      <c r="U22" s="598"/>
      <c r="V22" s="598"/>
      <c r="W22" s="601"/>
      <c r="X22" s="572"/>
    </row>
    <row r="23" spans="1:24" s="589" customFormat="1" x14ac:dyDescent="0.25">
      <c r="A23" s="585"/>
      <c r="B23" s="602" t="s">
        <v>7</v>
      </c>
      <c r="C23" s="603"/>
      <c r="D23" s="603" t="s">
        <v>212</v>
      </c>
      <c r="E23" s="603"/>
      <c r="F23" s="603" t="s">
        <v>141</v>
      </c>
      <c r="G23" s="603"/>
      <c r="H23" s="603" t="s">
        <v>141</v>
      </c>
      <c r="I23" s="603"/>
      <c r="J23" s="603" t="s">
        <v>141</v>
      </c>
      <c r="K23" s="603"/>
      <c r="L23" s="603" t="s">
        <v>183</v>
      </c>
      <c r="M23" s="603"/>
      <c r="N23" s="603" t="s">
        <v>183</v>
      </c>
      <c r="O23" s="603"/>
      <c r="P23" s="603" t="s">
        <v>142</v>
      </c>
      <c r="Q23" s="603"/>
      <c r="R23" s="603"/>
      <c r="S23" s="603"/>
      <c r="T23" s="603"/>
      <c r="U23" s="602"/>
      <c r="V23" s="602"/>
      <c r="W23" s="602"/>
      <c r="X23" s="588"/>
    </row>
    <row r="24" spans="1:24" s="589" customFormat="1" x14ac:dyDescent="0.25">
      <c r="A24" s="604"/>
      <c r="B24" s="605" t="s">
        <v>8</v>
      </c>
      <c r="C24" s="606"/>
      <c r="D24" s="606" t="s">
        <v>213</v>
      </c>
      <c r="E24" s="606"/>
      <c r="F24" s="606" t="s">
        <v>143</v>
      </c>
      <c r="G24" s="606"/>
      <c r="H24" s="606" t="s">
        <v>143</v>
      </c>
      <c r="I24" s="606"/>
      <c r="J24" s="606" t="s">
        <v>143</v>
      </c>
      <c r="K24" s="606"/>
      <c r="L24" s="606" t="s">
        <v>165</v>
      </c>
      <c r="M24" s="606"/>
      <c r="N24" s="606" t="s">
        <v>165</v>
      </c>
      <c r="O24" s="606"/>
      <c r="P24" s="606" t="s">
        <v>144</v>
      </c>
      <c r="Q24" s="606"/>
      <c r="R24" s="606"/>
      <c r="S24" s="606"/>
      <c r="T24" s="606"/>
      <c r="U24" s="605"/>
      <c r="V24" s="605"/>
      <c r="W24" s="607"/>
      <c r="X24" s="588"/>
    </row>
    <row r="25" spans="1:24" s="589" customFormat="1" x14ac:dyDescent="0.25">
      <c r="A25" s="608"/>
      <c r="B25" s="605" t="s">
        <v>190</v>
      </c>
      <c r="C25" s="609"/>
      <c r="D25" s="606" t="s">
        <v>214</v>
      </c>
      <c r="E25" s="606"/>
      <c r="F25" s="606" t="s">
        <v>143</v>
      </c>
      <c r="G25" s="606"/>
      <c r="H25" s="606" t="s">
        <v>143</v>
      </c>
      <c r="I25" s="606"/>
      <c r="J25" s="606" t="s">
        <v>143</v>
      </c>
      <c r="K25" s="606"/>
      <c r="L25" s="606" t="s">
        <v>165</v>
      </c>
      <c r="M25" s="606"/>
      <c r="N25" s="606" t="s">
        <v>165</v>
      </c>
      <c r="O25" s="606"/>
      <c r="P25" s="606" t="s">
        <v>144</v>
      </c>
      <c r="Q25" s="606"/>
      <c r="R25" s="606"/>
      <c r="S25" s="609"/>
      <c r="T25" s="606"/>
      <c r="U25" s="605"/>
      <c r="V25" s="605"/>
      <c r="W25" s="607"/>
      <c r="X25" s="588"/>
    </row>
    <row r="26" spans="1:24" s="589" customFormat="1" x14ac:dyDescent="0.25">
      <c r="A26" s="608"/>
      <c r="B26" s="610" t="s">
        <v>9</v>
      </c>
      <c r="C26" s="609"/>
      <c r="D26" s="609" t="s">
        <v>141</v>
      </c>
      <c r="E26" s="609"/>
      <c r="F26" s="609" t="s">
        <v>141</v>
      </c>
      <c r="G26" s="609"/>
      <c r="H26" s="609" t="s">
        <v>141</v>
      </c>
      <c r="I26" s="609"/>
      <c r="J26" s="609" t="s">
        <v>141</v>
      </c>
      <c r="K26" s="609"/>
      <c r="L26" s="609" t="s">
        <v>356</v>
      </c>
      <c r="M26" s="609"/>
      <c r="N26" s="609" t="s">
        <v>356</v>
      </c>
      <c r="O26" s="609"/>
      <c r="P26" s="609" t="s">
        <v>142</v>
      </c>
      <c r="Q26" s="609"/>
      <c r="R26" s="609"/>
      <c r="S26" s="609"/>
      <c r="T26" s="606"/>
      <c r="U26" s="605"/>
      <c r="V26" s="605"/>
      <c r="W26" s="607"/>
      <c r="X26" s="588"/>
    </row>
    <row r="27" spans="1:24" s="589" customFormat="1" x14ac:dyDescent="0.25">
      <c r="A27" s="604"/>
      <c r="B27" s="610" t="s">
        <v>191</v>
      </c>
      <c r="C27" s="606"/>
      <c r="D27" s="609" t="s">
        <v>143</v>
      </c>
      <c r="E27" s="609"/>
      <c r="F27" s="609" t="s">
        <v>143</v>
      </c>
      <c r="G27" s="609"/>
      <c r="H27" s="609" t="s">
        <v>143</v>
      </c>
      <c r="I27" s="609"/>
      <c r="J27" s="609" t="s">
        <v>143</v>
      </c>
      <c r="K27" s="609"/>
      <c r="L27" s="609" t="s">
        <v>329</v>
      </c>
      <c r="M27" s="609"/>
      <c r="N27" s="609" t="s">
        <v>329</v>
      </c>
      <c r="O27" s="609"/>
      <c r="P27" s="609" t="s">
        <v>307</v>
      </c>
      <c r="Q27" s="609"/>
      <c r="R27" s="609"/>
      <c r="S27" s="606"/>
      <c r="T27" s="611"/>
      <c r="U27" s="605"/>
      <c r="V27" s="605"/>
      <c r="W27" s="607"/>
      <c r="X27" s="588"/>
    </row>
    <row r="28" spans="1:24" s="589" customFormat="1" x14ac:dyDescent="0.25">
      <c r="A28" s="604"/>
      <c r="B28" s="610" t="s">
        <v>192</v>
      </c>
      <c r="C28" s="606"/>
      <c r="D28" s="609" t="s">
        <v>143</v>
      </c>
      <c r="E28" s="609"/>
      <c r="F28" s="609" t="s">
        <v>143</v>
      </c>
      <c r="G28" s="609"/>
      <c r="H28" s="609" t="s">
        <v>143</v>
      </c>
      <c r="I28" s="609"/>
      <c r="J28" s="609" t="s">
        <v>143</v>
      </c>
      <c r="K28" s="609"/>
      <c r="L28" s="609" t="s">
        <v>143</v>
      </c>
      <c r="M28" s="609"/>
      <c r="N28" s="609" t="s">
        <v>143</v>
      </c>
      <c r="O28" s="609"/>
      <c r="P28" s="609" t="s">
        <v>330</v>
      </c>
      <c r="Q28" s="609"/>
      <c r="R28" s="609"/>
      <c r="S28" s="606"/>
      <c r="T28" s="611"/>
      <c r="U28" s="605"/>
      <c r="V28" s="605"/>
      <c r="W28" s="607"/>
      <c r="X28" s="588"/>
    </row>
    <row r="29" spans="1:24" s="589" customFormat="1" x14ac:dyDescent="0.25">
      <c r="A29" s="604"/>
      <c r="B29" s="605" t="s">
        <v>10</v>
      </c>
      <c r="C29" s="612"/>
      <c r="D29" s="606" t="s">
        <v>242</v>
      </c>
      <c r="E29" s="606"/>
      <c r="F29" s="611" t="s">
        <v>244</v>
      </c>
      <c r="G29" s="606"/>
      <c r="H29" s="606" t="s">
        <v>245</v>
      </c>
      <c r="I29" s="606"/>
      <c r="J29" s="606" t="s">
        <v>247</v>
      </c>
      <c r="K29" s="606"/>
      <c r="L29" s="606" t="s">
        <v>248</v>
      </c>
      <c r="M29" s="606"/>
      <c r="N29" s="606" t="s">
        <v>249</v>
      </c>
      <c r="O29" s="606"/>
      <c r="P29" s="606" t="s">
        <v>250</v>
      </c>
      <c r="Q29" s="606"/>
      <c r="R29" s="606"/>
      <c r="S29" s="613"/>
      <c r="T29" s="613"/>
      <c r="U29" s="612"/>
      <c r="V29" s="613"/>
      <c r="W29" s="614"/>
      <c r="X29" s="588"/>
    </row>
    <row r="30" spans="1:24" s="589" customFormat="1" x14ac:dyDescent="0.25">
      <c r="A30" s="604"/>
      <c r="B30" s="605" t="s">
        <v>10</v>
      </c>
      <c r="C30" s="612"/>
      <c r="D30" s="606" t="s">
        <v>243</v>
      </c>
      <c r="E30" s="606"/>
      <c r="F30" s="611" t="s">
        <v>118</v>
      </c>
      <c r="G30" s="606"/>
      <c r="H30" s="606" t="s">
        <v>118</v>
      </c>
      <c r="I30" s="606"/>
      <c r="J30" s="606" t="s">
        <v>246</v>
      </c>
      <c r="K30" s="606"/>
      <c r="L30" s="606" t="s">
        <v>118</v>
      </c>
      <c r="M30" s="606"/>
      <c r="N30" s="606" t="s">
        <v>118</v>
      </c>
      <c r="O30" s="606"/>
      <c r="P30" s="606" t="s">
        <v>118</v>
      </c>
      <c r="Q30" s="606"/>
      <c r="R30" s="606"/>
      <c r="S30" s="613"/>
      <c r="T30" s="613"/>
      <c r="U30" s="612"/>
      <c r="V30" s="613"/>
      <c r="W30" s="614"/>
      <c r="X30" s="588"/>
    </row>
    <row r="31" spans="1:24" s="589" customFormat="1" x14ac:dyDescent="0.25">
      <c r="A31" s="608"/>
      <c r="B31" s="605" t="s">
        <v>133</v>
      </c>
      <c r="C31" s="615"/>
      <c r="D31" s="616">
        <v>1000000</v>
      </c>
      <c r="E31" s="612"/>
      <c r="F31" s="613">
        <v>209500</v>
      </c>
      <c r="G31" s="613"/>
      <c r="H31" s="617">
        <v>110000</v>
      </c>
      <c r="I31" s="617"/>
      <c r="J31" s="616">
        <v>150000</v>
      </c>
      <c r="K31" s="613"/>
      <c r="L31" s="613">
        <v>17000</v>
      </c>
      <c r="M31" s="613"/>
      <c r="N31" s="617">
        <v>85500</v>
      </c>
      <c r="O31" s="613"/>
      <c r="P31" s="617">
        <v>110500</v>
      </c>
      <c r="Q31" s="613"/>
      <c r="R31" s="617"/>
      <c r="S31" s="618"/>
      <c r="T31" s="618"/>
      <c r="U31" s="615"/>
      <c r="V31" s="618"/>
      <c r="W31" s="614"/>
      <c r="X31" s="588"/>
    </row>
    <row r="32" spans="1:24" s="589" customFormat="1" x14ac:dyDescent="0.25">
      <c r="A32" s="604"/>
      <c r="B32" s="605" t="s">
        <v>132</v>
      </c>
      <c r="C32" s="612"/>
      <c r="D32" s="616">
        <f>D31*D38</f>
        <v>444305.10000000003</v>
      </c>
      <c r="E32" s="612"/>
      <c r="F32" s="613">
        <f>F31*F38</f>
        <v>93082.484100000001</v>
      </c>
      <c r="G32" s="613"/>
      <c r="H32" s="617">
        <f>H31*H38</f>
        <v>48875.067999999999</v>
      </c>
      <c r="I32" s="617"/>
      <c r="J32" s="616">
        <f>J31*J38</f>
        <v>66645.764999999999</v>
      </c>
      <c r="K32" s="613"/>
      <c r="L32" s="613">
        <f>L31*L38</f>
        <v>17000</v>
      </c>
      <c r="M32" s="613"/>
      <c r="N32" s="617">
        <f>N31*N38</f>
        <v>85500</v>
      </c>
      <c r="O32" s="613"/>
      <c r="P32" s="617">
        <f>P31*P38</f>
        <v>110500</v>
      </c>
      <c r="Q32" s="613"/>
      <c r="R32" s="617"/>
      <c r="S32" s="613"/>
      <c r="T32" s="613"/>
      <c r="U32" s="612"/>
      <c r="V32" s="613"/>
      <c r="W32" s="614"/>
      <c r="X32" s="588"/>
    </row>
    <row r="33" spans="1:27" s="589" customFormat="1" x14ac:dyDescent="0.25">
      <c r="A33" s="604"/>
      <c r="B33" s="610" t="s">
        <v>134</v>
      </c>
      <c r="C33" s="612"/>
      <c r="D33" s="619">
        <f>D37*D31</f>
        <v>436646.9</v>
      </c>
      <c r="E33" s="615"/>
      <c r="F33" s="618">
        <f>F37*F31</f>
        <v>91478.09120000001</v>
      </c>
      <c r="G33" s="618"/>
      <c r="H33" s="620">
        <f>H31*H37</f>
        <v>48032.688000000002</v>
      </c>
      <c r="I33" s="620"/>
      <c r="J33" s="619">
        <f>J37*J31</f>
        <v>65497.035000000003</v>
      </c>
      <c r="K33" s="618"/>
      <c r="L33" s="618">
        <f>L31*L37</f>
        <v>17000</v>
      </c>
      <c r="M33" s="618"/>
      <c r="N33" s="620">
        <f>N31*N37</f>
        <v>85500</v>
      </c>
      <c r="O33" s="618"/>
      <c r="P33" s="620">
        <f>P31*P37</f>
        <v>110500</v>
      </c>
      <c r="Q33" s="618"/>
      <c r="R33" s="620"/>
      <c r="S33" s="613"/>
      <c r="T33" s="613"/>
      <c r="U33" s="612"/>
      <c r="V33" s="613"/>
      <c r="W33" s="614"/>
      <c r="X33" s="588"/>
    </row>
    <row r="34" spans="1:27" s="589" customFormat="1" x14ac:dyDescent="0.25">
      <c r="A34" s="608"/>
      <c r="B34" s="605" t="s">
        <v>286</v>
      </c>
      <c r="C34" s="615"/>
      <c r="D34" s="613">
        <v>492951</v>
      </c>
      <c r="E34" s="612"/>
      <c r="F34" s="613">
        <v>209500</v>
      </c>
      <c r="G34" s="613"/>
      <c r="H34" s="613">
        <v>74677</v>
      </c>
      <c r="I34" s="613"/>
      <c r="J34" s="613">
        <v>73943</v>
      </c>
      <c r="K34" s="613"/>
      <c r="L34" s="613">
        <v>17000</v>
      </c>
      <c r="M34" s="613"/>
      <c r="N34" s="613">
        <v>58045</v>
      </c>
      <c r="O34" s="613"/>
      <c r="P34" s="613">
        <v>75017</v>
      </c>
      <c r="Q34" s="613"/>
      <c r="R34" s="613"/>
      <c r="S34" s="618"/>
      <c r="T34" s="618"/>
      <c r="U34" s="615"/>
      <c r="V34" s="613">
        <f>SUM(C34:R34)</f>
        <v>1001133</v>
      </c>
      <c r="W34" s="614"/>
      <c r="X34" s="588"/>
    </row>
    <row r="35" spans="1:27" s="589" customFormat="1" x14ac:dyDescent="0.25">
      <c r="A35" s="608"/>
      <c r="B35" s="605" t="s">
        <v>287</v>
      </c>
      <c r="C35" s="615"/>
      <c r="D35" s="613">
        <f>D34*D38</f>
        <v>219020.6433501</v>
      </c>
      <c r="E35" s="612"/>
      <c r="F35" s="613">
        <f>F34*F38</f>
        <v>93082.484100000001</v>
      </c>
      <c r="G35" s="613"/>
      <c r="H35" s="613">
        <f>H34*H38</f>
        <v>33180.395027600003</v>
      </c>
      <c r="I35" s="613"/>
      <c r="J35" s="613">
        <f>J34*J38</f>
        <v>32853.252009299998</v>
      </c>
      <c r="K35" s="613"/>
      <c r="L35" s="613">
        <f>L34*L38</f>
        <v>17000</v>
      </c>
      <c r="M35" s="613"/>
      <c r="N35" s="613">
        <f>N34*N38</f>
        <v>58045</v>
      </c>
      <c r="O35" s="613"/>
      <c r="P35" s="613">
        <f>P34*P38</f>
        <v>75017</v>
      </c>
      <c r="Q35" s="613"/>
      <c r="R35" s="613"/>
      <c r="S35" s="613"/>
      <c r="T35" s="613"/>
      <c r="U35" s="612"/>
      <c r="V35" s="613">
        <f>SUM(C35:R35)-1</f>
        <v>528197.77448699996</v>
      </c>
      <c r="W35" s="614"/>
      <c r="X35" s="588"/>
    </row>
    <row r="36" spans="1:27" s="589" customFormat="1" x14ac:dyDescent="0.25">
      <c r="A36" s="608"/>
      <c r="B36" s="610" t="s">
        <v>288</v>
      </c>
      <c r="C36" s="615"/>
      <c r="D36" s="618">
        <f>D34*D37</f>
        <v>215245.5260019</v>
      </c>
      <c r="E36" s="615"/>
      <c r="F36" s="618">
        <f>F34*F37</f>
        <v>91478.09120000001</v>
      </c>
      <c r="G36" s="618"/>
      <c r="H36" s="618">
        <f>H34*H37</f>
        <v>32608.518561600002</v>
      </c>
      <c r="I36" s="618"/>
      <c r="J36" s="618">
        <f>J34*J37</f>
        <v>32286.9817267</v>
      </c>
      <c r="K36" s="618"/>
      <c r="L36" s="618">
        <f>L34*L37</f>
        <v>17000</v>
      </c>
      <c r="M36" s="618"/>
      <c r="N36" s="618">
        <f>N34*N37</f>
        <v>58045</v>
      </c>
      <c r="O36" s="618"/>
      <c r="P36" s="618">
        <f>P34*P37</f>
        <v>75017</v>
      </c>
      <c r="Q36" s="618"/>
      <c r="R36" s="618"/>
      <c r="S36" s="621"/>
      <c r="T36" s="621"/>
      <c r="U36" s="612"/>
      <c r="V36" s="618">
        <f>SUM(C36:R36)</f>
        <v>521681.11749019998</v>
      </c>
      <c r="W36" s="614"/>
      <c r="X36" s="588"/>
    </row>
    <row r="37" spans="1:27" s="629" customFormat="1" x14ac:dyDescent="0.25">
      <c r="A37" s="622"/>
      <c r="B37" s="623" t="s">
        <v>130</v>
      </c>
      <c r="C37" s="624"/>
      <c r="D37" s="625">
        <v>0.4366469</v>
      </c>
      <c r="E37" s="625"/>
      <c r="F37" s="625">
        <v>0.43664960000000003</v>
      </c>
      <c r="G37" s="625"/>
      <c r="H37" s="625">
        <v>0.43666080000000002</v>
      </c>
      <c r="I37" s="625"/>
      <c r="J37" s="625">
        <v>0.4366469</v>
      </c>
      <c r="K37" s="625"/>
      <c r="L37" s="625">
        <v>1</v>
      </c>
      <c r="M37" s="625"/>
      <c r="N37" s="625">
        <v>1</v>
      </c>
      <c r="O37" s="625"/>
      <c r="P37" s="625">
        <v>1</v>
      </c>
      <c r="Q37" s="625"/>
      <c r="R37" s="625"/>
      <c r="S37" s="626"/>
      <c r="T37" s="626"/>
      <c r="U37" s="624"/>
      <c r="V37" s="624"/>
      <c r="W37" s="627"/>
      <c r="X37" s="628"/>
    </row>
    <row r="38" spans="1:27" s="629" customFormat="1" x14ac:dyDescent="0.25">
      <c r="A38" s="622"/>
      <c r="B38" s="623" t="s">
        <v>131</v>
      </c>
      <c r="C38" s="624"/>
      <c r="D38" s="625">
        <v>0.44430510000000001</v>
      </c>
      <c r="E38" s="625"/>
      <c r="F38" s="625">
        <v>0.44430779999999997</v>
      </c>
      <c r="G38" s="625"/>
      <c r="H38" s="625">
        <v>0.44431880000000001</v>
      </c>
      <c r="I38" s="625"/>
      <c r="J38" s="625">
        <v>0.44430510000000001</v>
      </c>
      <c r="K38" s="625"/>
      <c r="L38" s="625">
        <v>1</v>
      </c>
      <c r="M38" s="625"/>
      <c r="N38" s="625">
        <v>1</v>
      </c>
      <c r="O38" s="625"/>
      <c r="P38" s="625">
        <v>1</v>
      </c>
      <c r="Q38" s="625"/>
      <c r="R38" s="625"/>
      <c r="S38" s="630"/>
      <c r="T38" s="631"/>
      <c r="U38" s="624"/>
      <c r="V38" s="630"/>
      <c r="W38" s="627"/>
      <c r="X38" s="628"/>
    </row>
    <row r="39" spans="1:27" s="629" customFormat="1" x14ac:dyDescent="0.25">
      <c r="A39" s="622"/>
      <c r="B39" s="624" t="s">
        <v>11</v>
      </c>
      <c r="C39" s="624"/>
      <c r="D39" s="626" t="s">
        <v>304</v>
      </c>
      <c r="E39" s="624"/>
      <c r="F39" s="626" t="s">
        <v>256</v>
      </c>
      <c r="G39" s="626"/>
      <c r="H39" s="626" t="s">
        <v>257</v>
      </c>
      <c r="I39" s="626"/>
      <c r="J39" s="626" t="s">
        <v>258</v>
      </c>
      <c r="K39" s="626"/>
      <c r="L39" s="626" t="s">
        <v>259</v>
      </c>
      <c r="M39" s="626"/>
      <c r="N39" s="626" t="s">
        <v>259</v>
      </c>
      <c r="O39" s="626"/>
      <c r="P39" s="626" t="s">
        <v>260</v>
      </c>
      <c r="Q39" s="626"/>
      <c r="R39" s="626"/>
      <c r="S39" s="630"/>
      <c r="T39" s="631"/>
      <c r="U39" s="624"/>
      <c r="V39" s="624"/>
      <c r="W39" s="627"/>
      <c r="X39" s="628"/>
    </row>
    <row r="40" spans="1:27" s="589" customFormat="1" x14ac:dyDescent="0.25">
      <c r="A40" s="604"/>
      <c r="B40" s="605" t="s">
        <v>12</v>
      </c>
      <c r="C40" s="605"/>
      <c r="D40" s="632">
        <v>3.4188000000000001E-3</v>
      </c>
      <c r="E40" s="605"/>
      <c r="F40" s="632">
        <v>4.5325000000000001E-3</v>
      </c>
      <c r="G40" s="633"/>
      <c r="H40" s="632">
        <v>0</v>
      </c>
      <c r="I40" s="632"/>
      <c r="J40" s="632">
        <v>5.3337999999999997E-3</v>
      </c>
      <c r="K40" s="633"/>
      <c r="L40" s="632">
        <v>7.3324999999999996E-3</v>
      </c>
      <c r="M40" s="633"/>
      <c r="N40" s="632">
        <v>1.82E-3</v>
      </c>
      <c r="O40" s="633"/>
      <c r="P40" s="632">
        <v>7.4200000000000004E-3</v>
      </c>
      <c r="Q40" s="633"/>
      <c r="R40" s="632"/>
      <c r="S40" s="633"/>
      <c r="T40" s="632"/>
      <c r="U40" s="605"/>
      <c r="V40" s="611"/>
      <c r="W40" s="607"/>
      <c r="X40" s="588"/>
      <c r="AA40" s="589" t="s">
        <v>193</v>
      </c>
    </row>
    <row r="41" spans="1:27" s="589" customFormat="1" x14ac:dyDescent="0.25">
      <c r="A41" s="604"/>
      <c r="B41" s="605" t="s">
        <v>13</v>
      </c>
      <c r="C41" s="605"/>
      <c r="D41" s="632">
        <v>3.6362999999999999E-3</v>
      </c>
      <c r="E41" s="605"/>
      <c r="F41" s="632">
        <v>7.4675000000000002E-3</v>
      </c>
      <c r="G41" s="633"/>
      <c r="H41" s="632">
        <v>0</v>
      </c>
      <c r="I41" s="632"/>
      <c r="J41" s="632">
        <v>9.6050000000000007E-3</v>
      </c>
      <c r="K41" s="633"/>
      <c r="L41" s="632">
        <v>1.0267500000000001E-2</v>
      </c>
      <c r="M41" s="633"/>
      <c r="N41" s="632">
        <v>5.1000000000000004E-4</v>
      </c>
      <c r="O41" s="633"/>
      <c r="P41" s="632">
        <v>6.11E-3</v>
      </c>
      <c r="Q41" s="633"/>
      <c r="R41" s="632"/>
      <c r="S41" s="633"/>
      <c r="T41" s="632"/>
      <c r="U41" s="605"/>
      <c r="V41" s="633" t="s">
        <v>193</v>
      </c>
      <c r="W41" s="607"/>
      <c r="X41" s="588"/>
    </row>
    <row r="42" spans="1:27" s="589" customFormat="1" x14ac:dyDescent="0.25">
      <c r="A42" s="604"/>
      <c r="B42" s="605" t="s">
        <v>289</v>
      </c>
      <c r="C42" s="605"/>
      <c r="D42" s="611" t="s">
        <v>311</v>
      </c>
      <c r="E42" s="605"/>
      <c r="F42" s="611" t="s">
        <v>256</v>
      </c>
      <c r="G42" s="611"/>
      <c r="H42" s="611" t="s">
        <v>261</v>
      </c>
      <c r="I42" s="611"/>
      <c r="J42" s="611" t="s">
        <v>261</v>
      </c>
      <c r="K42" s="611"/>
      <c r="L42" s="611" t="s">
        <v>259</v>
      </c>
      <c r="M42" s="611"/>
      <c r="N42" s="611" t="s">
        <v>263</v>
      </c>
      <c r="O42" s="611"/>
      <c r="P42" s="611" t="s">
        <v>264</v>
      </c>
      <c r="Q42" s="611"/>
      <c r="R42" s="611"/>
      <c r="S42" s="633"/>
      <c r="T42" s="632"/>
      <c r="U42" s="605"/>
      <c r="V42" s="605"/>
      <c r="W42" s="607"/>
      <c r="X42" s="588"/>
    </row>
    <row r="43" spans="1:27" s="589" customFormat="1" x14ac:dyDescent="0.25">
      <c r="A43" s="604"/>
      <c r="B43" s="605" t="s">
        <v>290</v>
      </c>
      <c r="C43" s="634"/>
      <c r="D43" s="632">
        <v>3.9294000000000004E-3</v>
      </c>
      <c r="E43" s="632"/>
      <c r="F43" s="632">
        <f>+F40</f>
        <v>4.5325000000000001E-3</v>
      </c>
      <c r="G43" s="632"/>
      <c r="H43" s="632">
        <v>4.6825E-3</v>
      </c>
      <c r="I43" s="632"/>
      <c r="J43" s="632">
        <v>4.7124999999999997E-3</v>
      </c>
      <c r="K43" s="632"/>
      <c r="L43" s="632">
        <f>+L40</f>
        <v>7.3324999999999996E-3</v>
      </c>
      <c r="M43" s="632"/>
      <c r="N43" s="632">
        <v>8.0665000000000008E-3</v>
      </c>
      <c r="O43" s="632"/>
      <c r="P43" s="632">
        <v>1.42265E-2</v>
      </c>
      <c r="Q43" s="633"/>
      <c r="R43" s="632"/>
      <c r="S43" s="611"/>
      <c r="T43" s="611"/>
      <c r="U43" s="605"/>
      <c r="V43" s="633">
        <f>SUMPRODUCT(D43:R43,D35:R35)/V35</f>
        <v>6.1583108166877645E-3</v>
      </c>
      <c r="W43" s="607"/>
      <c r="X43" s="588"/>
    </row>
    <row r="44" spans="1:27" s="589" customFormat="1" x14ac:dyDescent="0.25">
      <c r="A44" s="604"/>
      <c r="B44" s="605" t="s">
        <v>291</v>
      </c>
      <c r="C44" s="634"/>
      <c r="D44" s="632">
        <v>6.8643999999999997E-3</v>
      </c>
      <c r="E44" s="632"/>
      <c r="F44" s="632">
        <f>+F41</f>
        <v>7.4675000000000002E-3</v>
      </c>
      <c r="G44" s="632"/>
      <c r="H44" s="632">
        <v>7.6175000000000001E-3</v>
      </c>
      <c r="I44" s="632"/>
      <c r="J44" s="632">
        <v>7.6474999999999998E-3</v>
      </c>
      <c r="K44" s="632"/>
      <c r="L44" s="632">
        <f>+L41</f>
        <v>1.0267500000000001E-2</v>
      </c>
      <c r="M44" s="632"/>
      <c r="N44" s="632">
        <v>1.1001500000000001E-2</v>
      </c>
      <c r="O44" s="632"/>
      <c r="P44" s="632">
        <v>1.71615E-2</v>
      </c>
      <c r="Q44" s="633"/>
      <c r="R44" s="632"/>
      <c r="S44" s="611"/>
      <c r="T44" s="611"/>
      <c r="U44" s="605"/>
      <c r="V44" s="605"/>
      <c r="W44" s="607"/>
      <c r="X44" s="588"/>
    </row>
    <row r="45" spans="1:27" s="589" customFormat="1" x14ac:dyDescent="0.25">
      <c r="A45" s="604"/>
      <c r="B45" s="605" t="s">
        <v>14</v>
      </c>
      <c r="C45" s="605"/>
      <c r="D45" s="634">
        <v>40709</v>
      </c>
      <c r="E45" s="634"/>
      <c r="F45" s="634">
        <v>40709</v>
      </c>
      <c r="G45" s="634"/>
      <c r="H45" s="634">
        <v>40709</v>
      </c>
      <c r="I45" s="634"/>
      <c r="J45" s="634">
        <v>40709</v>
      </c>
      <c r="K45" s="634"/>
      <c r="L45" s="634">
        <v>40709</v>
      </c>
      <c r="M45" s="634"/>
      <c r="N45" s="634">
        <v>40709</v>
      </c>
      <c r="O45" s="634"/>
      <c r="P45" s="634">
        <v>40709</v>
      </c>
      <c r="Q45" s="634"/>
      <c r="R45" s="634"/>
      <c r="S45" s="611"/>
      <c r="T45" s="611"/>
      <c r="U45" s="605"/>
      <c r="V45" s="605"/>
      <c r="W45" s="607"/>
      <c r="X45" s="588"/>
    </row>
    <row r="46" spans="1:27" s="589" customFormat="1" x14ac:dyDescent="0.25">
      <c r="A46" s="604"/>
      <c r="B46" s="605" t="s">
        <v>15</v>
      </c>
      <c r="C46" s="605"/>
      <c r="D46" s="634">
        <v>41075</v>
      </c>
      <c r="E46" s="634"/>
      <c r="F46" s="634">
        <v>41075</v>
      </c>
      <c r="G46" s="634"/>
      <c r="H46" s="634">
        <v>41075</v>
      </c>
      <c r="I46" s="634"/>
      <c r="J46" s="634">
        <v>41075</v>
      </c>
      <c r="K46" s="611"/>
      <c r="L46" s="634">
        <v>41075</v>
      </c>
      <c r="M46" s="611"/>
      <c r="N46" s="634">
        <v>41075</v>
      </c>
      <c r="O46" s="611"/>
      <c r="P46" s="634">
        <v>41075</v>
      </c>
      <c r="Q46" s="611"/>
      <c r="R46" s="634"/>
      <c r="S46" s="611"/>
      <c r="T46" s="611"/>
      <c r="U46" s="605"/>
      <c r="V46" s="605"/>
      <c r="W46" s="607"/>
      <c r="X46" s="588"/>
    </row>
    <row r="47" spans="1:27" s="589" customFormat="1" x14ac:dyDescent="0.25">
      <c r="A47" s="604"/>
      <c r="B47" s="605" t="s">
        <v>119</v>
      </c>
      <c r="C47" s="605"/>
      <c r="D47" s="611" t="s">
        <v>304</v>
      </c>
      <c r="E47" s="605"/>
      <c r="F47" s="611" t="s">
        <v>256</v>
      </c>
      <c r="G47" s="611"/>
      <c r="H47" s="611" t="s">
        <v>257</v>
      </c>
      <c r="I47" s="611"/>
      <c r="J47" s="611" t="s">
        <v>258</v>
      </c>
      <c r="K47" s="611"/>
      <c r="L47" s="611" t="s">
        <v>259</v>
      </c>
      <c r="M47" s="611"/>
      <c r="N47" s="611" t="s">
        <v>259</v>
      </c>
      <c r="O47" s="611"/>
      <c r="P47" s="611" t="s">
        <v>260</v>
      </c>
      <c r="Q47" s="611"/>
      <c r="R47" s="611"/>
      <c r="S47" s="635"/>
      <c r="T47" s="635"/>
      <c r="U47" s="635"/>
      <c r="V47" s="635"/>
      <c r="W47" s="607"/>
      <c r="X47" s="588"/>
    </row>
    <row r="48" spans="1:27" s="589" customFormat="1" x14ac:dyDescent="0.25">
      <c r="A48" s="604"/>
      <c r="B48" s="605" t="s">
        <v>292</v>
      </c>
      <c r="C48" s="605"/>
      <c r="D48" s="611" t="s">
        <v>311</v>
      </c>
      <c r="E48" s="605"/>
      <c r="F48" s="611" t="s">
        <v>256</v>
      </c>
      <c r="G48" s="611"/>
      <c r="H48" s="611" t="s">
        <v>261</v>
      </c>
      <c r="I48" s="611"/>
      <c r="J48" s="611" t="s">
        <v>261</v>
      </c>
      <c r="K48" s="611"/>
      <c r="L48" s="611" t="s">
        <v>259</v>
      </c>
      <c r="M48" s="611"/>
      <c r="N48" s="611" t="s">
        <v>263</v>
      </c>
      <c r="O48" s="611"/>
      <c r="P48" s="611" t="s">
        <v>264</v>
      </c>
      <c r="Q48" s="611"/>
      <c r="R48" s="611"/>
      <c r="S48" s="605"/>
      <c r="T48" s="605"/>
      <c r="U48" s="605"/>
      <c r="V48" s="633"/>
      <c r="W48" s="607"/>
      <c r="X48" s="588"/>
    </row>
    <row r="49" spans="1:25" s="589" customFormat="1" x14ac:dyDescent="0.25">
      <c r="A49" s="604"/>
      <c r="B49" s="605"/>
      <c r="C49" s="605"/>
      <c r="D49" s="611"/>
      <c r="E49" s="605"/>
      <c r="F49" s="611"/>
      <c r="G49" s="611"/>
      <c r="H49" s="611"/>
      <c r="I49" s="611"/>
      <c r="J49" s="611"/>
      <c r="K49" s="611"/>
      <c r="L49" s="611"/>
      <c r="M49" s="611"/>
      <c r="N49" s="611"/>
      <c r="O49" s="611"/>
      <c r="P49" s="611"/>
      <c r="Q49" s="611"/>
      <c r="R49" s="611"/>
      <c r="S49" s="605"/>
      <c r="T49" s="605"/>
      <c r="U49" s="605"/>
      <c r="V49" s="633" t="s">
        <v>193</v>
      </c>
      <c r="W49" s="607"/>
      <c r="X49" s="588"/>
    </row>
    <row r="50" spans="1:25" s="589" customFormat="1" x14ac:dyDescent="0.25">
      <c r="A50" s="604"/>
      <c r="B50" s="605" t="s">
        <v>169</v>
      </c>
      <c r="C50" s="605"/>
      <c r="D50" s="611"/>
      <c r="E50" s="605"/>
      <c r="F50" s="611"/>
      <c r="G50" s="611"/>
      <c r="H50" s="611"/>
      <c r="I50" s="611"/>
      <c r="J50" s="611"/>
      <c r="K50" s="611"/>
      <c r="L50" s="611"/>
      <c r="M50" s="611"/>
      <c r="N50" s="611"/>
      <c r="O50" s="611"/>
      <c r="P50" s="611"/>
      <c r="Q50" s="611"/>
      <c r="R50" s="611"/>
      <c r="S50" s="605"/>
      <c r="T50" s="605"/>
      <c r="U50" s="605"/>
      <c r="V50" s="633">
        <f>SUM(L34:R34)/SUM(D34:J34)</f>
        <v>0.17632136449250416</v>
      </c>
      <c r="W50" s="607"/>
      <c r="X50" s="588"/>
    </row>
    <row r="51" spans="1:25" s="589" customFormat="1" x14ac:dyDescent="0.25">
      <c r="A51" s="604"/>
      <c r="B51" s="605" t="s">
        <v>170</v>
      </c>
      <c r="C51" s="605"/>
      <c r="D51" s="605"/>
      <c r="E51" s="605"/>
      <c r="F51" s="636"/>
      <c r="G51" s="605"/>
      <c r="H51" s="605"/>
      <c r="I51" s="605"/>
      <c r="J51" s="605"/>
      <c r="K51" s="605"/>
      <c r="L51" s="605"/>
      <c r="M51" s="605"/>
      <c r="N51" s="605"/>
      <c r="O51" s="605"/>
      <c r="P51" s="605"/>
      <c r="Q51" s="605"/>
      <c r="R51" s="605"/>
      <c r="S51" s="605"/>
      <c r="T51" s="605"/>
      <c r="U51" s="605"/>
      <c r="V51" s="633">
        <f>SUM(L36:R36)/SUM(D36:J36)</f>
        <v>0.40380592100178297</v>
      </c>
      <c r="W51" s="607"/>
      <c r="X51" s="588"/>
    </row>
    <row r="52" spans="1:25" s="589" customFormat="1" x14ac:dyDescent="0.25">
      <c r="A52" s="604"/>
      <c r="B52" s="605" t="s">
        <v>171</v>
      </c>
      <c r="C52" s="605"/>
      <c r="D52" s="605"/>
      <c r="E52" s="605"/>
      <c r="F52" s="605"/>
      <c r="G52" s="605"/>
      <c r="H52" s="605"/>
      <c r="I52" s="605"/>
      <c r="J52" s="605"/>
      <c r="K52" s="605"/>
      <c r="L52" s="605"/>
      <c r="M52" s="605"/>
      <c r="N52" s="605"/>
      <c r="O52" s="605"/>
      <c r="P52" s="605"/>
      <c r="Q52" s="605"/>
      <c r="R52" s="605"/>
      <c r="S52" s="605"/>
      <c r="T52" s="611"/>
      <c r="U52" s="611"/>
      <c r="V52" s="613" t="s">
        <v>268</v>
      </c>
      <c r="W52" s="607"/>
      <c r="X52" s="588"/>
    </row>
    <row r="53" spans="1:25" s="589" customFormat="1" x14ac:dyDescent="0.25">
      <c r="A53" s="604"/>
      <c r="B53" s="605"/>
      <c r="C53" s="605"/>
      <c r="D53" s="605"/>
      <c r="E53" s="605"/>
      <c r="F53" s="605"/>
      <c r="G53" s="605"/>
      <c r="H53" s="605"/>
      <c r="I53" s="605"/>
      <c r="J53" s="605"/>
      <c r="K53" s="605"/>
      <c r="L53" s="605"/>
      <c r="M53" s="605"/>
      <c r="N53" s="605"/>
      <c r="O53" s="605"/>
      <c r="P53" s="605"/>
      <c r="Q53" s="605"/>
      <c r="R53" s="605"/>
      <c r="S53" s="605"/>
      <c r="T53" s="605"/>
      <c r="U53" s="605"/>
      <c r="V53" s="637"/>
      <c r="W53" s="607"/>
      <c r="X53" s="588"/>
    </row>
    <row r="54" spans="1:25" s="589" customFormat="1" x14ac:dyDescent="0.25">
      <c r="A54" s="604"/>
      <c r="B54" s="605" t="s">
        <v>202</v>
      </c>
      <c r="C54" s="605"/>
      <c r="D54" s="605"/>
      <c r="E54" s="605"/>
      <c r="F54" s="605"/>
      <c r="G54" s="605"/>
      <c r="H54" s="605"/>
      <c r="I54" s="605"/>
      <c r="J54" s="605"/>
      <c r="K54" s="605"/>
      <c r="L54" s="605"/>
      <c r="M54" s="605"/>
      <c r="N54" s="605"/>
      <c r="O54" s="605"/>
      <c r="P54" s="605"/>
      <c r="Q54" s="605"/>
      <c r="R54" s="605"/>
      <c r="S54" s="605"/>
      <c r="T54" s="605"/>
      <c r="U54" s="605"/>
      <c r="V54" s="621" t="s">
        <v>203</v>
      </c>
      <c r="W54" s="607"/>
      <c r="X54" s="588"/>
    </row>
    <row r="55" spans="1:25" s="589" customFormat="1" x14ac:dyDescent="0.25">
      <c r="A55" s="604"/>
      <c r="B55" s="605" t="s">
        <v>270</v>
      </c>
      <c r="C55" s="605"/>
      <c r="D55" s="605"/>
      <c r="E55" s="605"/>
      <c r="F55" s="605"/>
      <c r="G55" s="605"/>
      <c r="H55" s="605"/>
      <c r="I55" s="605"/>
      <c r="J55" s="605"/>
      <c r="K55" s="605"/>
      <c r="L55" s="605"/>
      <c r="M55" s="605"/>
      <c r="N55" s="605"/>
      <c r="O55" s="605"/>
      <c r="P55" s="605"/>
      <c r="Q55" s="605"/>
      <c r="R55" s="605"/>
      <c r="S55" s="605"/>
      <c r="T55" s="611"/>
      <c r="U55" s="611"/>
      <c r="V55" s="638" t="s">
        <v>111</v>
      </c>
      <c r="W55" s="607"/>
      <c r="X55" s="588"/>
    </row>
    <row r="56" spans="1:25" s="589" customFormat="1" x14ac:dyDescent="0.25">
      <c r="A56" s="604"/>
      <c r="B56" s="610" t="s">
        <v>201</v>
      </c>
      <c r="C56" s="610"/>
      <c r="D56" s="610"/>
      <c r="E56" s="610"/>
      <c r="F56" s="610"/>
      <c r="G56" s="610"/>
      <c r="H56" s="610"/>
      <c r="I56" s="610"/>
      <c r="J56" s="610"/>
      <c r="K56" s="610"/>
      <c r="L56" s="610"/>
      <c r="M56" s="610"/>
      <c r="N56" s="610"/>
      <c r="O56" s="610"/>
      <c r="P56" s="610"/>
      <c r="Q56" s="610"/>
      <c r="R56" s="610"/>
      <c r="S56" s="610"/>
      <c r="T56" s="639"/>
      <c r="U56" s="639"/>
      <c r="V56" s="640">
        <v>44089</v>
      </c>
      <c r="W56" s="607"/>
      <c r="X56" s="588"/>
    </row>
    <row r="57" spans="1:25" s="589" customFormat="1" x14ac:dyDescent="0.25">
      <c r="A57" s="604"/>
      <c r="B57" s="605" t="s">
        <v>121</v>
      </c>
      <c r="C57" s="605"/>
      <c r="D57" s="605"/>
      <c r="E57" s="605"/>
      <c r="F57" s="605"/>
      <c r="G57" s="605"/>
      <c r="H57" s="641"/>
      <c r="I57" s="641"/>
      <c r="J57" s="641"/>
      <c r="K57" s="641"/>
      <c r="L57" s="641"/>
      <c r="M57" s="641"/>
      <c r="N57" s="641"/>
      <c r="O57" s="641"/>
      <c r="P57" s="641"/>
      <c r="Q57" s="641"/>
      <c r="R57" s="605">
        <f>+V57-T57+1</f>
        <v>91</v>
      </c>
      <c r="S57" s="641"/>
      <c r="T57" s="642">
        <v>43906</v>
      </c>
      <c r="U57" s="643"/>
      <c r="V57" s="642">
        <v>43996</v>
      </c>
      <c r="W57" s="607"/>
      <c r="X57" s="588"/>
    </row>
    <row r="58" spans="1:25" s="589" customFormat="1" x14ac:dyDescent="0.25">
      <c r="A58" s="604"/>
      <c r="B58" s="605" t="s">
        <v>122</v>
      </c>
      <c r="C58" s="605"/>
      <c r="D58" s="605"/>
      <c r="E58" s="605"/>
      <c r="F58" s="605"/>
      <c r="G58" s="605"/>
      <c r="H58" s="605"/>
      <c r="I58" s="605"/>
      <c r="J58" s="605"/>
      <c r="K58" s="605"/>
      <c r="L58" s="605"/>
      <c r="M58" s="605"/>
      <c r="N58" s="605"/>
      <c r="O58" s="605"/>
      <c r="P58" s="605"/>
      <c r="Q58" s="605"/>
      <c r="R58" s="605">
        <f>+V58-T58+1</f>
        <v>92</v>
      </c>
      <c r="S58" s="605"/>
      <c r="T58" s="642">
        <v>43997</v>
      </c>
      <c r="U58" s="643"/>
      <c r="V58" s="642">
        <v>44088</v>
      </c>
      <c r="W58" s="607"/>
      <c r="X58" s="588"/>
    </row>
    <row r="59" spans="1:25" s="589" customFormat="1" x14ac:dyDescent="0.25">
      <c r="A59" s="604"/>
      <c r="B59" s="605" t="s">
        <v>223</v>
      </c>
      <c r="C59" s="605"/>
      <c r="D59" s="605"/>
      <c r="E59" s="605"/>
      <c r="F59" s="605"/>
      <c r="G59" s="605"/>
      <c r="H59" s="605"/>
      <c r="I59" s="605"/>
      <c r="J59" s="605"/>
      <c r="K59" s="605"/>
      <c r="L59" s="605"/>
      <c r="M59" s="605"/>
      <c r="N59" s="605"/>
      <c r="O59" s="605"/>
      <c r="P59" s="605"/>
      <c r="Q59" s="605"/>
      <c r="R59" s="605"/>
      <c r="S59" s="605"/>
      <c r="T59" s="642"/>
      <c r="U59" s="643"/>
      <c r="V59" s="642" t="s">
        <v>120</v>
      </c>
      <c r="W59" s="607"/>
      <c r="X59" s="588"/>
    </row>
    <row r="60" spans="1:25" s="589" customFormat="1" x14ac:dyDescent="0.25">
      <c r="A60" s="604"/>
      <c r="B60" s="605" t="s">
        <v>271</v>
      </c>
      <c r="C60" s="605"/>
      <c r="D60" s="605"/>
      <c r="E60" s="605"/>
      <c r="F60" s="605"/>
      <c r="G60" s="605"/>
      <c r="H60" s="605"/>
      <c r="I60" s="605"/>
      <c r="J60" s="605"/>
      <c r="K60" s="605"/>
      <c r="L60" s="605"/>
      <c r="M60" s="605"/>
      <c r="N60" s="605"/>
      <c r="O60" s="605"/>
      <c r="P60" s="605"/>
      <c r="Q60" s="605"/>
      <c r="R60" s="605"/>
      <c r="S60" s="605"/>
      <c r="T60" s="642"/>
      <c r="U60" s="643"/>
      <c r="V60" s="642" t="s">
        <v>154</v>
      </c>
      <c r="W60" s="607"/>
      <c r="X60" s="588"/>
      <c r="Y60" s="644"/>
    </row>
    <row r="61" spans="1:25" s="589" customFormat="1" x14ac:dyDescent="0.25">
      <c r="A61" s="604"/>
      <c r="B61" s="605" t="s">
        <v>16</v>
      </c>
      <c r="C61" s="605"/>
      <c r="D61" s="605"/>
      <c r="E61" s="605"/>
      <c r="F61" s="605"/>
      <c r="G61" s="605"/>
      <c r="H61" s="605"/>
      <c r="I61" s="605"/>
      <c r="J61" s="605"/>
      <c r="K61" s="605"/>
      <c r="L61" s="605"/>
      <c r="M61" s="605"/>
      <c r="N61" s="605"/>
      <c r="O61" s="605"/>
      <c r="P61" s="605"/>
      <c r="Q61" s="605"/>
      <c r="R61" s="605"/>
      <c r="S61" s="605"/>
      <c r="T61" s="642"/>
      <c r="U61" s="643"/>
      <c r="V61" s="642">
        <v>44075</v>
      </c>
      <c r="W61" s="607"/>
      <c r="X61" s="588"/>
    </row>
    <row r="62" spans="1:25" s="589" customFormat="1" x14ac:dyDescent="0.25">
      <c r="A62" s="585"/>
      <c r="B62" s="602"/>
      <c r="C62" s="602"/>
      <c r="D62" s="602"/>
      <c r="E62" s="602"/>
      <c r="F62" s="602"/>
      <c r="G62" s="602"/>
      <c r="H62" s="602"/>
      <c r="I62" s="602"/>
      <c r="J62" s="602"/>
      <c r="K62" s="602"/>
      <c r="L62" s="602"/>
      <c r="M62" s="602"/>
      <c r="N62" s="602"/>
      <c r="O62" s="602"/>
      <c r="P62" s="602"/>
      <c r="Q62" s="602"/>
      <c r="R62" s="602"/>
      <c r="S62" s="602"/>
      <c r="T62" s="645"/>
      <c r="U62" s="646"/>
      <c r="V62" s="645"/>
      <c r="W62" s="602"/>
      <c r="X62" s="588"/>
    </row>
    <row r="63" spans="1:25" s="589" customFormat="1" x14ac:dyDescent="0.25">
      <c r="A63" s="585"/>
      <c r="B63" s="586"/>
      <c r="C63" s="586"/>
      <c r="D63" s="586"/>
      <c r="E63" s="586"/>
      <c r="F63" s="586"/>
      <c r="G63" s="586"/>
      <c r="H63" s="586"/>
      <c r="I63" s="586"/>
      <c r="J63" s="586"/>
      <c r="K63" s="586"/>
      <c r="L63" s="586"/>
      <c r="M63" s="586"/>
      <c r="N63" s="586"/>
      <c r="O63" s="586"/>
      <c r="P63" s="586"/>
      <c r="Q63" s="586"/>
      <c r="R63" s="586"/>
      <c r="S63" s="586"/>
      <c r="T63" s="647"/>
      <c r="U63" s="648"/>
      <c r="V63" s="647"/>
      <c r="W63" s="586"/>
      <c r="X63" s="588"/>
    </row>
    <row r="64" spans="1:25" s="589" customFormat="1" ht="19.5" thickBot="1" x14ac:dyDescent="0.35">
      <c r="A64" s="649"/>
      <c r="B64" s="568" t="s">
        <v>381</v>
      </c>
      <c r="C64" s="650"/>
      <c r="D64" s="650"/>
      <c r="E64" s="650"/>
      <c r="F64" s="650"/>
      <c r="G64" s="650"/>
      <c r="H64" s="650"/>
      <c r="I64" s="650"/>
      <c r="J64" s="650"/>
      <c r="K64" s="650"/>
      <c r="L64" s="650"/>
      <c r="M64" s="650"/>
      <c r="N64" s="650"/>
      <c r="O64" s="650"/>
      <c r="P64" s="650"/>
      <c r="Q64" s="650"/>
      <c r="R64" s="650"/>
      <c r="S64" s="650"/>
      <c r="T64" s="650"/>
      <c r="U64" s="650"/>
      <c r="V64" s="651"/>
      <c r="W64" s="652"/>
      <c r="X64" s="588"/>
    </row>
    <row r="65" spans="1:24" x14ac:dyDescent="0.25">
      <c r="A65" s="597"/>
      <c r="B65" s="653" t="s">
        <v>17</v>
      </c>
      <c r="C65" s="654"/>
      <c r="D65" s="654"/>
      <c r="E65" s="654"/>
      <c r="F65" s="654"/>
      <c r="G65" s="654"/>
      <c r="H65" s="654"/>
      <c r="I65" s="654"/>
      <c r="J65" s="654"/>
      <c r="K65" s="654"/>
      <c r="L65" s="654"/>
      <c r="M65" s="654"/>
      <c r="N65" s="654"/>
      <c r="O65" s="654"/>
      <c r="P65" s="654"/>
      <c r="Q65" s="654"/>
      <c r="R65" s="654"/>
      <c r="S65" s="654"/>
      <c r="T65" s="654"/>
      <c r="U65" s="654"/>
      <c r="V65" s="655"/>
      <c r="W65" s="654"/>
      <c r="X65" s="572"/>
    </row>
    <row r="66" spans="1:24" x14ac:dyDescent="0.25">
      <c r="A66" s="574"/>
      <c r="B66" s="583"/>
      <c r="C66" s="576"/>
      <c r="D66" s="576"/>
      <c r="E66" s="576"/>
      <c r="F66" s="576"/>
      <c r="G66" s="576"/>
      <c r="H66" s="576"/>
      <c r="I66" s="576"/>
      <c r="J66" s="576"/>
      <c r="K66" s="576"/>
      <c r="L66" s="576"/>
      <c r="M66" s="576"/>
      <c r="N66" s="576"/>
      <c r="O66" s="576"/>
      <c r="P66" s="576"/>
      <c r="Q66" s="576"/>
      <c r="R66" s="576"/>
      <c r="S66" s="576"/>
      <c r="T66" s="576"/>
      <c r="U66" s="576"/>
      <c r="V66" s="656"/>
      <c r="W66" s="576"/>
      <c r="X66" s="572"/>
    </row>
    <row r="67" spans="1:24" s="629" customFormat="1" ht="47.25" x14ac:dyDescent="0.25">
      <c r="A67" s="657"/>
      <c r="B67" s="658" t="s">
        <v>18</v>
      </c>
      <c r="C67" s="659"/>
      <c r="D67" s="659"/>
      <c r="E67" s="659"/>
      <c r="F67" s="659"/>
      <c r="G67" s="659"/>
      <c r="H67" s="659"/>
      <c r="I67" s="659"/>
      <c r="J67" s="659"/>
      <c r="K67" s="659"/>
      <c r="L67" s="659" t="s">
        <v>94</v>
      </c>
      <c r="M67" s="659"/>
      <c r="N67" s="659" t="s">
        <v>96</v>
      </c>
      <c r="O67" s="659"/>
      <c r="P67" s="659" t="s">
        <v>98</v>
      </c>
      <c r="Q67" s="659"/>
      <c r="R67" s="659" t="s">
        <v>100</v>
      </c>
      <c r="S67" s="659"/>
      <c r="T67" s="659" t="s">
        <v>106</v>
      </c>
      <c r="U67" s="659"/>
      <c r="V67" s="660" t="s">
        <v>112</v>
      </c>
      <c r="W67" s="661"/>
      <c r="X67" s="628"/>
    </row>
    <row r="68" spans="1:24" s="589" customFormat="1" x14ac:dyDescent="0.25">
      <c r="A68" s="604"/>
      <c r="B68" s="605" t="s">
        <v>19</v>
      </c>
      <c r="C68" s="662"/>
      <c r="D68" s="662"/>
      <c r="E68" s="662"/>
      <c r="F68" s="662"/>
      <c r="G68" s="662"/>
      <c r="H68" s="662"/>
      <c r="I68" s="662"/>
      <c r="J68" s="662"/>
      <c r="K68" s="662"/>
      <c r="L68" s="662">
        <v>812446</v>
      </c>
      <c r="M68" s="662"/>
      <c r="N68" s="663">
        <v>528198</v>
      </c>
      <c r="O68" s="662"/>
      <c r="P68" s="662">
        <v>6517</v>
      </c>
      <c r="Q68" s="662"/>
      <c r="R68" s="662">
        <v>0</v>
      </c>
      <c r="S68" s="662"/>
      <c r="T68" s="662">
        <v>0</v>
      </c>
      <c r="U68" s="662"/>
      <c r="V68" s="663">
        <f>+N68-P68+R68-T68</f>
        <v>521681</v>
      </c>
      <c r="W68" s="607"/>
      <c r="X68" s="588"/>
    </row>
    <row r="69" spans="1:24" s="589" customFormat="1" x14ac:dyDescent="0.25">
      <c r="A69" s="604"/>
      <c r="B69" s="605" t="s">
        <v>20</v>
      </c>
      <c r="C69" s="662"/>
      <c r="D69" s="662"/>
      <c r="E69" s="662"/>
      <c r="F69" s="662"/>
      <c r="G69" s="662"/>
      <c r="H69" s="662"/>
      <c r="I69" s="662"/>
      <c r="J69" s="662"/>
      <c r="K69" s="662"/>
      <c r="L69" s="662">
        <v>0</v>
      </c>
      <c r="M69" s="662"/>
      <c r="N69" s="663">
        <v>0</v>
      </c>
      <c r="O69" s="662"/>
      <c r="P69" s="662">
        <v>0</v>
      </c>
      <c r="Q69" s="662"/>
      <c r="R69" s="662">
        <v>0</v>
      </c>
      <c r="S69" s="662"/>
      <c r="T69" s="662">
        <v>0</v>
      </c>
      <c r="U69" s="662"/>
      <c r="V69" s="663">
        <f>+L69-P69</f>
        <v>0</v>
      </c>
      <c r="W69" s="607"/>
      <c r="X69" s="588"/>
    </row>
    <row r="70" spans="1:24" s="589" customFormat="1" x14ac:dyDescent="0.25">
      <c r="A70" s="604"/>
      <c r="B70" s="605"/>
      <c r="C70" s="662"/>
      <c r="D70" s="662"/>
      <c r="E70" s="662"/>
      <c r="F70" s="662"/>
      <c r="G70" s="662"/>
      <c r="H70" s="662"/>
      <c r="I70" s="662"/>
      <c r="J70" s="662"/>
      <c r="K70" s="662"/>
      <c r="L70" s="662"/>
      <c r="M70" s="662"/>
      <c r="N70" s="663"/>
      <c r="O70" s="662"/>
      <c r="P70" s="662"/>
      <c r="Q70" s="662"/>
      <c r="R70" s="662"/>
      <c r="S70" s="662"/>
      <c r="T70" s="662"/>
      <c r="U70" s="662"/>
      <c r="V70" s="663"/>
      <c r="W70" s="607"/>
      <c r="X70" s="588"/>
    </row>
    <row r="71" spans="1:24" s="589" customFormat="1" x14ac:dyDescent="0.25">
      <c r="A71" s="604"/>
      <c r="B71" s="605" t="s">
        <v>21</v>
      </c>
      <c r="C71" s="662"/>
      <c r="D71" s="662"/>
      <c r="E71" s="662"/>
      <c r="F71" s="662"/>
      <c r="G71" s="662"/>
      <c r="H71" s="662"/>
      <c r="I71" s="662"/>
      <c r="J71" s="662"/>
      <c r="K71" s="662"/>
      <c r="L71" s="662">
        <f>SUM(L68:L70)</f>
        <v>812446</v>
      </c>
      <c r="M71" s="662"/>
      <c r="N71" s="662">
        <f>N68+N69</f>
        <v>528198</v>
      </c>
      <c r="O71" s="662"/>
      <c r="P71" s="662">
        <f>SUM(P68:P70)</f>
        <v>6517</v>
      </c>
      <c r="Q71" s="662"/>
      <c r="R71" s="662">
        <f>SUM(R68:R70)</f>
        <v>0</v>
      </c>
      <c r="S71" s="662"/>
      <c r="T71" s="662">
        <f>SUM(T68:T70)</f>
        <v>0</v>
      </c>
      <c r="U71" s="662"/>
      <c r="V71" s="662">
        <f>SUM(V68:V70)</f>
        <v>521681</v>
      </c>
      <c r="W71" s="607"/>
      <c r="X71" s="588"/>
    </row>
    <row r="72" spans="1:24" x14ac:dyDescent="0.25">
      <c r="A72" s="574"/>
      <c r="B72" s="664"/>
      <c r="C72" s="665"/>
      <c r="D72" s="665"/>
      <c r="E72" s="665"/>
      <c r="F72" s="665"/>
      <c r="G72" s="665"/>
      <c r="H72" s="665"/>
      <c r="I72" s="665"/>
      <c r="J72" s="665"/>
      <c r="K72" s="665"/>
      <c r="L72" s="665"/>
      <c r="M72" s="665"/>
      <c r="N72" s="665"/>
      <c r="O72" s="665"/>
      <c r="P72" s="665"/>
      <c r="Q72" s="665"/>
      <c r="R72" s="665"/>
      <c r="S72" s="665"/>
      <c r="T72" s="665"/>
      <c r="U72" s="665"/>
      <c r="V72" s="666"/>
      <c r="W72" s="664"/>
      <c r="X72" s="572"/>
    </row>
    <row r="73" spans="1:24" x14ac:dyDescent="0.25">
      <c r="A73" s="574"/>
      <c r="B73" s="578" t="s">
        <v>22</v>
      </c>
      <c r="C73" s="667"/>
      <c r="D73" s="667"/>
      <c r="E73" s="667"/>
      <c r="F73" s="667"/>
      <c r="G73" s="667"/>
      <c r="H73" s="667"/>
      <c r="I73" s="667"/>
      <c r="J73" s="667"/>
      <c r="K73" s="667"/>
      <c r="L73" s="667"/>
      <c r="M73" s="667"/>
      <c r="N73" s="667"/>
      <c r="O73" s="667"/>
      <c r="P73" s="667"/>
      <c r="Q73" s="667"/>
      <c r="R73" s="667"/>
      <c r="S73" s="667"/>
      <c r="T73" s="667"/>
      <c r="U73" s="667"/>
      <c r="V73" s="668"/>
      <c r="W73" s="576"/>
      <c r="X73" s="572"/>
    </row>
    <row r="74" spans="1:24" x14ac:dyDescent="0.25">
      <c r="A74" s="574"/>
      <c r="B74" s="576"/>
      <c r="C74" s="667"/>
      <c r="D74" s="667"/>
      <c r="E74" s="667"/>
      <c r="F74" s="667"/>
      <c r="G74" s="667"/>
      <c r="H74" s="667"/>
      <c r="I74" s="667"/>
      <c r="J74" s="667"/>
      <c r="K74" s="667"/>
      <c r="L74" s="667"/>
      <c r="M74" s="667"/>
      <c r="N74" s="667"/>
      <c r="O74" s="667"/>
      <c r="P74" s="667"/>
      <c r="Q74" s="667"/>
      <c r="R74" s="667"/>
      <c r="S74" s="667"/>
      <c r="T74" s="667"/>
      <c r="U74" s="667"/>
      <c r="V74" s="668"/>
      <c r="W74" s="576"/>
      <c r="X74" s="572"/>
    </row>
    <row r="75" spans="1:24" s="589" customFormat="1" x14ac:dyDescent="0.25">
      <c r="A75" s="604"/>
      <c r="B75" s="605" t="s">
        <v>19</v>
      </c>
      <c r="C75" s="662"/>
      <c r="D75" s="662"/>
      <c r="E75" s="662"/>
      <c r="F75" s="662"/>
      <c r="G75" s="662"/>
      <c r="H75" s="662"/>
      <c r="I75" s="662"/>
      <c r="J75" s="662"/>
      <c r="K75" s="662"/>
      <c r="L75" s="662"/>
      <c r="M75" s="662"/>
      <c r="N75" s="662"/>
      <c r="O75" s="662"/>
      <c r="P75" s="662"/>
      <c r="Q75" s="662"/>
      <c r="R75" s="662"/>
      <c r="S75" s="662"/>
      <c r="T75" s="662"/>
      <c r="U75" s="662"/>
      <c r="V75" s="662"/>
      <c r="W75" s="607"/>
      <c r="X75" s="588"/>
    </row>
    <row r="76" spans="1:24" s="589" customFormat="1" x14ac:dyDescent="0.25">
      <c r="A76" s="604"/>
      <c r="B76" s="605" t="s">
        <v>20</v>
      </c>
      <c r="C76" s="662"/>
      <c r="D76" s="662"/>
      <c r="E76" s="662"/>
      <c r="F76" s="662"/>
      <c r="G76" s="662"/>
      <c r="H76" s="662"/>
      <c r="I76" s="662"/>
      <c r="J76" s="662"/>
      <c r="K76" s="662"/>
      <c r="L76" s="662"/>
      <c r="M76" s="662"/>
      <c r="N76" s="662"/>
      <c r="O76" s="662"/>
      <c r="P76" s="662"/>
      <c r="Q76" s="662"/>
      <c r="R76" s="662"/>
      <c r="S76" s="662"/>
      <c r="T76" s="662"/>
      <c r="U76" s="662"/>
      <c r="V76" s="662"/>
      <c r="W76" s="607"/>
      <c r="X76" s="588"/>
    </row>
    <row r="77" spans="1:24" s="589" customFormat="1" x14ac:dyDescent="0.25">
      <c r="A77" s="604"/>
      <c r="B77" s="605"/>
      <c r="C77" s="662"/>
      <c r="D77" s="662"/>
      <c r="E77" s="662"/>
      <c r="F77" s="662"/>
      <c r="G77" s="662"/>
      <c r="H77" s="662"/>
      <c r="I77" s="662"/>
      <c r="J77" s="662"/>
      <c r="K77" s="662"/>
      <c r="L77" s="662"/>
      <c r="M77" s="662"/>
      <c r="N77" s="662"/>
      <c r="O77" s="662"/>
      <c r="P77" s="662"/>
      <c r="Q77" s="662"/>
      <c r="R77" s="662"/>
      <c r="S77" s="662"/>
      <c r="T77" s="662"/>
      <c r="U77" s="662"/>
      <c r="V77" s="662"/>
      <c r="W77" s="607"/>
      <c r="X77" s="588"/>
    </row>
    <row r="78" spans="1:24" s="589" customFormat="1" x14ac:dyDescent="0.25">
      <c r="A78" s="604"/>
      <c r="B78" s="605" t="s">
        <v>21</v>
      </c>
      <c r="C78" s="662"/>
      <c r="D78" s="662"/>
      <c r="E78" s="662"/>
      <c r="F78" s="662"/>
      <c r="G78" s="662"/>
      <c r="H78" s="662"/>
      <c r="I78" s="662"/>
      <c r="J78" s="662"/>
      <c r="K78" s="662"/>
      <c r="L78" s="662"/>
      <c r="M78" s="662"/>
      <c r="N78" s="662"/>
      <c r="O78" s="662"/>
      <c r="P78" s="662"/>
      <c r="Q78" s="662"/>
      <c r="R78" s="662"/>
      <c r="S78" s="662"/>
      <c r="T78" s="662"/>
      <c r="U78" s="662"/>
      <c r="V78" s="662"/>
      <c r="W78" s="607"/>
      <c r="X78" s="588"/>
    </row>
    <row r="79" spans="1:24" s="589" customFormat="1" x14ac:dyDescent="0.25">
      <c r="A79" s="604"/>
      <c r="B79" s="605"/>
      <c r="C79" s="662"/>
      <c r="D79" s="662"/>
      <c r="E79" s="662"/>
      <c r="F79" s="662"/>
      <c r="G79" s="662"/>
      <c r="H79" s="662"/>
      <c r="I79" s="662"/>
      <c r="J79" s="662"/>
      <c r="K79" s="662"/>
      <c r="L79" s="662"/>
      <c r="M79" s="662"/>
      <c r="N79" s="662"/>
      <c r="O79" s="662"/>
      <c r="P79" s="662"/>
      <c r="Q79" s="662"/>
      <c r="R79" s="662"/>
      <c r="S79" s="662"/>
      <c r="T79" s="662"/>
      <c r="U79" s="662"/>
      <c r="V79" s="662"/>
      <c r="W79" s="607"/>
      <c r="X79" s="588"/>
    </row>
    <row r="80" spans="1:24" s="589" customFormat="1" x14ac:dyDescent="0.25">
      <c r="A80" s="604"/>
      <c r="B80" s="605" t="s">
        <v>23</v>
      </c>
      <c r="C80" s="662"/>
      <c r="D80" s="662"/>
      <c r="E80" s="662"/>
      <c r="F80" s="662"/>
      <c r="G80" s="662"/>
      <c r="H80" s="662"/>
      <c r="I80" s="662"/>
      <c r="J80" s="662"/>
      <c r="K80" s="662"/>
      <c r="L80" s="662">
        <v>0</v>
      </c>
      <c r="M80" s="662"/>
      <c r="N80" s="662">
        <v>0</v>
      </c>
      <c r="O80" s="662"/>
      <c r="P80" s="662"/>
      <c r="Q80" s="662"/>
      <c r="R80" s="662"/>
      <c r="S80" s="662"/>
      <c r="T80" s="662"/>
      <c r="U80" s="662"/>
      <c r="V80" s="663">
        <v>0</v>
      </c>
      <c r="W80" s="607"/>
      <c r="X80" s="588"/>
    </row>
    <row r="81" spans="1:24" s="589" customFormat="1" x14ac:dyDescent="0.25">
      <c r="A81" s="604"/>
      <c r="B81" s="605" t="s">
        <v>117</v>
      </c>
      <c r="C81" s="662"/>
      <c r="D81" s="662"/>
      <c r="E81" s="662"/>
      <c r="F81" s="662"/>
      <c r="G81" s="662"/>
      <c r="H81" s="662"/>
      <c r="I81" s="662"/>
      <c r="J81" s="662"/>
      <c r="K81" s="662"/>
      <c r="L81" s="662">
        <v>188687</v>
      </c>
      <c r="M81" s="662"/>
      <c r="N81" s="662">
        <v>0</v>
      </c>
      <c r="O81" s="662"/>
      <c r="P81" s="662">
        <v>0</v>
      </c>
      <c r="Q81" s="662"/>
      <c r="R81" s="662"/>
      <c r="S81" s="662"/>
      <c r="T81" s="662"/>
      <c r="U81" s="662"/>
      <c r="V81" s="662">
        <f>SUM(N81:R81)</f>
        <v>0</v>
      </c>
      <c r="W81" s="607"/>
      <c r="X81" s="588"/>
    </row>
    <row r="82" spans="1:24" s="589" customFormat="1" x14ac:dyDescent="0.25">
      <c r="A82" s="604"/>
      <c r="B82" s="605" t="s">
        <v>146</v>
      </c>
      <c r="C82" s="662"/>
      <c r="D82" s="662"/>
      <c r="E82" s="662"/>
      <c r="F82" s="662"/>
      <c r="G82" s="662"/>
      <c r="H82" s="662"/>
      <c r="I82" s="662"/>
      <c r="J82" s="662"/>
      <c r="K82" s="662"/>
      <c r="L82" s="662">
        <v>0</v>
      </c>
      <c r="M82" s="662"/>
      <c r="N82" s="662">
        <v>0</v>
      </c>
      <c r="O82" s="662"/>
      <c r="P82" s="662">
        <v>0</v>
      </c>
      <c r="Q82" s="662"/>
      <c r="R82" s="662"/>
      <c r="S82" s="662"/>
      <c r="T82" s="662"/>
      <c r="U82" s="662"/>
      <c r="V82" s="662">
        <f>+N82+P82</f>
        <v>0</v>
      </c>
      <c r="W82" s="607"/>
      <c r="X82" s="588"/>
    </row>
    <row r="83" spans="1:24" s="589" customFormat="1" x14ac:dyDescent="0.25">
      <c r="A83" s="604"/>
      <c r="B83" s="605" t="s">
        <v>25</v>
      </c>
      <c r="C83" s="662"/>
      <c r="D83" s="662"/>
      <c r="E83" s="662"/>
      <c r="F83" s="662"/>
      <c r="G83" s="662"/>
      <c r="H83" s="662"/>
      <c r="I83" s="662"/>
      <c r="J83" s="662"/>
      <c r="K83" s="662"/>
      <c r="L83" s="662">
        <v>0</v>
      </c>
      <c r="M83" s="662"/>
      <c r="N83" s="662">
        <v>0</v>
      </c>
      <c r="O83" s="662"/>
      <c r="P83" s="662"/>
      <c r="Q83" s="662"/>
      <c r="R83" s="662"/>
      <c r="S83" s="662"/>
      <c r="T83" s="662"/>
      <c r="U83" s="662"/>
      <c r="V83" s="662">
        <v>0</v>
      </c>
      <c r="W83" s="607"/>
      <c r="X83" s="588"/>
    </row>
    <row r="84" spans="1:24" s="589" customFormat="1" x14ac:dyDescent="0.25">
      <c r="A84" s="604"/>
      <c r="B84" s="605" t="s">
        <v>26</v>
      </c>
      <c r="C84" s="662"/>
      <c r="D84" s="662"/>
      <c r="E84" s="662"/>
      <c r="F84" s="662"/>
      <c r="G84" s="662"/>
      <c r="H84" s="662"/>
      <c r="I84" s="662"/>
      <c r="J84" s="662"/>
      <c r="K84" s="662"/>
      <c r="L84" s="662">
        <f>SUM(L71:L83)</f>
        <v>1001133</v>
      </c>
      <c r="M84" s="662"/>
      <c r="N84" s="662">
        <f>SUM(N71:N83)</f>
        <v>528198</v>
      </c>
      <c r="O84" s="662"/>
      <c r="P84" s="662"/>
      <c r="Q84" s="662"/>
      <c r="R84" s="662"/>
      <c r="S84" s="662"/>
      <c r="T84" s="662"/>
      <c r="U84" s="662"/>
      <c r="V84" s="662">
        <f>SUM(V71:V83)</f>
        <v>521681</v>
      </c>
      <c r="W84" s="607"/>
      <c r="X84" s="588"/>
    </row>
    <row r="85" spans="1:24" x14ac:dyDescent="0.25">
      <c r="A85" s="574"/>
      <c r="B85" s="664"/>
      <c r="C85" s="665"/>
      <c r="D85" s="665"/>
      <c r="E85" s="665"/>
      <c r="F85" s="665"/>
      <c r="G85" s="665"/>
      <c r="H85" s="665"/>
      <c r="I85" s="665"/>
      <c r="J85" s="665"/>
      <c r="K85" s="665"/>
      <c r="L85" s="665"/>
      <c r="M85" s="665"/>
      <c r="N85" s="665"/>
      <c r="O85" s="665"/>
      <c r="P85" s="665"/>
      <c r="Q85" s="665"/>
      <c r="R85" s="665"/>
      <c r="S85" s="665"/>
      <c r="T85" s="665"/>
      <c r="U85" s="665"/>
      <c r="V85" s="666"/>
      <c r="W85" s="664"/>
      <c r="X85" s="572"/>
    </row>
    <row r="86" spans="1:24" x14ac:dyDescent="0.25">
      <c r="A86" s="574"/>
      <c r="B86" s="576"/>
      <c r="C86" s="576"/>
      <c r="D86" s="576"/>
      <c r="E86" s="576"/>
      <c r="F86" s="576"/>
      <c r="G86" s="576"/>
      <c r="H86" s="576"/>
      <c r="I86" s="576"/>
      <c r="J86" s="576"/>
      <c r="K86" s="576"/>
      <c r="L86" s="576"/>
      <c r="M86" s="576"/>
      <c r="N86" s="576"/>
      <c r="O86" s="576"/>
      <c r="P86" s="576"/>
      <c r="Q86" s="576"/>
      <c r="R86" s="576"/>
      <c r="S86" s="576"/>
      <c r="T86" s="576"/>
      <c r="U86" s="576"/>
      <c r="V86" s="576"/>
      <c r="W86" s="576"/>
      <c r="X86" s="572"/>
    </row>
    <row r="87" spans="1:24" x14ac:dyDescent="0.25">
      <c r="A87" s="597"/>
      <c r="B87" s="669" t="s">
        <v>27</v>
      </c>
      <c r="C87" s="669"/>
      <c r="D87" s="669"/>
      <c r="E87" s="669"/>
      <c r="F87" s="669"/>
      <c r="G87" s="669"/>
      <c r="H87" s="670"/>
      <c r="I87" s="670"/>
      <c r="J87" s="670"/>
      <c r="K87" s="670"/>
      <c r="L87" s="671" t="s">
        <v>95</v>
      </c>
      <c r="M87" s="670"/>
      <c r="N87" s="672">
        <f>+T205</f>
        <v>44071</v>
      </c>
      <c r="O87" s="670"/>
      <c r="P87" s="670"/>
      <c r="Q87" s="670"/>
      <c r="R87" s="670"/>
      <c r="S87" s="670"/>
      <c r="T87" s="670" t="s">
        <v>107</v>
      </c>
      <c r="U87" s="670"/>
      <c r="V87" s="670" t="s">
        <v>113</v>
      </c>
      <c r="W87" s="601"/>
      <c r="X87" s="572"/>
    </row>
    <row r="88" spans="1:24" s="589" customFormat="1" x14ac:dyDescent="0.25">
      <c r="A88" s="585"/>
      <c r="B88" s="602" t="s">
        <v>28</v>
      </c>
      <c r="C88" s="602"/>
      <c r="D88" s="602"/>
      <c r="E88" s="602"/>
      <c r="F88" s="602"/>
      <c r="G88" s="602"/>
      <c r="H88" s="602"/>
      <c r="I88" s="602"/>
      <c r="J88" s="602"/>
      <c r="K88" s="602"/>
      <c r="L88" s="602"/>
      <c r="M88" s="602"/>
      <c r="N88" s="602"/>
      <c r="O88" s="602"/>
      <c r="P88" s="602"/>
      <c r="Q88" s="602"/>
      <c r="R88" s="602"/>
      <c r="S88" s="602"/>
      <c r="T88" s="673">
        <v>0</v>
      </c>
      <c r="U88" s="602"/>
      <c r="V88" s="674">
        <v>0</v>
      </c>
      <c r="W88" s="602"/>
      <c r="X88" s="588"/>
    </row>
    <row r="89" spans="1:24" s="589" customFormat="1" x14ac:dyDescent="0.25">
      <c r="A89" s="604"/>
      <c r="B89" s="605" t="s">
        <v>29</v>
      </c>
      <c r="C89" s="605"/>
      <c r="D89" s="605"/>
      <c r="E89" s="605"/>
      <c r="F89" s="605"/>
      <c r="G89" s="605"/>
      <c r="H89" s="635"/>
      <c r="I89" s="635"/>
      <c r="J89" s="635"/>
      <c r="K89" s="675"/>
      <c r="L89" s="635"/>
      <c r="M89" s="605"/>
      <c r="N89" s="676"/>
      <c r="O89" s="605"/>
      <c r="P89" s="605"/>
      <c r="Q89" s="605"/>
      <c r="R89" s="605"/>
      <c r="S89" s="605"/>
      <c r="T89" s="662">
        <f>6517+3</f>
        <v>6520</v>
      </c>
      <c r="U89" s="605"/>
      <c r="V89" s="663"/>
      <c r="W89" s="607"/>
      <c r="X89" s="588"/>
    </row>
    <row r="90" spans="1:24" s="589" customFormat="1" x14ac:dyDescent="0.25">
      <c r="A90" s="604"/>
      <c r="B90" s="605" t="s">
        <v>215</v>
      </c>
      <c r="C90" s="605"/>
      <c r="D90" s="605"/>
      <c r="E90" s="605"/>
      <c r="F90" s="605"/>
      <c r="G90" s="605"/>
      <c r="H90" s="635"/>
      <c r="I90" s="635"/>
      <c r="J90" s="635"/>
      <c r="K90" s="675"/>
      <c r="L90" s="635"/>
      <c r="M90" s="605"/>
      <c r="N90" s="676"/>
      <c r="O90" s="605"/>
      <c r="P90" s="605"/>
      <c r="Q90" s="605"/>
      <c r="R90" s="605"/>
      <c r="S90" s="605"/>
      <c r="T90" s="662"/>
      <c r="U90" s="605"/>
      <c r="V90" s="663">
        <f>2033+2067-353-926</f>
        <v>2821</v>
      </c>
      <c r="W90" s="607"/>
      <c r="X90" s="588"/>
    </row>
    <row r="91" spans="1:24" s="589" customFormat="1" x14ac:dyDescent="0.25">
      <c r="A91" s="604"/>
      <c r="B91" s="605" t="s">
        <v>210</v>
      </c>
      <c r="C91" s="605"/>
      <c r="D91" s="605"/>
      <c r="E91" s="605"/>
      <c r="F91" s="605"/>
      <c r="G91" s="605"/>
      <c r="H91" s="635"/>
      <c r="I91" s="635"/>
      <c r="J91" s="635"/>
      <c r="K91" s="675"/>
      <c r="L91" s="635"/>
      <c r="M91" s="605"/>
      <c r="N91" s="676"/>
      <c r="O91" s="605"/>
      <c r="P91" s="605"/>
      <c r="Q91" s="605"/>
      <c r="R91" s="605"/>
      <c r="S91" s="605"/>
      <c r="T91" s="662"/>
      <c r="U91" s="605"/>
      <c r="V91" s="663">
        <f>20+10</f>
        <v>30</v>
      </c>
      <c r="W91" s="607"/>
      <c r="X91" s="588"/>
    </row>
    <row r="92" spans="1:24" s="589" customFormat="1" x14ac:dyDescent="0.25">
      <c r="A92" s="604"/>
      <c r="B92" s="605" t="s">
        <v>211</v>
      </c>
      <c r="C92" s="605"/>
      <c r="D92" s="605"/>
      <c r="E92" s="605"/>
      <c r="F92" s="605"/>
      <c r="G92" s="605"/>
      <c r="H92" s="635"/>
      <c r="I92" s="635"/>
      <c r="J92" s="635"/>
      <c r="K92" s="675"/>
      <c r="L92" s="635"/>
      <c r="M92" s="605"/>
      <c r="N92" s="676"/>
      <c r="O92" s="605"/>
      <c r="P92" s="605"/>
      <c r="Q92" s="605"/>
      <c r="R92" s="605"/>
      <c r="S92" s="605"/>
      <c r="T92" s="662"/>
      <c r="U92" s="605"/>
      <c r="V92" s="663">
        <v>13</v>
      </c>
      <c r="W92" s="607"/>
      <c r="X92" s="588"/>
    </row>
    <row r="93" spans="1:24" s="589" customFormat="1" x14ac:dyDescent="0.25">
      <c r="A93" s="604"/>
      <c r="B93" s="605" t="s">
        <v>233</v>
      </c>
      <c r="C93" s="605"/>
      <c r="D93" s="605"/>
      <c r="E93" s="605"/>
      <c r="F93" s="605"/>
      <c r="G93" s="605"/>
      <c r="H93" s="635"/>
      <c r="I93" s="635"/>
      <c r="J93" s="635"/>
      <c r="K93" s="675"/>
      <c r="L93" s="635"/>
      <c r="M93" s="605"/>
      <c r="N93" s="676"/>
      <c r="O93" s="605"/>
      <c r="P93" s="605"/>
      <c r="Q93" s="605"/>
      <c r="R93" s="605"/>
      <c r="S93" s="605"/>
      <c r="T93" s="662"/>
      <c r="U93" s="605"/>
      <c r="V93" s="663">
        <v>0</v>
      </c>
      <c r="W93" s="607"/>
      <c r="X93" s="588"/>
    </row>
    <row r="94" spans="1:24" s="589" customFormat="1" x14ac:dyDescent="0.25">
      <c r="A94" s="604"/>
      <c r="B94" s="605" t="s">
        <v>235</v>
      </c>
      <c r="C94" s="605"/>
      <c r="D94" s="605"/>
      <c r="E94" s="605"/>
      <c r="F94" s="605"/>
      <c r="G94" s="605"/>
      <c r="H94" s="635"/>
      <c r="I94" s="635"/>
      <c r="J94" s="635"/>
      <c r="K94" s="675"/>
      <c r="L94" s="635"/>
      <c r="M94" s="605"/>
      <c r="N94" s="676"/>
      <c r="O94" s="605"/>
      <c r="P94" s="605"/>
      <c r="Q94" s="605"/>
      <c r="R94" s="605"/>
      <c r="S94" s="605"/>
      <c r="T94" s="662"/>
      <c r="U94" s="605"/>
      <c r="V94" s="663">
        <v>0</v>
      </c>
      <c r="W94" s="607"/>
      <c r="X94" s="588"/>
    </row>
    <row r="95" spans="1:24" s="589" customFormat="1" x14ac:dyDescent="0.25">
      <c r="A95" s="604"/>
      <c r="B95" s="605" t="s">
        <v>135</v>
      </c>
      <c r="C95" s="605"/>
      <c r="D95" s="605"/>
      <c r="E95" s="605"/>
      <c r="F95" s="605"/>
      <c r="G95" s="605"/>
      <c r="H95" s="605"/>
      <c r="I95" s="605"/>
      <c r="J95" s="605"/>
      <c r="K95" s="605"/>
      <c r="L95" s="605"/>
      <c r="M95" s="605"/>
      <c r="N95" s="605"/>
      <c r="O95" s="605"/>
      <c r="P95" s="605"/>
      <c r="Q95" s="605"/>
      <c r="R95" s="605"/>
      <c r="S95" s="605"/>
      <c r="T95" s="662"/>
      <c r="U95" s="605"/>
      <c r="V95" s="663">
        <v>0</v>
      </c>
      <c r="W95" s="607"/>
      <c r="X95" s="588"/>
    </row>
    <row r="96" spans="1:24" s="589" customFormat="1" x14ac:dyDescent="0.25">
      <c r="A96" s="604"/>
      <c r="B96" s="605" t="s">
        <v>272</v>
      </c>
      <c r="C96" s="605"/>
      <c r="D96" s="605"/>
      <c r="E96" s="605"/>
      <c r="F96" s="605"/>
      <c r="G96" s="605"/>
      <c r="H96" s="605"/>
      <c r="I96" s="605"/>
      <c r="J96" s="605"/>
      <c r="K96" s="605"/>
      <c r="L96" s="605"/>
      <c r="M96" s="605"/>
      <c r="N96" s="605"/>
      <c r="O96" s="605"/>
      <c r="P96" s="605"/>
      <c r="Q96" s="605"/>
      <c r="R96" s="605"/>
      <c r="S96" s="605"/>
      <c r="T96" s="662"/>
      <c r="U96" s="605"/>
      <c r="V96" s="663">
        <v>0</v>
      </c>
      <c r="W96" s="607"/>
      <c r="X96" s="588"/>
    </row>
    <row r="97" spans="1:25" s="589" customFormat="1" x14ac:dyDescent="0.25">
      <c r="A97" s="604"/>
      <c r="B97" s="605" t="s">
        <v>30</v>
      </c>
      <c r="C97" s="605"/>
      <c r="D97" s="605"/>
      <c r="E97" s="605"/>
      <c r="F97" s="605"/>
      <c r="G97" s="605"/>
      <c r="H97" s="605"/>
      <c r="I97" s="605"/>
      <c r="J97" s="605"/>
      <c r="K97" s="605"/>
      <c r="L97" s="605"/>
      <c r="M97" s="605"/>
      <c r="N97" s="605"/>
      <c r="O97" s="605"/>
      <c r="P97" s="605"/>
      <c r="Q97" s="605"/>
      <c r="R97" s="605"/>
      <c r="S97" s="605"/>
      <c r="T97" s="662">
        <f>SUM(T88:T96)</f>
        <v>6520</v>
      </c>
      <c r="U97" s="605"/>
      <c r="V97" s="662">
        <f>SUM(V88:V96)</f>
        <v>2864</v>
      </c>
      <c r="W97" s="607"/>
      <c r="X97" s="588"/>
    </row>
    <row r="98" spans="1:25" s="589" customFormat="1" x14ac:dyDescent="0.25">
      <c r="A98" s="604"/>
      <c r="B98" s="605" t="s">
        <v>161</v>
      </c>
      <c r="C98" s="605"/>
      <c r="D98" s="605"/>
      <c r="E98" s="605"/>
      <c r="F98" s="605"/>
      <c r="G98" s="605"/>
      <c r="H98" s="605"/>
      <c r="I98" s="605"/>
      <c r="J98" s="605"/>
      <c r="K98" s="605"/>
      <c r="L98" s="605"/>
      <c r="M98" s="605"/>
      <c r="N98" s="605"/>
      <c r="O98" s="605"/>
      <c r="P98" s="605"/>
      <c r="Q98" s="605"/>
      <c r="R98" s="605"/>
      <c r="S98" s="605"/>
      <c r="T98" s="662">
        <f>-V98</f>
        <v>0</v>
      </c>
      <c r="U98" s="605"/>
      <c r="V98" s="662">
        <v>0</v>
      </c>
      <c r="W98" s="607"/>
      <c r="X98" s="588"/>
    </row>
    <row r="99" spans="1:25" s="589" customFormat="1" x14ac:dyDescent="0.25">
      <c r="A99" s="604"/>
      <c r="B99" s="605" t="s">
        <v>31</v>
      </c>
      <c r="C99" s="605"/>
      <c r="D99" s="605"/>
      <c r="E99" s="605"/>
      <c r="F99" s="605"/>
      <c r="G99" s="605"/>
      <c r="H99" s="605"/>
      <c r="I99" s="605"/>
      <c r="J99" s="605"/>
      <c r="K99" s="605"/>
      <c r="L99" s="605"/>
      <c r="M99" s="605"/>
      <c r="N99" s="605"/>
      <c r="O99" s="605"/>
      <c r="P99" s="605"/>
      <c r="Q99" s="605"/>
      <c r="R99" s="605"/>
      <c r="S99" s="605"/>
      <c r="T99" s="662">
        <f>-V99</f>
        <v>0</v>
      </c>
      <c r="U99" s="605"/>
      <c r="V99" s="663">
        <v>0</v>
      </c>
      <c r="W99" s="607"/>
      <c r="X99" s="588"/>
    </row>
    <row r="100" spans="1:25" s="589" customFormat="1" x14ac:dyDescent="0.25">
      <c r="A100" s="604"/>
      <c r="B100" s="605" t="s">
        <v>274</v>
      </c>
      <c r="C100" s="605"/>
      <c r="D100" s="605"/>
      <c r="E100" s="605"/>
      <c r="F100" s="605"/>
      <c r="G100" s="605"/>
      <c r="H100" s="605"/>
      <c r="I100" s="605"/>
      <c r="J100" s="605"/>
      <c r="K100" s="605"/>
      <c r="L100" s="605"/>
      <c r="M100" s="605"/>
      <c r="N100" s="605"/>
      <c r="O100" s="605"/>
      <c r="P100" s="605"/>
      <c r="Q100" s="605"/>
      <c r="R100" s="605"/>
      <c r="S100" s="605"/>
      <c r="T100" s="662"/>
      <c r="U100" s="605"/>
      <c r="V100" s="663">
        <v>-67</v>
      </c>
      <c r="W100" s="607"/>
      <c r="X100" s="588"/>
    </row>
    <row r="101" spans="1:25" s="589" customFormat="1" x14ac:dyDescent="0.25">
      <c r="A101" s="604"/>
      <c r="B101" s="605" t="s">
        <v>32</v>
      </c>
      <c r="C101" s="605"/>
      <c r="D101" s="605"/>
      <c r="E101" s="605"/>
      <c r="F101" s="605"/>
      <c r="G101" s="605"/>
      <c r="H101" s="605"/>
      <c r="I101" s="605"/>
      <c r="J101" s="605"/>
      <c r="K101" s="605"/>
      <c r="L101" s="605"/>
      <c r="M101" s="605"/>
      <c r="N101" s="605"/>
      <c r="O101" s="605"/>
      <c r="P101" s="605"/>
      <c r="Q101" s="605"/>
      <c r="R101" s="605"/>
      <c r="S101" s="605"/>
      <c r="T101" s="662">
        <f>T97+T99+T98</f>
        <v>6520</v>
      </c>
      <c r="U101" s="605"/>
      <c r="V101" s="662">
        <f>V97+V99+V98+V100</f>
        <v>2797</v>
      </c>
      <c r="W101" s="607"/>
      <c r="X101" s="588"/>
    </row>
    <row r="102" spans="1:25" x14ac:dyDescent="0.25">
      <c r="A102" s="677"/>
      <c r="B102" s="678" t="s">
        <v>33</v>
      </c>
      <c r="C102" s="679"/>
      <c r="D102" s="679"/>
      <c r="E102" s="679"/>
      <c r="F102" s="679"/>
      <c r="G102" s="679"/>
      <c r="H102" s="679"/>
      <c r="I102" s="679"/>
      <c r="J102" s="679"/>
      <c r="K102" s="679"/>
      <c r="L102" s="679"/>
      <c r="M102" s="679"/>
      <c r="N102" s="679"/>
      <c r="O102" s="679"/>
      <c r="P102" s="679"/>
      <c r="Q102" s="679"/>
      <c r="R102" s="679"/>
      <c r="S102" s="679"/>
      <c r="T102" s="680"/>
      <c r="U102" s="681"/>
      <c r="V102" s="682"/>
      <c r="W102" s="683"/>
      <c r="X102" s="572"/>
    </row>
    <row r="103" spans="1:25" s="589" customFormat="1" x14ac:dyDescent="0.25">
      <c r="A103" s="604">
        <v>1</v>
      </c>
      <c r="B103" s="605" t="s">
        <v>34</v>
      </c>
      <c r="C103" s="605"/>
      <c r="D103" s="605"/>
      <c r="E103" s="605"/>
      <c r="F103" s="605"/>
      <c r="G103" s="605"/>
      <c r="H103" s="605"/>
      <c r="I103" s="605"/>
      <c r="J103" s="605"/>
      <c r="K103" s="605"/>
      <c r="L103" s="605"/>
      <c r="M103" s="605"/>
      <c r="N103" s="605"/>
      <c r="O103" s="605"/>
      <c r="P103" s="605"/>
      <c r="Q103" s="605"/>
      <c r="R103" s="605"/>
      <c r="S103" s="605"/>
      <c r="T103" s="605"/>
      <c r="U103" s="605"/>
      <c r="V103" s="663">
        <v>0</v>
      </c>
      <c r="W103" s="607"/>
      <c r="X103" s="588"/>
    </row>
    <row r="104" spans="1:25" s="589" customFormat="1" x14ac:dyDescent="0.25">
      <c r="A104" s="604">
        <f>+A103+1</f>
        <v>2</v>
      </c>
      <c r="B104" s="605" t="s">
        <v>314</v>
      </c>
      <c r="C104" s="605"/>
      <c r="D104" s="605"/>
      <c r="E104" s="605"/>
      <c r="F104" s="605"/>
      <c r="G104" s="605"/>
      <c r="H104" s="605"/>
      <c r="I104" s="605"/>
      <c r="J104" s="605"/>
      <c r="K104" s="605"/>
      <c r="L104" s="605"/>
      <c r="M104" s="605"/>
      <c r="N104" s="605"/>
      <c r="O104" s="605"/>
      <c r="P104" s="605"/>
      <c r="Q104" s="605"/>
      <c r="R104" s="605"/>
      <c r="S104" s="605"/>
      <c r="T104" s="605"/>
      <c r="U104" s="605"/>
      <c r="V104" s="663">
        <v>-2</v>
      </c>
      <c r="W104" s="607"/>
      <c r="X104" s="588"/>
    </row>
    <row r="105" spans="1:25" s="589" customFormat="1" x14ac:dyDescent="0.25">
      <c r="A105" s="604">
        <f>+A104+1</f>
        <v>3</v>
      </c>
      <c r="B105" s="684" t="s">
        <v>316</v>
      </c>
      <c r="C105" s="605"/>
      <c r="D105" s="605"/>
      <c r="E105" s="605"/>
      <c r="F105" s="605"/>
      <c r="G105" s="605"/>
      <c r="H105" s="605"/>
      <c r="I105" s="605"/>
      <c r="J105" s="605"/>
      <c r="K105" s="605"/>
      <c r="L105" s="605"/>
      <c r="M105" s="605"/>
      <c r="N105" s="605"/>
      <c r="O105" s="605"/>
      <c r="P105" s="605"/>
      <c r="Q105" s="605"/>
      <c r="R105" s="605"/>
      <c r="S105" s="605"/>
      <c r="T105" s="605"/>
      <c r="U105" s="605"/>
      <c r="V105" s="663">
        <f>-204-54-7</f>
        <v>-265</v>
      </c>
      <c r="W105" s="607"/>
      <c r="X105" s="588"/>
    </row>
    <row r="106" spans="1:25" s="589" customFormat="1" x14ac:dyDescent="0.25">
      <c r="A106" s="604" t="s">
        <v>127</v>
      </c>
      <c r="B106" s="605" t="s">
        <v>116</v>
      </c>
      <c r="C106" s="605"/>
      <c r="D106" s="605"/>
      <c r="E106" s="605"/>
      <c r="F106" s="605"/>
      <c r="G106" s="605"/>
      <c r="H106" s="605"/>
      <c r="I106" s="605"/>
      <c r="J106" s="605"/>
      <c r="K106" s="605"/>
      <c r="L106" s="605"/>
      <c r="M106" s="605"/>
      <c r="N106" s="605"/>
      <c r="O106" s="605"/>
      <c r="P106" s="605"/>
      <c r="Q106" s="605"/>
      <c r="R106" s="605"/>
      <c r="S106" s="605"/>
      <c r="T106" s="605"/>
      <c r="U106" s="605"/>
      <c r="V106" s="663">
        <v>0</v>
      </c>
      <c r="W106" s="607"/>
      <c r="X106" s="588"/>
    </row>
    <row r="107" spans="1:25" s="589" customFormat="1" x14ac:dyDescent="0.25">
      <c r="A107" s="604" t="s">
        <v>128</v>
      </c>
      <c r="B107" s="605" t="s">
        <v>220</v>
      </c>
      <c r="C107" s="605"/>
      <c r="D107" s="605"/>
      <c r="E107" s="605"/>
      <c r="F107" s="605"/>
      <c r="G107" s="605"/>
      <c r="H107" s="605"/>
      <c r="I107" s="605"/>
      <c r="J107" s="605"/>
      <c r="K107" s="605"/>
      <c r="L107" s="605"/>
      <c r="M107" s="605"/>
      <c r="N107" s="605"/>
      <c r="O107" s="605"/>
      <c r="P107" s="605"/>
      <c r="Q107" s="605"/>
      <c r="R107" s="605"/>
      <c r="S107" s="605"/>
      <c r="T107" s="605"/>
      <c r="U107" s="605"/>
      <c r="V107" s="663">
        <f>-401+106</f>
        <v>-295</v>
      </c>
      <c r="W107" s="607"/>
      <c r="X107" s="588"/>
      <c r="Y107" s="685"/>
    </row>
    <row r="108" spans="1:25" s="589" customFormat="1" x14ac:dyDescent="0.25">
      <c r="A108" s="604" t="s">
        <v>150</v>
      </c>
      <c r="B108" s="605" t="s">
        <v>184</v>
      </c>
      <c r="C108" s="605"/>
      <c r="D108" s="605"/>
      <c r="E108" s="605"/>
      <c r="F108" s="605"/>
      <c r="G108" s="605"/>
      <c r="H108" s="605"/>
      <c r="I108" s="605"/>
      <c r="J108" s="605"/>
      <c r="K108" s="605"/>
      <c r="L108" s="605"/>
      <c r="M108" s="605"/>
      <c r="N108" s="605"/>
      <c r="O108" s="605"/>
      <c r="P108" s="605"/>
      <c r="Q108" s="605"/>
      <c r="R108" s="605"/>
      <c r="S108" s="605"/>
      <c r="T108" s="605"/>
      <c r="U108" s="605"/>
      <c r="V108" s="663">
        <v>-106</v>
      </c>
      <c r="W108" s="607"/>
      <c r="X108" s="588"/>
      <c r="Y108" s="685"/>
    </row>
    <row r="109" spans="1:25" s="589" customFormat="1" x14ac:dyDescent="0.25">
      <c r="A109" s="604" t="s">
        <v>205</v>
      </c>
      <c r="B109" s="605" t="s">
        <v>185</v>
      </c>
      <c r="C109" s="605"/>
      <c r="D109" s="605"/>
      <c r="E109" s="605"/>
      <c r="F109" s="605"/>
      <c r="G109" s="605"/>
      <c r="H109" s="605"/>
      <c r="I109" s="605"/>
      <c r="J109" s="605"/>
      <c r="K109" s="605"/>
      <c r="L109" s="605"/>
      <c r="M109" s="605"/>
      <c r="N109" s="605"/>
      <c r="O109" s="605"/>
      <c r="P109" s="605"/>
      <c r="Q109" s="605"/>
      <c r="R109" s="605"/>
      <c r="S109" s="605"/>
      <c r="T109" s="605"/>
      <c r="U109" s="605"/>
      <c r="V109" s="663">
        <v>-118</v>
      </c>
      <c r="W109" s="607"/>
      <c r="X109" s="588"/>
      <c r="Y109" s="685"/>
    </row>
    <row r="110" spans="1:25" s="589" customFormat="1" x14ac:dyDescent="0.25">
      <c r="A110" s="604" t="s">
        <v>206</v>
      </c>
      <c r="B110" s="605" t="s">
        <v>186</v>
      </c>
      <c r="C110" s="605"/>
      <c r="D110" s="605"/>
      <c r="E110" s="605"/>
      <c r="F110" s="605"/>
      <c r="G110" s="605"/>
      <c r="H110" s="605"/>
      <c r="I110" s="605"/>
      <c r="J110" s="605"/>
      <c r="K110" s="605"/>
      <c r="L110" s="605"/>
      <c r="M110" s="605"/>
      <c r="N110" s="605"/>
      <c r="O110" s="605"/>
      <c r="P110" s="605"/>
      <c r="Q110" s="605"/>
      <c r="R110" s="605"/>
      <c r="S110" s="605"/>
      <c r="T110" s="605"/>
      <c r="U110" s="605"/>
      <c r="V110" s="663">
        <v>-31</v>
      </c>
      <c r="W110" s="607"/>
      <c r="X110" s="588"/>
      <c r="Y110" s="685"/>
    </row>
    <row r="111" spans="1:25" s="589" customFormat="1" x14ac:dyDescent="0.25">
      <c r="A111" s="604">
        <v>6</v>
      </c>
      <c r="B111" s="605" t="s">
        <v>196</v>
      </c>
      <c r="C111" s="605"/>
      <c r="D111" s="605"/>
      <c r="E111" s="605"/>
      <c r="F111" s="605"/>
      <c r="G111" s="605"/>
      <c r="H111" s="605"/>
      <c r="I111" s="605"/>
      <c r="J111" s="605"/>
      <c r="K111" s="605"/>
      <c r="L111" s="605"/>
      <c r="M111" s="605"/>
      <c r="N111" s="605"/>
      <c r="O111" s="605"/>
      <c r="P111" s="605"/>
      <c r="Q111" s="605"/>
      <c r="R111" s="605"/>
      <c r="S111" s="605"/>
      <c r="T111" s="605"/>
      <c r="U111" s="605"/>
      <c r="V111" s="663">
        <v>-269</v>
      </c>
      <c r="W111" s="607"/>
      <c r="X111" s="588"/>
      <c r="Y111" s="685"/>
    </row>
    <row r="112" spans="1:25" s="589" customFormat="1" x14ac:dyDescent="0.25">
      <c r="A112" s="604">
        <v>7</v>
      </c>
      <c r="B112" s="684" t="s">
        <v>315</v>
      </c>
      <c r="C112" s="605"/>
      <c r="D112" s="605"/>
      <c r="E112" s="605"/>
      <c r="F112" s="605"/>
      <c r="G112" s="605"/>
      <c r="H112" s="605"/>
      <c r="I112" s="605"/>
      <c r="J112" s="605"/>
      <c r="K112" s="605"/>
      <c r="L112" s="605"/>
      <c r="M112" s="605"/>
      <c r="N112" s="605"/>
      <c r="O112" s="605"/>
      <c r="P112" s="605"/>
      <c r="Q112" s="605"/>
      <c r="R112" s="605"/>
      <c r="S112" s="605"/>
      <c r="T112" s="605"/>
      <c r="U112" s="605"/>
      <c r="V112" s="663">
        <v>0</v>
      </c>
      <c r="W112" s="607"/>
      <c r="X112" s="588"/>
      <c r="Y112" s="685"/>
    </row>
    <row r="113" spans="1:24" s="589" customFormat="1" x14ac:dyDescent="0.25">
      <c r="A113" s="604">
        <v>8</v>
      </c>
      <c r="B113" s="605" t="s">
        <v>35</v>
      </c>
      <c r="C113" s="605"/>
      <c r="D113" s="605"/>
      <c r="E113" s="605"/>
      <c r="F113" s="605"/>
      <c r="G113" s="605"/>
      <c r="H113" s="605"/>
      <c r="I113" s="605"/>
      <c r="J113" s="605"/>
      <c r="K113" s="605"/>
      <c r="L113" s="605"/>
      <c r="M113" s="605"/>
      <c r="N113" s="605"/>
      <c r="O113" s="605"/>
      <c r="P113" s="605"/>
      <c r="Q113" s="605"/>
      <c r="R113" s="605"/>
      <c r="S113" s="605"/>
      <c r="T113" s="605"/>
      <c r="U113" s="605"/>
      <c r="V113" s="663">
        <v>-9</v>
      </c>
      <c r="W113" s="607"/>
      <c r="X113" s="588"/>
    </row>
    <row r="114" spans="1:24" s="589" customFormat="1" x14ac:dyDescent="0.25">
      <c r="A114" s="604">
        <f t="shared" ref="A114:A122" si="0">+A113+1</f>
        <v>9</v>
      </c>
      <c r="B114" s="605" t="s">
        <v>45</v>
      </c>
      <c r="C114" s="605"/>
      <c r="D114" s="605"/>
      <c r="E114" s="605"/>
      <c r="F114" s="605"/>
      <c r="G114" s="605"/>
      <c r="H114" s="605"/>
      <c r="I114" s="605"/>
      <c r="J114" s="605"/>
      <c r="K114" s="605"/>
      <c r="L114" s="605"/>
      <c r="M114" s="605"/>
      <c r="N114" s="605"/>
      <c r="O114" s="605"/>
      <c r="P114" s="605"/>
      <c r="Q114" s="605"/>
      <c r="R114" s="605"/>
      <c r="S114" s="605"/>
      <c r="T114" s="662">
        <f>-V114</f>
        <v>-3</v>
      </c>
      <c r="U114" s="605"/>
      <c r="V114" s="663">
        <v>3</v>
      </c>
      <c r="W114" s="607"/>
      <c r="X114" s="588"/>
    </row>
    <row r="115" spans="1:24" s="589" customFormat="1" x14ac:dyDescent="0.25">
      <c r="A115" s="604">
        <f t="shared" si="0"/>
        <v>10</v>
      </c>
      <c r="B115" s="605" t="s">
        <v>125</v>
      </c>
      <c r="C115" s="605"/>
      <c r="D115" s="605"/>
      <c r="E115" s="605"/>
      <c r="F115" s="605"/>
      <c r="G115" s="605"/>
      <c r="H115" s="605"/>
      <c r="I115" s="605"/>
      <c r="J115" s="605"/>
      <c r="K115" s="605"/>
      <c r="L115" s="605"/>
      <c r="M115" s="605"/>
      <c r="N115" s="605"/>
      <c r="O115" s="605"/>
      <c r="P115" s="605"/>
      <c r="Q115" s="605"/>
      <c r="R115" s="605"/>
      <c r="S115" s="605"/>
      <c r="T115" s="605"/>
      <c r="U115" s="605"/>
      <c r="V115" s="663">
        <v>0</v>
      </c>
      <c r="W115" s="607"/>
      <c r="X115" s="588"/>
    </row>
    <row r="116" spans="1:24" s="589" customFormat="1" x14ac:dyDescent="0.25">
      <c r="A116" s="604">
        <f t="shared" si="0"/>
        <v>11</v>
      </c>
      <c r="B116" s="605" t="s">
        <v>225</v>
      </c>
      <c r="C116" s="605"/>
      <c r="D116" s="605"/>
      <c r="E116" s="605"/>
      <c r="F116" s="605"/>
      <c r="G116" s="605"/>
      <c r="H116" s="605"/>
      <c r="I116" s="605"/>
      <c r="J116" s="605"/>
      <c r="K116" s="605"/>
      <c r="L116" s="605"/>
      <c r="M116" s="605"/>
      <c r="N116" s="605"/>
      <c r="O116" s="605"/>
      <c r="P116" s="605"/>
      <c r="Q116" s="605"/>
      <c r="R116" s="605"/>
      <c r="S116" s="605"/>
      <c r="T116" s="605"/>
      <c r="U116" s="605"/>
      <c r="V116" s="663">
        <v>0</v>
      </c>
      <c r="W116" s="607"/>
      <c r="X116" s="588"/>
    </row>
    <row r="117" spans="1:24" s="589" customFormat="1" x14ac:dyDescent="0.25">
      <c r="A117" s="604">
        <f t="shared" si="0"/>
        <v>12</v>
      </c>
      <c r="B117" s="605" t="s">
        <v>36</v>
      </c>
      <c r="C117" s="605"/>
      <c r="D117" s="605"/>
      <c r="E117" s="605"/>
      <c r="F117" s="605"/>
      <c r="G117" s="605"/>
      <c r="H117" s="605"/>
      <c r="I117" s="605"/>
      <c r="J117" s="605"/>
      <c r="K117" s="605"/>
      <c r="L117" s="605"/>
      <c r="M117" s="605"/>
      <c r="N117" s="605"/>
      <c r="O117" s="605"/>
      <c r="P117" s="605"/>
      <c r="Q117" s="605"/>
      <c r="R117" s="605"/>
      <c r="S117" s="605"/>
      <c r="T117" s="605"/>
      <c r="U117" s="605"/>
      <c r="V117" s="663">
        <v>0</v>
      </c>
      <c r="W117" s="607"/>
      <c r="X117" s="588"/>
    </row>
    <row r="118" spans="1:24" s="589" customFormat="1" x14ac:dyDescent="0.25">
      <c r="A118" s="604">
        <f t="shared" si="0"/>
        <v>13</v>
      </c>
      <c r="B118" s="605" t="s">
        <v>149</v>
      </c>
      <c r="C118" s="605"/>
      <c r="D118" s="605"/>
      <c r="E118" s="605"/>
      <c r="F118" s="605"/>
      <c r="G118" s="605"/>
      <c r="H118" s="605"/>
      <c r="I118" s="605"/>
      <c r="J118" s="605"/>
      <c r="K118" s="605"/>
      <c r="L118" s="605"/>
      <c r="M118" s="605"/>
      <c r="N118" s="605"/>
      <c r="O118" s="605"/>
      <c r="P118" s="605"/>
      <c r="Q118" s="605"/>
      <c r="R118" s="605"/>
      <c r="S118" s="605"/>
      <c r="T118" s="605"/>
      <c r="U118" s="605"/>
      <c r="V118" s="663">
        <v>-203</v>
      </c>
      <c r="W118" s="607"/>
      <c r="X118" s="588"/>
    </row>
    <row r="119" spans="1:24" s="589" customFormat="1" x14ac:dyDescent="0.25">
      <c r="A119" s="604">
        <f t="shared" si="0"/>
        <v>14</v>
      </c>
      <c r="B119" s="605" t="s">
        <v>353</v>
      </c>
      <c r="C119" s="605"/>
      <c r="D119" s="605"/>
      <c r="E119" s="605"/>
      <c r="F119" s="605"/>
      <c r="G119" s="605"/>
      <c r="H119" s="605"/>
      <c r="I119" s="605"/>
      <c r="J119" s="605"/>
      <c r="K119" s="605"/>
      <c r="L119" s="605"/>
      <c r="M119" s="605"/>
      <c r="N119" s="605"/>
      <c r="O119" s="605"/>
      <c r="P119" s="605"/>
      <c r="Q119" s="605"/>
      <c r="R119" s="605"/>
      <c r="S119" s="605"/>
      <c r="T119" s="605"/>
      <c r="U119" s="605"/>
      <c r="V119" s="663">
        <v>-201</v>
      </c>
      <c r="W119" s="607"/>
      <c r="X119" s="588"/>
    </row>
    <row r="120" spans="1:24" s="589" customFormat="1" x14ac:dyDescent="0.25">
      <c r="A120" s="604">
        <f t="shared" si="0"/>
        <v>15</v>
      </c>
      <c r="B120" s="605" t="s">
        <v>350</v>
      </c>
      <c r="C120" s="605"/>
      <c r="D120" s="605"/>
      <c r="E120" s="605"/>
      <c r="F120" s="605"/>
      <c r="G120" s="605"/>
      <c r="H120" s="605"/>
      <c r="I120" s="605"/>
      <c r="J120" s="605"/>
      <c r="K120" s="605"/>
      <c r="L120" s="605"/>
      <c r="M120" s="605"/>
      <c r="N120" s="605"/>
      <c r="O120" s="605"/>
      <c r="P120" s="605"/>
      <c r="Q120" s="605"/>
      <c r="R120" s="605"/>
      <c r="S120" s="605"/>
      <c r="T120" s="605"/>
      <c r="U120" s="605"/>
      <c r="V120" s="663">
        <v>0</v>
      </c>
      <c r="W120" s="607"/>
      <c r="X120" s="588"/>
    </row>
    <row r="121" spans="1:24" s="589" customFormat="1" x14ac:dyDescent="0.25">
      <c r="A121" s="604">
        <f t="shared" si="0"/>
        <v>16</v>
      </c>
      <c r="B121" s="605" t="s">
        <v>352</v>
      </c>
      <c r="C121" s="605"/>
      <c r="D121" s="605"/>
      <c r="E121" s="605"/>
      <c r="F121" s="605"/>
      <c r="G121" s="605"/>
      <c r="H121" s="605"/>
      <c r="I121" s="605"/>
      <c r="J121" s="605"/>
      <c r="K121" s="605"/>
      <c r="L121" s="605"/>
      <c r="M121" s="605"/>
      <c r="N121" s="605"/>
      <c r="O121" s="605"/>
      <c r="P121" s="605"/>
      <c r="Q121" s="605"/>
      <c r="R121" s="605"/>
      <c r="S121" s="605"/>
      <c r="T121" s="605"/>
      <c r="U121" s="605"/>
      <c r="V121" s="663">
        <v>0</v>
      </c>
      <c r="W121" s="607"/>
      <c r="X121" s="588"/>
    </row>
    <row r="122" spans="1:24" s="589" customFormat="1" x14ac:dyDescent="0.25">
      <c r="A122" s="604">
        <f t="shared" si="0"/>
        <v>17</v>
      </c>
      <c r="B122" s="605" t="s">
        <v>351</v>
      </c>
      <c r="C122" s="605"/>
      <c r="D122" s="605"/>
      <c r="E122" s="605"/>
      <c r="F122" s="605"/>
      <c r="G122" s="605"/>
      <c r="H122" s="605"/>
      <c r="I122" s="605"/>
      <c r="J122" s="605"/>
      <c r="K122" s="605"/>
      <c r="L122" s="605"/>
      <c r="M122" s="605"/>
      <c r="N122" s="605"/>
      <c r="O122" s="605"/>
      <c r="P122" s="605"/>
      <c r="Q122" s="605"/>
      <c r="R122" s="605"/>
      <c r="S122" s="605"/>
      <c r="T122" s="605"/>
      <c r="U122" s="605"/>
      <c r="V122" s="663">
        <f>-V101-SUM(V103:V121)</f>
        <v>-1301</v>
      </c>
      <c r="W122" s="607"/>
      <c r="X122" s="588"/>
    </row>
    <row r="123" spans="1:24" x14ac:dyDescent="0.25">
      <c r="A123" s="677"/>
      <c r="B123" s="678" t="s">
        <v>37</v>
      </c>
      <c r="C123" s="679"/>
      <c r="D123" s="679"/>
      <c r="E123" s="679"/>
      <c r="F123" s="679"/>
      <c r="G123" s="679"/>
      <c r="H123" s="679"/>
      <c r="I123" s="679"/>
      <c r="J123" s="679"/>
      <c r="K123" s="679"/>
      <c r="L123" s="679"/>
      <c r="M123" s="679"/>
      <c r="N123" s="679"/>
      <c r="O123" s="679"/>
      <c r="P123" s="679"/>
      <c r="Q123" s="679"/>
      <c r="R123" s="679"/>
      <c r="S123" s="679"/>
      <c r="T123" s="681"/>
      <c r="U123" s="681"/>
      <c r="V123" s="686"/>
      <c r="W123" s="683"/>
      <c r="X123" s="572"/>
    </row>
    <row r="124" spans="1:24" s="589" customFormat="1" x14ac:dyDescent="0.25">
      <c r="A124" s="604"/>
      <c r="B124" s="605" t="s">
        <v>173</v>
      </c>
      <c r="C124" s="605"/>
      <c r="D124" s="605"/>
      <c r="E124" s="605"/>
      <c r="F124" s="605"/>
      <c r="G124" s="605"/>
      <c r="H124" s="605"/>
      <c r="I124" s="605"/>
      <c r="J124" s="605"/>
      <c r="K124" s="605"/>
      <c r="L124" s="605"/>
      <c r="M124" s="605"/>
      <c r="N124" s="605"/>
      <c r="O124" s="605"/>
      <c r="P124" s="605"/>
      <c r="Q124" s="605"/>
      <c r="R124" s="605"/>
      <c r="S124" s="605"/>
      <c r="T124" s="662">
        <f>-T189</f>
        <v>0</v>
      </c>
      <c r="U124" s="662"/>
      <c r="V124" s="663"/>
      <c r="W124" s="607"/>
      <c r="X124" s="588"/>
    </row>
    <row r="125" spans="1:24" s="589" customFormat="1" x14ac:dyDescent="0.25">
      <c r="A125" s="604"/>
      <c r="B125" s="605" t="s">
        <v>174</v>
      </c>
      <c r="C125" s="605"/>
      <c r="D125" s="605"/>
      <c r="E125" s="605"/>
      <c r="F125" s="605"/>
      <c r="G125" s="605"/>
      <c r="H125" s="605"/>
      <c r="I125" s="605"/>
      <c r="J125" s="605"/>
      <c r="K125" s="605"/>
      <c r="L125" s="605"/>
      <c r="M125" s="605"/>
      <c r="N125" s="605"/>
      <c r="O125" s="605"/>
      <c r="P125" s="605"/>
      <c r="Q125" s="605"/>
      <c r="R125" s="605"/>
      <c r="S125" s="605"/>
      <c r="T125" s="662">
        <v>0</v>
      </c>
      <c r="U125" s="662"/>
      <c r="V125" s="663"/>
      <c r="W125" s="607"/>
      <c r="X125" s="588"/>
    </row>
    <row r="126" spans="1:24" s="589" customFormat="1" x14ac:dyDescent="0.25">
      <c r="A126" s="604"/>
      <c r="B126" s="605" t="s">
        <v>38</v>
      </c>
      <c r="C126" s="605"/>
      <c r="D126" s="605"/>
      <c r="E126" s="605"/>
      <c r="F126" s="605"/>
      <c r="G126" s="605"/>
      <c r="H126" s="605"/>
      <c r="I126" s="605"/>
      <c r="J126" s="605"/>
      <c r="K126" s="605"/>
      <c r="L126" s="605"/>
      <c r="M126" s="605"/>
      <c r="N126" s="605"/>
      <c r="O126" s="605"/>
      <c r="P126" s="605"/>
      <c r="Q126" s="605"/>
      <c r="R126" s="605"/>
      <c r="S126" s="605"/>
      <c r="T126" s="662">
        <f>-S189</f>
        <v>0</v>
      </c>
      <c r="U126" s="662"/>
      <c r="V126" s="663"/>
      <c r="W126" s="607"/>
      <c r="X126" s="588"/>
    </row>
    <row r="127" spans="1:24" s="589" customFormat="1" x14ac:dyDescent="0.25">
      <c r="A127" s="604"/>
      <c r="B127" s="605" t="s">
        <v>197</v>
      </c>
      <c r="C127" s="605"/>
      <c r="D127" s="605"/>
      <c r="E127" s="605"/>
      <c r="F127" s="605"/>
      <c r="G127" s="605"/>
      <c r="H127" s="605"/>
      <c r="I127" s="605"/>
      <c r="J127" s="605"/>
      <c r="K127" s="605"/>
      <c r="L127" s="605"/>
      <c r="M127" s="605"/>
      <c r="N127" s="605"/>
      <c r="O127" s="605"/>
      <c r="P127" s="605"/>
      <c r="Q127" s="605"/>
      <c r="R127" s="605"/>
      <c r="S127" s="605"/>
      <c r="T127" s="662">
        <v>-3775</v>
      </c>
      <c r="U127" s="662"/>
      <c r="V127" s="663"/>
      <c r="W127" s="607"/>
      <c r="X127" s="588"/>
    </row>
    <row r="128" spans="1:24" s="589" customFormat="1" x14ac:dyDescent="0.25">
      <c r="A128" s="604"/>
      <c r="B128" s="605" t="s">
        <v>195</v>
      </c>
      <c r="C128" s="605"/>
      <c r="D128" s="605"/>
      <c r="E128" s="605"/>
      <c r="F128" s="605"/>
      <c r="G128" s="605"/>
      <c r="H128" s="605"/>
      <c r="I128" s="605"/>
      <c r="J128" s="605"/>
      <c r="K128" s="605"/>
      <c r="L128" s="605"/>
      <c r="M128" s="605"/>
      <c r="N128" s="605"/>
      <c r="O128" s="605"/>
      <c r="P128" s="605"/>
      <c r="Q128" s="605"/>
      <c r="R128" s="605"/>
      <c r="S128" s="605"/>
      <c r="T128" s="662">
        <v>-1604</v>
      </c>
      <c r="U128" s="662"/>
      <c r="V128" s="663"/>
      <c r="W128" s="607"/>
      <c r="X128" s="588"/>
    </row>
    <row r="129" spans="1:24" s="589" customFormat="1" x14ac:dyDescent="0.25">
      <c r="A129" s="604"/>
      <c r="B129" s="605" t="s">
        <v>194</v>
      </c>
      <c r="C129" s="605"/>
      <c r="D129" s="605"/>
      <c r="E129" s="605"/>
      <c r="F129" s="605"/>
      <c r="G129" s="605"/>
      <c r="H129" s="605"/>
      <c r="I129" s="605"/>
      <c r="J129" s="605"/>
      <c r="K129" s="605"/>
      <c r="L129" s="605"/>
      <c r="M129" s="605"/>
      <c r="N129" s="605"/>
      <c r="O129" s="605"/>
      <c r="P129" s="605"/>
      <c r="Q129" s="605"/>
      <c r="R129" s="605"/>
      <c r="S129" s="605"/>
      <c r="T129" s="662">
        <v>-572</v>
      </c>
      <c r="U129" s="662"/>
      <c r="V129" s="663"/>
      <c r="W129" s="607"/>
      <c r="X129" s="588"/>
    </row>
    <row r="130" spans="1:24" s="589" customFormat="1" x14ac:dyDescent="0.25">
      <c r="A130" s="604"/>
      <c r="B130" s="605" t="s">
        <v>222</v>
      </c>
      <c r="C130" s="605"/>
      <c r="D130" s="605"/>
      <c r="E130" s="605"/>
      <c r="F130" s="605"/>
      <c r="G130" s="605"/>
      <c r="H130" s="605"/>
      <c r="I130" s="605"/>
      <c r="J130" s="605"/>
      <c r="K130" s="605"/>
      <c r="L130" s="605"/>
      <c r="M130" s="605"/>
      <c r="N130" s="605"/>
      <c r="O130" s="605"/>
      <c r="P130" s="605"/>
      <c r="Q130" s="605"/>
      <c r="R130" s="605"/>
      <c r="S130" s="605"/>
      <c r="T130" s="662">
        <v>-566</v>
      </c>
      <c r="U130" s="662"/>
      <c r="V130" s="663"/>
      <c r="W130" s="607"/>
      <c r="X130" s="588"/>
    </row>
    <row r="131" spans="1:24" s="589" customFormat="1" x14ac:dyDescent="0.25">
      <c r="A131" s="604"/>
      <c r="B131" s="605" t="s">
        <v>189</v>
      </c>
      <c r="C131" s="605"/>
      <c r="D131" s="605"/>
      <c r="E131" s="605"/>
      <c r="F131" s="605"/>
      <c r="G131" s="605"/>
      <c r="H131" s="605"/>
      <c r="I131" s="605"/>
      <c r="J131" s="605"/>
      <c r="K131" s="605"/>
      <c r="L131" s="605"/>
      <c r="M131" s="605"/>
      <c r="N131" s="605"/>
      <c r="O131" s="605"/>
      <c r="P131" s="605"/>
      <c r="Q131" s="605"/>
      <c r="R131" s="605"/>
      <c r="S131" s="605"/>
      <c r="T131" s="662">
        <v>0</v>
      </c>
      <c r="U131" s="662"/>
      <c r="V131" s="663"/>
      <c r="W131" s="607"/>
      <c r="X131" s="588"/>
    </row>
    <row r="132" spans="1:24" s="589" customFormat="1" x14ac:dyDescent="0.25">
      <c r="A132" s="604"/>
      <c r="B132" s="605" t="s">
        <v>188</v>
      </c>
      <c r="C132" s="605"/>
      <c r="D132" s="605"/>
      <c r="E132" s="605"/>
      <c r="F132" s="605"/>
      <c r="G132" s="605"/>
      <c r="H132" s="605"/>
      <c r="I132" s="605"/>
      <c r="J132" s="605"/>
      <c r="K132" s="605"/>
      <c r="L132" s="605"/>
      <c r="M132" s="605"/>
      <c r="N132" s="605"/>
      <c r="O132" s="605"/>
      <c r="P132" s="605"/>
      <c r="Q132" s="605"/>
      <c r="R132" s="605"/>
      <c r="S132" s="605"/>
      <c r="T132" s="662">
        <v>0</v>
      </c>
      <c r="U132" s="662"/>
      <c r="V132" s="663"/>
      <c r="W132" s="607"/>
      <c r="X132" s="588"/>
    </row>
    <row r="133" spans="1:24" s="589" customFormat="1" x14ac:dyDescent="0.25">
      <c r="A133" s="604"/>
      <c r="B133" s="605" t="s">
        <v>187</v>
      </c>
      <c r="C133" s="605"/>
      <c r="D133" s="605"/>
      <c r="E133" s="605"/>
      <c r="F133" s="605"/>
      <c r="G133" s="605"/>
      <c r="H133" s="605"/>
      <c r="I133" s="605"/>
      <c r="J133" s="605"/>
      <c r="K133" s="605"/>
      <c r="L133" s="605"/>
      <c r="M133" s="605"/>
      <c r="N133" s="605"/>
      <c r="O133" s="605"/>
      <c r="P133" s="605"/>
      <c r="Q133" s="605"/>
      <c r="R133" s="605"/>
      <c r="S133" s="605"/>
      <c r="T133" s="662">
        <v>0</v>
      </c>
      <c r="U133" s="662"/>
      <c r="V133" s="663"/>
      <c r="W133" s="607"/>
      <c r="X133" s="588"/>
    </row>
    <row r="134" spans="1:24" s="589" customFormat="1" x14ac:dyDescent="0.25">
      <c r="A134" s="604"/>
      <c r="B134" s="605" t="s">
        <v>39</v>
      </c>
      <c r="C134" s="605"/>
      <c r="D134" s="605"/>
      <c r="E134" s="605"/>
      <c r="F134" s="605"/>
      <c r="G134" s="605"/>
      <c r="H134" s="605"/>
      <c r="I134" s="605"/>
      <c r="J134" s="605"/>
      <c r="K134" s="605"/>
      <c r="L134" s="605"/>
      <c r="M134" s="605"/>
      <c r="N134" s="605"/>
      <c r="O134" s="605"/>
      <c r="P134" s="605"/>
      <c r="Q134" s="605"/>
      <c r="R134" s="605"/>
      <c r="S134" s="605"/>
      <c r="T134" s="662">
        <f>SUM(T124:T133)</f>
        <v>-6517</v>
      </c>
      <c r="U134" s="662"/>
      <c r="V134" s="662">
        <f>SUM(V102:V132)</f>
        <v>-2797</v>
      </c>
      <c r="W134" s="607"/>
      <c r="X134" s="588"/>
    </row>
    <row r="135" spans="1:24" s="589" customFormat="1" x14ac:dyDescent="0.25">
      <c r="A135" s="604"/>
      <c r="B135" s="605" t="s">
        <v>40</v>
      </c>
      <c r="C135" s="605"/>
      <c r="D135" s="605"/>
      <c r="E135" s="605"/>
      <c r="F135" s="605"/>
      <c r="G135" s="605"/>
      <c r="H135" s="605"/>
      <c r="I135" s="605"/>
      <c r="J135" s="605"/>
      <c r="K135" s="605"/>
      <c r="L135" s="605"/>
      <c r="M135" s="605"/>
      <c r="N135" s="605"/>
      <c r="O135" s="605"/>
      <c r="P135" s="605"/>
      <c r="Q135" s="605"/>
      <c r="R135" s="605"/>
      <c r="S135" s="605"/>
      <c r="T135" s="662">
        <f>T101+T134+T114</f>
        <v>0</v>
      </c>
      <c r="U135" s="662"/>
      <c r="V135" s="662">
        <f>V101+V134</f>
        <v>0</v>
      </c>
      <c r="W135" s="607"/>
      <c r="X135" s="588"/>
    </row>
    <row r="136" spans="1:24" s="589" customFormat="1" x14ac:dyDescent="0.25">
      <c r="A136" s="585"/>
      <c r="B136" s="602"/>
      <c r="C136" s="602"/>
      <c r="D136" s="602"/>
      <c r="E136" s="602"/>
      <c r="F136" s="602"/>
      <c r="G136" s="602"/>
      <c r="H136" s="602"/>
      <c r="I136" s="602"/>
      <c r="J136" s="602"/>
      <c r="K136" s="602"/>
      <c r="L136" s="602"/>
      <c r="M136" s="602"/>
      <c r="N136" s="602"/>
      <c r="O136" s="602"/>
      <c r="P136" s="602"/>
      <c r="Q136" s="602"/>
      <c r="R136" s="602"/>
      <c r="S136" s="602"/>
      <c r="T136" s="673"/>
      <c r="U136" s="673"/>
      <c r="V136" s="673"/>
      <c r="W136" s="602"/>
      <c r="X136" s="588"/>
    </row>
    <row r="137" spans="1:24" s="589" customFormat="1" x14ac:dyDescent="0.25">
      <c r="A137" s="585"/>
      <c r="B137" s="586"/>
      <c r="C137" s="586"/>
      <c r="D137" s="586"/>
      <c r="E137" s="586"/>
      <c r="F137" s="586"/>
      <c r="G137" s="586"/>
      <c r="H137" s="586"/>
      <c r="I137" s="586"/>
      <c r="J137" s="586"/>
      <c r="K137" s="586"/>
      <c r="L137" s="586"/>
      <c r="M137" s="586"/>
      <c r="N137" s="586"/>
      <c r="O137" s="586"/>
      <c r="P137" s="586"/>
      <c r="Q137" s="586"/>
      <c r="R137" s="586"/>
      <c r="S137" s="586"/>
      <c r="T137" s="586"/>
      <c r="U137" s="586"/>
      <c r="V137" s="687"/>
      <c r="W137" s="586"/>
      <c r="X137" s="588"/>
    </row>
    <row r="138" spans="1:24" s="589" customFormat="1" ht="19.5" thickBot="1" x14ac:dyDescent="0.35">
      <c r="A138" s="649"/>
      <c r="B138" s="568" t="str">
        <f>B64</f>
        <v>PM15 INVESTOR REPORT QUARTER ENDING AUGUST 2020</v>
      </c>
      <c r="C138" s="650"/>
      <c r="D138" s="650"/>
      <c r="E138" s="650"/>
      <c r="F138" s="650"/>
      <c r="G138" s="650"/>
      <c r="H138" s="650"/>
      <c r="I138" s="650"/>
      <c r="J138" s="650"/>
      <c r="K138" s="650"/>
      <c r="L138" s="650"/>
      <c r="M138" s="650"/>
      <c r="N138" s="650"/>
      <c r="O138" s="650"/>
      <c r="P138" s="650"/>
      <c r="Q138" s="650"/>
      <c r="R138" s="650"/>
      <c r="S138" s="650"/>
      <c r="T138" s="650"/>
      <c r="U138" s="650"/>
      <c r="V138" s="688"/>
      <c r="W138" s="652"/>
      <c r="X138" s="588"/>
    </row>
    <row r="139" spans="1:24" x14ac:dyDescent="0.25">
      <c r="A139" s="689"/>
      <c r="B139" s="690" t="s">
        <v>41</v>
      </c>
      <c r="C139" s="691"/>
      <c r="D139" s="691"/>
      <c r="E139" s="691"/>
      <c r="F139" s="691"/>
      <c r="G139" s="691"/>
      <c r="H139" s="691"/>
      <c r="I139" s="691"/>
      <c r="J139" s="691"/>
      <c r="K139" s="691"/>
      <c r="L139" s="691"/>
      <c r="M139" s="691"/>
      <c r="N139" s="691"/>
      <c r="O139" s="691"/>
      <c r="P139" s="691"/>
      <c r="Q139" s="691"/>
      <c r="R139" s="691"/>
      <c r="S139" s="691"/>
      <c r="T139" s="691"/>
      <c r="U139" s="691"/>
      <c r="V139" s="692"/>
      <c r="W139" s="691"/>
      <c r="X139" s="572"/>
    </row>
    <row r="140" spans="1:24" x14ac:dyDescent="0.25">
      <c r="A140" s="574"/>
      <c r="B140" s="693"/>
      <c r="C140" s="576"/>
      <c r="D140" s="576"/>
      <c r="E140" s="576"/>
      <c r="F140" s="576"/>
      <c r="G140" s="576"/>
      <c r="H140" s="576"/>
      <c r="I140" s="576"/>
      <c r="J140" s="576"/>
      <c r="K140" s="576"/>
      <c r="L140" s="576"/>
      <c r="M140" s="576"/>
      <c r="N140" s="576"/>
      <c r="O140" s="576"/>
      <c r="P140" s="576"/>
      <c r="Q140" s="576"/>
      <c r="R140" s="576"/>
      <c r="S140" s="576"/>
      <c r="T140" s="576"/>
      <c r="U140" s="576"/>
      <c r="V140" s="656"/>
      <c r="W140" s="576"/>
      <c r="X140" s="572"/>
    </row>
    <row r="141" spans="1:24" x14ac:dyDescent="0.25">
      <c r="A141" s="574"/>
      <c r="B141" s="694" t="s">
        <v>42</v>
      </c>
      <c r="C141" s="576"/>
      <c r="D141" s="576"/>
      <c r="E141" s="576"/>
      <c r="F141" s="576"/>
      <c r="G141" s="576"/>
      <c r="H141" s="576"/>
      <c r="I141" s="576"/>
      <c r="J141" s="576"/>
      <c r="K141" s="576"/>
      <c r="L141" s="576"/>
      <c r="M141" s="576"/>
      <c r="N141" s="576"/>
      <c r="O141" s="576"/>
      <c r="P141" s="576"/>
      <c r="Q141" s="576"/>
      <c r="R141" s="576"/>
      <c r="S141" s="576"/>
      <c r="T141" s="576"/>
      <c r="U141" s="576"/>
      <c r="V141" s="656"/>
      <c r="W141" s="576"/>
      <c r="X141" s="572"/>
    </row>
    <row r="142" spans="1:24" s="589" customFormat="1" x14ac:dyDescent="0.25">
      <c r="A142" s="604"/>
      <c r="B142" s="605" t="s">
        <v>43</v>
      </c>
      <c r="C142" s="605"/>
      <c r="D142" s="605"/>
      <c r="E142" s="605"/>
      <c r="F142" s="605"/>
      <c r="G142" s="605"/>
      <c r="H142" s="605"/>
      <c r="I142" s="605"/>
      <c r="J142" s="605"/>
      <c r="K142" s="605"/>
      <c r="L142" s="605"/>
      <c r="M142" s="605"/>
      <c r="N142" s="605"/>
      <c r="O142" s="605"/>
      <c r="P142" s="605"/>
      <c r="Q142" s="605"/>
      <c r="R142" s="605"/>
      <c r="S142" s="605"/>
      <c r="T142" s="605"/>
      <c r="U142" s="605"/>
      <c r="V142" s="663">
        <f>+V34*0.019</f>
        <v>19021.526999999998</v>
      </c>
      <c r="W142" s="607"/>
      <c r="X142" s="588"/>
    </row>
    <row r="143" spans="1:24" s="589" customFormat="1" x14ac:dyDescent="0.25">
      <c r="A143" s="604"/>
      <c r="B143" s="605" t="s">
        <v>44</v>
      </c>
      <c r="C143" s="605"/>
      <c r="D143" s="605"/>
      <c r="E143" s="605"/>
      <c r="F143" s="605"/>
      <c r="G143" s="605"/>
      <c r="H143" s="605"/>
      <c r="I143" s="605"/>
      <c r="J143" s="605"/>
      <c r="K143" s="605"/>
      <c r="L143" s="605"/>
      <c r="M143" s="605"/>
      <c r="N143" s="605"/>
      <c r="O143" s="605"/>
      <c r="P143" s="605"/>
      <c r="Q143" s="605"/>
      <c r="R143" s="605"/>
      <c r="S143" s="605"/>
      <c r="T143" s="605"/>
      <c r="U143" s="605"/>
      <c r="V143" s="663">
        <v>19022</v>
      </c>
      <c r="W143" s="607"/>
      <c r="X143" s="588"/>
    </row>
    <row r="144" spans="1:24" s="589" customFormat="1" x14ac:dyDescent="0.25">
      <c r="A144" s="604"/>
      <c r="B144" s="605" t="s">
        <v>136</v>
      </c>
      <c r="C144" s="605"/>
      <c r="D144" s="605"/>
      <c r="E144" s="605"/>
      <c r="F144" s="605"/>
      <c r="G144" s="605"/>
      <c r="H144" s="605"/>
      <c r="I144" s="605"/>
      <c r="J144" s="605"/>
      <c r="K144" s="605"/>
      <c r="L144" s="605"/>
      <c r="M144" s="605"/>
      <c r="N144" s="605"/>
      <c r="O144" s="605"/>
      <c r="P144" s="605"/>
      <c r="Q144" s="605"/>
      <c r="R144" s="605"/>
      <c r="S144" s="605"/>
      <c r="T144" s="605"/>
      <c r="U144" s="605"/>
      <c r="V144" s="663"/>
      <c r="W144" s="607"/>
      <c r="X144" s="588"/>
    </row>
    <row r="145" spans="1:25" s="589" customFormat="1" x14ac:dyDescent="0.25">
      <c r="A145" s="604"/>
      <c r="B145" s="605" t="s">
        <v>123</v>
      </c>
      <c r="C145" s="605"/>
      <c r="D145" s="605"/>
      <c r="E145" s="605"/>
      <c r="F145" s="605"/>
      <c r="G145" s="605"/>
      <c r="H145" s="605"/>
      <c r="I145" s="605"/>
      <c r="J145" s="605"/>
      <c r="K145" s="605"/>
      <c r="L145" s="605"/>
      <c r="M145" s="605"/>
      <c r="N145" s="605"/>
      <c r="O145" s="605"/>
      <c r="P145" s="605"/>
      <c r="Q145" s="605"/>
      <c r="R145" s="605"/>
      <c r="S145" s="605"/>
      <c r="T145" s="605"/>
      <c r="U145" s="605"/>
      <c r="V145" s="663">
        <v>0</v>
      </c>
      <c r="W145" s="607"/>
      <c r="X145" s="588"/>
    </row>
    <row r="146" spans="1:25" s="589" customFormat="1" x14ac:dyDescent="0.25">
      <c r="A146" s="604"/>
      <c r="B146" s="605" t="s">
        <v>124</v>
      </c>
      <c r="C146" s="605"/>
      <c r="D146" s="605"/>
      <c r="E146" s="605"/>
      <c r="F146" s="605"/>
      <c r="G146" s="605"/>
      <c r="H146" s="605"/>
      <c r="I146" s="605"/>
      <c r="J146" s="605"/>
      <c r="K146" s="605"/>
      <c r="L146" s="605"/>
      <c r="M146" s="605"/>
      <c r="N146" s="605"/>
      <c r="O146" s="605"/>
      <c r="P146" s="605"/>
      <c r="Q146" s="605"/>
      <c r="R146" s="605"/>
      <c r="S146" s="605"/>
      <c r="T146" s="605"/>
      <c r="U146" s="605"/>
      <c r="V146" s="663">
        <v>0</v>
      </c>
      <c r="W146" s="607"/>
      <c r="X146" s="588"/>
    </row>
    <row r="147" spans="1:25" s="589" customFormat="1" x14ac:dyDescent="0.25">
      <c r="A147" s="604"/>
      <c r="B147" s="605" t="s">
        <v>175</v>
      </c>
      <c r="C147" s="605"/>
      <c r="D147" s="605"/>
      <c r="E147" s="605"/>
      <c r="F147" s="605"/>
      <c r="G147" s="605"/>
      <c r="H147" s="605"/>
      <c r="I147" s="605"/>
      <c r="J147" s="605"/>
      <c r="K147" s="605"/>
      <c r="L147" s="605"/>
      <c r="M147" s="605"/>
      <c r="N147" s="605"/>
      <c r="O147" s="605"/>
      <c r="P147" s="605"/>
      <c r="Q147" s="605"/>
      <c r="R147" s="605"/>
      <c r="S147" s="605"/>
      <c r="T147" s="605"/>
      <c r="U147" s="605"/>
      <c r="V147" s="663">
        <v>0</v>
      </c>
      <c r="W147" s="607"/>
      <c r="X147" s="588"/>
    </row>
    <row r="148" spans="1:25" s="589" customFormat="1" x14ac:dyDescent="0.25">
      <c r="A148" s="604"/>
      <c r="B148" s="605" t="s">
        <v>45</v>
      </c>
      <c r="C148" s="605"/>
      <c r="D148" s="605"/>
      <c r="E148" s="605"/>
      <c r="F148" s="605"/>
      <c r="G148" s="605"/>
      <c r="H148" s="605"/>
      <c r="I148" s="605"/>
      <c r="J148" s="605"/>
      <c r="K148" s="605"/>
      <c r="L148" s="605"/>
      <c r="M148" s="605"/>
      <c r="N148" s="605"/>
      <c r="O148" s="605"/>
      <c r="P148" s="605"/>
      <c r="Q148" s="605"/>
      <c r="R148" s="605"/>
      <c r="S148" s="605"/>
      <c r="T148" s="605"/>
      <c r="U148" s="605"/>
      <c r="V148" s="663">
        <v>0</v>
      </c>
      <c r="W148" s="607"/>
      <c r="X148" s="588"/>
    </row>
    <row r="149" spans="1:25" s="589" customFormat="1" x14ac:dyDescent="0.25">
      <c r="A149" s="604"/>
      <c r="B149" s="605" t="s">
        <v>129</v>
      </c>
      <c r="C149" s="605"/>
      <c r="D149" s="605"/>
      <c r="E149" s="605"/>
      <c r="F149" s="605"/>
      <c r="G149" s="605"/>
      <c r="H149" s="605"/>
      <c r="I149" s="605"/>
      <c r="J149" s="605"/>
      <c r="K149" s="605"/>
      <c r="L149" s="605"/>
      <c r="M149" s="605"/>
      <c r="N149" s="605"/>
      <c r="O149" s="605"/>
      <c r="P149" s="605"/>
      <c r="Q149" s="605"/>
      <c r="R149" s="605"/>
      <c r="S149" s="605"/>
      <c r="T149" s="605"/>
      <c r="U149" s="605"/>
      <c r="V149" s="663">
        <v>0</v>
      </c>
      <c r="W149" s="607"/>
      <c r="X149" s="588"/>
    </row>
    <row r="150" spans="1:25" s="589" customFormat="1" x14ac:dyDescent="0.25">
      <c r="A150" s="604"/>
      <c r="B150" s="605" t="s">
        <v>241</v>
      </c>
      <c r="C150" s="605"/>
      <c r="D150" s="605"/>
      <c r="E150" s="605"/>
      <c r="F150" s="605"/>
      <c r="G150" s="605"/>
      <c r="H150" s="605"/>
      <c r="I150" s="605"/>
      <c r="J150" s="605"/>
      <c r="K150" s="605"/>
      <c r="L150" s="605"/>
      <c r="M150" s="605"/>
      <c r="N150" s="605"/>
      <c r="O150" s="605"/>
      <c r="P150" s="605"/>
      <c r="Q150" s="605"/>
      <c r="R150" s="605"/>
      <c r="S150" s="605"/>
      <c r="T150" s="605"/>
      <c r="U150" s="605"/>
      <c r="V150" s="663">
        <v>0</v>
      </c>
      <c r="W150" s="607"/>
      <c r="X150" s="588"/>
      <c r="Y150" s="685"/>
    </row>
    <row r="151" spans="1:25" s="589" customFormat="1" x14ac:dyDescent="0.25">
      <c r="A151" s="604"/>
      <c r="B151" s="605" t="s">
        <v>46</v>
      </c>
      <c r="C151" s="605"/>
      <c r="D151" s="605"/>
      <c r="E151" s="605"/>
      <c r="F151" s="605"/>
      <c r="G151" s="605"/>
      <c r="H151" s="605"/>
      <c r="I151" s="605"/>
      <c r="J151" s="605"/>
      <c r="K151" s="605"/>
      <c r="L151" s="605"/>
      <c r="M151" s="605"/>
      <c r="N151" s="605"/>
      <c r="O151" s="605"/>
      <c r="P151" s="605"/>
      <c r="Q151" s="605"/>
      <c r="R151" s="605"/>
      <c r="S151" s="605"/>
      <c r="T151" s="605"/>
      <c r="U151" s="605"/>
      <c r="V151" s="663">
        <f>SUM(V143:V150)</f>
        <v>19022</v>
      </c>
      <c r="W151" s="607"/>
      <c r="X151" s="588"/>
    </row>
    <row r="152" spans="1:25" x14ac:dyDescent="0.25">
      <c r="A152" s="677"/>
      <c r="B152" s="679"/>
      <c r="C152" s="679"/>
      <c r="D152" s="679"/>
      <c r="E152" s="679"/>
      <c r="F152" s="679"/>
      <c r="G152" s="679"/>
      <c r="H152" s="679"/>
      <c r="I152" s="679"/>
      <c r="J152" s="679"/>
      <c r="K152" s="679"/>
      <c r="L152" s="679"/>
      <c r="M152" s="679"/>
      <c r="N152" s="679"/>
      <c r="O152" s="679"/>
      <c r="P152" s="679"/>
      <c r="Q152" s="679"/>
      <c r="R152" s="679"/>
      <c r="S152" s="679"/>
      <c r="T152" s="679"/>
      <c r="U152" s="679"/>
      <c r="V152" s="695"/>
      <c r="W152" s="683"/>
      <c r="X152" s="572"/>
    </row>
    <row r="153" spans="1:25" x14ac:dyDescent="0.25">
      <c r="A153" s="677"/>
      <c r="B153" s="678" t="s">
        <v>269</v>
      </c>
      <c r="C153" s="679"/>
      <c r="D153" s="679"/>
      <c r="E153" s="679"/>
      <c r="F153" s="679"/>
      <c r="G153" s="679"/>
      <c r="H153" s="679"/>
      <c r="I153" s="679"/>
      <c r="J153" s="679"/>
      <c r="K153" s="679"/>
      <c r="L153" s="679"/>
      <c r="M153" s="679"/>
      <c r="N153" s="679"/>
      <c r="O153" s="679"/>
      <c r="P153" s="679"/>
      <c r="Q153" s="679"/>
      <c r="R153" s="679"/>
      <c r="S153" s="679"/>
      <c r="T153" s="679"/>
      <c r="U153" s="679"/>
      <c r="V153" s="695"/>
      <c r="W153" s="683"/>
      <c r="X153" s="572"/>
    </row>
    <row r="154" spans="1:25" s="589" customFormat="1" x14ac:dyDescent="0.25">
      <c r="A154" s="604"/>
      <c r="B154" s="605" t="s">
        <v>155</v>
      </c>
      <c r="C154" s="605"/>
      <c r="D154" s="605"/>
      <c r="E154" s="605"/>
      <c r="F154" s="605"/>
      <c r="G154" s="605"/>
      <c r="H154" s="605"/>
      <c r="I154" s="605"/>
      <c r="J154" s="605"/>
      <c r="K154" s="605"/>
      <c r="L154" s="605"/>
      <c r="M154" s="605"/>
      <c r="N154" s="605"/>
      <c r="O154" s="605"/>
      <c r="P154" s="605"/>
      <c r="Q154" s="605"/>
      <c r="R154" s="605"/>
      <c r="S154" s="605"/>
      <c r="T154" s="605"/>
      <c r="U154" s="605"/>
      <c r="V154" s="663">
        <v>0</v>
      </c>
      <c r="W154" s="607"/>
      <c r="X154" s="588"/>
    </row>
    <row r="155" spans="1:25" s="589" customFormat="1" x14ac:dyDescent="0.25">
      <c r="A155" s="604"/>
      <c r="B155" s="605" t="s">
        <v>172</v>
      </c>
      <c r="C155" s="605"/>
      <c r="D155" s="605"/>
      <c r="E155" s="605"/>
      <c r="F155" s="605"/>
      <c r="G155" s="605"/>
      <c r="H155" s="605"/>
      <c r="I155" s="605"/>
      <c r="J155" s="605"/>
      <c r="K155" s="605"/>
      <c r="L155" s="605"/>
      <c r="M155" s="605"/>
      <c r="N155" s="605"/>
      <c r="O155" s="605"/>
      <c r="P155" s="605"/>
      <c r="Q155" s="605"/>
      <c r="R155" s="605"/>
      <c r="S155" s="605"/>
      <c r="T155" s="605"/>
      <c r="U155" s="605"/>
      <c r="V155" s="663">
        <v>0</v>
      </c>
      <c r="W155" s="607"/>
      <c r="X155" s="588"/>
    </row>
    <row r="156" spans="1:25" s="589" customFormat="1" x14ac:dyDescent="0.25">
      <c r="A156" s="604"/>
      <c r="B156" s="605" t="s">
        <v>226</v>
      </c>
      <c r="C156" s="605"/>
      <c r="D156" s="605"/>
      <c r="E156" s="605"/>
      <c r="F156" s="605"/>
      <c r="G156" s="605"/>
      <c r="H156" s="605"/>
      <c r="I156" s="605"/>
      <c r="J156" s="605"/>
      <c r="K156" s="605"/>
      <c r="L156" s="605"/>
      <c r="M156" s="605"/>
      <c r="N156" s="605"/>
      <c r="O156" s="605"/>
      <c r="P156" s="605"/>
      <c r="Q156" s="605"/>
      <c r="R156" s="605"/>
      <c r="S156" s="605"/>
      <c r="T156" s="605"/>
      <c r="U156" s="605"/>
      <c r="V156" s="663">
        <v>0</v>
      </c>
      <c r="W156" s="607"/>
      <c r="X156" s="588"/>
    </row>
    <row r="157" spans="1:25" x14ac:dyDescent="0.25">
      <c r="A157" s="677"/>
      <c r="B157" s="679"/>
      <c r="C157" s="679"/>
      <c r="D157" s="679"/>
      <c r="E157" s="679"/>
      <c r="F157" s="679"/>
      <c r="G157" s="679"/>
      <c r="H157" s="679"/>
      <c r="I157" s="679"/>
      <c r="J157" s="679"/>
      <c r="K157" s="679"/>
      <c r="L157" s="679"/>
      <c r="M157" s="679"/>
      <c r="N157" s="679"/>
      <c r="O157" s="679"/>
      <c r="P157" s="679"/>
      <c r="Q157" s="679"/>
      <c r="R157" s="679"/>
      <c r="S157" s="679"/>
      <c r="T157" s="679"/>
      <c r="U157" s="679"/>
      <c r="V157" s="695"/>
      <c r="W157" s="683"/>
      <c r="X157" s="572"/>
    </row>
    <row r="158" spans="1:25" x14ac:dyDescent="0.25">
      <c r="A158" s="574"/>
      <c r="B158" s="664"/>
      <c r="C158" s="664"/>
      <c r="D158" s="664"/>
      <c r="E158" s="664"/>
      <c r="F158" s="664"/>
      <c r="G158" s="664"/>
      <c r="H158" s="664"/>
      <c r="I158" s="664"/>
      <c r="J158" s="664"/>
      <c r="K158" s="664"/>
      <c r="L158" s="664"/>
      <c r="M158" s="664"/>
      <c r="N158" s="664"/>
      <c r="O158" s="664"/>
      <c r="P158" s="664"/>
      <c r="Q158" s="664"/>
      <c r="R158" s="664"/>
      <c r="S158" s="664"/>
      <c r="T158" s="664"/>
      <c r="U158" s="664"/>
      <c r="V158" s="696"/>
      <c r="W158" s="664"/>
      <c r="X158" s="572"/>
    </row>
    <row r="159" spans="1:25" x14ac:dyDescent="0.25">
      <c r="A159" s="574"/>
      <c r="B159" s="694" t="s">
        <v>24</v>
      </c>
      <c r="C159" s="576"/>
      <c r="D159" s="576"/>
      <c r="E159" s="576"/>
      <c r="F159" s="576"/>
      <c r="G159" s="576"/>
      <c r="H159" s="576"/>
      <c r="I159" s="576"/>
      <c r="J159" s="576"/>
      <c r="K159" s="576"/>
      <c r="L159" s="576"/>
      <c r="M159" s="576"/>
      <c r="N159" s="576"/>
      <c r="O159" s="576"/>
      <c r="P159" s="576"/>
      <c r="Q159" s="576"/>
      <c r="R159" s="576"/>
      <c r="S159" s="576"/>
      <c r="T159" s="576"/>
      <c r="U159" s="576"/>
      <c r="V159" s="656"/>
      <c r="W159" s="576"/>
      <c r="X159" s="572"/>
    </row>
    <row r="160" spans="1:25" s="589" customFormat="1" x14ac:dyDescent="0.25">
      <c r="A160" s="604"/>
      <c r="B160" s="605" t="s">
        <v>47</v>
      </c>
      <c r="C160" s="605"/>
      <c r="D160" s="605"/>
      <c r="E160" s="605"/>
      <c r="F160" s="605"/>
      <c r="G160" s="605"/>
      <c r="H160" s="605"/>
      <c r="I160" s="605"/>
      <c r="J160" s="605"/>
      <c r="K160" s="605"/>
      <c r="L160" s="605"/>
      <c r="M160" s="605"/>
      <c r="N160" s="605"/>
      <c r="O160" s="605"/>
      <c r="P160" s="605"/>
      <c r="Q160" s="605"/>
      <c r="R160" s="605"/>
      <c r="S160" s="605"/>
      <c r="T160" s="605"/>
      <c r="U160" s="605"/>
      <c r="V160" s="697" t="s">
        <v>118</v>
      </c>
      <c r="W160" s="607"/>
      <c r="X160" s="588"/>
    </row>
    <row r="161" spans="1:256" s="589" customFormat="1" x14ac:dyDescent="0.25">
      <c r="A161" s="604"/>
      <c r="B161" s="605" t="s">
        <v>48</v>
      </c>
      <c r="C161" s="605"/>
      <c r="D161" s="605"/>
      <c r="E161" s="605"/>
      <c r="F161" s="605"/>
      <c r="G161" s="605"/>
      <c r="H161" s="605"/>
      <c r="I161" s="605"/>
      <c r="J161" s="605"/>
      <c r="K161" s="605"/>
      <c r="L161" s="605"/>
      <c r="M161" s="605"/>
      <c r="N161" s="605"/>
      <c r="O161" s="605"/>
      <c r="P161" s="605"/>
      <c r="Q161" s="605"/>
      <c r="R161" s="605"/>
      <c r="S161" s="605"/>
      <c r="T161" s="605"/>
      <c r="U161" s="605"/>
      <c r="V161" s="697" t="s">
        <v>118</v>
      </c>
      <c r="W161" s="607"/>
      <c r="X161" s="588"/>
    </row>
    <row r="162" spans="1:256" s="589" customFormat="1" x14ac:dyDescent="0.25">
      <c r="A162" s="604"/>
      <c r="B162" s="605" t="s">
        <v>49</v>
      </c>
      <c r="C162" s="605"/>
      <c r="D162" s="605"/>
      <c r="E162" s="605"/>
      <c r="F162" s="605"/>
      <c r="G162" s="605"/>
      <c r="H162" s="605"/>
      <c r="I162" s="605"/>
      <c r="J162" s="605"/>
      <c r="K162" s="605"/>
      <c r="L162" s="605"/>
      <c r="M162" s="605"/>
      <c r="N162" s="605"/>
      <c r="O162" s="605"/>
      <c r="P162" s="605"/>
      <c r="Q162" s="605"/>
      <c r="R162" s="605"/>
      <c r="S162" s="605"/>
      <c r="T162" s="605"/>
      <c r="U162" s="605"/>
      <c r="V162" s="697" t="s">
        <v>118</v>
      </c>
      <c r="W162" s="607"/>
      <c r="X162" s="588"/>
    </row>
    <row r="163" spans="1:256" s="589" customFormat="1" x14ac:dyDescent="0.25">
      <c r="A163" s="604"/>
      <c r="B163" s="605" t="s">
        <v>50</v>
      </c>
      <c r="C163" s="605"/>
      <c r="D163" s="605"/>
      <c r="E163" s="605"/>
      <c r="F163" s="605"/>
      <c r="G163" s="605"/>
      <c r="H163" s="605"/>
      <c r="I163" s="605"/>
      <c r="J163" s="605"/>
      <c r="K163" s="605"/>
      <c r="L163" s="605"/>
      <c r="M163" s="605"/>
      <c r="N163" s="605"/>
      <c r="O163" s="605"/>
      <c r="P163" s="605"/>
      <c r="Q163" s="605"/>
      <c r="R163" s="605"/>
      <c r="S163" s="605"/>
      <c r="T163" s="605"/>
      <c r="U163" s="605"/>
      <c r="V163" s="697" t="s">
        <v>118</v>
      </c>
      <c r="W163" s="607"/>
      <c r="X163" s="588"/>
    </row>
    <row r="164" spans="1:256" x14ac:dyDescent="0.25">
      <c r="A164" s="574"/>
      <c r="B164" s="664"/>
      <c r="C164" s="664"/>
      <c r="D164" s="664"/>
      <c r="E164" s="664"/>
      <c r="F164" s="664"/>
      <c r="G164" s="664"/>
      <c r="H164" s="664"/>
      <c r="I164" s="664"/>
      <c r="J164" s="664"/>
      <c r="K164" s="664"/>
      <c r="L164" s="664"/>
      <c r="M164" s="664"/>
      <c r="N164" s="664"/>
      <c r="O164" s="664"/>
      <c r="P164" s="664"/>
      <c r="Q164" s="664"/>
      <c r="R164" s="664"/>
      <c r="S164" s="664"/>
      <c r="T164" s="664"/>
      <c r="U164" s="664"/>
      <c r="V164" s="696"/>
      <c r="W164" s="664"/>
      <c r="X164" s="572"/>
    </row>
    <row r="165" spans="1:256" x14ac:dyDescent="0.25">
      <c r="A165" s="574"/>
      <c r="B165" s="694" t="s">
        <v>51</v>
      </c>
      <c r="C165" s="576"/>
      <c r="D165" s="576"/>
      <c r="E165" s="576"/>
      <c r="F165" s="576"/>
      <c r="G165" s="576"/>
      <c r="H165" s="576"/>
      <c r="I165" s="576"/>
      <c r="J165" s="576"/>
      <c r="K165" s="576"/>
      <c r="L165" s="576"/>
      <c r="M165" s="576"/>
      <c r="N165" s="576"/>
      <c r="O165" s="576"/>
      <c r="P165" s="576"/>
      <c r="Q165" s="576"/>
      <c r="R165" s="576"/>
      <c r="S165" s="576"/>
      <c r="T165" s="576"/>
      <c r="U165" s="576"/>
      <c r="V165" s="698"/>
      <c r="W165" s="576"/>
      <c r="X165" s="572"/>
    </row>
    <row r="166" spans="1:256" s="589" customFormat="1" x14ac:dyDescent="0.25">
      <c r="A166" s="604"/>
      <c r="B166" s="605" t="s">
        <v>52</v>
      </c>
      <c r="C166" s="605"/>
      <c r="D166" s="605"/>
      <c r="E166" s="605"/>
      <c r="F166" s="605"/>
      <c r="G166" s="605"/>
      <c r="H166" s="605"/>
      <c r="I166" s="605"/>
      <c r="J166" s="605"/>
      <c r="K166" s="605"/>
      <c r="L166" s="605"/>
      <c r="M166" s="605"/>
      <c r="N166" s="605"/>
      <c r="O166" s="605"/>
      <c r="P166" s="605"/>
      <c r="Q166" s="605"/>
      <c r="R166" s="605"/>
      <c r="S166" s="605"/>
      <c r="T166" s="605"/>
      <c r="U166" s="605"/>
      <c r="V166" s="663">
        <v>0</v>
      </c>
      <c r="W166" s="607"/>
      <c r="X166" s="588"/>
    </row>
    <row r="167" spans="1:256" s="589" customFormat="1" x14ac:dyDescent="0.25">
      <c r="A167" s="604"/>
      <c r="B167" s="605" t="s">
        <v>53</v>
      </c>
      <c r="C167" s="605"/>
      <c r="D167" s="605"/>
      <c r="E167" s="605"/>
      <c r="F167" s="605"/>
      <c r="G167" s="605"/>
      <c r="H167" s="605"/>
      <c r="I167" s="605"/>
      <c r="J167" s="605"/>
      <c r="K167" s="605"/>
      <c r="L167" s="605"/>
      <c r="M167" s="605"/>
      <c r="N167" s="605"/>
      <c r="O167" s="605"/>
      <c r="P167" s="605"/>
      <c r="Q167" s="605"/>
      <c r="R167" s="605"/>
      <c r="S167" s="605"/>
      <c r="T167" s="605"/>
      <c r="U167" s="605"/>
      <c r="V167" s="663">
        <v>-3</v>
      </c>
      <c r="W167" s="607"/>
      <c r="X167" s="588"/>
    </row>
    <row r="168" spans="1:256" s="589" customFormat="1" x14ac:dyDescent="0.25">
      <c r="A168" s="604"/>
      <c r="B168" s="605" t="s">
        <v>54</v>
      </c>
      <c r="C168" s="605"/>
      <c r="D168" s="605"/>
      <c r="E168" s="605"/>
      <c r="F168" s="605"/>
      <c r="G168" s="605"/>
      <c r="H168" s="605"/>
      <c r="I168" s="605"/>
      <c r="J168" s="605"/>
      <c r="K168" s="605"/>
      <c r="L168" s="605"/>
      <c r="M168" s="605"/>
      <c r="N168" s="605"/>
      <c r="O168" s="605"/>
      <c r="P168" s="605"/>
      <c r="Q168" s="605"/>
      <c r="R168" s="605"/>
      <c r="S168" s="605"/>
      <c r="T168" s="605"/>
      <c r="U168" s="605"/>
      <c r="V168" s="663">
        <f>V167+V166</f>
        <v>-3</v>
      </c>
      <c r="W168" s="607"/>
      <c r="X168" s="588"/>
    </row>
    <row r="169" spans="1:256" s="589" customFormat="1" x14ac:dyDescent="0.25">
      <c r="A169" s="604"/>
      <c r="B169" s="605" t="s">
        <v>303</v>
      </c>
      <c r="C169" s="605"/>
      <c r="D169" s="605"/>
      <c r="E169" s="605"/>
      <c r="F169" s="605"/>
      <c r="G169" s="605"/>
      <c r="H169" s="605"/>
      <c r="I169" s="605"/>
      <c r="J169" s="605"/>
      <c r="K169" s="605"/>
      <c r="L169" s="605"/>
      <c r="M169" s="605"/>
      <c r="N169" s="605"/>
      <c r="O169" s="605"/>
      <c r="P169" s="605"/>
      <c r="Q169" s="605"/>
      <c r="R169" s="605"/>
      <c r="S169" s="605"/>
      <c r="T169" s="605"/>
      <c r="U169" s="605"/>
      <c r="V169" s="663">
        <f>V114</f>
        <v>3</v>
      </c>
      <c r="W169" s="607"/>
      <c r="X169" s="588"/>
    </row>
    <row r="170" spans="1:256" s="589" customFormat="1" x14ac:dyDescent="0.25">
      <c r="A170" s="604"/>
      <c r="B170" s="605" t="s">
        <v>55</v>
      </c>
      <c r="C170" s="605"/>
      <c r="D170" s="605"/>
      <c r="E170" s="605"/>
      <c r="F170" s="605"/>
      <c r="G170" s="605"/>
      <c r="H170" s="605"/>
      <c r="I170" s="605"/>
      <c r="J170" s="605"/>
      <c r="K170" s="605"/>
      <c r="L170" s="605"/>
      <c r="M170" s="605"/>
      <c r="N170" s="605"/>
      <c r="O170" s="605"/>
      <c r="P170" s="605"/>
      <c r="Q170" s="605"/>
      <c r="R170" s="605"/>
      <c r="S170" s="605"/>
      <c r="T170" s="605"/>
      <c r="U170" s="605"/>
      <c r="V170" s="663">
        <f>V168+V169</f>
        <v>0</v>
      </c>
      <c r="W170" s="607"/>
      <c r="X170" s="588"/>
    </row>
    <row r="171" spans="1:256" s="589" customFormat="1" x14ac:dyDescent="0.25">
      <c r="A171" s="604"/>
      <c r="B171" s="605" t="s">
        <v>274</v>
      </c>
      <c r="C171" s="605"/>
      <c r="D171" s="605"/>
      <c r="E171" s="605"/>
      <c r="F171" s="605"/>
      <c r="G171" s="605"/>
      <c r="H171" s="605"/>
      <c r="I171" s="605"/>
      <c r="J171" s="605"/>
      <c r="K171" s="605"/>
      <c r="L171" s="605"/>
      <c r="M171" s="605"/>
      <c r="N171" s="605"/>
      <c r="O171" s="605"/>
      <c r="P171" s="605"/>
      <c r="Q171" s="605"/>
      <c r="R171" s="605"/>
      <c r="S171" s="605"/>
      <c r="T171" s="605"/>
      <c r="U171" s="605"/>
      <c r="V171" s="663">
        <v>0</v>
      </c>
      <c r="W171" s="607"/>
      <c r="X171" s="588"/>
    </row>
    <row r="172" spans="1:256" ht="16.5" thickBot="1" x14ac:dyDescent="0.3">
      <c r="A172" s="574"/>
      <c r="B172" s="664"/>
      <c r="C172" s="664"/>
      <c r="D172" s="664"/>
      <c r="E172" s="664"/>
      <c r="F172" s="664"/>
      <c r="G172" s="664"/>
      <c r="H172" s="664"/>
      <c r="I172" s="664"/>
      <c r="J172" s="664"/>
      <c r="K172" s="664"/>
      <c r="L172" s="664"/>
      <c r="M172" s="664"/>
      <c r="N172" s="664"/>
      <c r="O172" s="664"/>
      <c r="P172" s="664"/>
      <c r="Q172" s="664"/>
      <c r="R172" s="664"/>
      <c r="S172" s="664"/>
      <c r="T172" s="664"/>
      <c r="U172" s="664"/>
      <c r="V172" s="696"/>
      <c r="W172" s="664"/>
      <c r="X172" s="572"/>
    </row>
    <row r="173" spans="1:256" x14ac:dyDescent="0.25">
      <c r="A173" s="569"/>
      <c r="B173" s="571"/>
      <c r="C173" s="571"/>
      <c r="D173" s="571"/>
      <c r="E173" s="571"/>
      <c r="F173" s="571"/>
      <c r="G173" s="571"/>
      <c r="H173" s="571"/>
      <c r="I173" s="571"/>
      <c r="J173" s="571"/>
      <c r="K173" s="571"/>
      <c r="L173" s="571"/>
      <c r="M173" s="571"/>
      <c r="N173" s="571"/>
      <c r="O173" s="571"/>
      <c r="P173" s="571"/>
      <c r="Q173" s="571"/>
      <c r="R173" s="571"/>
      <c r="S173" s="571"/>
      <c r="T173" s="571"/>
      <c r="U173" s="571"/>
      <c r="V173" s="699"/>
      <c r="W173" s="571"/>
      <c r="X173" s="572"/>
    </row>
    <row r="174" spans="1:256" s="701" customFormat="1" x14ac:dyDescent="0.25">
      <c r="A174" s="574"/>
      <c r="B174" s="694" t="s">
        <v>230</v>
      </c>
      <c r="C174" s="664"/>
      <c r="D174" s="664"/>
      <c r="E174" s="664"/>
      <c r="F174" s="664"/>
      <c r="G174" s="664"/>
      <c r="H174" s="664"/>
      <c r="I174" s="664"/>
      <c r="J174" s="664"/>
      <c r="K174" s="664"/>
      <c r="L174" s="664"/>
      <c r="M174" s="664"/>
      <c r="N174" s="664"/>
      <c r="O174" s="664"/>
      <c r="P174" s="664"/>
      <c r="Q174" s="664"/>
      <c r="R174" s="664"/>
      <c r="S174" s="664"/>
      <c r="T174" s="664"/>
      <c r="U174" s="664"/>
      <c r="V174" s="700"/>
      <c r="W174" s="664"/>
      <c r="X174" s="572"/>
      <c r="Y174" s="573"/>
      <c r="Z174" s="573"/>
      <c r="AA174" s="573"/>
      <c r="AB174" s="573"/>
      <c r="AC174" s="573"/>
      <c r="AD174" s="573"/>
      <c r="AE174" s="573"/>
      <c r="AF174" s="573"/>
      <c r="AG174" s="573"/>
      <c r="AH174" s="573"/>
      <c r="AI174" s="573"/>
      <c r="AJ174" s="573"/>
      <c r="AK174" s="573"/>
      <c r="AL174" s="573"/>
      <c r="AM174" s="573"/>
      <c r="AN174" s="573"/>
      <c r="AO174" s="573"/>
      <c r="AP174" s="573"/>
      <c r="AQ174" s="573"/>
      <c r="AR174" s="573"/>
      <c r="AS174" s="573"/>
      <c r="AT174" s="573"/>
      <c r="AU174" s="573"/>
      <c r="AV174" s="573"/>
      <c r="AW174" s="573"/>
      <c r="AX174" s="573"/>
      <c r="AY174" s="573"/>
      <c r="AZ174" s="573"/>
      <c r="BA174" s="573"/>
      <c r="BB174" s="573"/>
      <c r="BC174" s="573"/>
      <c r="BD174" s="573"/>
      <c r="BE174" s="573"/>
      <c r="BF174" s="573"/>
      <c r="BG174" s="573"/>
      <c r="BH174" s="573"/>
      <c r="BI174" s="573"/>
      <c r="BJ174" s="573"/>
      <c r="BK174" s="573"/>
      <c r="BL174" s="573"/>
      <c r="BM174" s="573"/>
      <c r="BN174" s="573"/>
      <c r="BO174" s="573"/>
      <c r="BP174" s="573"/>
      <c r="BQ174" s="573"/>
      <c r="BR174" s="573"/>
      <c r="BS174" s="573"/>
      <c r="BT174" s="573"/>
      <c r="BU174" s="573"/>
      <c r="BV174" s="573"/>
      <c r="BW174" s="573"/>
      <c r="BX174" s="573"/>
      <c r="BY174" s="573"/>
      <c r="BZ174" s="573"/>
      <c r="CA174" s="573"/>
      <c r="CB174" s="573"/>
      <c r="CC174" s="573"/>
      <c r="CD174" s="573"/>
      <c r="CE174" s="573"/>
      <c r="CF174" s="573"/>
      <c r="CG174" s="573"/>
      <c r="CH174" s="573"/>
      <c r="CI174" s="573"/>
      <c r="CJ174" s="573"/>
      <c r="CK174" s="573"/>
      <c r="CL174" s="573"/>
      <c r="CM174" s="573"/>
      <c r="CN174" s="573"/>
      <c r="CO174" s="573"/>
      <c r="CP174" s="573"/>
      <c r="CQ174" s="573"/>
      <c r="CR174" s="573"/>
      <c r="CS174" s="573"/>
      <c r="CT174" s="573"/>
      <c r="CU174" s="573"/>
      <c r="CV174" s="573"/>
      <c r="CW174" s="573"/>
      <c r="CX174" s="573"/>
      <c r="CY174" s="573"/>
      <c r="CZ174" s="573"/>
      <c r="DA174" s="573"/>
      <c r="DB174" s="573"/>
      <c r="DC174" s="573"/>
      <c r="DD174" s="573"/>
      <c r="DE174" s="573"/>
      <c r="DF174" s="573"/>
      <c r="DG174" s="573"/>
      <c r="DH174" s="573"/>
      <c r="DI174" s="573"/>
      <c r="DJ174" s="573"/>
      <c r="DK174" s="573"/>
      <c r="DL174" s="573"/>
      <c r="DM174" s="573"/>
      <c r="DN174" s="573"/>
      <c r="DO174" s="573"/>
      <c r="DP174" s="573"/>
      <c r="DQ174" s="573"/>
      <c r="DR174" s="573"/>
      <c r="DS174" s="573"/>
      <c r="DT174" s="573"/>
      <c r="DU174" s="573"/>
      <c r="DV174" s="573"/>
      <c r="DW174" s="573"/>
      <c r="DX174" s="573"/>
      <c r="DY174" s="573"/>
      <c r="DZ174" s="573"/>
      <c r="EA174" s="573"/>
      <c r="EB174" s="573"/>
      <c r="EC174" s="573"/>
      <c r="ED174" s="573"/>
      <c r="EE174" s="573"/>
      <c r="EF174" s="573"/>
      <c r="EG174" s="573"/>
      <c r="EH174" s="573"/>
      <c r="EI174" s="573"/>
      <c r="EJ174" s="573"/>
      <c r="EK174" s="573"/>
      <c r="EL174" s="573"/>
      <c r="EM174" s="573"/>
      <c r="EN174" s="573"/>
      <c r="EO174" s="573"/>
      <c r="EP174" s="573"/>
      <c r="EQ174" s="573"/>
      <c r="ER174" s="573"/>
      <c r="ES174" s="573"/>
      <c r="ET174" s="573"/>
      <c r="EU174" s="573"/>
      <c r="EV174" s="573"/>
      <c r="EW174" s="573"/>
      <c r="EX174" s="573"/>
      <c r="EY174" s="573"/>
      <c r="EZ174" s="573"/>
      <c r="FA174" s="573"/>
      <c r="FB174" s="573"/>
      <c r="FC174" s="573"/>
      <c r="FD174" s="573"/>
      <c r="FE174" s="573"/>
      <c r="FF174" s="573"/>
      <c r="FG174" s="573"/>
      <c r="FH174" s="573"/>
      <c r="FI174" s="573"/>
      <c r="FJ174" s="573"/>
      <c r="FK174" s="573"/>
      <c r="FL174" s="573"/>
      <c r="FM174" s="573"/>
      <c r="FN174" s="573"/>
      <c r="FO174" s="573"/>
      <c r="FP174" s="573"/>
      <c r="FQ174" s="573"/>
      <c r="FR174" s="573"/>
      <c r="FS174" s="573"/>
      <c r="FT174" s="573"/>
      <c r="FU174" s="573"/>
      <c r="FV174" s="573"/>
      <c r="FW174" s="573"/>
      <c r="FX174" s="573"/>
      <c r="FY174" s="573"/>
      <c r="FZ174" s="573"/>
      <c r="GA174" s="573"/>
      <c r="GB174" s="573"/>
      <c r="GC174" s="573"/>
      <c r="GD174" s="573"/>
      <c r="GE174" s="573"/>
      <c r="GF174" s="573"/>
      <c r="GG174" s="573"/>
      <c r="GH174" s="573"/>
      <c r="GI174" s="573"/>
      <c r="GJ174" s="573"/>
      <c r="GK174" s="573"/>
      <c r="GL174" s="573"/>
      <c r="GM174" s="573"/>
      <c r="GN174" s="573"/>
      <c r="GO174" s="573"/>
      <c r="GP174" s="573"/>
      <c r="GQ174" s="573"/>
      <c r="GR174" s="573"/>
      <c r="GS174" s="573"/>
      <c r="GT174" s="573"/>
      <c r="GU174" s="573"/>
      <c r="GV174" s="573"/>
      <c r="GW174" s="573"/>
      <c r="GX174" s="573"/>
      <c r="GY174" s="573"/>
      <c r="GZ174" s="573"/>
      <c r="HA174" s="573"/>
      <c r="HB174" s="573"/>
      <c r="HC174" s="573"/>
      <c r="HD174" s="573"/>
      <c r="HE174" s="573"/>
      <c r="HF174" s="573"/>
      <c r="HG174" s="573"/>
      <c r="HH174" s="573"/>
      <c r="HI174" s="573"/>
      <c r="HJ174" s="573"/>
      <c r="HK174" s="573"/>
      <c r="HL174" s="573"/>
      <c r="HM174" s="573"/>
      <c r="HN174" s="573"/>
      <c r="HO174" s="573"/>
      <c r="HP174" s="573"/>
      <c r="HQ174" s="573"/>
      <c r="HR174" s="573"/>
      <c r="HS174" s="573"/>
      <c r="HT174" s="573"/>
      <c r="HU174" s="573"/>
      <c r="HV174" s="573"/>
      <c r="HW174" s="573"/>
      <c r="HX174" s="573"/>
      <c r="HY174" s="573"/>
      <c r="HZ174" s="573"/>
      <c r="IA174" s="573"/>
      <c r="IB174" s="573"/>
      <c r="IC174" s="573"/>
      <c r="ID174" s="573"/>
      <c r="IE174" s="573"/>
      <c r="IF174" s="573"/>
      <c r="IG174" s="573"/>
      <c r="IH174" s="573"/>
      <c r="II174" s="573"/>
      <c r="IJ174" s="573"/>
      <c r="IK174" s="573"/>
      <c r="IL174" s="573"/>
      <c r="IM174" s="573"/>
      <c r="IN174" s="573"/>
      <c r="IO174" s="573"/>
      <c r="IP174" s="573"/>
      <c r="IQ174" s="573"/>
      <c r="IR174" s="573"/>
      <c r="IS174" s="573"/>
      <c r="IT174" s="573"/>
      <c r="IU174" s="573"/>
      <c r="IV174" s="573"/>
    </row>
    <row r="175" spans="1:256" s="702" customFormat="1" x14ac:dyDescent="0.25">
      <c r="A175" s="604"/>
      <c r="B175" s="605" t="s">
        <v>231</v>
      </c>
      <c r="C175" s="605"/>
      <c r="D175" s="605"/>
      <c r="E175" s="605"/>
      <c r="F175" s="605"/>
      <c r="G175" s="605"/>
      <c r="H175" s="605"/>
      <c r="I175" s="605"/>
      <c r="J175" s="605"/>
      <c r="K175" s="605"/>
      <c r="L175" s="605"/>
      <c r="M175" s="605"/>
      <c r="N175" s="605"/>
      <c r="O175" s="605"/>
      <c r="P175" s="605"/>
      <c r="Q175" s="605"/>
      <c r="R175" s="605"/>
      <c r="S175" s="605"/>
      <c r="T175" s="605"/>
      <c r="U175" s="605"/>
      <c r="V175" s="663">
        <f>+'Aug 08'!V173</f>
        <v>0</v>
      </c>
      <c r="W175" s="607"/>
      <c r="X175" s="588"/>
      <c r="Y175" s="589"/>
      <c r="Z175" s="589"/>
      <c r="AA175" s="589"/>
      <c r="AB175" s="589"/>
      <c r="AC175" s="589"/>
      <c r="AD175" s="589"/>
      <c r="AE175" s="589"/>
      <c r="AF175" s="589"/>
      <c r="AG175" s="589"/>
      <c r="AH175" s="589"/>
      <c r="AI175" s="589"/>
      <c r="AJ175" s="589"/>
      <c r="AK175" s="589"/>
      <c r="AL175" s="589"/>
      <c r="AM175" s="589"/>
      <c r="AN175" s="589"/>
      <c r="AO175" s="589"/>
      <c r="AP175" s="589"/>
      <c r="AQ175" s="589"/>
      <c r="AR175" s="589"/>
      <c r="AS175" s="589"/>
      <c r="AT175" s="589"/>
      <c r="AU175" s="589"/>
      <c r="AV175" s="589"/>
      <c r="AW175" s="589"/>
      <c r="AX175" s="589"/>
      <c r="AY175" s="589"/>
      <c r="AZ175" s="589"/>
      <c r="BA175" s="589"/>
      <c r="BB175" s="589"/>
      <c r="BC175" s="589"/>
      <c r="BD175" s="589"/>
      <c r="BE175" s="589"/>
      <c r="BF175" s="589"/>
      <c r="BG175" s="589"/>
      <c r="BH175" s="589"/>
      <c r="BI175" s="589"/>
      <c r="BJ175" s="589"/>
      <c r="BK175" s="589"/>
      <c r="BL175" s="589"/>
      <c r="BM175" s="589"/>
      <c r="BN175" s="589"/>
      <c r="BO175" s="589"/>
      <c r="BP175" s="589"/>
      <c r="BQ175" s="589"/>
      <c r="BR175" s="589"/>
      <c r="BS175" s="589"/>
      <c r="BT175" s="589"/>
      <c r="BU175" s="589"/>
      <c r="BV175" s="589"/>
      <c r="BW175" s="589"/>
      <c r="BX175" s="589"/>
      <c r="BY175" s="589"/>
      <c r="BZ175" s="589"/>
      <c r="CA175" s="589"/>
      <c r="CB175" s="589"/>
      <c r="CC175" s="589"/>
      <c r="CD175" s="589"/>
      <c r="CE175" s="589"/>
      <c r="CF175" s="589"/>
      <c r="CG175" s="589"/>
      <c r="CH175" s="589"/>
      <c r="CI175" s="589"/>
      <c r="CJ175" s="589"/>
      <c r="CK175" s="589"/>
      <c r="CL175" s="589"/>
      <c r="CM175" s="589"/>
      <c r="CN175" s="589"/>
      <c r="CO175" s="589"/>
      <c r="CP175" s="589"/>
      <c r="CQ175" s="589"/>
      <c r="CR175" s="589"/>
      <c r="CS175" s="589"/>
      <c r="CT175" s="589"/>
      <c r="CU175" s="589"/>
      <c r="CV175" s="589"/>
      <c r="CW175" s="589"/>
      <c r="CX175" s="589"/>
      <c r="CY175" s="589"/>
      <c r="CZ175" s="589"/>
      <c r="DA175" s="589"/>
      <c r="DB175" s="589"/>
      <c r="DC175" s="589"/>
      <c r="DD175" s="589"/>
      <c r="DE175" s="589"/>
      <c r="DF175" s="589"/>
      <c r="DG175" s="589"/>
      <c r="DH175" s="589"/>
      <c r="DI175" s="589"/>
      <c r="DJ175" s="589"/>
      <c r="DK175" s="589"/>
      <c r="DL175" s="589"/>
      <c r="DM175" s="589"/>
      <c r="DN175" s="589"/>
      <c r="DO175" s="589"/>
      <c r="DP175" s="589"/>
      <c r="DQ175" s="589"/>
      <c r="DR175" s="589"/>
      <c r="DS175" s="589"/>
      <c r="DT175" s="589"/>
      <c r="DU175" s="589"/>
      <c r="DV175" s="589"/>
      <c r="DW175" s="589"/>
      <c r="DX175" s="589"/>
      <c r="DY175" s="589"/>
      <c r="DZ175" s="589"/>
      <c r="EA175" s="589"/>
      <c r="EB175" s="589"/>
      <c r="EC175" s="589"/>
      <c r="ED175" s="589"/>
      <c r="EE175" s="589"/>
      <c r="EF175" s="589"/>
      <c r="EG175" s="589"/>
      <c r="EH175" s="589"/>
      <c r="EI175" s="589"/>
      <c r="EJ175" s="589"/>
      <c r="EK175" s="589"/>
      <c r="EL175" s="589"/>
      <c r="EM175" s="589"/>
      <c r="EN175" s="589"/>
      <c r="EO175" s="589"/>
      <c r="EP175" s="589"/>
      <c r="EQ175" s="589"/>
      <c r="ER175" s="589"/>
      <c r="ES175" s="589"/>
      <c r="ET175" s="589"/>
      <c r="EU175" s="589"/>
      <c r="EV175" s="589"/>
      <c r="EW175" s="589"/>
      <c r="EX175" s="589"/>
      <c r="EY175" s="589"/>
      <c r="EZ175" s="589"/>
      <c r="FA175" s="589"/>
      <c r="FB175" s="589"/>
      <c r="FC175" s="589"/>
      <c r="FD175" s="589"/>
      <c r="FE175" s="589"/>
      <c r="FF175" s="589"/>
      <c r="FG175" s="589"/>
      <c r="FH175" s="589"/>
      <c r="FI175" s="589"/>
      <c r="FJ175" s="589"/>
      <c r="FK175" s="589"/>
      <c r="FL175" s="589"/>
      <c r="FM175" s="589"/>
      <c r="FN175" s="589"/>
      <c r="FO175" s="589"/>
      <c r="FP175" s="589"/>
      <c r="FQ175" s="589"/>
      <c r="FR175" s="589"/>
      <c r="FS175" s="589"/>
      <c r="FT175" s="589"/>
      <c r="FU175" s="589"/>
      <c r="FV175" s="589"/>
      <c r="FW175" s="589"/>
      <c r="FX175" s="589"/>
      <c r="FY175" s="589"/>
      <c r="FZ175" s="589"/>
      <c r="GA175" s="589"/>
      <c r="GB175" s="589"/>
      <c r="GC175" s="589"/>
      <c r="GD175" s="589"/>
      <c r="GE175" s="589"/>
      <c r="GF175" s="589"/>
      <c r="GG175" s="589"/>
      <c r="GH175" s="589"/>
      <c r="GI175" s="589"/>
      <c r="GJ175" s="589"/>
      <c r="GK175" s="589"/>
      <c r="GL175" s="589"/>
      <c r="GM175" s="589"/>
      <c r="GN175" s="589"/>
      <c r="GO175" s="589"/>
      <c r="GP175" s="589"/>
      <c r="GQ175" s="589"/>
      <c r="GR175" s="589"/>
      <c r="GS175" s="589"/>
      <c r="GT175" s="589"/>
      <c r="GU175" s="589"/>
      <c r="GV175" s="589"/>
      <c r="GW175" s="589"/>
      <c r="GX175" s="589"/>
      <c r="GY175" s="589"/>
      <c r="GZ175" s="589"/>
      <c r="HA175" s="589"/>
      <c r="HB175" s="589"/>
      <c r="HC175" s="589"/>
      <c r="HD175" s="589"/>
      <c r="HE175" s="589"/>
      <c r="HF175" s="589"/>
      <c r="HG175" s="589"/>
      <c r="HH175" s="589"/>
      <c r="HI175" s="589"/>
      <c r="HJ175" s="589"/>
      <c r="HK175" s="589"/>
      <c r="HL175" s="589"/>
      <c r="HM175" s="589"/>
      <c r="HN175" s="589"/>
      <c r="HO175" s="589"/>
      <c r="HP175" s="589"/>
      <c r="HQ175" s="589"/>
      <c r="HR175" s="589"/>
      <c r="HS175" s="589"/>
      <c r="HT175" s="589"/>
      <c r="HU175" s="589"/>
      <c r="HV175" s="589"/>
      <c r="HW175" s="589"/>
      <c r="HX175" s="589"/>
      <c r="HY175" s="589"/>
      <c r="HZ175" s="589"/>
      <c r="IA175" s="589"/>
      <c r="IB175" s="589"/>
      <c r="IC175" s="589"/>
      <c r="ID175" s="589"/>
      <c r="IE175" s="589"/>
      <c r="IF175" s="589"/>
      <c r="IG175" s="589"/>
      <c r="IH175" s="589"/>
      <c r="II175" s="589"/>
      <c r="IJ175" s="589"/>
      <c r="IK175" s="589"/>
      <c r="IL175" s="589"/>
      <c r="IM175" s="589"/>
      <c r="IN175" s="589"/>
      <c r="IO175" s="589"/>
      <c r="IP175" s="589"/>
      <c r="IQ175" s="589"/>
      <c r="IR175" s="589"/>
      <c r="IS175" s="589"/>
      <c r="IT175" s="589"/>
      <c r="IU175" s="589"/>
      <c r="IV175" s="589"/>
    </row>
    <row r="176" spans="1:256" s="702" customFormat="1" x14ac:dyDescent="0.25">
      <c r="A176" s="604"/>
      <c r="B176" s="605" t="s">
        <v>234</v>
      </c>
      <c r="C176" s="605"/>
      <c r="D176" s="605"/>
      <c r="E176" s="605"/>
      <c r="F176" s="605"/>
      <c r="G176" s="605"/>
      <c r="H176" s="605"/>
      <c r="I176" s="605"/>
      <c r="J176" s="605"/>
      <c r="K176" s="605"/>
      <c r="L176" s="605"/>
      <c r="M176" s="605"/>
      <c r="N176" s="605"/>
      <c r="O176" s="605"/>
      <c r="P176" s="605"/>
      <c r="Q176" s="605"/>
      <c r="R176" s="605"/>
      <c r="S176" s="605"/>
      <c r="T176" s="605"/>
      <c r="U176" s="605"/>
      <c r="V176" s="663">
        <f>+V94</f>
        <v>0</v>
      </c>
      <c r="W176" s="607"/>
      <c r="X176" s="588"/>
      <c r="Y176" s="589"/>
      <c r="Z176" s="589"/>
      <c r="AA176" s="589"/>
      <c r="AB176" s="589"/>
      <c r="AC176" s="589"/>
      <c r="AD176" s="589"/>
      <c r="AE176" s="589"/>
      <c r="AF176" s="589"/>
      <c r="AG176" s="589"/>
      <c r="AH176" s="589"/>
      <c r="AI176" s="589"/>
      <c r="AJ176" s="589"/>
      <c r="AK176" s="589"/>
      <c r="AL176" s="589"/>
      <c r="AM176" s="589"/>
      <c r="AN176" s="589"/>
      <c r="AO176" s="589"/>
      <c r="AP176" s="589"/>
      <c r="AQ176" s="589"/>
      <c r="AR176" s="589"/>
      <c r="AS176" s="589"/>
      <c r="AT176" s="589"/>
      <c r="AU176" s="589"/>
      <c r="AV176" s="589"/>
      <c r="AW176" s="589"/>
      <c r="AX176" s="589"/>
      <c r="AY176" s="589"/>
      <c r="AZ176" s="589"/>
      <c r="BA176" s="589"/>
      <c r="BB176" s="589"/>
      <c r="BC176" s="589"/>
      <c r="BD176" s="589"/>
      <c r="BE176" s="589"/>
      <c r="BF176" s="589"/>
      <c r="BG176" s="589"/>
      <c r="BH176" s="589"/>
      <c r="BI176" s="589"/>
      <c r="BJ176" s="589"/>
      <c r="BK176" s="589"/>
      <c r="BL176" s="589"/>
      <c r="BM176" s="589"/>
      <c r="BN176" s="589"/>
      <c r="BO176" s="589"/>
      <c r="BP176" s="589"/>
      <c r="BQ176" s="589"/>
      <c r="BR176" s="589"/>
      <c r="BS176" s="589"/>
      <c r="BT176" s="589"/>
      <c r="BU176" s="589"/>
      <c r="BV176" s="589"/>
      <c r="BW176" s="589"/>
      <c r="BX176" s="589"/>
      <c r="BY176" s="589"/>
      <c r="BZ176" s="589"/>
      <c r="CA176" s="589"/>
      <c r="CB176" s="589"/>
      <c r="CC176" s="589"/>
      <c r="CD176" s="589"/>
      <c r="CE176" s="589"/>
      <c r="CF176" s="589"/>
      <c r="CG176" s="589"/>
      <c r="CH176" s="589"/>
      <c r="CI176" s="589"/>
      <c r="CJ176" s="589"/>
      <c r="CK176" s="589"/>
      <c r="CL176" s="589"/>
      <c r="CM176" s="589"/>
      <c r="CN176" s="589"/>
      <c r="CO176" s="589"/>
      <c r="CP176" s="589"/>
      <c r="CQ176" s="589"/>
      <c r="CR176" s="589"/>
      <c r="CS176" s="589"/>
      <c r="CT176" s="589"/>
      <c r="CU176" s="589"/>
      <c r="CV176" s="589"/>
      <c r="CW176" s="589"/>
      <c r="CX176" s="589"/>
      <c r="CY176" s="589"/>
      <c r="CZ176" s="589"/>
      <c r="DA176" s="589"/>
      <c r="DB176" s="589"/>
      <c r="DC176" s="589"/>
      <c r="DD176" s="589"/>
      <c r="DE176" s="589"/>
      <c r="DF176" s="589"/>
      <c r="DG176" s="589"/>
      <c r="DH176" s="589"/>
      <c r="DI176" s="589"/>
      <c r="DJ176" s="589"/>
      <c r="DK176" s="589"/>
      <c r="DL176" s="589"/>
      <c r="DM176" s="589"/>
      <c r="DN176" s="589"/>
      <c r="DO176" s="589"/>
      <c r="DP176" s="589"/>
      <c r="DQ176" s="589"/>
      <c r="DR176" s="589"/>
      <c r="DS176" s="589"/>
      <c r="DT176" s="589"/>
      <c r="DU176" s="589"/>
      <c r="DV176" s="589"/>
      <c r="DW176" s="589"/>
      <c r="DX176" s="589"/>
      <c r="DY176" s="589"/>
      <c r="DZ176" s="589"/>
      <c r="EA176" s="589"/>
      <c r="EB176" s="589"/>
      <c r="EC176" s="589"/>
      <c r="ED176" s="589"/>
      <c r="EE176" s="589"/>
      <c r="EF176" s="589"/>
      <c r="EG176" s="589"/>
      <c r="EH176" s="589"/>
      <c r="EI176" s="589"/>
      <c r="EJ176" s="589"/>
      <c r="EK176" s="589"/>
      <c r="EL176" s="589"/>
      <c r="EM176" s="589"/>
      <c r="EN176" s="589"/>
      <c r="EO176" s="589"/>
      <c r="EP176" s="589"/>
      <c r="EQ176" s="589"/>
      <c r="ER176" s="589"/>
      <c r="ES176" s="589"/>
      <c r="ET176" s="589"/>
      <c r="EU176" s="589"/>
      <c r="EV176" s="589"/>
      <c r="EW176" s="589"/>
      <c r="EX176" s="589"/>
      <c r="EY176" s="589"/>
      <c r="EZ176" s="589"/>
      <c r="FA176" s="589"/>
      <c r="FB176" s="589"/>
      <c r="FC176" s="589"/>
      <c r="FD176" s="589"/>
      <c r="FE176" s="589"/>
      <c r="FF176" s="589"/>
      <c r="FG176" s="589"/>
      <c r="FH176" s="589"/>
      <c r="FI176" s="589"/>
      <c r="FJ176" s="589"/>
      <c r="FK176" s="589"/>
      <c r="FL176" s="589"/>
      <c r="FM176" s="589"/>
      <c r="FN176" s="589"/>
      <c r="FO176" s="589"/>
      <c r="FP176" s="589"/>
      <c r="FQ176" s="589"/>
      <c r="FR176" s="589"/>
      <c r="FS176" s="589"/>
      <c r="FT176" s="589"/>
      <c r="FU176" s="589"/>
      <c r="FV176" s="589"/>
      <c r="FW176" s="589"/>
      <c r="FX176" s="589"/>
      <c r="FY176" s="589"/>
      <c r="FZ176" s="589"/>
      <c r="GA176" s="589"/>
      <c r="GB176" s="589"/>
      <c r="GC176" s="589"/>
      <c r="GD176" s="589"/>
      <c r="GE176" s="589"/>
      <c r="GF176" s="589"/>
      <c r="GG176" s="589"/>
      <c r="GH176" s="589"/>
      <c r="GI176" s="589"/>
      <c r="GJ176" s="589"/>
      <c r="GK176" s="589"/>
      <c r="GL176" s="589"/>
      <c r="GM176" s="589"/>
      <c r="GN176" s="589"/>
      <c r="GO176" s="589"/>
      <c r="GP176" s="589"/>
      <c r="GQ176" s="589"/>
      <c r="GR176" s="589"/>
      <c r="GS176" s="589"/>
      <c r="GT176" s="589"/>
      <c r="GU176" s="589"/>
      <c r="GV176" s="589"/>
      <c r="GW176" s="589"/>
      <c r="GX176" s="589"/>
      <c r="GY176" s="589"/>
      <c r="GZ176" s="589"/>
      <c r="HA176" s="589"/>
      <c r="HB176" s="589"/>
      <c r="HC176" s="589"/>
      <c r="HD176" s="589"/>
      <c r="HE176" s="589"/>
      <c r="HF176" s="589"/>
      <c r="HG176" s="589"/>
      <c r="HH176" s="589"/>
      <c r="HI176" s="589"/>
      <c r="HJ176" s="589"/>
      <c r="HK176" s="589"/>
      <c r="HL176" s="589"/>
      <c r="HM176" s="589"/>
      <c r="HN176" s="589"/>
      <c r="HO176" s="589"/>
      <c r="HP176" s="589"/>
      <c r="HQ176" s="589"/>
      <c r="HR176" s="589"/>
      <c r="HS176" s="589"/>
      <c r="HT176" s="589"/>
      <c r="HU176" s="589"/>
      <c r="HV176" s="589"/>
      <c r="HW176" s="589"/>
      <c r="HX176" s="589"/>
      <c r="HY176" s="589"/>
      <c r="HZ176" s="589"/>
      <c r="IA176" s="589"/>
      <c r="IB176" s="589"/>
      <c r="IC176" s="589"/>
      <c r="ID176" s="589"/>
      <c r="IE176" s="589"/>
      <c r="IF176" s="589"/>
      <c r="IG176" s="589"/>
      <c r="IH176" s="589"/>
      <c r="II176" s="589"/>
      <c r="IJ176" s="589"/>
      <c r="IK176" s="589"/>
      <c r="IL176" s="589"/>
      <c r="IM176" s="589"/>
      <c r="IN176" s="589"/>
      <c r="IO176" s="589"/>
      <c r="IP176" s="589"/>
      <c r="IQ176" s="589"/>
      <c r="IR176" s="589"/>
      <c r="IS176" s="589"/>
      <c r="IT176" s="589"/>
      <c r="IU176" s="589"/>
      <c r="IV176" s="589"/>
    </row>
    <row r="177" spans="1:256" s="702" customFormat="1" x14ac:dyDescent="0.25">
      <c r="A177" s="604"/>
      <c r="B177" s="605" t="s">
        <v>232</v>
      </c>
      <c r="C177" s="605"/>
      <c r="D177" s="605"/>
      <c r="E177" s="605"/>
      <c r="F177" s="605"/>
      <c r="G177" s="605"/>
      <c r="H177" s="605"/>
      <c r="I177" s="605"/>
      <c r="J177" s="605"/>
      <c r="K177" s="605"/>
      <c r="L177" s="605"/>
      <c r="M177" s="605"/>
      <c r="N177" s="605"/>
      <c r="O177" s="605"/>
      <c r="P177" s="605"/>
      <c r="Q177" s="605"/>
      <c r="R177" s="605"/>
      <c r="S177" s="605"/>
      <c r="T177" s="605"/>
      <c r="U177" s="605"/>
      <c r="V177" s="663">
        <f>+V175-V176</f>
        <v>0</v>
      </c>
      <c r="W177" s="607"/>
      <c r="X177" s="588"/>
      <c r="Y177" s="589"/>
      <c r="Z177" s="589"/>
      <c r="AA177" s="589"/>
      <c r="AB177" s="589"/>
      <c r="AC177" s="589"/>
      <c r="AD177" s="589"/>
      <c r="AE177" s="589"/>
      <c r="AF177" s="589"/>
      <c r="AG177" s="589"/>
      <c r="AH177" s="589"/>
      <c r="AI177" s="589"/>
      <c r="AJ177" s="589"/>
      <c r="AK177" s="589"/>
      <c r="AL177" s="589"/>
      <c r="AM177" s="589"/>
      <c r="AN177" s="589"/>
      <c r="AO177" s="589"/>
      <c r="AP177" s="589"/>
      <c r="AQ177" s="589"/>
      <c r="AR177" s="589"/>
      <c r="AS177" s="589"/>
      <c r="AT177" s="589"/>
      <c r="AU177" s="589"/>
      <c r="AV177" s="589"/>
      <c r="AW177" s="589"/>
      <c r="AX177" s="589"/>
      <c r="AY177" s="589"/>
      <c r="AZ177" s="589"/>
      <c r="BA177" s="589"/>
      <c r="BB177" s="589"/>
      <c r="BC177" s="589"/>
      <c r="BD177" s="589"/>
      <c r="BE177" s="589"/>
      <c r="BF177" s="589"/>
      <c r="BG177" s="589"/>
      <c r="BH177" s="589"/>
      <c r="BI177" s="589"/>
      <c r="BJ177" s="589"/>
      <c r="BK177" s="589"/>
      <c r="BL177" s="589"/>
      <c r="BM177" s="589"/>
      <c r="BN177" s="589"/>
      <c r="BO177" s="589"/>
      <c r="BP177" s="589"/>
      <c r="BQ177" s="589"/>
      <c r="BR177" s="589"/>
      <c r="BS177" s="589"/>
      <c r="BT177" s="589"/>
      <c r="BU177" s="589"/>
      <c r="BV177" s="589"/>
      <c r="BW177" s="589"/>
      <c r="BX177" s="589"/>
      <c r="BY177" s="589"/>
      <c r="BZ177" s="589"/>
      <c r="CA177" s="589"/>
      <c r="CB177" s="589"/>
      <c r="CC177" s="589"/>
      <c r="CD177" s="589"/>
      <c r="CE177" s="589"/>
      <c r="CF177" s="589"/>
      <c r="CG177" s="589"/>
      <c r="CH177" s="589"/>
      <c r="CI177" s="589"/>
      <c r="CJ177" s="589"/>
      <c r="CK177" s="589"/>
      <c r="CL177" s="589"/>
      <c r="CM177" s="589"/>
      <c r="CN177" s="589"/>
      <c r="CO177" s="589"/>
      <c r="CP177" s="589"/>
      <c r="CQ177" s="589"/>
      <c r="CR177" s="589"/>
      <c r="CS177" s="589"/>
      <c r="CT177" s="589"/>
      <c r="CU177" s="589"/>
      <c r="CV177" s="589"/>
      <c r="CW177" s="589"/>
      <c r="CX177" s="589"/>
      <c r="CY177" s="589"/>
      <c r="CZ177" s="589"/>
      <c r="DA177" s="589"/>
      <c r="DB177" s="589"/>
      <c r="DC177" s="589"/>
      <c r="DD177" s="589"/>
      <c r="DE177" s="589"/>
      <c r="DF177" s="589"/>
      <c r="DG177" s="589"/>
      <c r="DH177" s="589"/>
      <c r="DI177" s="589"/>
      <c r="DJ177" s="589"/>
      <c r="DK177" s="589"/>
      <c r="DL177" s="589"/>
      <c r="DM177" s="589"/>
      <c r="DN177" s="589"/>
      <c r="DO177" s="589"/>
      <c r="DP177" s="589"/>
      <c r="DQ177" s="589"/>
      <c r="DR177" s="589"/>
      <c r="DS177" s="589"/>
      <c r="DT177" s="589"/>
      <c r="DU177" s="589"/>
      <c r="DV177" s="589"/>
      <c r="DW177" s="589"/>
      <c r="DX177" s="589"/>
      <c r="DY177" s="589"/>
      <c r="DZ177" s="589"/>
      <c r="EA177" s="589"/>
      <c r="EB177" s="589"/>
      <c r="EC177" s="589"/>
      <c r="ED177" s="589"/>
      <c r="EE177" s="589"/>
      <c r="EF177" s="589"/>
      <c r="EG177" s="589"/>
      <c r="EH177" s="589"/>
      <c r="EI177" s="589"/>
      <c r="EJ177" s="589"/>
      <c r="EK177" s="589"/>
      <c r="EL177" s="589"/>
      <c r="EM177" s="589"/>
      <c r="EN177" s="589"/>
      <c r="EO177" s="589"/>
      <c r="EP177" s="589"/>
      <c r="EQ177" s="589"/>
      <c r="ER177" s="589"/>
      <c r="ES177" s="589"/>
      <c r="ET177" s="589"/>
      <c r="EU177" s="589"/>
      <c r="EV177" s="589"/>
      <c r="EW177" s="589"/>
      <c r="EX177" s="589"/>
      <c r="EY177" s="589"/>
      <c r="EZ177" s="589"/>
      <c r="FA177" s="589"/>
      <c r="FB177" s="589"/>
      <c r="FC177" s="589"/>
      <c r="FD177" s="589"/>
      <c r="FE177" s="589"/>
      <c r="FF177" s="589"/>
      <c r="FG177" s="589"/>
      <c r="FH177" s="589"/>
      <c r="FI177" s="589"/>
      <c r="FJ177" s="589"/>
      <c r="FK177" s="589"/>
      <c r="FL177" s="589"/>
      <c r="FM177" s="589"/>
      <c r="FN177" s="589"/>
      <c r="FO177" s="589"/>
      <c r="FP177" s="589"/>
      <c r="FQ177" s="589"/>
      <c r="FR177" s="589"/>
      <c r="FS177" s="589"/>
      <c r="FT177" s="589"/>
      <c r="FU177" s="589"/>
      <c r="FV177" s="589"/>
      <c r="FW177" s="589"/>
      <c r="FX177" s="589"/>
      <c r="FY177" s="589"/>
      <c r="FZ177" s="589"/>
      <c r="GA177" s="589"/>
      <c r="GB177" s="589"/>
      <c r="GC177" s="589"/>
      <c r="GD177" s="589"/>
      <c r="GE177" s="589"/>
      <c r="GF177" s="589"/>
      <c r="GG177" s="589"/>
      <c r="GH177" s="589"/>
      <c r="GI177" s="589"/>
      <c r="GJ177" s="589"/>
      <c r="GK177" s="589"/>
      <c r="GL177" s="589"/>
      <c r="GM177" s="589"/>
      <c r="GN177" s="589"/>
      <c r="GO177" s="589"/>
      <c r="GP177" s="589"/>
      <c r="GQ177" s="589"/>
      <c r="GR177" s="589"/>
      <c r="GS177" s="589"/>
      <c r="GT177" s="589"/>
      <c r="GU177" s="589"/>
      <c r="GV177" s="589"/>
      <c r="GW177" s="589"/>
      <c r="GX177" s="589"/>
      <c r="GY177" s="589"/>
      <c r="GZ177" s="589"/>
      <c r="HA177" s="589"/>
      <c r="HB177" s="589"/>
      <c r="HC177" s="589"/>
      <c r="HD177" s="589"/>
      <c r="HE177" s="589"/>
      <c r="HF177" s="589"/>
      <c r="HG177" s="589"/>
      <c r="HH177" s="589"/>
      <c r="HI177" s="589"/>
      <c r="HJ177" s="589"/>
      <c r="HK177" s="589"/>
      <c r="HL177" s="589"/>
      <c r="HM177" s="589"/>
      <c r="HN177" s="589"/>
      <c r="HO177" s="589"/>
      <c r="HP177" s="589"/>
      <c r="HQ177" s="589"/>
      <c r="HR177" s="589"/>
      <c r="HS177" s="589"/>
      <c r="HT177" s="589"/>
      <c r="HU177" s="589"/>
      <c r="HV177" s="589"/>
      <c r="HW177" s="589"/>
      <c r="HX177" s="589"/>
      <c r="HY177" s="589"/>
      <c r="HZ177" s="589"/>
      <c r="IA177" s="589"/>
      <c r="IB177" s="589"/>
      <c r="IC177" s="589"/>
      <c r="ID177" s="589"/>
      <c r="IE177" s="589"/>
      <c r="IF177" s="589"/>
      <c r="IG177" s="589"/>
      <c r="IH177" s="589"/>
      <c r="II177" s="589"/>
      <c r="IJ177" s="589"/>
      <c r="IK177" s="589"/>
      <c r="IL177" s="589"/>
      <c r="IM177" s="589"/>
      <c r="IN177" s="589"/>
      <c r="IO177" s="589"/>
      <c r="IP177" s="589"/>
      <c r="IQ177" s="589"/>
      <c r="IR177" s="589"/>
      <c r="IS177" s="589"/>
      <c r="IT177" s="589"/>
      <c r="IU177" s="589"/>
      <c r="IV177" s="589"/>
    </row>
    <row r="178" spans="1:256" s="704" customFormat="1" ht="16.5" thickBot="1" x14ac:dyDescent="0.3">
      <c r="A178" s="703"/>
      <c r="B178" s="664"/>
      <c r="C178" s="664"/>
      <c r="D178" s="664"/>
      <c r="E178" s="664"/>
      <c r="F178" s="664"/>
      <c r="G178" s="664"/>
      <c r="H178" s="664"/>
      <c r="I178" s="664"/>
      <c r="J178" s="664"/>
      <c r="K178" s="664"/>
      <c r="L178" s="664"/>
      <c r="M178" s="664"/>
      <c r="N178" s="664"/>
      <c r="O178" s="664"/>
      <c r="P178" s="664"/>
      <c r="Q178" s="664"/>
      <c r="R178" s="664"/>
      <c r="S178" s="664"/>
      <c r="T178" s="664"/>
      <c r="U178" s="664"/>
      <c r="V178" s="696"/>
      <c r="W178" s="664"/>
      <c r="X178" s="572"/>
      <c r="Y178" s="573"/>
      <c r="Z178" s="573"/>
      <c r="AA178" s="573"/>
      <c r="AB178" s="573"/>
      <c r="AC178" s="573"/>
      <c r="AD178" s="573"/>
      <c r="AE178" s="573"/>
      <c r="AF178" s="573"/>
      <c r="AG178" s="573"/>
      <c r="AH178" s="573"/>
      <c r="AI178" s="573"/>
      <c r="AJ178" s="573"/>
      <c r="AK178" s="573"/>
      <c r="AL178" s="573"/>
      <c r="AM178" s="573"/>
      <c r="AN178" s="573"/>
      <c r="AO178" s="573"/>
      <c r="AP178" s="573"/>
      <c r="AQ178" s="573"/>
      <c r="AR178" s="573"/>
      <c r="AS178" s="573"/>
      <c r="AT178" s="573"/>
      <c r="AU178" s="573"/>
      <c r="AV178" s="573"/>
      <c r="AW178" s="573"/>
      <c r="AX178" s="573"/>
      <c r="AY178" s="573"/>
      <c r="AZ178" s="573"/>
      <c r="BA178" s="573"/>
      <c r="BB178" s="573"/>
      <c r="BC178" s="573"/>
      <c r="BD178" s="573"/>
      <c r="BE178" s="573"/>
      <c r="BF178" s="573"/>
      <c r="BG178" s="573"/>
      <c r="BH178" s="573"/>
      <c r="BI178" s="573"/>
      <c r="BJ178" s="573"/>
      <c r="BK178" s="573"/>
      <c r="BL178" s="573"/>
      <c r="BM178" s="573"/>
      <c r="BN178" s="573"/>
      <c r="BO178" s="573"/>
      <c r="BP178" s="573"/>
      <c r="BQ178" s="573"/>
      <c r="BR178" s="573"/>
      <c r="BS178" s="573"/>
      <c r="BT178" s="573"/>
      <c r="BU178" s="573"/>
      <c r="BV178" s="573"/>
      <c r="BW178" s="573"/>
      <c r="BX178" s="573"/>
      <c r="BY178" s="573"/>
      <c r="BZ178" s="573"/>
      <c r="CA178" s="573"/>
      <c r="CB178" s="573"/>
      <c r="CC178" s="573"/>
      <c r="CD178" s="573"/>
      <c r="CE178" s="573"/>
      <c r="CF178" s="573"/>
      <c r="CG178" s="573"/>
      <c r="CH178" s="573"/>
      <c r="CI178" s="573"/>
      <c r="CJ178" s="573"/>
      <c r="CK178" s="573"/>
      <c r="CL178" s="573"/>
      <c r="CM178" s="573"/>
      <c r="CN178" s="573"/>
      <c r="CO178" s="573"/>
      <c r="CP178" s="573"/>
      <c r="CQ178" s="573"/>
      <c r="CR178" s="573"/>
      <c r="CS178" s="573"/>
      <c r="CT178" s="573"/>
      <c r="CU178" s="573"/>
      <c r="CV178" s="573"/>
      <c r="CW178" s="573"/>
      <c r="CX178" s="573"/>
      <c r="CY178" s="573"/>
      <c r="CZ178" s="573"/>
      <c r="DA178" s="573"/>
      <c r="DB178" s="573"/>
      <c r="DC178" s="573"/>
      <c r="DD178" s="573"/>
      <c r="DE178" s="573"/>
      <c r="DF178" s="573"/>
      <c r="DG178" s="573"/>
      <c r="DH178" s="573"/>
      <c r="DI178" s="573"/>
      <c r="DJ178" s="573"/>
      <c r="DK178" s="573"/>
      <c r="DL178" s="573"/>
      <c r="DM178" s="573"/>
      <c r="DN178" s="573"/>
      <c r="DO178" s="573"/>
      <c r="DP178" s="573"/>
      <c r="DQ178" s="573"/>
      <c r="DR178" s="573"/>
      <c r="DS178" s="573"/>
      <c r="DT178" s="573"/>
      <c r="DU178" s="573"/>
      <c r="DV178" s="573"/>
      <c r="DW178" s="573"/>
      <c r="DX178" s="573"/>
      <c r="DY178" s="573"/>
      <c r="DZ178" s="573"/>
      <c r="EA178" s="573"/>
      <c r="EB178" s="573"/>
      <c r="EC178" s="573"/>
      <c r="ED178" s="573"/>
      <c r="EE178" s="573"/>
      <c r="EF178" s="573"/>
      <c r="EG178" s="573"/>
      <c r="EH178" s="573"/>
      <c r="EI178" s="573"/>
      <c r="EJ178" s="573"/>
      <c r="EK178" s="573"/>
      <c r="EL178" s="573"/>
      <c r="EM178" s="573"/>
      <c r="EN178" s="573"/>
      <c r="EO178" s="573"/>
      <c r="EP178" s="573"/>
      <c r="EQ178" s="573"/>
      <c r="ER178" s="573"/>
      <c r="ES178" s="573"/>
      <c r="ET178" s="573"/>
      <c r="EU178" s="573"/>
      <c r="EV178" s="573"/>
      <c r="EW178" s="573"/>
      <c r="EX178" s="573"/>
      <c r="EY178" s="573"/>
      <c r="EZ178" s="573"/>
      <c r="FA178" s="573"/>
      <c r="FB178" s="573"/>
      <c r="FC178" s="573"/>
      <c r="FD178" s="573"/>
      <c r="FE178" s="573"/>
      <c r="FF178" s="573"/>
      <c r="FG178" s="573"/>
      <c r="FH178" s="573"/>
      <c r="FI178" s="573"/>
      <c r="FJ178" s="573"/>
      <c r="FK178" s="573"/>
      <c r="FL178" s="573"/>
      <c r="FM178" s="573"/>
      <c r="FN178" s="573"/>
      <c r="FO178" s="573"/>
      <c r="FP178" s="573"/>
      <c r="FQ178" s="573"/>
      <c r="FR178" s="573"/>
      <c r="FS178" s="573"/>
      <c r="FT178" s="573"/>
      <c r="FU178" s="573"/>
      <c r="FV178" s="573"/>
      <c r="FW178" s="573"/>
      <c r="FX178" s="573"/>
      <c r="FY178" s="573"/>
      <c r="FZ178" s="573"/>
      <c r="GA178" s="573"/>
      <c r="GB178" s="573"/>
      <c r="GC178" s="573"/>
      <c r="GD178" s="573"/>
      <c r="GE178" s="573"/>
      <c r="GF178" s="573"/>
      <c r="GG178" s="573"/>
      <c r="GH178" s="573"/>
      <c r="GI178" s="573"/>
      <c r="GJ178" s="573"/>
      <c r="GK178" s="573"/>
      <c r="GL178" s="573"/>
      <c r="GM178" s="573"/>
      <c r="GN178" s="573"/>
      <c r="GO178" s="573"/>
      <c r="GP178" s="573"/>
      <c r="GQ178" s="573"/>
      <c r="GR178" s="573"/>
      <c r="GS178" s="573"/>
      <c r="GT178" s="573"/>
      <c r="GU178" s="573"/>
      <c r="GV178" s="573"/>
      <c r="GW178" s="573"/>
      <c r="GX178" s="573"/>
      <c r="GY178" s="573"/>
      <c r="GZ178" s="573"/>
      <c r="HA178" s="573"/>
      <c r="HB178" s="573"/>
      <c r="HC178" s="573"/>
      <c r="HD178" s="573"/>
      <c r="HE178" s="573"/>
      <c r="HF178" s="573"/>
      <c r="HG178" s="573"/>
      <c r="HH178" s="573"/>
      <c r="HI178" s="573"/>
      <c r="HJ178" s="573"/>
      <c r="HK178" s="573"/>
      <c r="HL178" s="573"/>
      <c r="HM178" s="573"/>
      <c r="HN178" s="573"/>
      <c r="HO178" s="573"/>
      <c r="HP178" s="573"/>
      <c r="HQ178" s="573"/>
      <c r="HR178" s="573"/>
      <c r="HS178" s="573"/>
      <c r="HT178" s="573"/>
      <c r="HU178" s="573"/>
      <c r="HV178" s="573"/>
      <c r="HW178" s="573"/>
      <c r="HX178" s="573"/>
      <c r="HY178" s="573"/>
      <c r="HZ178" s="573"/>
      <c r="IA178" s="573"/>
      <c r="IB178" s="573"/>
      <c r="IC178" s="573"/>
      <c r="ID178" s="573"/>
      <c r="IE178" s="573"/>
      <c r="IF178" s="573"/>
      <c r="IG178" s="573"/>
      <c r="IH178" s="573"/>
      <c r="II178" s="573"/>
      <c r="IJ178" s="573"/>
      <c r="IK178" s="573"/>
      <c r="IL178" s="573"/>
      <c r="IM178" s="573"/>
      <c r="IN178" s="573"/>
      <c r="IO178" s="573"/>
      <c r="IP178" s="573"/>
      <c r="IQ178" s="573"/>
      <c r="IR178" s="573"/>
      <c r="IS178" s="573"/>
      <c r="IT178" s="573"/>
      <c r="IU178" s="573"/>
      <c r="IV178" s="573"/>
    </row>
    <row r="179" spans="1:256" s="705" customFormat="1" x14ac:dyDescent="0.25">
      <c r="A179" s="569"/>
      <c r="B179" s="571"/>
      <c r="C179" s="571"/>
      <c r="D179" s="571"/>
      <c r="E179" s="571"/>
      <c r="F179" s="571"/>
      <c r="G179" s="571"/>
      <c r="H179" s="571"/>
      <c r="I179" s="571"/>
      <c r="J179" s="571"/>
      <c r="K179" s="571"/>
      <c r="L179" s="571"/>
      <c r="M179" s="571"/>
      <c r="N179" s="571"/>
      <c r="O179" s="571"/>
      <c r="P179" s="571"/>
      <c r="Q179" s="571"/>
      <c r="R179" s="571"/>
      <c r="S179" s="571"/>
      <c r="T179" s="571"/>
      <c r="U179" s="571"/>
      <c r="V179" s="699"/>
      <c r="W179" s="571"/>
      <c r="X179" s="572"/>
      <c r="Y179" s="573"/>
      <c r="Z179" s="573"/>
      <c r="AA179" s="573"/>
      <c r="AB179" s="573"/>
      <c r="AC179" s="573"/>
      <c r="AD179" s="573"/>
      <c r="AE179" s="573"/>
      <c r="AF179" s="573"/>
      <c r="AG179" s="573"/>
      <c r="AH179" s="573"/>
      <c r="AI179" s="573"/>
      <c r="AJ179" s="573"/>
      <c r="AK179" s="573"/>
      <c r="AL179" s="573"/>
      <c r="AM179" s="573"/>
      <c r="AN179" s="573"/>
      <c r="AO179" s="573"/>
      <c r="AP179" s="573"/>
      <c r="AQ179" s="573"/>
      <c r="AR179" s="573"/>
      <c r="AS179" s="573"/>
      <c r="AT179" s="573"/>
      <c r="AU179" s="573"/>
      <c r="AV179" s="573"/>
      <c r="AW179" s="573"/>
      <c r="AX179" s="573"/>
      <c r="AY179" s="573"/>
      <c r="AZ179" s="573"/>
      <c r="BA179" s="573"/>
      <c r="BB179" s="573"/>
      <c r="BC179" s="573"/>
      <c r="BD179" s="573"/>
      <c r="BE179" s="573"/>
      <c r="BF179" s="573"/>
      <c r="BG179" s="573"/>
      <c r="BH179" s="573"/>
      <c r="BI179" s="573"/>
      <c r="BJ179" s="573"/>
      <c r="BK179" s="573"/>
      <c r="BL179" s="573"/>
      <c r="BM179" s="573"/>
      <c r="BN179" s="573"/>
      <c r="BO179" s="573"/>
      <c r="BP179" s="573"/>
      <c r="BQ179" s="573"/>
      <c r="BR179" s="573"/>
      <c r="BS179" s="573"/>
      <c r="BT179" s="573"/>
      <c r="BU179" s="573"/>
      <c r="BV179" s="573"/>
      <c r="BW179" s="573"/>
      <c r="BX179" s="573"/>
      <c r="BY179" s="573"/>
      <c r="BZ179" s="573"/>
      <c r="CA179" s="573"/>
      <c r="CB179" s="573"/>
      <c r="CC179" s="573"/>
      <c r="CD179" s="573"/>
      <c r="CE179" s="573"/>
      <c r="CF179" s="573"/>
      <c r="CG179" s="573"/>
      <c r="CH179" s="573"/>
      <c r="CI179" s="573"/>
      <c r="CJ179" s="573"/>
      <c r="CK179" s="573"/>
      <c r="CL179" s="573"/>
      <c r="CM179" s="573"/>
      <c r="CN179" s="573"/>
      <c r="CO179" s="573"/>
      <c r="CP179" s="573"/>
      <c r="CQ179" s="573"/>
      <c r="CR179" s="573"/>
      <c r="CS179" s="573"/>
      <c r="CT179" s="573"/>
      <c r="CU179" s="573"/>
      <c r="CV179" s="573"/>
      <c r="CW179" s="573"/>
      <c r="CX179" s="573"/>
      <c r="CY179" s="573"/>
      <c r="CZ179" s="573"/>
      <c r="DA179" s="573"/>
      <c r="DB179" s="573"/>
      <c r="DC179" s="573"/>
      <c r="DD179" s="573"/>
      <c r="DE179" s="573"/>
      <c r="DF179" s="573"/>
      <c r="DG179" s="573"/>
      <c r="DH179" s="573"/>
      <c r="DI179" s="573"/>
      <c r="DJ179" s="573"/>
      <c r="DK179" s="573"/>
      <c r="DL179" s="573"/>
      <c r="DM179" s="573"/>
      <c r="DN179" s="573"/>
      <c r="DO179" s="573"/>
      <c r="DP179" s="573"/>
      <c r="DQ179" s="573"/>
      <c r="DR179" s="573"/>
      <c r="DS179" s="573"/>
      <c r="DT179" s="573"/>
      <c r="DU179" s="573"/>
      <c r="DV179" s="573"/>
      <c r="DW179" s="573"/>
      <c r="DX179" s="573"/>
      <c r="DY179" s="573"/>
      <c r="DZ179" s="573"/>
      <c r="EA179" s="573"/>
      <c r="EB179" s="573"/>
      <c r="EC179" s="573"/>
      <c r="ED179" s="573"/>
      <c r="EE179" s="573"/>
      <c r="EF179" s="573"/>
      <c r="EG179" s="573"/>
      <c r="EH179" s="573"/>
      <c r="EI179" s="573"/>
      <c r="EJ179" s="573"/>
      <c r="EK179" s="573"/>
      <c r="EL179" s="573"/>
      <c r="EM179" s="573"/>
      <c r="EN179" s="573"/>
      <c r="EO179" s="573"/>
      <c r="EP179" s="573"/>
      <c r="EQ179" s="573"/>
      <c r="ER179" s="573"/>
      <c r="ES179" s="573"/>
      <c r="ET179" s="573"/>
      <c r="EU179" s="573"/>
      <c r="EV179" s="573"/>
      <c r="EW179" s="573"/>
      <c r="EX179" s="573"/>
      <c r="EY179" s="573"/>
      <c r="EZ179" s="573"/>
      <c r="FA179" s="573"/>
      <c r="FB179" s="573"/>
      <c r="FC179" s="573"/>
      <c r="FD179" s="573"/>
      <c r="FE179" s="573"/>
      <c r="FF179" s="573"/>
      <c r="FG179" s="573"/>
      <c r="FH179" s="573"/>
      <c r="FI179" s="573"/>
      <c r="FJ179" s="573"/>
      <c r="FK179" s="573"/>
      <c r="FL179" s="573"/>
      <c r="FM179" s="573"/>
      <c r="FN179" s="573"/>
      <c r="FO179" s="573"/>
      <c r="FP179" s="573"/>
      <c r="FQ179" s="573"/>
      <c r="FR179" s="573"/>
      <c r="FS179" s="573"/>
      <c r="FT179" s="573"/>
      <c r="FU179" s="573"/>
      <c r="FV179" s="573"/>
      <c r="FW179" s="573"/>
      <c r="FX179" s="573"/>
      <c r="FY179" s="573"/>
      <c r="FZ179" s="573"/>
      <c r="GA179" s="573"/>
      <c r="GB179" s="573"/>
      <c r="GC179" s="573"/>
      <c r="GD179" s="573"/>
      <c r="GE179" s="573"/>
      <c r="GF179" s="573"/>
      <c r="GG179" s="573"/>
      <c r="GH179" s="573"/>
      <c r="GI179" s="573"/>
      <c r="GJ179" s="573"/>
      <c r="GK179" s="573"/>
      <c r="GL179" s="573"/>
      <c r="GM179" s="573"/>
      <c r="GN179" s="573"/>
      <c r="GO179" s="573"/>
      <c r="GP179" s="573"/>
      <c r="GQ179" s="573"/>
      <c r="GR179" s="573"/>
      <c r="GS179" s="573"/>
      <c r="GT179" s="573"/>
      <c r="GU179" s="573"/>
      <c r="GV179" s="573"/>
      <c r="GW179" s="573"/>
      <c r="GX179" s="573"/>
      <c r="GY179" s="573"/>
      <c r="GZ179" s="573"/>
      <c r="HA179" s="573"/>
      <c r="HB179" s="573"/>
      <c r="HC179" s="573"/>
      <c r="HD179" s="573"/>
      <c r="HE179" s="573"/>
      <c r="HF179" s="573"/>
      <c r="HG179" s="573"/>
      <c r="HH179" s="573"/>
      <c r="HI179" s="573"/>
      <c r="HJ179" s="573"/>
      <c r="HK179" s="573"/>
      <c r="HL179" s="573"/>
      <c r="HM179" s="573"/>
      <c r="HN179" s="573"/>
      <c r="HO179" s="573"/>
      <c r="HP179" s="573"/>
      <c r="HQ179" s="573"/>
      <c r="HR179" s="573"/>
      <c r="HS179" s="573"/>
      <c r="HT179" s="573"/>
      <c r="HU179" s="573"/>
      <c r="HV179" s="573"/>
      <c r="HW179" s="573"/>
      <c r="HX179" s="573"/>
      <c r="HY179" s="573"/>
      <c r="HZ179" s="573"/>
      <c r="IA179" s="573"/>
      <c r="IB179" s="573"/>
      <c r="IC179" s="573"/>
      <c r="ID179" s="573"/>
      <c r="IE179" s="573"/>
      <c r="IF179" s="573"/>
      <c r="IG179" s="573"/>
      <c r="IH179" s="573"/>
      <c r="II179" s="573"/>
      <c r="IJ179" s="573"/>
      <c r="IK179" s="573"/>
      <c r="IL179" s="573"/>
      <c r="IM179" s="573"/>
      <c r="IN179" s="573"/>
      <c r="IO179" s="573"/>
      <c r="IP179" s="573"/>
      <c r="IQ179" s="573"/>
      <c r="IR179" s="573"/>
      <c r="IS179" s="573"/>
      <c r="IT179" s="573"/>
      <c r="IU179" s="573"/>
      <c r="IV179" s="573"/>
    </row>
    <row r="180" spans="1:256" x14ac:dyDescent="0.25">
      <c r="A180" s="574"/>
      <c r="B180" s="694" t="s">
        <v>56</v>
      </c>
      <c r="C180" s="576"/>
      <c r="D180" s="576"/>
      <c r="E180" s="576"/>
      <c r="F180" s="576"/>
      <c r="G180" s="576"/>
      <c r="H180" s="576"/>
      <c r="I180" s="576"/>
      <c r="J180" s="576"/>
      <c r="K180" s="576"/>
      <c r="L180" s="576"/>
      <c r="M180" s="576"/>
      <c r="N180" s="576"/>
      <c r="O180" s="576"/>
      <c r="P180" s="576"/>
      <c r="Q180" s="576"/>
      <c r="R180" s="576"/>
      <c r="S180" s="576"/>
      <c r="T180" s="576"/>
      <c r="U180" s="576"/>
      <c r="V180" s="656"/>
      <c r="W180" s="576"/>
      <c r="X180" s="572"/>
    </row>
    <row r="181" spans="1:256" x14ac:dyDescent="0.25">
      <c r="A181" s="574"/>
      <c r="B181" s="693"/>
      <c r="C181" s="576"/>
      <c r="D181" s="576"/>
      <c r="E181" s="576"/>
      <c r="F181" s="576"/>
      <c r="G181" s="576"/>
      <c r="H181" s="576"/>
      <c r="I181" s="576"/>
      <c r="J181" s="576"/>
      <c r="K181" s="576"/>
      <c r="L181" s="576"/>
      <c r="M181" s="576"/>
      <c r="N181" s="576"/>
      <c r="O181" s="576"/>
      <c r="P181" s="576"/>
      <c r="Q181" s="576"/>
      <c r="R181" s="576"/>
      <c r="S181" s="576"/>
      <c r="T181" s="576"/>
      <c r="U181" s="576"/>
      <c r="V181" s="656"/>
      <c r="W181" s="576"/>
      <c r="X181" s="572"/>
    </row>
    <row r="182" spans="1:256" s="589" customFormat="1" x14ac:dyDescent="0.25">
      <c r="A182" s="604"/>
      <c r="B182" s="605" t="s">
        <v>57</v>
      </c>
      <c r="C182" s="605"/>
      <c r="D182" s="605"/>
      <c r="E182" s="605"/>
      <c r="F182" s="605"/>
      <c r="G182" s="605"/>
      <c r="H182" s="605"/>
      <c r="I182" s="605"/>
      <c r="J182" s="605"/>
      <c r="K182" s="605"/>
      <c r="L182" s="605"/>
      <c r="M182" s="605"/>
      <c r="N182" s="605"/>
      <c r="O182" s="605"/>
      <c r="P182" s="605"/>
      <c r="Q182" s="605"/>
      <c r="R182" s="605"/>
      <c r="S182" s="605"/>
      <c r="T182" s="605"/>
      <c r="U182" s="605"/>
      <c r="V182" s="663">
        <f>V71</f>
        <v>521681</v>
      </c>
      <c r="W182" s="607"/>
      <c r="X182" s="588"/>
    </row>
    <row r="183" spans="1:256" s="589" customFormat="1" x14ac:dyDescent="0.25">
      <c r="A183" s="604"/>
      <c r="B183" s="605" t="s">
        <v>58</v>
      </c>
      <c r="C183" s="605"/>
      <c r="D183" s="605"/>
      <c r="E183" s="605"/>
      <c r="F183" s="605"/>
      <c r="G183" s="605"/>
      <c r="H183" s="605"/>
      <c r="I183" s="605"/>
      <c r="J183" s="605"/>
      <c r="K183" s="605"/>
      <c r="L183" s="605"/>
      <c r="M183" s="605"/>
      <c r="N183" s="605"/>
      <c r="O183" s="605"/>
      <c r="P183" s="605"/>
      <c r="Q183" s="605"/>
      <c r="R183" s="605"/>
      <c r="S183" s="605"/>
      <c r="T183" s="605"/>
      <c r="U183" s="605"/>
      <c r="V183" s="663">
        <f>V84</f>
        <v>521681</v>
      </c>
      <c r="W183" s="607"/>
      <c r="X183" s="588"/>
    </row>
    <row r="184" spans="1:256" ht="16.5" thickBot="1" x14ac:dyDescent="0.3">
      <c r="A184" s="574"/>
      <c r="B184" s="664"/>
      <c r="C184" s="664"/>
      <c r="D184" s="664"/>
      <c r="E184" s="664"/>
      <c r="F184" s="664"/>
      <c r="G184" s="664"/>
      <c r="H184" s="664"/>
      <c r="I184" s="664"/>
      <c r="J184" s="664"/>
      <c r="K184" s="664"/>
      <c r="L184" s="664"/>
      <c r="M184" s="664"/>
      <c r="N184" s="664"/>
      <c r="O184" s="664"/>
      <c r="P184" s="664"/>
      <c r="Q184" s="664"/>
      <c r="R184" s="664"/>
      <c r="S184" s="664"/>
      <c r="T184" s="664"/>
      <c r="U184" s="664"/>
      <c r="V184" s="696"/>
      <c r="W184" s="664"/>
      <c r="X184" s="572"/>
    </row>
    <row r="185" spans="1:256" x14ac:dyDescent="0.25">
      <c r="A185" s="569"/>
      <c r="B185" s="571"/>
      <c r="C185" s="571"/>
      <c r="D185" s="571"/>
      <c r="E185" s="571"/>
      <c r="F185" s="571"/>
      <c r="G185" s="571"/>
      <c r="H185" s="571"/>
      <c r="I185" s="571"/>
      <c r="J185" s="571"/>
      <c r="K185" s="571"/>
      <c r="L185" s="571"/>
      <c r="M185" s="571"/>
      <c r="N185" s="571"/>
      <c r="O185" s="571"/>
      <c r="P185" s="571"/>
      <c r="Q185" s="571"/>
      <c r="R185" s="571"/>
      <c r="S185" s="571"/>
      <c r="T185" s="571"/>
      <c r="U185" s="571"/>
      <c r="V185" s="699"/>
      <c r="W185" s="571"/>
      <c r="X185" s="572"/>
    </row>
    <row r="186" spans="1:256" s="629" customFormat="1" x14ac:dyDescent="0.25">
      <c r="A186" s="657"/>
      <c r="B186" s="694" t="s">
        <v>59</v>
      </c>
      <c r="C186" s="661"/>
      <c r="D186" s="661"/>
      <c r="E186" s="661"/>
      <c r="F186" s="661"/>
      <c r="G186" s="661"/>
      <c r="H186" s="706"/>
      <c r="I186" s="706"/>
      <c r="J186" s="706"/>
      <c r="K186" s="706"/>
      <c r="L186" s="706"/>
      <c r="M186" s="706"/>
      <c r="N186" s="706"/>
      <c r="O186" s="706"/>
      <c r="P186" s="706"/>
      <c r="Q186" s="706"/>
      <c r="R186" s="706"/>
      <c r="S186" s="706" t="s">
        <v>101</v>
      </c>
      <c r="T186" s="706" t="s">
        <v>176</v>
      </c>
      <c r="U186" s="578"/>
      <c r="V186" s="707" t="s">
        <v>114</v>
      </c>
      <c r="W186" s="578"/>
      <c r="X186" s="628"/>
    </row>
    <row r="187" spans="1:256" s="589" customFormat="1" x14ac:dyDescent="0.25">
      <c r="A187" s="604"/>
      <c r="B187" s="605" t="s">
        <v>60</v>
      </c>
      <c r="C187" s="605"/>
      <c r="D187" s="605"/>
      <c r="E187" s="605"/>
      <c r="F187" s="605"/>
      <c r="G187" s="605"/>
      <c r="H187" s="605"/>
      <c r="I187" s="605"/>
      <c r="J187" s="605"/>
      <c r="K187" s="605"/>
      <c r="L187" s="605"/>
      <c r="M187" s="605"/>
      <c r="N187" s="605"/>
      <c r="O187" s="605"/>
      <c r="P187" s="605"/>
      <c r="Q187" s="605"/>
      <c r="R187" s="605"/>
      <c r="S187" s="663">
        <f>+V34*0.16</f>
        <v>160181.28</v>
      </c>
      <c r="T187" s="635"/>
      <c r="U187" s="605"/>
      <c r="V187" s="663"/>
      <c r="W187" s="607"/>
      <c r="X187" s="588"/>
    </row>
    <row r="188" spans="1:256" s="589" customFormat="1" x14ac:dyDescent="0.25">
      <c r="A188" s="604"/>
      <c r="B188" s="605" t="s">
        <v>61</v>
      </c>
      <c r="C188" s="605"/>
      <c r="D188" s="605"/>
      <c r="E188" s="605"/>
      <c r="F188" s="605"/>
      <c r="G188" s="605"/>
      <c r="H188" s="605"/>
      <c r="I188" s="605"/>
      <c r="J188" s="605"/>
      <c r="K188" s="605"/>
      <c r="L188" s="605"/>
      <c r="M188" s="605"/>
      <c r="N188" s="605"/>
      <c r="O188" s="605"/>
      <c r="P188" s="605"/>
      <c r="Q188" s="605"/>
      <c r="R188" s="605"/>
      <c r="S188" s="663">
        <f>+'May 20'!S190</f>
        <v>14163</v>
      </c>
      <c r="T188" s="663">
        <f>+'May 20'!T190</f>
        <v>6098</v>
      </c>
      <c r="U188" s="605"/>
      <c r="V188" s="663">
        <f>S188+T188</f>
        <v>20261</v>
      </c>
      <c r="W188" s="607"/>
      <c r="X188" s="588"/>
    </row>
    <row r="189" spans="1:256" s="589" customFormat="1" x14ac:dyDescent="0.25">
      <c r="A189" s="604"/>
      <c r="B189" s="605" t="s">
        <v>62</v>
      </c>
      <c r="C189" s="605"/>
      <c r="D189" s="605"/>
      <c r="E189" s="605"/>
      <c r="F189" s="605"/>
      <c r="G189" s="605"/>
      <c r="H189" s="605"/>
      <c r="I189" s="605"/>
      <c r="J189" s="605"/>
      <c r="K189" s="605"/>
      <c r="L189" s="605"/>
      <c r="M189" s="605"/>
      <c r="N189" s="605"/>
      <c r="O189" s="605"/>
      <c r="P189" s="605"/>
      <c r="Q189" s="605"/>
      <c r="R189" s="605"/>
      <c r="S189" s="662">
        <v>0</v>
      </c>
      <c r="T189" s="662">
        <v>0</v>
      </c>
      <c r="U189" s="605"/>
      <c r="V189" s="663">
        <f>S189+T189</f>
        <v>0</v>
      </c>
      <c r="W189" s="607"/>
      <c r="X189" s="588"/>
    </row>
    <row r="190" spans="1:256" s="589" customFormat="1" x14ac:dyDescent="0.25">
      <c r="A190" s="604"/>
      <c r="B190" s="605" t="s">
        <v>63</v>
      </c>
      <c r="C190" s="605"/>
      <c r="D190" s="605"/>
      <c r="E190" s="605"/>
      <c r="F190" s="605"/>
      <c r="G190" s="605"/>
      <c r="H190" s="605"/>
      <c r="I190" s="605"/>
      <c r="J190" s="605"/>
      <c r="K190" s="605"/>
      <c r="L190" s="605"/>
      <c r="M190" s="605"/>
      <c r="N190" s="605"/>
      <c r="O190" s="605"/>
      <c r="P190" s="605"/>
      <c r="Q190" s="605"/>
      <c r="R190" s="605"/>
      <c r="S190" s="663">
        <f>S188+S189</f>
        <v>14163</v>
      </c>
      <c r="T190" s="663">
        <f>T189+T188</f>
        <v>6098</v>
      </c>
      <c r="U190" s="605"/>
      <c r="V190" s="663">
        <f>S190+T190</f>
        <v>20261</v>
      </c>
      <c r="W190" s="607"/>
      <c r="X190" s="588"/>
    </row>
    <row r="191" spans="1:256" s="589" customFormat="1" x14ac:dyDescent="0.25">
      <c r="A191" s="604"/>
      <c r="B191" s="605" t="s">
        <v>64</v>
      </c>
      <c r="C191" s="605"/>
      <c r="D191" s="605"/>
      <c r="E191" s="605"/>
      <c r="F191" s="605"/>
      <c r="G191" s="605"/>
      <c r="H191" s="605"/>
      <c r="I191" s="605"/>
      <c r="J191" s="605"/>
      <c r="K191" s="605"/>
      <c r="L191" s="605"/>
      <c r="M191" s="605"/>
      <c r="N191" s="605"/>
      <c r="O191" s="605"/>
      <c r="P191" s="605"/>
      <c r="Q191" s="605"/>
      <c r="R191" s="605"/>
      <c r="S191" s="663">
        <f>S187-S190-T190</f>
        <v>139920.28</v>
      </c>
      <c r="T191" s="635"/>
      <c r="U191" s="605"/>
      <c r="V191" s="663"/>
      <c r="W191" s="607"/>
      <c r="X191" s="588"/>
    </row>
    <row r="192" spans="1:256" ht="16.5" thickBot="1" x14ac:dyDescent="0.3">
      <c r="A192" s="574"/>
      <c r="B192" s="664"/>
      <c r="C192" s="664"/>
      <c r="D192" s="664"/>
      <c r="E192" s="664"/>
      <c r="F192" s="664"/>
      <c r="G192" s="664"/>
      <c r="H192" s="664"/>
      <c r="I192" s="664"/>
      <c r="J192" s="664"/>
      <c r="K192" s="664"/>
      <c r="L192" s="664"/>
      <c r="M192" s="664"/>
      <c r="N192" s="664"/>
      <c r="O192" s="664"/>
      <c r="P192" s="664"/>
      <c r="Q192" s="664"/>
      <c r="R192" s="664"/>
      <c r="S192" s="664"/>
      <c r="T192" s="664"/>
      <c r="U192" s="664"/>
      <c r="V192" s="696"/>
      <c r="W192" s="664"/>
      <c r="X192" s="572"/>
    </row>
    <row r="193" spans="1:24" x14ac:dyDescent="0.25">
      <c r="A193" s="569"/>
      <c r="B193" s="571"/>
      <c r="C193" s="571"/>
      <c r="D193" s="571"/>
      <c r="E193" s="571"/>
      <c r="F193" s="571"/>
      <c r="G193" s="571"/>
      <c r="H193" s="571"/>
      <c r="I193" s="571"/>
      <c r="J193" s="571"/>
      <c r="K193" s="571"/>
      <c r="L193" s="571"/>
      <c r="M193" s="571"/>
      <c r="N193" s="571"/>
      <c r="O193" s="571"/>
      <c r="P193" s="571"/>
      <c r="Q193" s="571"/>
      <c r="R193" s="571"/>
      <c r="S193" s="571"/>
      <c r="T193" s="571"/>
      <c r="U193" s="571"/>
      <c r="V193" s="699"/>
      <c r="W193" s="571"/>
      <c r="X193" s="572"/>
    </row>
    <row r="194" spans="1:24" x14ac:dyDescent="0.25">
      <c r="A194" s="574"/>
      <c r="B194" s="694" t="s">
        <v>65</v>
      </c>
      <c r="C194" s="576"/>
      <c r="D194" s="576"/>
      <c r="E194" s="576"/>
      <c r="F194" s="576"/>
      <c r="G194" s="576"/>
      <c r="H194" s="576"/>
      <c r="I194" s="576"/>
      <c r="J194" s="576"/>
      <c r="K194" s="576"/>
      <c r="L194" s="576"/>
      <c r="M194" s="576"/>
      <c r="N194" s="576"/>
      <c r="O194" s="576"/>
      <c r="P194" s="576"/>
      <c r="Q194" s="576"/>
      <c r="R194" s="576"/>
      <c r="S194" s="576"/>
      <c r="T194" s="576"/>
      <c r="U194" s="576"/>
      <c r="V194" s="708"/>
      <c r="W194" s="576"/>
      <c r="X194" s="572"/>
    </row>
    <row r="195" spans="1:24" s="589" customFormat="1" x14ac:dyDescent="0.25">
      <c r="A195" s="604"/>
      <c r="B195" s="605" t="s">
        <v>66</v>
      </c>
      <c r="C195" s="605"/>
      <c r="D195" s="605"/>
      <c r="E195" s="605"/>
      <c r="F195" s="605"/>
      <c r="G195" s="605"/>
      <c r="H195" s="605"/>
      <c r="I195" s="605"/>
      <c r="J195" s="605"/>
      <c r="K195" s="605"/>
      <c r="L195" s="605"/>
      <c r="M195" s="605"/>
      <c r="N195" s="605"/>
      <c r="O195" s="605"/>
      <c r="P195" s="605"/>
      <c r="Q195" s="605"/>
      <c r="R195" s="605"/>
      <c r="S195" s="605"/>
      <c r="T195" s="605"/>
      <c r="U195" s="605"/>
      <c r="V195" s="697">
        <f>(V101+V103+V104+V105+V106)/-(V107+V108)</f>
        <v>6.309226932668329</v>
      </c>
      <c r="W195" s="607" t="s">
        <v>115</v>
      </c>
      <c r="X195" s="588"/>
    </row>
    <row r="196" spans="1:24" s="589" customFormat="1" x14ac:dyDescent="0.25">
      <c r="A196" s="604"/>
      <c r="B196" s="605" t="s">
        <v>67</v>
      </c>
      <c r="C196" s="605"/>
      <c r="D196" s="605"/>
      <c r="E196" s="605"/>
      <c r="F196" s="605"/>
      <c r="G196" s="605"/>
      <c r="H196" s="605"/>
      <c r="I196" s="605"/>
      <c r="J196" s="605"/>
      <c r="K196" s="605"/>
      <c r="L196" s="605"/>
      <c r="M196" s="605"/>
      <c r="N196" s="605"/>
      <c r="O196" s="605"/>
      <c r="P196" s="605"/>
      <c r="Q196" s="605"/>
      <c r="R196" s="605"/>
      <c r="S196" s="605"/>
      <c r="T196" s="605"/>
      <c r="U196" s="605"/>
      <c r="V196" s="709">
        <v>2.29</v>
      </c>
      <c r="W196" s="607" t="s">
        <v>115</v>
      </c>
      <c r="X196" s="588"/>
    </row>
    <row r="197" spans="1:24" s="589" customFormat="1" x14ac:dyDescent="0.25">
      <c r="A197" s="604"/>
      <c r="B197" s="605" t="s">
        <v>68</v>
      </c>
      <c r="C197" s="605"/>
      <c r="D197" s="605"/>
      <c r="E197" s="605"/>
      <c r="F197" s="605"/>
      <c r="G197" s="605"/>
      <c r="H197" s="605"/>
      <c r="I197" s="605"/>
      <c r="J197" s="605"/>
      <c r="K197" s="605"/>
      <c r="L197" s="605"/>
      <c r="M197" s="605"/>
      <c r="N197" s="605"/>
      <c r="O197" s="605"/>
      <c r="P197" s="605"/>
      <c r="Q197" s="605"/>
      <c r="R197" s="605"/>
      <c r="S197" s="605"/>
      <c r="T197" s="605"/>
      <c r="U197" s="605"/>
      <c r="V197" s="697">
        <f>(V101+V103+V104+V105+V106+V107+V108)/-(V109+V110)</f>
        <v>14.288590604026846</v>
      </c>
      <c r="W197" s="607" t="s">
        <v>115</v>
      </c>
      <c r="X197" s="588"/>
    </row>
    <row r="198" spans="1:24" s="589" customFormat="1" x14ac:dyDescent="0.25">
      <c r="A198" s="604"/>
      <c r="B198" s="605" t="s">
        <v>69</v>
      </c>
      <c r="C198" s="605"/>
      <c r="D198" s="605"/>
      <c r="E198" s="605"/>
      <c r="F198" s="605"/>
      <c r="G198" s="605"/>
      <c r="H198" s="605"/>
      <c r="I198" s="605"/>
      <c r="J198" s="605"/>
      <c r="K198" s="605"/>
      <c r="L198" s="605"/>
      <c r="M198" s="605"/>
      <c r="N198" s="605"/>
      <c r="O198" s="605"/>
      <c r="P198" s="605"/>
      <c r="Q198" s="605"/>
      <c r="R198" s="605"/>
      <c r="S198" s="605"/>
      <c r="T198" s="605"/>
      <c r="U198" s="605"/>
      <c r="V198" s="709">
        <v>10.11</v>
      </c>
      <c r="W198" s="607" t="s">
        <v>115</v>
      </c>
      <c r="X198" s="588"/>
    </row>
    <row r="199" spans="1:24" s="589" customFormat="1" x14ac:dyDescent="0.25">
      <c r="A199" s="604"/>
      <c r="B199" s="605" t="s">
        <v>198</v>
      </c>
      <c r="C199" s="605"/>
      <c r="D199" s="605"/>
      <c r="E199" s="605"/>
      <c r="F199" s="605"/>
      <c r="G199" s="605"/>
      <c r="H199" s="605"/>
      <c r="I199" s="605"/>
      <c r="J199" s="605"/>
      <c r="K199" s="605"/>
      <c r="L199" s="605"/>
      <c r="M199" s="605"/>
      <c r="N199" s="605"/>
      <c r="O199" s="605"/>
      <c r="P199" s="605"/>
      <c r="Q199" s="605"/>
      <c r="R199" s="605"/>
      <c r="S199" s="605"/>
      <c r="T199" s="605"/>
      <c r="U199" s="605"/>
      <c r="V199" s="697">
        <f>(V101+V103+V104+V105+V106+V107+V108+V109+V110)/-(V111)</f>
        <v>7.3605947955390336</v>
      </c>
      <c r="W199" s="607" t="s">
        <v>115</v>
      </c>
      <c r="X199" s="588"/>
    </row>
    <row r="200" spans="1:24" s="589" customFormat="1" x14ac:dyDescent="0.25">
      <c r="A200" s="604"/>
      <c r="B200" s="605" t="s">
        <v>199</v>
      </c>
      <c r="C200" s="605"/>
      <c r="D200" s="605"/>
      <c r="E200" s="605"/>
      <c r="F200" s="605"/>
      <c r="G200" s="605"/>
      <c r="H200" s="605"/>
      <c r="I200" s="605"/>
      <c r="J200" s="605"/>
      <c r="K200" s="605"/>
      <c r="L200" s="605"/>
      <c r="M200" s="605"/>
      <c r="N200" s="605"/>
      <c r="O200" s="605"/>
      <c r="P200" s="605"/>
      <c r="Q200" s="605"/>
      <c r="R200" s="605"/>
      <c r="S200" s="605"/>
      <c r="T200" s="605"/>
      <c r="U200" s="605"/>
      <c r="V200" s="709">
        <v>7.06</v>
      </c>
      <c r="W200" s="607" t="s">
        <v>115</v>
      </c>
      <c r="X200" s="588"/>
    </row>
    <row r="201" spans="1:24" s="589" customFormat="1" x14ac:dyDescent="0.25">
      <c r="A201" s="604"/>
      <c r="B201" s="605"/>
      <c r="C201" s="605"/>
      <c r="D201" s="605"/>
      <c r="E201" s="605"/>
      <c r="F201" s="605"/>
      <c r="G201" s="605"/>
      <c r="H201" s="605"/>
      <c r="I201" s="605"/>
      <c r="J201" s="605"/>
      <c r="K201" s="605"/>
      <c r="L201" s="605"/>
      <c r="M201" s="605"/>
      <c r="N201" s="605"/>
      <c r="O201" s="605"/>
      <c r="P201" s="605"/>
      <c r="Q201" s="605"/>
      <c r="R201" s="605"/>
      <c r="S201" s="605"/>
      <c r="T201" s="605"/>
      <c r="U201" s="605"/>
      <c r="V201" s="605"/>
      <c r="W201" s="607"/>
      <c r="X201" s="588"/>
    </row>
    <row r="202" spans="1:24" s="589" customFormat="1" x14ac:dyDescent="0.25">
      <c r="A202" s="585"/>
      <c r="B202" s="602"/>
      <c r="C202" s="602"/>
      <c r="D202" s="602"/>
      <c r="E202" s="602"/>
      <c r="F202" s="602"/>
      <c r="G202" s="602"/>
      <c r="H202" s="602"/>
      <c r="I202" s="602"/>
      <c r="J202" s="602"/>
      <c r="K202" s="602"/>
      <c r="L202" s="602"/>
      <c r="M202" s="602"/>
      <c r="N202" s="602"/>
      <c r="O202" s="602"/>
      <c r="P202" s="602"/>
      <c r="Q202" s="602"/>
      <c r="R202" s="602"/>
      <c r="S202" s="602"/>
      <c r="T202" s="602"/>
      <c r="U202" s="602"/>
      <c r="V202" s="602"/>
      <c r="W202" s="602"/>
      <c r="X202" s="588"/>
    </row>
    <row r="203" spans="1:24" s="589" customFormat="1" x14ac:dyDescent="0.25">
      <c r="A203" s="585"/>
      <c r="B203" s="586"/>
      <c r="C203" s="586"/>
      <c r="D203" s="586"/>
      <c r="E203" s="586"/>
      <c r="F203" s="586"/>
      <c r="G203" s="586"/>
      <c r="H203" s="586"/>
      <c r="I203" s="586"/>
      <c r="J203" s="586"/>
      <c r="K203" s="586"/>
      <c r="L203" s="586"/>
      <c r="M203" s="586"/>
      <c r="N203" s="586"/>
      <c r="O203" s="586"/>
      <c r="P203" s="586"/>
      <c r="Q203" s="586"/>
      <c r="R203" s="586"/>
      <c r="S203" s="586"/>
      <c r="T203" s="586"/>
      <c r="U203" s="586"/>
      <c r="V203" s="586"/>
      <c r="W203" s="586"/>
      <c r="X203" s="588"/>
    </row>
    <row r="204" spans="1:24" s="589" customFormat="1" ht="19.5" thickBot="1" x14ac:dyDescent="0.35">
      <c r="A204" s="649"/>
      <c r="B204" s="568" t="str">
        <f>B138</f>
        <v>PM15 INVESTOR REPORT QUARTER ENDING AUGUST 2020</v>
      </c>
      <c r="C204" s="650"/>
      <c r="D204" s="650"/>
      <c r="E204" s="650"/>
      <c r="F204" s="650"/>
      <c r="G204" s="650"/>
      <c r="H204" s="650"/>
      <c r="I204" s="650"/>
      <c r="J204" s="650"/>
      <c r="K204" s="650"/>
      <c r="L204" s="650"/>
      <c r="M204" s="650"/>
      <c r="N204" s="650"/>
      <c r="O204" s="650"/>
      <c r="P204" s="650"/>
      <c r="Q204" s="650"/>
      <c r="R204" s="650"/>
      <c r="S204" s="650"/>
      <c r="T204" s="650"/>
      <c r="U204" s="650"/>
      <c r="V204" s="650"/>
      <c r="W204" s="652"/>
      <c r="X204" s="588"/>
    </row>
    <row r="205" spans="1:24" x14ac:dyDescent="0.25">
      <c r="A205" s="689"/>
      <c r="B205" s="690" t="s">
        <v>70</v>
      </c>
      <c r="C205" s="710"/>
      <c r="D205" s="710"/>
      <c r="E205" s="710"/>
      <c r="F205" s="710"/>
      <c r="G205" s="711"/>
      <c r="H205" s="711"/>
      <c r="I205" s="711"/>
      <c r="J205" s="711"/>
      <c r="K205" s="711"/>
      <c r="L205" s="711"/>
      <c r="M205" s="711"/>
      <c r="N205" s="711"/>
      <c r="O205" s="711"/>
      <c r="P205" s="711"/>
      <c r="Q205" s="711"/>
      <c r="R205" s="711"/>
      <c r="S205" s="711"/>
      <c r="T205" s="711">
        <v>44071</v>
      </c>
      <c r="U205" s="691"/>
      <c r="V205" s="691"/>
      <c r="W205" s="691"/>
      <c r="X205" s="572"/>
    </row>
    <row r="206" spans="1:24" x14ac:dyDescent="0.25">
      <c r="A206" s="712"/>
      <c r="B206" s="713"/>
      <c r="C206" s="714"/>
      <c r="D206" s="714"/>
      <c r="E206" s="714"/>
      <c r="F206" s="714"/>
      <c r="G206" s="715"/>
      <c r="H206" s="715"/>
      <c r="I206" s="715"/>
      <c r="J206" s="715"/>
      <c r="K206" s="715"/>
      <c r="L206" s="715"/>
      <c r="M206" s="715"/>
      <c r="N206" s="715"/>
      <c r="O206" s="715"/>
      <c r="P206" s="715"/>
      <c r="Q206" s="715"/>
      <c r="R206" s="715"/>
      <c r="S206" s="715"/>
      <c r="T206" s="715"/>
      <c r="U206" s="576"/>
      <c r="V206" s="576"/>
      <c r="W206" s="576"/>
      <c r="X206" s="572"/>
    </row>
    <row r="207" spans="1:24" s="589" customFormat="1" x14ac:dyDescent="0.25">
      <c r="A207" s="604"/>
      <c r="B207" s="605" t="s">
        <v>71</v>
      </c>
      <c r="C207" s="716"/>
      <c r="D207" s="716"/>
      <c r="E207" s="716"/>
      <c r="F207" s="716"/>
      <c r="G207" s="639"/>
      <c r="H207" s="639"/>
      <c r="I207" s="639"/>
      <c r="J207" s="639"/>
      <c r="K207" s="639"/>
      <c r="L207" s="639"/>
      <c r="M207" s="639"/>
      <c r="N207" s="639"/>
      <c r="O207" s="639"/>
      <c r="P207" s="639"/>
      <c r="Q207" s="639"/>
      <c r="R207" s="639"/>
      <c r="S207" s="639"/>
      <c r="T207" s="633">
        <v>5.3830000000000003E-2</v>
      </c>
      <c r="U207" s="605"/>
      <c r="V207" s="605"/>
      <c r="W207" s="607"/>
      <c r="X207" s="588"/>
    </row>
    <row r="208" spans="1:24" s="589" customFormat="1" x14ac:dyDescent="0.25">
      <c r="A208" s="604"/>
      <c r="B208" s="605" t="s">
        <v>151</v>
      </c>
      <c r="C208" s="716"/>
      <c r="D208" s="716"/>
      <c r="E208" s="716"/>
      <c r="F208" s="716"/>
      <c r="G208" s="639"/>
      <c r="H208" s="639"/>
      <c r="I208" s="639"/>
      <c r="J208" s="639"/>
      <c r="K208" s="639"/>
      <c r="L208" s="639"/>
      <c r="M208" s="639"/>
      <c r="N208" s="639"/>
      <c r="O208" s="639"/>
      <c r="P208" s="639"/>
      <c r="Q208" s="639"/>
      <c r="R208" s="639"/>
      <c r="S208" s="639"/>
      <c r="T208" s="633">
        <v>6.25E-2</v>
      </c>
      <c r="U208" s="605"/>
      <c r="V208" s="605"/>
      <c r="W208" s="607"/>
      <c r="X208" s="588"/>
    </row>
    <row r="209" spans="1:24" s="589" customFormat="1" x14ac:dyDescent="0.25">
      <c r="A209" s="604"/>
      <c r="B209" s="605" t="s">
        <v>72</v>
      </c>
      <c r="C209" s="716"/>
      <c r="D209" s="716"/>
      <c r="E209" s="716"/>
      <c r="F209" s="716"/>
      <c r="G209" s="639"/>
      <c r="H209" s="639"/>
      <c r="I209" s="639"/>
      <c r="J209" s="639"/>
      <c r="K209" s="639"/>
      <c r="L209" s="639"/>
      <c r="M209" s="639"/>
      <c r="N209" s="639"/>
      <c r="O209" s="639"/>
      <c r="P209" s="639"/>
      <c r="Q209" s="639"/>
      <c r="R209" s="639"/>
      <c r="S209" s="639"/>
      <c r="T209" s="633">
        <f>T207-T208</f>
        <v>-8.6699999999999972E-3</v>
      </c>
      <c r="U209" s="605"/>
      <c r="V209" s="605"/>
      <c r="W209" s="607"/>
      <c r="X209" s="588"/>
    </row>
    <row r="210" spans="1:24" s="589" customFormat="1" x14ac:dyDescent="0.25">
      <c r="A210" s="604"/>
      <c r="B210" s="605" t="s">
        <v>73</v>
      </c>
      <c r="C210" s="716"/>
      <c r="D210" s="716"/>
      <c r="E210" s="716"/>
      <c r="F210" s="716"/>
      <c r="G210" s="639"/>
      <c r="H210" s="639"/>
      <c r="I210" s="639"/>
      <c r="J210" s="639"/>
      <c r="K210" s="639"/>
      <c r="L210" s="639"/>
      <c r="M210" s="639"/>
      <c r="N210" s="639"/>
      <c r="O210" s="639"/>
      <c r="P210" s="639"/>
      <c r="Q210" s="639"/>
      <c r="R210" s="639"/>
      <c r="S210" s="639"/>
      <c r="T210" s="633">
        <v>2.172E-2</v>
      </c>
      <c r="U210" s="605"/>
      <c r="V210" s="605"/>
      <c r="W210" s="607"/>
      <c r="X210" s="588"/>
    </row>
    <row r="211" spans="1:24" s="589" customFormat="1" x14ac:dyDescent="0.25">
      <c r="A211" s="604"/>
      <c r="B211" s="605" t="s">
        <v>218</v>
      </c>
      <c r="C211" s="716"/>
      <c r="D211" s="716"/>
      <c r="E211" s="716"/>
      <c r="F211" s="716"/>
      <c r="G211" s="639"/>
      <c r="H211" s="639"/>
      <c r="I211" s="639"/>
      <c r="J211" s="639"/>
      <c r="K211" s="639"/>
      <c r="L211" s="639"/>
      <c r="M211" s="639"/>
      <c r="N211" s="639"/>
      <c r="O211" s="639"/>
      <c r="P211" s="639"/>
      <c r="Q211" s="639"/>
      <c r="R211" s="639"/>
      <c r="S211" s="639"/>
      <c r="T211" s="633">
        <f>V43</f>
        <v>6.1583108166877645E-3</v>
      </c>
      <c r="U211" s="605"/>
      <c r="V211" s="605"/>
      <c r="W211" s="607"/>
      <c r="X211" s="588"/>
    </row>
    <row r="212" spans="1:24" s="589" customFormat="1" x14ac:dyDescent="0.25">
      <c r="A212" s="604"/>
      <c r="B212" s="605" t="s">
        <v>74</v>
      </c>
      <c r="C212" s="716"/>
      <c r="D212" s="716"/>
      <c r="E212" s="716"/>
      <c r="F212" s="716"/>
      <c r="G212" s="639"/>
      <c r="H212" s="639"/>
      <c r="I212" s="639"/>
      <c r="J212" s="639"/>
      <c r="K212" s="639"/>
      <c r="L212" s="639"/>
      <c r="M212" s="639"/>
      <c r="N212" s="639"/>
      <c r="O212" s="639"/>
      <c r="P212" s="639"/>
      <c r="Q212" s="639"/>
      <c r="R212" s="639"/>
      <c r="S212" s="639"/>
      <c r="T212" s="633">
        <f>T210-T211</f>
        <v>1.5561689183312235E-2</v>
      </c>
      <c r="U212" s="605"/>
      <c r="V212" s="605"/>
      <c r="W212" s="607"/>
      <c r="X212" s="588"/>
    </row>
    <row r="213" spans="1:24" s="589" customFormat="1" x14ac:dyDescent="0.25">
      <c r="A213" s="604"/>
      <c r="B213" s="605" t="s">
        <v>227</v>
      </c>
      <c r="C213" s="716"/>
      <c r="D213" s="716"/>
      <c r="E213" s="716"/>
      <c r="F213" s="716"/>
      <c r="G213" s="639"/>
      <c r="H213" s="639"/>
      <c r="I213" s="639"/>
      <c r="J213" s="639"/>
      <c r="K213" s="639"/>
      <c r="L213" s="639"/>
      <c r="M213" s="639"/>
      <c r="N213" s="639"/>
      <c r="O213" s="639"/>
      <c r="P213" s="639"/>
      <c r="Q213" s="639"/>
      <c r="R213" s="639"/>
      <c r="S213" s="639"/>
      <c r="T213" s="633">
        <f>V101/N71</f>
        <v>5.29536272382705E-3</v>
      </c>
      <c r="U213" s="605"/>
      <c r="V213" s="605"/>
      <c r="W213" s="607"/>
      <c r="X213" s="588"/>
    </row>
    <row r="214" spans="1:24" s="589" customFormat="1" x14ac:dyDescent="0.25">
      <c r="A214" s="604"/>
      <c r="B214" s="605" t="s">
        <v>207</v>
      </c>
      <c r="C214" s="716"/>
      <c r="D214" s="716"/>
      <c r="E214" s="716"/>
      <c r="F214" s="716"/>
      <c r="G214" s="639"/>
      <c r="H214" s="639"/>
      <c r="I214" s="639"/>
      <c r="J214" s="639"/>
      <c r="K214" s="639"/>
      <c r="L214" s="639"/>
      <c r="M214" s="639"/>
      <c r="N214" s="639"/>
      <c r="O214" s="639"/>
      <c r="P214" s="639"/>
      <c r="Q214" s="639"/>
      <c r="R214" s="639"/>
      <c r="S214" s="639"/>
      <c r="T214" s="717">
        <v>51105</v>
      </c>
      <c r="U214" s="605"/>
      <c r="V214" s="605"/>
      <c r="W214" s="607"/>
      <c r="X214" s="588"/>
    </row>
    <row r="215" spans="1:24" s="589" customFormat="1" x14ac:dyDescent="0.25">
      <c r="A215" s="604"/>
      <c r="B215" s="605" t="s">
        <v>208</v>
      </c>
      <c r="C215" s="716"/>
      <c r="D215" s="716"/>
      <c r="E215" s="716"/>
      <c r="F215" s="716"/>
      <c r="G215" s="639"/>
      <c r="H215" s="639"/>
      <c r="I215" s="639"/>
      <c r="J215" s="639"/>
      <c r="K215" s="639"/>
      <c r="L215" s="639"/>
      <c r="M215" s="639"/>
      <c r="N215" s="639"/>
      <c r="O215" s="639"/>
      <c r="P215" s="639"/>
      <c r="Q215" s="639"/>
      <c r="R215" s="639"/>
      <c r="S215" s="639"/>
      <c r="T215" s="717">
        <v>51105</v>
      </c>
      <c r="U215" s="605"/>
      <c r="V215" s="605"/>
      <c r="W215" s="607"/>
      <c r="X215" s="588"/>
    </row>
    <row r="216" spans="1:24" s="589" customFormat="1" x14ac:dyDescent="0.25">
      <c r="A216" s="604"/>
      <c r="B216" s="605" t="s">
        <v>209</v>
      </c>
      <c r="C216" s="716"/>
      <c r="D216" s="716"/>
      <c r="E216" s="716"/>
      <c r="F216" s="716"/>
      <c r="G216" s="639"/>
      <c r="H216" s="639"/>
      <c r="I216" s="639"/>
      <c r="J216" s="639"/>
      <c r="K216" s="639"/>
      <c r="L216" s="639"/>
      <c r="M216" s="639"/>
      <c r="N216" s="639"/>
      <c r="O216" s="639"/>
      <c r="P216" s="639"/>
      <c r="Q216" s="639"/>
      <c r="R216" s="639"/>
      <c r="S216" s="639"/>
      <c r="T216" s="717">
        <v>51105</v>
      </c>
      <c r="U216" s="605"/>
      <c r="V216" s="605"/>
      <c r="W216" s="607"/>
      <c r="X216" s="588"/>
    </row>
    <row r="217" spans="1:24" s="589" customFormat="1" x14ac:dyDescent="0.25">
      <c r="A217" s="604"/>
      <c r="B217" s="605" t="s">
        <v>75</v>
      </c>
      <c r="C217" s="716"/>
      <c r="D217" s="716"/>
      <c r="E217" s="716"/>
      <c r="F217" s="716"/>
      <c r="G217" s="639"/>
      <c r="H217" s="639"/>
      <c r="I217" s="639"/>
      <c r="J217" s="639"/>
      <c r="K217" s="639"/>
      <c r="L217" s="639"/>
      <c r="M217" s="639"/>
      <c r="N217" s="639"/>
      <c r="O217" s="639"/>
      <c r="P217" s="639"/>
      <c r="Q217" s="639"/>
      <c r="R217" s="639"/>
      <c r="S217" s="639"/>
      <c r="T217" s="637">
        <v>21.06</v>
      </c>
      <c r="U217" s="605" t="s">
        <v>110</v>
      </c>
      <c r="V217" s="605"/>
      <c r="W217" s="607"/>
      <c r="X217" s="588"/>
    </row>
    <row r="218" spans="1:24" s="589" customFormat="1" x14ac:dyDescent="0.25">
      <c r="A218" s="604"/>
      <c r="B218" s="605" t="s">
        <v>76</v>
      </c>
      <c r="C218" s="716"/>
      <c r="D218" s="716"/>
      <c r="E218" s="716"/>
      <c r="F218" s="716"/>
      <c r="G218" s="639"/>
      <c r="H218" s="639"/>
      <c r="I218" s="639"/>
      <c r="J218" s="639"/>
      <c r="K218" s="639"/>
      <c r="L218" s="639"/>
      <c r="M218" s="639"/>
      <c r="N218" s="639"/>
      <c r="O218" s="639"/>
      <c r="P218" s="639"/>
      <c r="Q218" s="639"/>
      <c r="R218" s="639"/>
      <c r="S218" s="639"/>
      <c r="T218" s="637">
        <v>8.99</v>
      </c>
      <c r="U218" s="605" t="s">
        <v>110</v>
      </c>
      <c r="V218" s="605"/>
      <c r="W218" s="607"/>
      <c r="X218" s="588"/>
    </row>
    <row r="219" spans="1:24" s="589" customFormat="1" x14ac:dyDescent="0.25">
      <c r="A219" s="604"/>
      <c r="B219" s="605" t="s">
        <v>77</v>
      </c>
      <c r="C219" s="716"/>
      <c r="D219" s="716"/>
      <c r="E219" s="716"/>
      <c r="F219" s="716"/>
      <c r="G219" s="639"/>
      <c r="H219" s="639"/>
      <c r="I219" s="639"/>
      <c r="J219" s="639"/>
      <c r="K219" s="639"/>
      <c r="L219" s="639"/>
      <c r="M219" s="639"/>
      <c r="N219" s="639"/>
      <c r="O219" s="639"/>
      <c r="P219" s="639"/>
      <c r="Q219" s="639"/>
      <c r="R219" s="639"/>
      <c r="S219" s="639"/>
      <c r="T219" s="633">
        <f>+P68/N68</f>
        <v>1.2338176214222696E-2</v>
      </c>
      <c r="U219" s="605"/>
      <c r="V219" s="605"/>
      <c r="W219" s="607"/>
      <c r="X219" s="588"/>
    </row>
    <row r="220" spans="1:24" s="589" customFormat="1" x14ac:dyDescent="0.25">
      <c r="A220" s="604"/>
      <c r="B220" s="605" t="s">
        <v>78</v>
      </c>
      <c r="C220" s="716"/>
      <c r="D220" s="716"/>
      <c r="E220" s="716"/>
      <c r="F220" s="716"/>
      <c r="G220" s="639"/>
      <c r="H220" s="639"/>
      <c r="I220" s="639"/>
      <c r="J220" s="639"/>
      <c r="K220" s="639"/>
      <c r="L220" s="639"/>
      <c r="M220" s="639"/>
      <c r="N220" s="639"/>
      <c r="O220" s="639"/>
      <c r="P220" s="639"/>
      <c r="Q220" s="639"/>
      <c r="R220" s="639"/>
      <c r="S220" s="639"/>
      <c r="T220" s="633">
        <v>4.9700000000000001E-2</v>
      </c>
      <c r="U220" s="605"/>
      <c r="V220" s="605"/>
      <c r="W220" s="607"/>
      <c r="X220" s="588"/>
    </row>
    <row r="221" spans="1:24" x14ac:dyDescent="0.25">
      <c r="A221" s="712"/>
      <c r="B221" s="718"/>
      <c r="C221" s="718"/>
      <c r="D221" s="718"/>
      <c r="E221" s="718"/>
      <c r="F221" s="718"/>
      <c r="G221" s="664"/>
      <c r="H221" s="664"/>
      <c r="I221" s="664"/>
      <c r="J221" s="664"/>
      <c r="K221" s="664"/>
      <c r="L221" s="664"/>
      <c r="M221" s="664"/>
      <c r="N221" s="664"/>
      <c r="O221" s="664"/>
      <c r="P221" s="664"/>
      <c r="Q221" s="664"/>
      <c r="R221" s="664"/>
      <c r="S221" s="664"/>
      <c r="T221" s="696"/>
      <c r="U221" s="664"/>
      <c r="V221" s="719"/>
      <c r="W221" s="664"/>
      <c r="X221" s="572"/>
    </row>
    <row r="222" spans="1:24" x14ac:dyDescent="0.25">
      <c r="A222" s="720"/>
      <c r="B222" s="669" t="s">
        <v>79</v>
      </c>
      <c r="C222" s="670"/>
      <c r="D222" s="670"/>
      <c r="E222" s="670"/>
      <c r="F222" s="721"/>
      <c r="G222" s="670"/>
      <c r="H222" s="670"/>
      <c r="I222" s="670"/>
      <c r="J222" s="670"/>
      <c r="K222" s="670"/>
      <c r="L222" s="670"/>
      <c r="M222" s="670"/>
      <c r="N222" s="670"/>
      <c r="O222" s="670"/>
      <c r="P222" s="670"/>
      <c r="Q222" s="670"/>
      <c r="R222" s="670"/>
      <c r="S222" s="670" t="s">
        <v>102</v>
      </c>
      <c r="T222" s="721" t="s">
        <v>108</v>
      </c>
      <c r="U222" s="598"/>
      <c r="V222" s="598"/>
      <c r="W222" s="601"/>
      <c r="X222" s="572"/>
    </row>
    <row r="223" spans="1:24" s="589" customFormat="1" x14ac:dyDescent="0.25">
      <c r="A223" s="722"/>
      <c r="B223" s="602" t="s">
        <v>80</v>
      </c>
      <c r="C223" s="673"/>
      <c r="D223" s="673"/>
      <c r="E223" s="673"/>
      <c r="F223" s="602"/>
      <c r="G223" s="602"/>
      <c r="H223" s="723"/>
      <c r="I223" s="723"/>
      <c r="J223" s="723"/>
      <c r="K223" s="723"/>
      <c r="L223" s="723"/>
      <c r="M223" s="723"/>
      <c r="N223" s="723"/>
      <c r="O223" s="723"/>
      <c r="P223" s="723"/>
      <c r="Q223" s="723"/>
      <c r="R223" s="723"/>
      <c r="S223" s="723">
        <v>0</v>
      </c>
      <c r="T223" s="724">
        <v>0</v>
      </c>
      <c r="U223" s="602"/>
      <c r="V223" s="725"/>
      <c r="W223" s="726"/>
      <c r="X223" s="588"/>
    </row>
    <row r="224" spans="1:24" s="589" customFormat="1" x14ac:dyDescent="0.25">
      <c r="A224" s="727"/>
      <c r="B224" s="605" t="s">
        <v>145</v>
      </c>
      <c r="C224" s="662"/>
      <c r="D224" s="662"/>
      <c r="E224" s="662"/>
      <c r="F224" s="605"/>
      <c r="G224" s="605"/>
      <c r="H224" s="611"/>
      <c r="I224" s="611"/>
      <c r="J224" s="611"/>
      <c r="K224" s="611"/>
      <c r="L224" s="611"/>
      <c r="M224" s="611"/>
      <c r="N224" s="611"/>
      <c r="O224" s="611"/>
      <c r="P224" s="611"/>
      <c r="Q224" s="611"/>
      <c r="R224" s="611"/>
      <c r="S224" s="728">
        <f>+R276</f>
        <v>60</v>
      </c>
      <c r="T224" s="729">
        <f>+T276</f>
        <v>8316</v>
      </c>
      <c r="U224" s="605"/>
      <c r="V224" s="730"/>
      <c r="W224" s="731"/>
      <c r="X224" s="588"/>
    </row>
    <row r="225" spans="1:24" s="589" customFormat="1" x14ac:dyDescent="0.25">
      <c r="A225" s="727"/>
      <c r="B225" s="605" t="s">
        <v>81</v>
      </c>
      <c r="C225" s="662"/>
      <c r="D225" s="662"/>
      <c r="E225" s="662"/>
      <c r="F225" s="605"/>
      <c r="G225" s="605"/>
      <c r="H225" s="611"/>
      <c r="I225" s="611"/>
      <c r="J225" s="611"/>
      <c r="K225" s="611"/>
      <c r="L225" s="611"/>
      <c r="M225" s="611"/>
      <c r="N225" s="611"/>
      <c r="O225" s="611"/>
      <c r="P225" s="611"/>
      <c r="Q225" s="611"/>
      <c r="R225" s="611"/>
      <c r="S225" s="728">
        <f>+R298</f>
        <v>1</v>
      </c>
      <c r="T225" s="729">
        <f>+T298</f>
        <v>31</v>
      </c>
      <c r="U225" s="605"/>
      <c r="V225" s="730"/>
      <c r="W225" s="731"/>
      <c r="X225" s="588"/>
    </row>
    <row r="226" spans="1:24" x14ac:dyDescent="0.25">
      <c r="A226" s="732"/>
      <c r="B226" s="623" t="s">
        <v>82</v>
      </c>
      <c r="C226" s="733"/>
      <c r="D226" s="733"/>
      <c r="E226" s="733"/>
      <c r="F226" s="679"/>
      <c r="G226" s="679"/>
      <c r="H226" s="679"/>
      <c r="I226" s="679"/>
      <c r="J226" s="679"/>
      <c r="K226" s="679"/>
      <c r="L226" s="679"/>
      <c r="M226" s="679"/>
      <c r="N226" s="679"/>
      <c r="O226" s="679"/>
      <c r="P226" s="679"/>
      <c r="Q226" s="679"/>
      <c r="R226" s="679"/>
      <c r="S226" s="681"/>
      <c r="T226" s="729">
        <v>0</v>
      </c>
      <c r="U226" s="679"/>
      <c r="V226" s="734"/>
      <c r="W226" s="735"/>
      <c r="X226" s="572"/>
    </row>
    <row r="227" spans="1:24" x14ac:dyDescent="0.25">
      <c r="A227" s="732"/>
      <c r="B227" s="623" t="s">
        <v>228</v>
      </c>
      <c r="C227" s="733"/>
      <c r="D227" s="733"/>
      <c r="E227" s="733"/>
      <c r="F227" s="679"/>
      <c r="G227" s="679"/>
      <c r="H227" s="679"/>
      <c r="I227" s="679"/>
      <c r="J227" s="679"/>
      <c r="K227" s="679"/>
      <c r="L227" s="679"/>
      <c r="M227" s="679"/>
      <c r="N227" s="679"/>
      <c r="O227" s="679"/>
      <c r="P227" s="679"/>
      <c r="Q227" s="679"/>
      <c r="R227" s="679"/>
      <c r="S227" s="681"/>
      <c r="T227" s="729">
        <f>+N81</f>
        <v>0</v>
      </c>
      <c r="U227" s="679"/>
      <c r="V227" s="734"/>
      <c r="W227" s="735"/>
      <c r="X227" s="572"/>
    </row>
    <row r="228" spans="1:24" x14ac:dyDescent="0.25">
      <c r="A228" s="736"/>
      <c r="B228" s="623" t="s">
        <v>83</v>
      </c>
      <c r="C228" s="737"/>
      <c r="D228" s="737"/>
      <c r="E228" s="737"/>
      <c r="F228" s="737"/>
      <c r="G228" s="679"/>
      <c r="H228" s="679"/>
      <c r="I228" s="679"/>
      <c r="J228" s="679"/>
      <c r="K228" s="679"/>
      <c r="L228" s="679"/>
      <c r="M228" s="679"/>
      <c r="N228" s="679"/>
      <c r="O228" s="679"/>
      <c r="P228" s="679"/>
      <c r="Q228" s="679"/>
      <c r="R228" s="679"/>
      <c r="S228" s="681"/>
      <c r="T228" s="738"/>
      <c r="U228" s="679"/>
      <c r="V228" s="734"/>
      <c r="W228" s="739"/>
      <c r="X228" s="572"/>
    </row>
    <row r="229" spans="1:24" s="589" customFormat="1" x14ac:dyDescent="0.25">
      <c r="A229" s="740"/>
      <c r="B229" s="605" t="s">
        <v>84</v>
      </c>
      <c r="C229" s="605"/>
      <c r="D229" s="605"/>
      <c r="E229" s="605"/>
      <c r="F229" s="605"/>
      <c r="G229" s="605"/>
      <c r="H229" s="605"/>
      <c r="I229" s="605"/>
      <c r="J229" s="605"/>
      <c r="K229" s="605"/>
      <c r="L229" s="605"/>
      <c r="M229" s="605"/>
      <c r="N229" s="605"/>
      <c r="O229" s="605"/>
      <c r="P229" s="605"/>
      <c r="Q229" s="605"/>
      <c r="R229" s="605"/>
      <c r="S229" s="611"/>
      <c r="T229" s="729">
        <f>V167</f>
        <v>-3</v>
      </c>
      <c r="U229" s="605"/>
      <c r="V229" s="730"/>
      <c r="W229" s="741"/>
      <c r="X229" s="588"/>
    </row>
    <row r="230" spans="1:24" s="589" customFormat="1" x14ac:dyDescent="0.25">
      <c r="A230" s="727"/>
      <c r="B230" s="605" t="s">
        <v>85</v>
      </c>
      <c r="C230" s="662"/>
      <c r="D230" s="662"/>
      <c r="E230" s="662"/>
      <c r="F230" s="662"/>
      <c r="G230" s="605"/>
      <c r="H230" s="605"/>
      <c r="I230" s="605"/>
      <c r="J230" s="605"/>
      <c r="K230" s="605"/>
      <c r="L230" s="605"/>
      <c r="M230" s="605"/>
      <c r="N230" s="605"/>
      <c r="O230" s="605"/>
      <c r="P230" s="605"/>
      <c r="Q230" s="605"/>
      <c r="R230" s="605"/>
      <c r="S230" s="611"/>
      <c r="T230" s="729">
        <f>'May 20'!T230+T229</f>
        <v>10261</v>
      </c>
      <c r="U230" s="605"/>
      <c r="V230" s="730"/>
      <c r="W230" s="741"/>
      <c r="X230" s="588"/>
    </row>
    <row r="231" spans="1:24" x14ac:dyDescent="0.25">
      <c r="A231" s="736"/>
      <c r="B231" s="623" t="s">
        <v>285</v>
      </c>
      <c r="C231" s="737"/>
      <c r="D231" s="737"/>
      <c r="E231" s="737"/>
      <c r="F231" s="737"/>
      <c r="G231" s="679"/>
      <c r="H231" s="679"/>
      <c r="I231" s="679"/>
      <c r="J231" s="679"/>
      <c r="K231" s="679"/>
      <c r="L231" s="679"/>
      <c r="M231" s="679"/>
      <c r="N231" s="679"/>
      <c r="O231" s="679"/>
      <c r="P231" s="679"/>
      <c r="Q231" s="679"/>
      <c r="R231" s="679"/>
      <c r="S231" s="742"/>
      <c r="T231" s="738"/>
      <c r="U231" s="679"/>
      <c r="V231" s="734"/>
      <c r="W231" s="739"/>
      <c r="X231" s="572"/>
    </row>
    <row r="232" spans="1:24" s="589" customFormat="1" x14ac:dyDescent="0.25">
      <c r="A232" s="740"/>
      <c r="B232" s="605" t="s">
        <v>282</v>
      </c>
      <c r="C232" s="605"/>
      <c r="D232" s="605"/>
      <c r="E232" s="605"/>
      <c r="F232" s="605"/>
      <c r="G232" s="605"/>
      <c r="H232" s="605"/>
      <c r="I232" s="605"/>
      <c r="J232" s="605"/>
      <c r="K232" s="605"/>
      <c r="L232" s="605"/>
      <c r="M232" s="605"/>
      <c r="N232" s="605"/>
      <c r="O232" s="605"/>
      <c r="P232" s="605"/>
      <c r="Q232" s="605"/>
      <c r="R232" s="605"/>
      <c r="S232" s="611">
        <v>0</v>
      </c>
      <c r="T232" s="729">
        <v>0</v>
      </c>
      <c r="U232" s="605"/>
      <c r="V232" s="730"/>
      <c r="W232" s="741"/>
      <c r="X232" s="588"/>
    </row>
    <row r="233" spans="1:24" s="589" customFormat="1" x14ac:dyDescent="0.25">
      <c r="A233" s="727"/>
      <c r="B233" s="605" t="s">
        <v>86</v>
      </c>
      <c r="C233" s="635"/>
      <c r="D233" s="635"/>
      <c r="E233" s="635"/>
      <c r="F233" s="743"/>
      <c r="G233" s="605"/>
      <c r="H233" s="605"/>
      <c r="I233" s="605"/>
      <c r="J233" s="605"/>
      <c r="K233" s="605"/>
      <c r="L233" s="605"/>
      <c r="M233" s="605"/>
      <c r="N233" s="605"/>
      <c r="O233" s="605"/>
      <c r="P233" s="605"/>
      <c r="Q233" s="605"/>
      <c r="R233" s="605"/>
      <c r="S233" s="605"/>
      <c r="T233" s="744">
        <v>0</v>
      </c>
      <c r="U233" s="605"/>
      <c r="V233" s="730"/>
      <c r="W233" s="741"/>
      <c r="X233" s="588"/>
    </row>
    <row r="234" spans="1:24" s="589" customFormat="1" x14ac:dyDescent="0.25">
      <c r="A234" s="727"/>
      <c r="B234" s="605" t="s">
        <v>87</v>
      </c>
      <c r="C234" s="635"/>
      <c r="D234" s="635"/>
      <c r="E234" s="635"/>
      <c r="F234" s="743"/>
      <c r="G234" s="605"/>
      <c r="H234" s="605"/>
      <c r="I234" s="605"/>
      <c r="J234" s="605"/>
      <c r="K234" s="605"/>
      <c r="L234" s="605"/>
      <c r="M234" s="605"/>
      <c r="N234" s="605"/>
      <c r="O234" s="605"/>
      <c r="P234" s="605"/>
      <c r="Q234" s="605"/>
      <c r="R234" s="605"/>
      <c r="S234" s="605"/>
      <c r="T234" s="744">
        <v>0</v>
      </c>
      <c r="U234" s="605"/>
      <c r="V234" s="730"/>
      <c r="W234" s="741"/>
      <c r="X234" s="588"/>
    </row>
    <row r="235" spans="1:24" x14ac:dyDescent="0.25">
      <c r="A235" s="732"/>
      <c r="B235" s="623" t="s">
        <v>216</v>
      </c>
      <c r="C235" s="745"/>
      <c r="D235" s="745"/>
      <c r="E235" s="745"/>
      <c r="F235" s="746"/>
      <c r="G235" s="679"/>
      <c r="H235" s="679"/>
      <c r="I235" s="679"/>
      <c r="J235" s="679"/>
      <c r="K235" s="679"/>
      <c r="L235" s="679"/>
      <c r="M235" s="679"/>
      <c r="N235" s="679"/>
      <c r="O235" s="679"/>
      <c r="P235" s="679"/>
      <c r="Q235" s="679"/>
      <c r="R235" s="679"/>
      <c r="S235" s="681"/>
      <c r="T235" s="747"/>
      <c r="U235" s="679"/>
      <c r="V235" s="734"/>
      <c r="W235" s="739"/>
      <c r="X235" s="572"/>
    </row>
    <row r="236" spans="1:24" s="589" customFormat="1" x14ac:dyDescent="0.25">
      <c r="A236" s="727"/>
      <c r="B236" s="605" t="s">
        <v>282</v>
      </c>
      <c r="C236" s="635"/>
      <c r="D236" s="635"/>
      <c r="E236" s="635"/>
      <c r="F236" s="743"/>
      <c r="G236" s="605"/>
      <c r="H236" s="605"/>
      <c r="I236" s="605"/>
      <c r="J236" s="605"/>
      <c r="K236" s="605"/>
      <c r="L236" s="605"/>
      <c r="M236" s="605"/>
      <c r="N236" s="605"/>
      <c r="O236" s="605"/>
      <c r="P236" s="605"/>
      <c r="Q236" s="605"/>
      <c r="R236" s="605"/>
      <c r="S236" s="611">
        <v>3</v>
      </c>
      <c r="T236" s="729">
        <v>383</v>
      </c>
      <c r="U236" s="605"/>
      <c r="V236" s="730"/>
      <c r="W236" s="741"/>
      <c r="X236" s="588"/>
    </row>
    <row r="237" spans="1:24" s="589" customFormat="1" x14ac:dyDescent="0.25">
      <c r="A237" s="727"/>
      <c r="B237" s="605" t="s">
        <v>217</v>
      </c>
      <c r="C237" s="635"/>
      <c r="D237" s="635"/>
      <c r="E237" s="635"/>
      <c r="F237" s="743"/>
      <c r="G237" s="605"/>
      <c r="H237" s="605"/>
      <c r="I237" s="605"/>
      <c r="J237" s="605"/>
      <c r="K237" s="605"/>
      <c r="L237" s="605"/>
      <c r="M237" s="605"/>
      <c r="N237" s="605"/>
      <c r="O237" s="605"/>
      <c r="P237" s="605"/>
      <c r="Q237" s="605"/>
      <c r="R237" s="605"/>
      <c r="S237" s="605"/>
      <c r="T237" s="744">
        <v>0.56999999999999995</v>
      </c>
      <c r="U237" s="605"/>
      <c r="V237" s="730"/>
      <c r="W237" s="741"/>
      <c r="X237" s="588"/>
    </row>
    <row r="238" spans="1:24" x14ac:dyDescent="0.25">
      <c r="A238" s="732"/>
      <c r="B238" s="737"/>
      <c r="C238" s="745"/>
      <c r="D238" s="745"/>
      <c r="E238" s="745"/>
      <c r="F238" s="746"/>
      <c r="G238" s="679"/>
      <c r="H238" s="679"/>
      <c r="I238" s="679"/>
      <c r="J238" s="679"/>
      <c r="K238" s="679"/>
      <c r="L238" s="679"/>
      <c r="M238" s="679"/>
      <c r="N238" s="679"/>
      <c r="O238" s="679"/>
      <c r="P238" s="679"/>
      <c r="Q238" s="679"/>
      <c r="R238" s="679"/>
      <c r="S238" s="681"/>
      <c r="T238" s="747"/>
      <c r="U238" s="679"/>
      <c r="V238" s="734"/>
      <c r="W238" s="739"/>
      <c r="X238" s="572"/>
    </row>
    <row r="239" spans="1:24" x14ac:dyDescent="0.25">
      <c r="A239" s="732"/>
      <c r="B239" s="737"/>
      <c r="C239" s="745"/>
      <c r="D239" s="745"/>
      <c r="E239" s="745"/>
      <c r="F239" s="746"/>
      <c r="G239" s="679"/>
      <c r="H239" s="679"/>
      <c r="I239" s="679"/>
      <c r="J239" s="679"/>
      <c r="K239" s="679"/>
      <c r="L239" s="679"/>
      <c r="M239" s="679"/>
      <c r="N239" s="679"/>
      <c r="O239" s="679"/>
      <c r="P239" s="679"/>
      <c r="Q239" s="679"/>
      <c r="R239" s="679"/>
      <c r="S239" s="679"/>
      <c r="T239" s="748"/>
      <c r="U239" s="679"/>
      <c r="V239" s="734"/>
      <c r="W239" s="739"/>
      <c r="X239" s="572"/>
    </row>
    <row r="240" spans="1:24" ht="18.75" x14ac:dyDescent="0.3">
      <c r="A240" s="732"/>
      <c r="B240" s="749" t="s">
        <v>168</v>
      </c>
      <c r="C240" s="745"/>
      <c r="D240" s="745"/>
      <c r="E240" s="745"/>
      <c r="F240" s="746"/>
      <c r="G240" s="679"/>
      <c r="H240" s="679"/>
      <c r="I240" s="679"/>
      <c r="J240" s="679"/>
      <c r="K240" s="679"/>
      <c r="L240" s="679"/>
      <c r="M240" s="679"/>
      <c r="N240" s="679"/>
      <c r="O240" s="679"/>
      <c r="P240" s="535" t="s">
        <v>341</v>
      </c>
      <c r="Q240" s="679"/>
      <c r="R240" s="679"/>
      <c r="S240" s="679"/>
      <c r="T240" s="748"/>
      <c r="U240" s="679"/>
      <c r="V240" s="734"/>
      <c r="W240" s="739"/>
      <c r="X240" s="572"/>
    </row>
    <row r="241" spans="1:25" x14ac:dyDescent="0.25">
      <c r="A241" s="750"/>
      <c r="B241" s="718"/>
      <c r="C241" s="751"/>
      <c r="D241" s="751"/>
      <c r="E241" s="751"/>
      <c r="F241" s="752"/>
      <c r="G241" s="664"/>
      <c r="H241" s="664"/>
      <c r="I241" s="664"/>
      <c r="J241" s="664"/>
      <c r="K241" s="664"/>
      <c r="L241" s="664"/>
      <c r="M241" s="664"/>
      <c r="N241" s="664"/>
      <c r="O241" s="664"/>
      <c r="P241" s="664"/>
      <c r="Q241" s="664"/>
      <c r="R241" s="664"/>
      <c r="S241" s="664"/>
      <c r="T241" s="753"/>
      <c r="U241" s="664"/>
      <c r="V241" s="719"/>
      <c r="W241" s="754"/>
      <c r="X241" s="572"/>
    </row>
    <row r="242" spans="1:25" x14ac:dyDescent="0.25">
      <c r="A242" s="597"/>
      <c r="B242" s="669" t="s">
        <v>297</v>
      </c>
      <c r="C242" s="670"/>
      <c r="D242" s="670"/>
      <c r="E242" s="670"/>
      <c r="F242" s="721"/>
      <c r="G242" s="670"/>
      <c r="H242" s="670"/>
      <c r="I242" s="670"/>
      <c r="J242" s="670"/>
      <c r="K242" s="670"/>
      <c r="L242" s="670"/>
      <c r="M242" s="670"/>
      <c r="N242" s="670"/>
      <c r="O242" s="670"/>
      <c r="P242" s="670"/>
      <c r="Q242" s="670"/>
      <c r="R242" s="721" t="s">
        <v>102</v>
      </c>
      <c r="S242" s="670" t="s">
        <v>103</v>
      </c>
      <c r="T242" s="721" t="s">
        <v>109</v>
      </c>
      <c r="U242" s="670" t="s">
        <v>103</v>
      </c>
      <c r="V242" s="598"/>
      <c r="W242" s="755"/>
      <c r="X242" s="572"/>
    </row>
    <row r="243" spans="1:25" s="589" customFormat="1" x14ac:dyDescent="0.25">
      <c r="A243" s="585"/>
      <c r="B243" s="673" t="s">
        <v>88</v>
      </c>
      <c r="C243" s="756"/>
      <c r="D243" s="756"/>
      <c r="E243" s="756"/>
      <c r="F243" s="602"/>
      <c r="G243" s="756"/>
      <c r="H243" s="756"/>
      <c r="I243" s="756"/>
      <c r="J243" s="756"/>
      <c r="K243" s="756"/>
      <c r="L243" s="756"/>
      <c r="M243" s="756"/>
      <c r="N243" s="756"/>
      <c r="O243" s="756"/>
      <c r="P243" s="756"/>
      <c r="Q243" s="756"/>
      <c r="R243" s="673">
        <f t="shared" ref="R243:R250" si="1">+R255+R267+R289</f>
        <v>3853</v>
      </c>
      <c r="S243" s="757">
        <f t="shared" ref="S243:S250" si="2">R243/$R$252</f>
        <v>0.99560723514211891</v>
      </c>
      <c r="T243" s="674">
        <f t="shared" ref="T243:T250" si="3">+T255+T267+T289</f>
        <v>519496</v>
      </c>
      <c r="U243" s="757">
        <f t="shared" ref="U243:U250" si="4">T243/$T$252</f>
        <v>0.99581161667762486</v>
      </c>
      <c r="V243" s="725"/>
      <c r="W243" s="758"/>
      <c r="X243" s="588"/>
    </row>
    <row r="244" spans="1:25" s="589" customFormat="1" x14ac:dyDescent="0.25">
      <c r="A244" s="604"/>
      <c r="B244" s="662" t="s">
        <v>89</v>
      </c>
      <c r="C244" s="759"/>
      <c r="D244" s="759"/>
      <c r="E244" s="759"/>
      <c r="F244" s="605"/>
      <c r="G244" s="760"/>
      <c r="H244" s="759"/>
      <c r="I244" s="759"/>
      <c r="J244" s="759"/>
      <c r="K244" s="759"/>
      <c r="L244" s="759"/>
      <c r="M244" s="759"/>
      <c r="N244" s="759"/>
      <c r="O244" s="759"/>
      <c r="P244" s="759"/>
      <c r="Q244" s="759"/>
      <c r="R244" s="662">
        <f t="shared" si="1"/>
        <v>3</v>
      </c>
      <c r="S244" s="760">
        <f t="shared" si="2"/>
        <v>7.7519379844961239E-4</v>
      </c>
      <c r="T244" s="663">
        <f t="shared" si="3"/>
        <v>643</v>
      </c>
      <c r="U244" s="760">
        <f t="shared" si="4"/>
        <v>1.2325539937241342E-3</v>
      </c>
      <c r="V244" s="730"/>
      <c r="W244" s="741"/>
      <c r="X244" s="588"/>
      <c r="Y244" s="685"/>
    </row>
    <row r="245" spans="1:25" s="589" customFormat="1" x14ac:dyDescent="0.25">
      <c r="A245" s="604"/>
      <c r="B245" s="662" t="s">
        <v>90</v>
      </c>
      <c r="C245" s="759"/>
      <c r="D245" s="759"/>
      <c r="E245" s="759"/>
      <c r="F245" s="605"/>
      <c r="G245" s="760"/>
      <c r="H245" s="759"/>
      <c r="I245" s="759"/>
      <c r="J245" s="759"/>
      <c r="K245" s="759"/>
      <c r="L245" s="759"/>
      <c r="M245" s="759"/>
      <c r="N245" s="759"/>
      <c r="O245" s="759"/>
      <c r="P245" s="759"/>
      <c r="Q245" s="759"/>
      <c r="R245" s="662">
        <f t="shared" si="1"/>
        <v>2</v>
      </c>
      <c r="S245" s="760">
        <f t="shared" si="2"/>
        <v>5.1679586563307489E-4</v>
      </c>
      <c r="T245" s="663">
        <f t="shared" si="3"/>
        <v>111</v>
      </c>
      <c r="U245" s="760">
        <f t="shared" si="4"/>
        <v>2.1277370653713669E-4</v>
      </c>
      <c r="V245" s="730"/>
      <c r="W245" s="741"/>
      <c r="X245" s="588"/>
    </row>
    <row r="246" spans="1:25" s="589" customFormat="1" x14ac:dyDescent="0.25">
      <c r="A246" s="604"/>
      <c r="B246" s="662" t="s">
        <v>156</v>
      </c>
      <c r="C246" s="759"/>
      <c r="D246" s="759"/>
      <c r="E246" s="759"/>
      <c r="F246" s="605"/>
      <c r="G246" s="760"/>
      <c r="H246" s="759"/>
      <c r="I246" s="759"/>
      <c r="J246" s="759"/>
      <c r="K246" s="759"/>
      <c r="L246" s="759"/>
      <c r="M246" s="759"/>
      <c r="N246" s="759"/>
      <c r="O246" s="759"/>
      <c r="P246" s="759"/>
      <c r="Q246" s="759"/>
      <c r="R246" s="662">
        <f t="shared" si="1"/>
        <v>3</v>
      </c>
      <c r="S246" s="760">
        <f t="shared" si="2"/>
        <v>7.7519379844961239E-4</v>
      </c>
      <c r="T246" s="663">
        <f t="shared" si="3"/>
        <v>428</v>
      </c>
      <c r="U246" s="760">
        <f t="shared" si="4"/>
        <v>8.2042474232337382E-4</v>
      </c>
      <c r="V246" s="730"/>
      <c r="W246" s="741"/>
      <c r="X246" s="588"/>
      <c r="Y246" s="685"/>
    </row>
    <row r="247" spans="1:25" s="589" customFormat="1" x14ac:dyDescent="0.25">
      <c r="A247" s="604"/>
      <c r="B247" s="662" t="s">
        <v>157</v>
      </c>
      <c r="C247" s="759"/>
      <c r="D247" s="759"/>
      <c r="E247" s="759"/>
      <c r="F247" s="605"/>
      <c r="G247" s="760"/>
      <c r="H247" s="759"/>
      <c r="I247" s="759"/>
      <c r="J247" s="759"/>
      <c r="K247" s="759"/>
      <c r="L247" s="759"/>
      <c r="M247" s="759"/>
      <c r="N247" s="759"/>
      <c r="O247" s="759"/>
      <c r="P247" s="759"/>
      <c r="Q247" s="759"/>
      <c r="R247" s="662">
        <f t="shared" si="1"/>
        <v>0</v>
      </c>
      <c r="S247" s="760">
        <f t="shared" si="2"/>
        <v>0</v>
      </c>
      <c r="T247" s="663">
        <f t="shared" si="3"/>
        <v>0</v>
      </c>
      <c r="U247" s="760">
        <f t="shared" si="4"/>
        <v>0</v>
      </c>
      <c r="V247" s="730"/>
      <c r="W247" s="741"/>
      <c r="X247" s="588"/>
    </row>
    <row r="248" spans="1:25" s="589" customFormat="1" x14ac:dyDescent="0.25">
      <c r="A248" s="604"/>
      <c r="B248" s="662" t="s">
        <v>158</v>
      </c>
      <c r="C248" s="759"/>
      <c r="D248" s="759"/>
      <c r="E248" s="759"/>
      <c r="F248" s="605"/>
      <c r="G248" s="760"/>
      <c r="H248" s="759"/>
      <c r="I248" s="759"/>
      <c r="J248" s="759"/>
      <c r="K248" s="759"/>
      <c r="L248" s="759"/>
      <c r="M248" s="759"/>
      <c r="N248" s="759"/>
      <c r="O248" s="759"/>
      <c r="P248" s="759"/>
      <c r="Q248" s="759"/>
      <c r="R248" s="662">
        <f t="shared" si="1"/>
        <v>3</v>
      </c>
      <c r="S248" s="760">
        <f t="shared" si="2"/>
        <v>7.7519379844961239E-4</v>
      </c>
      <c r="T248" s="663">
        <f t="shared" si="3"/>
        <v>283</v>
      </c>
      <c r="U248" s="760">
        <f t="shared" si="4"/>
        <v>5.4247710765774489E-4</v>
      </c>
      <c r="V248" s="730"/>
      <c r="W248" s="741"/>
      <c r="X248" s="588"/>
      <c r="Y248" s="685"/>
    </row>
    <row r="249" spans="1:25" s="589" customFormat="1" x14ac:dyDescent="0.25">
      <c r="A249" s="604"/>
      <c r="B249" s="662" t="s">
        <v>159</v>
      </c>
      <c r="C249" s="759"/>
      <c r="D249" s="759"/>
      <c r="E249" s="759"/>
      <c r="F249" s="605"/>
      <c r="G249" s="760"/>
      <c r="H249" s="759"/>
      <c r="I249" s="759"/>
      <c r="J249" s="759"/>
      <c r="K249" s="759"/>
      <c r="L249" s="759"/>
      <c r="M249" s="759"/>
      <c r="N249" s="759"/>
      <c r="O249" s="759"/>
      <c r="P249" s="759"/>
      <c r="Q249" s="759"/>
      <c r="R249" s="662">
        <f t="shared" si="1"/>
        <v>4</v>
      </c>
      <c r="S249" s="760">
        <f t="shared" si="2"/>
        <v>1.0335917312661498E-3</v>
      </c>
      <c r="T249" s="663">
        <f t="shared" si="3"/>
        <v>450</v>
      </c>
      <c r="U249" s="760">
        <f t="shared" si="4"/>
        <v>8.6259610758298655E-4</v>
      </c>
      <c r="V249" s="730"/>
      <c r="W249" s="741"/>
      <c r="X249" s="588"/>
    </row>
    <row r="250" spans="1:25" s="589" customFormat="1" x14ac:dyDescent="0.25">
      <c r="A250" s="604"/>
      <c r="B250" s="662" t="s">
        <v>160</v>
      </c>
      <c r="C250" s="759"/>
      <c r="D250" s="759"/>
      <c r="E250" s="759"/>
      <c r="F250" s="605"/>
      <c r="G250" s="760"/>
      <c r="H250" s="759"/>
      <c r="I250" s="759"/>
      <c r="J250" s="759"/>
      <c r="K250" s="759"/>
      <c r="L250" s="759"/>
      <c r="M250" s="759"/>
      <c r="N250" s="759"/>
      <c r="O250" s="759"/>
      <c r="P250" s="759"/>
      <c r="Q250" s="759"/>
      <c r="R250" s="673">
        <f t="shared" si="1"/>
        <v>2</v>
      </c>
      <c r="S250" s="760">
        <f t="shared" si="2"/>
        <v>5.1679586563307489E-4</v>
      </c>
      <c r="T250" s="674">
        <f t="shared" si="3"/>
        <v>270</v>
      </c>
      <c r="U250" s="757">
        <f t="shared" si="4"/>
        <v>5.1755766454979191E-4</v>
      </c>
      <c r="V250" s="730"/>
      <c r="W250" s="741"/>
      <c r="X250" s="588"/>
      <c r="Y250" s="685"/>
    </row>
    <row r="251" spans="1:25" s="589" customFormat="1" x14ac:dyDescent="0.25">
      <c r="A251" s="604"/>
      <c r="B251" s="662"/>
      <c r="C251" s="759"/>
      <c r="D251" s="759"/>
      <c r="E251" s="759"/>
      <c r="F251" s="605"/>
      <c r="G251" s="760"/>
      <c r="H251" s="759"/>
      <c r="I251" s="759"/>
      <c r="J251" s="759"/>
      <c r="K251" s="759"/>
      <c r="L251" s="759"/>
      <c r="M251" s="759"/>
      <c r="N251" s="759"/>
      <c r="O251" s="759"/>
      <c r="P251" s="759"/>
      <c r="Q251" s="759"/>
      <c r="R251" s="662"/>
      <c r="S251" s="760"/>
      <c r="T251" s="663"/>
      <c r="U251" s="760"/>
      <c r="V251" s="730"/>
      <c r="W251" s="741"/>
      <c r="X251" s="588"/>
    </row>
    <row r="252" spans="1:25" s="589" customFormat="1" x14ac:dyDescent="0.25">
      <c r="A252" s="604"/>
      <c r="B252" s="605" t="s">
        <v>114</v>
      </c>
      <c r="C252" s="605"/>
      <c r="D252" s="605"/>
      <c r="E252" s="605"/>
      <c r="F252" s="605"/>
      <c r="G252" s="605"/>
      <c r="H252" s="761"/>
      <c r="I252" s="761"/>
      <c r="J252" s="761"/>
      <c r="K252" s="761"/>
      <c r="L252" s="761"/>
      <c r="M252" s="761"/>
      <c r="N252" s="761"/>
      <c r="O252" s="761"/>
      <c r="P252" s="761"/>
      <c r="Q252" s="761"/>
      <c r="R252" s="662">
        <f>SUM(R243:R251)</f>
        <v>3870</v>
      </c>
      <c r="S252" s="760">
        <f>SUM(S243:S251)</f>
        <v>0.99999999999999989</v>
      </c>
      <c r="T252" s="663">
        <f>SUM(T243:T251)</f>
        <v>521681</v>
      </c>
      <c r="U252" s="760">
        <f>SUM(U243:U251)</f>
        <v>1</v>
      </c>
      <c r="V252" s="605"/>
      <c r="W252" s="607"/>
      <c r="X252" s="588"/>
    </row>
    <row r="253" spans="1:25" x14ac:dyDescent="0.25">
      <c r="A253" s="574"/>
      <c r="B253" s="664"/>
      <c r="C253" s="664"/>
      <c r="D253" s="664"/>
      <c r="E253" s="664"/>
      <c r="F253" s="664"/>
      <c r="G253" s="664"/>
      <c r="H253" s="762"/>
      <c r="I253" s="762"/>
      <c r="J253" s="762"/>
      <c r="K253" s="762"/>
      <c r="L253" s="762"/>
      <c r="M253" s="762"/>
      <c r="N253" s="762"/>
      <c r="O253" s="762"/>
      <c r="P253" s="762"/>
      <c r="Q253" s="762"/>
      <c r="R253" s="665"/>
      <c r="S253" s="763"/>
      <c r="T253" s="764"/>
      <c r="U253" s="763"/>
      <c r="V253" s="664"/>
      <c r="W253" s="664"/>
      <c r="X253" s="572"/>
    </row>
    <row r="254" spans="1:25" x14ac:dyDescent="0.25">
      <c r="A254" s="597"/>
      <c r="B254" s="669" t="s">
        <v>162</v>
      </c>
      <c r="C254" s="670"/>
      <c r="D254" s="670"/>
      <c r="E254" s="670"/>
      <c r="F254" s="721"/>
      <c r="G254" s="670"/>
      <c r="H254" s="670"/>
      <c r="I254" s="670"/>
      <c r="J254" s="670"/>
      <c r="K254" s="670"/>
      <c r="L254" s="670"/>
      <c r="M254" s="670"/>
      <c r="N254" s="670"/>
      <c r="O254" s="670"/>
      <c r="P254" s="670"/>
      <c r="Q254" s="670"/>
      <c r="R254" s="721" t="s">
        <v>102</v>
      </c>
      <c r="S254" s="670" t="s">
        <v>103</v>
      </c>
      <c r="T254" s="721" t="s">
        <v>109</v>
      </c>
      <c r="U254" s="670" t="s">
        <v>103</v>
      </c>
      <c r="V254" s="598"/>
      <c r="W254" s="755"/>
      <c r="X254" s="572"/>
    </row>
    <row r="255" spans="1:25" s="589" customFormat="1" x14ac:dyDescent="0.25">
      <c r="A255" s="585"/>
      <c r="B255" s="673" t="s">
        <v>88</v>
      </c>
      <c r="C255" s="756"/>
      <c r="D255" s="756"/>
      <c r="E255" s="756"/>
      <c r="F255" s="602"/>
      <c r="G255" s="756"/>
      <c r="H255" s="756"/>
      <c r="I255" s="756"/>
      <c r="J255" s="756"/>
      <c r="K255" s="756"/>
      <c r="L255" s="756"/>
      <c r="M255" s="756"/>
      <c r="N255" s="756"/>
      <c r="O255" s="756"/>
      <c r="P255" s="756"/>
      <c r="Q255" s="756"/>
      <c r="R255" s="673">
        <v>3795</v>
      </c>
      <c r="S255" s="757">
        <f>R255/$R$264</f>
        <v>0.99632449461800998</v>
      </c>
      <c r="T255" s="674">
        <v>511536</v>
      </c>
      <c r="U255" s="757">
        <f t="shared" ref="U255:U262" si="5">T255/$T$264</f>
        <v>0.99649740714622448</v>
      </c>
      <c r="V255" s="725"/>
      <c r="W255" s="758"/>
      <c r="X255" s="588"/>
    </row>
    <row r="256" spans="1:25" s="589" customFormat="1" x14ac:dyDescent="0.25">
      <c r="A256" s="604"/>
      <c r="B256" s="662" t="s">
        <v>89</v>
      </c>
      <c r="C256" s="759"/>
      <c r="D256" s="759"/>
      <c r="E256" s="759"/>
      <c r="F256" s="605"/>
      <c r="G256" s="760"/>
      <c r="H256" s="759"/>
      <c r="I256" s="759"/>
      <c r="J256" s="759"/>
      <c r="K256" s="759"/>
      <c r="L256" s="759"/>
      <c r="M256" s="759"/>
      <c r="N256" s="759"/>
      <c r="O256" s="759"/>
      <c r="P256" s="759"/>
      <c r="Q256" s="759"/>
      <c r="R256" s="662">
        <v>3</v>
      </c>
      <c r="S256" s="760">
        <f t="shared" ref="S256:S262" si="6">R256/$R$264</f>
        <v>7.8760829614071934E-4</v>
      </c>
      <c r="T256" s="663">
        <v>643</v>
      </c>
      <c r="U256" s="760">
        <f t="shared" si="5"/>
        <v>1.2525957758496417E-3</v>
      </c>
      <c r="V256" s="730"/>
      <c r="W256" s="741"/>
      <c r="X256" s="588"/>
      <c r="Y256" s="685"/>
    </row>
    <row r="257" spans="1:25" s="589" customFormat="1" x14ac:dyDescent="0.25">
      <c r="A257" s="604"/>
      <c r="B257" s="662" t="s">
        <v>90</v>
      </c>
      <c r="C257" s="759"/>
      <c r="D257" s="759"/>
      <c r="E257" s="759"/>
      <c r="F257" s="605"/>
      <c r="G257" s="760"/>
      <c r="H257" s="759"/>
      <c r="I257" s="759"/>
      <c r="J257" s="759"/>
      <c r="K257" s="759"/>
      <c r="L257" s="759"/>
      <c r="M257" s="759"/>
      <c r="N257" s="759"/>
      <c r="O257" s="759"/>
      <c r="P257" s="759"/>
      <c r="Q257" s="759"/>
      <c r="R257" s="662">
        <v>2</v>
      </c>
      <c r="S257" s="760">
        <f t="shared" si="6"/>
        <v>5.2507219742714626E-4</v>
      </c>
      <c r="T257" s="663">
        <v>111</v>
      </c>
      <c r="U257" s="760">
        <f t="shared" si="5"/>
        <v>2.1623348541105789E-4</v>
      </c>
      <c r="V257" s="730"/>
      <c r="W257" s="741"/>
      <c r="X257" s="588"/>
    </row>
    <row r="258" spans="1:25" s="589" customFormat="1" x14ac:dyDescent="0.25">
      <c r="A258" s="604"/>
      <c r="B258" s="662" t="s">
        <v>156</v>
      </c>
      <c r="C258" s="759"/>
      <c r="D258" s="759"/>
      <c r="E258" s="759"/>
      <c r="F258" s="605"/>
      <c r="G258" s="760"/>
      <c r="H258" s="759"/>
      <c r="I258" s="759"/>
      <c r="J258" s="759"/>
      <c r="K258" s="759"/>
      <c r="L258" s="759"/>
      <c r="M258" s="759"/>
      <c r="N258" s="759"/>
      <c r="O258" s="759"/>
      <c r="P258" s="759"/>
      <c r="Q258" s="759"/>
      <c r="R258" s="662">
        <v>3</v>
      </c>
      <c r="S258" s="760">
        <f t="shared" si="6"/>
        <v>7.8760829614071934E-4</v>
      </c>
      <c r="T258" s="663">
        <v>428</v>
      </c>
      <c r="U258" s="760">
        <f t="shared" si="5"/>
        <v>8.3376515095434937E-4</v>
      </c>
      <c r="V258" s="730"/>
      <c r="W258" s="741"/>
      <c r="X258" s="588"/>
      <c r="Y258" s="685"/>
    </row>
    <row r="259" spans="1:25" s="589" customFormat="1" x14ac:dyDescent="0.25">
      <c r="A259" s="604"/>
      <c r="B259" s="662" t="s">
        <v>157</v>
      </c>
      <c r="C259" s="759"/>
      <c r="D259" s="759"/>
      <c r="E259" s="759"/>
      <c r="F259" s="605"/>
      <c r="G259" s="760"/>
      <c r="H259" s="759"/>
      <c r="I259" s="759"/>
      <c r="J259" s="759"/>
      <c r="K259" s="759"/>
      <c r="L259" s="759"/>
      <c r="M259" s="759"/>
      <c r="N259" s="759"/>
      <c r="O259" s="759"/>
      <c r="P259" s="759"/>
      <c r="Q259" s="759"/>
      <c r="R259" s="662">
        <v>0</v>
      </c>
      <c r="S259" s="760">
        <f t="shared" si="6"/>
        <v>0</v>
      </c>
      <c r="T259" s="663">
        <v>0</v>
      </c>
      <c r="U259" s="760">
        <f t="shared" si="5"/>
        <v>0</v>
      </c>
      <c r="V259" s="730"/>
      <c r="W259" s="741"/>
      <c r="X259" s="588"/>
    </row>
    <row r="260" spans="1:25" s="589" customFormat="1" x14ac:dyDescent="0.25">
      <c r="A260" s="604"/>
      <c r="B260" s="662" t="s">
        <v>158</v>
      </c>
      <c r="C260" s="759"/>
      <c r="D260" s="759"/>
      <c r="E260" s="759"/>
      <c r="F260" s="605"/>
      <c r="G260" s="760"/>
      <c r="H260" s="759"/>
      <c r="I260" s="759"/>
      <c r="J260" s="759"/>
      <c r="K260" s="759"/>
      <c r="L260" s="759"/>
      <c r="M260" s="759"/>
      <c r="N260" s="759"/>
      <c r="O260" s="759"/>
      <c r="P260" s="759"/>
      <c r="Q260" s="759"/>
      <c r="R260" s="662">
        <v>3</v>
      </c>
      <c r="S260" s="760">
        <f t="shared" si="6"/>
        <v>7.8760829614071934E-4</v>
      </c>
      <c r="T260" s="663">
        <v>283</v>
      </c>
      <c r="U260" s="760">
        <f t="shared" si="5"/>
        <v>5.5129798532729184E-4</v>
      </c>
      <c r="V260" s="730"/>
      <c r="W260" s="741"/>
      <c r="X260" s="588"/>
      <c r="Y260" s="685"/>
    </row>
    <row r="261" spans="1:25" s="589" customFormat="1" x14ac:dyDescent="0.25">
      <c r="A261" s="604"/>
      <c r="B261" s="662" t="s">
        <v>159</v>
      </c>
      <c r="C261" s="759"/>
      <c r="D261" s="759"/>
      <c r="E261" s="759"/>
      <c r="F261" s="605"/>
      <c r="G261" s="760"/>
      <c r="H261" s="759"/>
      <c r="I261" s="759"/>
      <c r="J261" s="759"/>
      <c r="K261" s="759"/>
      <c r="L261" s="759"/>
      <c r="M261" s="759"/>
      <c r="N261" s="759"/>
      <c r="O261" s="759"/>
      <c r="P261" s="759"/>
      <c r="Q261" s="759"/>
      <c r="R261" s="662">
        <v>3</v>
      </c>
      <c r="S261" s="760">
        <f t="shared" si="6"/>
        <v>7.8760829614071934E-4</v>
      </c>
      <c r="T261" s="663">
        <v>333</v>
      </c>
      <c r="U261" s="760">
        <f t="shared" si="5"/>
        <v>6.4870045623317374E-4</v>
      </c>
      <c r="V261" s="730"/>
      <c r="W261" s="741"/>
      <c r="X261" s="588"/>
    </row>
    <row r="262" spans="1:25" s="589" customFormat="1" x14ac:dyDescent="0.25">
      <c r="A262" s="604"/>
      <c r="B262" s="662" t="s">
        <v>160</v>
      </c>
      <c r="C262" s="759"/>
      <c r="D262" s="759"/>
      <c r="E262" s="759"/>
      <c r="F262" s="605"/>
      <c r="G262" s="760"/>
      <c r="H262" s="759"/>
      <c r="I262" s="759"/>
      <c r="J262" s="759"/>
      <c r="K262" s="759"/>
      <c r="L262" s="759"/>
      <c r="M262" s="759"/>
      <c r="N262" s="759"/>
      <c r="O262" s="759"/>
      <c r="P262" s="759"/>
      <c r="Q262" s="759"/>
      <c r="R262" s="662">
        <v>0</v>
      </c>
      <c r="S262" s="760">
        <f t="shared" si="6"/>
        <v>0</v>
      </c>
      <c r="T262" s="663">
        <v>0</v>
      </c>
      <c r="U262" s="760">
        <f t="shared" si="5"/>
        <v>0</v>
      </c>
      <c r="V262" s="730"/>
      <c r="W262" s="741"/>
      <c r="X262" s="588"/>
      <c r="Y262" s="685"/>
    </row>
    <row r="263" spans="1:25" s="589" customFormat="1" x14ac:dyDescent="0.25">
      <c r="A263" s="604"/>
      <c r="B263" s="662"/>
      <c r="C263" s="759"/>
      <c r="D263" s="759"/>
      <c r="E263" s="759"/>
      <c r="F263" s="605"/>
      <c r="G263" s="760"/>
      <c r="H263" s="759"/>
      <c r="I263" s="759"/>
      <c r="J263" s="759"/>
      <c r="K263" s="759"/>
      <c r="L263" s="759"/>
      <c r="M263" s="759"/>
      <c r="N263" s="759"/>
      <c r="O263" s="759"/>
      <c r="P263" s="759"/>
      <c r="Q263" s="759"/>
      <c r="R263" s="662"/>
      <c r="S263" s="760"/>
      <c r="T263" s="663"/>
      <c r="U263" s="760"/>
      <c r="V263" s="730"/>
      <c r="W263" s="741"/>
      <c r="X263" s="588"/>
    </row>
    <row r="264" spans="1:25" s="589" customFormat="1" x14ac:dyDescent="0.25">
      <c r="A264" s="604"/>
      <c r="B264" s="605" t="s">
        <v>114</v>
      </c>
      <c r="C264" s="605"/>
      <c r="D264" s="605"/>
      <c r="E264" s="605"/>
      <c r="F264" s="605"/>
      <c r="G264" s="605"/>
      <c r="H264" s="761"/>
      <c r="I264" s="761"/>
      <c r="J264" s="761"/>
      <c r="K264" s="761"/>
      <c r="L264" s="761"/>
      <c r="M264" s="761"/>
      <c r="N264" s="761"/>
      <c r="O264" s="761"/>
      <c r="P264" s="761"/>
      <c r="Q264" s="761"/>
      <c r="R264" s="662">
        <f>SUM(R255:R263)</f>
        <v>3809</v>
      </c>
      <c r="S264" s="760">
        <f>SUM(S255:S263)</f>
        <v>1.0000000000000002</v>
      </c>
      <c r="T264" s="663">
        <f>SUM(T255:T263)</f>
        <v>513334</v>
      </c>
      <c r="U264" s="760">
        <f>SUM(U255:U263)</f>
        <v>1</v>
      </c>
      <c r="V264" s="605"/>
      <c r="W264" s="607"/>
      <c r="X264" s="588"/>
    </row>
    <row r="265" spans="1:25" x14ac:dyDescent="0.25">
      <c r="A265" s="574"/>
      <c r="B265" s="664"/>
      <c r="C265" s="664"/>
      <c r="D265" s="664"/>
      <c r="E265" s="664"/>
      <c r="F265" s="664"/>
      <c r="G265" s="664"/>
      <c r="H265" s="762"/>
      <c r="I265" s="762"/>
      <c r="J265" s="762"/>
      <c r="K265" s="762"/>
      <c r="L265" s="762"/>
      <c r="M265" s="762"/>
      <c r="N265" s="762"/>
      <c r="O265" s="762"/>
      <c r="P265" s="762"/>
      <c r="Q265" s="762"/>
      <c r="R265" s="665"/>
      <c r="S265" s="763"/>
      <c r="T265" s="764"/>
      <c r="U265" s="763"/>
      <c r="V265" s="664"/>
      <c r="W265" s="664"/>
      <c r="X265" s="572"/>
    </row>
    <row r="266" spans="1:25" x14ac:dyDescent="0.25">
      <c r="A266" s="597"/>
      <c r="B266" s="669" t="s">
        <v>236</v>
      </c>
      <c r="C266" s="670"/>
      <c r="D266" s="670"/>
      <c r="E266" s="670"/>
      <c r="F266" s="721"/>
      <c r="G266" s="670"/>
      <c r="H266" s="670"/>
      <c r="I266" s="670"/>
      <c r="J266" s="670"/>
      <c r="K266" s="670"/>
      <c r="L266" s="670"/>
      <c r="M266" s="670"/>
      <c r="N266" s="670"/>
      <c r="O266" s="670"/>
      <c r="P266" s="670"/>
      <c r="Q266" s="670"/>
      <c r="R266" s="721" t="s">
        <v>102</v>
      </c>
      <c r="S266" s="670" t="s">
        <v>103</v>
      </c>
      <c r="T266" s="721" t="s">
        <v>109</v>
      </c>
      <c r="U266" s="670" t="s">
        <v>103</v>
      </c>
      <c r="V266" s="598"/>
      <c r="W266" s="601"/>
      <c r="X266" s="572"/>
    </row>
    <row r="267" spans="1:25" s="589" customFormat="1" x14ac:dyDescent="0.25">
      <c r="A267" s="585"/>
      <c r="B267" s="673" t="s">
        <v>88</v>
      </c>
      <c r="C267" s="756"/>
      <c r="D267" s="756"/>
      <c r="E267" s="756"/>
      <c r="F267" s="602"/>
      <c r="G267" s="756"/>
      <c r="H267" s="756"/>
      <c r="I267" s="756"/>
      <c r="J267" s="756"/>
      <c r="K267" s="756"/>
      <c r="L267" s="756"/>
      <c r="M267" s="756"/>
      <c r="N267" s="756"/>
      <c r="O267" s="756"/>
      <c r="P267" s="756"/>
      <c r="Q267" s="756"/>
      <c r="R267" s="673">
        <v>57</v>
      </c>
      <c r="S267" s="757">
        <f t="shared" ref="S267:S273" si="7">R267/$R$276</f>
        <v>0.95</v>
      </c>
      <c r="T267" s="674">
        <v>7929</v>
      </c>
      <c r="U267" s="757">
        <f t="shared" ref="U267:U274" si="8">T267/$T$276</f>
        <v>0.95346320346320346</v>
      </c>
      <c r="V267" s="602"/>
      <c r="W267" s="602"/>
      <c r="X267" s="588"/>
    </row>
    <row r="268" spans="1:25" s="589" customFormat="1" x14ac:dyDescent="0.25">
      <c r="A268" s="604"/>
      <c r="B268" s="662" t="s">
        <v>89</v>
      </c>
      <c r="C268" s="759"/>
      <c r="D268" s="759"/>
      <c r="E268" s="759"/>
      <c r="F268" s="605"/>
      <c r="G268" s="760"/>
      <c r="H268" s="759"/>
      <c r="I268" s="759"/>
      <c r="J268" s="759"/>
      <c r="K268" s="759"/>
      <c r="L268" s="759"/>
      <c r="M268" s="759"/>
      <c r="N268" s="759"/>
      <c r="O268" s="759"/>
      <c r="P268" s="759"/>
      <c r="Q268" s="759"/>
      <c r="R268" s="662">
        <v>0</v>
      </c>
      <c r="S268" s="760">
        <f t="shared" si="7"/>
        <v>0</v>
      </c>
      <c r="T268" s="663">
        <v>0</v>
      </c>
      <c r="U268" s="760">
        <f t="shared" si="8"/>
        <v>0</v>
      </c>
      <c r="V268" s="605"/>
      <c r="W268" s="607"/>
      <c r="X268" s="588"/>
    </row>
    <row r="269" spans="1:25" s="589" customFormat="1" x14ac:dyDescent="0.25">
      <c r="A269" s="604"/>
      <c r="B269" s="662" t="s">
        <v>90</v>
      </c>
      <c r="C269" s="759"/>
      <c r="D269" s="759"/>
      <c r="E269" s="759"/>
      <c r="F269" s="605"/>
      <c r="G269" s="760"/>
      <c r="H269" s="759"/>
      <c r="I269" s="759"/>
      <c r="J269" s="759"/>
      <c r="K269" s="759"/>
      <c r="L269" s="759"/>
      <c r="M269" s="759"/>
      <c r="N269" s="759"/>
      <c r="O269" s="759"/>
      <c r="P269" s="759"/>
      <c r="Q269" s="759"/>
      <c r="R269" s="662">
        <v>0</v>
      </c>
      <c r="S269" s="760">
        <f t="shared" si="7"/>
        <v>0</v>
      </c>
      <c r="T269" s="663">
        <v>0</v>
      </c>
      <c r="U269" s="760">
        <f t="shared" si="8"/>
        <v>0</v>
      </c>
      <c r="V269" s="605"/>
      <c r="W269" s="607"/>
      <c r="X269" s="588"/>
    </row>
    <row r="270" spans="1:25" s="589" customFormat="1" x14ac:dyDescent="0.25">
      <c r="A270" s="604"/>
      <c r="B270" s="662" t="s">
        <v>156</v>
      </c>
      <c r="C270" s="759"/>
      <c r="D270" s="759"/>
      <c r="E270" s="759"/>
      <c r="F270" s="605"/>
      <c r="G270" s="760"/>
      <c r="H270" s="759"/>
      <c r="I270" s="759"/>
      <c r="J270" s="759"/>
      <c r="K270" s="759"/>
      <c r="L270" s="759"/>
      <c r="M270" s="759"/>
      <c r="N270" s="759"/>
      <c r="O270" s="759"/>
      <c r="P270" s="759"/>
      <c r="Q270" s="759"/>
      <c r="R270" s="662">
        <v>0</v>
      </c>
      <c r="S270" s="760">
        <f t="shared" si="7"/>
        <v>0</v>
      </c>
      <c r="T270" s="663">
        <v>0</v>
      </c>
      <c r="U270" s="760">
        <f t="shared" si="8"/>
        <v>0</v>
      </c>
      <c r="V270" s="605"/>
      <c r="W270" s="607"/>
      <c r="X270" s="588"/>
    </row>
    <row r="271" spans="1:25" s="589" customFormat="1" x14ac:dyDescent="0.25">
      <c r="A271" s="604"/>
      <c r="B271" s="662" t="s">
        <v>157</v>
      </c>
      <c r="C271" s="759"/>
      <c r="D271" s="759"/>
      <c r="E271" s="759"/>
      <c r="F271" s="605"/>
      <c r="G271" s="760"/>
      <c r="H271" s="759"/>
      <c r="I271" s="759"/>
      <c r="J271" s="759"/>
      <c r="K271" s="759"/>
      <c r="L271" s="759"/>
      <c r="M271" s="759"/>
      <c r="N271" s="759"/>
      <c r="O271" s="759"/>
      <c r="P271" s="759"/>
      <c r="Q271" s="759"/>
      <c r="R271" s="662">
        <v>0</v>
      </c>
      <c r="S271" s="760">
        <f t="shared" si="7"/>
        <v>0</v>
      </c>
      <c r="T271" s="663">
        <v>0</v>
      </c>
      <c r="U271" s="760">
        <f t="shared" si="8"/>
        <v>0</v>
      </c>
      <c r="V271" s="605"/>
      <c r="W271" s="607"/>
      <c r="X271" s="588"/>
    </row>
    <row r="272" spans="1:25" s="589" customFormat="1" x14ac:dyDescent="0.25">
      <c r="A272" s="604"/>
      <c r="B272" s="662" t="s">
        <v>158</v>
      </c>
      <c r="C272" s="759"/>
      <c r="D272" s="759"/>
      <c r="E272" s="759"/>
      <c r="F272" s="605"/>
      <c r="G272" s="760"/>
      <c r="H272" s="759"/>
      <c r="I272" s="759"/>
      <c r="J272" s="759"/>
      <c r="K272" s="759"/>
      <c r="L272" s="759"/>
      <c r="M272" s="759"/>
      <c r="N272" s="759"/>
      <c r="O272" s="759"/>
      <c r="P272" s="759"/>
      <c r="Q272" s="759"/>
      <c r="R272" s="662">
        <v>0</v>
      </c>
      <c r="S272" s="760">
        <f t="shared" si="7"/>
        <v>0</v>
      </c>
      <c r="T272" s="663">
        <v>0</v>
      </c>
      <c r="U272" s="760">
        <f t="shared" si="8"/>
        <v>0</v>
      </c>
      <c r="V272" s="605"/>
      <c r="W272" s="607"/>
      <c r="X272" s="588"/>
    </row>
    <row r="273" spans="1:24" s="589" customFormat="1" x14ac:dyDescent="0.25">
      <c r="A273" s="604"/>
      <c r="B273" s="662" t="s">
        <v>159</v>
      </c>
      <c r="C273" s="759"/>
      <c r="D273" s="759"/>
      <c r="E273" s="759"/>
      <c r="F273" s="605"/>
      <c r="G273" s="760"/>
      <c r="H273" s="759"/>
      <c r="I273" s="759"/>
      <c r="J273" s="759"/>
      <c r="K273" s="759"/>
      <c r="L273" s="759"/>
      <c r="M273" s="759"/>
      <c r="N273" s="759"/>
      <c r="O273" s="759"/>
      <c r="P273" s="759"/>
      <c r="Q273" s="759"/>
      <c r="R273" s="662">
        <v>1</v>
      </c>
      <c r="S273" s="760">
        <f t="shared" si="7"/>
        <v>1.6666666666666666E-2</v>
      </c>
      <c r="T273" s="663">
        <v>117</v>
      </c>
      <c r="U273" s="760">
        <f t="shared" si="8"/>
        <v>1.406926406926407E-2</v>
      </c>
      <c r="V273" s="605"/>
      <c r="W273" s="607"/>
      <c r="X273" s="588"/>
    </row>
    <row r="274" spans="1:24" s="589" customFormat="1" x14ac:dyDescent="0.25">
      <c r="A274" s="604"/>
      <c r="B274" s="662" t="s">
        <v>160</v>
      </c>
      <c r="C274" s="759"/>
      <c r="D274" s="759"/>
      <c r="E274" s="759"/>
      <c r="F274" s="605"/>
      <c r="G274" s="760"/>
      <c r="H274" s="759"/>
      <c r="I274" s="759"/>
      <c r="J274" s="759"/>
      <c r="K274" s="759"/>
      <c r="L274" s="759"/>
      <c r="M274" s="759"/>
      <c r="N274" s="759"/>
      <c r="O274" s="759"/>
      <c r="P274" s="759"/>
      <c r="Q274" s="759"/>
      <c r="R274" s="662">
        <v>2</v>
      </c>
      <c r="S274" s="760">
        <f>R274/$R$276</f>
        <v>3.3333333333333333E-2</v>
      </c>
      <c r="T274" s="663">
        <v>270</v>
      </c>
      <c r="U274" s="760">
        <f t="shared" si="8"/>
        <v>3.2467532467532464E-2</v>
      </c>
      <c r="V274" s="605"/>
      <c r="W274" s="607"/>
      <c r="X274" s="588"/>
    </row>
    <row r="275" spans="1:24" s="589" customFormat="1" x14ac:dyDescent="0.25">
      <c r="A275" s="604"/>
      <c r="B275" s="662"/>
      <c r="C275" s="759"/>
      <c r="D275" s="759"/>
      <c r="E275" s="759"/>
      <c r="F275" s="605"/>
      <c r="G275" s="760"/>
      <c r="H275" s="759"/>
      <c r="I275" s="759"/>
      <c r="J275" s="759"/>
      <c r="K275" s="759"/>
      <c r="L275" s="759"/>
      <c r="M275" s="759"/>
      <c r="N275" s="759"/>
      <c r="O275" s="759"/>
      <c r="P275" s="759"/>
      <c r="Q275" s="759"/>
      <c r="R275" s="662"/>
      <c r="S275" s="760"/>
      <c r="T275" s="663"/>
      <c r="U275" s="760"/>
      <c r="V275" s="605"/>
      <c r="W275" s="607"/>
      <c r="X275" s="588"/>
    </row>
    <row r="276" spans="1:24" s="589" customFormat="1" x14ac:dyDescent="0.25">
      <c r="A276" s="604"/>
      <c r="B276" s="605" t="s">
        <v>114</v>
      </c>
      <c r="C276" s="605"/>
      <c r="D276" s="605"/>
      <c r="E276" s="605"/>
      <c r="F276" s="605"/>
      <c r="G276" s="605"/>
      <c r="H276" s="761"/>
      <c r="I276" s="761"/>
      <c r="J276" s="761"/>
      <c r="K276" s="761"/>
      <c r="L276" s="761"/>
      <c r="M276" s="761"/>
      <c r="N276" s="761"/>
      <c r="O276" s="761"/>
      <c r="P276" s="761"/>
      <c r="Q276" s="761"/>
      <c r="R276" s="662">
        <f>SUM(R267:R275)</f>
        <v>60</v>
      </c>
      <c r="S276" s="760">
        <f>SUM(S267:S275)</f>
        <v>1</v>
      </c>
      <c r="T276" s="663">
        <f>SUM(T267:T275)</f>
        <v>8316</v>
      </c>
      <c r="U276" s="760">
        <f>SUM(U267:U275)</f>
        <v>1</v>
      </c>
      <c r="V276" s="605"/>
      <c r="W276" s="607"/>
      <c r="X276" s="588"/>
    </row>
    <row r="277" spans="1:24" x14ac:dyDescent="0.25">
      <c r="A277" s="574"/>
      <c r="B277" s="664"/>
      <c r="C277" s="664"/>
      <c r="D277" s="664"/>
      <c r="E277" s="664"/>
      <c r="F277" s="664"/>
      <c r="G277" s="664"/>
      <c r="H277" s="762"/>
      <c r="I277" s="762"/>
      <c r="J277" s="762"/>
      <c r="K277" s="762"/>
      <c r="L277" s="762"/>
      <c r="M277" s="762"/>
      <c r="N277" s="762"/>
      <c r="O277" s="762"/>
      <c r="P277" s="762"/>
      <c r="Q277" s="762"/>
      <c r="R277" s="665"/>
      <c r="S277" s="763"/>
      <c r="T277" s="764"/>
      <c r="U277" s="763"/>
      <c r="V277" s="664"/>
      <c r="W277" s="664"/>
      <c r="X277" s="572"/>
    </row>
    <row r="278" spans="1:24" x14ac:dyDescent="0.25">
      <c r="A278" s="781"/>
      <c r="B278" s="775" t="s">
        <v>372</v>
      </c>
      <c r="C278" s="782"/>
      <c r="D278" s="782"/>
      <c r="E278" s="782"/>
      <c r="F278" s="783"/>
      <c r="G278" s="782"/>
      <c r="H278" s="782"/>
      <c r="I278" s="782"/>
      <c r="J278" s="782"/>
      <c r="K278" s="782"/>
      <c r="L278" s="782"/>
      <c r="M278" s="782"/>
      <c r="N278" s="782"/>
      <c r="O278" s="782"/>
      <c r="P278" s="782"/>
      <c r="Q278" s="782"/>
      <c r="R278" s="783" t="s">
        <v>102</v>
      </c>
      <c r="S278" s="782" t="s">
        <v>103</v>
      </c>
      <c r="T278" s="783" t="s">
        <v>109</v>
      </c>
      <c r="U278" s="782" t="s">
        <v>103</v>
      </c>
      <c r="V278" s="782"/>
      <c r="W278" s="782"/>
      <c r="X278" s="572"/>
    </row>
    <row r="279" spans="1:24" x14ac:dyDescent="0.25">
      <c r="A279" s="784"/>
      <c r="B279" s="785" t="s">
        <v>373</v>
      </c>
      <c r="C279" s="786"/>
      <c r="D279" s="786"/>
      <c r="E279" s="786"/>
      <c r="F279" s="776"/>
      <c r="G279" s="786"/>
      <c r="H279" s="786"/>
      <c r="I279" s="786"/>
      <c r="J279" s="786"/>
      <c r="K279" s="786"/>
      <c r="L279" s="786"/>
      <c r="M279" s="786"/>
      <c r="N279" s="786"/>
      <c r="O279" s="786"/>
      <c r="P279" s="786"/>
      <c r="Q279" s="786"/>
      <c r="R279" s="785">
        <v>47</v>
      </c>
      <c r="S279" s="793">
        <f t="shared" ref="S279:S284" si="9">R279/$R$286</f>
        <v>0.78333333333333333</v>
      </c>
      <c r="T279" s="794">
        <v>6613</v>
      </c>
      <c r="U279" s="793">
        <f t="shared" ref="U279:U284" si="10">T279/$T$286</f>
        <v>0.79521404521404526</v>
      </c>
      <c r="V279" s="786"/>
      <c r="W279" s="786"/>
      <c r="X279" s="572"/>
    </row>
    <row r="280" spans="1:24" x14ac:dyDescent="0.25">
      <c r="A280" s="787"/>
      <c r="B280" s="788" t="s">
        <v>374</v>
      </c>
      <c r="C280" s="789"/>
      <c r="D280" s="789"/>
      <c r="E280" s="789"/>
      <c r="F280" s="790"/>
      <c r="G280" s="791"/>
      <c r="H280" s="789"/>
      <c r="I280" s="789"/>
      <c r="J280" s="789"/>
      <c r="K280" s="789"/>
      <c r="L280" s="789"/>
      <c r="M280" s="789"/>
      <c r="N280" s="789"/>
      <c r="O280" s="789"/>
      <c r="P280" s="789"/>
      <c r="Q280" s="789"/>
      <c r="R280" s="788">
        <v>0</v>
      </c>
      <c r="S280" s="791">
        <f t="shared" si="9"/>
        <v>0</v>
      </c>
      <c r="T280" s="795">
        <v>0</v>
      </c>
      <c r="U280" s="791">
        <f t="shared" si="10"/>
        <v>0</v>
      </c>
      <c r="V280" s="789"/>
      <c r="W280" s="789"/>
      <c r="X280" s="572"/>
    </row>
    <row r="281" spans="1:24" x14ac:dyDescent="0.25">
      <c r="A281" s="787"/>
      <c r="B281" s="788" t="s">
        <v>375</v>
      </c>
      <c r="C281" s="789"/>
      <c r="D281" s="789"/>
      <c r="E281" s="789"/>
      <c r="F281" s="790"/>
      <c r="G281" s="791"/>
      <c r="H281" s="789"/>
      <c r="I281" s="789"/>
      <c r="J281" s="789"/>
      <c r="K281" s="789"/>
      <c r="L281" s="789"/>
      <c r="M281" s="789"/>
      <c r="N281" s="789"/>
      <c r="O281" s="789"/>
      <c r="P281" s="789"/>
      <c r="Q281" s="789"/>
      <c r="R281" s="788">
        <v>3</v>
      </c>
      <c r="S281" s="791">
        <f t="shared" si="9"/>
        <v>0.05</v>
      </c>
      <c r="T281" s="795">
        <v>387</v>
      </c>
      <c r="U281" s="791">
        <f t="shared" si="10"/>
        <v>4.6536796536796536E-2</v>
      </c>
      <c r="V281" s="789"/>
      <c r="W281" s="789"/>
      <c r="X281" s="572"/>
    </row>
    <row r="282" spans="1:24" x14ac:dyDescent="0.25">
      <c r="A282" s="787"/>
      <c r="B282" s="788" t="s">
        <v>376</v>
      </c>
      <c r="C282" s="789"/>
      <c r="D282" s="789"/>
      <c r="E282" s="789"/>
      <c r="F282" s="790"/>
      <c r="G282" s="791"/>
      <c r="H282" s="789"/>
      <c r="I282" s="789"/>
      <c r="J282" s="789"/>
      <c r="K282" s="789"/>
      <c r="L282" s="789"/>
      <c r="M282" s="789"/>
      <c r="N282" s="789"/>
      <c r="O282" s="789"/>
      <c r="P282" s="789"/>
      <c r="Q282" s="789"/>
      <c r="R282" s="788">
        <v>5</v>
      </c>
      <c r="S282" s="791">
        <f t="shared" si="9"/>
        <v>8.3333333333333329E-2</v>
      </c>
      <c r="T282" s="795">
        <v>626</v>
      </c>
      <c r="U282" s="791">
        <f t="shared" si="10"/>
        <v>7.5276575276575275E-2</v>
      </c>
      <c r="V282" s="789"/>
      <c r="W282" s="789"/>
      <c r="X282" s="572"/>
    </row>
    <row r="283" spans="1:24" x14ac:dyDescent="0.25">
      <c r="A283" s="787"/>
      <c r="B283" s="790" t="s">
        <v>380</v>
      </c>
      <c r="C283" s="789"/>
      <c r="D283" s="789"/>
      <c r="E283" s="789"/>
      <c r="F283" s="790"/>
      <c r="G283" s="791"/>
      <c r="H283" s="789"/>
      <c r="I283" s="789"/>
      <c r="J283" s="789"/>
      <c r="K283" s="789"/>
      <c r="L283" s="789"/>
      <c r="M283" s="789"/>
      <c r="N283" s="789"/>
      <c r="O283" s="789"/>
      <c r="P283" s="789"/>
      <c r="Q283" s="789"/>
      <c r="R283" s="788">
        <v>5</v>
      </c>
      <c r="S283" s="791">
        <f t="shared" si="9"/>
        <v>8.3333333333333329E-2</v>
      </c>
      <c r="T283" s="795">
        <v>690</v>
      </c>
      <c r="U283" s="791">
        <f t="shared" si="10"/>
        <v>8.2972582972582976E-2</v>
      </c>
      <c r="V283" s="789"/>
      <c r="W283" s="789"/>
      <c r="X283" s="572"/>
    </row>
    <row r="284" spans="1:24" x14ac:dyDescent="0.25">
      <c r="A284" s="787"/>
      <c r="B284" s="788" t="s">
        <v>377</v>
      </c>
      <c r="C284" s="789"/>
      <c r="D284" s="789"/>
      <c r="E284" s="789"/>
      <c r="F284" s="790"/>
      <c r="G284" s="791"/>
      <c r="H284" s="789"/>
      <c r="I284" s="789"/>
      <c r="J284" s="789"/>
      <c r="K284" s="789"/>
      <c r="L284" s="789"/>
      <c r="M284" s="789"/>
      <c r="N284" s="789"/>
      <c r="O284" s="789"/>
      <c r="P284" s="789"/>
      <c r="Q284" s="789"/>
      <c r="R284" s="788">
        <v>0</v>
      </c>
      <c r="S284" s="791">
        <f t="shared" si="9"/>
        <v>0</v>
      </c>
      <c r="T284" s="795">
        <v>0</v>
      </c>
      <c r="U284" s="791">
        <f t="shared" si="10"/>
        <v>0</v>
      </c>
      <c r="V284" s="789"/>
      <c r="W284" s="789"/>
      <c r="X284" s="572"/>
    </row>
    <row r="285" spans="1:24" x14ac:dyDescent="0.25">
      <c r="A285" s="787"/>
      <c r="B285" s="788"/>
      <c r="C285" s="789"/>
      <c r="D285" s="789"/>
      <c r="E285" s="789"/>
      <c r="F285" s="790"/>
      <c r="G285" s="791"/>
      <c r="H285" s="789"/>
      <c r="I285" s="789"/>
      <c r="J285" s="789"/>
      <c r="K285" s="789"/>
      <c r="L285" s="789"/>
      <c r="M285" s="789"/>
      <c r="N285" s="789"/>
      <c r="O285" s="789"/>
      <c r="P285" s="789"/>
      <c r="Q285" s="789"/>
      <c r="R285" s="788"/>
      <c r="S285" s="791"/>
      <c r="T285" s="795"/>
      <c r="U285" s="791"/>
      <c r="V285" s="789"/>
      <c r="W285" s="789"/>
      <c r="X285" s="572"/>
    </row>
    <row r="286" spans="1:24" x14ac:dyDescent="0.25">
      <c r="A286" s="787"/>
      <c r="B286" s="790" t="s">
        <v>114</v>
      </c>
      <c r="C286" s="790"/>
      <c r="D286" s="790"/>
      <c r="E286" s="790"/>
      <c r="F286" s="790"/>
      <c r="G286" s="790"/>
      <c r="H286" s="792"/>
      <c r="I286" s="792"/>
      <c r="J286" s="792"/>
      <c r="K286" s="792"/>
      <c r="L286" s="792"/>
      <c r="M286" s="792"/>
      <c r="N286" s="792"/>
      <c r="O286" s="792"/>
      <c r="P286" s="792"/>
      <c r="Q286" s="792"/>
      <c r="R286" s="788">
        <f>SUM(R279:R285)</f>
        <v>60</v>
      </c>
      <c r="S286" s="791">
        <f>SUM(S279:S285)</f>
        <v>1</v>
      </c>
      <c r="T286" s="795">
        <f>SUM(T279:T285)</f>
        <v>8316</v>
      </c>
      <c r="U286" s="791">
        <f>SUM(U279:U285)</f>
        <v>1</v>
      </c>
      <c r="V286" s="792"/>
      <c r="W286" s="792"/>
      <c r="X286" s="572"/>
    </row>
    <row r="287" spans="1:24" x14ac:dyDescent="0.25">
      <c r="A287" s="574"/>
      <c r="B287" s="664"/>
      <c r="C287" s="664"/>
      <c r="D287" s="664"/>
      <c r="E287" s="664"/>
      <c r="F287" s="664"/>
      <c r="G287" s="664"/>
      <c r="H287" s="762"/>
      <c r="I287" s="762"/>
      <c r="J287" s="762"/>
      <c r="K287" s="762"/>
      <c r="L287" s="762"/>
      <c r="M287" s="762"/>
      <c r="N287" s="762"/>
      <c r="O287" s="762"/>
      <c r="P287" s="762"/>
      <c r="Q287" s="762"/>
      <c r="R287" s="665"/>
      <c r="S287" s="763"/>
      <c r="T287" s="764"/>
      <c r="U287" s="763"/>
      <c r="V287" s="664"/>
      <c r="W287" s="664"/>
      <c r="X287" s="572"/>
    </row>
    <row r="288" spans="1:24" x14ac:dyDescent="0.25">
      <c r="A288" s="597"/>
      <c r="B288" s="669" t="s">
        <v>163</v>
      </c>
      <c r="C288" s="598"/>
      <c r="D288" s="598"/>
      <c r="E288" s="598"/>
      <c r="F288" s="598"/>
      <c r="G288" s="598"/>
      <c r="H288" s="765"/>
      <c r="I288" s="765"/>
      <c r="J288" s="765"/>
      <c r="K288" s="765"/>
      <c r="L288" s="765"/>
      <c r="M288" s="765"/>
      <c r="N288" s="765"/>
      <c r="O288" s="765"/>
      <c r="P288" s="765"/>
      <c r="Q288" s="765"/>
      <c r="R288" s="721" t="s">
        <v>102</v>
      </c>
      <c r="S288" s="670" t="s">
        <v>103</v>
      </c>
      <c r="T288" s="721" t="s">
        <v>109</v>
      </c>
      <c r="U288" s="670" t="s">
        <v>103</v>
      </c>
      <c r="V288" s="598"/>
      <c r="W288" s="601"/>
      <c r="X288" s="572"/>
    </row>
    <row r="289" spans="1:24" s="589" customFormat="1" x14ac:dyDescent="0.25">
      <c r="A289" s="585"/>
      <c r="B289" s="673" t="s">
        <v>88</v>
      </c>
      <c r="C289" s="602"/>
      <c r="D289" s="602"/>
      <c r="E289" s="602"/>
      <c r="F289" s="602"/>
      <c r="G289" s="602"/>
      <c r="H289" s="766"/>
      <c r="I289" s="766"/>
      <c r="J289" s="766"/>
      <c r="K289" s="766"/>
      <c r="L289" s="766"/>
      <c r="M289" s="766"/>
      <c r="N289" s="766"/>
      <c r="O289" s="766"/>
      <c r="P289" s="766"/>
      <c r="Q289" s="766"/>
      <c r="R289" s="673">
        <v>1</v>
      </c>
      <c r="S289" s="757">
        <v>1</v>
      </c>
      <c r="T289" s="674">
        <v>31</v>
      </c>
      <c r="U289" s="757">
        <v>1</v>
      </c>
      <c r="V289" s="602"/>
      <c r="W289" s="602"/>
      <c r="X289" s="588"/>
    </row>
    <row r="290" spans="1:24" s="589" customFormat="1" x14ac:dyDescent="0.25">
      <c r="A290" s="604"/>
      <c r="B290" s="662" t="s">
        <v>89</v>
      </c>
      <c r="C290" s="605"/>
      <c r="D290" s="605"/>
      <c r="E290" s="605"/>
      <c r="F290" s="605"/>
      <c r="G290" s="605"/>
      <c r="H290" s="761"/>
      <c r="I290" s="761"/>
      <c r="J290" s="761"/>
      <c r="K290" s="761"/>
      <c r="L290" s="761"/>
      <c r="M290" s="761"/>
      <c r="N290" s="761"/>
      <c r="O290" s="761"/>
      <c r="P290" s="761"/>
      <c r="Q290" s="761"/>
      <c r="R290" s="662">
        <v>0</v>
      </c>
      <c r="S290" s="760">
        <v>0</v>
      </c>
      <c r="T290" s="663">
        <v>0</v>
      </c>
      <c r="U290" s="760">
        <v>0</v>
      </c>
      <c r="V290" s="605"/>
      <c r="W290" s="607"/>
      <c r="X290" s="588"/>
    </row>
    <row r="291" spans="1:24" s="589" customFormat="1" x14ac:dyDescent="0.25">
      <c r="A291" s="604"/>
      <c r="B291" s="662" t="s">
        <v>90</v>
      </c>
      <c r="C291" s="605"/>
      <c r="D291" s="605"/>
      <c r="E291" s="605"/>
      <c r="F291" s="605"/>
      <c r="G291" s="605"/>
      <c r="H291" s="761"/>
      <c r="I291" s="761"/>
      <c r="J291" s="761"/>
      <c r="K291" s="761"/>
      <c r="L291" s="761"/>
      <c r="M291" s="761"/>
      <c r="N291" s="761"/>
      <c r="O291" s="761"/>
      <c r="P291" s="761"/>
      <c r="Q291" s="761"/>
      <c r="R291" s="662">
        <v>0</v>
      </c>
      <c r="S291" s="760">
        <v>0</v>
      </c>
      <c r="T291" s="663">
        <v>0</v>
      </c>
      <c r="U291" s="760">
        <v>0</v>
      </c>
      <c r="V291" s="605"/>
      <c r="W291" s="607"/>
      <c r="X291" s="588"/>
    </row>
    <row r="292" spans="1:24" s="589" customFormat="1" x14ac:dyDescent="0.25">
      <c r="A292" s="604"/>
      <c r="B292" s="662" t="s">
        <v>156</v>
      </c>
      <c r="C292" s="605"/>
      <c r="D292" s="605"/>
      <c r="E292" s="605"/>
      <c r="F292" s="605"/>
      <c r="G292" s="605"/>
      <c r="H292" s="761"/>
      <c r="I292" s="761"/>
      <c r="J292" s="761"/>
      <c r="K292" s="761"/>
      <c r="L292" s="761"/>
      <c r="M292" s="761"/>
      <c r="N292" s="761"/>
      <c r="O292" s="761"/>
      <c r="P292" s="761"/>
      <c r="Q292" s="761"/>
      <c r="R292" s="662">
        <v>0</v>
      </c>
      <c r="S292" s="760">
        <v>0</v>
      </c>
      <c r="T292" s="663">
        <v>0</v>
      </c>
      <c r="U292" s="760">
        <v>0</v>
      </c>
      <c r="V292" s="605"/>
      <c r="W292" s="607"/>
      <c r="X292" s="588"/>
    </row>
    <row r="293" spans="1:24" s="589" customFormat="1" x14ac:dyDescent="0.25">
      <c r="A293" s="604"/>
      <c r="B293" s="662" t="s">
        <v>157</v>
      </c>
      <c r="C293" s="605"/>
      <c r="D293" s="605"/>
      <c r="E293" s="605"/>
      <c r="F293" s="605"/>
      <c r="G293" s="605"/>
      <c r="H293" s="761"/>
      <c r="I293" s="761"/>
      <c r="J293" s="761"/>
      <c r="K293" s="761"/>
      <c r="L293" s="761"/>
      <c r="M293" s="761"/>
      <c r="N293" s="761"/>
      <c r="O293" s="761"/>
      <c r="P293" s="761"/>
      <c r="Q293" s="761"/>
      <c r="R293" s="662">
        <v>0</v>
      </c>
      <c r="S293" s="760">
        <v>0</v>
      </c>
      <c r="T293" s="663">
        <v>0</v>
      </c>
      <c r="U293" s="760">
        <v>0</v>
      </c>
      <c r="V293" s="605"/>
      <c r="W293" s="607"/>
      <c r="X293" s="588"/>
    </row>
    <row r="294" spans="1:24" s="589" customFormat="1" x14ac:dyDescent="0.25">
      <c r="A294" s="604"/>
      <c r="B294" s="662" t="s">
        <v>158</v>
      </c>
      <c r="C294" s="605"/>
      <c r="D294" s="605"/>
      <c r="E294" s="605"/>
      <c r="F294" s="605"/>
      <c r="G294" s="605"/>
      <c r="H294" s="761"/>
      <c r="I294" s="761"/>
      <c r="J294" s="761"/>
      <c r="K294" s="761"/>
      <c r="L294" s="761"/>
      <c r="M294" s="761"/>
      <c r="N294" s="761"/>
      <c r="O294" s="761"/>
      <c r="P294" s="761"/>
      <c r="Q294" s="761"/>
      <c r="R294" s="662">
        <v>0</v>
      </c>
      <c r="S294" s="760">
        <v>0</v>
      </c>
      <c r="T294" s="663">
        <v>0</v>
      </c>
      <c r="U294" s="760">
        <v>0</v>
      </c>
      <c r="V294" s="605"/>
      <c r="W294" s="607"/>
      <c r="X294" s="588"/>
    </row>
    <row r="295" spans="1:24" s="589" customFormat="1" x14ac:dyDescent="0.25">
      <c r="A295" s="604"/>
      <c r="B295" s="662" t="s">
        <v>159</v>
      </c>
      <c r="C295" s="605"/>
      <c r="D295" s="605"/>
      <c r="E295" s="605"/>
      <c r="F295" s="605"/>
      <c r="G295" s="605"/>
      <c r="H295" s="761"/>
      <c r="I295" s="761"/>
      <c r="J295" s="761"/>
      <c r="K295" s="761"/>
      <c r="L295" s="761"/>
      <c r="M295" s="761"/>
      <c r="N295" s="761"/>
      <c r="O295" s="761"/>
      <c r="P295" s="761"/>
      <c r="Q295" s="761"/>
      <c r="R295" s="662">
        <v>0</v>
      </c>
      <c r="S295" s="760">
        <v>0</v>
      </c>
      <c r="T295" s="663">
        <v>0</v>
      </c>
      <c r="U295" s="760">
        <v>0</v>
      </c>
      <c r="V295" s="605"/>
      <c r="W295" s="607"/>
      <c r="X295" s="588"/>
    </row>
    <row r="296" spans="1:24" s="589" customFormat="1" x14ac:dyDescent="0.25">
      <c r="A296" s="604"/>
      <c r="B296" s="662" t="s">
        <v>160</v>
      </c>
      <c r="C296" s="605"/>
      <c r="D296" s="605"/>
      <c r="E296" s="605"/>
      <c r="F296" s="605"/>
      <c r="G296" s="605"/>
      <c r="H296" s="761"/>
      <c r="I296" s="761"/>
      <c r="J296" s="761"/>
      <c r="K296" s="761"/>
      <c r="L296" s="761"/>
      <c r="M296" s="761"/>
      <c r="N296" s="761"/>
      <c r="O296" s="761"/>
      <c r="P296" s="761"/>
      <c r="Q296" s="761"/>
      <c r="R296" s="662">
        <v>0</v>
      </c>
      <c r="S296" s="760">
        <v>0</v>
      </c>
      <c r="T296" s="663">
        <v>0</v>
      </c>
      <c r="U296" s="760">
        <v>0</v>
      </c>
      <c r="V296" s="605"/>
      <c r="W296" s="607"/>
      <c r="X296" s="588"/>
    </row>
    <row r="297" spans="1:24" s="589" customFormat="1" x14ac:dyDescent="0.25">
      <c r="A297" s="604"/>
      <c r="B297" s="662"/>
      <c r="C297" s="605"/>
      <c r="D297" s="605"/>
      <c r="E297" s="605"/>
      <c r="F297" s="605"/>
      <c r="G297" s="605"/>
      <c r="H297" s="761"/>
      <c r="I297" s="761"/>
      <c r="J297" s="761"/>
      <c r="K297" s="761"/>
      <c r="L297" s="761"/>
      <c r="M297" s="761"/>
      <c r="N297" s="761"/>
      <c r="O297" s="761"/>
      <c r="P297" s="761"/>
      <c r="Q297" s="761"/>
      <c r="R297" s="662"/>
      <c r="S297" s="760"/>
      <c r="T297" s="663"/>
      <c r="U297" s="760"/>
      <c r="V297" s="605"/>
      <c r="W297" s="607"/>
      <c r="X297" s="588"/>
    </row>
    <row r="298" spans="1:24" s="589" customFormat="1" x14ac:dyDescent="0.25">
      <c r="A298" s="604"/>
      <c r="B298" s="605" t="s">
        <v>114</v>
      </c>
      <c r="C298" s="605"/>
      <c r="D298" s="605"/>
      <c r="E298" s="605"/>
      <c r="F298" s="605"/>
      <c r="G298" s="605"/>
      <c r="H298" s="761"/>
      <c r="I298" s="761"/>
      <c r="J298" s="761"/>
      <c r="K298" s="761"/>
      <c r="L298" s="761"/>
      <c r="M298" s="761"/>
      <c r="N298" s="761"/>
      <c r="O298" s="761"/>
      <c r="P298" s="761"/>
      <c r="Q298" s="761"/>
      <c r="R298" s="662">
        <f>SUM(R289:R296)</f>
        <v>1</v>
      </c>
      <c r="S298" s="760">
        <f>SUM(S289:S296)</f>
        <v>1</v>
      </c>
      <c r="T298" s="663">
        <f>SUM(T289:T296)</f>
        <v>31</v>
      </c>
      <c r="U298" s="760">
        <f>SUM(U289:U296)</f>
        <v>1</v>
      </c>
      <c r="V298" s="605"/>
      <c r="W298" s="607"/>
      <c r="X298" s="588"/>
    </row>
    <row r="299" spans="1:24" s="589" customFormat="1" x14ac:dyDescent="0.25">
      <c r="A299" s="604"/>
      <c r="B299" s="605"/>
      <c r="C299" s="605"/>
      <c r="D299" s="605"/>
      <c r="E299" s="605"/>
      <c r="F299" s="605"/>
      <c r="G299" s="605"/>
      <c r="H299" s="761"/>
      <c r="I299" s="761"/>
      <c r="J299" s="761"/>
      <c r="K299" s="761"/>
      <c r="L299" s="761"/>
      <c r="M299" s="761"/>
      <c r="N299" s="761"/>
      <c r="O299" s="761"/>
      <c r="P299" s="761"/>
      <c r="Q299" s="761"/>
      <c r="R299" s="662"/>
      <c r="S299" s="760"/>
      <c r="T299" s="663"/>
      <c r="U299" s="760"/>
      <c r="V299" s="605"/>
      <c r="W299" s="607"/>
      <c r="X299" s="588"/>
    </row>
    <row r="300" spans="1:24" s="589" customFormat="1" x14ac:dyDescent="0.25">
      <c r="A300" s="604"/>
      <c r="B300" s="610" t="s">
        <v>164</v>
      </c>
      <c r="C300" s="605"/>
      <c r="D300" s="605"/>
      <c r="E300" s="605"/>
      <c r="F300" s="605"/>
      <c r="G300" s="605"/>
      <c r="H300" s="761"/>
      <c r="I300" s="761"/>
      <c r="J300" s="761"/>
      <c r="K300" s="761"/>
      <c r="L300" s="761"/>
      <c r="M300" s="761"/>
      <c r="N300" s="761"/>
      <c r="O300" s="761"/>
      <c r="P300" s="761"/>
      <c r="Q300" s="761"/>
      <c r="R300" s="767">
        <f>R298+R276+R264</f>
        <v>3870</v>
      </c>
      <c r="S300" s="760"/>
      <c r="T300" s="768">
        <f>+T298+T276+T264</f>
        <v>521681</v>
      </c>
      <c r="U300" s="760"/>
      <c r="V300" s="605"/>
      <c r="W300" s="607"/>
      <c r="X300" s="588"/>
    </row>
    <row r="301" spans="1:24" s="589" customFormat="1" x14ac:dyDescent="0.25">
      <c r="A301" s="585"/>
      <c r="B301" s="758"/>
      <c r="C301" s="602"/>
      <c r="D301" s="602"/>
      <c r="E301" s="602"/>
      <c r="F301" s="602"/>
      <c r="G301" s="602"/>
      <c r="H301" s="766"/>
      <c r="I301" s="766"/>
      <c r="J301" s="766"/>
      <c r="K301" s="766"/>
      <c r="L301" s="766"/>
      <c r="M301" s="766"/>
      <c r="N301" s="766"/>
      <c r="O301" s="766"/>
      <c r="P301" s="766"/>
      <c r="Q301" s="766"/>
      <c r="R301" s="726"/>
      <c r="S301" s="757"/>
      <c r="T301" s="774"/>
      <c r="U301" s="757"/>
      <c r="V301" s="602"/>
      <c r="W301" s="602"/>
      <c r="X301" s="588"/>
    </row>
    <row r="302" spans="1:24" s="589" customFormat="1" x14ac:dyDescent="0.25">
      <c r="A302" s="597" t="s">
        <v>358</v>
      </c>
      <c r="B302" s="775" t="s">
        <v>359</v>
      </c>
      <c r="C302" s="598"/>
      <c r="D302" s="598"/>
      <c r="E302" s="598"/>
      <c r="F302" s="598"/>
      <c r="G302" s="598"/>
      <c r="H302" s="765"/>
      <c r="I302" s="765"/>
      <c r="J302" s="765"/>
      <c r="K302" s="765"/>
      <c r="L302" s="765"/>
      <c r="M302" s="765"/>
      <c r="N302" s="765"/>
      <c r="O302" s="765"/>
      <c r="P302" s="765"/>
      <c r="Q302" s="765"/>
      <c r="R302" s="721" t="s">
        <v>102</v>
      </c>
      <c r="S302" s="670" t="s">
        <v>103</v>
      </c>
      <c r="T302" s="721" t="s">
        <v>109</v>
      </c>
      <c r="U302" s="670" t="s">
        <v>103</v>
      </c>
      <c r="V302" s="775" t="s">
        <v>388</v>
      </c>
      <c r="W302" s="601"/>
      <c r="X302" s="588"/>
    </row>
    <row r="303" spans="1:24" s="589" customFormat="1" x14ac:dyDescent="0.25">
      <c r="A303" s="585"/>
      <c r="B303" s="673" t="s">
        <v>88</v>
      </c>
      <c r="C303" s="602"/>
      <c r="D303" s="602"/>
      <c r="E303" s="602"/>
      <c r="F303" s="602"/>
      <c r="G303" s="602"/>
      <c r="H303" s="766"/>
      <c r="I303" s="766"/>
      <c r="J303" s="766"/>
      <c r="K303" s="766"/>
      <c r="L303" s="766"/>
      <c r="M303" s="766"/>
      <c r="N303" s="766"/>
      <c r="O303" s="766"/>
      <c r="P303" s="766"/>
      <c r="Q303" s="766"/>
      <c r="R303" s="673">
        <v>226</v>
      </c>
      <c r="S303" s="757">
        <f>+R303/R312</f>
        <v>1</v>
      </c>
      <c r="T303" s="674">
        <v>34326</v>
      </c>
      <c r="U303" s="757">
        <f>+T303/T312</f>
        <v>1</v>
      </c>
      <c r="V303" s="602"/>
      <c r="W303" s="602"/>
      <c r="X303" s="588"/>
    </row>
    <row r="304" spans="1:24" s="589" customFormat="1" x14ac:dyDescent="0.25">
      <c r="A304" s="604"/>
      <c r="B304" s="662" t="s">
        <v>89</v>
      </c>
      <c r="C304" s="605"/>
      <c r="D304" s="605"/>
      <c r="E304" s="605"/>
      <c r="F304" s="605"/>
      <c r="G304" s="605"/>
      <c r="H304" s="761"/>
      <c r="I304" s="761"/>
      <c r="J304" s="761"/>
      <c r="K304" s="761"/>
      <c r="L304" s="761"/>
      <c r="M304" s="761"/>
      <c r="N304" s="761"/>
      <c r="O304" s="761"/>
      <c r="P304" s="761"/>
      <c r="Q304" s="761"/>
      <c r="R304" s="662">
        <v>0</v>
      </c>
      <c r="S304" s="760">
        <f>+R304/R312</f>
        <v>0</v>
      </c>
      <c r="T304" s="663">
        <v>0</v>
      </c>
      <c r="U304" s="760">
        <f>+T304/T312</f>
        <v>0</v>
      </c>
      <c r="V304" s="605"/>
      <c r="W304" s="607"/>
      <c r="X304" s="588"/>
    </row>
    <row r="305" spans="1:24" s="589" customFormat="1" x14ac:dyDescent="0.25">
      <c r="A305" s="604"/>
      <c r="B305" s="662" t="s">
        <v>90</v>
      </c>
      <c r="C305" s="605"/>
      <c r="D305" s="605"/>
      <c r="E305" s="605"/>
      <c r="F305" s="605"/>
      <c r="G305" s="605"/>
      <c r="H305" s="761"/>
      <c r="I305" s="761"/>
      <c r="J305" s="761"/>
      <c r="K305" s="761"/>
      <c r="L305" s="761"/>
      <c r="M305" s="761"/>
      <c r="N305" s="761"/>
      <c r="O305" s="761"/>
      <c r="P305" s="761"/>
      <c r="Q305" s="761"/>
      <c r="R305" s="662">
        <v>0</v>
      </c>
      <c r="S305" s="760">
        <f>+R305/R312</f>
        <v>0</v>
      </c>
      <c r="T305" s="663">
        <v>0</v>
      </c>
      <c r="U305" s="760">
        <f>+T305/T312</f>
        <v>0</v>
      </c>
      <c r="V305" s="605"/>
      <c r="W305" s="607"/>
      <c r="X305" s="588"/>
    </row>
    <row r="306" spans="1:24" s="589" customFormat="1" x14ac:dyDescent="0.25">
      <c r="A306" s="604"/>
      <c r="B306" s="662" t="s">
        <v>156</v>
      </c>
      <c r="C306" s="605"/>
      <c r="D306" s="605"/>
      <c r="E306" s="605"/>
      <c r="F306" s="605"/>
      <c r="G306" s="605"/>
      <c r="H306" s="761"/>
      <c r="I306" s="761"/>
      <c r="J306" s="761"/>
      <c r="K306" s="761"/>
      <c r="L306" s="761"/>
      <c r="M306" s="761"/>
      <c r="N306" s="761"/>
      <c r="O306" s="761"/>
      <c r="P306" s="761"/>
      <c r="Q306" s="761"/>
      <c r="R306" s="662">
        <v>0</v>
      </c>
      <c r="S306" s="760">
        <f>+R306/R312</f>
        <v>0</v>
      </c>
      <c r="T306" s="663">
        <v>0</v>
      </c>
      <c r="U306" s="760">
        <f>+T306/T312</f>
        <v>0</v>
      </c>
      <c r="V306" s="605"/>
      <c r="W306" s="607"/>
      <c r="X306" s="588"/>
    </row>
    <row r="307" spans="1:24" s="589" customFormat="1" x14ac:dyDescent="0.25">
      <c r="A307" s="604"/>
      <c r="B307" s="662" t="s">
        <v>157</v>
      </c>
      <c r="C307" s="605"/>
      <c r="D307" s="605"/>
      <c r="E307" s="605"/>
      <c r="F307" s="605"/>
      <c r="G307" s="605"/>
      <c r="H307" s="761"/>
      <c r="I307" s="761"/>
      <c r="J307" s="761"/>
      <c r="K307" s="761"/>
      <c r="L307" s="761"/>
      <c r="M307" s="761"/>
      <c r="N307" s="761"/>
      <c r="O307" s="761"/>
      <c r="P307" s="761"/>
      <c r="Q307" s="761"/>
      <c r="R307" s="662">
        <v>0</v>
      </c>
      <c r="S307" s="760">
        <f>+R307/R312</f>
        <v>0</v>
      </c>
      <c r="T307" s="663">
        <v>0</v>
      </c>
      <c r="U307" s="760">
        <f>+T307/T312</f>
        <v>0</v>
      </c>
      <c r="V307" s="605"/>
      <c r="W307" s="607"/>
      <c r="X307" s="588"/>
    </row>
    <row r="308" spans="1:24" s="589" customFormat="1" x14ac:dyDescent="0.25">
      <c r="A308" s="604"/>
      <c r="B308" s="662" t="s">
        <v>158</v>
      </c>
      <c r="C308" s="605"/>
      <c r="D308" s="605"/>
      <c r="E308" s="605"/>
      <c r="F308" s="605"/>
      <c r="G308" s="605"/>
      <c r="H308" s="761"/>
      <c r="I308" s="761"/>
      <c r="J308" s="761"/>
      <c r="K308" s="761"/>
      <c r="L308" s="761"/>
      <c r="M308" s="761"/>
      <c r="N308" s="761"/>
      <c r="O308" s="761"/>
      <c r="P308" s="761"/>
      <c r="Q308" s="761"/>
      <c r="R308" s="662">
        <v>0</v>
      </c>
      <c r="S308" s="760">
        <f>+R308/R312</f>
        <v>0</v>
      </c>
      <c r="T308" s="663">
        <v>0</v>
      </c>
      <c r="U308" s="760">
        <f>+T308/T312</f>
        <v>0</v>
      </c>
      <c r="V308" s="605"/>
      <c r="W308" s="607"/>
      <c r="X308" s="588"/>
    </row>
    <row r="309" spans="1:24" s="589" customFormat="1" x14ac:dyDescent="0.25">
      <c r="A309" s="604"/>
      <c r="B309" s="662" t="s">
        <v>159</v>
      </c>
      <c r="C309" s="605"/>
      <c r="D309" s="605"/>
      <c r="E309" s="605"/>
      <c r="F309" s="605"/>
      <c r="G309" s="605"/>
      <c r="H309" s="761"/>
      <c r="I309" s="761"/>
      <c r="J309" s="761"/>
      <c r="K309" s="761"/>
      <c r="L309" s="761"/>
      <c r="M309" s="761"/>
      <c r="N309" s="761"/>
      <c r="O309" s="761"/>
      <c r="P309" s="761"/>
      <c r="Q309" s="761"/>
      <c r="R309" s="662">
        <v>0</v>
      </c>
      <c r="S309" s="760">
        <f>+R309/R312</f>
        <v>0</v>
      </c>
      <c r="T309" s="663">
        <v>0</v>
      </c>
      <c r="U309" s="760">
        <f>+T309/T312</f>
        <v>0</v>
      </c>
      <c r="V309" s="605"/>
      <c r="W309" s="607"/>
      <c r="X309" s="588"/>
    </row>
    <row r="310" spans="1:24" s="589" customFormat="1" x14ac:dyDescent="0.25">
      <c r="A310" s="604"/>
      <c r="B310" s="662" t="s">
        <v>160</v>
      </c>
      <c r="C310" s="605"/>
      <c r="D310" s="605"/>
      <c r="E310" s="605"/>
      <c r="F310" s="605"/>
      <c r="G310" s="605"/>
      <c r="H310" s="761"/>
      <c r="I310" s="761"/>
      <c r="J310" s="761"/>
      <c r="K310" s="761"/>
      <c r="L310" s="761"/>
      <c r="M310" s="761"/>
      <c r="N310" s="761"/>
      <c r="O310" s="761"/>
      <c r="P310" s="761"/>
      <c r="Q310" s="761"/>
      <c r="R310" s="662">
        <v>0</v>
      </c>
      <c r="S310" s="760">
        <f>+R310/R312</f>
        <v>0</v>
      </c>
      <c r="T310" s="663">
        <v>0</v>
      </c>
      <c r="U310" s="760">
        <f>+T310/T312</f>
        <v>0</v>
      </c>
      <c r="V310" s="605"/>
      <c r="W310" s="607"/>
      <c r="X310" s="588"/>
    </row>
    <row r="311" spans="1:24" s="589" customFormat="1" x14ac:dyDescent="0.25">
      <c r="A311" s="604"/>
      <c r="B311" s="662"/>
      <c r="C311" s="605"/>
      <c r="D311" s="605"/>
      <c r="E311" s="605"/>
      <c r="F311" s="605"/>
      <c r="G311" s="605"/>
      <c r="H311" s="761"/>
      <c r="I311" s="761"/>
      <c r="J311" s="761"/>
      <c r="K311" s="761"/>
      <c r="L311" s="761"/>
      <c r="M311" s="761"/>
      <c r="N311" s="761"/>
      <c r="O311" s="761"/>
      <c r="P311" s="761"/>
      <c r="Q311" s="761"/>
      <c r="R311" s="662"/>
      <c r="S311" s="760"/>
      <c r="T311" s="663"/>
      <c r="U311" s="760"/>
      <c r="V311" s="605"/>
      <c r="W311" s="607"/>
      <c r="X311" s="588"/>
    </row>
    <row r="312" spans="1:24" s="589" customFormat="1" x14ac:dyDescent="0.25">
      <c r="A312" s="604"/>
      <c r="B312" s="605" t="s">
        <v>114</v>
      </c>
      <c r="C312" s="605"/>
      <c r="D312" s="605"/>
      <c r="E312" s="605"/>
      <c r="F312" s="605"/>
      <c r="G312" s="605"/>
      <c r="H312" s="761"/>
      <c r="I312" s="761"/>
      <c r="J312" s="761"/>
      <c r="K312" s="761"/>
      <c r="L312" s="761"/>
      <c r="M312" s="761"/>
      <c r="N312" s="761"/>
      <c r="O312" s="761"/>
      <c r="P312" s="761"/>
      <c r="Q312" s="761"/>
      <c r="R312" s="662">
        <f>SUM(R303:R310)</f>
        <v>226</v>
      </c>
      <c r="S312" s="760">
        <f>SUM(S303:S310)</f>
        <v>1</v>
      </c>
      <c r="T312" s="663">
        <f>SUM(T303:T310)</f>
        <v>34326</v>
      </c>
      <c r="U312" s="760">
        <f>SUM(U303:U310)</f>
        <v>1</v>
      </c>
      <c r="V312" s="605"/>
      <c r="W312" s="607"/>
      <c r="X312" s="588"/>
    </row>
    <row r="313" spans="1:24" s="589" customFormat="1" ht="16.5" thickBot="1" x14ac:dyDescent="0.3">
      <c r="A313" s="604"/>
      <c r="B313" s="798" t="s">
        <v>379</v>
      </c>
      <c r="C313" s="605"/>
      <c r="D313" s="605"/>
      <c r="E313" s="605"/>
      <c r="F313" s="605"/>
      <c r="G313" s="605"/>
      <c r="H313" s="761"/>
      <c r="I313" s="761"/>
      <c r="J313" s="761"/>
      <c r="K313" s="761"/>
      <c r="L313" s="761"/>
      <c r="M313" s="761"/>
      <c r="N313" s="761"/>
      <c r="O313" s="761"/>
      <c r="P313" s="761"/>
      <c r="Q313" s="761"/>
      <c r="R313" s="796"/>
      <c r="S313" s="796">
        <f>R312/R300</f>
        <v>5.8397932816537469E-2</v>
      </c>
      <c r="T313" s="797"/>
      <c r="U313" s="797">
        <f>T312/T300</f>
        <v>6.5798831086430212E-2</v>
      </c>
      <c r="V313" s="605"/>
      <c r="W313" s="607"/>
      <c r="X313" s="588"/>
    </row>
    <row r="314" spans="1:24" s="589" customFormat="1" ht="16.5" thickTop="1" x14ac:dyDescent="0.25">
      <c r="A314" s="802"/>
      <c r="B314" s="798" t="s">
        <v>382</v>
      </c>
      <c r="C314" s="605"/>
      <c r="D314" s="605"/>
      <c r="E314" s="605"/>
      <c r="F314" s="605"/>
      <c r="G314" s="605"/>
      <c r="H314" s="761"/>
      <c r="I314" s="761"/>
      <c r="J314" s="761"/>
      <c r="K314" s="761"/>
      <c r="L314" s="761"/>
      <c r="M314" s="761"/>
      <c r="N314" s="761"/>
      <c r="O314" s="761"/>
      <c r="P314" s="761"/>
      <c r="Q314" s="761"/>
      <c r="R314" s="803">
        <v>12</v>
      </c>
      <c r="S314" s="804">
        <f>R314/R312</f>
        <v>5.3097345132743362E-2</v>
      </c>
      <c r="T314" s="805">
        <v>1848</v>
      </c>
      <c r="U314" s="804">
        <f>T314/T312</f>
        <v>5.3836741828351686E-2</v>
      </c>
      <c r="V314" s="806">
        <v>0.8287841191066998</v>
      </c>
      <c r="W314" s="607"/>
      <c r="X314" s="588"/>
    </row>
    <row r="315" spans="1:24" s="589" customFormat="1" ht="16.5" thickBot="1" x14ac:dyDescent="0.3">
      <c r="A315" s="802"/>
      <c r="B315" s="798" t="s">
        <v>383</v>
      </c>
      <c r="C315" s="605"/>
      <c r="D315" s="605"/>
      <c r="E315" s="605"/>
      <c r="F315" s="605"/>
      <c r="G315" s="605"/>
      <c r="H315" s="761"/>
      <c r="I315" s="761"/>
      <c r="J315" s="761"/>
      <c r="K315" s="761"/>
      <c r="L315" s="761"/>
      <c r="M315" s="761"/>
      <c r="N315" s="761"/>
      <c r="O315" s="761"/>
      <c r="P315" s="761"/>
      <c r="Q315" s="761"/>
      <c r="R315" s="807">
        <v>214</v>
      </c>
      <c r="S315" s="808">
        <f>R315/R312</f>
        <v>0.94690265486725667</v>
      </c>
      <c r="T315" s="809">
        <v>32478</v>
      </c>
      <c r="U315" s="810">
        <f>T315/T312</f>
        <v>0.94616325817164826</v>
      </c>
      <c r="V315" s="811">
        <v>0.71495327102803741</v>
      </c>
      <c r="W315" s="607"/>
      <c r="X315" s="588"/>
    </row>
    <row r="316" spans="1:24" s="589" customFormat="1" ht="16.5" thickTop="1" x14ac:dyDescent="0.25">
      <c r="A316" s="585"/>
      <c r="B316" s="799"/>
      <c r="C316" s="602"/>
      <c r="D316" s="602"/>
      <c r="E316" s="602"/>
      <c r="F316" s="602"/>
      <c r="G316" s="602"/>
      <c r="H316" s="766"/>
      <c r="I316" s="766"/>
      <c r="J316" s="766"/>
      <c r="K316" s="766"/>
      <c r="L316" s="766"/>
      <c r="M316" s="766"/>
      <c r="N316" s="766"/>
      <c r="O316" s="766"/>
      <c r="P316" s="766"/>
      <c r="Q316" s="766"/>
      <c r="R316" s="800"/>
      <c r="S316" s="800"/>
      <c r="T316" s="801"/>
      <c r="U316" s="757"/>
      <c r="V316" s="602"/>
      <c r="W316" s="602"/>
      <c r="X316" s="588"/>
    </row>
    <row r="317" spans="1:24" s="589" customFormat="1" x14ac:dyDescent="0.25">
      <c r="A317" s="585"/>
      <c r="B317" s="584" t="s">
        <v>91</v>
      </c>
      <c r="C317" s="586"/>
      <c r="D317" s="586"/>
      <c r="E317" s="586"/>
      <c r="F317" s="592" t="s">
        <v>97</v>
      </c>
      <c r="G317" s="586"/>
      <c r="H317" s="584" t="s">
        <v>99</v>
      </c>
      <c r="I317" s="584"/>
      <c r="J317" s="584"/>
      <c r="K317" s="586"/>
      <c r="L317" s="586"/>
      <c r="M317" s="586"/>
      <c r="N317" s="586"/>
      <c r="O317" s="586"/>
      <c r="P317" s="586"/>
      <c r="Q317" s="586"/>
      <c r="R317" s="586"/>
      <c r="S317" s="586"/>
      <c r="T317" s="586"/>
      <c r="U317" s="586"/>
      <c r="V317" s="586"/>
      <c r="W317" s="586"/>
      <c r="X317" s="588"/>
    </row>
    <row r="318" spans="1:24" s="589" customFormat="1" x14ac:dyDescent="0.25">
      <c r="A318" s="585"/>
      <c r="B318" s="586"/>
      <c r="C318" s="586"/>
      <c r="D318" s="586"/>
      <c r="E318" s="586"/>
      <c r="F318" s="586"/>
      <c r="G318" s="586"/>
      <c r="H318" s="586"/>
      <c r="I318" s="586"/>
      <c r="J318" s="586"/>
      <c r="K318" s="586"/>
      <c r="L318" s="586"/>
      <c r="M318" s="586"/>
      <c r="N318" s="586"/>
      <c r="O318" s="586"/>
      <c r="P318" s="586"/>
      <c r="Q318" s="586"/>
      <c r="R318" s="586"/>
      <c r="S318" s="586"/>
      <c r="T318" s="586"/>
      <c r="U318" s="586"/>
      <c r="V318" s="586"/>
      <c r="W318" s="586"/>
      <c r="X318" s="588"/>
    </row>
    <row r="319" spans="1:24" s="589" customFormat="1" x14ac:dyDescent="0.25">
      <c r="A319" s="585"/>
      <c r="B319" s="584" t="s">
        <v>319</v>
      </c>
      <c r="C319" s="584"/>
      <c r="D319" s="584"/>
      <c r="E319" s="584"/>
      <c r="F319" s="771" t="s">
        <v>266</v>
      </c>
      <c r="G319" s="584"/>
      <c r="H319" s="584" t="s">
        <v>267</v>
      </c>
      <c r="I319" s="584"/>
      <c r="J319" s="584"/>
      <c r="K319" s="586"/>
      <c r="L319" s="586"/>
      <c r="M319" s="586"/>
      <c r="N319" s="586"/>
      <c r="O319" s="586"/>
      <c r="P319" s="586"/>
      <c r="Q319" s="586"/>
      <c r="R319" s="586"/>
      <c r="S319" s="586"/>
      <c r="T319" s="586"/>
      <c r="U319" s="586"/>
      <c r="V319" s="586"/>
      <c r="W319" s="586"/>
      <c r="X319" s="588"/>
    </row>
    <row r="320" spans="1:24" s="589" customFormat="1" x14ac:dyDescent="0.25">
      <c r="A320" s="585"/>
      <c r="B320" s="584" t="s">
        <v>320</v>
      </c>
      <c r="C320" s="584"/>
      <c r="D320" s="584"/>
      <c r="E320" s="584"/>
      <c r="F320" s="771" t="s">
        <v>147</v>
      </c>
      <c r="G320" s="584"/>
      <c r="H320" s="584" t="s">
        <v>153</v>
      </c>
      <c r="I320" s="584"/>
      <c r="J320" s="584"/>
      <c r="K320" s="586"/>
      <c r="L320" s="586"/>
      <c r="M320" s="586"/>
      <c r="N320" s="586"/>
      <c r="O320" s="586"/>
      <c r="P320" s="586"/>
      <c r="Q320" s="586"/>
      <c r="R320" s="586"/>
      <c r="S320" s="586"/>
      <c r="T320" s="586"/>
      <c r="U320" s="586"/>
      <c r="V320" s="586"/>
      <c r="W320" s="586"/>
      <c r="X320" s="588"/>
    </row>
    <row r="321" spans="1:24" s="589" customFormat="1" x14ac:dyDescent="0.25">
      <c r="A321" s="585"/>
      <c r="B321" s="584"/>
      <c r="C321" s="584"/>
      <c r="D321" s="584"/>
      <c r="E321" s="584"/>
      <c r="F321" s="771"/>
      <c r="G321" s="584"/>
      <c r="H321" s="584"/>
      <c r="I321" s="584"/>
      <c r="J321" s="584"/>
      <c r="K321" s="586"/>
      <c r="L321" s="586"/>
      <c r="M321" s="586"/>
      <c r="N321" s="586"/>
      <c r="O321" s="586"/>
      <c r="P321" s="586"/>
      <c r="Q321" s="586"/>
      <c r="R321" s="586"/>
      <c r="S321" s="586"/>
      <c r="T321" s="586"/>
      <c r="U321" s="586"/>
      <c r="V321" s="586"/>
      <c r="W321" s="586"/>
      <c r="X321" s="588"/>
    </row>
    <row r="322" spans="1:24" s="589" customFormat="1" x14ac:dyDescent="0.25">
      <c r="A322" s="585"/>
      <c r="B322" s="776" t="s">
        <v>378</v>
      </c>
      <c r="C322" s="584"/>
      <c r="D322" s="584"/>
      <c r="E322" s="584"/>
      <c r="F322" s="771"/>
      <c r="G322" s="584"/>
      <c r="H322" s="584"/>
      <c r="I322" s="584"/>
      <c r="J322" s="584"/>
      <c r="K322" s="586"/>
      <c r="L322" s="586"/>
      <c r="M322" s="586"/>
      <c r="N322" s="586"/>
      <c r="O322" s="586"/>
      <c r="P322" s="586"/>
      <c r="Q322" s="586"/>
      <c r="R322" s="586"/>
      <c r="S322" s="586"/>
      <c r="T322" s="586"/>
      <c r="U322" s="586"/>
      <c r="V322" s="586"/>
      <c r="W322" s="586"/>
      <c r="X322" s="588"/>
    </row>
    <row r="323" spans="1:24" s="589" customFormat="1" x14ac:dyDescent="0.25">
      <c r="A323" s="585"/>
      <c r="B323" s="584"/>
      <c r="C323" s="584"/>
      <c r="D323" s="584"/>
      <c r="E323" s="584"/>
      <c r="F323" s="771"/>
      <c r="G323" s="584"/>
      <c r="H323" s="584"/>
      <c r="I323" s="584"/>
      <c r="J323" s="584"/>
      <c r="K323" s="586"/>
      <c r="L323" s="586"/>
      <c r="M323" s="586"/>
      <c r="N323" s="586"/>
      <c r="O323" s="586"/>
      <c r="P323" s="586"/>
      <c r="Q323" s="586"/>
      <c r="R323" s="586"/>
      <c r="S323" s="586"/>
      <c r="T323" s="586"/>
      <c r="U323" s="586"/>
      <c r="V323" s="586"/>
      <c r="W323" s="586"/>
      <c r="X323" s="588"/>
    </row>
    <row r="324" spans="1:24" s="589" customFormat="1" ht="18.75" x14ac:dyDescent="0.3">
      <c r="A324" s="585"/>
      <c r="B324" s="777" t="s">
        <v>360</v>
      </c>
      <c r="C324" s="584"/>
      <c r="D324" s="584"/>
      <c r="E324" s="584"/>
      <c r="F324" s="771"/>
      <c r="G324" s="584"/>
      <c r="H324" s="584"/>
      <c r="I324" s="584"/>
      <c r="J324" s="584"/>
      <c r="K324" s="586"/>
      <c r="L324" s="586"/>
      <c r="M324" s="586"/>
      <c r="N324" s="602"/>
      <c r="O324" s="602"/>
      <c r="P324" s="778" t="s">
        <v>341</v>
      </c>
      <c r="Q324" s="586"/>
      <c r="R324" s="586"/>
      <c r="S324" s="586"/>
      <c r="T324" s="586"/>
      <c r="U324" s="586"/>
      <c r="V324" s="586"/>
      <c r="W324" s="586"/>
      <c r="X324" s="588"/>
    </row>
    <row r="325" spans="1:24" s="589" customFormat="1" x14ac:dyDescent="0.25">
      <c r="A325" s="585"/>
      <c r="B325" s="584"/>
      <c r="C325" s="584"/>
      <c r="D325" s="584"/>
      <c r="E325" s="584"/>
      <c r="F325" s="584"/>
      <c r="G325" s="584"/>
      <c r="H325" s="586"/>
      <c r="I325" s="586"/>
      <c r="J325" s="586"/>
      <c r="K325" s="586"/>
      <c r="L325" s="586"/>
      <c r="M325" s="586"/>
      <c r="N325" s="586"/>
      <c r="O325" s="586"/>
      <c r="P325" s="586"/>
      <c r="Q325" s="586"/>
      <c r="R325" s="586"/>
      <c r="S325" s="586"/>
      <c r="T325" s="586"/>
      <c r="U325" s="586"/>
      <c r="V325" s="586"/>
      <c r="W325" s="586"/>
      <c r="X325" s="588"/>
    </row>
    <row r="326" spans="1:24" s="589" customFormat="1" x14ac:dyDescent="0.25">
      <c r="A326" s="585"/>
      <c r="B326" s="584"/>
      <c r="C326" s="584"/>
      <c r="D326" s="584"/>
      <c r="E326" s="584"/>
      <c r="F326" s="584"/>
      <c r="G326" s="584"/>
      <c r="H326" s="586"/>
      <c r="I326" s="586"/>
      <c r="J326" s="586"/>
      <c r="K326" s="586"/>
      <c r="L326" s="586"/>
      <c r="M326" s="586"/>
      <c r="N326" s="586"/>
      <c r="O326" s="586"/>
      <c r="P326" s="586"/>
      <c r="Q326" s="586"/>
      <c r="R326" s="586"/>
      <c r="S326" s="586"/>
      <c r="T326" s="586"/>
      <c r="U326" s="586"/>
      <c r="V326" s="586"/>
      <c r="W326" s="586"/>
      <c r="X326" s="588"/>
    </row>
    <row r="327" spans="1:24" s="589" customFormat="1" ht="19.5" thickBot="1" x14ac:dyDescent="0.35">
      <c r="A327" s="585"/>
      <c r="B327" s="772" t="str">
        <f>B204</f>
        <v>PM15 INVESTOR REPORT QUARTER ENDING AUGUST 2020</v>
      </c>
      <c r="C327" s="584"/>
      <c r="D327" s="584"/>
      <c r="E327" s="584"/>
      <c r="F327" s="584"/>
      <c r="G327" s="584"/>
      <c r="H327" s="586"/>
      <c r="I327" s="586"/>
      <c r="J327" s="586"/>
      <c r="K327" s="586"/>
      <c r="L327" s="586"/>
      <c r="M327" s="586"/>
      <c r="N327" s="586"/>
      <c r="O327" s="586"/>
      <c r="P327" s="586"/>
      <c r="Q327" s="586"/>
      <c r="R327" s="586"/>
      <c r="S327" s="586"/>
      <c r="T327" s="586"/>
      <c r="U327" s="586"/>
      <c r="V327" s="586"/>
      <c r="W327" s="586"/>
      <c r="X327" s="588"/>
    </row>
    <row r="328" spans="1:24" x14ac:dyDescent="0.25">
      <c r="A328" s="773"/>
      <c r="B328" s="773"/>
      <c r="C328" s="773"/>
      <c r="D328" s="773"/>
      <c r="E328" s="773"/>
      <c r="F328" s="773"/>
      <c r="G328" s="773"/>
      <c r="H328" s="773"/>
      <c r="I328" s="773"/>
      <c r="J328" s="773"/>
      <c r="K328" s="773"/>
      <c r="L328" s="773"/>
      <c r="M328" s="773"/>
      <c r="N328" s="773"/>
      <c r="O328" s="773"/>
      <c r="P328" s="773"/>
      <c r="Q328" s="773"/>
      <c r="R328" s="773"/>
      <c r="S328" s="773"/>
      <c r="T328" s="773"/>
      <c r="U328" s="773"/>
      <c r="V328" s="773"/>
      <c r="W328" s="773"/>
    </row>
    <row r="329" spans="1:24" x14ac:dyDescent="0.25">
      <c r="B329" s="779" t="s">
        <v>361</v>
      </c>
    </row>
    <row r="330" spans="1:24" x14ac:dyDescent="0.25">
      <c r="B330" s="780" t="s">
        <v>362</v>
      </c>
    </row>
    <row r="331" spans="1:24" x14ac:dyDescent="0.25">
      <c r="B331" s="780" t="s">
        <v>363</v>
      </c>
    </row>
    <row r="332" spans="1:24" x14ac:dyDescent="0.25">
      <c r="B332" s="780" t="s">
        <v>364</v>
      </c>
    </row>
    <row r="333" spans="1:24" x14ac:dyDescent="0.25">
      <c r="B333" s="780" t="s">
        <v>365</v>
      </c>
    </row>
    <row r="334" spans="1:24" x14ac:dyDescent="0.25">
      <c r="B334" s="780" t="s">
        <v>366</v>
      </c>
    </row>
    <row r="335" spans="1:24" x14ac:dyDescent="0.25">
      <c r="B335" s="780" t="s">
        <v>367</v>
      </c>
    </row>
    <row r="336" spans="1:24" x14ac:dyDescent="0.25">
      <c r="B336" s="780" t="s">
        <v>368</v>
      </c>
    </row>
    <row r="337" spans="2:2" x14ac:dyDescent="0.25">
      <c r="B337" s="780"/>
    </row>
    <row r="338" spans="2:2" x14ac:dyDescent="0.25">
      <c r="B338" s="779" t="s">
        <v>384</v>
      </c>
    </row>
    <row r="339" spans="2:2" x14ac:dyDescent="0.25">
      <c r="B339" s="780" t="s">
        <v>385</v>
      </c>
    </row>
    <row r="340" spans="2:2" x14ac:dyDescent="0.25">
      <c r="B340" s="780" t="s">
        <v>386</v>
      </c>
    </row>
    <row r="341" spans="2:2" x14ac:dyDescent="0.25">
      <c r="B341" s="780" t="s">
        <v>387</v>
      </c>
    </row>
    <row r="342" spans="2:2" x14ac:dyDescent="0.25">
      <c r="B342" s="780"/>
    </row>
    <row r="343" spans="2:2" x14ac:dyDescent="0.25">
      <c r="B343" s="779" t="s">
        <v>369</v>
      </c>
    </row>
    <row r="344" spans="2:2" x14ac:dyDescent="0.25">
      <c r="B344" s="780" t="s">
        <v>370</v>
      </c>
    </row>
    <row r="345" spans="2:2" x14ac:dyDescent="0.25">
      <c r="B345" s="780" t="s">
        <v>371</v>
      </c>
    </row>
  </sheetData>
  <hyperlinks>
    <hyperlink ref="I9" r:id="rId1" xr:uid="{49BDD245-C0DF-4705-8138-05BA3BDDFFA2}"/>
    <hyperlink ref="P240" r:id="rId2" xr:uid="{94084A6F-8AAF-4D51-96D7-88A2F88A9DD5}"/>
    <hyperlink ref="P324" r:id="rId3" xr:uid="{3E67FB5F-A7B7-4BDB-92F2-3E9F8EEF400D}"/>
  </hyperlinks>
  <printOptions horizontalCentered="1" verticalCentered="1"/>
  <pageMargins left="0.19685039370078741" right="0.19685039370078741" top="0.27559055118110237" bottom="0.27559055118110237" header="0" footer="0"/>
  <pageSetup scale="37" orientation="landscape" r:id="rId4"/>
  <headerFooter alignWithMargins="0"/>
  <rowBreaks count="3" manualBreakCount="3">
    <brk id="64" max="23" man="1"/>
    <brk id="138" max="14" man="1"/>
    <brk id="204" max="14" man="1"/>
  </rowBreaks>
  <drawing r:id="rId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EC51A-4865-478A-8514-ABF3599734FF}">
  <sheetPr>
    <tabColor rgb="FF89CB31"/>
  </sheetPr>
  <dimension ref="A1:IV345"/>
  <sheetViews>
    <sheetView showGridLines="0" tabSelected="1" showOutlineSymbols="0" zoomScale="70" zoomScaleNormal="70" workbookViewId="0"/>
  </sheetViews>
  <sheetFormatPr defaultColWidth="9.6640625" defaultRowHeight="15.75" x14ac:dyDescent="0.25"/>
  <cols>
    <col min="1" max="1" width="4" style="573" customWidth="1"/>
    <col min="2" max="2" width="71.21875" style="573" customWidth="1"/>
    <col min="3" max="3" width="2.21875" style="573" customWidth="1"/>
    <col min="4" max="4" width="19.33203125" style="573" customWidth="1"/>
    <col min="5" max="5" width="2.21875" style="573" customWidth="1"/>
    <col min="6" max="6" width="25.109375" style="573" customWidth="1"/>
    <col min="7" max="7" width="2.21875" style="573" customWidth="1"/>
    <col min="8" max="8" width="16.21875" style="573" customWidth="1"/>
    <col min="9" max="9" width="2.88671875" style="573" customWidth="1"/>
    <col min="10" max="10" width="16.21875" style="573" customWidth="1"/>
    <col min="11" max="11" width="2.21875" style="573" customWidth="1"/>
    <col min="12" max="12" width="17.88671875" style="573" customWidth="1"/>
    <col min="13" max="13" width="2.33203125" style="573" customWidth="1"/>
    <col min="14" max="14" width="14.88671875" style="573" customWidth="1"/>
    <col min="15" max="15" width="2.33203125" style="573" customWidth="1"/>
    <col min="16" max="16" width="15.5546875" style="573" customWidth="1"/>
    <col min="17" max="17" width="2.21875" style="573" customWidth="1"/>
    <col min="18" max="18" width="15.5546875" style="573" customWidth="1"/>
    <col min="19" max="20" width="12.6640625" style="573" customWidth="1"/>
    <col min="21" max="21" width="7.77734375" style="573" customWidth="1"/>
    <col min="22" max="22" width="14.6640625" style="573" customWidth="1"/>
    <col min="23" max="23" width="11.77734375" style="573" customWidth="1"/>
    <col min="24" max="16384" width="9.6640625" style="573"/>
  </cols>
  <sheetData>
    <row r="1" spans="1:24" ht="21" x14ac:dyDescent="0.35">
      <c r="A1" s="569"/>
      <c r="B1" s="570" t="s">
        <v>237</v>
      </c>
      <c r="C1" s="571"/>
      <c r="D1" s="571"/>
      <c r="E1" s="571"/>
      <c r="F1" s="571"/>
      <c r="G1" s="571"/>
      <c r="H1" s="571"/>
      <c r="I1" s="571"/>
      <c r="J1" s="571"/>
      <c r="K1" s="571"/>
      <c r="L1" s="571"/>
      <c r="M1" s="571"/>
      <c r="N1" s="571"/>
      <c r="O1" s="571"/>
      <c r="P1" s="571"/>
      <c r="Q1" s="571"/>
      <c r="R1" s="571"/>
      <c r="S1" s="571"/>
      <c r="T1" s="571"/>
      <c r="U1" s="571"/>
      <c r="V1" s="571"/>
      <c r="W1" s="571"/>
      <c r="X1" s="572"/>
    </row>
    <row r="2" spans="1:24" x14ac:dyDescent="0.25">
      <c r="A2" s="574"/>
      <c r="B2" s="575"/>
      <c r="C2" s="576"/>
      <c r="D2" s="576"/>
      <c r="E2" s="576"/>
      <c r="F2" s="576"/>
      <c r="G2" s="576"/>
      <c r="H2" s="576"/>
      <c r="I2" s="576"/>
      <c r="J2" s="576"/>
      <c r="K2" s="576"/>
      <c r="L2" s="576"/>
      <c r="M2" s="576"/>
      <c r="N2" s="576"/>
      <c r="O2" s="576"/>
      <c r="P2" s="576"/>
      <c r="Q2" s="576"/>
      <c r="R2" s="576"/>
      <c r="S2" s="576"/>
      <c r="T2" s="576"/>
      <c r="U2" s="576"/>
      <c r="V2" s="576"/>
      <c r="W2" s="576"/>
      <c r="X2" s="572"/>
    </row>
    <row r="3" spans="1:24" x14ac:dyDescent="0.25">
      <c r="A3" s="577"/>
      <c r="B3" s="578" t="s">
        <v>238</v>
      </c>
      <c r="C3" s="576"/>
      <c r="D3" s="576"/>
      <c r="E3" s="576"/>
      <c r="F3" s="576"/>
      <c r="G3" s="576"/>
      <c r="H3" s="576"/>
      <c r="I3" s="576"/>
      <c r="J3" s="576"/>
      <c r="K3" s="576"/>
      <c r="L3" s="576"/>
      <c r="M3" s="576"/>
      <c r="N3" s="576"/>
      <c r="O3" s="576"/>
      <c r="P3" s="576"/>
      <c r="Q3" s="576"/>
      <c r="R3" s="576"/>
      <c r="S3" s="576"/>
      <c r="T3" s="576"/>
      <c r="U3" s="576"/>
      <c r="V3" s="576"/>
      <c r="W3" s="576"/>
      <c r="X3" s="572"/>
    </row>
    <row r="4" spans="1:24" x14ac:dyDescent="0.25">
      <c r="A4" s="574"/>
      <c r="B4" s="575"/>
      <c r="C4" s="576"/>
      <c r="D4" s="576"/>
      <c r="E4" s="576"/>
      <c r="F4" s="576"/>
      <c r="G4" s="576"/>
      <c r="H4" s="576"/>
      <c r="I4" s="576"/>
      <c r="J4" s="576"/>
      <c r="K4" s="576"/>
      <c r="L4" s="576"/>
      <c r="M4" s="576"/>
      <c r="N4" s="576"/>
      <c r="O4" s="576"/>
      <c r="P4" s="576"/>
      <c r="Q4" s="576"/>
      <c r="R4" s="576"/>
      <c r="S4" s="576"/>
      <c r="T4" s="576"/>
      <c r="U4" s="576"/>
      <c r="V4" s="576"/>
      <c r="W4" s="576"/>
      <c r="X4" s="572"/>
    </row>
    <row r="5" spans="1:24" x14ac:dyDescent="0.25">
      <c r="A5" s="574"/>
      <c r="B5" s="579" t="s">
        <v>137</v>
      </c>
      <c r="C5" s="576"/>
      <c r="D5" s="576"/>
      <c r="E5" s="576"/>
      <c r="F5" s="576"/>
      <c r="G5" s="576"/>
      <c r="H5" s="576"/>
      <c r="I5" s="576"/>
      <c r="J5" s="576"/>
      <c r="K5" s="576"/>
      <c r="L5" s="576"/>
      <c r="M5" s="576"/>
      <c r="N5" s="576"/>
      <c r="O5" s="576"/>
      <c r="P5" s="576"/>
      <c r="Q5" s="576"/>
      <c r="R5" s="576"/>
      <c r="S5" s="576"/>
      <c r="T5" s="576"/>
      <c r="U5" s="576"/>
      <c r="V5" s="576"/>
      <c r="W5" s="576"/>
      <c r="X5" s="572"/>
    </row>
    <row r="6" spans="1:24" x14ac:dyDescent="0.25">
      <c r="A6" s="574"/>
      <c r="B6" s="579" t="s">
        <v>139</v>
      </c>
      <c r="C6" s="576"/>
      <c r="D6" s="576"/>
      <c r="E6" s="576"/>
      <c r="F6" s="576"/>
      <c r="G6" s="576"/>
      <c r="H6" s="576"/>
      <c r="I6" s="576"/>
      <c r="J6" s="576"/>
      <c r="K6" s="576"/>
      <c r="L6" s="576"/>
      <c r="M6" s="576"/>
      <c r="N6" s="576"/>
      <c r="O6" s="576"/>
      <c r="P6" s="576"/>
      <c r="Q6" s="576"/>
      <c r="R6" s="576"/>
      <c r="S6" s="576"/>
      <c r="T6" s="576"/>
      <c r="U6" s="576"/>
      <c r="V6" s="576"/>
      <c r="W6" s="576"/>
      <c r="X6" s="572"/>
    </row>
    <row r="7" spans="1:24" x14ac:dyDescent="0.25">
      <c r="A7" s="574"/>
      <c r="B7" s="579" t="s">
        <v>138</v>
      </c>
      <c r="C7" s="576"/>
      <c r="D7" s="576"/>
      <c r="E7" s="576"/>
      <c r="F7" s="576"/>
      <c r="G7" s="576"/>
      <c r="H7" s="576"/>
      <c r="I7" s="576"/>
      <c r="J7" s="576"/>
      <c r="K7" s="576"/>
      <c r="L7" s="576"/>
      <c r="M7" s="576"/>
      <c r="N7" s="576"/>
      <c r="O7" s="576"/>
      <c r="P7" s="576"/>
      <c r="Q7" s="576"/>
      <c r="R7" s="576"/>
      <c r="S7" s="576"/>
      <c r="T7" s="576"/>
      <c r="U7" s="576"/>
      <c r="V7" s="576"/>
      <c r="W7" s="576"/>
      <c r="X7" s="572"/>
    </row>
    <row r="8" spans="1:24" x14ac:dyDescent="0.25">
      <c r="A8" s="574"/>
      <c r="B8" s="580"/>
      <c r="C8" s="576"/>
      <c r="D8" s="576"/>
      <c r="E8" s="576"/>
      <c r="F8" s="576"/>
      <c r="G8" s="576"/>
      <c r="H8" s="576"/>
      <c r="I8" s="576"/>
      <c r="J8" s="576"/>
      <c r="K8" s="576"/>
      <c r="L8" s="576"/>
      <c r="M8" s="576"/>
      <c r="N8" s="576"/>
      <c r="O8" s="576"/>
      <c r="P8" s="576"/>
      <c r="Q8" s="576"/>
      <c r="R8" s="576"/>
      <c r="S8" s="576"/>
      <c r="T8" s="576"/>
      <c r="U8" s="576"/>
      <c r="V8" s="576"/>
      <c r="W8" s="576"/>
      <c r="X8" s="572"/>
    </row>
    <row r="9" spans="1:24" ht="18.75" x14ac:dyDescent="0.3">
      <c r="A9" s="574"/>
      <c r="B9" s="581" t="s">
        <v>166</v>
      </c>
      <c r="C9" s="576"/>
      <c r="D9" s="576"/>
      <c r="E9" s="576"/>
      <c r="F9" s="576"/>
      <c r="G9" s="576"/>
      <c r="H9" s="576"/>
      <c r="I9" s="513" t="s">
        <v>341</v>
      </c>
      <c r="J9" s="576"/>
      <c r="K9" s="576"/>
      <c r="L9" s="582"/>
      <c r="M9" s="576"/>
      <c r="N9" s="582"/>
      <c r="O9" s="576"/>
      <c r="P9" s="576"/>
      <c r="Q9" s="576"/>
      <c r="R9" s="576"/>
      <c r="S9" s="576"/>
      <c r="T9" s="576"/>
      <c r="U9" s="576"/>
      <c r="V9" s="576"/>
      <c r="W9" s="576"/>
      <c r="X9" s="572"/>
    </row>
    <row r="10" spans="1:24" x14ac:dyDescent="0.25">
      <c r="A10" s="574"/>
      <c r="B10" s="580"/>
      <c r="C10" s="583"/>
      <c r="D10" s="583"/>
      <c r="E10" s="583"/>
      <c r="F10" s="576"/>
      <c r="G10" s="576"/>
      <c r="H10" s="576"/>
      <c r="I10" s="576"/>
      <c r="J10" s="576"/>
      <c r="K10" s="576"/>
      <c r="L10" s="576"/>
      <c r="M10" s="576"/>
      <c r="N10" s="576"/>
      <c r="O10" s="576"/>
      <c r="P10" s="576"/>
      <c r="Q10" s="576"/>
      <c r="R10" s="576"/>
      <c r="S10" s="576"/>
      <c r="T10" s="576"/>
      <c r="U10" s="576"/>
      <c r="V10" s="576"/>
      <c r="W10" s="576"/>
      <c r="X10" s="572"/>
    </row>
    <row r="11" spans="1:24" x14ac:dyDescent="0.25">
      <c r="A11" s="574"/>
      <c r="B11" s="584" t="s">
        <v>0</v>
      </c>
      <c r="C11" s="576"/>
      <c r="D11" s="576"/>
      <c r="E11" s="576"/>
      <c r="F11" s="576"/>
      <c r="G11" s="576"/>
      <c r="H11" s="576"/>
      <c r="I11" s="576"/>
      <c r="J11" s="576"/>
      <c r="K11" s="576"/>
      <c r="L11" s="576"/>
      <c r="M11" s="576"/>
      <c r="N11" s="576"/>
      <c r="O11" s="576"/>
      <c r="P11" s="576"/>
      <c r="Q11" s="576"/>
      <c r="R11" s="576"/>
      <c r="S11" s="576"/>
      <c r="T11" s="576"/>
      <c r="U11" s="576"/>
      <c r="V11" s="576"/>
      <c r="W11" s="576"/>
      <c r="X11" s="572"/>
    </row>
    <row r="12" spans="1:24" ht="16.5" thickBot="1" x14ac:dyDescent="0.3">
      <c r="A12" s="574"/>
      <c r="B12" s="583"/>
      <c r="C12" s="576"/>
      <c r="D12" s="576"/>
      <c r="E12" s="576"/>
      <c r="F12" s="576"/>
      <c r="G12" s="576"/>
      <c r="H12" s="576"/>
      <c r="I12" s="576"/>
      <c r="J12" s="576"/>
      <c r="K12" s="576"/>
      <c r="L12" s="576"/>
      <c r="M12" s="576"/>
      <c r="N12" s="576"/>
      <c r="O12" s="576"/>
      <c r="P12" s="576"/>
      <c r="Q12" s="576"/>
      <c r="R12" s="576"/>
      <c r="S12" s="576"/>
      <c r="T12" s="576"/>
      <c r="U12" s="576"/>
      <c r="V12" s="576"/>
      <c r="W12" s="576"/>
      <c r="X12" s="572"/>
    </row>
    <row r="13" spans="1:24" x14ac:dyDescent="0.25">
      <c r="A13" s="569"/>
      <c r="B13" s="571"/>
      <c r="C13" s="571"/>
      <c r="D13" s="571"/>
      <c r="E13" s="571"/>
      <c r="F13" s="571"/>
      <c r="G13" s="571"/>
      <c r="H13" s="571"/>
      <c r="I13" s="571"/>
      <c r="J13" s="571"/>
      <c r="K13" s="571"/>
      <c r="L13" s="571"/>
      <c r="M13" s="571"/>
      <c r="N13" s="571"/>
      <c r="O13" s="571"/>
      <c r="P13" s="571"/>
      <c r="Q13" s="571"/>
      <c r="R13" s="571"/>
      <c r="S13" s="571"/>
      <c r="T13" s="571"/>
      <c r="U13" s="571"/>
      <c r="V13" s="571"/>
      <c r="W13" s="571"/>
      <c r="X13" s="572"/>
    </row>
    <row r="14" spans="1:24" s="589" customFormat="1" x14ac:dyDescent="0.25">
      <c r="A14" s="585"/>
      <c r="B14" s="584" t="s">
        <v>1</v>
      </c>
      <c r="C14" s="586"/>
      <c r="D14" s="586"/>
      <c r="E14" s="586"/>
      <c r="F14" s="586"/>
      <c r="G14" s="586"/>
      <c r="H14" s="586"/>
      <c r="I14" s="586"/>
      <c r="J14" s="586"/>
      <c r="K14" s="586"/>
      <c r="L14" s="586"/>
      <c r="M14" s="586"/>
      <c r="N14" s="586"/>
      <c r="O14" s="586"/>
      <c r="P14" s="586"/>
      <c r="Q14" s="586"/>
      <c r="R14" s="586"/>
      <c r="S14" s="586"/>
      <c r="T14" s="586"/>
      <c r="U14" s="586"/>
      <c r="V14" s="587" t="s">
        <v>239</v>
      </c>
      <c r="W14" s="586"/>
      <c r="X14" s="588"/>
    </row>
    <row r="15" spans="1:24" s="589" customFormat="1" x14ac:dyDescent="0.25">
      <c r="A15" s="585"/>
      <c r="B15" s="584" t="s">
        <v>2</v>
      </c>
      <c r="C15" s="586"/>
      <c r="D15" s="586"/>
      <c r="E15" s="586"/>
      <c r="F15" s="586"/>
      <c r="G15" s="586"/>
      <c r="H15" s="590"/>
      <c r="I15" s="590"/>
      <c r="J15" s="590"/>
      <c r="K15" s="590"/>
      <c r="L15" s="590"/>
      <c r="M15" s="590"/>
      <c r="N15" s="590"/>
      <c r="O15" s="590"/>
      <c r="P15" s="590"/>
      <c r="Q15" s="590"/>
      <c r="R15" s="590" t="s">
        <v>104</v>
      </c>
      <c r="S15" s="591">
        <v>0.47189999999999999</v>
      </c>
      <c r="T15" s="592" t="s">
        <v>140</v>
      </c>
      <c r="U15" s="591">
        <v>0.52810000000000001</v>
      </c>
      <c r="V15" s="587"/>
      <c r="W15" s="586"/>
      <c r="X15" s="588"/>
    </row>
    <row r="16" spans="1:24" s="589" customFormat="1" x14ac:dyDescent="0.25">
      <c r="A16" s="585"/>
      <c r="B16" s="584" t="s">
        <v>3</v>
      </c>
      <c r="C16" s="586"/>
      <c r="D16" s="586"/>
      <c r="E16" s="586"/>
      <c r="F16" s="586"/>
      <c r="G16" s="586"/>
      <c r="H16" s="590"/>
      <c r="I16" s="590"/>
      <c r="J16" s="590"/>
      <c r="K16" s="590"/>
      <c r="L16" s="590"/>
      <c r="M16" s="590"/>
      <c r="N16" s="590"/>
      <c r="O16" s="590"/>
      <c r="P16" s="590"/>
      <c r="Q16" s="590"/>
      <c r="R16" s="590" t="s">
        <v>104</v>
      </c>
      <c r="S16" s="591">
        <v>0</v>
      </c>
      <c r="T16" s="592" t="s">
        <v>140</v>
      </c>
      <c r="U16" s="591">
        <v>0</v>
      </c>
      <c r="V16" s="587"/>
      <c r="W16" s="586"/>
      <c r="X16" s="588"/>
    </row>
    <row r="17" spans="1:24" s="589" customFormat="1" x14ac:dyDescent="0.25">
      <c r="A17" s="585"/>
      <c r="B17" s="584" t="s">
        <v>4</v>
      </c>
      <c r="C17" s="586"/>
      <c r="D17" s="586"/>
      <c r="E17" s="586"/>
      <c r="F17" s="586"/>
      <c r="G17" s="586"/>
      <c r="H17" s="586"/>
      <c r="I17" s="586"/>
      <c r="J17" s="586"/>
      <c r="K17" s="586"/>
      <c r="L17" s="586"/>
      <c r="M17" s="586"/>
      <c r="N17" s="586"/>
      <c r="O17" s="586"/>
      <c r="P17" s="586"/>
      <c r="Q17" s="586"/>
      <c r="R17" s="586"/>
      <c r="S17" s="586"/>
      <c r="T17" s="586"/>
      <c r="U17" s="586"/>
      <c r="V17" s="593">
        <v>39282</v>
      </c>
      <c r="W17" s="586"/>
      <c r="X17" s="588"/>
    </row>
    <row r="18" spans="1:24" s="589" customFormat="1" x14ac:dyDescent="0.25">
      <c r="A18" s="585"/>
      <c r="B18" s="584" t="s">
        <v>5</v>
      </c>
      <c r="C18" s="586"/>
      <c r="D18" s="586"/>
      <c r="E18" s="586"/>
      <c r="F18" s="586"/>
      <c r="G18" s="586"/>
      <c r="H18" s="586"/>
      <c r="I18" s="586"/>
      <c r="J18" s="586"/>
      <c r="K18" s="586"/>
      <c r="L18" s="586"/>
      <c r="M18" s="586"/>
      <c r="N18" s="586"/>
      <c r="O18" s="586"/>
      <c r="P18" s="586"/>
      <c r="Q18" s="586"/>
      <c r="R18" s="586"/>
      <c r="S18" s="586"/>
      <c r="T18" s="586"/>
      <c r="U18" s="586"/>
      <c r="V18" s="593">
        <v>44187</v>
      </c>
      <c r="W18" s="586"/>
      <c r="X18" s="588"/>
    </row>
    <row r="19" spans="1:24" s="589" customFormat="1" x14ac:dyDescent="0.25">
      <c r="A19" s="585"/>
      <c r="B19" s="586"/>
      <c r="C19" s="586"/>
      <c r="D19" s="586"/>
      <c r="E19" s="586"/>
      <c r="F19" s="586"/>
      <c r="G19" s="586"/>
      <c r="H19" s="586"/>
      <c r="I19" s="586"/>
      <c r="J19" s="586"/>
      <c r="K19" s="586"/>
      <c r="L19" s="586"/>
      <c r="M19" s="586"/>
      <c r="N19" s="586"/>
      <c r="O19" s="586"/>
      <c r="P19" s="586"/>
      <c r="Q19" s="586"/>
      <c r="R19" s="586"/>
      <c r="S19" s="586"/>
      <c r="T19" s="586"/>
      <c r="U19" s="586"/>
      <c r="V19" s="594"/>
      <c r="W19" s="586"/>
      <c r="X19" s="588"/>
    </row>
    <row r="20" spans="1:24" s="589" customFormat="1" x14ac:dyDescent="0.25">
      <c r="A20" s="585"/>
      <c r="B20" s="595" t="s">
        <v>6</v>
      </c>
      <c r="C20" s="586"/>
      <c r="D20" s="586"/>
      <c r="E20" s="586"/>
      <c r="F20" s="586"/>
      <c r="G20" s="586"/>
      <c r="H20" s="586"/>
      <c r="I20" s="586"/>
      <c r="J20" s="586"/>
      <c r="K20" s="586"/>
      <c r="L20" s="586"/>
      <c r="M20" s="586"/>
      <c r="N20" s="586"/>
      <c r="O20" s="586"/>
      <c r="P20" s="586"/>
      <c r="Q20" s="586"/>
      <c r="R20" s="586"/>
      <c r="S20" s="586"/>
      <c r="T20" s="594" t="s">
        <v>105</v>
      </c>
      <c r="U20" s="586"/>
      <c r="V20" s="586"/>
      <c r="W20" s="586"/>
      <c r="X20" s="588"/>
    </row>
    <row r="21" spans="1:24" x14ac:dyDescent="0.25">
      <c r="A21" s="574"/>
      <c r="B21" s="576"/>
      <c r="C21" s="576"/>
      <c r="D21" s="576"/>
      <c r="E21" s="576"/>
      <c r="F21" s="576"/>
      <c r="G21" s="576"/>
      <c r="H21" s="576"/>
      <c r="I21" s="576"/>
      <c r="J21" s="576"/>
      <c r="K21" s="576"/>
      <c r="L21" s="576"/>
      <c r="M21" s="576"/>
      <c r="N21" s="576"/>
      <c r="O21" s="576"/>
      <c r="P21" s="576"/>
      <c r="Q21" s="576"/>
      <c r="R21" s="576"/>
      <c r="S21" s="576"/>
      <c r="T21" s="576"/>
      <c r="U21" s="576"/>
      <c r="V21" s="596"/>
      <c r="W21" s="576"/>
      <c r="X21" s="572"/>
    </row>
    <row r="22" spans="1:24" x14ac:dyDescent="0.25">
      <c r="A22" s="597"/>
      <c r="B22" s="598"/>
      <c r="C22" s="599"/>
      <c r="D22" s="599" t="s">
        <v>177</v>
      </c>
      <c r="E22" s="599"/>
      <c r="F22" s="599" t="s">
        <v>178</v>
      </c>
      <c r="G22" s="599"/>
      <c r="H22" s="599" t="s">
        <v>179</v>
      </c>
      <c r="I22" s="599"/>
      <c r="J22" s="599" t="s">
        <v>219</v>
      </c>
      <c r="K22" s="599"/>
      <c r="L22" s="599" t="s">
        <v>180</v>
      </c>
      <c r="M22" s="599"/>
      <c r="N22" s="599" t="s">
        <v>181</v>
      </c>
      <c r="O22" s="599"/>
      <c r="P22" s="599" t="s">
        <v>182</v>
      </c>
      <c r="Q22" s="599"/>
      <c r="R22" s="599"/>
      <c r="S22" s="600"/>
      <c r="T22" s="600"/>
      <c r="U22" s="598"/>
      <c r="V22" s="598"/>
      <c r="W22" s="601"/>
      <c r="X22" s="572"/>
    </row>
    <row r="23" spans="1:24" s="589" customFormat="1" x14ac:dyDescent="0.25">
      <c r="A23" s="585"/>
      <c r="B23" s="602" t="s">
        <v>7</v>
      </c>
      <c r="C23" s="603"/>
      <c r="D23" s="603" t="s">
        <v>212</v>
      </c>
      <c r="E23" s="603"/>
      <c r="F23" s="603" t="s">
        <v>141</v>
      </c>
      <c r="G23" s="603"/>
      <c r="H23" s="603" t="s">
        <v>141</v>
      </c>
      <c r="I23" s="603"/>
      <c r="J23" s="603" t="s">
        <v>141</v>
      </c>
      <c r="K23" s="603"/>
      <c r="L23" s="603" t="s">
        <v>183</v>
      </c>
      <c r="M23" s="603"/>
      <c r="N23" s="603" t="s">
        <v>183</v>
      </c>
      <c r="O23" s="603"/>
      <c r="P23" s="603" t="s">
        <v>142</v>
      </c>
      <c r="Q23" s="603"/>
      <c r="R23" s="603"/>
      <c r="S23" s="603"/>
      <c r="T23" s="603"/>
      <c r="U23" s="602"/>
      <c r="V23" s="602"/>
      <c r="W23" s="602"/>
      <c r="X23" s="588"/>
    </row>
    <row r="24" spans="1:24" s="589" customFormat="1" x14ac:dyDescent="0.25">
      <c r="A24" s="604"/>
      <c r="B24" s="605" t="s">
        <v>8</v>
      </c>
      <c r="C24" s="606"/>
      <c r="D24" s="606" t="s">
        <v>213</v>
      </c>
      <c r="E24" s="606"/>
      <c r="F24" s="606" t="s">
        <v>143</v>
      </c>
      <c r="G24" s="606"/>
      <c r="H24" s="606" t="s">
        <v>143</v>
      </c>
      <c r="I24" s="606"/>
      <c r="J24" s="606" t="s">
        <v>143</v>
      </c>
      <c r="K24" s="606"/>
      <c r="L24" s="606" t="s">
        <v>165</v>
      </c>
      <c r="M24" s="606"/>
      <c r="N24" s="606" t="s">
        <v>165</v>
      </c>
      <c r="O24" s="606"/>
      <c r="P24" s="606" t="s">
        <v>144</v>
      </c>
      <c r="Q24" s="606"/>
      <c r="R24" s="606"/>
      <c r="S24" s="606"/>
      <c r="T24" s="606"/>
      <c r="U24" s="605"/>
      <c r="V24" s="605"/>
      <c r="W24" s="607"/>
      <c r="X24" s="588"/>
    </row>
    <row r="25" spans="1:24" s="589" customFormat="1" x14ac:dyDescent="0.25">
      <c r="A25" s="608"/>
      <c r="B25" s="605" t="s">
        <v>190</v>
      </c>
      <c r="C25" s="609"/>
      <c r="D25" s="606" t="s">
        <v>214</v>
      </c>
      <c r="E25" s="606"/>
      <c r="F25" s="606" t="s">
        <v>143</v>
      </c>
      <c r="G25" s="606"/>
      <c r="H25" s="606" t="s">
        <v>143</v>
      </c>
      <c r="I25" s="606"/>
      <c r="J25" s="606" t="s">
        <v>143</v>
      </c>
      <c r="K25" s="606"/>
      <c r="L25" s="606" t="s">
        <v>165</v>
      </c>
      <c r="M25" s="606"/>
      <c r="N25" s="606" t="s">
        <v>165</v>
      </c>
      <c r="O25" s="606"/>
      <c r="P25" s="606" t="s">
        <v>144</v>
      </c>
      <c r="Q25" s="606"/>
      <c r="R25" s="606"/>
      <c r="S25" s="609"/>
      <c r="T25" s="606"/>
      <c r="U25" s="605"/>
      <c r="V25" s="605"/>
      <c r="W25" s="607"/>
      <c r="X25" s="588"/>
    </row>
    <row r="26" spans="1:24" s="589" customFormat="1" x14ac:dyDescent="0.25">
      <c r="A26" s="608"/>
      <c r="B26" s="610" t="s">
        <v>9</v>
      </c>
      <c r="C26" s="609"/>
      <c r="D26" s="609" t="s">
        <v>141</v>
      </c>
      <c r="E26" s="609"/>
      <c r="F26" s="609" t="s">
        <v>141</v>
      </c>
      <c r="G26" s="609"/>
      <c r="H26" s="609" t="s">
        <v>141</v>
      </c>
      <c r="I26" s="609"/>
      <c r="J26" s="609" t="s">
        <v>141</v>
      </c>
      <c r="K26" s="609"/>
      <c r="L26" s="609" t="s">
        <v>356</v>
      </c>
      <c r="M26" s="609"/>
      <c r="N26" s="609" t="s">
        <v>356</v>
      </c>
      <c r="O26" s="609"/>
      <c r="P26" s="609" t="s">
        <v>142</v>
      </c>
      <c r="Q26" s="609"/>
      <c r="R26" s="609"/>
      <c r="S26" s="609"/>
      <c r="T26" s="606"/>
      <c r="U26" s="605"/>
      <c r="V26" s="605"/>
      <c r="W26" s="607"/>
      <c r="X26" s="588"/>
    </row>
    <row r="27" spans="1:24" s="589" customFormat="1" x14ac:dyDescent="0.25">
      <c r="A27" s="604"/>
      <c r="B27" s="610" t="s">
        <v>191</v>
      </c>
      <c r="C27" s="606"/>
      <c r="D27" s="609" t="s">
        <v>143</v>
      </c>
      <c r="E27" s="609"/>
      <c r="F27" s="609" t="s">
        <v>143</v>
      </c>
      <c r="G27" s="609"/>
      <c r="H27" s="609" t="s">
        <v>143</v>
      </c>
      <c r="I27" s="609"/>
      <c r="J27" s="609" t="s">
        <v>143</v>
      </c>
      <c r="K27" s="609"/>
      <c r="L27" s="609" t="s">
        <v>329</v>
      </c>
      <c r="M27" s="609"/>
      <c r="N27" s="609" t="s">
        <v>329</v>
      </c>
      <c r="O27" s="609"/>
      <c r="P27" s="609" t="s">
        <v>307</v>
      </c>
      <c r="Q27" s="609"/>
      <c r="R27" s="609"/>
      <c r="S27" s="606"/>
      <c r="T27" s="611"/>
      <c r="U27" s="605"/>
      <c r="V27" s="605"/>
      <c r="W27" s="607"/>
      <c r="X27" s="588"/>
    </row>
    <row r="28" spans="1:24" s="589" customFormat="1" x14ac:dyDescent="0.25">
      <c r="A28" s="604"/>
      <c r="B28" s="610" t="s">
        <v>192</v>
      </c>
      <c r="C28" s="606"/>
      <c r="D28" s="609" t="s">
        <v>143</v>
      </c>
      <c r="E28" s="609"/>
      <c r="F28" s="609" t="s">
        <v>143</v>
      </c>
      <c r="G28" s="609"/>
      <c r="H28" s="609" t="s">
        <v>143</v>
      </c>
      <c r="I28" s="609"/>
      <c r="J28" s="609" t="s">
        <v>143</v>
      </c>
      <c r="K28" s="609"/>
      <c r="L28" s="609" t="s">
        <v>143</v>
      </c>
      <c r="M28" s="609"/>
      <c r="N28" s="609" t="s">
        <v>143</v>
      </c>
      <c r="O28" s="609"/>
      <c r="P28" s="609" t="s">
        <v>330</v>
      </c>
      <c r="Q28" s="609"/>
      <c r="R28" s="609"/>
      <c r="S28" s="606"/>
      <c r="T28" s="611"/>
      <c r="U28" s="605"/>
      <c r="V28" s="605"/>
      <c r="W28" s="607"/>
      <c r="X28" s="588"/>
    </row>
    <row r="29" spans="1:24" s="589" customFormat="1" x14ac:dyDescent="0.25">
      <c r="A29" s="604"/>
      <c r="B29" s="605" t="s">
        <v>10</v>
      </c>
      <c r="C29" s="612"/>
      <c r="D29" s="606" t="s">
        <v>242</v>
      </c>
      <c r="E29" s="606"/>
      <c r="F29" s="611" t="s">
        <v>244</v>
      </c>
      <c r="G29" s="606"/>
      <c r="H29" s="606" t="s">
        <v>245</v>
      </c>
      <c r="I29" s="606"/>
      <c r="J29" s="606" t="s">
        <v>247</v>
      </c>
      <c r="K29" s="606"/>
      <c r="L29" s="606" t="s">
        <v>248</v>
      </c>
      <c r="M29" s="606"/>
      <c r="N29" s="606" t="s">
        <v>249</v>
      </c>
      <c r="O29" s="606"/>
      <c r="P29" s="606" t="s">
        <v>250</v>
      </c>
      <c r="Q29" s="606"/>
      <c r="R29" s="606"/>
      <c r="S29" s="613"/>
      <c r="T29" s="613"/>
      <c r="U29" s="612"/>
      <c r="V29" s="613"/>
      <c r="W29" s="614"/>
      <c r="X29" s="588"/>
    </row>
    <row r="30" spans="1:24" s="589" customFormat="1" x14ac:dyDescent="0.25">
      <c r="A30" s="604"/>
      <c r="B30" s="605" t="s">
        <v>10</v>
      </c>
      <c r="C30" s="612"/>
      <c r="D30" s="606" t="s">
        <v>243</v>
      </c>
      <c r="E30" s="606"/>
      <c r="F30" s="611" t="s">
        <v>118</v>
      </c>
      <c r="G30" s="606"/>
      <c r="H30" s="606" t="s">
        <v>118</v>
      </c>
      <c r="I30" s="606"/>
      <c r="J30" s="606" t="s">
        <v>246</v>
      </c>
      <c r="K30" s="606"/>
      <c r="L30" s="606" t="s">
        <v>118</v>
      </c>
      <c r="M30" s="606"/>
      <c r="N30" s="606" t="s">
        <v>118</v>
      </c>
      <c r="O30" s="606"/>
      <c r="P30" s="606" t="s">
        <v>118</v>
      </c>
      <c r="Q30" s="606"/>
      <c r="R30" s="606"/>
      <c r="S30" s="613"/>
      <c r="T30" s="613"/>
      <c r="U30" s="612"/>
      <c r="V30" s="613"/>
      <c r="W30" s="614"/>
      <c r="X30" s="588"/>
    </row>
    <row r="31" spans="1:24" s="589" customFormat="1" x14ac:dyDescent="0.25">
      <c r="A31" s="608"/>
      <c r="B31" s="605" t="s">
        <v>133</v>
      </c>
      <c r="C31" s="615"/>
      <c r="D31" s="616">
        <v>1000000</v>
      </c>
      <c r="E31" s="612"/>
      <c r="F31" s="613">
        <v>209500</v>
      </c>
      <c r="G31" s="613"/>
      <c r="H31" s="617">
        <v>110000</v>
      </c>
      <c r="I31" s="617"/>
      <c r="J31" s="616">
        <v>150000</v>
      </c>
      <c r="K31" s="613"/>
      <c r="L31" s="613">
        <v>17000</v>
      </c>
      <c r="M31" s="613"/>
      <c r="N31" s="617">
        <v>85500</v>
      </c>
      <c r="O31" s="613"/>
      <c r="P31" s="617">
        <v>110500</v>
      </c>
      <c r="Q31" s="613"/>
      <c r="R31" s="617"/>
      <c r="S31" s="618"/>
      <c r="T31" s="618"/>
      <c r="U31" s="615"/>
      <c r="V31" s="618"/>
      <c r="W31" s="614"/>
      <c r="X31" s="588"/>
    </row>
    <row r="32" spans="1:24" s="589" customFormat="1" x14ac:dyDescent="0.25">
      <c r="A32" s="604"/>
      <c r="B32" s="605" t="s">
        <v>132</v>
      </c>
      <c r="C32" s="612"/>
      <c r="D32" s="616">
        <f>D31*D38</f>
        <v>436646.9</v>
      </c>
      <c r="E32" s="612"/>
      <c r="F32" s="613">
        <f>F31*F38</f>
        <v>91478.09120000001</v>
      </c>
      <c r="G32" s="613"/>
      <c r="H32" s="617">
        <f>H31*H38</f>
        <v>48032.688000000002</v>
      </c>
      <c r="I32" s="617"/>
      <c r="J32" s="616">
        <f>J31*J38</f>
        <v>65497.035000000003</v>
      </c>
      <c r="K32" s="613"/>
      <c r="L32" s="613">
        <f>L31*L38</f>
        <v>17000</v>
      </c>
      <c r="M32" s="613"/>
      <c r="N32" s="617">
        <f>N31*N38</f>
        <v>85500</v>
      </c>
      <c r="O32" s="613"/>
      <c r="P32" s="617">
        <f>P31*P38</f>
        <v>110500</v>
      </c>
      <c r="Q32" s="613"/>
      <c r="R32" s="617"/>
      <c r="S32" s="613"/>
      <c r="T32" s="613"/>
      <c r="U32" s="612"/>
      <c r="V32" s="613"/>
      <c r="W32" s="614"/>
      <c r="X32" s="588"/>
    </row>
    <row r="33" spans="1:27" s="589" customFormat="1" x14ac:dyDescent="0.25">
      <c r="A33" s="604"/>
      <c r="B33" s="610" t="s">
        <v>134</v>
      </c>
      <c r="C33" s="612"/>
      <c r="D33" s="619">
        <f>D37*D31</f>
        <v>0</v>
      </c>
      <c r="E33" s="615"/>
      <c r="F33" s="618">
        <f>F37*F31</f>
        <v>0</v>
      </c>
      <c r="G33" s="618"/>
      <c r="H33" s="620">
        <f>H31*H37</f>
        <v>0</v>
      </c>
      <c r="I33" s="620"/>
      <c r="J33" s="619">
        <f>J37*J31</f>
        <v>0</v>
      </c>
      <c r="K33" s="618"/>
      <c r="L33" s="618">
        <f>L31*L37</f>
        <v>0</v>
      </c>
      <c r="M33" s="618"/>
      <c r="N33" s="620">
        <f>N31*N37</f>
        <v>0</v>
      </c>
      <c r="O33" s="618"/>
      <c r="P33" s="620">
        <f>P31*P37</f>
        <v>0</v>
      </c>
      <c r="Q33" s="618"/>
      <c r="R33" s="620"/>
      <c r="S33" s="613"/>
      <c r="T33" s="613"/>
      <c r="U33" s="612"/>
      <c r="V33" s="613"/>
      <c r="W33" s="614"/>
      <c r="X33" s="588"/>
    </row>
    <row r="34" spans="1:27" s="589" customFormat="1" x14ac:dyDescent="0.25">
      <c r="A34" s="608"/>
      <c r="B34" s="605" t="s">
        <v>286</v>
      </c>
      <c r="C34" s="615"/>
      <c r="D34" s="613">
        <v>492951</v>
      </c>
      <c r="E34" s="612"/>
      <c r="F34" s="613">
        <v>209500</v>
      </c>
      <c r="G34" s="613"/>
      <c r="H34" s="613">
        <v>74677</v>
      </c>
      <c r="I34" s="613"/>
      <c r="J34" s="613">
        <v>73943</v>
      </c>
      <c r="K34" s="613"/>
      <c r="L34" s="613">
        <v>17000</v>
      </c>
      <c r="M34" s="613"/>
      <c r="N34" s="613">
        <v>58045</v>
      </c>
      <c r="O34" s="613"/>
      <c r="P34" s="613">
        <v>75017</v>
      </c>
      <c r="Q34" s="613"/>
      <c r="R34" s="613"/>
      <c r="S34" s="618"/>
      <c r="T34" s="618"/>
      <c r="U34" s="615"/>
      <c r="V34" s="613">
        <f>SUM(C34:R34)</f>
        <v>1001133</v>
      </c>
      <c r="W34" s="614"/>
      <c r="X34" s="588"/>
    </row>
    <row r="35" spans="1:27" s="589" customFormat="1" x14ac:dyDescent="0.25">
      <c r="A35" s="608"/>
      <c r="B35" s="605" t="s">
        <v>287</v>
      </c>
      <c r="C35" s="615"/>
      <c r="D35" s="613">
        <f>D34*D38</f>
        <v>215245.5260019</v>
      </c>
      <c r="E35" s="612"/>
      <c r="F35" s="613">
        <f>F34*F38</f>
        <v>91478.09120000001</v>
      </c>
      <c r="G35" s="613"/>
      <c r="H35" s="613">
        <f>H34*H38</f>
        <v>32608.518561600002</v>
      </c>
      <c r="I35" s="613"/>
      <c r="J35" s="613">
        <f>J34*J38</f>
        <v>32286.9817267</v>
      </c>
      <c r="K35" s="613"/>
      <c r="L35" s="613">
        <f>L34*L38</f>
        <v>17000</v>
      </c>
      <c r="M35" s="613"/>
      <c r="N35" s="613">
        <f>N34*N38</f>
        <v>58045</v>
      </c>
      <c r="O35" s="613"/>
      <c r="P35" s="613">
        <f>P34*P38</f>
        <v>75017</v>
      </c>
      <c r="Q35" s="613"/>
      <c r="R35" s="613"/>
      <c r="S35" s="613"/>
      <c r="T35" s="613"/>
      <c r="U35" s="612"/>
      <c r="V35" s="613">
        <f>SUM(C35:R35)</f>
        <v>521681.11749019998</v>
      </c>
      <c r="W35" s="614"/>
      <c r="X35" s="588"/>
    </row>
    <row r="36" spans="1:27" s="589" customFormat="1" x14ac:dyDescent="0.25">
      <c r="A36" s="608"/>
      <c r="B36" s="610" t="s">
        <v>288</v>
      </c>
      <c r="C36" s="615"/>
      <c r="D36" s="618">
        <f>D34*D37</f>
        <v>0</v>
      </c>
      <c r="E36" s="615"/>
      <c r="F36" s="618">
        <f>F34*F37</f>
        <v>0</v>
      </c>
      <c r="G36" s="618"/>
      <c r="H36" s="618">
        <f>H34*H37</f>
        <v>0</v>
      </c>
      <c r="I36" s="618"/>
      <c r="J36" s="618">
        <f>J34*J37</f>
        <v>0</v>
      </c>
      <c r="K36" s="618"/>
      <c r="L36" s="618">
        <f>L34*L37</f>
        <v>0</v>
      </c>
      <c r="M36" s="618"/>
      <c r="N36" s="618">
        <f>N34*N37</f>
        <v>0</v>
      </c>
      <c r="O36" s="618"/>
      <c r="P36" s="618">
        <f>P34*P37</f>
        <v>0</v>
      </c>
      <c r="Q36" s="618"/>
      <c r="R36" s="618"/>
      <c r="S36" s="621"/>
      <c r="T36" s="621"/>
      <c r="U36" s="612"/>
      <c r="V36" s="618">
        <f>SUM(C36:R36)</f>
        <v>0</v>
      </c>
      <c r="W36" s="614"/>
      <c r="X36" s="588"/>
    </row>
    <row r="37" spans="1:27" s="629" customFormat="1" x14ac:dyDescent="0.25">
      <c r="A37" s="622"/>
      <c r="B37" s="623" t="s">
        <v>130</v>
      </c>
      <c r="C37" s="624"/>
      <c r="D37" s="625">
        <v>0</v>
      </c>
      <c r="E37" s="625"/>
      <c r="F37" s="625">
        <v>0</v>
      </c>
      <c r="G37" s="625"/>
      <c r="H37" s="625">
        <v>0</v>
      </c>
      <c r="I37" s="625"/>
      <c r="J37" s="625">
        <v>0</v>
      </c>
      <c r="K37" s="625"/>
      <c r="L37" s="625">
        <v>0</v>
      </c>
      <c r="M37" s="625"/>
      <c r="N37" s="625">
        <v>0</v>
      </c>
      <c r="O37" s="625"/>
      <c r="P37" s="625">
        <v>0</v>
      </c>
      <c r="Q37" s="625"/>
      <c r="R37" s="625"/>
      <c r="S37" s="626"/>
      <c r="T37" s="626"/>
      <c r="U37" s="624"/>
      <c r="V37" s="624"/>
      <c r="W37" s="627"/>
      <c r="X37" s="628"/>
    </row>
    <row r="38" spans="1:27" s="629" customFormat="1" x14ac:dyDescent="0.25">
      <c r="A38" s="622"/>
      <c r="B38" s="623" t="s">
        <v>131</v>
      </c>
      <c r="C38" s="624"/>
      <c r="D38" s="625">
        <v>0.4366469</v>
      </c>
      <c r="E38" s="625"/>
      <c r="F38" s="625">
        <v>0.43664960000000003</v>
      </c>
      <c r="G38" s="625"/>
      <c r="H38" s="625">
        <v>0.43666080000000002</v>
      </c>
      <c r="I38" s="625"/>
      <c r="J38" s="625">
        <v>0.4366469</v>
      </c>
      <c r="K38" s="625"/>
      <c r="L38" s="625">
        <v>1</v>
      </c>
      <c r="M38" s="625"/>
      <c r="N38" s="625">
        <v>1</v>
      </c>
      <c r="O38" s="625"/>
      <c r="P38" s="625">
        <v>1</v>
      </c>
      <c r="Q38" s="625"/>
      <c r="R38" s="625"/>
      <c r="S38" s="630"/>
      <c r="T38" s="631"/>
      <c r="U38" s="624"/>
      <c r="V38" s="630"/>
      <c r="W38" s="627"/>
      <c r="X38" s="628"/>
    </row>
    <row r="39" spans="1:27" s="629" customFormat="1" x14ac:dyDescent="0.25">
      <c r="A39" s="622"/>
      <c r="B39" s="624" t="s">
        <v>11</v>
      </c>
      <c r="C39" s="624"/>
      <c r="D39" s="626" t="s">
        <v>304</v>
      </c>
      <c r="E39" s="624"/>
      <c r="F39" s="626" t="s">
        <v>256</v>
      </c>
      <c r="G39" s="626"/>
      <c r="H39" s="626" t="s">
        <v>257</v>
      </c>
      <c r="I39" s="626"/>
      <c r="J39" s="626" t="s">
        <v>258</v>
      </c>
      <c r="K39" s="626"/>
      <c r="L39" s="626" t="s">
        <v>259</v>
      </c>
      <c r="M39" s="626"/>
      <c r="N39" s="626" t="s">
        <v>259</v>
      </c>
      <c r="O39" s="626"/>
      <c r="P39" s="626" t="s">
        <v>260</v>
      </c>
      <c r="Q39" s="626"/>
      <c r="R39" s="626"/>
      <c r="S39" s="630"/>
      <c r="T39" s="631"/>
      <c r="U39" s="624"/>
      <c r="V39" s="624"/>
      <c r="W39" s="627"/>
      <c r="X39" s="628"/>
    </row>
    <row r="40" spans="1:27" s="589" customFormat="1" x14ac:dyDescent="0.25">
      <c r="A40" s="604"/>
      <c r="B40" s="605" t="s">
        <v>12</v>
      </c>
      <c r="C40" s="605"/>
      <c r="D40" s="632">
        <v>3.2087999999999999E-3</v>
      </c>
      <c r="E40" s="605"/>
      <c r="F40" s="632">
        <v>3.1913000000000002E-3</v>
      </c>
      <c r="G40" s="633"/>
      <c r="H40" s="632">
        <v>0</v>
      </c>
      <c r="I40" s="632"/>
      <c r="J40" s="632">
        <v>4.7038000000000002E-3</v>
      </c>
      <c r="K40" s="633"/>
      <c r="L40" s="632">
        <v>5.9912999999999998E-3</v>
      </c>
      <c r="M40" s="633"/>
      <c r="N40" s="632">
        <v>5.5999999999999995E-4</v>
      </c>
      <c r="O40" s="633"/>
      <c r="P40" s="632">
        <v>6.1599999999999997E-3</v>
      </c>
      <c r="Q40" s="633"/>
      <c r="R40" s="632"/>
      <c r="S40" s="633"/>
      <c r="T40" s="632"/>
      <c r="U40" s="605"/>
      <c r="V40" s="611"/>
      <c r="W40" s="607"/>
      <c r="X40" s="588"/>
      <c r="AA40" s="589" t="s">
        <v>193</v>
      </c>
    </row>
    <row r="41" spans="1:27" s="589" customFormat="1" x14ac:dyDescent="0.25">
      <c r="A41" s="604"/>
      <c r="B41" s="605" t="s">
        <v>13</v>
      </c>
      <c r="C41" s="605"/>
      <c r="D41" s="632">
        <v>3.4188000000000001E-3</v>
      </c>
      <c r="E41" s="605"/>
      <c r="F41" s="632">
        <v>4.5325000000000001E-3</v>
      </c>
      <c r="G41" s="633"/>
      <c r="H41" s="632">
        <v>0</v>
      </c>
      <c r="I41" s="632"/>
      <c r="J41" s="632">
        <v>5.3337999999999997E-3</v>
      </c>
      <c r="K41" s="633"/>
      <c r="L41" s="632">
        <v>7.3324999999999996E-3</v>
      </c>
      <c r="M41" s="633"/>
      <c r="N41" s="632">
        <v>1.82E-3</v>
      </c>
      <c r="O41" s="633"/>
      <c r="P41" s="632">
        <v>7.4200000000000004E-3</v>
      </c>
      <c r="Q41" s="633"/>
      <c r="R41" s="632"/>
      <c r="S41" s="633"/>
      <c r="T41" s="632"/>
      <c r="U41" s="605"/>
      <c r="V41" s="633" t="s">
        <v>193</v>
      </c>
      <c r="W41" s="607"/>
      <c r="X41" s="588"/>
    </row>
    <row r="42" spans="1:27" s="589" customFormat="1" x14ac:dyDescent="0.25">
      <c r="A42" s="604"/>
      <c r="B42" s="605" t="s">
        <v>289</v>
      </c>
      <c r="C42" s="605"/>
      <c r="D42" s="611" t="s">
        <v>311</v>
      </c>
      <c r="E42" s="605"/>
      <c r="F42" s="611" t="s">
        <v>256</v>
      </c>
      <c r="G42" s="611"/>
      <c r="H42" s="611" t="s">
        <v>261</v>
      </c>
      <c r="I42" s="611"/>
      <c r="J42" s="611" t="s">
        <v>261</v>
      </c>
      <c r="K42" s="611"/>
      <c r="L42" s="611" t="s">
        <v>259</v>
      </c>
      <c r="M42" s="611"/>
      <c r="N42" s="611" t="s">
        <v>263</v>
      </c>
      <c r="O42" s="611"/>
      <c r="P42" s="611" t="s">
        <v>264</v>
      </c>
      <c r="Q42" s="611"/>
      <c r="R42" s="611"/>
      <c r="S42" s="633"/>
      <c r="T42" s="632"/>
      <c r="U42" s="605"/>
      <c r="V42" s="605"/>
      <c r="W42" s="607"/>
      <c r="X42" s="588"/>
    </row>
    <row r="43" spans="1:27" s="589" customFormat="1" x14ac:dyDescent="0.25">
      <c r="A43" s="604"/>
      <c r="B43" s="605" t="s">
        <v>290</v>
      </c>
      <c r="C43" s="634"/>
      <c r="D43" s="632">
        <v>2.5882000000000001E-3</v>
      </c>
      <c r="E43" s="632"/>
      <c r="F43" s="632">
        <f>+F40</f>
        <v>3.1913000000000002E-3</v>
      </c>
      <c r="G43" s="632"/>
      <c r="H43" s="632">
        <v>3.3413000000000002E-3</v>
      </c>
      <c r="I43" s="632"/>
      <c r="J43" s="632">
        <v>3.3712999999999998E-3</v>
      </c>
      <c r="K43" s="632"/>
      <c r="L43" s="632">
        <f>+L40</f>
        <v>5.9912999999999998E-3</v>
      </c>
      <c r="M43" s="632"/>
      <c r="N43" s="632">
        <v>6.7253E-3</v>
      </c>
      <c r="O43" s="632"/>
      <c r="P43" s="632">
        <v>1.2885300000000001E-2</v>
      </c>
      <c r="Q43" s="633"/>
      <c r="R43" s="632"/>
      <c r="S43" s="611"/>
      <c r="T43" s="611"/>
      <c r="U43" s="605"/>
      <c r="V43" s="633">
        <f>SUMPRODUCT(D43:R43,D35:R35)/V35</f>
        <v>4.8414156681782167E-3</v>
      </c>
      <c r="W43" s="607"/>
      <c r="X43" s="588"/>
    </row>
    <row r="44" spans="1:27" s="589" customFormat="1" x14ac:dyDescent="0.25">
      <c r="A44" s="604"/>
      <c r="B44" s="605" t="s">
        <v>291</v>
      </c>
      <c r="C44" s="634"/>
      <c r="D44" s="632">
        <v>3.9294000000000004E-3</v>
      </c>
      <c r="E44" s="632"/>
      <c r="F44" s="632">
        <f>+F41</f>
        <v>4.5325000000000001E-3</v>
      </c>
      <c r="G44" s="632"/>
      <c r="H44" s="632">
        <v>4.6825E-3</v>
      </c>
      <c r="I44" s="632"/>
      <c r="J44" s="632">
        <v>4.7124999999999997E-3</v>
      </c>
      <c r="K44" s="632"/>
      <c r="L44" s="632">
        <f>+L41</f>
        <v>7.3324999999999996E-3</v>
      </c>
      <c r="M44" s="632"/>
      <c r="N44" s="632">
        <v>8.0665000000000008E-3</v>
      </c>
      <c r="O44" s="632"/>
      <c r="P44" s="632">
        <v>1.42265E-2</v>
      </c>
      <c r="Q44" s="633"/>
      <c r="R44" s="632"/>
      <c r="S44" s="611"/>
      <c r="T44" s="611"/>
      <c r="U44" s="605"/>
      <c r="V44" s="605"/>
      <c r="W44" s="607"/>
      <c r="X44" s="588"/>
    </row>
    <row r="45" spans="1:27" s="589" customFormat="1" x14ac:dyDescent="0.25">
      <c r="A45" s="604"/>
      <c r="B45" s="605" t="s">
        <v>14</v>
      </c>
      <c r="C45" s="605"/>
      <c r="D45" s="634">
        <v>40709</v>
      </c>
      <c r="E45" s="634"/>
      <c r="F45" s="634">
        <v>40709</v>
      </c>
      <c r="G45" s="634"/>
      <c r="H45" s="634">
        <v>40709</v>
      </c>
      <c r="I45" s="634"/>
      <c r="J45" s="634">
        <v>40709</v>
      </c>
      <c r="K45" s="634"/>
      <c r="L45" s="634">
        <v>40709</v>
      </c>
      <c r="M45" s="634"/>
      <c r="N45" s="634">
        <v>40709</v>
      </c>
      <c r="O45" s="634"/>
      <c r="P45" s="634">
        <v>40709</v>
      </c>
      <c r="Q45" s="634"/>
      <c r="R45" s="634"/>
      <c r="S45" s="611"/>
      <c r="T45" s="611"/>
      <c r="U45" s="605"/>
      <c r="V45" s="605"/>
      <c r="W45" s="607"/>
      <c r="X45" s="588"/>
    </row>
    <row r="46" spans="1:27" s="589" customFormat="1" x14ac:dyDescent="0.25">
      <c r="A46" s="604"/>
      <c r="B46" s="605" t="s">
        <v>15</v>
      </c>
      <c r="C46" s="605"/>
      <c r="D46" s="634">
        <v>41075</v>
      </c>
      <c r="E46" s="634"/>
      <c r="F46" s="634">
        <v>41075</v>
      </c>
      <c r="G46" s="634"/>
      <c r="H46" s="634">
        <v>41075</v>
      </c>
      <c r="I46" s="634"/>
      <c r="J46" s="634">
        <v>41075</v>
      </c>
      <c r="K46" s="611"/>
      <c r="L46" s="634">
        <v>41075</v>
      </c>
      <c r="M46" s="611"/>
      <c r="N46" s="634">
        <v>41075</v>
      </c>
      <c r="O46" s="611"/>
      <c r="P46" s="634">
        <v>41075</v>
      </c>
      <c r="Q46" s="611"/>
      <c r="R46" s="634"/>
      <c r="S46" s="611"/>
      <c r="T46" s="611"/>
      <c r="U46" s="605"/>
      <c r="V46" s="605"/>
      <c r="W46" s="607"/>
      <c r="X46" s="588"/>
    </row>
    <row r="47" spans="1:27" s="589" customFormat="1" x14ac:dyDescent="0.25">
      <c r="A47" s="604"/>
      <c r="B47" s="605" t="s">
        <v>119</v>
      </c>
      <c r="C47" s="605"/>
      <c r="D47" s="611" t="s">
        <v>304</v>
      </c>
      <c r="E47" s="605"/>
      <c r="F47" s="611" t="s">
        <v>256</v>
      </c>
      <c r="G47" s="611"/>
      <c r="H47" s="611" t="s">
        <v>257</v>
      </c>
      <c r="I47" s="611"/>
      <c r="J47" s="611" t="s">
        <v>258</v>
      </c>
      <c r="K47" s="611"/>
      <c r="L47" s="611" t="s">
        <v>259</v>
      </c>
      <c r="M47" s="611"/>
      <c r="N47" s="611" t="s">
        <v>259</v>
      </c>
      <c r="O47" s="611"/>
      <c r="P47" s="611" t="s">
        <v>260</v>
      </c>
      <c r="Q47" s="611"/>
      <c r="R47" s="611"/>
      <c r="S47" s="635"/>
      <c r="T47" s="635"/>
      <c r="U47" s="635"/>
      <c r="V47" s="635"/>
      <c r="W47" s="607"/>
      <c r="X47" s="588"/>
    </row>
    <row r="48" spans="1:27" s="589" customFormat="1" x14ac:dyDescent="0.25">
      <c r="A48" s="604"/>
      <c r="B48" s="605" t="s">
        <v>292</v>
      </c>
      <c r="C48" s="605"/>
      <c r="D48" s="611" t="s">
        <v>311</v>
      </c>
      <c r="E48" s="605"/>
      <c r="F48" s="611" t="s">
        <v>256</v>
      </c>
      <c r="G48" s="611"/>
      <c r="H48" s="611" t="s">
        <v>261</v>
      </c>
      <c r="I48" s="611"/>
      <c r="J48" s="611" t="s">
        <v>261</v>
      </c>
      <c r="K48" s="611"/>
      <c r="L48" s="611" t="s">
        <v>259</v>
      </c>
      <c r="M48" s="611"/>
      <c r="N48" s="611" t="s">
        <v>263</v>
      </c>
      <c r="O48" s="611"/>
      <c r="P48" s="611" t="s">
        <v>264</v>
      </c>
      <c r="Q48" s="611"/>
      <c r="R48" s="611"/>
      <c r="S48" s="605"/>
      <c r="T48" s="605"/>
      <c r="U48" s="605"/>
      <c r="V48" s="633"/>
      <c r="W48" s="607"/>
      <c r="X48" s="588"/>
    </row>
    <row r="49" spans="1:25" s="589" customFormat="1" x14ac:dyDescent="0.25">
      <c r="A49" s="604"/>
      <c r="B49" s="605"/>
      <c r="C49" s="605"/>
      <c r="D49" s="611"/>
      <c r="E49" s="605"/>
      <c r="F49" s="611"/>
      <c r="G49" s="611"/>
      <c r="H49" s="611"/>
      <c r="I49" s="611"/>
      <c r="J49" s="611"/>
      <c r="K49" s="611"/>
      <c r="L49" s="611"/>
      <c r="M49" s="611"/>
      <c r="N49" s="611"/>
      <c r="O49" s="611"/>
      <c r="P49" s="611"/>
      <c r="Q49" s="611"/>
      <c r="R49" s="611"/>
      <c r="S49" s="605"/>
      <c r="T49" s="605"/>
      <c r="U49" s="605"/>
      <c r="V49" s="633" t="s">
        <v>193</v>
      </c>
      <c r="W49" s="607"/>
      <c r="X49" s="588"/>
    </row>
    <row r="50" spans="1:25" s="589" customFormat="1" x14ac:dyDescent="0.25">
      <c r="A50" s="604"/>
      <c r="B50" s="605" t="s">
        <v>169</v>
      </c>
      <c r="C50" s="605"/>
      <c r="D50" s="611"/>
      <c r="E50" s="605"/>
      <c r="F50" s="611"/>
      <c r="G50" s="611"/>
      <c r="H50" s="611"/>
      <c r="I50" s="611"/>
      <c r="J50" s="611"/>
      <c r="K50" s="611"/>
      <c r="L50" s="611"/>
      <c r="M50" s="611"/>
      <c r="N50" s="611"/>
      <c r="O50" s="611"/>
      <c r="P50" s="611"/>
      <c r="Q50" s="611"/>
      <c r="R50" s="611"/>
      <c r="S50" s="605"/>
      <c r="T50" s="605"/>
      <c r="U50" s="605"/>
      <c r="V50" s="633">
        <f>SUM(L34:R34)/SUM(D34:J34)</f>
        <v>0.17632136449250416</v>
      </c>
      <c r="W50" s="607"/>
      <c r="X50" s="588"/>
    </row>
    <row r="51" spans="1:25" s="589" customFormat="1" x14ac:dyDescent="0.25">
      <c r="A51" s="604"/>
      <c r="B51" s="605" t="s">
        <v>170</v>
      </c>
      <c r="C51" s="605"/>
      <c r="D51" s="605"/>
      <c r="E51" s="605"/>
      <c r="F51" s="636"/>
      <c r="G51" s="605"/>
      <c r="H51" s="605"/>
      <c r="I51" s="605"/>
      <c r="J51" s="605"/>
      <c r="K51" s="605"/>
      <c r="L51" s="605"/>
      <c r="M51" s="605"/>
      <c r="N51" s="605"/>
      <c r="O51" s="605"/>
      <c r="P51" s="605"/>
      <c r="Q51" s="605"/>
      <c r="R51" s="605"/>
      <c r="S51" s="605"/>
      <c r="T51" s="605"/>
      <c r="U51" s="605"/>
      <c r="V51" s="633" t="s">
        <v>392</v>
      </c>
      <c r="W51" s="607"/>
      <c r="X51" s="588"/>
    </row>
    <row r="52" spans="1:25" s="589" customFormat="1" x14ac:dyDescent="0.25">
      <c r="A52" s="604"/>
      <c r="B52" s="605" t="s">
        <v>171</v>
      </c>
      <c r="C52" s="605"/>
      <c r="D52" s="605"/>
      <c r="E52" s="605"/>
      <c r="F52" s="605"/>
      <c r="G52" s="605"/>
      <c r="H52" s="605"/>
      <c r="I52" s="605"/>
      <c r="J52" s="605"/>
      <c r="K52" s="605"/>
      <c r="L52" s="605"/>
      <c r="M52" s="605"/>
      <c r="N52" s="605"/>
      <c r="O52" s="605"/>
      <c r="P52" s="605"/>
      <c r="Q52" s="605"/>
      <c r="R52" s="605"/>
      <c r="S52" s="605"/>
      <c r="T52" s="611"/>
      <c r="U52" s="611"/>
      <c r="V52" s="613" t="s">
        <v>268</v>
      </c>
      <c r="W52" s="607"/>
      <c r="X52" s="588"/>
    </row>
    <row r="53" spans="1:25" s="589" customFormat="1" x14ac:dyDescent="0.25">
      <c r="A53" s="604"/>
      <c r="B53" s="605"/>
      <c r="C53" s="605"/>
      <c r="D53" s="605"/>
      <c r="E53" s="605"/>
      <c r="F53" s="605"/>
      <c r="G53" s="605"/>
      <c r="H53" s="605"/>
      <c r="I53" s="605"/>
      <c r="J53" s="605"/>
      <c r="K53" s="605"/>
      <c r="L53" s="605"/>
      <c r="M53" s="605"/>
      <c r="N53" s="605"/>
      <c r="O53" s="605"/>
      <c r="P53" s="605"/>
      <c r="Q53" s="605"/>
      <c r="R53" s="605"/>
      <c r="S53" s="605"/>
      <c r="T53" s="605"/>
      <c r="U53" s="605"/>
      <c r="V53" s="637"/>
      <c r="W53" s="607"/>
      <c r="X53" s="588"/>
    </row>
    <row r="54" spans="1:25" s="589" customFormat="1" x14ac:dyDescent="0.25">
      <c r="A54" s="604"/>
      <c r="B54" s="605" t="s">
        <v>202</v>
      </c>
      <c r="C54" s="605"/>
      <c r="D54" s="605"/>
      <c r="E54" s="605"/>
      <c r="F54" s="605"/>
      <c r="G54" s="605"/>
      <c r="H54" s="605"/>
      <c r="I54" s="605"/>
      <c r="J54" s="605"/>
      <c r="K54" s="605"/>
      <c r="L54" s="605"/>
      <c r="M54" s="605"/>
      <c r="N54" s="605"/>
      <c r="O54" s="605"/>
      <c r="P54" s="605"/>
      <c r="Q54" s="605"/>
      <c r="R54" s="605"/>
      <c r="S54" s="605"/>
      <c r="T54" s="605"/>
      <c r="U54" s="605"/>
      <c r="V54" s="621" t="s">
        <v>203</v>
      </c>
      <c r="W54" s="607"/>
      <c r="X54" s="588"/>
    </row>
    <row r="55" spans="1:25" s="589" customFormat="1" x14ac:dyDescent="0.25">
      <c r="A55" s="604"/>
      <c r="B55" s="605" t="s">
        <v>270</v>
      </c>
      <c r="C55" s="605"/>
      <c r="D55" s="605"/>
      <c r="E55" s="605"/>
      <c r="F55" s="605"/>
      <c r="G55" s="605"/>
      <c r="H55" s="605"/>
      <c r="I55" s="605"/>
      <c r="J55" s="605"/>
      <c r="K55" s="605"/>
      <c r="L55" s="605"/>
      <c r="M55" s="605"/>
      <c r="N55" s="605"/>
      <c r="O55" s="605"/>
      <c r="P55" s="605"/>
      <c r="Q55" s="605"/>
      <c r="R55" s="605"/>
      <c r="S55" s="605"/>
      <c r="T55" s="611"/>
      <c r="U55" s="611"/>
      <c r="V55" s="638" t="s">
        <v>111</v>
      </c>
      <c r="W55" s="607"/>
      <c r="X55" s="588"/>
    </row>
    <row r="56" spans="1:25" s="589" customFormat="1" x14ac:dyDescent="0.25">
      <c r="A56" s="604"/>
      <c r="B56" s="610" t="s">
        <v>201</v>
      </c>
      <c r="C56" s="610"/>
      <c r="D56" s="610"/>
      <c r="E56" s="610"/>
      <c r="F56" s="610"/>
      <c r="G56" s="610"/>
      <c r="H56" s="610"/>
      <c r="I56" s="610"/>
      <c r="J56" s="610"/>
      <c r="K56" s="610"/>
      <c r="L56" s="610"/>
      <c r="M56" s="610"/>
      <c r="N56" s="610"/>
      <c r="O56" s="610"/>
      <c r="P56" s="610"/>
      <c r="Q56" s="610"/>
      <c r="R56" s="610"/>
      <c r="S56" s="610"/>
      <c r="T56" s="639"/>
      <c r="U56" s="639"/>
      <c r="V56" s="640">
        <v>44180</v>
      </c>
      <c r="W56" s="607"/>
      <c r="X56" s="588"/>
    </row>
    <row r="57" spans="1:25" s="589" customFormat="1" x14ac:dyDescent="0.25">
      <c r="A57" s="604"/>
      <c r="B57" s="605" t="s">
        <v>121</v>
      </c>
      <c r="C57" s="605"/>
      <c r="D57" s="605"/>
      <c r="E57" s="605"/>
      <c r="F57" s="605"/>
      <c r="G57" s="605"/>
      <c r="H57" s="641"/>
      <c r="I57" s="641"/>
      <c r="J57" s="641"/>
      <c r="K57" s="641"/>
      <c r="L57" s="641"/>
      <c r="M57" s="641"/>
      <c r="N57" s="641"/>
      <c r="O57" s="641"/>
      <c r="P57" s="641"/>
      <c r="Q57" s="641"/>
      <c r="R57" s="605">
        <f>+V57-T57+1</f>
        <v>92</v>
      </c>
      <c r="S57" s="641"/>
      <c r="T57" s="642">
        <v>43997</v>
      </c>
      <c r="U57" s="643"/>
      <c r="V57" s="642">
        <v>44088</v>
      </c>
      <c r="W57" s="607"/>
      <c r="X57" s="588"/>
    </row>
    <row r="58" spans="1:25" s="589" customFormat="1" x14ac:dyDescent="0.25">
      <c r="A58" s="604"/>
      <c r="B58" s="605" t="s">
        <v>122</v>
      </c>
      <c r="C58" s="605"/>
      <c r="D58" s="605"/>
      <c r="E58" s="605"/>
      <c r="F58" s="605"/>
      <c r="G58" s="605"/>
      <c r="H58" s="605"/>
      <c r="I58" s="605"/>
      <c r="J58" s="605"/>
      <c r="K58" s="605"/>
      <c r="L58" s="605"/>
      <c r="M58" s="605"/>
      <c r="N58" s="605"/>
      <c r="O58" s="605"/>
      <c r="P58" s="605"/>
      <c r="Q58" s="605"/>
      <c r="R58" s="605">
        <f>+V58-T58+1</f>
        <v>91</v>
      </c>
      <c r="S58" s="605"/>
      <c r="T58" s="642">
        <v>44089</v>
      </c>
      <c r="U58" s="643"/>
      <c r="V58" s="642">
        <v>44179</v>
      </c>
      <c r="W58" s="607"/>
      <c r="X58" s="588"/>
    </row>
    <row r="59" spans="1:25" s="589" customFormat="1" x14ac:dyDescent="0.25">
      <c r="A59" s="604"/>
      <c r="B59" s="605" t="s">
        <v>223</v>
      </c>
      <c r="C59" s="605"/>
      <c r="D59" s="605"/>
      <c r="E59" s="605"/>
      <c r="F59" s="605"/>
      <c r="G59" s="605"/>
      <c r="H59" s="605"/>
      <c r="I59" s="605"/>
      <c r="J59" s="605"/>
      <c r="K59" s="605"/>
      <c r="L59" s="605"/>
      <c r="M59" s="605"/>
      <c r="N59" s="605"/>
      <c r="O59" s="605"/>
      <c r="P59" s="605"/>
      <c r="Q59" s="605"/>
      <c r="R59" s="605"/>
      <c r="S59" s="605"/>
      <c r="T59" s="642"/>
      <c r="U59" s="643"/>
      <c r="V59" s="642" t="s">
        <v>120</v>
      </c>
      <c r="W59" s="607"/>
      <c r="X59" s="588"/>
    </row>
    <row r="60" spans="1:25" s="589" customFormat="1" x14ac:dyDescent="0.25">
      <c r="A60" s="604"/>
      <c r="B60" s="605" t="s">
        <v>271</v>
      </c>
      <c r="C60" s="605"/>
      <c r="D60" s="605"/>
      <c r="E60" s="605"/>
      <c r="F60" s="605"/>
      <c r="G60" s="605"/>
      <c r="H60" s="605"/>
      <c r="I60" s="605"/>
      <c r="J60" s="605"/>
      <c r="K60" s="605"/>
      <c r="L60" s="605"/>
      <c r="M60" s="605"/>
      <c r="N60" s="605"/>
      <c r="O60" s="605"/>
      <c r="P60" s="605"/>
      <c r="Q60" s="605"/>
      <c r="R60" s="605"/>
      <c r="S60" s="605"/>
      <c r="T60" s="642"/>
      <c r="U60" s="643"/>
      <c r="V60" s="642" t="s">
        <v>154</v>
      </c>
      <c r="W60" s="607"/>
      <c r="X60" s="588"/>
      <c r="Y60" s="644"/>
    </row>
    <row r="61" spans="1:25" s="589" customFormat="1" x14ac:dyDescent="0.25">
      <c r="A61" s="604"/>
      <c r="B61" s="605" t="s">
        <v>16</v>
      </c>
      <c r="C61" s="605"/>
      <c r="D61" s="605"/>
      <c r="E61" s="605"/>
      <c r="F61" s="605"/>
      <c r="G61" s="605"/>
      <c r="H61" s="605"/>
      <c r="I61" s="605"/>
      <c r="J61" s="605"/>
      <c r="K61" s="605"/>
      <c r="L61" s="605"/>
      <c r="M61" s="605"/>
      <c r="N61" s="605"/>
      <c r="O61" s="605"/>
      <c r="P61" s="605"/>
      <c r="Q61" s="605"/>
      <c r="R61" s="605"/>
      <c r="S61" s="605"/>
      <c r="T61" s="642"/>
      <c r="U61" s="643"/>
      <c r="V61" s="642">
        <v>44166</v>
      </c>
      <c r="W61" s="607"/>
      <c r="X61" s="588"/>
    </row>
    <row r="62" spans="1:25" s="589" customFormat="1" x14ac:dyDescent="0.25">
      <c r="A62" s="585"/>
      <c r="B62" s="602"/>
      <c r="C62" s="602"/>
      <c r="D62" s="602"/>
      <c r="E62" s="602"/>
      <c r="F62" s="602"/>
      <c r="G62" s="602"/>
      <c r="H62" s="602"/>
      <c r="I62" s="602"/>
      <c r="J62" s="602"/>
      <c r="K62" s="602"/>
      <c r="L62" s="602"/>
      <c r="M62" s="602"/>
      <c r="N62" s="602"/>
      <c r="O62" s="602"/>
      <c r="P62" s="602"/>
      <c r="Q62" s="602"/>
      <c r="R62" s="602"/>
      <c r="S62" s="602"/>
      <c r="T62" s="645"/>
      <c r="U62" s="646"/>
      <c r="V62" s="645"/>
      <c r="W62" s="602"/>
      <c r="X62" s="588"/>
    </row>
    <row r="63" spans="1:25" s="589" customFormat="1" x14ac:dyDescent="0.25">
      <c r="A63" s="585"/>
      <c r="B63" s="586"/>
      <c r="C63" s="586"/>
      <c r="D63" s="586"/>
      <c r="E63" s="586"/>
      <c r="F63" s="586"/>
      <c r="G63" s="586"/>
      <c r="H63" s="586"/>
      <c r="I63" s="586"/>
      <c r="J63" s="586"/>
      <c r="K63" s="586"/>
      <c r="L63" s="586"/>
      <c r="M63" s="586"/>
      <c r="N63" s="586"/>
      <c r="O63" s="586"/>
      <c r="P63" s="586"/>
      <c r="Q63" s="586"/>
      <c r="R63" s="586"/>
      <c r="S63" s="586"/>
      <c r="T63" s="647"/>
      <c r="U63" s="648"/>
      <c r="V63" s="647"/>
      <c r="W63" s="586"/>
      <c r="X63" s="588"/>
    </row>
    <row r="64" spans="1:25" s="589" customFormat="1" ht="19.5" thickBot="1" x14ac:dyDescent="0.35">
      <c r="A64" s="649"/>
      <c r="B64" s="568" t="s">
        <v>389</v>
      </c>
      <c r="C64" s="650"/>
      <c r="D64" s="650"/>
      <c r="E64" s="650"/>
      <c r="F64" s="650"/>
      <c r="G64" s="650"/>
      <c r="H64" s="650"/>
      <c r="I64" s="650"/>
      <c r="J64" s="650"/>
      <c r="K64" s="650"/>
      <c r="L64" s="650"/>
      <c r="M64" s="650"/>
      <c r="N64" s="650"/>
      <c r="O64" s="650"/>
      <c r="P64" s="650"/>
      <c r="Q64" s="650"/>
      <c r="R64" s="650"/>
      <c r="S64" s="650"/>
      <c r="T64" s="650"/>
      <c r="U64" s="650"/>
      <c r="V64" s="651"/>
      <c r="W64" s="652"/>
      <c r="X64" s="588"/>
    </row>
    <row r="65" spans="1:24" x14ac:dyDescent="0.25">
      <c r="A65" s="597"/>
      <c r="B65" s="653" t="s">
        <v>17</v>
      </c>
      <c r="C65" s="654"/>
      <c r="D65" s="654"/>
      <c r="E65" s="654"/>
      <c r="F65" s="654"/>
      <c r="G65" s="654"/>
      <c r="H65" s="654"/>
      <c r="I65" s="654"/>
      <c r="J65" s="654"/>
      <c r="K65" s="654"/>
      <c r="L65" s="654"/>
      <c r="M65" s="654"/>
      <c r="N65" s="654"/>
      <c r="O65" s="654"/>
      <c r="P65" s="654"/>
      <c r="Q65" s="654"/>
      <c r="R65" s="654"/>
      <c r="S65" s="654"/>
      <c r="T65" s="654"/>
      <c r="U65" s="654"/>
      <c r="V65" s="655"/>
      <c r="W65" s="654"/>
      <c r="X65" s="572"/>
    </row>
    <row r="66" spans="1:24" x14ac:dyDescent="0.25">
      <c r="A66" s="574"/>
      <c r="B66" s="583"/>
      <c r="C66" s="576"/>
      <c r="D66" s="576"/>
      <c r="E66" s="576"/>
      <c r="F66" s="576"/>
      <c r="G66" s="576"/>
      <c r="H66" s="576"/>
      <c r="I66" s="576"/>
      <c r="J66" s="576"/>
      <c r="K66" s="576"/>
      <c r="L66" s="576"/>
      <c r="M66" s="576"/>
      <c r="N66" s="576"/>
      <c r="O66" s="576"/>
      <c r="P66" s="576"/>
      <c r="Q66" s="576"/>
      <c r="R66" s="576"/>
      <c r="S66" s="576"/>
      <c r="T66" s="576"/>
      <c r="U66" s="576"/>
      <c r="V66" s="656"/>
      <c r="W66" s="576"/>
      <c r="X66" s="572"/>
    </row>
    <row r="67" spans="1:24" s="629" customFormat="1" ht="47.25" x14ac:dyDescent="0.25">
      <c r="A67" s="657"/>
      <c r="B67" s="658" t="s">
        <v>18</v>
      </c>
      <c r="C67" s="659"/>
      <c r="D67" s="659"/>
      <c r="E67" s="659"/>
      <c r="F67" s="659"/>
      <c r="G67" s="659"/>
      <c r="H67" s="659"/>
      <c r="I67" s="659"/>
      <c r="J67" s="659"/>
      <c r="K67" s="659"/>
      <c r="L67" s="659" t="s">
        <v>94</v>
      </c>
      <c r="M67" s="659"/>
      <c r="N67" s="659" t="s">
        <v>96</v>
      </c>
      <c r="O67" s="659"/>
      <c r="P67" s="659" t="s">
        <v>98</v>
      </c>
      <c r="Q67" s="659"/>
      <c r="R67" s="659" t="s">
        <v>100</v>
      </c>
      <c r="S67" s="659"/>
      <c r="T67" s="659" t="s">
        <v>106</v>
      </c>
      <c r="U67" s="659"/>
      <c r="V67" s="660" t="s">
        <v>112</v>
      </c>
      <c r="W67" s="661"/>
      <c r="X67" s="628"/>
    </row>
    <row r="68" spans="1:24" s="589" customFormat="1" x14ac:dyDescent="0.25">
      <c r="A68" s="604"/>
      <c r="B68" s="605" t="s">
        <v>19</v>
      </c>
      <c r="C68" s="662"/>
      <c r="D68" s="662"/>
      <c r="E68" s="662"/>
      <c r="F68" s="662"/>
      <c r="G68" s="662"/>
      <c r="H68" s="662"/>
      <c r="I68" s="662"/>
      <c r="J68" s="662"/>
      <c r="K68" s="662"/>
      <c r="L68" s="662">
        <v>812446</v>
      </c>
      <c r="M68" s="662"/>
      <c r="N68" s="663">
        <v>521681</v>
      </c>
      <c r="O68" s="662"/>
      <c r="P68" s="662">
        <v>521681</v>
      </c>
      <c r="Q68" s="662"/>
      <c r="R68" s="662">
        <v>0</v>
      </c>
      <c r="S68" s="662"/>
      <c r="T68" s="662">
        <v>0</v>
      </c>
      <c r="U68" s="662"/>
      <c r="V68" s="663">
        <f>+N68-P68+R68-T68</f>
        <v>0</v>
      </c>
      <c r="W68" s="607"/>
      <c r="X68" s="588"/>
    </row>
    <row r="69" spans="1:24" s="589" customFormat="1" x14ac:dyDescent="0.25">
      <c r="A69" s="604"/>
      <c r="B69" s="605" t="s">
        <v>20</v>
      </c>
      <c r="C69" s="662"/>
      <c r="D69" s="662"/>
      <c r="E69" s="662"/>
      <c r="F69" s="662"/>
      <c r="G69" s="662"/>
      <c r="H69" s="662"/>
      <c r="I69" s="662"/>
      <c r="J69" s="662"/>
      <c r="K69" s="662"/>
      <c r="L69" s="662">
        <v>0</v>
      </c>
      <c r="M69" s="662"/>
      <c r="N69" s="663">
        <v>0</v>
      </c>
      <c r="O69" s="662"/>
      <c r="P69" s="662">
        <v>0</v>
      </c>
      <c r="Q69" s="662"/>
      <c r="R69" s="662">
        <v>0</v>
      </c>
      <c r="S69" s="662"/>
      <c r="T69" s="662">
        <v>0</v>
      </c>
      <c r="U69" s="662"/>
      <c r="V69" s="663">
        <f>+L69-P69</f>
        <v>0</v>
      </c>
      <c r="W69" s="607"/>
      <c r="X69" s="588"/>
    </row>
    <row r="70" spans="1:24" s="589" customFormat="1" x14ac:dyDescent="0.25">
      <c r="A70" s="604"/>
      <c r="B70" s="605"/>
      <c r="C70" s="662"/>
      <c r="D70" s="662"/>
      <c r="E70" s="662"/>
      <c r="F70" s="662"/>
      <c r="G70" s="662"/>
      <c r="H70" s="662"/>
      <c r="I70" s="662"/>
      <c r="J70" s="662"/>
      <c r="K70" s="662"/>
      <c r="L70" s="662"/>
      <c r="M70" s="662"/>
      <c r="N70" s="663"/>
      <c r="O70" s="662"/>
      <c r="P70" s="662"/>
      <c r="Q70" s="662"/>
      <c r="R70" s="662"/>
      <c r="S70" s="662"/>
      <c r="T70" s="662"/>
      <c r="U70" s="662"/>
      <c r="V70" s="663"/>
      <c r="W70" s="607"/>
      <c r="X70" s="588"/>
    </row>
    <row r="71" spans="1:24" s="589" customFormat="1" x14ac:dyDescent="0.25">
      <c r="A71" s="604"/>
      <c r="B71" s="605" t="s">
        <v>21</v>
      </c>
      <c r="C71" s="662"/>
      <c r="D71" s="662"/>
      <c r="E71" s="662"/>
      <c r="F71" s="662"/>
      <c r="G71" s="662"/>
      <c r="H71" s="662"/>
      <c r="I71" s="662"/>
      <c r="J71" s="662"/>
      <c r="K71" s="662"/>
      <c r="L71" s="662">
        <f>SUM(L68:L70)</f>
        <v>812446</v>
      </c>
      <c r="M71" s="662"/>
      <c r="N71" s="662">
        <f>N68+N69</f>
        <v>521681</v>
      </c>
      <c r="O71" s="662"/>
      <c r="P71" s="662">
        <f>SUM(P68:P70)</f>
        <v>521681</v>
      </c>
      <c r="Q71" s="662"/>
      <c r="R71" s="662">
        <f>SUM(R68:R70)</f>
        <v>0</v>
      </c>
      <c r="S71" s="662"/>
      <c r="T71" s="662">
        <f>SUM(T68:T70)</f>
        <v>0</v>
      </c>
      <c r="U71" s="662"/>
      <c r="V71" s="662">
        <f>SUM(V68:V70)</f>
        <v>0</v>
      </c>
      <c r="W71" s="607"/>
      <c r="X71" s="588"/>
    </row>
    <row r="72" spans="1:24" x14ac:dyDescent="0.25">
      <c r="A72" s="574"/>
      <c r="B72" s="664"/>
      <c r="C72" s="665"/>
      <c r="D72" s="665"/>
      <c r="E72" s="665"/>
      <c r="F72" s="665"/>
      <c r="G72" s="665"/>
      <c r="H72" s="665"/>
      <c r="I72" s="665"/>
      <c r="J72" s="665"/>
      <c r="K72" s="665"/>
      <c r="L72" s="665"/>
      <c r="M72" s="665"/>
      <c r="N72" s="665"/>
      <c r="O72" s="665"/>
      <c r="P72" s="665"/>
      <c r="Q72" s="665"/>
      <c r="R72" s="665"/>
      <c r="S72" s="665"/>
      <c r="T72" s="665"/>
      <c r="U72" s="665"/>
      <c r="V72" s="666"/>
      <c r="W72" s="664"/>
      <c r="X72" s="572"/>
    </row>
    <row r="73" spans="1:24" x14ac:dyDescent="0.25">
      <c r="A73" s="574"/>
      <c r="B73" s="578" t="s">
        <v>22</v>
      </c>
      <c r="C73" s="667"/>
      <c r="D73" s="667"/>
      <c r="E73" s="667"/>
      <c r="F73" s="667"/>
      <c r="G73" s="667"/>
      <c r="H73" s="667"/>
      <c r="I73" s="667"/>
      <c r="J73" s="667"/>
      <c r="K73" s="667"/>
      <c r="L73" s="667"/>
      <c r="M73" s="667"/>
      <c r="N73" s="667"/>
      <c r="O73" s="667"/>
      <c r="P73" s="667"/>
      <c r="Q73" s="667"/>
      <c r="R73" s="667"/>
      <c r="S73" s="667"/>
      <c r="T73" s="667"/>
      <c r="U73" s="667"/>
      <c r="V73" s="668"/>
      <c r="W73" s="576"/>
      <c r="X73" s="572"/>
    </row>
    <row r="74" spans="1:24" x14ac:dyDescent="0.25">
      <c r="A74" s="574"/>
      <c r="B74" s="576"/>
      <c r="C74" s="667"/>
      <c r="D74" s="667"/>
      <c r="E74" s="667"/>
      <c r="F74" s="667"/>
      <c r="G74" s="667"/>
      <c r="H74" s="667"/>
      <c r="I74" s="667"/>
      <c r="J74" s="667"/>
      <c r="K74" s="667"/>
      <c r="L74" s="667"/>
      <c r="M74" s="667"/>
      <c r="N74" s="667"/>
      <c r="O74" s="667"/>
      <c r="P74" s="667"/>
      <c r="Q74" s="667"/>
      <c r="R74" s="667"/>
      <c r="S74" s="667"/>
      <c r="T74" s="667"/>
      <c r="U74" s="667"/>
      <c r="V74" s="668"/>
      <c r="W74" s="576"/>
      <c r="X74" s="572"/>
    </row>
    <row r="75" spans="1:24" s="589" customFormat="1" x14ac:dyDescent="0.25">
      <c r="A75" s="604"/>
      <c r="B75" s="605" t="s">
        <v>19</v>
      </c>
      <c r="C75" s="662"/>
      <c r="D75" s="662"/>
      <c r="E75" s="662"/>
      <c r="F75" s="662"/>
      <c r="G75" s="662"/>
      <c r="H75" s="662"/>
      <c r="I75" s="662"/>
      <c r="J75" s="662"/>
      <c r="K75" s="662"/>
      <c r="L75" s="662"/>
      <c r="M75" s="662"/>
      <c r="N75" s="662"/>
      <c r="O75" s="662"/>
      <c r="P75" s="662"/>
      <c r="Q75" s="662"/>
      <c r="R75" s="662"/>
      <c r="S75" s="662"/>
      <c r="T75" s="662"/>
      <c r="U75" s="662"/>
      <c r="V75" s="662"/>
      <c r="W75" s="607"/>
      <c r="X75" s="588"/>
    </row>
    <row r="76" spans="1:24" s="589" customFormat="1" x14ac:dyDescent="0.25">
      <c r="A76" s="604"/>
      <c r="B76" s="605" t="s">
        <v>20</v>
      </c>
      <c r="C76" s="662"/>
      <c r="D76" s="662"/>
      <c r="E76" s="662"/>
      <c r="F76" s="662"/>
      <c r="G76" s="662"/>
      <c r="H76" s="662"/>
      <c r="I76" s="662"/>
      <c r="J76" s="662"/>
      <c r="K76" s="662"/>
      <c r="L76" s="662"/>
      <c r="M76" s="662"/>
      <c r="N76" s="662"/>
      <c r="O76" s="662"/>
      <c r="P76" s="662"/>
      <c r="Q76" s="662"/>
      <c r="R76" s="662"/>
      <c r="S76" s="662"/>
      <c r="T76" s="662"/>
      <c r="U76" s="662"/>
      <c r="V76" s="662"/>
      <c r="W76" s="607"/>
      <c r="X76" s="588"/>
    </row>
    <row r="77" spans="1:24" s="589" customFormat="1" x14ac:dyDescent="0.25">
      <c r="A77" s="604"/>
      <c r="B77" s="605"/>
      <c r="C77" s="662"/>
      <c r="D77" s="662"/>
      <c r="E77" s="662"/>
      <c r="F77" s="662"/>
      <c r="G77" s="662"/>
      <c r="H77" s="662"/>
      <c r="I77" s="662"/>
      <c r="J77" s="662"/>
      <c r="K77" s="662"/>
      <c r="L77" s="662"/>
      <c r="M77" s="662"/>
      <c r="N77" s="662"/>
      <c r="O77" s="662"/>
      <c r="P77" s="662"/>
      <c r="Q77" s="662"/>
      <c r="R77" s="662"/>
      <c r="S77" s="662"/>
      <c r="T77" s="662"/>
      <c r="U77" s="662"/>
      <c r="V77" s="662"/>
      <c r="W77" s="607"/>
      <c r="X77" s="588"/>
    </row>
    <row r="78" spans="1:24" s="589" customFormat="1" x14ac:dyDescent="0.25">
      <c r="A78" s="604"/>
      <c r="B78" s="605" t="s">
        <v>21</v>
      </c>
      <c r="C78" s="662"/>
      <c r="D78" s="662"/>
      <c r="E78" s="662"/>
      <c r="F78" s="662"/>
      <c r="G78" s="662"/>
      <c r="H78" s="662"/>
      <c r="I78" s="662"/>
      <c r="J78" s="662"/>
      <c r="K78" s="662"/>
      <c r="L78" s="662"/>
      <c r="M78" s="662"/>
      <c r="N78" s="662"/>
      <c r="O78" s="662"/>
      <c r="P78" s="662"/>
      <c r="Q78" s="662"/>
      <c r="R78" s="662"/>
      <c r="S78" s="662"/>
      <c r="T78" s="662"/>
      <c r="U78" s="662"/>
      <c r="V78" s="662"/>
      <c r="W78" s="607"/>
      <c r="X78" s="588"/>
    </row>
    <row r="79" spans="1:24" s="589" customFormat="1" x14ac:dyDescent="0.25">
      <c r="A79" s="604"/>
      <c r="B79" s="605"/>
      <c r="C79" s="662"/>
      <c r="D79" s="662"/>
      <c r="E79" s="662"/>
      <c r="F79" s="662"/>
      <c r="G79" s="662"/>
      <c r="H79" s="662"/>
      <c r="I79" s="662"/>
      <c r="J79" s="662"/>
      <c r="K79" s="662"/>
      <c r="L79" s="662"/>
      <c r="M79" s="662"/>
      <c r="N79" s="662"/>
      <c r="O79" s="662"/>
      <c r="P79" s="662"/>
      <c r="Q79" s="662"/>
      <c r="R79" s="662"/>
      <c r="S79" s="662"/>
      <c r="T79" s="662"/>
      <c r="U79" s="662"/>
      <c r="V79" s="662"/>
      <c r="W79" s="607"/>
      <c r="X79" s="588"/>
    </row>
    <row r="80" spans="1:24" s="589" customFormat="1" x14ac:dyDescent="0.25">
      <c r="A80" s="604"/>
      <c r="B80" s="605" t="s">
        <v>23</v>
      </c>
      <c r="C80" s="662"/>
      <c r="D80" s="662"/>
      <c r="E80" s="662"/>
      <c r="F80" s="662"/>
      <c r="G80" s="662"/>
      <c r="H80" s="662"/>
      <c r="I80" s="662"/>
      <c r="J80" s="662"/>
      <c r="K80" s="662"/>
      <c r="L80" s="662">
        <v>0</v>
      </c>
      <c r="M80" s="662"/>
      <c r="N80" s="662">
        <v>0</v>
      </c>
      <c r="O80" s="662"/>
      <c r="P80" s="662"/>
      <c r="Q80" s="662"/>
      <c r="R80" s="662"/>
      <c r="S80" s="662"/>
      <c r="T80" s="662"/>
      <c r="U80" s="662"/>
      <c r="V80" s="663">
        <v>0</v>
      </c>
      <c r="W80" s="607"/>
      <c r="X80" s="588"/>
    </row>
    <row r="81" spans="1:24" s="589" customFormat="1" x14ac:dyDescent="0.25">
      <c r="A81" s="604"/>
      <c r="B81" s="605" t="s">
        <v>117</v>
      </c>
      <c r="C81" s="662"/>
      <c r="D81" s="662"/>
      <c r="E81" s="662"/>
      <c r="F81" s="662"/>
      <c r="G81" s="662"/>
      <c r="H81" s="662"/>
      <c r="I81" s="662"/>
      <c r="J81" s="662"/>
      <c r="K81" s="662"/>
      <c r="L81" s="662">
        <v>188687</v>
      </c>
      <c r="M81" s="662"/>
      <c r="N81" s="662">
        <v>0</v>
      </c>
      <c r="O81" s="662"/>
      <c r="P81" s="662">
        <v>0</v>
      </c>
      <c r="Q81" s="662"/>
      <c r="R81" s="662"/>
      <c r="S81" s="662"/>
      <c r="T81" s="662"/>
      <c r="U81" s="662"/>
      <c r="V81" s="662">
        <f>SUM(N81:R81)</f>
        <v>0</v>
      </c>
      <c r="W81" s="607"/>
      <c r="X81" s="588"/>
    </row>
    <row r="82" spans="1:24" s="589" customFormat="1" x14ac:dyDescent="0.25">
      <c r="A82" s="604"/>
      <c r="B82" s="605" t="s">
        <v>146</v>
      </c>
      <c r="C82" s="662"/>
      <c r="D82" s="662"/>
      <c r="E82" s="662"/>
      <c r="F82" s="662"/>
      <c r="G82" s="662"/>
      <c r="H82" s="662"/>
      <c r="I82" s="662"/>
      <c r="J82" s="662"/>
      <c r="K82" s="662"/>
      <c r="L82" s="662">
        <v>0</v>
      </c>
      <c r="M82" s="662"/>
      <c r="N82" s="662">
        <v>0</v>
      </c>
      <c r="O82" s="662"/>
      <c r="P82" s="662">
        <v>0</v>
      </c>
      <c r="Q82" s="662"/>
      <c r="R82" s="662"/>
      <c r="S82" s="662"/>
      <c r="T82" s="662"/>
      <c r="U82" s="662"/>
      <c r="V82" s="662">
        <f>+N82+P82</f>
        <v>0</v>
      </c>
      <c r="W82" s="607"/>
      <c r="X82" s="588"/>
    </row>
    <row r="83" spans="1:24" s="589" customFormat="1" x14ac:dyDescent="0.25">
      <c r="A83" s="604"/>
      <c r="B83" s="605" t="s">
        <v>25</v>
      </c>
      <c r="C83" s="662"/>
      <c r="D83" s="662"/>
      <c r="E83" s="662"/>
      <c r="F83" s="662"/>
      <c r="G83" s="662"/>
      <c r="H83" s="662"/>
      <c r="I83" s="662"/>
      <c r="J83" s="662"/>
      <c r="K83" s="662"/>
      <c r="L83" s="662">
        <v>0</v>
      </c>
      <c r="M83" s="662"/>
      <c r="N83" s="662">
        <v>0</v>
      </c>
      <c r="O83" s="662"/>
      <c r="P83" s="662"/>
      <c r="Q83" s="662"/>
      <c r="R83" s="662"/>
      <c r="S83" s="662"/>
      <c r="T83" s="662"/>
      <c r="U83" s="662"/>
      <c r="V83" s="662">
        <v>0</v>
      </c>
      <c r="W83" s="607"/>
      <c r="X83" s="588"/>
    </row>
    <row r="84" spans="1:24" s="589" customFormat="1" x14ac:dyDescent="0.25">
      <c r="A84" s="604"/>
      <c r="B84" s="605" t="s">
        <v>26</v>
      </c>
      <c r="C84" s="662"/>
      <c r="D84" s="662"/>
      <c r="E84" s="662"/>
      <c r="F84" s="662"/>
      <c r="G84" s="662"/>
      <c r="H84" s="662"/>
      <c r="I84" s="662"/>
      <c r="J84" s="662"/>
      <c r="K84" s="662"/>
      <c r="L84" s="662">
        <f>SUM(L71:L83)</f>
        <v>1001133</v>
      </c>
      <c r="M84" s="662"/>
      <c r="N84" s="662">
        <f>SUM(N71:N83)</f>
        <v>521681</v>
      </c>
      <c r="O84" s="662"/>
      <c r="P84" s="662"/>
      <c r="Q84" s="662"/>
      <c r="R84" s="662"/>
      <c r="S84" s="662"/>
      <c r="T84" s="662"/>
      <c r="U84" s="662"/>
      <c r="V84" s="662">
        <f>SUM(V71:V83)</f>
        <v>0</v>
      </c>
      <c r="W84" s="607"/>
      <c r="X84" s="588"/>
    </row>
    <row r="85" spans="1:24" x14ac:dyDescent="0.25">
      <c r="A85" s="574"/>
      <c r="B85" s="664"/>
      <c r="C85" s="665"/>
      <c r="D85" s="665"/>
      <c r="E85" s="665"/>
      <c r="F85" s="665"/>
      <c r="G85" s="665"/>
      <c r="H85" s="665"/>
      <c r="I85" s="665"/>
      <c r="J85" s="665"/>
      <c r="K85" s="665"/>
      <c r="L85" s="665"/>
      <c r="M85" s="665"/>
      <c r="N85" s="665"/>
      <c r="O85" s="665"/>
      <c r="P85" s="665"/>
      <c r="Q85" s="665"/>
      <c r="R85" s="665"/>
      <c r="S85" s="665"/>
      <c r="T85" s="665"/>
      <c r="U85" s="665"/>
      <c r="V85" s="666"/>
      <c r="W85" s="664"/>
      <c r="X85" s="572"/>
    </row>
    <row r="86" spans="1:24" x14ac:dyDescent="0.25">
      <c r="A86" s="574"/>
      <c r="B86" s="576"/>
      <c r="C86" s="576"/>
      <c r="D86" s="576"/>
      <c r="E86" s="576"/>
      <c r="F86" s="576"/>
      <c r="G86" s="576"/>
      <c r="H86" s="576"/>
      <c r="I86" s="576"/>
      <c r="J86" s="576"/>
      <c r="K86" s="576"/>
      <c r="L86" s="576"/>
      <c r="M86" s="576"/>
      <c r="N86" s="576"/>
      <c r="O86" s="576"/>
      <c r="P86" s="576"/>
      <c r="Q86" s="576"/>
      <c r="R86" s="576"/>
      <c r="S86" s="576"/>
      <c r="T86" s="576"/>
      <c r="U86" s="576"/>
      <c r="V86" s="576"/>
      <c r="W86" s="576"/>
      <c r="X86" s="572"/>
    </row>
    <row r="87" spans="1:24" x14ac:dyDescent="0.25">
      <c r="A87" s="597"/>
      <c r="B87" s="669" t="s">
        <v>27</v>
      </c>
      <c r="C87" s="669"/>
      <c r="D87" s="669"/>
      <c r="E87" s="669"/>
      <c r="F87" s="669"/>
      <c r="G87" s="669"/>
      <c r="H87" s="670"/>
      <c r="I87" s="670"/>
      <c r="J87" s="670"/>
      <c r="K87" s="670"/>
      <c r="L87" s="671" t="s">
        <v>95</v>
      </c>
      <c r="M87" s="670"/>
      <c r="N87" s="672">
        <f>+T206</f>
        <v>44165</v>
      </c>
      <c r="O87" s="670"/>
      <c r="P87" s="670"/>
      <c r="Q87" s="670"/>
      <c r="R87" s="670"/>
      <c r="S87" s="670"/>
      <c r="T87" s="670" t="s">
        <v>107</v>
      </c>
      <c r="U87" s="670"/>
      <c r="V87" s="670" t="s">
        <v>113</v>
      </c>
      <c r="W87" s="601"/>
      <c r="X87" s="572"/>
    </row>
    <row r="88" spans="1:24" s="589" customFormat="1" x14ac:dyDescent="0.25">
      <c r="A88" s="585"/>
      <c r="B88" s="602" t="s">
        <v>28</v>
      </c>
      <c r="C88" s="602"/>
      <c r="D88" s="602"/>
      <c r="E88" s="602"/>
      <c r="F88" s="602"/>
      <c r="G88" s="602"/>
      <c r="H88" s="602"/>
      <c r="I88" s="602"/>
      <c r="J88" s="602"/>
      <c r="K88" s="602"/>
      <c r="L88" s="602"/>
      <c r="M88" s="602"/>
      <c r="N88" s="602"/>
      <c r="O88" s="602"/>
      <c r="P88" s="602"/>
      <c r="Q88" s="602"/>
      <c r="R88" s="602"/>
      <c r="S88" s="602"/>
      <c r="T88" s="673">
        <v>0</v>
      </c>
      <c r="U88" s="602"/>
      <c r="V88" s="674">
        <v>0</v>
      </c>
      <c r="W88" s="602"/>
      <c r="X88" s="588"/>
    </row>
    <row r="89" spans="1:24" s="589" customFormat="1" x14ac:dyDescent="0.25">
      <c r="A89" s="604"/>
      <c r="B89" s="605" t="s">
        <v>29</v>
      </c>
      <c r="C89" s="605"/>
      <c r="D89" s="605"/>
      <c r="E89" s="605"/>
      <c r="F89" s="605"/>
      <c r="G89" s="605"/>
      <c r="H89" s="635"/>
      <c r="I89" s="635"/>
      <c r="J89" s="635"/>
      <c r="K89" s="675"/>
      <c r="L89" s="635"/>
      <c r="M89" s="605"/>
      <c r="N89" s="676"/>
      <c r="O89" s="605"/>
      <c r="P89" s="605"/>
      <c r="Q89" s="605"/>
      <c r="R89" s="605"/>
      <c r="S89" s="605"/>
      <c r="T89" s="662">
        <f>521681-8</f>
        <v>521673</v>
      </c>
      <c r="U89" s="605"/>
      <c r="V89" s="663"/>
      <c r="W89" s="607"/>
      <c r="X89" s="588"/>
    </row>
    <row r="90" spans="1:24" s="589" customFormat="1" x14ac:dyDescent="0.25">
      <c r="A90" s="604"/>
      <c r="B90" s="605" t="s">
        <v>215</v>
      </c>
      <c r="C90" s="605"/>
      <c r="D90" s="605"/>
      <c r="E90" s="605"/>
      <c r="F90" s="605"/>
      <c r="G90" s="605"/>
      <c r="H90" s="635"/>
      <c r="I90" s="635"/>
      <c r="J90" s="635"/>
      <c r="K90" s="675"/>
      <c r="L90" s="635"/>
      <c r="M90" s="605"/>
      <c r="N90" s="676"/>
      <c r="O90" s="605"/>
      <c r="P90" s="605"/>
      <c r="Q90" s="605"/>
      <c r="R90" s="605"/>
      <c r="S90" s="605"/>
      <c r="T90" s="662"/>
      <c r="U90" s="605"/>
      <c r="V90" s="663">
        <f>2127+1724-438-636</f>
        <v>2777</v>
      </c>
      <c r="W90" s="607"/>
      <c r="X90" s="588"/>
    </row>
    <row r="91" spans="1:24" s="589" customFormat="1" x14ac:dyDescent="0.25">
      <c r="A91" s="604"/>
      <c r="B91" s="605" t="s">
        <v>210</v>
      </c>
      <c r="C91" s="605"/>
      <c r="D91" s="605"/>
      <c r="E91" s="605"/>
      <c r="F91" s="605"/>
      <c r="G91" s="605"/>
      <c r="H91" s="635"/>
      <c r="I91" s="635"/>
      <c r="J91" s="635"/>
      <c r="K91" s="675"/>
      <c r="L91" s="635"/>
      <c r="M91" s="605"/>
      <c r="N91" s="676"/>
      <c r="O91" s="605"/>
      <c r="P91" s="605"/>
      <c r="Q91" s="605"/>
      <c r="R91" s="605"/>
      <c r="S91" s="605"/>
      <c r="T91" s="662"/>
      <c r="U91" s="605"/>
      <c r="V91" s="663">
        <f>31+60</f>
        <v>91</v>
      </c>
      <c r="W91" s="607"/>
      <c r="X91" s="588"/>
    </row>
    <row r="92" spans="1:24" s="589" customFormat="1" x14ac:dyDescent="0.25">
      <c r="A92" s="604"/>
      <c r="B92" s="605" t="s">
        <v>211</v>
      </c>
      <c r="C92" s="605"/>
      <c r="D92" s="605"/>
      <c r="E92" s="605"/>
      <c r="F92" s="605"/>
      <c r="G92" s="605"/>
      <c r="H92" s="635"/>
      <c r="I92" s="635"/>
      <c r="J92" s="635"/>
      <c r="K92" s="675"/>
      <c r="L92" s="635"/>
      <c r="M92" s="605"/>
      <c r="N92" s="676"/>
      <c r="O92" s="605"/>
      <c r="P92" s="605"/>
      <c r="Q92" s="605"/>
      <c r="R92" s="605"/>
      <c r="S92" s="605"/>
      <c r="T92" s="662"/>
      <c r="U92" s="605"/>
      <c r="V92" s="663">
        <v>14</v>
      </c>
      <c r="W92" s="607"/>
      <c r="X92" s="588"/>
    </row>
    <row r="93" spans="1:24" s="589" customFormat="1" x14ac:dyDescent="0.25">
      <c r="A93" s="604"/>
      <c r="B93" s="605" t="s">
        <v>233</v>
      </c>
      <c r="C93" s="605"/>
      <c r="D93" s="605"/>
      <c r="E93" s="605"/>
      <c r="F93" s="605"/>
      <c r="G93" s="605"/>
      <c r="H93" s="635"/>
      <c r="I93" s="635"/>
      <c r="J93" s="635"/>
      <c r="K93" s="675"/>
      <c r="L93" s="635"/>
      <c r="M93" s="605"/>
      <c r="N93" s="676"/>
      <c r="O93" s="605"/>
      <c r="P93" s="605"/>
      <c r="Q93" s="605"/>
      <c r="R93" s="605"/>
      <c r="S93" s="605"/>
      <c r="T93" s="662"/>
      <c r="U93" s="605"/>
      <c r="V93" s="663">
        <v>0</v>
      </c>
      <c r="W93" s="607"/>
      <c r="X93" s="588"/>
    </row>
    <row r="94" spans="1:24" s="589" customFormat="1" x14ac:dyDescent="0.25">
      <c r="A94" s="604"/>
      <c r="B94" s="605" t="s">
        <v>235</v>
      </c>
      <c r="C94" s="605"/>
      <c r="D94" s="605"/>
      <c r="E94" s="605"/>
      <c r="F94" s="605"/>
      <c r="G94" s="605"/>
      <c r="H94" s="635"/>
      <c r="I94" s="635"/>
      <c r="J94" s="635"/>
      <c r="K94" s="675"/>
      <c r="L94" s="635"/>
      <c r="M94" s="605"/>
      <c r="N94" s="676"/>
      <c r="O94" s="605"/>
      <c r="P94" s="605"/>
      <c r="Q94" s="605"/>
      <c r="R94" s="605"/>
      <c r="S94" s="605"/>
      <c r="T94" s="662"/>
      <c r="U94" s="605"/>
      <c r="V94" s="663">
        <v>0</v>
      </c>
      <c r="W94" s="607"/>
      <c r="X94" s="588"/>
    </row>
    <row r="95" spans="1:24" s="589" customFormat="1" x14ac:dyDescent="0.25">
      <c r="A95" s="604"/>
      <c r="B95" s="605" t="s">
        <v>135</v>
      </c>
      <c r="C95" s="605"/>
      <c r="D95" s="605"/>
      <c r="E95" s="605"/>
      <c r="F95" s="605"/>
      <c r="G95" s="605"/>
      <c r="H95" s="605"/>
      <c r="I95" s="605"/>
      <c r="J95" s="605"/>
      <c r="K95" s="605"/>
      <c r="L95" s="605"/>
      <c r="M95" s="605"/>
      <c r="N95" s="605"/>
      <c r="O95" s="605"/>
      <c r="P95" s="605"/>
      <c r="Q95" s="605"/>
      <c r="R95" s="605"/>
      <c r="S95" s="605"/>
      <c r="T95" s="662"/>
      <c r="U95" s="605"/>
      <c r="V95" s="663">
        <v>0</v>
      </c>
      <c r="W95" s="607"/>
      <c r="X95" s="588"/>
    </row>
    <row r="96" spans="1:24" s="589" customFormat="1" x14ac:dyDescent="0.25">
      <c r="A96" s="604"/>
      <c r="B96" s="605" t="s">
        <v>272</v>
      </c>
      <c r="C96" s="605"/>
      <c r="D96" s="605"/>
      <c r="E96" s="605"/>
      <c r="F96" s="605"/>
      <c r="G96" s="605"/>
      <c r="H96" s="605"/>
      <c r="I96" s="605"/>
      <c r="J96" s="605"/>
      <c r="K96" s="605"/>
      <c r="L96" s="605"/>
      <c r="M96" s="605"/>
      <c r="N96" s="605"/>
      <c r="O96" s="605"/>
      <c r="P96" s="605"/>
      <c r="Q96" s="605"/>
      <c r="R96" s="605"/>
      <c r="S96" s="605"/>
      <c r="T96" s="662"/>
      <c r="U96" s="605"/>
      <c r="V96" s="663">
        <v>0</v>
      </c>
      <c r="W96" s="607"/>
      <c r="X96" s="588"/>
    </row>
    <row r="97" spans="1:25" s="589" customFormat="1" x14ac:dyDescent="0.25">
      <c r="A97" s="604"/>
      <c r="B97" s="812" t="s">
        <v>390</v>
      </c>
      <c r="C97" s="605"/>
      <c r="D97" s="605"/>
      <c r="E97" s="605"/>
      <c r="F97" s="605"/>
      <c r="G97" s="605"/>
      <c r="H97" s="605"/>
      <c r="I97" s="605"/>
      <c r="J97" s="605"/>
      <c r="K97" s="605"/>
      <c r="L97" s="605"/>
      <c r="M97" s="605"/>
      <c r="N97" s="605"/>
      <c r="O97" s="605"/>
      <c r="P97" s="605"/>
      <c r="Q97" s="605"/>
      <c r="R97" s="605"/>
      <c r="S97" s="605"/>
      <c r="T97" s="662"/>
      <c r="U97" s="605"/>
      <c r="V97" s="663">
        <v>19022</v>
      </c>
      <c r="W97" s="607"/>
      <c r="X97" s="588"/>
    </row>
    <row r="98" spans="1:25" s="589" customFormat="1" x14ac:dyDescent="0.25">
      <c r="A98" s="604"/>
      <c r="B98" s="605" t="s">
        <v>30</v>
      </c>
      <c r="C98" s="605"/>
      <c r="D98" s="605"/>
      <c r="E98" s="605"/>
      <c r="F98" s="605"/>
      <c r="G98" s="605"/>
      <c r="H98" s="605"/>
      <c r="I98" s="605"/>
      <c r="J98" s="605"/>
      <c r="K98" s="605"/>
      <c r="L98" s="605"/>
      <c r="M98" s="605"/>
      <c r="N98" s="605"/>
      <c r="O98" s="605"/>
      <c r="P98" s="605"/>
      <c r="Q98" s="605"/>
      <c r="R98" s="605"/>
      <c r="S98" s="605"/>
      <c r="T98" s="662">
        <f>SUM(T88:T96)</f>
        <v>521673</v>
      </c>
      <c r="U98" s="605"/>
      <c r="V98" s="662">
        <f>SUM(V88:V97)</f>
        <v>21904</v>
      </c>
      <c r="W98" s="607"/>
      <c r="X98" s="588"/>
    </row>
    <row r="99" spans="1:25" s="589" customFormat="1" x14ac:dyDescent="0.25">
      <c r="A99" s="604"/>
      <c r="B99" s="605" t="s">
        <v>161</v>
      </c>
      <c r="C99" s="605"/>
      <c r="D99" s="605"/>
      <c r="E99" s="605"/>
      <c r="F99" s="605"/>
      <c r="G99" s="605"/>
      <c r="H99" s="605"/>
      <c r="I99" s="605"/>
      <c r="J99" s="605"/>
      <c r="K99" s="605"/>
      <c r="L99" s="605"/>
      <c r="M99" s="605"/>
      <c r="N99" s="605"/>
      <c r="O99" s="605"/>
      <c r="P99" s="605"/>
      <c r="Q99" s="605"/>
      <c r="R99" s="605"/>
      <c r="S99" s="605"/>
      <c r="T99" s="662">
        <f>-V99</f>
        <v>0</v>
      </c>
      <c r="U99" s="605"/>
      <c r="V99" s="662">
        <v>0</v>
      </c>
      <c r="W99" s="607"/>
      <c r="X99" s="588"/>
    </row>
    <row r="100" spans="1:25" s="589" customFormat="1" x14ac:dyDescent="0.25">
      <c r="A100" s="604"/>
      <c r="B100" s="605" t="s">
        <v>31</v>
      </c>
      <c r="C100" s="605"/>
      <c r="D100" s="605"/>
      <c r="E100" s="605"/>
      <c r="F100" s="605"/>
      <c r="G100" s="605"/>
      <c r="H100" s="605"/>
      <c r="I100" s="605"/>
      <c r="J100" s="605"/>
      <c r="K100" s="605"/>
      <c r="L100" s="605"/>
      <c r="M100" s="605"/>
      <c r="N100" s="605"/>
      <c r="O100" s="605"/>
      <c r="P100" s="605"/>
      <c r="Q100" s="605"/>
      <c r="R100" s="605"/>
      <c r="S100" s="605"/>
      <c r="T100" s="662">
        <f>-V100</f>
        <v>0</v>
      </c>
      <c r="U100" s="605"/>
      <c r="V100" s="663">
        <v>0</v>
      </c>
      <c r="W100" s="607"/>
      <c r="X100" s="588"/>
    </row>
    <row r="101" spans="1:25" s="589" customFormat="1" x14ac:dyDescent="0.25">
      <c r="A101" s="604"/>
      <c r="B101" s="605" t="s">
        <v>274</v>
      </c>
      <c r="C101" s="605"/>
      <c r="D101" s="605"/>
      <c r="E101" s="605"/>
      <c r="F101" s="605"/>
      <c r="G101" s="605"/>
      <c r="H101" s="605"/>
      <c r="I101" s="605"/>
      <c r="J101" s="605"/>
      <c r="K101" s="605"/>
      <c r="L101" s="605"/>
      <c r="M101" s="605"/>
      <c r="N101" s="605"/>
      <c r="O101" s="605"/>
      <c r="P101" s="605"/>
      <c r="Q101" s="605"/>
      <c r="R101" s="605"/>
      <c r="S101" s="605"/>
      <c r="T101" s="662"/>
      <c r="U101" s="605"/>
      <c r="V101" s="663">
        <v>183</v>
      </c>
      <c r="W101" s="607"/>
      <c r="X101" s="588"/>
    </row>
    <row r="102" spans="1:25" s="589" customFormat="1" x14ac:dyDescent="0.25">
      <c r="A102" s="604"/>
      <c r="B102" s="605" t="s">
        <v>32</v>
      </c>
      <c r="C102" s="605"/>
      <c r="D102" s="605"/>
      <c r="E102" s="605"/>
      <c r="F102" s="605"/>
      <c r="G102" s="605"/>
      <c r="H102" s="605"/>
      <c r="I102" s="605"/>
      <c r="J102" s="605"/>
      <c r="K102" s="605"/>
      <c r="L102" s="605"/>
      <c r="M102" s="605"/>
      <c r="N102" s="605"/>
      <c r="O102" s="605"/>
      <c r="P102" s="605"/>
      <c r="Q102" s="605"/>
      <c r="R102" s="605"/>
      <c r="S102" s="605"/>
      <c r="T102" s="662">
        <f>T98+T100+T99</f>
        <v>521673</v>
      </c>
      <c r="U102" s="605"/>
      <c r="V102" s="662">
        <f>V98+V100+V99+V101</f>
        <v>22087</v>
      </c>
      <c r="W102" s="607"/>
      <c r="X102" s="588"/>
    </row>
    <row r="103" spans="1:25" x14ac:dyDescent="0.25">
      <c r="A103" s="677"/>
      <c r="B103" s="678" t="s">
        <v>33</v>
      </c>
      <c r="C103" s="679"/>
      <c r="D103" s="679"/>
      <c r="E103" s="679"/>
      <c r="F103" s="679"/>
      <c r="G103" s="679"/>
      <c r="H103" s="679"/>
      <c r="I103" s="679"/>
      <c r="J103" s="679"/>
      <c r="K103" s="679"/>
      <c r="L103" s="679"/>
      <c r="M103" s="679"/>
      <c r="N103" s="679"/>
      <c r="O103" s="679"/>
      <c r="P103" s="679"/>
      <c r="Q103" s="679"/>
      <c r="R103" s="679"/>
      <c r="S103" s="679"/>
      <c r="T103" s="680"/>
      <c r="U103" s="681"/>
      <c r="V103" s="682"/>
      <c r="W103" s="683"/>
      <c r="X103" s="572"/>
    </row>
    <row r="104" spans="1:25" s="589" customFormat="1" x14ac:dyDescent="0.25">
      <c r="A104" s="604">
        <v>1</v>
      </c>
      <c r="B104" s="605" t="s">
        <v>34</v>
      </c>
      <c r="C104" s="605"/>
      <c r="D104" s="605"/>
      <c r="E104" s="605"/>
      <c r="F104" s="605"/>
      <c r="G104" s="605"/>
      <c r="H104" s="605"/>
      <c r="I104" s="605"/>
      <c r="J104" s="605"/>
      <c r="K104" s="605"/>
      <c r="L104" s="605"/>
      <c r="M104" s="605"/>
      <c r="N104" s="605"/>
      <c r="O104" s="605"/>
      <c r="P104" s="605"/>
      <c r="Q104" s="605"/>
      <c r="R104" s="605"/>
      <c r="S104" s="605"/>
      <c r="T104" s="605"/>
      <c r="U104" s="605"/>
      <c r="V104" s="663">
        <v>0</v>
      </c>
      <c r="W104" s="607"/>
      <c r="X104" s="588"/>
    </row>
    <row r="105" spans="1:25" s="589" customFormat="1" x14ac:dyDescent="0.25">
      <c r="A105" s="604">
        <f>+A104+1</f>
        <v>2</v>
      </c>
      <c r="B105" s="605" t="s">
        <v>314</v>
      </c>
      <c r="C105" s="605"/>
      <c r="D105" s="605"/>
      <c r="E105" s="605"/>
      <c r="F105" s="605"/>
      <c r="G105" s="605"/>
      <c r="H105" s="605"/>
      <c r="I105" s="605"/>
      <c r="J105" s="605"/>
      <c r="K105" s="605"/>
      <c r="L105" s="605"/>
      <c r="M105" s="605"/>
      <c r="N105" s="605"/>
      <c r="O105" s="605"/>
      <c r="P105" s="605"/>
      <c r="Q105" s="605"/>
      <c r="R105" s="605"/>
      <c r="S105" s="605"/>
      <c r="T105" s="605"/>
      <c r="U105" s="605"/>
      <c r="V105" s="663">
        <v>-2</v>
      </c>
      <c r="W105" s="607"/>
      <c r="X105" s="588"/>
    </row>
    <row r="106" spans="1:25" s="589" customFormat="1" x14ac:dyDescent="0.25">
      <c r="A106" s="604">
        <f>+A105+1</f>
        <v>3</v>
      </c>
      <c r="B106" s="684" t="s">
        <v>316</v>
      </c>
      <c r="C106" s="605"/>
      <c r="D106" s="605"/>
      <c r="E106" s="605"/>
      <c r="F106" s="605"/>
      <c r="G106" s="605"/>
      <c r="H106" s="605"/>
      <c r="I106" s="605"/>
      <c r="J106" s="605"/>
      <c r="K106" s="605"/>
      <c r="L106" s="605"/>
      <c r="M106" s="605"/>
      <c r="N106" s="605"/>
      <c r="O106" s="605"/>
      <c r="P106" s="605"/>
      <c r="Q106" s="605"/>
      <c r="R106" s="605"/>
      <c r="S106" s="605"/>
      <c r="T106" s="605"/>
      <c r="U106" s="605"/>
      <c r="V106" s="663">
        <f>-199-70-7</f>
        <v>-276</v>
      </c>
      <c r="W106" s="607"/>
      <c r="X106" s="588"/>
    </row>
    <row r="107" spans="1:25" s="589" customFormat="1" x14ac:dyDescent="0.25">
      <c r="A107" s="604" t="s">
        <v>127</v>
      </c>
      <c r="B107" s="605" t="s">
        <v>116</v>
      </c>
      <c r="C107" s="605"/>
      <c r="D107" s="605"/>
      <c r="E107" s="605"/>
      <c r="F107" s="605"/>
      <c r="G107" s="605"/>
      <c r="H107" s="605"/>
      <c r="I107" s="605"/>
      <c r="J107" s="605"/>
      <c r="K107" s="605"/>
      <c r="L107" s="605"/>
      <c r="M107" s="605"/>
      <c r="N107" s="605"/>
      <c r="O107" s="605"/>
      <c r="P107" s="605"/>
      <c r="Q107" s="605"/>
      <c r="R107" s="605"/>
      <c r="S107" s="605"/>
      <c r="T107" s="605"/>
      <c r="U107" s="605"/>
      <c r="V107" s="663">
        <v>0</v>
      </c>
      <c r="W107" s="607"/>
      <c r="X107" s="588"/>
    </row>
    <row r="108" spans="1:25" s="589" customFormat="1" x14ac:dyDescent="0.25">
      <c r="A108" s="604" t="s">
        <v>128</v>
      </c>
      <c r="B108" s="605" t="s">
        <v>220</v>
      </c>
      <c r="C108" s="605"/>
      <c r="D108" s="605"/>
      <c r="E108" s="605"/>
      <c r="F108" s="605"/>
      <c r="G108" s="605"/>
      <c r="H108" s="605"/>
      <c r="I108" s="605"/>
      <c r="J108" s="605"/>
      <c r="K108" s="605"/>
      <c r="L108" s="605"/>
      <c r="M108" s="605"/>
      <c r="N108" s="605"/>
      <c r="O108" s="605"/>
      <c r="P108" s="605"/>
      <c r="Q108" s="605"/>
      <c r="R108" s="605"/>
      <c r="S108" s="605"/>
      <c r="T108" s="605"/>
      <c r="U108" s="605"/>
      <c r="V108" s="663">
        <f>-266+72</f>
        <v>-194</v>
      </c>
      <c r="W108" s="607"/>
      <c r="X108" s="588"/>
      <c r="Y108" s="685"/>
    </row>
    <row r="109" spans="1:25" s="589" customFormat="1" x14ac:dyDescent="0.25">
      <c r="A109" s="604" t="s">
        <v>150</v>
      </c>
      <c r="B109" s="605" t="s">
        <v>184</v>
      </c>
      <c r="C109" s="605"/>
      <c r="D109" s="605"/>
      <c r="E109" s="605"/>
      <c r="F109" s="605"/>
      <c r="G109" s="605"/>
      <c r="H109" s="605"/>
      <c r="I109" s="605"/>
      <c r="J109" s="605"/>
      <c r="K109" s="605"/>
      <c r="L109" s="605"/>
      <c r="M109" s="605"/>
      <c r="N109" s="605"/>
      <c r="O109" s="605"/>
      <c r="P109" s="605"/>
      <c r="Q109" s="605"/>
      <c r="R109" s="605"/>
      <c r="S109" s="605"/>
      <c r="T109" s="605"/>
      <c r="U109" s="605"/>
      <c r="V109" s="663">
        <v>-72</v>
      </c>
      <c r="W109" s="607"/>
      <c r="X109" s="588"/>
      <c r="Y109" s="685"/>
    </row>
    <row r="110" spans="1:25" s="589" customFormat="1" x14ac:dyDescent="0.25">
      <c r="A110" s="604" t="s">
        <v>205</v>
      </c>
      <c r="B110" s="605" t="s">
        <v>185</v>
      </c>
      <c r="C110" s="605"/>
      <c r="D110" s="605"/>
      <c r="E110" s="605"/>
      <c r="F110" s="605"/>
      <c r="G110" s="605"/>
      <c r="H110" s="605"/>
      <c r="I110" s="605"/>
      <c r="J110" s="605"/>
      <c r="K110" s="605"/>
      <c r="L110" s="605"/>
      <c r="M110" s="605"/>
      <c r="N110" s="605"/>
      <c r="O110" s="605"/>
      <c r="P110" s="605"/>
      <c r="Q110" s="605"/>
      <c r="R110" s="605"/>
      <c r="S110" s="605"/>
      <c r="T110" s="605"/>
      <c r="U110" s="605"/>
      <c r="V110" s="663">
        <v>-98</v>
      </c>
      <c r="W110" s="607"/>
      <c r="X110" s="588"/>
      <c r="Y110" s="685"/>
    </row>
    <row r="111" spans="1:25" s="589" customFormat="1" x14ac:dyDescent="0.25">
      <c r="A111" s="604" t="s">
        <v>206</v>
      </c>
      <c r="B111" s="605" t="s">
        <v>186</v>
      </c>
      <c r="C111" s="605"/>
      <c r="D111" s="605"/>
      <c r="E111" s="605"/>
      <c r="F111" s="605"/>
      <c r="G111" s="605"/>
      <c r="H111" s="605"/>
      <c r="I111" s="605"/>
      <c r="J111" s="605"/>
      <c r="K111" s="605"/>
      <c r="L111" s="605"/>
      <c r="M111" s="605"/>
      <c r="N111" s="605"/>
      <c r="O111" s="605"/>
      <c r="P111" s="605"/>
      <c r="Q111" s="605"/>
      <c r="R111" s="605"/>
      <c r="S111" s="605"/>
      <c r="T111" s="605"/>
      <c r="U111" s="605"/>
      <c r="V111" s="663">
        <v>-25</v>
      </c>
      <c r="W111" s="607"/>
      <c r="X111" s="588"/>
      <c r="Y111" s="685"/>
    </row>
    <row r="112" spans="1:25" s="589" customFormat="1" x14ac:dyDescent="0.25">
      <c r="A112" s="604">
        <v>6</v>
      </c>
      <c r="B112" s="605" t="s">
        <v>196</v>
      </c>
      <c r="C112" s="605"/>
      <c r="D112" s="605"/>
      <c r="E112" s="605"/>
      <c r="F112" s="605"/>
      <c r="G112" s="605"/>
      <c r="H112" s="605"/>
      <c r="I112" s="605"/>
      <c r="J112" s="605"/>
      <c r="K112" s="605"/>
      <c r="L112" s="605"/>
      <c r="M112" s="605"/>
      <c r="N112" s="605"/>
      <c r="O112" s="605"/>
      <c r="P112" s="605"/>
      <c r="Q112" s="605"/>
      <c r="R112" s="605"/>
      <c r="S112" s="605"/>
      <c r="T112" s="605"/>
      <c r="U112" s="605"/>
      <c r="V112" s="663">
        <v>-241</v>
      </c>
      <c r="W112" s="607"/>
      <c r="X112" s="588"/>
      <c r="Y112" s="685"/>
    </row>
    <row r="113" spans="1:25" s="589" customFormat="1" x14ac:dyDescent="0.25">
      <c r="A113" s="604">
        <v>7</v>
      </c>
      <c r="B113" s="684" t="s">
        <v>315</v>
      </c>
      <c r="C113" s="605"/>
      <c r="D113" s="605"/>
      <c r="E113" s="605"/>
      <c r="F113" s="605"/>
      <c r="G113" s="605"/>
      <c r="H113" s="605"/>
      <c r="I113" s="605"/>
      <c r="J113" s="605"/>
      <c r="K113" s="605"/>
      <c r="L113" s="605"/>
      <c r="M113" s="605"/>
      <c r="N113" s="605"/>
      <c r="O113" s="605"/>
      <c r="P113" s="605"/>
      <c r="Q113" s="605"/>
      <c r="R113" s="605"/>
      <c r="S113" s="605"/>
      <c r="T113" s="605"/>
      <c r="U113" s="605"/>
      <c r="V113" s="663">
        <v>0</v>
      </c>
      <c r="W113" s="607"/>
      <c r="X113" s="588"/>
      <c r="Y113" s="685"/>
    </row>
    <row r="114" spans="1:25" s="589" customFormat="1" x14ac:dyDescent="0.25">
      <c r="A114" s="604">
        <v>8</v>
      </c>
      <c r="B114" s="605" t="s">
        <v>35</v>
      </c>
      <c r="C114" s="605"/>
      <c r="D114" s="605"/>
      <c r="E114" s="605"/>
      <c r="F114" s="605"/>
      <c r="G114" s="605"/>
      <c r="H114" s="605"/>
      <c r="I114" s="605"/>
      <c r="J114" s="605"/>
      <c r="K114" s="605"/>
      <c r="L114" s="605"/>
      <c r="M114" s="605"/>
      <c r="N114" s="605"/>
      <c r="O114" s="605"/>
      <c r="P114" s="605"/>
      <c r="Q114" s="605"/>
      <c r="R114" s="605"/>
      <c r="S114" s="605"/>
      <c r="T114" s="605"/>
      <c r="U114" s="605"/>
      <c r="V114" s="663">
        <v>-11</v>
      </c>
      <c r="W114" s="607"/>
      <c r="X114" s="588"/>
    </row>
    <row r="115" spans="1:25" s="589" customFormat="1" x14ac:dyDescent="0.25">
      <c r="A115" s="604">
        <f t="shared" ref="A115:A123" si="0">+A114+1</f>
        <v>9</v>
      </c>
      <c r="B115" s="605" t="s">
        <v>45</v>
      </c>
      <c r="C115" s="605"/>
      <c r="D115" s="605"/>
      <c r="E115" s="605"/>
      <c r="F115" s="605"/>
      <c r="G115" s="605"/>
      <c r="H115" s="605"/>
      <c r="I115" s="605"/>
      <c r="J115" s="605"/>
      <c r="K115" s="605"/>
      <c r="L115" s="605"/>
      <c r="M115" s="605"/>
      <c r="N115" s="605"/>
      <c r="O115" s="605"/>
      <c r="P115" s="605"/>
      <c r="Q115" s="605"/>
      <c r="R115" s="605"/>
      <c r="S115" s="605"/>
      <c r="T115" s="662">
        <f>-V115</f>
        <v>8</v>
      </c>
      <c r="U115" s="605"/>
      <c r="V115" s="663">
        <v>-8</v>
      </c>
      <c r="W115" s="607"/>
      <c r="X115" s="588"/>
    </row>
    <row r="116" spans="1:25" s="589" customFormat="1" x14ac:dyDescent="0.25">
      <c r="A116" s="604">
        <f t="shared" si="0"/>
        <v>10</v>
      </c>
      <c r="B116" s="605" t="s">
        <v>125</v>
      </c>
      <c r="C116" s="605"/>
      <c r="D116" s="605"/>
      <c r="E116" s="605"/>
      <c r="F116" s="605"/>
      <c r="G116" s="605"/>
      <c r="H116" s="605"/>
      <c r="I116" s="605"/>
      <c r="J116" s="605"/>
      <c r="K116" s="605"/>
      <c r="L116" s="605"/>
      <c r="M116" s="605"/>
      <c r="N116" s="605"/>
      <c r="O116" s="605"/>
      <c r="P116" s="605"/>
      <c r="Q116" s="605"/>
      <c r="R116" s="605"/>
      <c r="S116" s="605"/>
      <c r="T116" s="605"/>
      <c r="U116" s="605"/>
      <c r="V116" s="663">
        <v>0</v>
      </c>
      <c r="W116" s="607"/>
      <c r="X116" s="588"/>
    </row>
    <row r="117" spans="1:25" s="589" customFormat="1" x14ac:dyDescent="0.25">
      <c r="A117" s="604">
        <f t="shared" si="0"/>
        <v>11</v>
      </c>
      <c r="B117" s="605" t="s">
        <v>225</v>
      </c>
      <c r="C117" s="605"/>
      <c r="D117" s="605"/>
      <c r="E117" s="605"/>
      <c r="F117" s="605"/>
      <c r="G117" s="605"/>
      <c r="H117" s="605"/>
      <c r="I117" s="605"/>
      <c r="J117" s="605"/>
      <c r="K117" s="605"/>
      <c r="L117" s="605"/>
      <c r="M117" s="605"/>
      <c r="N117" s="605"/>
      <c r="O117" s="605"/>
      <c r="P117" s="605"/>
      <c r="Q117" s="605"/>
      <c r="R117" s="605"/>
      <c r="S117" s="605"/>
      <c r="T117" s="605"/>
      <c r="U117" s="605"/>
      <c r="V117" s="663">
        <v>0</v>
      </c>
      <c r="W117" s="607"/>
      <c r="X117" s="588"/>
    </row>
    <row r="118" spans="1:25" s="589" customFormat="1" x14ac:dyDescent="0.25">
      <c r="A118" s="604">
        <f t="shared" si="0"/>
        <v>12</v>
      </c>
      <c r="B118" s="605" t="s">
        <v>36</v>
      </c>
      <c r="C118" s="605"/>
      <c r="D118" s="605"/>
      <c r="E118" s="605"/>
      <c r="F118" s="605"/>
      <c r="G118" s="605"/>
      <c r="H118" s="605"/>
      <c r="I118" s="605"/>
      <c r="J118" s="605"/>
      <c r="K118" s="605"/>
      <c r="L118" s="605"/>
      <c r="M118" s="605"/>
      <c r="N118" s="605"/>
      <c r="O118" s="605"/>
      <c r="P118" s="605"/>
      <c r="Q118" s="605"/>
      <c r="R118" s="605"/>
      <c r="S118" s="605"/>
      <c r="T118" s="605"/>
      <c r="U118" s="605"/>
      <c r="V118" s="663">
        <v>0</v>
      </c>
      <c r="W118" s="607"/>
      <c r="X118" s="588"/>
    </row>
    <row r="119" spans="1:25" s="589" customFormat="1" x14ac:dyDescent="0.25">
      <c r="A119" s="604">
        <f t="shared" si="0"/>
        <v>13</v>
      </c>
      <c r="B119" s="605" t="s">
        <v>149</v>
      </c>
      <c r="C119" s="605"/>
      <c r="D119" s="605"/>
      <c r="E119" s="605"/>
      <c r="F119" s="605"/>
      <c r="G119" s="605"/>
      <c r="H119" s="605"/>
      <c r="I119" s="605"/>
      <c r="J119" s="605"/>
      <c r="K119" s="605"/>
      <c r="L119" s="605"/>
      <c r="M119" s="605"/>
      <c r="N119" s="605"/>
      <c r="O119" s="605"/>
      <c r="P119" s="605"/>
      <c r="Q119" s="605"/>
      <c r="R119" s="605"/>
      <c r="S119" s="605"/>
      <c r="T119" s="605"/>
      <c r="U119" s="605"/>
      <c r="V119" s="663">
        <v>-199</v>
      </c>
      <c r="W119" s="607"/>
      <c r="X119" s="588"/>
    </row>
    <row r="120" spans="1:25" s="589" customFormat="1" x14ac:dyDescent="0.25">
      <c r="A120" s="604">
        <f t="shared" si="0"/>
        <v>14</v>
      </c>
      <c r="B120" s="605" t="s">
        <v>353</v>
      </c>
      <c r="C120" s="605"/>
      <c r="D120" s="605"/>
      <c r="E120" s="605"/>
      <c r="F120" s="605"/>
      <c r="G120" s="605"/>
      <c r="H120" s="605"/>
      <c r="I120" s="605"/>
      <c r="J120" s="605"/>
      <c r="K120" s="605"/>
      <c r="L120" s="605"/>
      <c r="M120" s="605"/>
      <c r="N120" s="605"/>
      <c r="O120" s="605"/>
      <c r="P120" s="605"/>
      <c r="Q120" s="605"/>
      <c r="R120" s="605"/>
      <c r="S120" s="605"/>
      <c r="T120" s="605"/>
      <c r="U120" s="605"/>
      <c r="V120" s="663">
        <v>-192</v>
      </c>
      <c r="W120" s="607"/>
      <c r="X120" s="588"/>
    </row>
    <row r="121" spans="1:25" s="589" customFormat="1" x14ac:dyDescent="0.25">
      <c r="A121" s="604">
        <f t="shared" si="0"/>
        <v>15</v>
      </c>
      <c r="B121" s="605" t="s">
        <v>350</v>
      </c>
      <c r="C121" s="605"/>
      <c r="D121" s="605"/>
      <c r="E121" s="605"/>
      <c r="F121" s="605"/>
      <c r="G121" s="605"/>
      <c r="H121" s="605"/>
      <c r="I121" s="605"/>
      <c r="J121" s="605"/>
      <c r="K121" s="605"/>
      <c r="L121" s="605"/>
      <c r="M121" s="605"/>
      <c r="N121" s="605"/>
      <c r="O121" s="605"/>
      <c r="P121" s="605"/>
      <c r="Q121" s="605"/>
      <c r="R121" s="605"/>
      <c r="S121" s="605"/>
      <c r="T121" s="605"/>
      <c r="U121" s="605"/>
      <c r="V121" s="663">
        <v>0</v>
      </c>
      <c r="W121" s="607"/>
      <c r="X121" s="588"/>
    </row>
    <row r="122" spans="1:25" s="589" customFormat="1" x14ac:dyDescent="0.25">
      <c r="A122" s="604">
        <f t="shared" si="0"/>
        <v>16</v>
      </c>
      <c r="B122" s="605" t="s">
        <v>352</v>
      </c>
      <c r="C122" s="605"/>
      <c r="D122" s="605"/>
      <c r="E122" s="605"/>
      <c r="F122" s="605"/>
      <c r="G122" s="605"/>
      <c r="H122" s="605"/>
      <c r="I122" s="605"/>
      <c r="J122" s="605"/>
      <c r="K122" s="605"/>
      <c r="L122" s="605"/>
      <c r="M122" s="605"/>
      <c r="N122" s="605"/>
      <c r="O122" s="605"/>
      <c r="P122" s="605"/>
      <c r="Q122" s="605"/>
      <c r="R122" s="605"/>
      <c r="S122" s="605"/>
      <c r="T122" s="605"/>
      <c r="U122" s="605"/>
      <c r="V122" s="663">
        <v>0</v>
      </c>
      <c r="W122" s="607"/>
      <c r="X122" s="588"/>
    </row>
    <row r="123" spans="1:25" s="589" customFormat="1" x14ac:dyDescent="0.25">
      <c r="A123" s="604">
        <f t="shared" si="0"/>
        <v>17</v>
      </c>
      <c r="B123" s="605" t="s">
        <v>351</v>
      </c>
      <c r="C123" s="605"/>
      <c r="D123" s="605"/>
      <c r="E123" s="605"/>
      <c r="F123" s="605"/>
      <c r="G123" s="605"/>
      <c r="H123" s="605"/>
      <c r="I123" s="605"/>
      <c r="J123" s="605"/>
      <c r="K123" s="605"/>
      <c r="L123" s="605"/>
      <c r="M123" s="605"/>
      <c r="N123" s="605"/>
      <c r="O123" s="605"/>
      <c r="P123" s="605"/>
      <c r="Q123" s="605"/>
      <c r="R123" s="605"/>
      <c r="S123" s="605"/>
      <c r="T123" s="605"/>
      <c r="U123" s="605"/>
      <c r="V123" s="663">
        <f>-V102-SUM(V104:V122)</f>
        <v>-20769</v>
      </c>
      <c r="W123" s="607"/>
      <c r="X123" s="588"/>
    </row>
    <row r="124" spans="1:25" x14ac:dyDescent="0.25">
      <c r="A124" s="677"/>
      <c r="B124" s="678" t="s">
        <v>37</v>
      </c>
      <c r="C124" s="679"/>
      <c r="D124" s="679"/>
      <c r="E124" s="679"/>
      <c r="F124" s="679"/>
      <c r="G124" s="679"/>
      <c r="H124" s="679"/>
      <c r="I124" s="679"/>
      <c r="J124" s="679"/>
      <c r="K124" s="679"/>
      <c r="L124" s="679"/>
      <c r="M124" s="679"/>
      <c r="N124" s="679"/>
      <c r="O124" s="679"/>
      <c r="P124" s="679"/>
      <c r="Q124" s="679"/>
      <c r="R124" s="679"/>
      <c r="S124" s="679"/>
      <c r="T124" s="681"/>
      <c r="U124" s="681"/>
      <c r="V124" s="686"/>
      <c r="W124" s="683"/>
      <c r="X124" s="572"/>
    </row>
    <row r="125" spans="1:25" s="589" customFormat="1" x14ac:dyDescent="0.25">
      <c r="A125" s="604"/>
      <c r="B125" s="605" t="s">
        <v>173</v>
      </c>
      <c r="C125" s="605"/>
      <c r="D125" s="605"/>
      <c r="E125" s="605"/>
      <c r="F125" s="605"/>
      <c r="G125" s="605"/>
      <c r="H125" s="605"/>
      <c r="I125" s="605"/>
      <c r="J125" s="605"/>
      <c r="K125" s="605"/>
      <c r="L125" s="605"/>
      <c r="M125" s="605"/>
      <c r="N125" s="605"/>
      <c r="O125" s="605"/>
      <c r="P125" s="605"/>
      <c r="Q125" s="605"/>
      <c r="R125" s="605"/>
      <c r="S125" s="605"/>
      <c r="T125" s="662">
        <f>-T190</f>
        <v>0</v>
      </c>
      <c r="U125" s="662"/>
      <c r="V125" s="663"/>
      <c r="W125" s="607"/>
      <c r="X125" s="588"/>
    </row>
    <row r="126" spans="1:25" s="589" customFormat="1" x14ac:dyDescent="0.25">
      <c r="A126" s="604"/>
      <c r="B126" s="605" t="s">
        <v>174</v>
      </c>
      <c r="C126" s="605"/>
      <c r="D126" s="605"/>
      <c r="E126" s="605"/>
      <c r="F126" s="605"/>
      <c r="G126" s="605"/>
      <c r="H126" s="605"/>
      <c r="I126" s="605"/>
      <c r="J126" s="605"/>
      <c r="K126" s="605"/>
      <c r="L126" s="605"/>
      <c r="M126" s="605"/>
      <c r="N126" s="605"/>
      <c r="O126" s="605"/>
      <c r="P126" s="605"/>
      <c r="Q126" s="605"/>
      <c r="R126" s="605"/>
      <c r="S126" s="605"/>
      <c r="T126" s="662">
        <v>0</v>
      </c>
      <c r="U126" s="662"/>
      <c r="V126" s="663"/>
      <c r="W126" s="607"/>
      <c r="X126" s="588"/>
    </row>
    <row r="127" spans="1:25" s="589" customFormat="1" x14ac:dyDescent="0.25">
      <c r="A127" s="604"/>
      <c r="B127" s="605" t="s">
        <v>38</v>
      </c>
      <c r="C127" s="605"/>
      <c r="D127" s="605"/>
      <c r="E127" s="605"/>
      <c r="F127" s="605"/>
      <c r="G127" s="605"/>
      <c r="H127" s="605"/>
      <c r="I127" s="605"/>
      <c r="J127" s="605"/>
      <c r="K127" s="605"/>
      <c r="L127" s="605"/>
      <c r="M127" s="605"/>
      <c r="N127" s="605"/>
      <c r="O127" s="605"/>
      <c r="P127" s="605"/>
      <c r="Q127" s="605"/>
      <c r="R127" s="605"/>
      <c r="S127" s="605"/>
      <c r="T127" s="662">
        <f>-S190</f>
        <v>0</v>
      </c>
      <c r="U127" s="662"/>
      <c r="V127" s="663"/>
      <c r="W127" s="607"/>
      <c r="X127" s="588"/>
    </row>
    <row r="128" spans="1:25" s="589" customFormat="1" x14ac:dyDescent="0.25">
      <c r="A128" s="604"/>
      <c r="B128" s="605" t="s">
        <v>197</v>
      </c>
      <c r="C128" s="605"/>
      <c r="D128" s="605"/>
      <c r="E128" s="605"/>
      <c r="F128" s="605"/>
      <c r="G128" s="605"/>
      <c r="H128" s="605"/>
      <c r="I128" s="605"/>
      <c r="J128" s="605"/>
      <c r="K128" s="605"/>
      <c r="L128" s="605"/>
      <c r="M128" s="605"/>
      <c r="N128" s="605"/>
      <c r="O128" s="605"/>
      <c r="P128" s="605"/>
      <c r="Q128" s="605"/>
      <c r="R128" s="605"/>
      <c r="S128" s="605"/>
      <c r="T128" s="662">
        <v>-215245</v>
      </c>
      <c r="U128" s="662"/>
      <c r="V128" s="663"/>
      <c r="W128" s="607"/>
      <c r="X128" s="588"/>
    </row>
    <row r="129" spans="1:24" s="589" customFormat="1" x14ac:dyDescent="0.25">
      <c r="A129" s="604"/>
      <c r="B129" s="605" t="s">
        <v>195</v>
      </c>
      <c r="C129" s="605"/>
      <c r="D129" s="605"/>
      <c r="E129" s="605"/>
      <c r="F129" s="605"/>
      <c r="G129" s="605"/>
      <c r="H129" s="605"/>
      <c r="I129" s="605"/>
      <c r="J129" s="605"/>
      <c r="K129" s="605"/>
      <c r="L129" s="605"/>
      <c r="M129" s="605"/>
      <c r="N129" s="605"/>
      <c r="O129" s="605"/>
      <c r="P129" s="605"/>
      <c r="Q129" s="605"/>
      <c r="R129" s="605"/>
      <c r="S129" s="605"/>
      <c r="T129" s="662">
        <v>-91478</v>
      </c>
      <c r="U129" s="662"/>
      <c r="V129" s="663"/>
      <c r="W129" s="607"/>
      <c r="X129" s="588"/>
    </row>
    <row r="130" spans="1:24" s="589" customFormat="1" x14ac:dyDescent="0.25">
      <c r="A130" s="604"/>
      <c r="B130" s="605" t="s">
        <v>194</v>
      </c>
      <c r="C130" s="605"/>
      <c r="D130" s="605"/>
      <c r="E130" s="605"/>
      <c r="F130" s="605"/>
      <c r="G130" s="605"/>
      <c r="H130" s="605"/>
      <c r="I130" s="605"/>
      <c r="J130" s="605"/>
      <c r="K130" s="605"/>
      <c r="L130" s="605"/>
      <c r="M130" s="605"/>
      <c r="N130" s="605"/>
      <c r="O130" s="605"/>
      <c r="P130" s="605"/>
      <c r="Q130" s="605"/>
      <c r="R130" s="605"/>
      <c r="S130" s="605"/>
      <c r="T130" s="662">
        <v>-32609</v>
      </c>
      <c r="U130" s="662"/>
      <c r="V130" s="663"/>
      <c r="W130" s="607"/>
      <c r="X130" s="588"/>
    </row>
    <row r="131" spans="1:24" s="589" customFormat="1" x14ac:dyDescent="0.25">
      <c r="A131" s="604"/>
      <c r="B131" s="605" t="s">
        <v>222</v>
      </c>
      <c r="C131" s="605"/>
      <c r="D131" s="605"/>
      <c r="E131" s="605"/>
      <c r="F131" s="605"/>
      <c r="G131" s="605"/>
      <c r="H131" s="605"/>
      <c r="I131" s="605"/>
      <c r="J131" s="605"/>
      <c r="K131" s="605"/>
      <c r="L131" s="605"/>
      <c r="M131" s="605"/>
      <c r="N131" s="605"/>
      <c r="O131" s="605"/>
      <c r="P131" s="605"/>
      <c r="Q131" s="605"/>
      <c r="R131" s="605"/>
      <c r="S131" s="605"/>
      <c r="T131" s="662">
        <v>-32287</v>
      </c>
      <c r="U131" s="662"/>
      <c r="V131" s="663"/>
      <c r="W131" s="607"/>
      <c r="X131" s="588"/>
    </row>
    <row r="132" spans="1:24" s="589" customFormat="1" x14ac:dyDescent="0.25">
      <c r="A132" s="604"/>
      <c r="B132" s="605" t="s">
        <v>189</v>
      </c>
      <c r="C132" s="605"/>
      <c r="D132" s="605"/>
      <c r="E132" s="605"/>
      <c r="F132" s="605"/>
      <c r="G132" s="605"/>
      <c r="H132" s="605"/>
      <c r="I132" s="605"/>
      <c r="J132" s="605"/>
      <c r="K132" s="605"/>
      <c r="L132" s="605"/>
      <c r="M132" s="605"/>
      <c r="N132" s="605"/>
      <c r="O132" s="605"/>
      <c r="P132" s="605"/>
      <c r="Q132" s="605"/>
      <c r="R132" s="605"/>
      <c r="S132" s="605"/>
      <c r="T132" s="662">
        <v>-17000</v>
      </c>
      <c r="U132" s="662"/>
      <c r="V132" s="663"/>
      <c r="W132" s="607"/>
      <c r="X132" s="588"/>
    </row>
    <row r="133" spans="1:24" s="589" customFormat="1" x14ac:dyDescent="0.25">
      <c r="A133" s="604"/>
      <c r="B133" s="605" t="s">
        <v>188</v>
      </c>
      <c r="C133" s="605"/>
      <c r="D133" s="605"/>
      <c r="E133" s="605"/>
      <c r="F133" s="605"/>
      <c r="G133" s="605"/>
      <c r="H133" s="605"/>
      <c r="I133" s="605"/>
      <c r="J133" s="605"/>
      <c r="K133" s="605"/>
      <c r="L133" s="605"/>
      <c r="M133" s="605"/>
      <c r="N133" s="605"/>
      <c r="O133" s="605"/>
      <c r="P133" s="605"/>
      <c r="Q133" s="605"/>
      <c r="R133" s="605"/>
      <c r="S133" s="605"/>
      <c r="T133" s="662">
        <v>-58045</v>
      </c>
      <c r="U133" s="662"/>
      <c r="V133" s="663"/>
      <c r="W133" s="607"/>
      <c r="X133" s="588"/>
    </row>
    <row r="134" spans="1:24" s="589" customFormat="1" x14ac:dyDescent="0.25">
      <c r="A134" s="604"/>
      <c r="B134" s="605" t="s">
        <v>187</v>
      </c>
      <c r="C134" s="605"/>
      <c r="D134" s="605"/>
      <c r="E134" s="605"/>
      <c r="F134" s="605"/>
      <c r="G134" s="605"/>
      <c r="H134" s="605"/>
      <c r="I134" s="605"/>
      <c r="J134" s="605"/>
      <c r="K134" s="605"/>
      <c r="L134" s="605"/>
      <c r="M134" s="605"/>
      <c r="N134" s="605"/>
      <c r="O134" s="605"/>
      <c r="P134" s="605"/>
      <c r="Q134" s="605"/>
      <c r="R134" s="605"/>
      <c r="S134" s="605"/>
      <c r="T134" s="662">
        <v>-75017</v>
      </c>
      <c r="U134" s="662"/>
      <c r="V134" s="663"/>
      <c r="W134" s="607"/>
      <c r="X134" s="588"/>
    </row>
    <row r="135" spans="1:24" s="589" customFormat="1" x14ac:dyDescent="0.25">
      <c r="A135" s="604"/>
      <c r="B135" s="605" t="s">
        <v>39</v>
      </c>
      <c r="C135" s="605"/>
      <c r="D135" s="605"/>
      <c r="E135" s="605"/>
      <c r="F135" s="605"/>
      <c r="G135" s="605"/>
      <c r="H135" s="605"/>
      <c r="I135" s="605"/>
      <c r="J135" s="605"/>
      <c r="K135" s="605"/>
      <c r="L135" s="605"/>
      <c r="M135" s="605"/>
      <c r="N135" s="605"/>
      <c r="O135" s="605"/>
      <c r="P135" s="605"/>
      <c r="Q135" s="605"/>
      <c r="R135" s="605"/>
      <c r="S135" s="605"/>
      <c r="T135" s="662">
        <f>SUM(T125:T134)</f>
        <v>-521681</v>
      </c>
      <c r="U135" s="662"/>
      <c r="V135" s="662">
        <f>SUM(V103:V133)</f>
        <v>-22087</v>
      </c>
      <c r="W135" s="607"/>
      <c r="X135" s="588"/>
    </row>
    <row r="136" spans="1:24" s="589" customFormat="1" x14ac:dyDescent="0.25">
      <c r="A136" s="604"/>
      <c r="B136" s="605" t="s">
        <v>40</v>
      </c>
      <c r="C136" s="605"/>
      <c r="D136" s="605"/>
      <c r="E136" s="605"/>
      <c r="F136" s="605"/>
      <c r="G136" s="605"/>
      <c r="H136" s="605"/>
      <c r="I136" s="605"/>
      <c r="J136" s="605"/>
      <c r="K136" s="605"/>
      <c r="L136" s="605"/>
      <c r="M136" s="605"/>
      <c r="N136" s="605"/>
      <c r="O136" s="605"/>
      <c r="P136" s="605"/>
      <c r="Q136" s="605"/>
      <c r="R136" s="605"/>
      <c r="S136" s="605"/>
      <c r="T136" s="662">
        <f>T102+T135+T115</f>
        <v>0</v>
      </c>
      <c r="U136" s="662"/>
      <c r="V136" s="662">
        <f>V102+V135</f>
        <v>0</v>
      </c>
      <c r="W136" s="607"/>
      <c r="X136" s="588"/>
    </row>
    <row r="137" spans="1:24" s="589" customFormat="1" x14ac:dyDescent="0.25">
      <c r="A137" s="585"/>
      <c r="B137" s="602"/>
      <c r="C137" s="602"/>
      <c r="D137" s="602"/>
      <c r="E137" s="602"/>
      <c r="F137" s="602"/>
      <c r="G137" s="602"/>
      <c r="H137" s="602"/>
      <c r="I137" s="602"/>
      <c r="J137" s="602"/>
      <c r="K137" s="602"/>
      <c r="L137" s="602"/>
      <c r="M137" s="602"/>
      <c r="N137" s="602"/>
      <c r="O137" s="602"/>
      <c r="P137" s="602"/>
      <c r="Q137" s="602"/>
      <c r="R137" s="602"/>
      <c r="S137" s="602"/>
      <c r="T137" s="673"/>
      <c r="U137" s="673"/>
      <c r="V137" s="673"/>
      <c r="W137" s="602"/>
      <c r="X137" s="588"/>
    </row>
    <row r="138" spans="1:24" s="589" customFormat="1" x14ac:dyDescent="0.25">
      <c r="A138" s="585"/>
      <c r="B138" s="586"/>
      <c r="C138" s="586"/>
      <c r="D138" s="586"/>
      <c r="E138" s="586"/>
      <c r="F138" s="586"/>
      <c r="G138" s="586"/>
      <c r="H138" s="586"/>
      <c r="I138" s="586"/>
      <c r="J138" s="586"/>
      <c r="K138" s="586"/>
      <c r="L138" s="586"/>
      <c r="M138" s="586"/>
      <c r="N138" s="586"/>
      <c r="O138" s="586"/>
      <c r="P138" s="586"/>
      <c r="Q138" s="586"/>
      <c r="R138" s="586"/>
      <c r="S138" s="586"/>
      <c r="T138" s="586"/>
      <c r="U138" s="586"/>
      <c r="V138" s="687"/>
      <c r="W138" s="586"/>
      <c r="X138" s="588"/>
    </row>
    <row r="139" spans="1:24" s="589" customFormat="1" ht="19.5" thickBot="1" x14ac:dyDescent="0.35">
      <c r="A139" s="649"/>
      <c r="B139" s="568" t="str">
        <f>B64</f>
        <v>PM15 INVESTOR REPORT QUARTER ENDING NOVEMBER  2020</v>
      </c>
      <c r="C139" s="650"/>
      <c r="D139" s="650"/>
      <c r="E139" s="650"/>
      <c r="F139" s="650"/>
      <c r="G139" s="650"/>
      <c r="H139" s="650"/>
      <c r="I139" s="650"/>
      <c r="J139" s="650"/>
      <c r="K139" s="650"/>
      <c r="L139" s="650"/>
      <c r="M139" s="650"/>
      <c r="N139" s="650"/>
      <c r="O139" s="650"/>
      <c r="P139" s="650"/>
      <c r="Q139" s="650"/>
      <c r="R139" s="650"/>
      <c r="S139" s="650"/>
      <c r="T139" s="650"/>
      <c r="U139" s="650"/>
      <c r="V139" s="688"/>
      <c r="W139" s="652"/>
      <c r="X139" s="588"/>
    </row>
    <row r="140" spans="1:24" x14ac:dyDescent="0.25">
      <c r="A140" s="689"/>
      <c r="B140" s="690" t="s">
        <v>41</v>
      </c>
      <c r="C140" s="691"/>
      <c r="D140" s="691"/>
      <c r="E140" s="691"/>
      <c r="F140" s="691"/>
      <c r="G140" s="691"/>
      <c r="H140" s="691"/>
      <c r="I140" s="691"/>
      <c r="J140" s="691"/>
      <c r="K140" s="691"/>
      <c r="L140" s="691"/>
      <c r="M140" s="691"/>
      <c r="N140" s="691"/>
      <c r="O140" s="691"/>
      <c r="P140" s="691"/>
      <c r="Q140" s="691"/>
      <c r="R140" s="691"/>
      <c r="S140" s="691"/>
      <c r="T140" s="691"/>
      <c r="U140" s="691"/>
      <c r="V140" s="692"/>
      <c r="W140" s="691"/>
      <c r="X140" s="572"/>
    </row>
    <row r="141" spans="1:24" x14ac:dyDescent="0.25">
      <c r="A141" s="574"/>
      <c r="B141" s="693"/>
      <c r="C141" s="576"/>
      <c r="D141" s="576"/>
      <c r="E141" s="576"/>
      <c r="F141" s="576"/>
      <c r="G141" s="576"/>
      <c r="H141" s="576"/>
      <c r="I141" s="576"/>
      <c r="J141" s="576"/>
      <c r="K141" s="576"/>
      <c r="L141" s="576"/>
      <c r="M141" s="576"/>
      <c r="N141" s="576"/>
      <c r="O141" s="576"/>
      <c r="P141" s="576"/>
      <c r="Q141" s="576"/>
      <c r="R141" s="576"/>
      <c r="S141" s="576"/>
      <c r="T141" s="576"/>
      <c r="U141" s="576"/>
      <c r="V141" s="656"/>
      <c r="W141" s="576"/>
      <c r="X141" s="572"/>
    </row>
    <row r="142" spans="1:24" x14ac:dyDescent="0.25">
      <c r="A142" s="574"/>
      <c r="B142" s="694" t="s">
        <v>42</v>
      </c>
      <c r="C142" s="576"/>
      <c r="D142" s="576"/>
      <c r="E142" s="576"/>
      <c r="F142" s="576"/>
      <c r="G142" s="576"/>
      <c r="H142" s="576"/>
      <c r="I142" s="576"/>
      <c r="J142" s="576"/>
      <c r="K142" s="576"/>
      <c r="L142" s="576"/>
      <c r="M142" s="576"/>
      <c r="N142" s="576"/>
      <c r="O142" s="576"/>
      <c r="P142" s="576"/>
      <c r="Q142" s="576"/>
      <c r="R142" s="576"/>
      <c r="S142" s="576"/>
      <c r="T142" s="576"/>
      <c r="U142" s="576"/>
      <c r="V142" s="656"/>
      <c r="W142" s="576"/>
      <c r="X142" s="572"/>
    </row>
    <row r="143" spans="1:24" s="589" customFormat="1" x14ac:dyDescent="0.25">
      <c r="A143" s="604"/>
      <c r="B143" s="605" t="s">
        <v>43</v>
      </c>
      <c r="C143" s="605"/>
      <c r="D143" s="605"/>
      <c r="E143" s="605"/>
      <c r="F143" s="605"/>
      <c r="G143" s="605"/>
      <c r="H143" s="605"/>
      <c r="I143" s="605"/>
      <c r="J143" s="605"/>
      <c r="K143" s="605"/>
      <c r="L143" s="605"/>
      <c r="M143" s="605"/>
      <c r="N143" s="605"/>
      <c r="O143" s="605"/>
      <c r="P143" s="605"/>
      <c r="Q143" s="605"/>
      <c r="R143" s="605"/>
      <c r="S143" s="605"/>
      <c r="T143" s="605"/>
      <c r="U143" s="605"/>
      <c r="V143" s="663">
        <f>+V34*0.019</f>
        <v>19021.526999999998</v>
      </c>
      <c r="W143" s="607"/>
      <c r="X143" s="588"/>
    </row>
    <row r="144" spans="1:24" s="589" customFormat="1" x14ac:dyDescent="0.25">
      <c r="A144" s="604"/>
      <c r="B144" s="605" t="s">
        <v>44</v>
      </c>
      <c r="C144" s="605"/>
      <c r="D144" s="605"/>
      <c r="E144" s="605"/>
      <c r="F144" s="605"/>
      <c r="G144" s="605"/>
      <c r="H144" s="605"/>
      <c r="I144" s="605"/>
      <c r="J144" s="605"/>
      <c r="K144" s="605"/>
      <c r="L144" s="605"/>
      <c r="M144" s="605"/>
      <c r="N144" s="605"/>
      <c r="O144" s="605"/>
      <c r="P144" s="605"/>
      <c r="Q144" s="605"/>
      <c r="R144" s="605"/>
      <c r="S144" s="605"/>
      <c r="T144" s="605"/>
      <c r="U144" s="605"/>
      <c r="V144" s="663">
        <v>19022</v>
      </c>
      <c r="W144" s="607"/>
      <c r="X144" s="588"/>
    </row>
    <row r="145" spans="1:25" s="589" customFormat="1" x14ac:dyDescent="0.25">
      <c r="A145" s="604"/>
      <c r="B145" s="812" t="s">
        <v>391</v>
      </c>
      <c r="C145" s="605"/>
      <c r="D145" s="605"/>
      <c r="E145" s="605"/>
      <c r="F145" s="605"/>
      <c r="G145" s="605"/>
      <c r="H145" s="605"/>
      <c r="I145" s="605"/>
      <c r="J145" s="605"/>
      <c r="K145" s="605"/>
      <c r="L145" s="605"/>
      <c r="M145" s="605"/>
      <c r="N145" s="605"/>
      <c r="O145" s="605"/>
      <c r="P145" s="605"/>
      <c r="Q145" s="605"/>
      <c r="R145" s="605"/>
      <c r="S145" s="605"/>
      <c r="T145" s="605"/>
      <c r="U145" s="605"/>
      <c r="V145" s="663">
        <v>-19022</v>
      </c>
      <c r="W145" s="607"/>
      <c r="X145" s="588"/>
    </row>
    <row r="146" spans="1:25" s="589" customFormat="1" x14ac:dyDescent="0.25">
      <c r="A146" s="604"/>
      <c r="B146" s="605" t="s">
        <v>123</v>
      </c>
      <c r="C146" s="605"/>
      <c r="D146" s="605"/>
      <c r="E146" s="605"/>
      <c r="F146" s="605"/>
      <c r="G146" s="605"/>
      <c r="H146" s="605"/>
      <c r="I146" s="605"/>
      <c r="J146" s="605"/>
      <c r="K146" s="605"/>
      <c r="L146" s="605"/>
      <c r="M146" s="605"/>
      <c r="N146" s="605"/>
      <c r="O146" s="605"/>
      <c r="P146" s="605"/>
      <c r="Q146" s="605"/>
      <c r="R146" s="605"/>
      <c r="S146" s="605"/>
      <c r="T146" s="605"/>
      <c r="U146" s="605"/>
      <c r="V146" s="663">
        <v>0</v>
      </c>
      <c r="W146" s="607"/>
      <c r="X146" s="588"/>
    </row>
    <row r="147" spans="1:25" s="589" customFormat="1" x14ac:dyDescent="0.25">
      <c r="A147" s="604"/>
      <c r="B147" s="605" t="s">
        <v>124</v>
      </c>
      <c r="C147" s="605"/>
      <c r="D147" s="605"/>
      <c r="E147" s="605"/>
      <c r="F147" s="605"/>
      <c r="G147" s="605"/>
      <c r="H147" s="605"/>
      <c r="I147" s="605"/>
      <c r="J147" s="605"/>
      <c r="K147" s="605"/>
      <c r="L147" s="605"/>
      <c r="M147" s="605"/>
      <c r="N147" s="605"/>
      <c r="O147" s="605"/>
      <c r="P147" s="605"/>
      <c r="Q147" s="605"/>
      <c r="R147" s="605"/>
      <c r="S147" s="605"/>
      <c r="T147" s="605"/>
      <c r="U147" s="605"/>
      <c r="V147" s="663">
        <v>0</v>
      </c>
      <c r="W147" s="607"/>
      <c r="X147" s="588"/>
    </row>
    <row r="148" spans="1:25" s="589" customFormat="1" x14ac:dyDescent="0.25">
      <c r="A148" s="604"/>
      <c r="B148" s="605" t="s">
        <v>175</v>
      </c>
      <c r="C148" s="605"/>
      <c r="D148" s="605"/>
      <c r="E148" s="605"/>
      <c r="F148" s="605"/>
      <c r="G148" s="605"/>
      <c r="H148" s="605"/>
      <c r="I148" s="605"/>
      <c r="J148" s="605"/>
      <c r="K148" s="605"/>
      <c r="L148" s="605"/>
      <c r="M148" s="605"/>
      <c r="N148" s="605"/>
      <c r="O148" s="605"/>
      <c r="P148" s="605"/>
      <c r="Q148" s="605"/>
      <c r="R148" s="605"/>
      <c r="S148" s="605"/>
      <c r="T148" s="605"/>
      <c r="U148" s="605"/>
      <c r="V148" s="663">
        <v>0</v>
      </c>
      <c r="W148" s="607"/>
      <c r="X148" s="588"/>
    </row>
    <row r="149" spans="1:25" s="589" customFormat="1" x14ac:dyDescent="0.25">
      <c r="A149" s="604"/>
      <c r="B149" s="605" t="s">
        <v>45</v>
      </c>
      <c r="C149" s="605"/>
      <c r="D149" s="605"/>
      <c r="E149" s="605"/>
      <c r="F149" s="605"/>
      <c r="G149" s="605"/>
      <c r="H149" s="605"/>
      <c r="I149" s="605"/>
      <c r="J149" s="605"/>
      <c r="K149" s="605"/>
      <c r="L149" s="605"/>
      <c r="M149" s="605"/>
      <c r="N149" s="605"/>
      <c r="O149" s="605"/>
      <c r="P149" s="605"/>
      <c r="Q149" s="605"/>
      <c r="R149" s="605"/>
      <c r="S149" s="605"/>
      <c r="T149" s="605"/>
      <c r="U149" s="605"/>
      <c r="V149" s="663">
        <v>0</v>
      </c>
      <c r="W149" s="607"/>
      <c r="X149" s="588"/>
    </row>
    <row r="150" spans="1:25" s="589" customFormat="1" x14ac:dyDescent="0.25">
      <c r="A150" s="604"/>
      <c r="B150" s="605" t="s">
        <v>129</v>
      </c>
      <c r="C150" s="605"/>
      <c r="D150" s="605"/>
      <c r="E150" s="605"/>
      <c r="F150" s="605"/>
      <c r="G150" s="605"/>
      <c r="H150" s="605"/>
      <c r="I150" s="605"/>
      <c r="J150" s="605"/>
      <c r="K150" s="605"/>
      <c r="L150" s="605"/>
      <c r="M150" s="605"/>
      <c r="N150" s="605"/>
      <c r="O150" s="605"/>
      <c r="P150" s="605"/>
      <c r="Q150" s="605"/>
      <c r="R150" s="605"/>
      <c r="S150" s="605"/>
      <c r="T150" s="605"/>
      <c r="U150" s="605"/>
      <c r="V150" s="663">
        <v>0</v>
      </c>
      <c r="W150" s="607"/>
      <c r="X150" s="588"/>
    </row>
    <row r="151" spans="1:25" s="589" customFormat="1" x14ac:dyDescent="0.25">
      <c r="A151" s="604"/>
      <c r="B151" s="605" t="s">
        <v>241</v>
      </c>
      <c r="C151" s="605"/>
      <c r="D151" s="605"/>
      <c r="E151" s="605"/>
      <c r="F151" s="605"/>
      <c r="G151" s="605"/>
      <c r="H151" s="605"/>
      <c r="I151" s="605"/>
      <c r="J151" s="605"/>
      <c r="K151" s="605"/>
      <c r="L151" s="605"/>
      <c r="M151" s="605"/>
      <c r="N151" s="605"/>
      <c r="O151" s="605"/>
      <c r="P151" s="605"/>
      <c r="Q151" s="605"/>
      <c r="R151" s="605"/>
      <c r="S151" s="605"/>
      <c r="T151" s="605"/>
      <c r="U151" s="605"/>
      <c r="V151" s="663">
        <v>0</v>
      </c>
      <c r="W151" s="607"/>
      <c r="X151" s="588"/>
      <c r="Y151" s="685"/>
    </row>
    <row r="152" spans="1:25" s="589" customFormat="1" x14ac:dyDescent="0.25">
      <c r="A152" s="604"/>
      <c r="B152" s="605" t="s">
        <v>46</v>
      </c>
      <c r="C152" s="605"/>
      <c r="D152" s="605"/>
      <c r="E152" s="605"/>
      <c r="F152" s="605"/>
      <c r="G152" s="605"/>
      <c r="H152" s="605"/>
      <c r="I152" s="605"/>
      <c r="J152" s="605"/>
      <c r="K152" s="605"/>
      <c r="L152" s="605"/>
      <c r="M152" s="605"/>
      <c r="N152" s="605"/>
      <c r="O152" s="605"/>
      <c r="P152" s="605"/>
      <c r="Q152" s="605"/>
      <c r="R152" s="605"/>
      <c r="S152" s="605"/>
      <c r="T152" s="605"/>
      <c r="U152" s="605"/>
      <c r="V152" s="663">
        <f>SUM(V144:V151)</f>
        <v>0</v>
      </c>
      <c r="W152" s="607"/>
      <c r="X152" s="588"/>
    </row>
    <row r="153" spans="1:25" x14ac:dyDescent="0.25">
      <c r="A153" s="677"/>
      <c r="B153" s="679"/>
      <c r="C153" s="679"/>
      <c r="D153" s="679"/>
      <c r="E153" s="679"/>
      <c r="F153" s="679"/>
      <c r="G153" s="679"/>
      <c r="H153" s="679"/>
      <c r="I153" s="679"/>
      <c r="J153" s="679"/>
      <c r="K153" s="679"/>
      <c r="L153" s="679"/>
      <c r="M153" s="679"/>
      <c r="N153" s="679"/>
      <c r="O153" s="679"/>
      <c r="P153" s="679"/>
      <c r="Q153" s="679"/>
      <c r="R153" s="679"/>
      <c r="S153" s="679"/>
      <c r="T153" s="679"/>
      <c r="U153" s="679"/>
      <c r="V153" s="695"/>
      <c r="W153" s="683"/>
      <c r="X153" s="572"/>
    </row>
    <row r="154" spans="1:25" x14ac:dyDescent="0.25">
      <c r="A154" s="677"/>
      <c r="B154" s="678" t="s">
        <v>269</v>
      </c>
      <c r="C154" s="679"/>
      <c r="D154" s="679"/>
      <c r="E154" s="679"/>
      <c r="F154" s="679"/>
      <c r="G154" s="679"/>
      <c r="H154" s="679"/>
      <c r="I154" s="679"/>
      <c r="J154" s="679"/>
      <c r="K154" s="679"/>
      <c r="L154" s="679"/>
      <c r="M154" s="679"/>
      <c r="N154" s="679"/>
      <c r="O154" s="679"/>
      <c r="P154" s="679"/>
      <c r="Q154" s="679"/>
      <c r="R154" s="679"/>
      <c r="S154" s="679"/>
      <c r="T154" s="679"/>
      <c r="U154" s="679"/>
      <c r="V154" s="695"/>
      <c r="W154" s="683"/>
      <c r="X154" s="572"/>
    </row>
    <row r="155" spans="1:25" s="589" customFormat="1" x14ac:dyDescent="0.25">
      <c r="A155" s="604"/>
      <c r="B155" s="605" t="s">
        <v>155</v>
      </c>
      <c r="C155" s="605"/>
      <c r="D155" s="605"/>
      <c r="E155" s="605"/>
      <c r="F155" s="605"/>
      <c r="G155" s="605"/>
      <c r="H155" s="605"/>
      <c r="I155" s="605"/>
      <c r="J155" s="605"/>
      <c r="K155" s="605"/>
      <c r="L155" s="605"/>
      <c r="M155" s="605"/>
      <c r="N155" s="605"/>
      <c r="O155" s="605"/>
      <c r="P155" s="605"/>
      <c r="Q155" s="605"/>
      <c r="R155" s="605"/>
      <c r="S155" s="605"/>
      <c r="T155" s="605"/>
      <c r="U155" s="605"/>
      <c r="V155" s="663">
        <v>0</v>
      </c>
      <c r="W155" s="607"/>
      <c r="X155" s="588"/>
    </row>
    <row r="156" spans="1:25" s="589" customFormat="1" x14ac:dyDescent="0.25">
      <c r="A156" s="604"/>
      <c r="B156" s="605" t="s">
        <v>172</v>
      </c>
      <c r="C156" s="605"/>
      <c r="D156" s="605"/>
      <c r="E156" s="605"/>
      <c r="F156" s="605"/>
      <c r="G156" s="605"/>
      <c r="H156" s="605"/>
      <c r="I156" s="605"/>
      <c r="J156" s="605"/>
      <c r="K156" s="605"/>
      <c r="L156" s="605"/>
      <c r="M156" s="605"/>
      <c r="N156" s="605"/>
      <c r="O156" s="605"/>
      <c r="P156" s="605"/>
      <c r="Q156" s="605"/>
      <c r="R156" s="605"/>
      <c r="S156" s="605"/>
      <c r="T156" s="605"/>
      <c r="U156" s="605"/>
      <c r="V156" s="663">
        <v>0</v>
      </c>
      <c r="W156" s="607"/>
      <c r="X156" s="588"/>
    </row>
    <row r="157" spans="1:25" s="589" customFormat="1" x14ac:dyDescent="0.25">
      <c r="A157" s="604"/>
      <c r="B157" s="605" t="s">
        <v>226</v>
      </c>
      <c r="C157" s="605"/>
      <c r="D157" s="605"/>
      <c r="E157" s="605"/>
      <c r="F157" s="605"/>
      <c r="G157" s="605"/>
      <c r="H157" s="605"/>
      <c r="I157" s="605"/>
      <c r="J157" s="605"/>
      <c r="K157" s="605"/>
      <c r="L157" s="605"/>
      <c r="M157" s="605"/>
      <c r="N157" s="605"/>
      <c r="O157" s="605"/>
      <c r="P157" s="605"/>
      <c r="Q157" s="605"/>
      <c r="R157" s="605"/>
      <c r="S157" s="605"/>
      <c r="T157" s="605"/>
      <c r="U157" s="605"/>
      <c r="V157" s="663">
        <v>0</v>
      </c>
      <c r="W157" s="607"/>
      <c r="X157" s="588"/>
    </row>
    <row r="158" spans="1:25" x14ac:dyDescent="0.25">
      <c r="A158" s="677"/>
      <c r="B158" s="679"/>
      <c r="C158" s="679"/>
      <c r="D158" s="679"/>
      <c r="E158" s="679"/>
      <c r="F158" s="679"/>
      <c r="G158" s="679"/>
      <c r="H158" s="679"/>
      <c r="I158" s="679"/>
      <c r="J158" s="679"/>
      <c r="K158" s="679"/>
      <c r="L158" s="679"/>
      <c r="M158" s="679"/>
      <c r="N158" s="679"/>
      <c r="O158" s="679"/>
      <c r="P158" s="679"/>
      <c r="Q158" s="679"/>
      <c r="R158" s="679"/>
      <c r="S158" s="679"/>
      <c r="T158" s="679"/>
      <c r="U158" s="679"/>
      <c r="V158" s="695"/>
      <c r="W158" s="683"/>
      <c r="X158" s="572"/>
    </row>
    <row r="159" spans="1:25" x14ac:dyDescent="0.25">
      <c r="A159" s="574"/>
      <c r="B159" s="664"/>
      <c r="C159" s="664"/>
      <c r="D159" s="664"/>
      <c r="E159" s="664"/>
      <c r="F159" s="664"/>
      <c r="G159" s="664"/>
      <c r="H159" s="664"/>
      <c r="I159" s="664"/>
      <c r="J159" s="664"/>
      <c r="K159" s="664"/>
      <c r="L159" s="664"/>
      <c r="M159" s="664"/>
      <c r="N159" s="664"/>
      <c r="O159" s="664"/>
      <c r="P159" s="664"/>
      <c r="Q159" s="664"/>
      <c r="R159" s="664"/>
      <c r="S159" s="664"/>
      <c r="T159" s="664"/>
      <c r="U159" s="664"/>
      <c r="V159" s="696"/>
      <c r="W159" s="664"/>
      <c r="X159" s="572"/>
    </row>
    <row r="160" spans="1:25" x14ac:dyDescent="0.25">
      <c r="A160" s="574"/>
      <c r="B160" s="694" t="s">
        <v>24</v>
      </c>
      <c r="C160" s="576"/>
      <c r="D160" s="576"/>
      <c r="E160" s="576"/>
      <c r="F160" s="576"/>
      <c r="G160" s="576"/>
      <c r="H160" s="576"/>
      <c r="I160" s="576"/>
      <c r="J160" s="576"/>
      <c r="K160" s="576"/>
      <c r="L160" s="576"/>
      <c r="M160" s="576"/>
      <c r="N160" s="576"/>
      <c r="O160" s="576"/>
      <c r="P160" s="576"/>
      <c r="Q160" s="576"/>
      <c r="R160" s="576"/>
      <c r="S160" s="576"/>
      <c r="T160" s="576"/>
      <c r="U160" s="576"/>
      <c r="V160" s="656"/>
      <c r="W160" s="576"/>
      <c r="X160" s="572"/>
    </row>
    <row r="161" spans="1:256" s="589" customFormat="1" x14ac:dyDescent="0.25">
      <c r="A161" s="604"/>
      <c r="B161" s="605" t="s">
        <v>47</v>
      </c>
      <c r="C161" s="605"/>
      <c r="D161" s="605"/>
      <c r="E161" s="605"/>
      <c r="F161" s="605"/>
      <c r="G161" s="605"/>
      <c r="H161" s="605"/>
      <c r="I161" s="605"/>
      <c r="J161" s="605"/>
      <c r="K161" s="605"/>
      <c r="L161" s="605"/>
      <c r="M161" s="605"/>
      <c r="N161" s="605"/>
      <c r="O161" s="605"/>
      <c r="P161" s="605"/>
      <c r="Q161" s="605"/>
      <c r="R161" s="605"/>
      <c r="S161" s="605"/>
      <c r="T161" s="605"/>
      <c r="U161" s="605"/>
      <c r="V161" s="697" t="s">
        <v>118</v>
      </c>
      <c r="W161" s="607"/>
      <c r="X161" s="588"/>
    </row>
    <row r="162" spans="1:256" s="589" customFormat="1" x14ac:dyDescent="0.25">
      <c r="A162" s="604"/>
      <c r="B162" s="605" t="s">
        <v>48</v>
      </c>
      <c r="C162" s="605"/>
      <c r="D162" s="605"/>
      <c r="E162" s="605"/>
      <c r="F162" s="605"/>
      <c r="G162" s="605"/>
      <c r="H162" s="605"/>
      <c r="I162" s="605"/>
      <c r="J162" s="605"/>
      <c r="K162" s="605"/>
      <c r="L162" s="605"/>
      <c r="M162" s="605"/>
      <c r="N162" s="605"/>
      <c r="O162" s="605"/>
      <c r="P162" s="605"/>
      <c r="Q162" s="605"/>
      <c r="R162" s="605"/>
      <c r="S162" s="605"/>
      <c r="T162" s="605"/>
      <c r="U162" s="605"/>
      <c r="V162" s="697" t="s">
        <v>118</v>
      </c>
      <c r="W162" s="607"/>
      <c r="X162" s="588"/>
    </row>
    <row r="163" spans="1:256" s="589" customFormat="1" x14ac:dyDescent="0.25">
      <c r="A163" s="604"/>
      <c r="B163" s="605" t="s">
        <v>49</v>
      </c>
      <c r="C163" s="605"/>
      <c r="D163" s="605"/>
      <c r="E163" s="605"/>
      <c r="F163" s="605"/>
      <c r="G163" s="605"/>
      <c r="H163" s="605"/>
      <c r="I163" s="605"/>
      <c r="J163" s="605"/>
      <c r="K163" s="605"/>
      <c r="L163" s="605"/>
      <c r="M163" s="605"/>
      <c r="N163" s="605"/>
      <c r="O163" s="605"/>
      <c r="P163" s="605"/>
      <c r="Q163" s="605"/>
      <c r="R163" s="605"/>
      <c r="S163" s="605"/>
      <c r="T163" s="605"/>
      <c r="U163" s="605"/>
      <c r="V163" s="697" t="s">
        <v>118</v>
      </c>
      <c r="W163" s="607"/>
      <c r="X163" s="588"/>
    </row>
    <row r="164" spans="1:256" s="589" customFormat="1" x14ac:dyDescent="0.25">
      <c r="A164" s="604"/>
      <c r="B164" s="605" t="s">
        <v>50</v>
      </c>
      <c r="C164" s="605"/>
      <c r="D164" s="605"/>
      <c r="E164" s="605"/>
      <c r="F164" s="605"/>
      <c r="G164" s="605"/>
      <c r="H164" s="605"/>
      <c r="I164" s="605"/>
      <c r="J164" s="605"/>
      <c r="K164" s="605"/>
      <c r="L164" s="605"/>
      <c r="M164" s="605"/>
      <c r="N164" s="605"/>
      <c r="O164" s="605"/>
      <c r="P164" s="605"/>
      <c r="Q164" s="605"/>
      <c r="R164" s="605"/>
      <c r="S164" s="605"/>
      <c r="T164" s="605"/>
      <c r="U164" s="605"/>
      <c r="V164" s="697" t="s">
        <v>118</v>
      </c>
      <c r="W164" s="607"/>
      <c r="X164" s="588"/>
    </row>
    <row r="165" spans="1:256" x14ac:dyDescent="0.25">
      <c r="A165" s="574"/>
      <c r="B165" s="664"/>
      <c r="C165" s="664"/>
      <c r="D165" s="664"/>
      <c r="E165" s="664"/>
      <c r="F165" s="664"/>
      <c r="G165" s="664"/>
      <c r="H165" s="664"/>
      <c r="I165" s="664"/>
      <c r="J165" s="664"/>
      <c r="K165" s="664"/>
      <c r="L165" s="664"/>
      <c r="M165" s="664"/>
      <c r="N165" s="664"/>
      <c r="O165" s="664"/>
      <c r="P165" s="664"/>
      <c r="Q165" s="664"/>
      <c r="R165" s="664"/>
      <c r="S165" s="664"/>
      <c r="T165" s="664"/>
      <c r="U165" s="664"/>
      <c r="V165" s="696"/>
      <c r="W165" s="664"/>
      <c r="X165" s="572"/>
    </row>
    <row r="166" spans="1:256" x14ac:dyDescent="0.25">
      <c r="A166" s="574"/>
      <c r="B166" s="694" t="s">
        <v>51</v>
      </c>
      <c r="C166" s="576"/>
      <c r="D166" s="576"/>
      <c r="E166" s="576"/>
      <c r="F166" s="576"/>
      <c r="G166" s="576"/>
      <c r="H166" s="576"/>
      <c r="I166" s="576"/>
      <c r="J166" s="576"/>
      <c r="K166" s="576"/>
      <c r="L166" s="576"/>
      <c r="M166" s="576"/>
      <c r="N166" s="576"/>
      <c r="O166" s="576"/>
      <c r="P166" s="576"/>
      <c r="Q166" s="576"/>
      <c r="R166" s="576"/>
      <c r="S166" s="576"/>
      <c r="T166" s="576"/>
      <c r="U166" s="576"/>
      <c r="V166" s="698"/>
      <c r="W166" s="576"/>
      <c r="X166" s="572"/>
    </row>
    <row r="167" spans="1:256" s="589" customFormat="1" x14ac:dyDescent="0.25">
      <c r="A167" s="604"/>
      <c r="B167" s="605" t="s">
        <v>52</v>
      </c>
      <c r="C167" s="605"/>
      <c r="D167" s="605"/>
      <c r="E167" s="605"/>
      <c r="F167" s="605"/>
      <c r="G167" s="605"/>
      <c r="H167" s="605"/>
      <c r="I167" s="605"/>
      <c r="J167" s="605"/>
      <c r="K167" s="605"/>
      <c r="L167" s="605"/>
      <c r="M167" s="605"/>
      <c r="N167" s="605"/>
      <c r="O167" s="605"/>
      <c r="P167" s="605"/>
      <c r="Q167" s="605"/>
      <c r="R167" s="605"/>
      <c r="S167" s="605"/>
      <c r="T167" s="605"/>
      <c r="U167" s="605"/>
      <c r="V167" s="663">
        <v>0</v>
      </c>
      <c r="W167" s="607"/>
      <c r="X167" s="588"/>
    </row>
    <row r="168" spans="1:256" s="589" customFormat="1" x14ac:dyDescent="0.25">
      <c r="A168" s="604"/>
      <c r="B168" s="605" t="s">
        <v>53</v>
      </c>
      <c r="C168" s="605"/>
      <c r="D168" s="605"/>
      <c r="E168" s="605"/>
      <c r="F168" s="605"/>
      <c r="G168" s="605"/>
      <c r="H168" s="605"/>
      <c r="I168" s="605"/>
      <c r="J168" s="605"/>
      <c r="K168" s="605"/>
      <c r="L168" s="605"/>
      <c r="M168" s="605"/>
      <c r="N168" s="605"/>
      <c r="O168" s="605"/>
      <c r="P168" s="605"/>
      <c r="Q168" s="605"/>
      <c r="R168" s="605"/>
      <c r="S168" s="605"/>
      <c r="T168" s="605"/>
      <c r="U168" s="605"/>
      <c r="V168" s="663">
        <v>8</v>
      </c>
      <c r="W168" s="607"/>
      <c r="X168" s="588"/>
    </row>
    <row r="169" spans="1:256" s="589" customFormat="1" x14ac:dyDescent="0.25">
      <c r="A169" s="604"/>
      <c r="B169" s="605" t="s">
        <v>54</v>
      </c>
      <c r="C169" s="605"/>
      <c r="D169" s="605"/>
      <c r="E169" s="605"/>
      <c r="F169" s="605"/>
      <c r="G169" s="605"/>
      <c r="H169" s="605"/>
      <c r="I169" s="605"/>
      <c r="J169" s="605"/>
      <c r="K169" s="605"/>
      <c r="L169" s="605"/>
      <c r="M169" s="605"/>
      <c r="N169" s="605"/>
      <c r="O169" s="605"/>
      <c r="P169" s="605"/>
      <c r="Q169" s="605"/>
      <c r="R169" s="605"/>
      <c r="S169" s="605"/>
      <c r="T169" s="605"/>
      <c r="U169" s="605"/>
      <c r="V169" s="663">
        <f>V168+V167</f>
        <v>8</v>
      </c>
      <c r="W169" s="607"/>
      <c r="X169" s="588"/>
    </row>
    <row r="170" spans="1:256" s="589" customFormat="1" x14ac:dyDescent="0.25">
      <c r="A170" s="604"/>
      <c r="B170" s="605" t="s">
        <v>303</v>
      </c>
      <c r="C170" s="605"/>
      <c r="D170" s="605"/>
      <c r="E170" s="605"/>
      <c r="F170" s="605"/>
      <c r="G170" s="605"/>
      <c r="H170" s="605"/>
      <c r="I170" s="605"/>
      <c r="J170" s="605"/>
      <c r="K170" s="605"/>
      <c r="L170" s="605"/>
      <c r="M170" s="605"/>
      <c r="N170" s="605"/>
      <c r="O170" s="605"/>
      <c r="P170" s="605"/>
      <c r="Q170" s="605"/>
      <c r="R170" s="605"/>
      <c r="S170" s="605"/>
      <c r="T170" s="605"/>
      <c r="U170" s="605"/>
      <c r="V170" s="663">
        <f>V115</f>
        <v>-8</v>
      </c>
      <c r="W170" s="607"/>
      <c r="X170" s="588"/>
    </row>
    <row r="171" spans="1:256" s="589" customFormat="1" x14ac:dyDescent="0.25">
      <c r="A171" s="604"/>
      <c r="B171" s="605" t="s">
        <v>55</v>
      </c>
      <c r="C171" s="605"/>
      <c r="D171" s="605"/>
      <c r="E171" s="605"/>
      <c r="F171" s="605"/>
      <c r="G171" s="605"/>
      <c r="H171" s="605"/>
      <c r="I171" s="605"/>
      <c r="J171" s="605"/>
      <c r="K171" s="605"/>
      <c r="L171" s="605"/>
      <c r="M171" s="605"/>
      <c r="N171" s="605"/>
      <c r="O171" s="605"/>
      <c r="P171" s="605"/>
      <c r="Q171" s="605"/>
      <c r="R171" s="605"/>
      <c r="S171" s="605"/>
      <c r="T171" s="605"/>
      <c r="U171" s="605"/>
      <c r="V171" s="663">
        <f>V169+V170</f>
        <v>0</v>
      </c>
      <c r="W171" s="607"/>
      <c r="X171" s="588"/>
    </row>
    <row r="172" spans="1:256" s="589" customFormat="1" x14ac:dyDescent="0.25">
      <c r="A172" s="604"/>
      <c r="B172" s="605" t="s">
        <v>274</v>
      </c>
      <c r="C172" s="605"/>
      <c r="D172" s="605"/>
      <c r="E172" s="605"/>
      <c r="F172" s="605"/>
      <c r="G172" s="605"/>
      <c r="H172" s="605"/>
      <c r="I172" s="605"/>
      <c r="J172" s="605"/>
      <c r="K172" s="605"/>
      <c r="L172" s="605"/>
      <c r="M172" s="605"/>
      <c r="N172" s="605"/>
      <c r="O172" s="605"/>
      <c r="P172" s="605"/>
      <c r="Q172" s="605"/>
      <c r="R172" s="605"/>
      <c r="S172" s="605"/>
      <c r="T172" s="605"/>
      <c r="U172" s="605"/>
      <c r="V172" s="663">
        <v>0</v>
      </c>
      <c r="W172" s="607"/>
      <c r="X172" s="588"/>
    </row>
    <row r="173" spans="1:256" ht="16.5" thickBot="1" x14ac:dyDescent="0.3">
      <c r="A173" s="574"/>
      <c r="B173" s="664"/>
      <c r="C173" s="664"/>
      <c r="D173" s="664"/>
      <c r="E173" s="664"/>
      <c r="F173" s="664"/>
      <c r="G173" s="664"/>
      <c r="H173" s="664"/>
      <c r="I173" s="664"/>
      <c r="J173" s="664"/>
      <c r="K173" s="664"/>
      <c r="L173" s="664"/>
      <c r="M173" s="664"/>
      <c r="N173" s="664"/>
      <c r="O173" s="664"/>
      <c r="P173" s="664"/>
      <c r="Q173" s="664"/>
      <c r="R173" s="664"/>
      <c r="S173" s="664"/>
      <c r="T173" s="664"/>
      <c r="U173" s="664"/>
      <c r="V173" s="696"/>
      <c r="W173" s="664"/>
      <c r="X173" s="572"/>
    </row>
    <row r="174" spans="1:256" x14ac:dyDescent="0.25">
      <c r="A174" s="569"/>
      <c r="B174" s="571"/>
      <c r="C174" s="571"/>
      <c r="D174" s="571"/>
      <c r="E174" s="571"/>
      <c r="F174" s="571"/>
      <c r="G174" s="571"/>
      <c r="H174" s="571"/>
      <c r="I174" s="571"/>
      <c r="J174" s="571"/>
      <c r="K174" s="571"/>
      <c r="L174" s="571"/>
      <c r="M174" s="571"/>
      <c r="N174" s="571"/>
      <c r="O174" s="571"/>
      <c r="P174" s="571"/>
      <c r="Q174" s="571"/>
      <c r="R174" s="571"/>
      <c r="S174" s="571"/>
      <c r="T174" s="571"/>
      <c r="U174" s="571"/>
      <c r="V174" s="699"/>
      <c r="W174" s="571"/>
      <c r="X174" s="572"/>
    </row>
    <row r="175" spans="1:256" s="701" customFormat="1" x14ac:dyDescent="0.25">
      <c r="A175" s="574"/>
      <c r="B175" s="694" t="s">
        <v>230</v>
      </c>
      <c r="C175" s="664"/>
      <c r="D175" s="664"/>
      <c r="E175" s="664"/>
      <c r="F175" s="664"/>
      <c r="G175" s="664"/>
      <c r="H175" s="664"/>
      <c r="I175" s="664"/>
      <c r="J175" s="664"/>
      <c r="K175" s="664"/>
      <c r="L175" s="664"/>
      <c r="M175" s="664"/>
      <c r="N175" s="664"/>
      <c r="O175" s="664"/>
      <c r="P175" s="664"/>
      <c r="Q175" s="664"/>
      <c r="R175" s="664"/>
      <c r="S175" s="664"/>
      <c r="T175" s="664"/>
      <c r="U175" s="664"/>
      <c r="V175" s="700"/>
      <c r="W175" s="664"/>
      <c r="X175" s="572"/>
      <c r="Y175" s="573"/>
      <c r="Z175" s="573"/>
      <c r="AA175" s="573"/>
      <c r="AB175" s="573"/>
      <c r="AC175" s="573"/>
      <c r="AD175" s="573"/>
      <c r="AE175" s="573"/>
      <c r="AF175" s="573"/>
      <c r="AG175" s="573"/>
      <c r="AH175" s="573"/>
      <c r="AI175" s="573"/>
      <c r="AJ175" s="573"/>
      <c r="AK175" s="573"/>
      <c r="AL175" s="573"/>
      <c r="AM175" s="573"/>
      <c r="AN175" s="573"/>
      <c r="AO175" s="573"/>
      <c r="AP175" s="573"/>
      <c r="AQ175" s="573"/>
      <c r="AR175" s="573"/>
      <c r="AS175" s="573"/>
      <c r="AT175" s="573"/>
      <c r="AU175" s="573"/>
      <c r="AV175" s="573"/>
      <c r="AW175" s="573"/>
      <c r="AX175" s="573"/>
      <c r="AY175" s="573"/>
      <c r="AZ175" s="573"/>
      <c r="BA175" s="573"/>
      <c r="BB175" s="573"/>
      <c r="BC175" s="573"/>
      <c r="BD175" s="573"/>
      <c r="BE175" s="573"/>
      <c r="BF175" s="573"/>
      <c r="BG175" s="573"/>
      <c r="BH175" s="573"/>
      <c r="BI175" s="573"/>
      <c r="BJ175" s="573"/>
      <c r="BK175" s="573"/>
      <c r="BL175" s="573"/>
      <c r="BM175" s="573"/>
      <c r="BN175" s="573"/>
      <c r="BO175" s="573"/>
      <c r="BP175" s="573"/>
      <c r="BQ175" s="573"/>
      <c r="BR175" s="573"/>
      <c r="BS175" s="573"/>
      <c r="BT175" s="573"/>
      <c r="BU175" s="573"/>
      <c r="BV175" s="573"/>
      <c r="BW175" s="573"/>
      <c r="BX175" s="573"/>
      <c r="BY175" s="573"/>
      <c r="BZ175" s="573"/>
      <c r="CA175" s="573"/>
      <c r="CB175" s="573"/>
      <c r="CC175" s="573"/>
      <c r="CD175" s="573"/>
      <c r="CE175" s="573"/>
      <c r="CF175" s="573"/>
      <c r="CG175" s="573"/>
      <c r="CH175" s="573"/>
      <c r="CI175" s="573"/>
      <c r="CJ175" s="573"/>
      <c r="CK175" s="573"/>
      <c r="CL175" s="573"/>
      <c r="CM175" s="573"/>
      <c r="CN175" s="573"/>
      <c r="CO175" s="573"/>
      <c r="CP175" s="573"/>
      <c r="CQ175" s="573"/>
      <c r="CR175" s="573"/>
      <c r="CS175" s="573"/>
      <c r="CT175" s="573"/>
      <c r="CU175" s="573"/>
      <c r="CV175" s="573"/>
      <c r="CW175" s="573"/>
      <c r="CX175" s="573"/>
      <c r="CY175" s="573"/>
      <c r="CZ175" s="573"/>
      <c r="DA175" s="573"/>
      <c r="DB175" s="573"/>
      <c r="DC175" s="573"/>
      <c r="DD175" s="573"/>
      <c r="DE175" s="573"/>
      <c r="DF175" s="573"/>
      <c r="DG175" s="573"/>
      <c r="DH175" s="573"/>
      <c r="DI175" s="573"/>
      <c r="DJ175" s="573"/>
      <c r="DK175" s="573"/>
      <c r="DL175" s="573"/>
      <c r="DM175" s="573"/>
      <c r="DN175" s="573"/>
      <c r="DO175" s="573"/>
      <c r="DP175" s="573"/>
      <c r="DQ175" s="573"/>
      <c r="DR175" s="573"/>
      <c r="DS175" s="573"/>
      <c r="DT175" s="573"/>
      <c r="DU175" s="573"/>
      <c r="DV175" s="573"/>
      <c r="DW175" s="573"/>
      <c r="DX175" s="573"/>
      <c r="DY175" s="573"/>
      <c r="DZ175" s="573"/>
      <c r="EA175" s="573"/>
      <c r="EB175" s="573"/>
      <c r="EC175" s="573"/>
      <c r="ED175" s="573"/>
      <c r="EE175" s="573"/>
      <c r="EF175" s="573"/>
      <c r="EG175" s="573"/>
      <c r="EH175" s="573"/>
      <c r="EI175" s="573"/>
      <c r="EJ175" s="573"/>
      <c r="EK175" s="573"/>
      <c r="EL175" s="573"/>
      <c r="EM175" s="573"/>
      <c r="EN175" s="573"/>
      <c r="EO175" s="573"/>
      <c r="EP175" s="573"/>
      <c r="EQ175" s="573"/>
      <c r="ER175" s="573"/>
      <c r="ES175" s="573"/>
      <c r="ET175" s="573"/>
      <c r="EU175" s="573"/>
      <c r="EV175" s="573"/>
      <c r="EW175" s="573"/>
      <c r="EX175" s="573"/>
      <c r="EY175" s="573"/>
      <c r="EZ175" s="573"/>
      <c r="FA175" s="573"/>
      <c r="FB175" s="573"/>
      <c r="FC175" s="573"/>
      <c r="FD175" s="573"/>
      <c r="FE175" s="573"/>
      <c r="FF175" s="573"/>
      <c r="FG175" s="573"/>
      <c r="FH175" s="573"/>
      <c r="FI175" s="573"/>
      <c r="FJ175" s="573"/>
      <c r="FK175" s="573"/>
      <c r="FL175" s="573"/>
      <c r="FM175" s="573"/>
      <c r="FN175" s="573"/>
      <c r="FO175" s="573"/>
      <c r="FP175" s="573"/>
      <c r="FQ175" s="573"/>
      <c r="FR175" s="573"/>
      <c r="FS175" s="573"/>
      <c r="FT175" s="573"/>
      <c r="FU175" s="573"/>
      <c r="FV175" s="573"/>
      <c r="FW175" s="573"/>
      <c r="FX175" s="573"/>
      <c r="FY175" s="573"/>
      <c r="FZ175" s="573"/>
      <c r="GA175" s="573"/>
      <c r="GB175" s="573"/>
      <c r="GC175" s="573"/>
      <c r="GD175" s="573"/>
      <c r="GE175" s="573"/>
      <c r="GF175" s="573"/>
      <c r="GG175" s="573"/>
      <c r="GH175" s="573"/>
      <c r="GI175" s="573"/>
      <c r="GJ175" s="573"/>
      <c r="GK175" s="573"/>
      <c r="GL175" s="573"/>
      <c r="GM175" s="573"/>
      <c r="GN175" s="573"/>
      <c r="GO175" s="573"/>
      <c r="GP175" s="573"/>
      <c r="GQ175" s="573"/>
      <c r="GR175" s="573"/>
      <c r="GS175" s="573"/>
      <c r="GT175" s="573"/>
      <c r="GU175" s="573"/>
      <c r="GV175" s="573"/>
      <c r="GW175" s="573"/>
      <c r="GX175" s="573"/>
      <c r="GY175" s="573"/>
      <c r="GZ175" s="573"/>
      <c r="HA175" s="573"/>
      <c r="HB175" s="573"/>
      <c r="HC175" s="573"/>
      <c r="HD175" s="573"/>
      <c r="HE175" s="573"/>
      <c r="HF175" s="573"/>
      <c r="HG175" s="573"/>
      <c r="HH175" s="573"/>
      <c r="HI175" s="573"/>
      <c r="HJ175" s="573"/>
      <c r="HK175" s="573"/>
      <c r="HL175" s="573"/>
      <c r="HM175" s="573"/>
      <c r="HN175" s="573"/>
      <c r="HO175" s="573"/>
      <c r="HP175" s="573"/>
      <c r="HQ175" s="573"/>
      <c r="HR175" s="573"/>
      <c r="HS175" s="573"/>
      <c r="HT175" s="573"/>
      <c r="HU175" s="573"/>
      <c r="HV175" s="573"/>
      <c r="HW175" s="573"/>
      <c r="HX175" s="573"/>
      <c r="HY175" s="573"/>
      <c r="HZ175" s="573"/>
      <c r="IA175" s="573"/>
      <c r="IB175" s="573"/>
      <c r="IC175" s="573"/>
      <c r="ID175" s="573"/>
      <c r="IE175" s="573"/>
      <c r="IF175" s="573"/>
      <c r="IG175" s="573"/>
      <c r="IH175" s="573"/>
      <c r="II175" s="573"/>
      <c r="IJ175" s="573"/>
      <c r="IK175" s="573"/>
      <c r="IL175" s="573"/>
      <c r="IM175" s="573"/>
      <c r="IN175" s="573"/>
      <c r="IO175" s="573"/>
      <c r="IP175" s="573"/>
      <c r="IQ175" s="573"/>
      <c r="IR175" s="573"/>
      <c r="IS175" s="573"/>
      <c r="IT175" s="573"/>
      <c r="IU175" s="573"/>
      <c r="IV175" s="573"/>
    </row>
    <row r="176" spans="1:256" s="702" customFormat="1" x14ac:dyDescent="0.25">
      <c r="A176" s="604"/>
      <c r="B176" s="605" t="s">
        <v>231</v>
      </c>
      <c r="C176" s="605"/>
      <c r="D176" s="605"/>
      <c r="E176" s="605"/>
      <c r="F176" s="605"/>
      <c r="G176" s="605"/>
      <c r="H176" s="605"/>
      <c r="I176" s="605"/>
      <c r="J176" s="605"/>
      <c r="K176" s="605"/>
      <c r="L176" s="605"/>
      <c r="M176" s="605"/>
      <c r="N176" s="605"/>
      <c r="O176" s="605"/>
      <c r="P176" s="605"/>
      <c r="Q176" s="605"/>
      <c r="R176" s="605"/>
      <c r="S176" s="605"/>
      <c r="T176" s="605"/>
      <c r="U176" s="605"/>
      <c r="V176" s="663">
        <f>+'Aug 08'!V173</f>
        <v>0</v>
      </c>
      <c r="W176" s="607"/>
      <c r="X176" s="588"/>
      <c r="Y176" s="589"/>
      <c r="Z176" s="589"/>
      <c r="AA176" s="589"/>
      <c r="AB176" s="589"/>
      <c r="AC176" s="589"/>
      <c r="AD176" s="589"/>
      <c r="AE176" s="589"/>
      <c r="AF176" s="589"/>
      <c r="AG176" s="589"/>
      <c r="AH176" s="589"/>
      <c r="AI176" s="589"/>
      <c r="AJ176" s="589"/>
      <c r="AK176" s="589"/>
      <c r="AL176" s="589"/>
      <c r="AM176" s="589"/>
      <c r="AN176" s="589"/>
      <c r="AO176" s="589"/>
      <c r="AP176" s="589"/>
      <c r="AQ176" s="589"/>
      <c r="AR176" s="589"/>
      <c r="AS176" s="589"/>
      <c r="AT176" s="589"/>
      <c r="AU176" s="589"/>
      <c r="AV176" s="589"/>
      <c r="AW176" s="589"/>
      <c r="AX176" s="589"/>
      <c r="AY176" s="589"/>
      <c r="AZ176" s="589"/>
      <c r="BA176" s="589"/>
      <c r="BB176" s="589"/>
      <c r="BC176" s="589"/>
      <c r="BD176" s="589"/>
      <c r="BE176" s="589"/>
      <c r="BF176" s="589"/>
      <c r="BG176" s="589"/>
      <c r="BH176" s="589"/>
      <c r="BI176" s="589"/>
      <c r="BJ176" s="589"/>
      <c r="BK176" s="589"/>
      <c r="BL176" s="589"/>
      <c r="BM176" s="589"/>
      <c r="BN176" s="589"/>
      <c r="BO176" s="589"/>
      <c r="BP176" s="589"/>
      <c r="BQ176" s="589"/>
      <c r="BR176" s="589"/>
      <c r="BS176" s="589"/>
      <c r="BT176" s="589"/>
      <c r="BU176" s="589"/>
      <c r="BV176" s="589"/>
      <c r="BW176" s="589"/>
      <c r="BX176" s="589"/>
      <c r="BY176" s="589"/>
      <c r="BZ176" s="589"/>
      <c r="CA176" s="589"/>
      <c r="CB176" s="589"/>
      <c r="CC176" s="589"/>
      <c r="CD176" s="589"/>
      <c r="CE176" s="589"/>
      <c r="CF176" s="589"/>
      <c r="CG176" s="589"/>
      <c r="CH176" s="589"/>
      <c r="CI176" s="589"/>
      <c r="CJ176" s="589"/>
      <c r="CK176" s="589"/>
      <c r="CL176" s="589"/>
      <c r="CM176" s="589"/>
      <c r="CN176" s="589"/>
      <c r="CO176" s="589"/>
      <c r="CP176" s="589"/>
      <c r="CQ176" s="589"/>
      <c r="CR176" s="589"/>
      <c r="CS176" s="589"/>
      <c r="CT176" s="589"/>
      <c r="CU176" s="589"/>
      <c r="CV176" s="589"/>
      <c r="CW176" s="589"/>
      <c r="CX176" s="589"/>
      <c r="CY176" s="589"/>
      <c r="CZ176" s="589"/>
      <c r="DA176" s="589"/>
      <c r="DB176" s="589"/>
      <c r="DC176" s="589"/>
      <c r="DD176" s="589"/>
      <c r="DE176" s="589"/>
      <c r="DF176" s="589"/>
      <c r="DG176" s="589"/>
      <c r="DH176" s="589"/>
      <c r="DI176" s="589"/>
      <c r="DJ176" s="589"/>
      <c r="DK176" s="589"/>
      <c r="DL176" s="589"/>
      <c r="DM176" s="589"/>
      <c r="DN176" s="589"/>
      <c r="DO176" s="589"/>
      <c r="DP176" s="589"/>
      <c r="DQ176" s="589"/>
      <c r="DR176" s="589"/>
      <c r="DS176" s="589"/>
      <c r="DT176" s="589"/>
      <c r="DU176" s="589"/>
      <c r="DV176" s="589"/>
      <c r="DW176" s="589"/>
      <c r="DX176" s="589"/>
      <c r="DY176" s="589"/>
      <c r="DZ176" s="589"/>
      <c r="EA176" s="589"/>
      <c r="EB176" s="589"/>
      <c r="EC176" s="589"/>
      <c r="ED176" s="589"/>
      <c r="EE176" s="589"/>
      <c r="EF176" s="589"/>
      <c r="EG176" s="589"/>
      <c r="EH176" s="589"/>
      <c r="EI176" s="589"/>
      <c r="EJ176" s="589"/>
      <c r="EK176" s="589"/>
      <c r="EL176" s="589"/>
      <c r="EM176" s="589"/>
      <c r="EN176" s="589"/>
      <c r="EO176" s="589"/>
      <c r="EP176" s="589"/>
      <c r="EQ176" s="589"/>
      <c r="ER176" s="589"/>
      <c r="ES176" s="589"/>
      <c r="ET176" s="589"/>
      <c r="EU176" s="589"/>
      <c r="EV176" s="589"/>
      <c r="EW176" s="589"/>
      <c r="EX176" s="589"/>
      <c r="EY176" s="589"/>
      <c r="EZ176" s="589"/>
      <c r="FA176" s="589"/>
      <c r="FB176" s="589"/>
      <c r="FC176" s="589"/>
      <c r="FD176" s="589"/>
      <c r="FE176" s="589"/>
      <c r="FF176" s="589"/>
      <c r="FG176" s="589"/>
      <c r="FH176" s="589"/>
      <c r="FI176" s="589"/>
      <c r="FJ176" s="589"/>
      <c r="FK176" s="589"/>
      <c r="FL176" s="589"/>
      <c r="FM176" s="589"/>
      <c r="FN176" s="589"/>
      <c r="FO176" s="589"/>
      <c r="FP176" s="589"/>
      <c r="FQ176" s="589"/>
      <c r="FR176" s="589"/>
      <c r="FS176" s="589"/>
      <c r="FT176" s="589"/>
      <c r="FU176" s="589"/>
      <c r="FV176" s="589"/>
      <c r="FW176" s="589"/>
      <c r="FX176" s="589"/>
      <c r="FY176" s="589"/>
      <c r="FZ176" s="589"/>
      <c r="GA176" s="589"/>
      <c r="GB176" s="589"/>
      <c r="GC176" s="589"/>
      <c r="GD176" s="589"/>
      <c r="GE176" s="589"/>
      <c r="GF176" s="589"/>
      <c r="GG176" s="589"/>
      <c r="GH176" s="589"/>
      <c r="GI176" s="589"/>
      <c r="GJ176" s="589"/>
      <c r="GK176" s="589"/>
      <c r="GL176" s="589"/>
      <c r="GM176" s="589"/>
      <c r="GN176" s="589"/>
      <c r="GO176" s="589"/>
      <c r="GP176" s="589"/>
      <c r="GQ176" s="589"/>
      <c r="GR176" s="589"/>
      <c r="GS176" s="589"/>
      <c r="GT176" s="589"/>
      <c r="GU176" s="589"/>
      <c r="GV176" s="589"/>
      <c r="GW176" s="589"/>
      <c r="GX176" s="589"/>
      <c r="GY176" s="589"/>
      <c r="GZ176" s="589"/>
      <c r="HA176" s="589"/>
      <c r="HB176" s="589"/>
      <c r="HC176" s="589"/>
      <c r="HD176" s="589"/>
      <c r="HE176" s="589"/>
      <c r="HF176" s="589"/>
      <c r="HG176" s="589"/>
      <c r="HH176" s="589"/>
      <c r="HI176" s="589"/>
      <c r="HJ176" s="589"/>
      <c r="HK176" s="589"/>
      <c r="HL176" s="589"/>
      <c r="HM176" s="589"/>
      <c r="HN176" s="589"/>
      <c r="HO176" s="589"/>
      <c r="HP176" s="589"/>
      <c r="HQ176" s="589"/>
      <c r="HR176" s="589"/>
      <c r="HS176" s="589"/>
      <c r="HT176" s="589"/>
      <c r="HU176" s="589"/>
      <c r="HV176" s="589"/>
      <c r="HW176" s="589"/>
      <c r="HX176" s="589"/>
      <c r="HY176" s="589"/>
      <c r="HZ176" s="589"/>
      <c r="IA176" s="589"/>
      <c r="IB176" s="589"/>
      <c r="IC176" s="589"/>
      <c r="ID176" s="589"/>
      <c r="IE176" s="589"/>
      <c r="IF176" s="589"/>
      <c r="IG176" s="589"/>
      <c r="IH176" s="589"/>
      <c r="II176" s="589"/>
      <c r="IJ176" s="589"/>
      <c r="IK176" s="589"/>
      <c r="IL176" s="589"/>
      <c r="IM176" s="589"/>
      <c r="IN176" s="589"/>
      <c r="IO176" s="589"/>
      <c r="IP176" s="589"/>
      <c r="IQ176" s="589"/>
      <c r="IR176" s="589"/>
      <c r="IS176" s="589"/>
      <c r="IT176" s="589"/>
      <c r="IU176" s="589"/>
      <c r="IV176" s="589"/>
    </row>
    <row r="177" spans="1:256" s="702" customFormat="1" x14ac:dyDescent="0.25">
      <c r="A177" s="604"/>
      <c r="B177" s="605" t="s">
        <v>234</v>
      </c>
      <c r="C177" s="605"/>
      <c r="D177" s="605"/>
      <c r="E177" s="605"/>
      <c r="F177" s="605"/>
      <c r="G177" s="605"/>
      <c r="H177" s="605"/>
      <c r="I177" s="605"/>
      <c r="J177" s="605"/>
      <c r="K177" s="605"/>
      <c r="L177" s="605"/>
      <c r="M177" s="605"/>
      <c r="N177" s="605"/>
      <c r="O177" s="605"/>
      <c r="P177" s="605"/>
      <c r="Q177" s="605"/>
      <c r="R177" s="605"/>
      <c r="S177" s="605"/>
      <c r="T177" s="605"/>
      <c r="U177" s="605"/>
      <c r="V177" s="663">
        <f>+V94</f>
        <v>0</v>
      </c>
      <c r="W177" s="607"/>
      <c r="X177" s="588"/>
      <c r="Y177" s="589"/>
      <c r="Z177" s="589"/>
      <c r="AA177" s="589"/>
      <c r="AB177" s="589"/>
      <c r="AC177" s="589"/>
      <c r="AD177" s="589"/>
      <c r="AE177" s="589"/>
      <c r="AF177" s="589"/>
      <c r="AG177" s="589"/>
      <c r="AH177" s="589"/>
      <c r="AI177" s="589"/>
      <c r="AJ177" s="589"/>
      <c r="AK177" s="589"/>
      <c r="AL177" s="589"/>
      <c r="AM177" s="589"/>
      <c r="AN177" s="589"/>
      <c r="AO177" s="589"/>
      <c r="AP177" s="589"/>
      <c r="AQ177" s="589"/>
      <c r="AR177" s="589"/>
      <c r="AS177" s="589"/>
      <c r="AT177" s="589"/>
      <c r="AU177" s="589"/>
      <c r="AV177" s="589"/>
      <c r="AW177" s="589"/>
      <c r="AX177" s="589"/>
      <c r="AY177" s="589"/>
      <c r="AZ177" s="589"/>
      <c r="BA177" s="589"/>
      <c r="BB177" s="589"/>
      <c r="BC177" s="589"/>
      <c r="BD177" s="589"/>
      <c r="BE177" s="589"/>
      <c r="BF177" s="589"/>
      <c r="BG177" s="589"/>
      <c r="BH177" s="589"/>
      <c r="BI177" s="589"/>
      <c r="BJ177" s="589"/>
      <c r="BK177" s="589"/>
      <c r="BL177" s="589"/>
      <c r="BM177" s="589"/>
      <c r="BN177" s="589"/>
      <c r="BO177" s="589"/>
      <c r="BP177" s="589"/>
      <c r="BQ177" s="589"/>
      <c r="BR177" s="589"/>
      <c r="BS177" s="589"/>
      <c r="BT177" s="589"/>
      <c r="BU177" s="589"/>
      <c r="BV177" s="589"/>
      <c r="BW177" s="589"/>
      <c r="BX177" s="589"/>
      <c r="BY177" s="589"/>
      <c r="BZ177" s="589"/>
      <c r="CA177" s="589"/>
      <c r="CB177" s="589"/>
      <c r="CC177" s="589"/>
      <c r="CD177" s="589"/>
      <c r="CE177" s="589"/>
      <c r="CF177" s="589"/>
      <c r="CG177" s="589"/>
      <c r="CH177" s="589"/>
      <c r="CI177" s="589"/>
      <c r="CJ177" s="589"/>
      <c r="CK177" s="589"/>
      <c r="CL177" s="589"/>
      <c r="CM177" s="589"/>
      <c r="CN177" s="589"/>
      <c r="CO177" s="589"/>
      <c r="CP177" s="589"/>
      <c r="CQ177" s="589"/>
      <c r="CR177" s="589"/>
      <c r="CS177" s="589"/>
      <c r="CT177" s="589"/>
      <c r="CU177" s="589"/>
      <c r="CV177" s="589"/>
      <c r="CW177" s="589"/>
      <c r="CX177" s="589"/>
      <c r="CY177" s="589"/>
      <c r="CZ177" s="589"/>
      <c r="DA177" s="589"/>
      <c r="DB177" s="589"/>
      <c r="DC177" s="589"/>
      <c r="DD177" s="589"/>
      <c r="DE177" s="589"/>
      <c r="DF177" s="589"/>
      <c r="DG177" s="589"/>
      <c r="DH177" s="589"/>
      <c r="DI177" s="589"/>
      <c r="DJ177" s="589"/>
      <c r="DK177" s="589"/>
      <c r="DL177" s="589"/>
      <c r="DM177" s="589"/>
      <c r="DN177" s="589"/>
      <c r="DO177" s="589"/>
      <c r="DP177" s="589"/>
      <c r="DQ177" s="589"/>
      <c r="DR177" s="589"/>
      <c r="DS177" s="589"/>
      <c r="DT177" s="589"/>
      <c r="DU177" s="589"/>
      <c r="DV177" s="589"/>
      <c r="DW177" s="589"/>
      <c r="DX177" s="589"/>
      <c r="DY177" s="589"/>
      <c r="DZ177" s="589"/>
      <c r="EA177" s="589"/>
      <c r="EB177" s="589"/>
      <c r="EC177" s="589"/>
      <c r="ED177" s="589"/>
      <c r="EE177" s="589"/>
      <c r="EF177" s="589"/>
      <c r="EG177" s="589"/>
      <c r="EH177" s="589"/>
      <c r="EI177" s="589"/>
      <c r="EJ177" s="589"/>
      <c r="EK177" s="589"/>
      <c r="EL177" s="589"/>
      <c r="EM177" s="589"/>
      <c r="EN177" s="589"/>
      <c r="EO177" s="589"/>
      <c r="EP177" s="589"/>
      <c r="EQ177" s="589"/>
      <c r="ER177" s="589"/>
      <c r="ES177" s="589"/>
      <c r="ET177" s="589"/>
      <c r="EU177" s="589"/>
      <c r="EV177" s="589"/>
      <c r="EW177" s="589"/>
      <c r="EX177" s="589"/>
      <c r="EY177" s="589"/>
      <c r="EZ177" s="589"/>
      <c r="FA177" s="589"/>
      <c r="FB177" s="589"/>
      <c r="FC177" s="589"/>
      <c r="FD177" s="589"/>
      <c r="FE177" s="589"/>
      <c r="FF177" s="589"/>
      <c r="FG177" s="589"/>
      <c r="FH177" s="589"/>
      <c r="FI177" s="589"/>
      <c r="FJ177" s="589"/>
      <c r="FK177" s="589"/>
      <c r="FL177" s="589"/>
      <c r="FM177" s="589"/>
      <c r="FN177" s="589"/>
      <c r="FO177" s="589"/>
      <c r="FP177" s="589"/>
      <c r="FQ177" s="589"/>
      <c r="FR177" s="589"/>
      <c r="FS177" s="589"/>
      <c r="FT177" s="589"/>
      <c r="FU177" s="589"/>
      <c r="FV177" s="589"/>
      <c r="FW177" s="589"/>
      <c r="FX177" s="589"/>
      <c r="FY177" s="589"/>
      <c r="FZ177" s="589"/>
      <c r="GA177" s="589"/>
      <c r="GB177" s="589"/>
      <c r="GC177" s="589"/>
      <c r="GD177" s="589"/>
      <c r="GE177" s="589"/>
      <c r="GF177" s="589"/>
      <c r="GG177" s="589"/>
      <c r="GH177" s="589"/>
      <c r="GI177" s="589"/>
      <c r="GJ177" s="589"/>
      <c r="GK177" s="589"/>
      <c r="GL177" s="589"/>
      <c r="GM177" s="589"/>
      <c r="GN177" s="589"/>
      <c r="GO177" s="589"/>
      <c r="GP177" s="589"/>
      <c r="GQ177" s="589"/>
      <c r="GR177" s="589"/>
      <c r="GS177" s="589"/>
      <c r="GT177" s="589"/>
      <c r="GU177" s="589"/>
      <c r="GV177" s="589"/>
      <c r="GW177" s="589"/>
      <c r="GX177" s="589"/>
      <c r="GY177" s="589"/>
      <c r="GZ177" s="589"/>
      <c r="HA177" s="589"/>
      <c r="HB177" s="589"/>
      <c r="HC177" s="589"/>
      <c r="HD177" s="589"/>
      <c r="HE177" s="589"/>
      <c r="HF177" s="589"/>
      <c r="HG177" s="589"/>
      <c r="HH177" s="589"/>
      <c r="HI177" s="589"/>
      <c r="HJ177" s="589"/>
      <c r="HK177" s="589"/>
      <c r="HL177" s="589"/>
      <c r="HM177" s="589"/>
      <c r="HN177" s="589"/>
      <c r="HO177" s="589"/>
      <c r="HP177" s="589"/>
      <c r="HQ177" s="589"/>
      <c r="HR177" s="589"/>
      <c r="HS177" s="589"/>
      <c r="HT177" s="589"/>
      <c r="HU177" s="589"/>
      <c r="HV177" s="589"/>
      <c r="HW177" s="589"/>
      <c r="HX177" s="589"/>
      <c r="HY177" s="589"/>
      <c r="HZ177" s="589"/>
      <c r="IA177" s="589"/>
      <c r="IB177" s="589"/>
      <c r="IC177" s="589"/>
      <c r="ID177" s="589"/>
      <c r="IE177" s="589"/>
      <c r="IF177" s="589"/>
      <c r="IG177" s="589"/>
      <c r="IH177" s="589"/>
      <c r="II177" s="589"/>
      <c r="IJ177" s="589"/>
      <c r="IK177" s="589"/>
      <c r="IL177" s="589"/>
      <c r="IM177" s="589"/>
      <c r="IN177" s="589"/>
      <c r="IO177" s="589"/>
      <c r="IP177" s="589"/>
      <c r="IQ177" s="589"/>
      <c r="IR177" s="589"/>
      <c r="IS177" s="589"/>
      <c r="IT177" s="589"/>
      <c r="IU177" s="589"/>
      <c r="IV177" s="589"/>
    </row>
    <row r="178" spans="1:256" s="702" customFormat="1" x14ac:dyDescent="0.25">
      <c r="A178" s="604"/>
      <c r="B178" s="605" t="s">
        <v>232</v>
      </c>
      <c r="C178" s="605"/>
      <c r="D178" s="605"/>
      <c r="E178" s="605"/>
      <c r="F178" s="605"/>
      <c r="G178" s="605"/>
      <c r="H178" s="605"/>
      <c r="I178" s="605"/>
      <c r="J178" s="605"/>
      <c r="K178" s="605"/>
      <c r="L178" s="605"/>
      <c r="M178" s="605"/>
      <c r="N178" s="605"/>
      <c r="O178" s="605"/>
      <c r="P178" s="605"/>
      <c r="Q178" s="605"/>
      <c r="R178" s="605"/>
      <c r="S178" s="605"/>
      <c r="T178" s="605"/>
      <c r="U178" s="605"/>
      <c r="V178" s="663">
        <f>+V176-V177</f>
        <v>0</v>
      </c>
      <c r="W178" s="607"/>
      <c r="X178" s="588"/>
      <c r="Y178" s="589"/>
      <c r="Z178" s="589"/>
      <c r="AA178" s="589"/>
      <c r="AB178" s="589"/>
      <c r="AC178" s="589"/>
      <c r="AD178" s="589"/>
      <c r="AE178" s="589"/>
      <c r="AF178" s="589"/>
      <c r="AG178" s="589"/>
      <c r="AH178" s="589"/>
      <c r="AI178" s="589"/>
      <c r="AJ178" s="589"/>
      <c r="AK178" s="589"/>
      <c r="AL178" s="589"/>
      <c r="AM178" s="589"/>
      <c r="AN178" s="589"/>
      <c r="AO178" s="589"/>
      <c r="AP178" s="589"/>
      <c r="AQ178" s="589"/>
      <c r="AR178" s="589"/>
      <c r="AS178" s="589"/>
      <c r="AT178" s="589"/>
      <c r="AU178" s="589"/>
      <c r="AV178" s="589"/>
      <c r="AW178" s="589"/>
      <c r="AX178" s="589"/>
      <c r="AY178" s="589"/>
      <c r="AZ178" s="589"/>
      <c r="BA178" s="589"/>
      <c r="BB178" s="589"/>
      <c r="BC178" s="589"/>
      <c r="BD178" s="589"/>
      <c r="BE178" s="589"/>
      <c r="BF178" s="589"/>
      <c r="BG178" s="589"/>
      <c r="BH178" s="589"/>
      <c r="BI178" s="589"/>
      <c r="BJ178" s="589"/>
      <c r="BK178" s="589"/>
      <c r="BL178" s="589"/>
      <c r="BM178" s="589"/>
      <c r="BN178" s="589"/>
      <c r="BO178" s="589"/>
      <c r="BP178" s="589"/>
      <c r="BQ178" s="589"/>
      <c r="BR178" s="589"/>
      <c r="BS178" s="589"/>
      <c r="BT178" s="589"/>
      <c r="BU178" s="589"/>
      <c r="BV178" s="589"/>
      <c r="BW178" s="589"/>
      <c r="BX178" s="589"/>
      <c r="BY178" s="589"/>
      <c r="BZ178" s="589"/>
      <c r="CA178" s="589"/>
      <c r="CB178" s="589"/>
      <c r="CC178" s="589"/>
      <c r="CD178" s="589"/>
      <c r="CE178" s="589"/>
      <c r="CF178" s="589"/>
      <c r="CG178" s="589"/>
      <c r="CH178" s="589"/>
      <c r="CI178" s="589"/>
      <c r="CJ178" s="589"/>
      <c r="CK178" s="589"/>
      <c r="CL178" s="589"/>
      <c r="CM178" s="589"/>
      <c r="CN178" s="589"/>
      <c r="CO178" s="589"/>
      <c r="CP178" s="589"/>
      <c r="CQ178" s="589"/>
      <c r="CR178" s="589"/>
      <c r="CS178" s="589"/>
      <c r="CT178" s="589"/>
      <c r="CU178" s="589"/>
      <c r="CV178" s="589"/>
      <c r="CW178" s="589"/>
      <c r="CX178" s="589"/>
      <c r="CY178" s="589"/>
      <c r="CZ178" s="589"/>
      <c r="DA178" s="589"/>
      <c r="DB178" s="589"/>
      <c r="DC178" s="589"/>
      <c r="DD178" s="589"/>
      <c r="DE178" s="589"/>
      <c r="DF178" s="589"/>
      <c r="DG178" s="589"/>
      <c r="DH178" s="589"/>
      <c r="DI178" s="589"/>
      <c r="DJ178" s="589"/>
      <c r="DK178" s="589"/>
      <c r="DL178" s="589"/>
      <c r="DM178" s="589"/>
      <c r="DN178" s="589"/>
      <c r="DO178" s="589"/>
      <c r="DP178" s="589"/>
      <c r="DQ178" s="589"/>
      <c r="DR178" s="589"/>
      <c r="DS178" s="589"/>
      <c r="DT178" s="589"/>
      <c r="DU178" s="589"/>
      <c r="DV178" s="589"/>
      <c r="DW178" s="589"/>
      <c r="DX178" s="589"/>
      <c r="DY178" s="589"/>
      <c r="DZ178" s="589"/>
      <c r="EA178" s="589"/>
      <c r="EB178" s="589"/>
      <c r="EC178" s="589"/>
      <c r="ED178" s="589"/>
      <c r="EE178" s="589"/>
      <c r="EF178" s="589"/>
      <c r="EG178" s="589"/>
      <c r="EH178" s="589"/>
      <c r="EI178" s="589"/>
      <c r="EJ178" s="589"/>
      <c r="EK178" s="589"/>
      <c r="EL178" s="589"/>
      <c r="EM178" s="589"/>
      <c r="EN178" s="589"/>
      <c r="EO178" s="589"/>
      <c r="EP178" s="589"/>
      <c r="EQ178" s="589"/>
      <c r="ER178" s="589"/>
      <c r="ES178" s="589"/>
      <c r="ET178" s="589"/>
      <c r="EU178" s="589"/>
      <c r="EV178" s="589"/>
      <c r="EW178" s="589"/>
      <c r="EX178" s="589"/>
      <c r="EY178" s="589"/>
      <c r="EZ178" s="589"/>
      <c r="FA178" s="589"/>
      <c r="FB178" s="589"/>
      <c r="FC178" s="589"/>
      <c r="FD178" s="589"/>
      <c r="FE178" s="589"/>
      <c r="FF178" s="589"/>
      <c r="FG178" s="589"/>
      <c r="FH178" s="589"/>
      <c r="FI178" s="589"/>
      <c r="FJ178" s="589"/>
      <c r="FK178" s="589"/>
      <c r="FL178" s="589"/>
      <c r="FM178" s="589"/>
      <c r="FN178" s="589"/>
      <c r="FO178" s="589"/>
      <c r="FP178" s="589"/>
      <c r="FQ178" s="589"/>
      <c r="FR178" s="589"/>
      <c r="FS178" s="589"/>
      <c r="FT178" s="589"/>
      <c r="FU178" s="589"/>
      <c r="FV178" s="589"/>
      <c r="FW178" s="589"/>
      <c r="FX178" s="589"/>
      <c r="FY178" s="589"/>
      <c r="FZ178" s="589"/>
      <c r="GA178" s="589"/>
      <c r="GB178" s="589"/>
      <c r="GC178" s="589"/>
      <c r="GD178" s="589"/>
      <c r="GE178" s="589"/>
      <c r="GF178" s="589"/>
      <c r="GG178" s="589"/>
      <c r="GH178" s="589"/>
      <c r="GI178" s="589"/>
      <c r="GJ178" s="589"/>
      <c r="GK178" s="589"/>
      <c r="GL178" s="589"/>
      <c r="GM178" s="589"/>
      <c r="GN178" s="589"/>
      <c r="GO178" s="589"/>
      <c r="GP178" s="589"/>
      <c r="GQ178" s="589"/>
      <c r="GR178" s="589"/>
      <c r="GS178" s="589"/>
      <c r="GT178" s="589"/>
      <c r="GU178" s="589"/>
      <c r="GV178" s="589"/>
      <c r="GW178" s="589"/>
      <c r="GX178" s="589"/>
      <c r="GY178" s="589"/>
      <c r="GZ178" s="589"/>
      <c r="HA178" s="589"/>
      <c r="HB178" s="589"/>
      <c r="HC178" s="589"/>
      <c r="HD178" s="589"/>
      <c r="HE178" s="589"/>
      <c r="HF178" s="589"/>
      <c r="HG178" s="589"/>
      <c r="HH178" s="589"/>
      <c r="HI178" s="589"/>
      <c r="HJ178" s="589"/>
      <c r="HK178" s="589"/>
      <c r="HL178" s="589"/>
      <c r="HM178" s="589"/>
      <c r="HN178" s="589"/>
      <c r="HO178" s="589"/>
      <c r="HP178" s="589"/>
      <c r="HQ178" s="589"/>
      <c r="HR178" s="589"/>
      <c r="HS178" s="589"/>
      <c r="HT178" s="589"/>
      <c r="HU178" s="589"/>
      <c r="HV178" s="589"/>
      <c r="HW178" s="589"/>
      <c r="HX178" s="589"/>
      <c r="HY178" s="589"/>
      <c r="HZ178" s="589"/>
      <c r="IA178" s="589"/>
      <c r="IB178" s="589"/>
      <c r="IC178" s="589"/>
      <c r="ID178" s="589"/>
      <c r="IE178" s="589"/>
      <c r="IF178" s="589"/>
      <c r="IG178" s="589"/>
      <c r="IH178" s="589"/>
      <c r="II178" s="589"/>
      <c r="IJ178" s="589"/>
      <c r="IK178" s="589"/>
      <c r="IL178" s="589"/>
      <c r="IM178" s="589"/>
      <c r="IN178" s="589"/>
      <c r="IO178" s="589"/>
      <c r="IP178" s="589"/>
      <c r="IQ178" s="589"/>
      <c r="IR178" s="589"/>
      <c r="IS178" s="589"/>
      <c r="IT178" s="589"/>
      <c r="IU178" s="589"/>
      <c r="IV178" s="589"/>
    </row>
    <row r="179" spans="1:256" s="704" customFormat="1" ht="16.5" thickBot="1" x14ac:dyDescent="0.3">
      <c r="A179" s="703"/>
      <c r="B179" s="664"/>
      <c r="C179" s="664"/>
      <c r="D179" s="664"/>
      <c r="E179" s="664"/>
      <c r="F179" s="664"/>
      <c r="G179" s="664"/>
      <c r="H179" s="664"/>
      <c r="I179" s="664"/>
      <c r="J179" s="664"/>
      <c r="K179" s="664"/>
      <c r="L179" s="664"/>
      <c r="M179" s="664"/>
      <c r="N179" s="664"/>
      <c r="O179" s="664"/>
      <c r="P179" s="664"/>
      <c r="Q179" s="664"/>
      <c r="R179" s="664"/>
      <c r="S179" s="664"/>
      <c r="T179" s="664"/>
      <c r="U179" s="664"/>
      <c r="V179" s="696"/>
      <c r="W179" s="664"/>
      <c r="X179" s="572"/>
      <c r="Y179" s="573"/>
      <c r="Z179" s="573"/>
      <c r="AA179" s="573"/>
      <c r="AB179" s="573"/>
      <c r="AC179" s="573"/>
      <c r="AD179" s="573"/>
      <c r="AE179" s="573"/>
      <c r="AF179" s="573"/>
      <c r="AG179" s="573"/>
      <c r="AH179" s="573"/>
      <c r="AI179" s="573"/>
      <c r="AJ179" s="573"/>
      <c r="AK179" s="573"/>
      <c r="AL179" s="573"/>
      <c r="AM179" s="573"/>
      <c r="AN179" s="573"/>
      <c r="AO179" s="573"/>
      <c r="AP179" s="573"/>
      <c r="AQ179" s="573"/>
      <c r="AR179" s="573"/>
      <c r="AS179" s="573"/>
      <c r="AT179" s="573"/>
      <c r="AU179" s="573"/>
      <c r="AV179" s="573"/>
      <c r="AW179" s="573"/>
      <c r="AX179" s="573"/>
      <c r="AY179" s="573"/>
      <c r="AZ179" s="573"/>
      <c r="BA179" s="573"/>
      <c r="BB179" s="573"/>
      <c r="BC179" s="573"/>
      <c r="BD179" s="573"/>
      <c r="BE179" s="573"/>
      <c r="BF179" s="573"/>
      <c r="BG179" s="573"/>
      <c r="BH179" s="573"/>
      <c r="BI179" s="573"/>
      <c r="BJ179" s="573"/>
      <c r="BK179" s="573"/>
      <c r="BL179" s="573"/>
      <c r="BM179" s="573"/>
      <c r="BN179" s="573"/>
      <c r="BO179" s="573"/>
      <c r="BP179" s="573"/>
      <c r="BQ179" s="573"/>
      <c r="BR179" s="573"/>
      <c r="BS179" s="573"/>
      <c r="BT179" s="573"/>
      <c r="BU179" s="573"/>
      <c r="BV179" s="573"/>
      <c r="BW179" s="573"/>
      <c r="BX179" s="573"/>
      <c r="BY179" s="573"/>
      <c r="BZ179" s="573"/>
      <c r="CA179" s="573"/>
      <c r="CB179" s="573"/>
      <c r="CC179" s="573"/>
      <c r="CD179" s="573"/>
      <c r="CE179" s="573"/>
      <c r="CF179" s="573"/>
      <c r="CG179" s="573"/>
      <c r="CH179" s="573"/>
      <c r="CI179" s="573"/>
      <c r="CJ179" s="573"/>
      <c r="CK179" s="573"/>
      <c r="CL179" s="573"/>
      <c r="CM179" s="573"/>
      <c r="CN179" s="573"/>
      <c r="CO179" s="573"/>
      <c r="CP179" s="573"/>
      <c r="CQ179" s="573"/>
      <c r="CR179" s="573"/>
      <c r="CS179" s="573"/>
      <c r="CT179" s="573"/>
      <c r="CU179" s="573"/>
      <c r="CV179" s="573"/>
      <c r="CW179" s="573"/>
      <c r="CX179" s="573"/>
      <c r="CY179" s="573"/>
      <c r="CZ179" s="573"/>
      <c r="DA179" s="573"/>
      <c r="DB179" s="573"/>
      <c r="DC179" s="573"/>
      <c r="DD179" s="573"/>
      <c r="DE179" s="573"/>
      <c r="DF179" s="573"/>
      <c r="DG179" s="573"/>
      <c r="DH179" s="573"/>
      <c r="DI179" s="573"/>
      <c r="DJ179" s="573"/>
      <c r="DK179" s="573"/>
      <c r="DL179" s="573"/>
      <c r="DM179" s="573"/>
      <c r="DN179" s="573"/>
      <c r="DO179" s="573"/>
      <c r="DP179" s="573"/>
      <c r="DQ179" s="573"/>
      <c r="DR179" s="573"/>
      <c r="DS179" s="573"/>
      <c r="DT179" s="573"/>
      <c r="DU179" s="573"/>
      <c r="DV179" s="573"/>
      <c r="DW179" s="573"/>
      <c r="DX179" s="573"/>
      <c r="DY179" s="573"/>
      <c r="DZ179" s="573"/>
      <c r="EA179" s="573"/>
      <c r="EB179" s="573"/>
      <c r="EC179" s="573"/>
      <c r="ED179" s="573"/>
      <c r="EE179" s="573"/>
      <c r="EF179" s="573"/>
      <c r="EG179" s="573"/>
      <c r="EH179" s="573"/>
      <c r="EI179" s="573"/>
      <c r="EJ179" s="573"/>
      <c r="EK179" s="573"/>
      <c r="EL179" s="573"/>
      <c r="EM179" s="573"/>
      <c r="EN179" s="573"/>
      <c r="EO179" s="573"/>
      <c r="EP179" s="573"/>
      <c r="EQ179" s="573"/>
      <c r="ER179" s="573"/>
      <c r="ES179" s="573"/>
      <c r="ET179" s="573"/>
      <c r="EU179" s="573"/>
      <c r="EV179" s="573"/>
      <c r="EW179" s="573"/>
      <c r="EX179" s="573"/>
      <c r="EY179" s="573"/>
      <c r="EZ179" s="573"/>
      <c r="FA179" s="573"/>
      <c r="FB179" s="573"/>
      <c r="FC179" s="573"/>
      <c r="FD179" s="573"/>
      <c r="FE179" s="573"/>
      <c r="FF179" s="573"/>
      <c r="FG179" s="573"/>
      <c r="FH179" s="573"/>
      <c r="FI179" s="573"/>
      <c r="FJ179" s="573"/>
      <c r="FK179" s="573"/>
      <c r="FL179" s="573"/>
      <c r="FM179" s="573"/>
      <c r="FN179" s="573"/>
      <c r="FO179" s="573"/>
      <c r="FP179" s="573"/>
      <c r="FQ179" s="573"/>
      <c r="FR179" s="573"/>
      <c r="FS179" s="573"/>
      <c r="FT179" s="573"/>
      <c r="FU179" s="573"/>
      <c r="FV179" s="573"/>
      <c r="FW179" s="573"/>
      <c r="FX179" s="573"/>
      <c r="FY179" s="573"/>
      <c r="FZ179" s="573"/>
      <c r="GA179" s="573"/>
      <c r="GB179" s="573"/>
      <c r="GC179" s="573"/>
      <c r="GD179" s="573"/>
      <c r="GE179" s="573"/>
      <c r="GF179" s="573"/>
      <c r="GG179" s="573"/>
      <c r="GH179" s="573"/>
      <c r="GI179" s="573"/>
      <c r="GJ179" s="573"/>
      <c r="GK179" s="573"/>
      <c r="GL179" s="573"/>
      <c r="GM179" s="573"/>
      <c r="GN179" s="573"/>
      <c r="GO179" s="573"/>
      <c r="GP179" s="573"/>
      <c r="GQ179" s="573"/>
      <c r="GR179" s="573"/>
      <c r="GS179" s="573"/>
      <c r="GT179" s="573"/>
      <c r="GU179" s="573"/>
      <c r="GV179" s="573"/>
      <c r="GW179" s="573"/>
      <c r="GX179" s="573"/>
      <c r="GY179" s="573"/>
      <c r="GZ179" s="573"/>
      <c r="HA179" s="573"/>
      <c r="HB179" s="573"/>
      <c r="HC179" s="573"/>
      <c r="HD179" s="573"/>
      <c r="HE179" s="573"/>
      <c r="HF179" s="573"/>
      <c r="HG179" s="573"/>
      <c r="HH179" s="573"/>
      <c r="HI179" s="573"/>
      <c r="HJ179" s="573"/>
      <c r="HK179" s="573"/>
      <c r="HL179" s="573"/>
      <c r="HM179" s="573"/>
      <c r="HN179" s="573"/>
      <c r="HO179" s="573"/>
      <c r="HP179" s="573"/>
      <c r="HQ179" s="573"/>
      <c r="HR179" s="573"/>
      <c r="HS179" s="573"/>
      <c r="HT179" s="573"/>
      <c r="HU179" s="573"/>
      <c r="HV179" s="573"/>
      <c r="HW179" s="573"/>
      <c r="HX179" s="573"/>
      <c r="HY179" s="573"/>
      <c r="HZ179" s="573"/>
      <c r="IA179" s="573"/>
      <c r="IB179" s="573"/>
      <c r="IC179" s="573"/>
      <c r="ID179" s="573"/>
      <c r="IE179" s="573"/>
      <c r="IF179" s="573"/>
      <c r="IG179" s="573"/>
      <c r="IH179" s="573"/>
      <c r="II179" s="573"/>
      <c r="IJ179" s="573"/>
      <c r="IK179" s="573"/>
      <c r="IL179" s="573"/>
      <c r="IM179" s="573"/>
      <c r="IN179" s="573"/>
      <c r="IO179" s="573"/>
      <c r="IP179" s="573"/>
      <c r="IQ179" s="573"/>
      <c r="IR179" s="573"/>
      <c r="IS179" s="573"/>
      <c r="IT179" s="573"/>
      <c r="IU179" s="573"/>
      <c r="IV179" s="573"/>
    </row>
    <row r="180" spans="1:256" s="705" customFormat="1" x14ac:dyDescent="0.25">
      <c r="A180" s="569"/>
      <c r="B180" s="571"/>
      <c r="C180" s="571"/>
      <c r="D180" s="571"/>
      <c r="E180" s="571"/>
      <c r="F180" s="571"/>
      <c r="G180" s="571"/>
      <c r="H180" s="571"/>
      <c r="I180" s="571"/>
      <c r="J180" s="571"/>
      <c r="K180" s="571"/>
      <c r="L180" s="571"/>
      <c r="M180" s="571"/>
      <c r="N180" s="571"/>
      <c r="O180" s="571"/>
      <c r="P180" s="571"/>
      <c r="Q180" s="571"/>
      <c r="R180" s="571"/>
      <c r="S180" s="571"/>
      <c r="T180" s="571"/>
      <c r="U180" s="571"/>
      <c r="V180" s="699"/>
      <c r="W180" s="571"/>
      <c r="X180" s="572"/>
      <c r="Y180" s="573"/>
      <c r="Z180" s="573"/>
      <c r="AA180" s="573"/>
      <c r="AB180" s="573"/>
      <c r="AC180" s="573"/>
      <c r="AD180" s="573"/>
      <c r="AE180" s="573"/>
      <c r="AF180" s="573"/>
      <c r="AG180" s="573"/>
      <c r="AH180" s="573"/>
      <c r="AI180" s="573"/>
      <c r="AJ180" s="573"/>
      <c r="AK180" s="573"/>
      <c r="AL180" s="573"/>
      <c r="AM180" s="573"/>
      <c r="AN180" s="573"/>
      <c r="AO180" s="573"/>
      <c r="AP180" s="573"/>
      <c r="AQ180" s="573"/>
      <c r="AR180" s="573"/>
      <c r="AS180" s="573"/>
      <c r="AT180" s="573"/>
      <c r="AU180" s="573"/>
      <c r="AV180" s="573"/>
      <c r="AW180" s="573"/>
      <c r="AX180" s="573"/>
      <c r="AY180" s="573"/>
      <c r="AZ180" s="573"/>
      <c r="BA180" s="573"/>
      <c r="BB180" s="573"/>
      <c r="BC180" s="573"/>
      <c r="BD180" s="573"/>
      <c r="BE180" s="573"/>
      <c r="BF180" s="573"/>
      <c r="BG180" s="573"/>
      <c r="BH180" s="573"/>
      <c r="BI180" s="573"/>
      <c r="BJ180" s="573"/>
      <c r="BK180" s="573"/>
      <c r="BL180" s="573"/>
      <c r="BM180" s="573"/>
      <c r="BN180" s="573"/>
      <c r="BO180" s="573"/>
      <c r="BP180" s="573"/>
      <c r="BQ180" s="573"/>
      <c r="BR180" s="573"/>
      <c r="BS180" s="573"/>
      <c r="BT180" s="573"/>
      <c r="BU180" s="573"/>
      <c r="BV180" s="573"/>
      <c r="BW180" s="573"/>
      <c r="BX180" s="573"/>
      <c r="BY180" s="573"/>
      <c r="BZ180" s="573"/>
      <c r="CA180" s="573"/>
      <c r="CB180" s="573"/>
      <c r="CC180" s="573"/>
      <c r="CD180" s="573"/>
      <c r="CE180" s="573"/>
      <c r="CF180" s="573"/>
      <c r="CG180" s="573"/>
      <c r="CH180" s="573"/>
      <c r="CI180" s="573"/>
      <c r="CJ180" s="573"/>
      <c r="CK180" s="573"/>
      <c r="CL180" s="573"/>
      <c r="CM180" s="573"/>
      <c r="CN180" s="573"/>
      <c r="CO180" s="573"/>
      <c r="CP180" s="573"/>
      <c r="CQ180" s="573"/>
      <c r="CR180" s="573"/>
      <c r="CS180" s="573"/>
      <c r="CT180" s="573"/>
      <c r="CU180" s="573"/>
      <c r="CV180" s="573"/>
      <c r="CW180" s="573"/>
      <c r="CX180" s="573"/>
      <c r="CY180" s="573"/>
      <c r="CZ180" s="573"/>
      <c r="DA180" s="573"/>
      <c r="DB180" s="573"/>
      <c r="DC180" s="573"/>
      <c r="DD180" s="573"/>
      <c r="DE180" s="573"/>
      <c r="DF180" s="573"/>
      <c r="DG180" s="573"/>
      <c r="DH180" s="573"/>
      <c r="DI180" s="573"/>
      <c r="DJ180" s="573"/>
      <c r="DK180" s="573"/>
      <c r="DL180" s="573"/>
      <c r="DM180" s="573"/>
      <c r="DN180" s="573"/>
      <c r="DO180" s="573"/>
      <c r="DP180" s="573"/>
      <c r="DQ180" s="573"/>
      <c r="DR180" s="573"/>
      <c r="DS180" s="573"/>
      <c r="DT180" s="573"/>
      <c r="DU180" s="573"/>
      <c r="DV180" s="573"/>
      <c r="DW180" s="573"/>
      <c r="DX180" s="573"/>
      <c r="DY180" s="573"/>
      <c r="DZ180" s="573"/>
      <c r="EA180" s="573"/>
      <c r="EB180" s="573"/>
      <c r="EC180" s="573"/>
      <c r="ED180" s="573"/>
      <c r="EE180" s="573"/>
      <c r="EF180" s="573"/>
      <c r="EG180" s="573"/>
      <c r="EH180" s="573"/>
      <c r="EI180" s="573"/>
      <c r="EJ180" s="573"/>
      <c r="EK180" s="573"/>
      <c r="EL180" s="573"/>
      <c r="EM180" s="573"/>
      <c r="EN180" s="573"/>
      <c r="EO180" s="573"/>
      <c r="EP180" s="573"/>
      <c r="EQ180" s="573"/>
      <c r="ER180" s="573"/>
      <c r="ES180" s="573"/>
      <c r="ET180" s="573"/>
      <c r="EU180" s="573"/>
      <c r="EV180" s="573"/>
      <c r="EW180" s="573"/>
      <c r="EX180" s="573"/>
      <c r="EY180" s="573"/>
      <c r="EZ180" s="573"/>
      <c r="FA180" s="573"/>
      <c r="FB180" s="573"/>
      <c r="FC180" s="573"/>
      <c r="FD180" s="573"/>
      <c r="FE180" s="573"/>
      <c r="FF180" s="573"/>
      <c r="FG180" s="573"/>
      <c r="FH180" s="573"/>
      <c r="FI180" s="573"/>
      <c r="FJ180" s="573"/>
      <c r="FK180" s="573"/>
      <c r="FL180" s="573"/>
      <c r="FM180" s="573"/>
      <c r="FN180" s="573"/>
      <c r="FO180" s="573"/>
      <c r="FP180" s="573"/>
      <c r="FQ180" s="573"/>
      <c r="FR180" s="573"/>
      <c r="FS180" s="573"/>
      <c r="FT180" s="573"/>
      <c r="FU180" s="573"/>
      <c r="FV180" s="573"/>
      <c r="FW180" s="573"/>
      <c r="FX180" s="573"/>
      <c r="FY180" s="573"/>
      <c r="FZ180" s="573"/>
      <c r="GA180" s="573"/>
      <c r="GB180" s="573"/>
      <c r="GC180" s="573"/>
      <c r="GD180" s="573"/>
      <c r="GE180" s="573"/>
      <c r="GF180" s="573"/>
      <c r="GG180" s="573"/>
      <c r="GH180" s="573"/>
      <c r="GI180" s="573"/>
      <c r="GJ180" s="573"/>
      <c r="GK180" s="573"/>
      <c r="GL180" s="573"/>
      <c r="GM180" s="573"/>
      <c r="GN180" s="573"/>
      <c r="GO180" s="573"/>
      <c r="GP180" s="573"/>
      <c r="GQ180" s="573"/>
      <c r="GR180" s="573"/>
      <c r="GS180" s="573"/>
      <c r="GT180" s="573"/>
      <c r="GU180" s="573"/>
      <c r="GV180" s="573"/>
      <c r="GW180" s="573"/>
      <c r="GX180" s="573"/>
      <c r="GY180" s="573"/>
      <c r="GZ180" s="573"/>
      <c r="HA180" s="573"/>
      <c r="HB180" s="573"/>
      <c r="HC180" s="573"/>
      <c r="HD180" s="573"/>
      <c r="HE180" s="573"/>
      <c r="HF180" s="573"/>
      <c r="HG180" s="573"/>
      <c r="HH180" s="573"/>
      <c r="HI180" s="573"/>
      <c r="HJ180" s="573"/>
      <c r="HK180" s="573"/>
      <c r="HL180" s="573"/>
      <c r="HM180" s="573"/>
      <c r="HN180" s="573"/>
      <c r="HO180" s="573"/>
      <c r="HP180" s="573"/>
      <c r="HQ180" s="573"/>
      <c r="HR180" s="573"/>
      <c r="HS180" s="573"/>
      <c r="HT180" s="573"/>
      <c r="HU180" s="573"/>
      <c r="HV180" s="573"/>
      <c r="HW180" s="573"/>
      <c r="HX180" s="573"/>
      <c r="HY180" s="573"/>
      <c r="HZ180" s="573"/>
      <c r="IA180" s="573"/>
      <c r="IB180" s="573"/>
      <c r="IC180" s="573"/>
      <c r="ID180" s="573"/>
      <c r="IE180" s="573"/>
      <c r="IF180" s="573"/>
      <c r="IG180" s="573"/>
      <c r="IH180" s="573"/>
      <c r="II180" s="573"/>
      <c r="IJ180" s="573"/>
      <c r="IK180" s="573"/>
      <c r="IL180" s="573"/>
      <c r="IM180" s="573"/>
      <c r="IN180" s="573"/>
      <c r="IO180" s="573"/>
      <c r="IP180" s="573"/>
      <c r="IQ180" s="573"/>
      <c r="IR180" s="573"/>
      <c r="IS180" s="573"/>
      <c r="IT180" s="573"/>
      <c r="IU180" s="573"/>
      <c r="IV180" s="573"/>
    </row>
    <row r="181" spans="1:256" x14ac:dyDescent="0.25">
      <c r="A181" s="574"/>
      <c r="B181" s="694" t="s">
        <v>56</v>
      </c>
      <c r="C181" s="576"/>
      <c r="D181" s="576"/>
      <c r="E181" s="576"/>
      <c r="F181" s="576"/>
      <c r="G181" s="576"/>
      <c r="H181" s="576"/>
      <c r="I181" s="576"/>
      <c r="J181" s="576"/>
      <c r="K181" s="576"/>
      <c r="L181" s="576"/>
      <c r="M181" s="576"/>
      <c r="N181" s="576"/>
      <c r="O181" s="576"/>
      <c r="P181" s="576"/>
      <c r="Q181" s="576"/>
      <c r="R181" s="576"/>
      <c r="S181" s="576"/>
      <c r="T181" s="576"/>
      <c r="U181" s="576"/>
      <c r="V181" s="656"/>
      <c r="W181" s="576"/>
      <c r="X181" s="572"/>
    </row>
    <row r="182" spans="1:256" x14ac:dyDescent="0.25">
      <c r="A182" s="574"/>
      <c r="B182" s="693"/>
      <c r="C182" s="576"/>
      <c r="D182" s="576"/>
      <c r="E182" s="576"/>
      <c r="F182" s="576"/>
      <c r="G182" s="576"/>
      <c r="H182" s="576"/>
      <c r="I182" s="576"/>
      <c r="J182" s="576"/>
      <c r="K182" s="576"/>
      <c r="L182" s="576"/>
      <c r="M182" s="576"/>
      <c r="N182" s="576"/>
      <c r="O182" s="576"/>
      <c r="P182" s="576"/>
      <c r="Q182" s="576"/>
      <c r="R182" s="576"/>
      <c r="S182" s="576"/>
      <c r="T182" s="576"/>
      <c r="U182" s="576"/>
      <c r="V182" s="656"/>
      <c r="W182" s="576"/>
      <c r="X182" s="572"/>
    </row>
    <row r="183" spans="1:256" s="589" customFormat="1" x14ac:dyDescent="0.25">
      <c r="A183" s="604"/>
      <c r="B183" s="605" t="s">
        <v>57</v>
      </c>
      <c r="C183" s="605"/>
      <c r="D183" s="605"/>
      <c r="E183" s="605"/>
      <c r="F183" s="605"/>
      <c r="G183" s="605"/>
      <c r="H183" s="605"/>
      <c r="I183" s="605"/>
      <c r="J183" s="605"/>
      <c r="K183" s="605"/>
      <c r="L183" s="605"/>
      <c r="M183" s="605"/>
      <c r="N183" s="605"/>
      <c r="O183" s="605"/>
      <c r="P183" s="605"/>
      <c r="Q183" s="605"/>
      <c r="R183" s="605"/>
      <c r="S183" s="605"/>
      <c r="T183" s="605"/>
      <c r="U183" s="605"/>
      <c r="V183" s="663">
        <f>V71</f>
        <v>0</v>
      </c>
      <c r="W183" s="607"/>
      <c r="X183" s="588"/>
    </row>
    <row r="184" spans="1:256" s="589" customFormat="1" x14ac:dyDescent="0.25">
      <c r="A184" s="604"/>
      <c r="B184" s="605" t="s">
        <v>58</v>
      </c>
      <c r="C184" s="605"/>
      <c r="D184" s="605"/>
      <c r="E184" s="605"/>
      <c r="F184" s="605"/>
      <c r="G184" s="605"/>
      <c r="H184" s="605"/>
      <c r="I184" s="605"/>
      <c r="J184" s="605"/>
      <c r="K184" s="605"/>
      <c r="L184" s="605"/>
      <c r="M184" s="605"/>
      <c r="N184" s="605"/>
      <c r="O184" s="605"/>
      <c r="P184" s="605"/>
      <c r="Q184" s="605"/>
      <c r="R184" s="605"/>
      <c r="S184" s="605"/>
      <c r="T184" s="605"/>
      <c r="U184" s="605"/>
      <c r="V184" s="663">
        <f>V84</f>
        <v>0</v>
      </c>
      <c r="W184" s="607"/>
      <c r="X184" s="588"/>
    </row>
    <row r="185" spans="1:256" ht="16.5" thickBot="1" x14ac:dyDescent="0.3">
      <c r="A185" s="574"/>
      <c r="B185" s="664"/>
      <c r="C185" s="664"/>
      <c r="D185" s="664"/>
      <c r="E185" s="664"/>
      <c r="F185" s="664"/>
      <c r="G185" s="664"/>
      <c r="H185" s="664"/>
      <c r="I185" s="664"/>
      <c r="J185" s="664"/>
      <c r="K185" s="664"/>
      <c r="L185" s="664"/>
      <c r="M185" s="664"/>
      <c r="N185" s="664"/>
      <c r="O185" s="664"/>
      <c r="P185" s="664"/>
      <c r="Q185" s="664"/>
      <c r="R185" s="664"/>
      <c r="S185" s="664"/>
      <c r="T185" s="664"/>
      <c r="U185" s="664"/>
      <c r="V185" s="696"/>
      <c r="W185" s="664"/>
      <c r="X185" s="572"/>
    </row>
    <row r="186" spans="1:256" x14ac:dyDescent="0.25">
      <c r="A186" s="569"/>
      <c r="B186" s="571"/>
      <c r="C186" s="571"/>
      <c r="D186" s="571"/>
      <c r="E186" s="571"/>
      <c r="F186" s="571"/>
      <c r="G186" s="571"/>
      <c r="H186" s="571"/>
      <c r="I186" s="571"/>
      <c r="J186" s="571"/>
      <c r="K186" s="571"/>
      <c r="L186" s="571"/>
      <c r="M186" s="571"/>
      <c r="N186" s="571"/>
      <c r="O186" s="571"/>
      <c r="P186" s="571"/>
      <c r="Q186" s="571"/>
      <c r="R186" s="571"/>
      <c r="S186" s="571"/>
      <c r="T186" s="571"/>
      <c r="U186" s="571"/>
      <c r="V186" s="699"/>
      <c r="W186" s="571"/>
      <c r="X186" s="572"/>
    </row>
    <row r="187" spans="1:256" s="629" customFormat="1" x14ac:dyDescent="0.25">
      <c r="A187" s="657"/>
      <c r="B187" s="694" t="s">
        <v>59</v>
      </c>
      <c r="C187" s="661"/>
      <c r="D187" s="661"/>
      <c r="E187" s="661"/>
      <c r="F187" s="661"/>
      <c r="G187" s="661"/>
      <c r="H187" s="706"/>
      <c r="I187" s="706"/>
      <c r="J187" s="706"/>
      <c r="K187" s="706"/>
      <c r="L187" s="706"/>
      <c r="M187" s="706"/>
      <c r="N187" s="706"/>
      <c r="O187" s="706"/>
      <c r="P187" s="706"/>
      <c r="Q187" s="706"/>
      <c r="R187" s="706"/>
      <c r="S187" s="706" t="s">
        <v>101</v>
      </c>
      <c r="T187" s="706" t="s">
        <v>176</v>
      </c>
      <c r="U187" s="578"/>
      <c r="V187" s="707" t="s">
        <v>114</v>
      </c>
      <c r="W187" s="578"/>
      <c r="X187" s="628"/>
    </row>
    <row r="188" spans="1:256" s="589" customFormat="1" x14ac:dyDescent="0.25">
      <c r="A188" s="604"/>
      <c r="B188" s="605" t="s">
        <v>60</v>
      </c>
      <c r="C188" s="605"/>
      <c r="D188" s="605"/>
      <c r="E188" s="605"/>
      <c r="F188" s="605"/>
      <c r="G188" s="605"/>
      <c r="H188" s="605"/>
      <c r="I188" s="605"/>
      <c r="J188" s="605"/>
      <c r="K188" s="605"/>
      <c r="L188" s="605"/>
      <c r="M188" s="605"/>
      <c r="N188" s="605"/>
      <c r="O188" s="605"/>
      <c r="P188" s="605"/>
      <c r="Q188" s="605"/>
      <c r="R188" s="605"/>
      <c r="S188" s="663">
        <f>+V34*0.16</f>
        <v>160181.28</v>
      </c>
      <c r="T188" s="635"/>
      <c r="U188" s="605"/>
      <c r="V188" s="663"/>
      <c r="W188" s="607"/>
      <c r="X188" s="588"/>
    </row>
    <row r="189" spans="1:256" s="589" customFormat="1" x14ac:dyDescent="0.25">
      <c r="A189" s="604"/>
      <c r="B189" s="605" t="s">
        <v>61</v>
      </c>
      <c r="C189" s="605"/>
      <c r="D189" s="605"/>
      <c r="E189" s="605"/>
      <c r="F189" s="605"/>
      <c r="G189" s="605"/>
      <c r="H189" s="605"/>
      <c r="I189" s="605"/>
      <c r="J189" s="605"/>
      <c r="K189" s="605"/>
      <c r="L189" s="605"/>
      <c r="M189" s="605"/>
      <c r="N189" s="605"/>
      <c r="O189" s="605"/>
      <c r="P189" s="605"/>
      <c r="Q189" s="605"/>
      <c r="R189" s="605"/>
      <c r="S189" s="663">
        <f>+'Aug 20'!S190</f>
        <v>14163</v>
      </c>
      <c r="T189" s="663">
        <f>+'Aug 20'!T190</f>
        <v>6098</v>
      </c>
      <c r="U189" s="605"/>
      <c r="V189" s="663">
        <f>S189+T189</f>
        <v>20261</v>
      </c>
      <c r="W189" s="607"/>
      <c r="X189" s="588"/>
    </row>
    <row r="190" spans="1:256" s="589" customFormat="1" x14ac:dyDescent="0.25">
      <c r="A190" s="604"/>
      <c r="B190" s="605" t="s">
        <v>62</v>
      </c>
      <c r="C190" s="605"/>
      <c r="D190" s="605"/>
      <c r="E190" s="605"/>
      <c r="F190" s="605"/>
      <c r="G190" s="605"/>
      <c r="H190" s="605"/>
      <c r="I190" s="605"/>
      <c r="J190" s="605"/>
      <c r="K190" s="605"/>
      <c r="L190" s="605"/>
      <c r="M190" s="605"/>
      <c r="N190" s="605"/>
      <c r="O190" s="605"/>
      <c r="P190" s="605"/>
      <c r="Q190" s="605"/>
      <c r="R190" s="605"/>
      <c r="S190" s="662">
        <v>0</v>
      </c>
      <c r="T190" s="662">
        <v>0</v>
      </c>
      <c r="U190" s="605"/>
      <c r="V190" s="663">
        <f>S190+T190</f>
        <v>0</v>
      </c>
      <c r="W190" s="607"/>
      <c r="X190" s="588"/>
    </row>
    <row r="191" spans="1:256" s="589" customFormat="1" x14ac:dyDescent="0.25">
      <c r="A191" s="604"/>
      <c r="B191" s="605" t="s">
        <v>63</v>
      </c>
      <c r="C191" s="605"/>
      <c r="D191" s="605"/>
      <c r="E191" s="605"/>
      <c r="F191" s="605"/>
      <c r="G191" s="605"/>
      <c r="H191" s="605"/>
      <c r="I191" s="605"/>
      <c r="J191" s="605"/>
      <c r="K191" s="605"/>
      <c r="L191" s="605"/>
      <c r="M191" s="605"/>
      <c r="N191" s="605"/>
      <c r="O191" s="605"/>
      <c r="P191" s="605"/>
      <c r="Q191" s="605"/>
      <c r="R191" s="605"/>
      <c r="S191" s="663">
        <f>S189+S190</f>
        <v>14163</v>
      </c>
      <c r="T191" s="663">
        <f>T190+T189</f>
        <v>6098</v>
      </c>
      <c r="U191" s="605"/>
      <c r="V191" s="663">
        <f>S191+T191</f>
        <v>20261</v>
      </c>
      <c r="W191" s="607"/>
      <c r="X191" s="588"/>
    </row>
    <row r="192" spans="1:256" s="589" customFormat="1" x14ac:dyDescent="0.25">
      <c r="A192" s="604"/>
      <c r="B192" s="605" t="s">
        <v>64</v>
      </c>
      <c r="C192" s="605"/>
      <c r="D192" s="605"/>
      <c r="E192" s="605"/>
      <c r="F192" s="605"/>
      <c r="G192" s="605"/>
      <c r="H192" s="605"/>
      <c r="I192" s="605"/>
      <c r="J192" s="605"/>
      <c r="K192" s="605"/>
      <c r="L192" s="605"/>
      <c r="M192" s="605"/>
      <c r="N192" s="605"/>
      <c r="O192" s="605"/>
      <c r="P192" s="605"/>
      <c r="Q192" s="605"/>
      <c r="R192" s="605"/>
      <c r="S192" s="663">
        <f>S188-S191-T191</f>
        <v>139920.28</v>
      </c>
      <c r="T192" s="635"/>
      <c r="U192" s="605"/>
      <c r="V192" s="663"/>
      <c r="W192" s="607"/>
      <c r="X192" s="588"/>
    </row>
    <row r="193" spans="1:24" ht="16.5" thickBot="1" x14ac:dyDescent="0.3">
      <c r="A193" s="574"/>
      <c r="B193" s="664"/>
      <c r="C193" s="664"/>
      <c r="D193" s="664"/>
      <c r="E193" s="664"/>
      <c r="F193" s="664"/>
      <c r="G193" s="664"/>
      <c r="H193" s="664"/>
      <c r="I193" s="664"/>
      <c r="J193" s="664"/>
      <c r="K193" s="664"/>
      <c r="L193" s="664"/>
      <c r="M193" s="664"/>
      <c r="N193" s="664"/>
      <c r="O193" s="664"/>
      <c r="P193" s="664"/>
      <c r="Q193" s="664"/>
      <c r="R193" s="664"/>
      <c r="S193" s="664"/>
      <c r="T193" s="664"/>
      <c r="U193" s="664"/>
      <c r="V193" s="696"/>
      <c r="W193" s="664"/>
      <c r="X193" s="572"/>
    </row>
    <row r="194" spans="1:24" x14ac:dyDescent="0.25">
      <c r="A194" s="569"/>
      <c r="B194" s="571"/>
      <c r="C194" s="571"/>
      <c r="D194" s="571"/>
      <c r="E194" s="571"/>
      <c r="F194" s="571"/>
      <c r="G194" s="571"/>
      <c r="H194" s="571"/>
      <c r="I194" s="571"/>
      <c r="J194" s="571"/>
      <c r="K194" s="571"/>
      <c r="L194" s="571"/>
      <c r="M194" s="571"/>
      <c r="N194" s="571"/>
      <c r="O194" s="571"/>
      <c r="P194" s="571"/>
      <c r="Q194" s="571"/>
      <c r="R194" s="571"/>
      <c r="S194" s="571"/>
      <c r="T194" s="571"/>
      <c r="U194" s="571"/>
      <c r="V194" s="699"/>
      <c r="W194" s="571"/>
      <c r="X194" s="572"/>
    </row>
    <row r="195" spans="1:24" x14ac:dyDescent="0.25">
      <c r="A195" s="574"/>
      <c r="B195" s="694" t="s">
        <v>65</v>
      </c>
      <c r="C195" s="576"/>
      <c r="D195" s="576"/>
      <c r="E195" s="576"/>
      <c r="F195" s="576"/>
      <c r="G195" s="576"/>
      <c r="H195" s="576"/>
      <c r="I195" s="576"/>
      <c r="J195" s="576"/>
      <c r="K195" s="576"/>
      <c r="L195" s="576"/>
      <c r="M195" s="576"/>
      <c r="N195" s="576"/>
      <c r="O195" s="576"/>
      <c r="P195" s="576"/>
      <c r="Q195" s="576"/>
      <c r="R195" s="576"/>
      <c r="S195" s="576"/>
      <c r="T195" s="576"/>
      <c r="U195" s="576"/>
      <c r="V195" s="708"/>
      <c r="W195" s="576"/>
      <c r="X195" s="572"/>
    </row>
    <row r="196" spans="1:24" s="589" customFormat="1" x14ac:dyDescent="0.25">
      <c r="A196" s="604"/>
      <c r="B196" s="605" t="s">
        <v>66</v>
      </c>
      <c r="C196" s="605"/>
      <c r="D196" s="605"/>
      <c r="E196" s="605"/>
      <c r="F196" s="605"/>
      <c r="G196" s="605"/>
      <c r="H196" s="605"/>
      <c r="I196" s="605"/>
      <c r="J196" s="605"/>
      <c r="K196" s="605"/>
      <c r="L196" s="605"/>
      <c r="M196" s="605"/>
      <c r="N196" s="605"/>
      <c r="O196" s="605"/>
      <c r="P196" s="605"/>
      <c r="Q196" s="605"/>
      <c r="R196" s="605"/>
      <c r="S196" s="605"/>
      <c r="T196" s="605"/>
      <c r="U196" s="605"/>
      <c r="V196" s="697">
        <v>0</v>
      </c>
      <c r="W196" s="607"/>
      <c r="X196" s="588"/>
    </row>
    <row r="197" spans="1:24" s="589" customFormat="1" x14ac:dyDescent="0.25">
      <c r="A197" s="604"/>
      <c r="B197" s="605" t="s">
        <v>67</v>
      </c>
      <c r="C197" s="605"/>
      <c r="D197" s="605"/>
      <c r="E197" s="605"/>
      <c r="F197" s="605"/>
      <c r="G197" s="605"/>
      <c r="H197" s="605"/>
      <c r="I197" s="605"/>
      <c r="J197" s="605"/>
      <c r="K197" s="605"/>
      <c r="L197" s="605"/>
      <c r="M197" s="605"/>
      <c r="N197" s="605"/>
      <c r="O197" s="605"/>
      <c r="P197" s="605"/>
      <c r="Q197" s="605"/>
      <c r="R197" s="605"/>
      <c r="S197" s="605"/>
      <c r="T197" s="605"/>
      <c r="U197" s="605"/>
      <c r="V197" s="709">
        <v>0</v>
      </c>
      <c r="W197" s="607"/>
      <c r="X197" s="588"/>
    </row>
    <row r="198" spans="1:24" s="589" customFormat="1" x14ac:dyDescent="0.25">
      <c r="A198" s="604"/>
      <c r="B198" s="605" t="s">
        <v>68</v>
      </c>
      <c r="C198" s="605"/>
      <c r="D198" s="605"/>
      <c r="E198" s="605"/>
      <c r="F198" s="605"/>
      <c r="G198" s="605"/>
      <c r="H198" s="605"/>
      <c r="I198" s="605"/>
      <c r="J198" s="605"/>
      <c r="K198" s="605"/>
      <c r="L198" s="605"/>
      <c r="M198" s="605"/>
      <c r="N198" s="605"/>
      <c r="O198" s="605"/>
      <c r="P198" s="605"/>
      <c r="Q198" s="605"/>
      <c r="R198" s="605"/>
      <c r="S198" s="605"/>
      <c r="T198" s="605"/>
      <c r="U198" s="605"/>
      <c r="V198" s="697">
        <v>0</v>
      </c>
      <c r="W198" s="607"/>
      <c r="X198" s="588"/>
    </row>
    <row r="199" spans="1:24" s="589" customFormat="1" x14ac:dyDescent="0.25">
      <c r="A199" s="604"/>
      <c r="B199" s="605" t="s">
        <v>69</v>
      </c>
      <c r="C199" s="605"/>
      <c r="D199" s="605"/>
      <c r="E199" s="605"/>
      <c r="F199" s="605"/>
      <c r="G199" s="605"/>
      <c r="H199" s="605"/>
      <c r="I199" s="605"/>
      <c r="J199" s="605"/>
      <c r="K199" s="605"/>
      <c r="L199" s="605"/>
      <c r="M199" s="605"/>
      <c r="N199" s="605"/>
      <c r="O199" s="605"/>
      <c r="P199" s="605"/>
      <c r="Q199" s="605"/>
      <c r="R199" s="605"/>
      <c r="S199" s="605"/>
      <c r="T199" s="605"/>
      <c r="U199" s="605"/>
      <c r="V199" s="709">
        <v>0</v>
      </c>
      <c r="W199" s="607"/>
      <c r="X199" s="588"/>
    </row>
    <row r="200" spans="1:24" s="589" customFormat="1" x14ac:dyDescent="0.25">
      <c r="A200" s="604"/>
      <c r="B200" s="605" t="s">
        <v>198</v>
      </c>
      <c r="C200" s="605"/>
      <c r="D200" s="605"/>
      <c r="E200" s="605"/>
      <c r="F200" s="605"/>
      <c r="G200" s="605"/>
      <c r="H200" s="605"/>
      <c r="I200" s="605"/>
      <c r="J200" s="605"/>
      <c r="K200" s="605"/>
      <c r="L200" s="605"/>
      <c r="M200" s="605"/>
      <c r="N200" s="605"/>
      <c r="O200" s="605"/>
      <c r="P200" s="605"/>
      <c r="Q200" s="605"/>
      <c r="R200" s="605"/>
      <c r="S200" s="605"/>
      <c r="T200" s="605"/>
      <c r="U200" s="605"/>
      <c r="V200" s="697">
        <v>0</v>
      </c>
      <c r="W200" s="607"/>
      <c r="X200" s="588"/>
    </row>
    <row r="201" spans="1:24" s="589" customFormat="1" x14ac:dyDescent="0.25">
      <c r="A201" s="604"/>
      <c r="B201" s="605" t="s">
        <v>199</v>
      </c>
      <c r="C201" s="605"/>
      <c r="D201" s="605"/>
      <c r="E201" s="605"/>
      <c r="F201" s="605"/>
      <c r="G201" s="605"/>
      <c r="H201" s="605"/>
      <c r="I201" s="605"/>
      <c r="J201" s="605"/>
      <c r="K201" s="605"/>
      <c r="L201" s="605"/>
      <c r="M201" s="605"/>
      <c r="N201" s="605"/>
      <c r="O201" s="605"/>
      <c r="P201" s="605"/>
      <c r="Q201" s="605"/>
      <c r="R201" s="605"/>
      <c r="S201" s="605"/>
      <c r="T201" s="605"/>
      <c r="U201" s="605"/>
      <c r="V201" s="709">
        <v>0</v>
      </c>
      <c r="W201" s="607"/>
      <c r="X201" s="588"/>
    </row>
    <row r="202" spans="1:24" s="589" customFormat="1" x14ac:dyDescent="0.25">
      <c r="A202" s="604"/>
      <c r="B202" s="605"/>
      <c r="C202" s="605"/>
      <c r="D202" s="605"/>
      <c r="E202" s="605"/>
      <c r="F202" s="605"/>
      <c r="G202" s="605"/>
      <c r="H202" s="605"/>
      <c r="I202" s="605"/>
      <c r="J202" s="605"/>
      <c r="K202" s="605"/>
      <c r="L202" s="605"/>
      <c r="M202" s="605"/>
      <c r="N202" s="605"/>
      <c r="O202" s="605"/>
      <c r="P202" s="605"/>
      <c r="Q202" s="605"/>
      <c r="R202" s="605"/>
      <c r="S202" s="605"/>
      <c r="T202" s="605"/>
      <c r="U202" s="605"/>
      <c r="V202" s="605"/>
      <c r="W202" s="607"/>
      <c r="X202" s="588"/>
    </row>
    <row r="203" spans="1:24" s="589" customFormat="1" x14ac:dyDescent="0.25">
      <c r="A203" s="585"/>
      <c r="B203" s="602"/>
      <c r="C203" s="602"/>
      <c r="D203" s="602"/>
      <c r="E203" s="602"/>
      <c r="F203" s="602"/>
      <c r="G203" s="602"/>
      <c r="H203" s="602"/>
      <c r="I203" s="602"/>
      <c r="J203" s="602"/>
      <c r="K203" s="602"/>
      <c r="L203" s="602"/>
      <c r="M203" s="602"/>
      <c r="N203" s="602"/>
      <c r="O203" s="602"/>
      <c r="P203" s="602"/>
      <c r="Q203" s="602"/>
      <c r="R203" s="602"/>
      <c r="S203" s="602"/>
      <c r="T203" s="602"/>
      <c r="U203" s="602"/>
      <c r="V203" s="602"/>
      <c r="W203" s="602"/>
      <c r="X203" s="588"/>
    </row>
    <row r="204" spans="1:24" s="589" customFormat="1" x14ac:dyDescent="0.25">
      <c r="A204" s="585"/>
      <c r="B204" s="586"/>
      <c r="C204" s="586"/>
      <c r="D204" s="586"/>
      <c r="E204" s="586"/>
      <c r="F204" s="586"/>
      <c r="G204" s="586"/>
      <c r="H204" s="586"/>
      <c r="I204" s="586"/>
      <c r="J204" s="586"/>
      <c r="K204" s="586"/>
      <c r="L204" s="586"/>
      <c r="M204" s="586"/>
      <c r="N204" s="586"/>
      <c r="O204" s="586"/>
      <c r="P204" s="586"/>
      <c r="Q204" s="586"/>
      <c r="R204" s="586"/>
      <c r="S204" s="586"/>
      <c r="T204" s="586"/>
      <c r="U204" s="586"/>
      <c r="V204" s="586"/>
      <c r="W204" s="586"/>
      <c r="X204" s="588"/>
    </row>
    <row r="205" spans="1:24" s="589" customFormat="1" ht="19.5" thickBot="1" x14ac:dyDescent="0.35">
      <c r="A205" s="649"/>
      <c r="B205" s="568" t="str">
        <f>B139</f>
        <v>PM15 INVESTOR REPORT QUARTER ENDING NOVEMBER  2020</v>
      </c>
      <c r="C205" s="650"/>
      <c r="D205" s="650"/>
      <c r="E205" s="650"/>
      <c r="F205" s="650"/>
      <c r="G205" s="650"/>
      <c r="H205" s="650"/>
      <c r="I205" s="650"/>
      <c r="J205" s="650"/>
      <c r="K205" s="650"/>
      <c r="L205" s="650"/>
      <c r="M205" s="650"/>
      <c r="N205" s="650"/>
      <c r="O205" s="650"/>
      <c r="P205" s="650"/>
      <c r="Q205" s="650"/>
      <c r="R205" s="650"/>
      <c r="S205" s="650"/>
      <c r="T205" s="650"/>
      <c r="U205" s="650"/>
      <c r="V205" s="650"/>
      <c r="W205" s="652"/>
      <c r="X205" s="588"/>
    </row>
    <row r="206" spans="1:24" x14ac:dyDescent="0.25">
      <c r="A206" s="689"/>
      <c r="B206" s="690" t="s">
        <v>70</v>
      </c>
      <c r="C206" s="710"/>
      <c r="D206" s="710"/>
      <c r="E206" s="710"/>
      <c r="F206" s="710"/>
      <c r="G206" s="711"/>
      <c r="H206" s="711"/>
      <c r="I206" s="711"/>
      <c r="J206" s="711"/>
      <c r="K206" s="711"/>
      <c r="L206" s="711"/>
      <c r="M206" s="711"/>
      <c r="N206" s="711"/>
      <c r="O206" s="711"/>
      <c r="P206" s="711"/>
      <c r="Q206" s="711"/>
      <c r="R206" s="711"/>
      <c r="S206" s="711"/>
      <c r="T206" s="711">
        <v>44165</v>
      </c>
      <c r="U206" s="691"/>
      <c r="V206" s="691"/>
      <c r="W206" s="691"/>
      <c r="X206" s="572"/>
    </row>
    <row r="207" spans="1:24" x14ac:dyDescent="0.25">
      <c r="A207" s="712"/>
      <c r="B207" s="713"/>
      <c r="C207" s="714"/>
      <c r="D207" s="714"/>
      <c r="E207" s="714"/>
      <c r="F207" s="714"/>
      <c r="G207" s="715"/>
      <c r="H207" s="715"/>
      <c r="I207" s="715"/>
      <c r="J207" s="715"/>
      <c r="K207" s="715"/>
      <c r="L207" s="715"/>
      <c r="M207" s="715"/>
      <c r="N207" s="715"/>
      <c r="O207" s="715"/>
      <c r="P207" s="715"/>
      <c r="Q207" s="715"/>
      <c r="R207" s="715"/>
      <c r="S207" s="715"/>
      <c r="T207" s="715"/>
      <c r="U207" s="576"/>
      <c r="V207" s="576"/>
      <c r="W207" s="576"/>
      <c r="X207" s="572"/>
    </row>
    <row r="208" spans="1:24" s="589" customFormat="1" x14ac:dyDescent="0.25">
      <c r="A208" s="604"/>
      <c r="B208" s="605" t="s">
        <v>71</v>
      </c>
      <c r="C208" s="716"/>
      <c r="D208" s="716"/>
      <c r="E208" s="716"/>
      <c r="F208" s="716"/>
      <c r="G208" s="639"/>
      <c r="H208" s="639"/>
      <c r="I208" s="639"/>
      <c r="J208" s="639"/>
      <c r="K208" s="639"/>
      <c r="L208" s="639"/>
      <c r="M208" s="639"/>
      <c r="N208" s="639"/>
      <c r="O208" s="639"/>
      <c r="P208" s="639"/>
      <c r="Q208" s="639"/>
      <c r="R208" s="639"/>
      <c r="S208" s="639"/>
      <c r="T208" s="633">
        <v>5.3830000000000003E-2</v>
      </c>
      <c r="U208" s="605"/>
      <c r="V208" s="605"/>
      <c r="W208" s="607"/>
      <c r="X208" s="588"/>
    </row>
    <row r="209" spans="1:24" s="589" customFormat="1" x14ac:dyDescent="0.25">
      <c r="A209" s="604"/>
      <c r="B209" s="605" t="s">
        <v>151</v>
      </c>
      <c r="C209" s="716"/>
      <c r="D209" s="716"/>
      <c r="E209" s="716"/>
      <c r="F209" s="716"/>
      <c r="G209" s="639"/>
      <c r="H209" s="639"/>
      <c r="I209" s="639"/>
      <c r="J209" s="639"/>
      <c r="K209" s="639"/>
      <c r="L209" s="639"/>
      <c r="M209" s="639"/>
      <c r="N209" s="639"/>
      <c r="O209" s="639"/>
      <c r="P209" s="639"/>
      <c r="Q209" s="639"/>
      <c r="R209" s="639"/>
      <c r="S209" s="639"/>
      <c r="T209" s="633">
        <v>6.25E-2</v>
      </c>
      <c r="U209" s="605"/>
      <c r="V209" s="605"/>
      <c r="W209" s="607"/>
      <c r="X209" s="588"/>
    </row>
    <row r="210" spans="1:24" s="589" customFormat="1" x14ac:dyDescent="0.25">
      <c r="A210" s="604"/>
      <c r="B210" s="605" t="s">
        <v>72</v>
      </c>
      <c r="C210" s="716"/>
      <c r="D210" s="716"/>
      <c r="E210" s="716"/>
      <c r="F210" s="716"/>
      <c r="G210" s="639"/>
      <c r="H210" s="639"/>
      <c r="I210" s="639"/>
      <c r="J210" s="639"/>
      <c r="K210" s="639"/>
      <c r="L210" s="639"/>
      <c r="M210" s="639"/>
      <c r="N210" s="639"/>
      <c r="O210" s="639"/>
      <c r="P210" s="639"/>
      <c r="Q210" s="639"/>
      <c r="R210" s="639"/>
      <c r="S210" s="639"/>
      <c r="T210" s="633">
        <f>T208-T209</f>
        <v>-8.6699999999999972E-3</v>
      </c>
      <c r="U210" s="605"/>
      <c r="V210" s="605"/>
      <c r="W210" s="607"/>
      <c r="X210" s="588"/>
    </row>
    <row r="211" spans="1:24" s="589" customFormat="1" x14ac:dyDescent="0.25">
      <c r="A211" s="604"/>
      <c r="B211" s="605" t="s">
        <v>73</v>
      </c>
      <c r="C211" s="716"/>
      <c r="D211" s="716"/>
      <c r="E211" s="716"/>
      <c r="F211" s="716"/>
      <c r="G211" s="639"/>
      <c r="H211" s="639"/>
      <c r="I211" s="639"/>
      <c r="J211" s="639"/>
      <c r="K211" s="639"/>
      <c r="L211" s="639"/>
      <c r="M211" s="639"/>
      <c r="N211" s="639"/>
      <c r="O211" s="639"/>
      <c r="P211" s="639"/>
      <c r="Q211" s="639"/>
      <c r="R211" s="639"/>
      <c r="S211" s="639"/>
      <c r="T211" s="633">
        <v>0</v>
      </c>
      <c r="U211" s="605"/>
      <c r="V211" s="605"/>
      <c r="W211" s="607"/>
      <c r="X211" s="588"/>
    </row>
    <row r="212" spans="1:24" s="589" customFormat="1" x14ac:dyDescent="0.25">
      <c r="A212" s="604"/>
      <c r="B212" s="605" t="s">
        <v>218</v>
      </c>
      <c r="C212" s="716"/>
      <c r="D212" s="716"/>
      <c r="E212" s="716"/>
      <c r="F212" s="716"/>
      <c r="G212" s="639"/>
      <c r="H212" s="639"/>
      <c r="I212" s="639"/>
      <c r="J212" s="639"/>
      <c r="K212" s="639"/>
      <c r="L212" s="639"/>
      <c r="M212" s="639"/>
      <c r="N212" s="639"/>
      <c r="O212" s="639"/>
      <c r="P212" s="639"/>
      <c r="Q212" s="639"/>
      <c r="R212" s="639"/>
      <c r="S212" s="639"/>
      <c r="T212" s="633">
        <v>0</v>
      </c>
      <c r="U212" s="605"/>
      <c r="V212" s="605"/>
      <c r="W212" s="607"/>
      <c r="X212" s="588"/>
    </row>
    <row r="213" spans="1:24" s="589" customFormat="1" x14ac:dyDescent="0.25">
      <c r="A213" s="604"/>
      <c r="B213" s="605" t="s">
        <v>74</v>
      </c>
      <c r="C213" s="716"/>
      <c r="D213" s="716"/>
      <c r="E213" s="716"/>
      <c r="F213" s="716"/>
      <c r="G213" s="639"/>
      <c r="H213" s="639"/>
      <c r="I213" s="639"/>
      <c r="J213" s="639"/>
      <c r="K213" s="639"/>
      <c r="L213" s="639"/>
      <c r="M213" s="639"/>
      <c r="N213" s="639"/>
      <c r="O213" s="639"/>
      <c r="P213" s="639"/>
      <c r="Q213" s="639"/>
      <c r="R213" s="639"/>
      <c r="S213" s="639"/>
      <c r="T213" s="633">
        <v>0</v>
      </c>
      <c r="U213" s="605"/>
      <c r="V213" s="605"/>
      <c r="W213" s="607"/>
      <c r="X213" s="588"/>
    </row>
    <row r="214" spans="1:24" s="589" customFormat="1" x14ac:dyDescent="0.25">
      <c r="A214" s="604"/>
      <c r="B214" s="605" t="s">
        <v>227</v>
      </c>
      <c r="C214" s="716"/>
      <c r="D214" s="716"/>
      <c r="E214" s="716"/>
      <c r="F214" s="716"/>
      <c r="G214" s="639"/>
      <c r="H214" s="639"/>
      <c r="I214" s="639"/>
      <c r="J214" s="639"/>
      <c r="K214" s="639"/>
      <c r="L214" s="639"/>
      <c r="M214" s="639"/>
      <c r="N214" s="639"/>
      <c r="O214" s="639"/>
      <c r="P214" s="639"/>
      <c r="Q214" s="639"/>
      <c r="R214" s="639"/>
      <c r="S214" s="639"/>
      <c r="T214" s="633">
        <v>0</v>
      </c>
      <c r="U214" s="605"/>
      <c r="V214" s="605"/>
      <c r="W214" s="607"/>
      <c r="X214" s="588"/>
    </row>
    <row r="215" spans="1:24" s="589" customFormat="1" x14ac:dyDescent="0.25">
      <c r="A215" s="604"/>
      <c r="B215" s="605" t="s">
        <v>207</v>
      </c>
      <c r="C215" s="716"/>
      <c r="D215" s="716"/>
      <c r="E215" s="716"/>
      <c r="F215" s="716"/>
      <c r="G215" s="639"/>
      <c r="H215" s="639"/>
      <c r="I215" s="639"/>
      <c r="J215" s="639"/>
      <c r="K215" s="639"/>
      <c r="L215" s="639"/>
      <c r="M215" s="639"/>
      <c r="N215" s="639"/>
      <c r="O215" s="639"/>
      <c r="P215" s="639"/>
      <c r="Q215" s="639"/>
      <c r="R215" s="639"/>
      <c r="S215" s="639"/>
      <c r="T215" s="717">
        <v>51105</v>
      </c>
      <c r="U215" s="605"/>
      <c r="V215" s="605"/>
      <c r="W215" s="607"/>
      <c r="X215" s="588"/>
    </row>
    <row r="216" spans="1:24" s="589" customFormat="1" x14ac:dyDescent="0.25">
      <c r="A216" s="604"/>
      <c r="B216" s="605" t="s">
        <v>208</v>
      </c>
      <c r="C216" s="716"/>
      <c r="D216" s="716"/>
      <c r="E216" s="716"/>
      <c r="F216" s="716"/>
      <c r="G216" s="639"/>
      <c r="H216" s="639"/>
      <c r="I216" s="639"/>
      <c r="J216" s="639"/>
      <c r="K216" s="639"/>
      <c r="L216" s="639"/>
      <c r="M216" s="639"/>
      <c r="N216" s="639"/>
      <c r="O216" s="639"/>
      <c r="P216" s="639"/>
      <c r="Q216" s="639"/>
      <c r="R216" s="639"/>
      <c r="S216" s="639"/>
      <c r="T216" s="717">
        <v>51105</v>
      </c>
      <c r="U216" s="605"/>
      <c r="V216" s="605"/>
      <c r="W216" s="607"/>
      <c r="X216" s="588"/>
    </row>
    <row r="217" spans="1:24" s="589" customFormat="1" x14ac:dyDescent="0.25">
      <c r="A217" s="604"/>
      <c r="B217" s="605" t="s">
        <v>209</v>
      </c>
      <c r="C217" s="716"/>
      <c r="D217" s="716"/>
      <c r="E217" s="716"/>
      <c r="F217" s="716"/>
      <c r="G217" s="639"/>
      <c r="H217" s="639"/>
      <c r="I217" s="639"/>
      <c r="J217" s="639"/>
      <c r="K217" s="639"/>
      <c r="L217" s="639"/>
      <c r="M217" s="639"/>
      <c r="N217" s="639"/>
      <c r="O217" s="639"/>
      <c r="P217" s="639"/>
      <c r="Q217" s="639"/>
      <c r="R217" s="639"/>
      <c r="S217" s="639"/>
      <c r="T217" s="717">
        <v>51105</v>
      </c>
      <c r="U217" s="605"/>
      <c r="V217" s="605"/>
      <c r="W217" s="607"/>
      <c r="X217" s="588"/>
    </row>
    <row r="218" spans="1:24" s="589" customFormat="1" x14ac:dyDescent="0.25">
      <c r="A218" s="604"/>
      <c r="B218" s="605" t="s">
        <v>75</v>
      </c>
      <c r="C218" s="716"/>
      <c r="D218" s="716"/>
      <c r="E218" s="716"/>
      <c r="F218" s="716"/>
      <c r="G218" s="639"/>
      <c r="H218" s="639"/>
      <c r="I218" s="639"/>
      <c r="J218" s="639"/>
      <c r="K218" s="639"/>
      <c r="L218" s="639"/>
      <c r="M218" s="639"/>
      <c r="N218" s="639"/>
      <c r="O218" s="639"/>
      <c r="P218" s="639"/>
      <c r="Q218" s="639"/>
      <c r="R218" s="639"/>
      <c r="S218" s="639"/>
      <c r="T218" s="637">
        <v>21.06</v>
      </c>
      <c r="U218" s="605" t="s">
        <v>110</v>
      </c>
      <c r="V218" s="605"/>
      <c r="W218" s="607"/>
      <c r="X218" s="588"/>
    </row>
    <row r="219" spans="1:24" s="589" customFormat="1" x14ac:dyDescent="0.25">
      <c r="A219" s="604"/>
      <c r="B219" s="605" t="s">
        <v>76</v>
      </c>
      <c r="C219" s="716"/>
      <c r="D219" s="716"/>
      <c r="E219" s="716"/>
      <c r="F219" s="716"/>
      <c r="G219" s="639"/>
      <c r="H219" s="639"/>
      <c r="I219" s="639"/>
      <c r="J219" s="639"/>
      <c r="K219" s="639"/>
      <c r="L219" s="639"/>
      <c r="M219" s="639"/>
      <c r="N219" s="639"/>
      <c r="O219" s="639"/>
      <c r="P219" s="639"/>
      <c r="Q219" s="639"/>
      <c r="R219" s="639"/>
      <c r="S219" s="639"/>
      <c r="T219" s="637">
        <v>0</v>
      </c>
      <c r="U219" s="605" t="s">
        <v>110</v>
      </c>
      <c r="V219" s="605"/>
      <c r="W219" s="607"/>
      <c r="X219" s="588"/>
    </row>
    <row r="220" spans="1:24" s="589" customFormat="1" x14ac:dyDescent="0.25">
      <c r="A220" s="604"/>
      <c r="B220" s="605" t="s">
        <v>77</v>
      </c>
      <c r="C220" s="716"/>
      <c r="D220" s="716"/>
      <c r="E220" s="716"/>
      <c r="F220" s="716"/>
      <c r="G220" s="639"/>
      <c r="H220" s="639"/>
      <c r="I220" s="639"/>
      <c r="J220" s="639"/>
      <c r="K220" s="639"/>
      <c r="L220" s="639"/>
      <c r="M220" s="639"/>
      <c r="N220" s="639"/>
      <c r="O220" s="639"/>
      <c r="P220" s="639"/>
      <c r="Q220" s="639"/>
      <c r="R220" s="639"/>
      <c r="S220" s="639"/>
      <c r="T220" s="633">
        <v>1</v>
      </c>
      <c r="U220" s="605"/>
      <c r="V220" s="605"/>
      <c r="W220" s="607"/>
      <c r="X220" s="588"/>
    </row>
    <row r="221" spans="1:24" s="589" customFormat="1" x14ac:dyDescent="0.25">
      <c r="A221" s="604"/>
      <c r="B221" s="605" t="s">
        <v>78</v>
      </c>
      <c r="C221" s="716"/>
      <c r="D221" s="716"/>
      <c r="E221" s="716"/>
      <c r="F221" s="716"/>
      <c r="G221" s="639"/>
      <c r="H221" s="639"/>
      <c r="I221" s="639"/>
      <c r="J221" s="639"/>
      <c r="K221" s="639"/>
      <c r="L221" s="639"/>
      <c r="M221" s="639"/>
      <c r="N221" s="639"/>
      <c r="O221" s="639"/>
      <c r="P221" s="639"/>
      <c r="Q221" s="639"/>
      <c r="R221" s="639"/>
      <c r="S221" s="639"/>
      <c r="T221" s="633">
        <v>1</v>
      </c>
      <c r="U221" s="605"/>
      <c r="V221" s="605"/>
      <c r="W221" s="607"/>
      <c r="X221" s="588"/>
    </row>
    <row r="222" spans="1:24" x14ac:dyDescent="0.25">
      <c r="A222" s="712"/>
      <c r="B222" s="718"/>
      <c r="C222" s="718"/>
      <c r="D222" s="718"/>
      <c r="E222" s="718"/>
      <c r="F222" s="718"/>
      <c r="G222" s="664"/>
      <c r="H222" s="664"/>
      <c r="I222" s="664"/>
      <c r="J222" s="664"/>
      <c r="K222" s="664"/>
      <c r="L222" s="664"/>
      <c r="M222" s="664"/>
      <c r="N222" s="664"/>
      <c r="O222" s="664"/>
      <c r="P222" s="664"/>
      <c r="Q222" s="664"/>
      <c r="R222" s="664"/>
      <c r="S222" s="664"/>
      <c r="T222" s="696"/>
      <c r="U222" s="664"/>
      <c r="V222" s="719"/>
      <c r="W222" s="664"/>
      <c r="X222" s="572"/>
    </row>
    <row r="223" spans="1:24" x14ac:dyDescent="0.25">
      <c r="A223" s="720"/>
      <c r="B223" s="669" t="s">
        <v>79</v>
      </c>
      <c r="C223" s="670"/>
      <c r="D223" s="670"/>
      <c r="E223" s="670"/>
      <c r="F223" s="721"/>
      <c r="G223" s="670"/>
      <c r="H223" s="670"/>
      <c r="I223" s="670"/>
      <c r="J223" s="670"/>
      <c r="K223" s="670"/>
      <c r="L223" s="670"/>
      <c r="M223" s="670"/>
      <c r="N223" s="670"/>
      <c r="O223" s="670"/>
      <c r="P223" s="670"/>
      <c r="Q223" s="670"/>
      <c r="R223" s="670"/>
      <c r="S223" s="670" t="s">
        <v>102</v>
      </c>
      <c r="T223" s="721" t="s">
        <v>108</v>
      </c>
      <c r="U223" s="598"/>
      <c r="V223" s="598"/>
      <c r="W223" s="601"/>
      <c r="X223" s="572"/>
    </row>
    <row r="224" spans="1:24" s="589" customFormat="1" x14ac:dyDescent="0.25">
      <c r="A224" s="722"/>
      <c r="B224" s="602" t="s">
        <v>80</v>
      </c>
      <c r="C224" s="673"/>
      <c r="D224" s="673"/>
      <c r="E224" s="673"/>
      <c r="F224" s="602"/>
      <c r="G224" s="602"/>
      <c r="H224" s="723"/>
      <c r="I224" s="723"/>
      <c r="J224" s="723"/>
      <c r="K224" s="723"/>
      <c r="L224" s="723"/>
      <c r="M224" s="723"/>
      <c r="N224" s="723"/>
      <c r="O224" s="723"/>
      <c r="P224" s="723"/>
      <c r="Q224" s="723"/>
      <c r="R224" s="723"/>
      <c r="S224" s="723">
        <v>0</v>
      </c>
      <c r="T224" s="724">
        <v>0</v>
      </c>
      <c r="U224" s="602"/>
      <c r="V224" s="725"/>
      <c r="W224" s="726"/>
      <c r="X224" s="588"/>
    </row>
    <row r="225" spans="1:24" s="589" customFormat="1" x14ac:dyDescent="0.25">
      <c r="A225" s="727"/>
      <c r="B225" s="605" t="s">
        <v>145</v>
      </c>
      <c r="C225" s="662"/>
      <c r="D225" s="662"/>
      <c r="E225" s="662"/>
      <c r="F225" s="605"/>
      <c r="G225" s="605"/>
      <c r="H225" s="611"/>
      <c r="I225" s="611"/>
      <c r="J225" s="611"/>
      <c r="K225" s="611"/>
      <c r="L225" s="611"/>
      <c r="M225" s="611"/>
      <c r="N225" s="611"/>
      <c r="O225" s="611"/>
      <c r="P225" s="611"/>
      <c r="Q225" s="611"/>
      <c r="R225" s="611"/>
      <c r="S225" s="728">
        <f>+R277</f>
        <v>0</v>
      </c>
      <c r="T225" s="729">
        <f>+T277</f>
        <v>0</v>
      </c>
      <c r="U225" s="605"/>
      <c r="V225" s="730"/>
      <c r="W225" s="731"/>
      <c r="X225" s="588"/>
    </row>
    <row r="226" spans="1:24" s="589" customFormat="1" x14ac:dyDescent="0.25">
      <c r="A226" s="727"/>
      <c r="B226" s="605" t="s">
        <v>81</v>
      </c>
      <c r="C226" s="662"/>
      <c r="D226" s="662"/>
      <c r="E226" s="662"/>
      <c r="F226" s="605"/>
      <c r="G226" s="605"/>
      <c r="H226" s="611"/>
      <c r="I226" s="611"/>
      <c r="J226" s="611"/>
      <c r="K226" s="611"/>
      <c r="L226" s="611"/>
      <c r="M226" s="611"/>
      <c r="N226" s="611"/>
      <c r="O226" s="611"/>
      <c r="P226" s="611"/>
      <c r="Q226" s="611"/>
      <c r="R226" s="611"/>
      <c r="S226" s="728">
        <f>+R299</f>
        <v>0</v>
      </c>
      <c r="T226" s="729">
        <f>+T299</f>
        <v>0</v>
      </c>
      <c r="U226" s="605"/>
      <c r="V226" s="730"/>
      <c r="W226" s="731"/>
      <c r="X226" s="588"/>
    </row>
    <row r="227" spans="1:24" x14ac:dyDescent="0.25">
      <c r="A227" s="732"/>
      <c r="B227" s="623" t="s">
        <v>82</v>
      </c>
      <c r="C227" s="733"/>
      <c r="D227" s="733"/>
      <c r="E227" s="733"/>
      <c r="F227" s="679"/>
      <c r="G227" s="679"/>
      <c r="H227" s="679"/>
      <c r="I227" s="679"/>
      <c r="J227" s="679"/>
      <c r="K227" s="679"/>
      <c r="L227" s="679"/>
      <c r="M227" s="679"/>
      <c r="N227" s="679"/>
      <c r="O227" s="679"/>
      <c r="P227" s="679"/>
      <c r="Q227" s="679"/>
      <c r="R227" s="679"/>
      <c r="S227" s="681"/>
      <c r="T227" s="729">
        <v>0</v>
      </c>
      <c r="U227" s="679"/>
      <c r="V227" s="734"/>
      <c r="W227" s="735"/>
      <c r="X227" s="572"/>
    </row>
    <row r="228" spans="1:24" x14ac:dyDescent="0.25">
      <c r="A228" s="732"/>
      <c r="B228" s="623" t="s">
        <v>228</v>
      </c>
      <c r="C228" s="733"/>
      <c r="D228" s="733"/>
      <c r="E228" s="733"/>
      <c r="F228" s="679"/>
      <c r="G228" s="679"/>
      <c r="H228" s="679"/>
      <c r="I228" s="679"/>
      <c r="J228" s="679"/>
      <c r="K228" s="679"/>
      <c r="L228" s="679"/>
      <c r="M228" s="679"/>
      <c r="N228" s="679"/>
      <c r="O228" s="679"/>
      <c r="P228" s="679"/>
      <c r="Q228" s="679"/>
      <c r="R228" s="679"/>
      <c r="S228" s="681"/>
      <c r="T228" s="729">
        <f>+N81</f>
        <v>0</v>
      </c>
      <c r="U228" s="679"/>
      <c r="V228" s="734"/>
      <c r="W228" s="735"/>
      <c r="X228" s="572"/>
    </row>
    <row r="229" spans="1:24" x14ac:dyDescent="0.25">
      <c r="A229" s="736"/>
      <c r="B229" s="623" t="s">
        <v>83</v>
      </c>
      <c r="C229" s="737"/>
      <c r="D229" s="737"/>
      <c r="E229" s="737"/>
      <c r="F229" s="737"/>
      <c r="G229" s="679"/>
      <c r="H229" s="679"/>
      <c r="I229" s="679"/>
      <c r="J229" s="679"/>
      <c r="K229" s="679"/>
      <c r="L229" s="679"/>
      <c r="M229" s="679"/>
      <c r="N229" s="679"/>
      <c r="O229" s="679"/>
      <c r="P229" s="679"/>
      <c r="Q229" s="679"/>
      <c r="R229" s="679"/>
      <c r="S229" s="681"/>
      <c r="T229" s="738"/>
      <c r="U229" s="679"/>
      <c r="V229" s="734"/>
      <c r="W229" s="739"/>
      <c r="X229" s="572"/>
    </row>
    <row r="230" spans="1:24" s="589" customFormat="1" x14ac:dyDescent="0.25">
      <c r="A230" s="740"/>
      <c r="B230" s="605" t="s">
        <v>84</v>
      </c>
      <c r="C230" s="605"/>
      <c r="D230" s="605"/>
      <c r="E230" s="605"/>
      <c r="F230" s="605"/>
      <c r="G230" s="605"/>
      <c r="H230" s="605"/>
      <c r="I230" s="605"/>
      <c r="J230" s="605"/>
      <c r="K230" s="605"/>
      <c r="L230" s="605"/>
      <c r="M230" s="605"/>
      <c r="N230" s="605"/>
      <c r="O230" s="605"/>
      <c r="P230" s="605"/>
      <c r="Q230" s="605"/>
      <c r="R230" s="605"/>
      <c r="S230" s="611"/>
      <c r="T230" s="729">
        <f>V168</f>
        <v>8</v>
      </c>
      <c r="U230" s="605"/>
      <c r="V230" s="730"/>
      <c r="W230" s="741"/>
      <c r="X230" s="588"/>
    </row>
    <row r="231" spans="1:24" s="589" customFormat="1" x14ac:dyDescent="0.25">
      <c r="A231" s="727"/>
      <c r="B231" s="605" t="s">
        <v>85</v>
      </c>
      <c r="C231" s="662"/>
      <c r="D231" s="662"/>
      <c r="E231" s="662"/>
      <c r="F231" s="662"/>
      <c r="G231" s="605"/>
      <c r="H231" s="605"/>
      <c r="I231" s="605"/>
      <c r="J231" s="605"/>
      <c r="K231" s="605"/>
      <c r="L231" s="605"/>
      <c r="M231" s="605"/>
      <c r="N231" s="605"/>
      <c r="O231" s="605"/>
      <c r="P231" s="605"/>
      <c r="Q231" s="605"/>
      <c r="R231" s="605"/>
      <c r="S231" s="611"/>
      <c r="T231" s="729">
        <f>'Aug 20'!T230+T230</f>
        <v>10269</v>
      </c>
      <c r="U231" s="605"/>
      <c r="V231" s="730"/>
      <c r="W231" s="741"/>
      <c r="X231" s="588"/>
    </row>
    <row r="232" spans="1:24" x14ac:dyDescent="0.25">
      <c r="A232" s="736"/>
      <c r="B232" s="623" t="s">
        <v>285</v>
      </c>
      <c r="C232" s="737"/>
      <c r="D232" s="737"/>
      <c r="E232" s="737"/>
      <c r="F232" s="737"/>
      <c r="G232" s="679"/>
      <c r="H232" s="679"/>
      <c r="I232" s="679"/>
      <c r="J232" s="679"/>
      <c r="K232" s="679"/>
      <c r="L232" s="679"/>
      <c r="M232" s="679"/>
      <c r="N232" s="679"/>
      <c r="O232" s="679"/>
      <c r="P232" s="679"/>
      <c r="Q232" s="679"/>
      <c r="R232" s="679"/>
      <c r="S232" s="742"/>
      <c r="T232" s="738"/>
      <c r="U232" s="679"/>
      <c r="V232" s="734"/>
      <c r="W232" s="739"/>
      <c r="X232" s="572"/>
    </row>
    <row r="233" spans="1:24" s="589" customFormat="1" x14ac:dyDescent="0.25">
      <c r="A233" s="740"/>
      <c r="B233" s="605" t="s">
        <v>282</v>
      </c>
      <c r="C233" s="605"/>
      <c r="D233" s="605"/>
      <c r="E233" s="605"/>
      <c r="F233" s="605"/>
      <c r="G233" s="605"/>
      <c r="H233" s="605"/>
      <c r="I233" s="605"/>
      <c r="J233" s="605"/>
      <c r="K233" s="605"/>
      <c r="L233" s="605"/>
      <c r="M233" s="605"/>
      <c r="N233" s="605"/>
      <c r="O233" s="605"/>
      <c r="P233" s="605"/>
      <c r="Q233" s="605"/>
      <c r="R233" s="605"/>
      <c r="S233" s="611">
        <v>0</v>
      </c>
      <c r="T233" s="729">
        <v>0</v>
      </c>
      <c r="U233" s="605"/>
      <c r="V233" s="730"/>
      <c r="W233" s="741"/>
      <c r="X233" s="588"/>
    </row>
    <row r="234" spans="1:24" s="589" customFormat="1" x14ac:dyDescent="0.25">
      <c r="A234" s="727"/>
      <c r="B234" s="605" t="s">
        <v>86</v>
      </c>
      <c r="C234" s="635"/>
      <c r="D234" s="635"/>
      <c r="E234" s="635"/>
      <c r="F234" s="743"/>
      <c r="G234" s="605"/>
      <c r="H234" s="605"/>
      <c r="I234" s="605"/>
      <c r="J234" s="605"/>
      <c r="K234" s="605"/>
      <c r="L234" s="605"/>
      <c r="M234" s="605"/>
      <c r="N234" s="605"/>
      <c r="O234" s="605"/>
      <c r="P234" s="605"/>
      <c r="Q234" s="605"/>
      <c r="R234" s="605"/>
      <c r="S234" s="605"/>
      <c r="T234" s="744">
        <v>0</v>
      </c>
      <c r="U234" s="605"/>
      <c r="V234" s="730"/>
      <c r="W234" s="741"/>
      <c r="X234" s="588"/>
    </row>
    <row r="235" spans="1:24" s="589" customFormat="1" x14ac:dyDescent="0.25">
      <c r="A235" s="727"/>
      <c r="B235" s="605" t="s">
        <v>87</v>
      </c>
      <c r="C235" s="635"/>
      <c r="D235" s="635"/>
      <c r="E235" s="635"/>
      <c r="F235" s="743"/>
      <c r="G235" s="605"/>
      <c r="H235" s="605"/>
      <c r="I235" s="605"/>
      <c r="J235" s="605"/>
      <c r="K235" s="605"/>
      <c r="L235" s="605"/>
      <c r="M235" s="605"/>
      <c r="N235" s="605"/>
      <c r="O235" s="605"/>
      <c r="P235" s="605"/>
      <c r="Q235" s="605"/>
      <c r="R235" s="605"/>
      <c r="S235" s="605"/>
      <c r="T235" s="744">
        <v>0</v>
      </c>
      <c r="U235" s="605"/>
      <c r="V235" s="730"/>
      <c r="W235" s="741"/>
      <c r="X235" s="588"/>
    </row>
    <row r="236" spans="1:24" x14ac:dyDescent="0.25">
      <c r="A236" s="732"/>
      <c r="B236" s="623" t="s">
        <v>216</v>
      </c>
      <c r="C236" s="745"/>
      <c r="D236" s="745"/>
      <c r="E236" s="745"/>
      <c r="F236" s="746"/>
      <c r="G236" s="679"/>
      <c r="H236" s="679"/>
      <c r="I236" s="679"/>
      <c r="J236" s="679"/>
      <c r="K236" s="679"/>
      <c r="L236" s="679"/>
      <c r="M236" s="679"/>
      <c r="N236" s="679"/>
      <c r="O236" s="679"/>
      <c r="P236" s="679"/>
      <c r="Q236" s="679"/>
      <c r="R236" s="679"/>
      <c r="S236" s="681"/>
      <c r="T236" s="747"/>
      <c r="U236" s="679"/>
      <c r="V236" s="734"/>
      <c r="W236" s="739"/>
      <c r="X236" s="572"/>
    </row>
    <row r="237" spans="1:24" s="589" customFormat="1" x14ac:dyDescent="0.25">
      <c r="A237" s="727"/>
      <c r="B237" s="605" t="s">
        <v>282</v>
      </c>
      <c r="C237" s="635"/>
      <c r="D237" s="635"/>
      <c r="E237" s="635"/>
      <c r="F237" s="743"/>
      <c r="G237" s="605"/>
      <c r="H237" s="605"/>
      <c r="I237" s="605"/>
      <c r="J237" s="605"/>
      <c r="K237" s="605"/>
      <c r="L237" s="605"/>
      <c r="M237" s="605"/>
      <c r="N237" s="605"/>
      <c r="O237" s="605"/>
      <c r="P237" s="605"/>
      <c r="Q237" s="605"/>
      <c r="R237" s="605"/>
      <c r="S237" s="611">
        <v>3</v>
      </c>
      <c r="T237" s="729">
        <v>471</v>
      </c>
      <c r="U237" s="605"/>
      <c r="V237" s="730"/>
      <c r="W237" s="741"/>
      <c r="X237" s="588"/>
    </row>
    <row r="238" spans="1:24" s="589" customFormat="1" x14ac:dyDescent="0.25">
      <c r="A238" s="727"/>
      <c r="B238" s="605" t="s">
        <v>217</v>
      </c>
      <c r="C238" s="635"/>
      <c r="D238" s="635"/>
      <c r="E238" s="635"/>
      <c r="F238" s="743"/>
      <c r="G238" s="605"/>
      <c r="H238" s="605"/>
      <c r="I238" s="605"/>
      <c r="J238" s="605"/>
      <c r="K238" s="605"/>
      <c r="L238" s="605"/>
      <c r="M238" s="605"/>
      <c r="N238" s="605"/>
      <c r="O238" s="605"/>
      <c r="P238" s="605"/>
      <c r="Q238" s="605"/>
      <c r="R238" s="605"/>
      <c r="S238" s="605"/>
      <c r="T238" s="744">
        <v>0</v>
      </c>
      <c r="U238" s="605"/>
      <c r="V238" s="730"/>
      <c r="W238" s="741"/>
      <c r="X238" s="588"/>
    </row>
    <row r="239" spans="1:24" x14ac:dyDescent="0.25">
      <c r="A239" s="732"/>
      <c r="B239" s="737"/>
      <c r="C239" s="745"/>
      <c r="D239" s="745"/>
      <c r="E239" s="745"/>
      <c r="F239" s="746"/>
      <c r="G239" s="679"/>
      <c r="H239" s="679"/>
      <c r="I239" s="679"/>
      <c r="J239" s="679"/>
      <c r="K239" s="679"/>
      <c r="L239" s="679"/>
      <c r="M239" s="679"/>
      <c r="N239" s="679"/>
      <c r="O239" s="679"/>
      <c r="P239" s="679"/>
      <c r="Q239" s="679"/>
      <c r="R239" s="679"/>
      <c r="S239" s="681"/>
      <c r="T239" s="747"/>
      <c r="U239" s="679"/>
      <c r="V239" s="734"/>
      <c r="W239" s="739"/>
      <c r="X239" s="572"/>
    </row>
    <row r="240" spans="1:24" x14ac:dyDescent="0.25">
      <c r="A240" s="732"/>
      <c r="B240" s="737"/>
      <c r="C240" s="745"/>
      <c r="D240" s="745"/>
      <c r="E240" s="745"/>
      <c r="F240" s="746"/>
      <c r="G240" s="679"/>
      <c r="H240" s="679"/>
      <c r="I240" s="679"/>
      <c r="J240" s="679"/>
      <c r="K240" s="679"/>
      <c r="L240" s="679"/>
      <c r="M240" s="679"/>
      <c r="N240" s="679"/>
      <c r="O240" s="679"/>
      <c r="P240" s="679"/>
      <c r="Q240" s="679"/>
      <c r="R240" s="679"/>
      <c r="S240" s="679"/>
      <c r="T240" s="748"/>
      <c r="U240" s="679"/>
      <c r="V240" s="734"/>
      <c r="W240" s="739"/>
      <c r="X240" s="572"/>
    </row>
    <row r="241" spans="1:25" ht="18.75" x14ac:dyDescent="0.3">
      <c r="A241" s="732"/>
      <c r="B241" s="749" t="s">
        <v>168</v>
      </c>
      <c r="C241" s="745"/>
      <c r="D241" s="745"/>
      <c r="E241" s="745"/>
      <c r="F241" s="746"/>
      <c r="G241" s="679"/>
      <c r="H241" s="679"/>
      <c r="I241" s="679"/>
      <c r="J241" s="679"/>
      <c r="K241" s="679"/>
      <c r="L241" s="679"/>
      <c r="M241" s="679"/>
      <c r="N241" s="679"/>
      <c r="O241" s="679"/>
      <c r="P241" s="535" t="s">
        <v>341</v>
      </c>
      <c r="Q241" s="679"/>
      <c r="R241" s="679"/>
      <c r="S241" s="679"/>
      <c r="T241" s="748"/>
      <c r="U241" s="679"/>
      <c r="V241" s="734"/>
      <c r="W241" s="739"/>
      <c r="X241" s="572"/>
    </row>
    <row r="242" spans="1:25" x14ac:dyDescent="0.25">
      <c r="A242" s="750"/>
      <c r="B242" s="718"/>
      <c r="C242" s="751"/>
      <c r="D242" s="751"/>
      <c r="E242" s="751"/>
      <c r="F242" s="752"/>
      <c r="G242" s="664"/>
      <c r="H242" s="664"/>
      <c r="I242" s="664"/>
      <c r="J242" s="664"/>
      <c r="K242" s="664"/>
      <c r="L242" s="664"/>
      <c r="M242" s="664"/>
      <c r="N242" s="664"/>
      <c r="O242" s="664"/>
      <c r="P242" s="664"/>
      <c r="Q242" s="664"/>
      <c r="R242" s="664"/>
      <c r="S242" s="664"/>
      <c r="T242" s="753"/>
      <c r="U242" s="664"/>
      <c r="V242" s="719"/>
      <c r="W242" s="754"/>
      <c r="X242" s="572"/>
    </row>
    <row r="243" spans="1:25" x14ac:dyDescent="0.25">
      <c r="A243" s="597"/>
      <c r="B243" s="669" t="s">
        <v>297</v>
      </c>
      <c r="C243" s="670"/>
      <c r="D243" s="670"/>
      <c r="E243" s="670"/>
      <c r="F243" s="721"/>
      <c r="G243" s="670"/>
      <c r="H243" s="670"/>
      <c r="I243" s="670"/>
      <c r="J243" s="670"/>
      <c r="K243" s="670"/>
      <c r="L243" s="670"/>
      <c r="M243" s="670"/>
      <c r="N243" s="670"/>
      <c r="O243" s="670"/>
      <c r="P243" s="670"/>
      <c r="Q243" s="670"/>
      <c r="R243" s="721" t="s">
        <v>102</v>
      </c>
      <c r="S243" s="670" t="s">
        <v>103</v>
      </c>
      <c r="T243" s="721" t="s">
        <v>109</v>
      </c>
      <c r="U243" s="670" t="s">
        <v>103</v>
      </c>
      <c r="V243" s="598"/>
      <c r="W243" s="755"/>
      <c r="X243" s="572"/>
    </row>
    <row r="244" spans="1:25" s="589" customFormat="1" x14ac:dyDescent="0.25">
      <c r="A244" s="585"/>
      <c r="B244" s="673" t="s">
        <v>88</v>
      </c>
      <c r="C244" s="756"/>
      <c r="D244" s="756"/>
      <c r="E244" s="756"/>
      <c r="F244" s="602"/>
      <c r="G244" s="756"/>
      <c r="H244" s="756"/>
      <c r="I244" s="756"/>
      <c r="J244" s="756"/>
      <c r="K244" s="756"/>
      <c r="L244" s="756"/>
      <c r="M244" s="756"/>
      <c r="N244" s="756"/>
      <c r="O244" s="756"/>
      <c r="P244" s="756"/>
      <c r="Q244" s="756"/>
      <c r="R244" s="673">
        <f t="shared" ref="R244:R251" si="1">+R256+R268+R290</f>
        <v>0</v>
      </c>
      <c r="S244" s="757">
        <v>0</v>
      </c>
      <c r="T244" s="674">
        <f t="shared" ref="T244:T251" si="2">+T256+T268+T290</f>
        <v>0</v>
      </c>
      <c r="U244" s="757">
        <v>0</v>
      </c>
      <c r="V244" s="725"/>
      <c r="W244" s="758"/>
      <c r="X244" s="588"/>
    </row>
    <row r="245" spans="1:25" s="589" customFormat="1" x14ac:dyDescent="0.25">
      <c r="A245" s="604"/>
      <c r="B245" s="662" t="s">
        <v>89</v>
      </c>
      <c r="C245" s="759"/>
      <c r="D245" s="759"/>
      <c r="E245" s="759"/>
      <c r="F245" s="605"/>
      <c r="G245" s="760"/>
      <c r="H245" s="759"/>
      <c r="I245" s="759"/>
      <c r="J245" s="759"/>
      <c r="K245" s="759"/>
      <c r="L245" s="759"/>
      <c r="M245" s="759"/>
      <c r="N245" s="759"/>
      <c r="O245" s="759"/>
      <c r="P245" s="759"/>
      <c r="Q245" s="759"/>
      <c r="R245" s="662">
        <f t="shared" si="1"/>
        <v>0</v>
      </c>
      <c r="S245" s="760">
        <v>0</v>
      </c>
      <c r="T245" s="663">
        <f t="shared" si="2"/>
        <v>0</v>
      </c>
      <c r="U245" s="760">
        <v>0</v>
      </c>
      <c r="V245" s="730"/>
      <c r="W245" s="741"/>
      <c r="X245" s="588"/>
      <c r="Y245" s="685"/>
    </row>
    <row r="246" spans="1:25" s="589" customFormat="1" x14ac:dyDescent="0.25">
      <c r="A246" s="604"/>
      <c r="B246" s="662" t="s">
        <v>90</v>
      </c>
      <c r="C246" s="759"/>
      <c r="D246" s="759"/>
      <c r="E246" s="759"/>
      <c r="F246" s="605"/>
      <c r="G246" s="760"/>
      <c r="H246" s="759"/>
      <c r="I246" s="759"/>
      <c r="J246" s="759"/>
      <c r="K246" s="759"/>
      <c r="L246" s="759"/>
      <c r="M246" s="759"/>
      <c r="N246" s="759"/>
      <c r="O246" s="759"/>
      <c r="P246" s="759"/>
      <c r="Q246" s="759"/>
      <c r="R246" s="662">
        <f t="shared" si="1"/>
        <v>0</v>
      </c>
      <c r="S246" s="760">
        <v>0</v>
      </c>
      <c r="T246" s="663">
        <f t="shared" si="2"/>
        <v>0</v>
      </c>
      <c r="U246" s="760">
        <v>0</v>
      </c>
      <c r="V246" s="730"/>
      <c r="W246" s="741"/>
      <c r="X246" s="588"/>
    </row>
    <row r="247" spans="1:25" s="589" customFormat="1" x14ac:dyDescent="0.25">
      <c r="A247" s="604"/>
      <c r="B247" s="662" t="s">
        <v>156</v>
      </c>
      <c r="C247" s="759"/>
      <c r="D247" s="759"/>
      <c r="E247" s="759"/>
      <c r="F247" s="605"/>
      <c r="G247" s="760"/>
      <c r="H247" s="759"/>
      <c r="I247" s="759"/>
      <c r="J247" s="759"/>
      <c r="K247" s="759"/>
      <c r="L247" s="759"/>
      <c r="M247" s="759"/>
      <c r="N247" s="759"/>
      <c r="O247" s="759"/>
      <c r="P247" s="759"/>
      <c r="Q247" s="759"/>
      <c r="R247" s="662">
        <f t="shared" si="1"/>
        <v>0</v>
      </c>
      <c r="S247" s="760">
        <v>0</v>
      </c>
      <c r="T247" s="663">
        <f t="shared" si="2"/>
        <v>0</v>
      </c>
      <c r="U247" s="760">
        <v>0</v>
      </c>
      <c r="V247" s="730"/>
      <c r="W247" s="741"/>
      <c r="X247" s="588"/>
      <c r="Y247" s="685"/>
    </row>
    <row r="248" spans="1:25" s="589" customFormat="1" x14ac:dyDescent="0.25">
      <c r="A248" s="604"/>
      <c r="B248" s="662" t="s">
        <v>157</v>
      </c>
      <c r="C248" s="759"/>
      <c r="D248" s="759"/>
      <c r="E248" s="759"/>
      <c r="F248" s="605"/>
      <c r="G248" s="760"/>
      <c r="H248" s="759"/>
      <c r="I248" s="759"/>
      <c r="J248" s="759"/>
      <c r="K248" s="759"/>
      <c r="L248" s="759"/>
      <c r="M248" s="759"/>
      <c r="N248" s="759"/>
      <c r="O248" s="759"/>
      <c r="P248" s="759"/>
      <c r="Q248" s="759"/>
      <c r="R248" s="662">
        <f t="shared" si="1"/>
        <v>0</v>
      </c>
      <c r="S248" s="760">
        <v>0</v>
      </c>
      <c r="T248" s="663">
        <f t="shared" si="2"/>
        <v>0</v>
      </c>
      <c r="U248" s="760">
        <v>0</v>
      </c>
      <c r="V248" s="730"/>
      <c r="W248" s="741"/>
      <c r="X248" s="588"/>
    </row>
    <row r="249" spans="1:25" s="589" customFormat="1" x14ac:dyDescent="0.25">
      <c r="A249" s="604"/>
      <c r="B249" s="662" t="s">
        <v>158</v>
      </c>
      <c r="C249" s="759"/>
      <c r="D249" s="759"/>
      <c r="E249" s="759"/>
      <c r="F249" s="605"/>
      <c r="G249" s="760"/>
      <c r="H249" s="759"/>
      <c r="I249" s="759"/>
      <c r="J249" s="759"/>
      <c r="K249" s="759"/>
      <c r="L249" s="759"/>
      <c r="M249" s="759"/>
      <c r="N249" s="759"/>
      <c r="O249" s="759"/>
      <c r="P249" s="759"/>
      <c r="Q249" s="759"/>
      <c r="R249" s="662">
        <f t="shared" si="1"/>
        <v>0</v>
      </c>
      <c r="S249" s="760">
        <v>0</v>
      </c>
      <c r="T249" s="663">
        <f t="shared" si="2"/>
        <v>0</v>
      </c>
      <c r="U249" s="760">
        <v>0</v>
      </c>
      <c r="V249" s="730"/>
      <c r="W249" s="741"/>
      <c r="X249" s="588"/>
      <c r="Y249" s="685"/>
    </row>
    <row r="250" spans="1:25" s="589" customFormat="1" x14ac:dyDescent="0.25">
      <c r="A250" s="604"/>
      <c r="B250" s="662" t="s">
        <v>159</v>
      </c>
      <c r="C250" s="759"/>
      <c r="D250" s="759"/>
      <c r="E250" s="759"/>
      <c r="F250" s="605"/>
      <c r="G250" s="760"/>
      <c r="H250" s="759"/>
      <c r="I250" s="759"/>
      <c r="J250" s="759"/>
      <c r="K250" s="759"/>
      <c r="L250" s="759"/>
      <c r="M250" s="759"/>
      <c r="N250" s="759"/>
      <c r="O250" s="759"/>
      <c r="P250" s="759"/>
      <c r="Q250" s="759"/>
      <c r="R250" s="662">
        <f t="shared" si="1"/>
        <v>0</v>
      </c>
      <c r="S250" s="760">
        <v>0</v>
      </c>
      <c r="T250" s="663">
        <f t="shared" si="2"/>
        <v>0</v>
      </c>
      <c r="U250" s="760">
        <v>0</v>
      </c>
      <c r="V250" s="730"/>
      <c r="W250" s="741"/>
      <c r="X250" s="588"/>
    </row>
    <row r="251" spans="1:25" s="589" customFormat="1" x14ac:dyDescent="0.25">
      <c r="A251" s="604"/>
      <c r="B251" s="662" t="s">
        <v>160</v>
      </c>
      <c r="C251" s="759"/>
      <c r="D251" s="759"/>
      <c r="E251" s="759"/>
      <c r="F251" s="605"/>
      <c r="G251" s="760"/>
      <c r="H251" s="759"/>
      <c r="I251" s="759"/>
      <c r="J251" s="759"/>
      <c r="K251" s="759"/>
      <c r="L251" s="759"/>
      <c r="M251" s="759"/>
      <c r="N251" s="759"/>
      <c r="O251" s="759"/>
      <c r="P251" s="759"/>
      <c r="Q251" s="759"/>
      <c r="R251" s="673">
        <f t="shared" si="1"/>
        <v>0</v>
      </c>
      <c r="S251" s="760">
        <v>0</v>
      </c>
      <c r="T251" s="674">
        <f t="shared" si="2"/>
        <v>0</v>
      </c>
      <c r="U251" s="757">
        <v>0</v>
      </c>
      <c r="V251" s="730"/>
      <c r="W251" s="741"/>
      <c r="X251" s="588"/>
      <c r="Y251" s="685"/>
    </row>
    <row r="252" spans="1:25" s="589" customFormat="1" x14ac:dyDescent="0.25">
      <c r="A252" s="604"/>
      <c r="B252" s="662"/>
      <c r="C252" s="759"/>
      <c r="D252" s="759"/>
      <c r="E252" s="759"/>
      <c r="F252" s="605"/>
      <c r="G252" s="760"/>
      <c r="H252" s="759"/>
      <c r="I252" s="759"/>
      <c r="J252" s="759"/>
      <c r="K252" s="759"/>
      <c r="L252" s="759"/>
      <c r="M252" s="759"/>
      <c r="N252" s="759"/>
      <c r="O252" s="759"/>
      <c r="P252" s="759"/>
      <c r="Q252" s="759"/>
      <c r="R252" s="662"/>
      <c r="S252" s="760"/>
      <c r="T252" s="663"/>
      <c r="U252" s="760"/>
      <c r="V252" s="730"/>
      <c r="W252" s="741"/>
      <c r="X252" s="588"/>
    </row>
    <row r="253" spans="1:25" s="589" customFormat="1" x14ac:dyDescent="0.25">
      <c r="A253" s="604"/>
      <c r="B253" s="605" t="s">
        <v>114</v>
      </c>
      <c r="C253" s="605"/>
      <c r="D253" s="605"/>
      <c r="E253" s="605"/>
      <c r="F253" s="605"/>
      <c r="G253" s="605"/>
      <c r="H253" s="761"/>
      <c r="I253" s="761"/>
      <c r="J253" s="761"/>
      <c r="K253" s="761"/>
      <c r="L253" s="761"/>
      <c r="M253" s="761"/>
      <c r="N253" s="761"/>
      <c r="O253" s="761"/>
      <c r="P253" s="761"/>
      <c r="Q253" s="761"/>
      <c r="R253" s="662">
        <f>SUM(R244:R252)</f>
        <v>0</v>
      </c>
      <c r="S253" s="760">
        <f>SUM(S244:S252)</f>
        <v>0</v>
      </c>
      <c r="T253" s="663">
        <f>SUM(T244:T252)</f>
        <v>0</v>
      </c>
      <c r="U253" s="760">
        <f>SUM(U244:U252)</f>
        <v>0</v>
      </c>
      <c r="V253" s="605"/>
      <c r="W253" s="607"/>
      <c r="X253" s="588"/>
    </row>
    <row r="254" spans="1:25" x14ac:dyDescent="0.25">
      <c r="A254" s="574"/>
      <c r="B254" s="664"/>
      <c r="C254" s="664"/>
      <c r="D254" s="664"/>
      <c r="E254" s="664"/>
      <c r="F254" s="664"/>
      <c r="G254" s="664"/>
      <c r="H254" s="762"/>
      <c r="I254" s="762"/>
      <c r="J254" s="762"/>
      <c r="K254" s="762"/>
      <c r="L254" s="762"/>
      <c r="M254" s="762"/>
      <c r="N254" s="762"/>
      <c r="O254" s="762"/>
      <c r="P254" s="762"/>
      <c r="Q254" s="762"/>
      <c r="R254" s="665"/>
      <c r="S254" s="763"/>
      <c r="T254" s="764"/>
      <c r="U254" s="763"/>
      <c r="V254" s="664"/>
      <c r="W254" s="664"/>
      <c r="X254" s="572"/>
    </row>
    <row r="255" spans="1:25" x14ac:dyDescent="0.25">
      <c r="A255" s="597"/>
      <c r="B255" s="669" t="s">
        <v>162</v>
      </c>
      <c r="C255" s="670"/>
      <c r="D255" s="670"/>
      <c r="E255" s="670"/>
      <c r="F255" s="721"/>
      <c r="G255" s="670"/>
      <c r="H255" s="670"/>
      <c r="I255" s="670"/>
      <c r="J255" s="670"/>
      <c r="K255" s="670"/>
      <c r="L255" s="670"/>
      <c r="M255" s="670"/>
      <c r="N255" s="670"/>
      <c r="O255" s="670"/>
      <c r="P255" s="670"/>
      <c r="Q255" s="670"/>
      <c r="R255" s="721" t="s">
        <v>102</v>
      </c>
      <c r="S255" s="670" t="s">
        <v>103</v>
      </c>
      <c r="T255" s="721" t="s">
        <v>109</v>
      </c>
      <c r="U255" s="670" t="s">
        <v>103</v>
      </c>
      <c r="V255" s="598"/>
      <c r="W255" s="755"/>
      <c r="X255" s="572"/>
    </row>
    <row r="256" spans="1:25" s="589" customFormat="1" x14ac:dyDescent="0.25">
      <c r="A256" s="585"/>
      <c r="B256" s="673" t="s">
        <v>88</v>
      </c>
      <c r="C256" s="756"/>
      <c r="D256" s="756"/>
      <c r="E256" s="756"/>
      <c r="F256" s="602"/>
      <c r="G256" s="756"/>
      <c r="H256" s="756"/>
      <c r="I256" s="756"/>
      <c r="J256" s="756"/>
      <c r="K256" s="756"/>
      <c r="L256" s="756"/>
      <c r="M256" s="756"/>
      <c r="N256" s="756"/>
      <c r="O256" s="756"/>
      <c r="P256" s="756"/>
      <c r="Q256" s="756"/>
      <c r="R256" s="673">
        <v>0</v>
      </c>
      <c r="S256" s="757">
        <v>0</v>
      </c>
      <c r="T256" s="674">
        <v>0</v>
      </c>
      <c r="U256" s="757">
        <v>0</v>
      </c>
      <c r="V256" s="725"/>
      <c r="W256" s="758"/>
      <c r="X256" s="588"/>
    </row>
    <row r="257" spans="1:25" s="589" customFormat="1" x14ac:dyDescent="0.25">
      <c r="A257" s="604"/>
      <c r="B257" s="662" t="s">
        <v>89</v>
      </c>
      <c r="C257" s="759"/>
      <c r="D257" s="759"/>
      <c r="E257" s="759"/>
      <c r="F257" s="605"/>
      <c r="G257" s="760"/>
      <c r="H257" s="759"/>
      <c r="I257" s="759"/>
      <c r="J257" s="759"/>
      <c r="K257" s="759"/>
      <c r="L257" s="759"/>
      <c r="M257" s="759"/>
      <c r="N257" s="759"/>
      <c r="O257" s="759"/>
      <c r="P257" s="759"/>
      <c r="Q257" s="759"/>
      <c r="R257" s="662">
        <v>0</v>
      </c>
      <c r="S257" s="760">
        <v>0</v>
      </c>
      <c r="T257" s="663">
        <v>0</v>
      </c>
      <c r="U257" s="760">
        <v>0</v>
      </c>
      <c r="V257" s="730"/>
      <c r="W257" s="741"/>
      <c r="X257" s="588"/>
      <c r="Y257" s="685"/>
    </row>
    <row r="258" spans="1:25" s="589" customFormat="1" x14ac:dyDescent="0.25">
      <c r="A258" s="604"/>
      <c r="B258" s="662" t="s">
        <v>90</v>
      </c>
      <c r="C258" s="759"/>
      <c r="D258" s="759"/>
      <c r="E258" s="759"/>
      <c r="F258" s="605"/>
      <c r="G258" s="760"/>
      <c r="H258" s="759"/>
      <c r="I258" s="759"/>
      <c r="J258" s="759"/>
      <c r="K258" s="759"/>
      <c r="L258" s="759"/>
      <c r="M258" s="759"/>
      <c r="N258" s="759"/>
      <c r="O258" s="759"/>
      <c r="P258" s="759"/>
      <c r="Q258" s="759"/>
      <c r="R258" s="662">
        <v>0</v>
      </c>
      <c r="S258" s="760">
        <v>0</v>
      </c>
      <c r="T258" s="663">
        <v>0</v>
      </c>
      <c r="U258" s="760">
        <v>0</v>
      </c>
      <c r="V258" s="730"/>
      <c r="W258" s="741"/>
      <c r="X258" s="588"/>
    </row>
    <row r="259" spans="1:25" s="589" customFormat="1" x14ac:dyDescent="0.25">
      <c r="A259" s="604"/>
      <c r="B259" s="662" t="s">
        <v>156</v>
      </c>
      <c r="C259" s="759"/>
      <c r="D259" s="759"/>
      <c r="E259" s="759"/>
      <c r="F259" s="605"/>
      <c r="G259" s="760"/>
      <c r="H259" s="759"/>
      <c r="I259" s="759"/>
      <c r="J259" s="759"/>
      <c r="K259" s="759"/>
      <c r="L259" s="759"/>
      <c r="M259" s="759"/>
      <c r="N259" s="759"/>
      <c r="O259" s="759"/>
      <c r="P259" s="759"/>
      <c r="Q259" s="759"/>
      <c r="R259" s="662">
        <v>0</v>
      </c>
      <c r="S259" s="760">
        <v>0</v>
      </c>
      <c r="T259" s="663">
        <v>0</v>
      </c>
      <c r="U259" s="760">
        <v>0</v>
      </c>
      <c r="V259" s="730"/>
      <c r="W259" s="741"/>
      <c r="X259" s="588"/>
      <c r="Y259" s="685"/>
    </row>
    <row r="260" spans="1:25" s="589" customFormat="1" x14ac:dyDescent="0.25">
      <c r="A260" s="604"/>
      <c r="B260" s="662" t="s">
        <v>157</v>
      </c>
      <c r="C260" s="759"/>
      <c r="D260" s="759"/>
      <c r="E260" s="759"/>
      <c r="F260" s="605"/>
      <c r="G260" s="760"/>
      <c r="H260" s="759"/>
      <c r="I260" s="759"/>
      <c r="J260" s="759"/>
      <c r="K260" s="759"/>
      <c r="L260" s="759"/>
      <c r="M260" s="759"/>
      <c r="N260" s="759"/>
      <c r="O260" s="759"/>
      <c r="P260" s="759"/>
      <c r="Q260" s="759"/>
      <c r="R260" s="662">
        <v>0</v>
      </c>
      <c r="S260" s="760">
        <v>0</v>
      </c>
      <c r="T260" s="663">
        <v>0</v>
      </c>
      <c r="U260" s="760">
        <v>0</v>
      </c>
      <c r="V260" s="730"/>
      <c r="W260" s="741"/>
      <c r="X260" s="588"/>
    </row>
    <row r="261" spans="1:25" s="589" customFormat="1" x14ac:dyDescent="0.25">
      <c r="A261" s="604"/>
      <c r="B261" s="662" t="s">
        <v>158</v>
      </c>
      <c r="C261" s="759"/>
      <c r="D261" s="759"/>
      <c r="E261" s="759"/>
      <c r="F261" s="605"/>
      <c r="G261" s="760"/>
      <c r="H261" s="759"/>
      <c r="I261" s="759"/>
      <c r="J261" s="759"/>
      <c r="K261" s="759"/>
      <c r="L261" s="759"/>
      <c r="M261" s="759"/>
      <c r="N261" s="759"/>
      <c r="O261" s="759"/>
      <c r="P261" s="759"/>
      <c r="Q261" s="759"/>
      <c r="R261" s="662">
        <v>0</v>
      </c>
      <c r="S261" s="760">
        <v>0</v>
      </c>
      <c r="T261" s="663">
        <v>0</v>
      </c>
      <c r="U261" s="760">
        <v>0</v>
      </c>
      <c r="V261" s="730"/>
      <c r="W261" s="741"/>
      <c r="X261" s="588"/>
      <c r="Y261" s="685"/>
    </row>
    <row r="262" spans="1:25" s="589" customFormat="1" x14ac:dyDescent="0.25">
      <c r="A262" s="604"/>
      <c r="B262" s="662" t="s">
        <v>159</v>
      </c>
      <c r="C262" s="759"/>
      <c r="D262" s="759"/>
      <c r="E262" s="759"/>
      <c r="F262" s="605"/>
      <c r="G262" s="760"/>
      <c r="H262" s="759"/>
      <c r="I262" s="759"/>
      <c r="J262" s="759"/>
      <c r="K262" s="759"/>
      <c r="L262" s="759"/>
      <c r="M262" s="759"/>
      <c r="N262" s="759"/>
      <c r="O262" s="759"/>
      <c r="P262" s="759"/>
      <c r="Q262" s="759"/>
      <c r="R262" s="662">
        <v>0</v>
      </c>
      <c r="S262" s="760">
        <v>0</v>
      </c>
      <c r="T262" s="663">
        <v>0</v>
      </c>
      <c r="U262" s="760">
        <v>0</v>
      </c>
      <c r="V262" s="730"/>
      <c r="W262" s="741"/>
      <c r="X262" s="588"/>
    </row>
    <row r="263" spans="1:25" s="589" customFormat="1" x14ac:dyDescent="0.25">
      <c r="A263" s="604"/>
      <c r="B263" s="662" t="s">
        <v>160</v>
      </c>
      <c r="C263" s="759"/>
      <c r="D263" s="759"/>
      <c r="E263" s="759"/>
      <c r="F263" s="605"/>
      <c r="G263" s="760"/>
      <c r="H263" s="759"/>
      <c r="I263" s="759"/>
      <c r="J263" s="759"/>
      <c r="K263" s="759"/>
      <c r="L263" s="759"/>
      <c r="M263" s="759"/>
      <c r="N263" s="759"/>
      <c r="O263" s="759"/>
      <c r="P263" s="759"/>
      <c r="Q263" s="759"/>
      <c r="R263" s="662">
        <v>0</v>
      </c>
      <c r="S263" s="760">
        <v>0</v>
      </c>
      <c r="T263" s="663">
        <v>0</v>
      </c>
      <c r="U263" s="760">
        <v>0</v>
      </c>
      <c r="V263" s="730"/>
      <c r="W263" s="741"/>
      <c r="X263" s="588"/>
      <c r="Y263" s="685"/>
    </row>
    <row r="264" spans="1:25" s="589" customFormat="1" x14ac:dyDescent="0.25">
      <c r="A264" s="604"/>
      <c r="B264" s="662"/>
      <c r="C264" s="759"/>
      <c r="D264" s="759"/>
      <c r="E264" s="759"/>
      <c r="F264" s="605"/>
      <c r="G264" s="760"/>
      <c r="H264" s="759"/>
      <c r="I264" s="759"/>
      <c r="J264" s="759"/>
      <c r="K264" s="759"/>
      <c r="L264" s="759"/>
      <c r="M264" s="759"/>
      <c r="N264" s="759"/>
      <c r="O264" s="759"/>
      <c r="P264" s="759"/>
      <c r="Q264" s="759"/>
      <c r="R264" s="662"/>
      <c r="S264" s="760"/>
      <c r="T264" s="663"/>
      <c r="U264" s="760"/>
      <c r="V264" s="730"/>
      <c r="W264" s="741"/>
      <c r="X264" s="588"/>
    </row>
    <row r="265" spans="1:25" s="589" customFormat="1" x14ac:dyDescent="0.25">
      <c r="A265" s="604"/>
      <c r="B265" s="605" t="s">
        <v>114</v>
      </c>
      <c r="C265" s="605"/>
      <c r="D265" s="605"/>
      <c r="E265" s="605"/>
      <c r="F265" s="605"/>
      <c r="G265" s="605"/>
      <c r="H265" s="761"/>
      <c r="I265" s="761"/>
      <c r="J265" s="761"/>
      <c r="K265" s="761"/>
      <c r="L265" s="761"/>
      <c r="M265" s="761"/>
      <c r="N265" s="761"/>
      <c r="O265" s="761"/>
      <c r="P265" s="761"/>
      <c r="Q265" s="761"/>
      <c r="R265" s="662">
        <f>SUM(R256:R264)</f>
        <v>0</v>
      </c>
      <c r="S265" s="760">
        <f>SUM(S256:S264)</f>
        <v>0</v>
      </c>
      <c r="T265" s="663">
        <f>SUM(T256:T264)</f>
        <v>0</v>
      </c>
      <c r="U265" s="760">
        <f>SUM(U256:U264)</f>
        <v>0</v>
      </c>
      <c r="V265" s="605"/>
      <c r="W265" s="607"/>
      <c r="X265" s="588"/>
    </row>
    <row r="266" spans="1:25" x14ac:dyDescent="0.25">
      <c r="A266" s="574"/>
      <c r="B266" s="664"/>
      <c r="C266" s="664"/>
      <c r="D266" s="664"/>
      <c r="E266" s="664"/>
      <c r="F266" s="664"/>
      <c r="G266" s="664"/>
      <c r="H266" s="762"/>
      <c r="I266" s="762"/>
      <c r="J266" s="762"/>
      <c r="K266" s="762"/>
      <c r="L266" s="762"/>
      <c r="M266" s="762"/>
      <c r="N266" s="762"/>
      <c r="O266" s="762"/>
      <c r="P266" s="762"/>
      <c r="Q266" s="762"/>
      <c r="R266" s="665"/>
      <c r="S266" s="763"/>
      <c r="T266" s="764"/>
      <c r="U266" s="763"/>
      <c r="V266" s="664"/>
      <c r="W266" s="664"/>
      <c r="X266" s="572"/>
    </row>
    <row r="267" spans="1:25" x14ac:dyDescent="0.25">
      <c r="A267" s="597"/>
      <c r="B267" s="669" t="s">
        <v>236</v>
      </c>
      <c r="C267" s="670"/>
      <c r="D267" s="670"/>
      <c r="E267" s="670"/>
      <c r="F267" s="721"/>
      <c r="G267" s="670"/>
      <c r="H267" s="670"/>
      <c r="I267" s="670"/>
      <c r="J267" s="670"/>
      <c r="K267" s="670"/>
      <c r="L267" s="670"/>
      <c r="M267" s="670"/>
      <c r="N267" s="670"/>
      <c r="O267" s="670"/>
      <c r="P267" s="670"/>
      <c r="Q267" s="670"/>
      <c r="R267" s="721" t="s">
        <v>102</v>
      </c>
      <c r="S267" s="670" t="s">
        <v>103</v>
      </c>
      <c r="T267" s="721" t="s">
        <v>109</v>
      </c>
      <c r="U267" s="670" t="s">
        <v>103</v>
      </c>
      <c r="V267" s="598"/>
      <c r="W267" s="601"/>
      <c r="X267" s="572"/>
    </row>
    <row r="268" spans="1:25" s="589" customFormat="1" x14ac:dyDescent="0.25">
      <c r="A268" s="585"/>
      <c r="B268" s="673" t="s">
        <v>88</v>
      </c>
      <c r="C268" s="756"/>
      <c r="D268" s="756"/>
      <c r="E268" s="756"/>
      <c r="F268" s="602"/>
      <c r="G268" s="756"/>
      <c r="H268" s="756"/>
      <c r="I268" s="756"/>
      <c r="J268" s="756"/>
      <c r="K268" s="756"/>
      <c r="L268" s="756"/>
      <c r="M268" s="756"/>
      <c r="N268" s="756"/>
      <c r="O268" s="756"/>
      <c r="P268" s="756"/>
      <c r="Q268" s="756"/>
      <c r="R268" s="673">
        <v>0</v>
      </c>
      <c r="S268" s="757">
        <v>0</v>
      </c>
      <c r="T268" s="674">
        <v>0</v>
      </c>
      <c r="U268" s="757">
        <v>0</v>
      </c>
      <c r="V268" s="602"/>
      <c r="W268" s="602"/>
      <c r="X268" s="588"/>
    </row>
    <row r="269" spans="1:25" s="589" customFormat="1" x14ac:dyDescent="0.25">
      <c r="A269" s="604"/>
      <c r="B269" s="662" t="s">
        <v>89</v>
      </c>
      <c r="C269" s="759"/>
      <c r="D269" s="759"/>
      <c r="E269" s="759"/>
      <c r="F269" s="605"/>
      <c r="G269" s="760"/>
      <c r="H269" s="759"/>
      <c r="I269" s="759"/>
      <c r="J269" s="759"/>
      <c r="K269" s="759"/>
      <c r="L269" s="759"/>
      <c r="M269" s="759"/>
      <c r="N269" s="759"/>
      <c r="O269" s="759"/>
      <c r="P269" s="759"/>
      <c r="Q269" s="759"/>
      <c r="R269" s="662">
        <v>0</v>
      </c>
      <c r="S269" s="760">
        <v>0</v>
      </c>
      <c r="T269" s="663">
        <v>0</v>
      </c>
      <c r="U269" s="760">
        <v>0</v>
      </c>
      <c r="V269" s="605"/>
      <c r="W269" s="607"/>
      <c r="X269" s="588"/>
    </row>
    <row r="270" spans="1:25" s="589" customFormat="1" x14ac:dyDescent="0.25">
      <c r="A270" s="604"/>
      <c r="B270" s="662" t="s">
        <v>90</v>
      </c>
      <c r="C270" s="759"/>
      <c r="D270" s="759"/>
      <c r="E270" s="759"/>
      <c r="F270" s="605"/>
      <c r="G270" s="760"/>
      <c r="H270" s="759"/>
      <c r="I270" s="759"/>
      <c r="J270" s="759"/>
      <c r="K270" s="759"/>
      <c r="L270" s="759"/>
      <c r="M270" s="759"/>
      <c r="N270" s="759"/>
      <c r="O270" s="759"/>
      <c r="P270" s="759"/>
      <c r="Q270" s="759"/>
      <c r="R270" s="662">
        <v>0</v>
      </c>
      <c r="S270" s="760">
        <v>0</v>
      </c>
      <c r="T270" s="663">
        <v>0</v>
      </c>
      <c r="U270" s="760">
        <v>0</v>
      </c>
      <c r="V270" s="605"/>
      <c r="W270" s="607"/>
      <c r="X270" s="588"/>
    </row>
    <row r="271" spans="1:25" s="589" customFormat="1" x14ac:dyDescent="0.25">
      <c r="A271" s="604"/>
      <c r="B271" s="662" t="s">
        <v>156</v>
      </c>
      <c r="C271" s="759"/>
      <c r="D271" s="759"/>
      <c r="E271" s="759"/>
      <c r="F271" s="605"/>
      <c r="G271" s="760"/>
      <c r="H271" s="759"/>
      <c r="I271" s="759"/>
      <c r="J271" s="759"/>
      <c r="K271" s="759"/>
      <c r="L271" s="759"/>
      <c r="M271" s="759"/>
      <c r="N271" s="759"/>
      <c r="O271" s="759"/>
      <c r="P271" s="759"/>
      <c r="Q271" s="759"/>
      <c r="R271" s="662">
        <v>0</v>
      </c>
      <c r="S271" s="760">
        <v>0</v>
      </c>
      <c r="T271" s="663">
        <v>0</v>
      </c>
      <c r="U271" s="760">
        <v>0</v>
      </c>
      <c r="V271" s="605"/>
      <c r="W271" s="607"/>
      <c r="X271" s="588"/>
    </row>
    <row r="272" spans="1:25" s="589" customFormat="1" x14ac:dyDescent="0.25">
      <c r="A272" s="604"/>
      <c r="B272" s="662" t="s">
        <v>157</v>
      </c>
      <c r="C272" s="759"/>
      <c r="D272" s="759"/>
      <c r="E272" s="759"/>
      <c r="F272" s="605"/>
      <c r="G272" s="760"/>
      <c r="H272" s="759"/>
      <c r="I272" s="759"/>
      <c r="J272" s="759"/>
      <c r="K272" s="759"/>
      <c r="L272" s="759"/>
      <c r="M272" s="759"/>
      <c r="N272" s="759"/>
      <c r="O272" s="759"/>
      <c r="P272" s="759"/>
      <c r="Q272" s="759"/>
      <c r="R272" s="662">
        <v>0</v>
      </c>
      <c r="S272" s="760">
        <v>0</v>
      </c>
      <c r="T272" s="663">
        <v>0</v>
      </c>
      <c r="U272" s="760">
        <v>0</v>
      </c>
      <c r="V272" s="605"/>
      <c r="W272" s="607"/>
      <c r="X272" s="588"/>
    </row>
    <row r="273" spans="1:24" s="589" customFormat="1" x14ac:dyDescent="0.25">
      <c r="A273" s="604"/>
      <c r="B273" s="662" t="s">
        <v>158</v>
      </c>
      <c r="C273" s="759"/>
      <c r="D273" s="759"/>
      <c r="E273" s="759"/>
      <c r="F273" s="605"/>
      <c r="G273" s="760"/>
      <c r="H273" s="759"/>
      <c r="I273" s="759"/>
      <c r="J273" s="759"/>
      <c r="K273" s="759"/>
      <c r="L273" s="759"/>
      <c r="M273" s="759"/>
      <c r="N273" s="759"/>
      <c r="O273" s="759"/>
      <c r="P273" s="759"/>
      <c r="Q273" s="759"/>
      <c r="R273" s="662">
        <v>0</v>
      </c>
      <c r="S273" s="760">
        <v>0</v>
      </c>
      <c r="T273" s="663">
        <v>0</v>
      </c>
      <c r="U273" s="760">
        <v>0</v>
      </c>
      <c r="V273" s="605"/>
      <c r="W273" s="607"/>
      <c r="X273" s="588"/>
    </row>
    <row r="274" spans="1:24" s="589" customFormat="1" x14ac:dyDescent="0.25">
      <c r="A274" s="604"/>
      <c r="B274" s="662" t="s">
        <v>159</v>
      </c>
      <c r="C274" s="759"/>
      <c r="D274" s="759"/>
      <c r="E274" s="759"/>
      <c r="F274" s="605"/>
      <c r="G274" s="760"/>
      <c r="H274" s="759"/>
      <c r="I274" s="759"/>
      <c r="J274" s="759"/>
      <c r="K274" s="759"/>
      <c r="L274" s="759"/>
      <c r="M274" s="759"/>
      <c r="N274" s="759"/>
      <c r="O274" s="759"/>
      <c r="P274" s="759"/>
      <c r="Q274" s="759"/>
      <c r="R274" s="662">
        <v>0</v>
      </c>
      <c r="S274" s="760">
        <v>0</v>
      </c>
      <c r="T274" s="663">
        <v>0</v>
      </c>
      <c r="U274" s="760">
        <v>0</v>
      </c>
      <c r="V274" s="605"/>
      <c r="W274" s="607"/>
      <c r="X274" s="588"/>
    </row>
    <row r="275" spans="1:24" s="589" customFormat="1" x14ac:dyDescent="0.25">
      <c r="A275" s="604"/>
      <c r="B275" s="662" t="s">
        <v>160</v>
      </c>
      <c r="C275" s="759"/>
      <c r="D275" s="759"/>
      <c r="E275" s="759"/>
      <c r="F275" s="605"/>
      <c r="G275" s="760"/>
      <c r="H275" s="759"/>
      <c r="I275" s="759"/>
      <c r="J275" s="759"/>
      <c r="K275" s="759"/>
      <c r="L275" s="759"/>
      <c r="M275" s="759"/>
      <c r="N275" s="759"/>
      <c r="O275" s="759"/>
      <c r="P275" s="759"/>
      <c r="Q275" s="759"/>
      <c r="R275" s="662">
        <v>0</v>
      </c>
      <c r="S275" s="760">
        <v>0</v>
      </c>
      <c r="T275" s="663">
        <v>0</v>
      </c>
      <c r="U275" s="760">
        <v>0</v>
      </c>
      <c r="V275" s="605"/>
      <c r="W275" s="607"/>
      <c r="X275" s="588"/>
    </row>
    <row r="276" spans="1:24" s="589" customFormat="1" x14ac:dyDescent="0.25">
      <c r="A276" s="604"/>
      <c r="B276" s="662"/>
      <c r="C276" s="759"/>
      <c r="D276" s="759"/>
      <c r="E276" s="759"/>
      <c r="F276" s="605"/>
      <c r="G276" s="760"/>
      <c r="H276" s="759"/>
      <c r="I276" s="759"/>
      <c r="J276" s="759"/>
      <c r="K276" s="759"/>
      <c r="L276" s="759"/>
      <c r="M276" s="759"/>
      <c r="N276" s="759"/>
      <c r="O276" s="759"/>
      <c r="P276" s="759"/>
      <c r="Q276" s="759"/>
      <c r="R276" s="662"/>
      <c r="S276" s="760"/>
      <c r="T276" s="663"/>
      <c r="U276" s="760"/>
      <c r="V276" s="605"/>
      <c r="W276" s="607"/>
      <c r="X276" s="588"/>
    </row>
    <row r="277" spans="1:24" s="589" customFormat="1" x14ac:dyDescent="0.25">
      <c r="A277" s="604"/>
      <c r="B277" s="605" t="s">
        <v>114</v>
      </c>
      <c r="C277" s="605"/>
      <c r="D277" s="605"/>
      <c r="E277" s="605"/>
      <c r="F277" s="605"/>
      <c r="G277" s="605"/>
      <c r="H277" s="761"/>
      <c r="I277" s="761"/>
      <c r="J277" s="761"/>
      <c r="K277" s="761"/>
      <c r="L277" s="761"/>
      <c r="M277" s="761"/>
      <c r="N277" s="761"/>
      <c r="O277" s="761"/>
      <c r="P277" s="761"/>
      <c r="Q277" s="761"/>
      <c r="R277" s="662">
        <f>SUM(R268:R276)</f>
        <v>0</v>
      </c>
      <c r="S277" s="760">
        <f>SUM(S268:S276)</f>
        <v>0</v>
      </c>
      <c r="T277" s="663">
        <f>SUM(T268:T276)</f>
        <v>0</v>
      </c>
      <c r="U277" s="760">
        <f>SUM(U268:U276)</f>
        <v>0</v>
      </c>
      <c r="V277" s="605"/>
      <c r="W277" s="607"/>
      <c r="X277" s="588"/>
    </row>
    <row r="278" spans="1:24" x14ac:dyDescent="0.25">
      <c r="A278" s="574"/>
      <c r="B278" s="664"/>
      <c r="C278" s="664"/>
      <c r="D278" s="664"/>
      <c r="E278" s="664"/>
      <c r="F278" s="664"/>
      <c r="G278" s="664"/>
      <c r="H278" s="762"/>
      <c r="I278" s="762"/>
      <c r="J278" s="762"/>
      <c r="K278" s="762"/>
      <c r="L278" s="762"/>
      <c r="M278" s="762"/>
      <c r="N278" s="762"/>
      <c r="O278" s="762"/>
      <c r="P278" s="762"/>
      <c r="Q278" s="762"/>
      <c r="R278" s="665"/>
      <c r="S278" s="763"/>
      <c r="T278" s="764"/>
      <c r="U278" s="763"/>
      <c r="V278" s="664"/>
      <c r="W278" s="664"/>
      <c r="X278" s="572"/>
    </row>
    <row r="279" spans="1:24" x14ac:dyDescent="0.25">
      <c r="A279" s="781"/>
      <c r="B279" s="775" t="s">
        <v>372</v>
      </c>
      <c r="C279" s="782"/>
      <c r="D279" s="782"/>
      <c r="E279" s="782"/>
      <c r="F279" s="783"/>
      <c r="G279" s="782"/>
      <c r="H279" s="782"/>
      <c r="I279" s="782"/>
      <c r="J279" s="782"/>
      <c r="K279" s="782"/>
      <c r="L279" s="782"/>
      <c r="M279" s="782"/>
      <c r="N279" s="782"/>
      <c r="O279" s="782"/>
      <c r="P279" s="782"/>
      <c r="Q279" s="782"/>
      <c r="R279" s="783" t="s">
        <v>102</v>
      </c>
      <c r="S279" s="782" t="s">
        <v>103</v>
      </c>
      <c r="T279" s="783" t="s">
        <v>109</v>
      </c>
      <c r="U279" s="782" t="s">
        <v>103</v>
      </c>
      <c r="V279" s="782"/>
      <c r="W279" s="782"/>
      <c r="X279" s="572"/>
    </row>
    <row r="280" spans="1:24" x14ac:dyDescent="0.25">
      <c r="A280" s="784"/>
      <c r="B280" s="785" t="s">
        <v>373</v>
      </c>
      <c r="C280" s="786"/>
      <c r="D280" s="786"/>
      <c r="E280" s="786"/>
      <c r="F280" s="776"/>
      <c r="G280" s="786"/>
      <c r="H280" s="786"/>
      <c r="I280" s="786"/>
      <c r="J280" s="786"/>
      <c r="K280" s="786"/>
      <c r="L280" s="786"/>
      <c r="M280" s="786"/>
      <c r="N280" s="786"/>
      <c r="O280" s="786"/>
      <c r="P280" s="786"/>
      <c r="Q280" s="786"/>
      <c r="R280" s="785">
        <v>0</v>
      </c>
      <c r="S280" s="793">
        <v>0</v>
      </c>
      <c r="T280" s="794">
        <v>0</v>
      </c>
      <c r="U280" s="793">
        <v>0</v>
      </c>
      <c r="V280" s="786"/>
      <c r="W280" s="786"/>
      <c r="X280" s="572"/>
    </row>
    <row r="281" spans="1:24" x14ac:dyDescent="0.25">
      <c r="A281" s="787"/>
      <c r="B281" s="788" t="s">
        <v>374</v>
      </c>
      <c r="C281" s="789"/>
      <c r="D281" s="789"/>
      <c r="E281" s="789"/>
      <c r="F281" s="790"/>
      <c r="G281" s="791"/>
      <c r="H281" s="789"/>
      <c r="I281" s="789"/>
      <c r="J281" s="789"/>
      <c r="K281" s="789"/>
      <c r="L281" s="789"/>
      <c r="M281" s="789"/>
      <c r="N281" s="789"/>
      <c r="O281" s="789"/>
      <c r="P281" s="789"/>
      <c r="Q281" s="789"/>
      <c r="R281" s="788">
        <v>0</v>
      </c>
      <c r="S281" s="791">
        <v>0</v>
      </c>
      <c r="T281" s="795">
        <v>0</v>
      </c>
      <c r="U281" s="791">
        <v>0</v>
      </c>
      <c r="V281" s="789"/>
      <c r="W281" s="789"/>
      <c r="X281" s="572"/>
    </row>
    <row r="282" spans="1:24" x14ac:dyDescent="0.25">
      <c r="A282" s="787"/>
      <c r="B282" s="788" t="s">
        <v>375</v>
      </c>
      <c r="C282" s="789"/>
      <c r="D282" s="789"/>
      <c r="E282" s="789"/>
      <c r="F282" s="790"/>
      <c r="G282" s="791"/>
      <c r="H282" s="789"/>
      <c r="I282" s="789"/>
      <c r="J282" s="789"/>
      <c r="K282" s="789"/>
      <c r="L282" s="789"/>
      <c r="M282" s="789"/>
      <c r="N282" s="789"/>
      <c r="O282" s="789"/>
      <c r="P282" s="789"/>
      <c r="Q282" s="789"/>
      <c r="R282" s="788">
        <v>0</v>
      </c>
      <c r="S282" s="791">
        <v>0</v>
      </c>
      <c r="T282" s="795">
        <v>0</v>
      </c>
      <c r="U282" s="791">
        <v>0</v>
      </c>
      <c r="V282" s="789"/>
      <c r="W282" s="789"/>
      <c r="X282" s="572"/>
    </row>
    <row r="283" spans="1:24" x14ac:dyDescent="0.25">
      <c r="A283" s="787"/>
      <c r="B283" s="788" t="s">
        <v>376</v>
      </c>
      <c r="C283" s="789"/>
      <c r="D283" s="789"/>
      <c r="E283" s="789"/>
      <c r="F283" s="790"/>
      <c r="G283" s="791"/>
      <c r="H283" s="789"/>
      <c r="I283" s="789"/>
      <c r="J283" s="789"/>
      <c r="K283" s="789"/>
      <c r="L283" s="789"/>
      <c r="M283" s="789"/>
      <c r="N283" s="789"/>
      <c r="O283" s="789"/>
      <c r="P283" s="789"/>
      <c r="Q283" s="789"/>
      <c r="R283" s="788">
        <v>0</v>
      </c>
      <c r="S283" s="791">
        <v>0</v>
      </c>
      <c r="T283" s="795">
        <v>0</v>
      </c>
      <c r="U283" s="791">
        <v>0</v>
      </c>
      <c r="V283" s="789"/>
      <c r="W283" s="789"/>
      <c r="X283" s="572"/>
    </row>
    <row r="284" spans="1:24" x14ac:dyDescent="0.25">
      <c r="A284" s="787"/>
      <c r="B284" s="790" t="s">
        <v>380</v>
      </c>
      <c r="C284" s="789"/>
      <c r="D284" s="789"/>
      <c r="E284" s="789"/>
      <c r="F284" s="790"/>
      <c r="G284" s="791"/>
      <c r="H284" s="789"/>
      <c r="I284" s="789"/>
      <c r="J284" s="789"/>
      <c r="K284" s="789"/>
      <c r="L284" s="789"/>
      <c r="M284" s="789"/>
      <c r="N284" s="789"/>
      <c r="O284" s="789"/>
      <c r="P284" s="789"/>
      <c r="Q284" s="789"/>
      <c r="R284" s="788">
        <v>0</v>
      </c>
      <c r="S284" s="791">
        <v>0</v>
      </c>
      <c r="T284" s="795">
        <v>0</v>
      </c>
      <c r="U284" s="791">
        <v>0</v>
      </c>
      <c r="V284" s="789"/>
      <c r="W284" s="789"/>
      <c r="X284" s="572"/>
    </row>
    <row r="285" spans="1:24" x14ac:dyDescent="0.25">
      <c r="A285" s="787"/>
      <c r="B285" s="788" t="s">
        <v>377</v>
      </c>
      <c r="C285" s="789"/>
      <c r="D285" s="789"/>
      <c r="E285" s="789"/>
      <c r="F285" s="790"/>
      <c r="G285" s="791"/>
      <c r="H285" s="789"/>
      <c r="I285" s="789"/>
      <c r="J285" s="789"/>
      <c r="K285" s="789"/>
      <c r="L285" s="789"/>
      <c r="M285" s="789"/>
      <c r="N285" s="789"/>
      <c r="O285" s="789"/>
      <c r="P285" s="789"/>
      <c r="Q285" s="789"/>
      <c r="R285" s="788">
        <v>0</v>
      </c>
      <c r="S285" s="791">
        <v>0</v>
      </c>
      <c r="T285" s="795">
        <v>0</v>
      </c>
      <c r="U285" s="791">
        <v>0</v>
      </c>
      <c r="V285" s="789"/>
      <c r="W285" s="789"/>
      <c r="X285" s="572"/>
    </row>
    <row r="286" spans="1:24" x14ac:dyDescent="0.25">
      <c r="A286" s="787"/>
      <c r="B286" s="788"/>
      <c r="C286" s="789"/>
      <c r="D286" s="789"/>
      <c r="E286" s="789"/>
      <c r="F286" s="790"/>
      <c r="G286" s="791"/>
      <c r="H286" s="789"/>
      <c r="I286" s="789"/>
      <c r="J286" s="789"/>
      <c r="K286" s="789"/>
      <c r="L286" s="789"/>
      <c r="M286" s="789"/>
      <c r="N286" s="789"/>
      <c r="O286" s="789"/>
      <c r="P286" s="789"/>
      <c r="Q286" s="789"/>
      <c r="R286" s="788"/>
      <c r="S286" s="791"/>
      <c r="T286" s="795"/>
      <c r="U286" s="791"/>
      <c r="V286" s="789"/>
      <c r="W286" s="789"/>
      <c r="X286" s="572"/>
    </row>
    <row r="287" spans="1:24" x14ac:dyDescent="0.25">
      <c r="A287" s="787"/>
      <c r="B287" s="790" t="s">
        <v>114</v>
      </c>
      <c r="C287" s="790"/>
      <c r="D287" s="790"/>
      <c r="E287" s="790"/>
      <c r="F287" s="790"/>
      <c r="G287" s="790"/>
      <c r="H287" s="792"/>
      <c r="I287" s="792"/>
      <c r="J287" s="792"/>
      <c r="K287" s="792"/>
      <c r="L287" s="792"/>
      <c r="M287" s="792"/>
      <c r="N287" s="792"/>
      <c r="O287" s="792"/>
      <c r="P287" s="792"/>
      <c r="Q287" s="792"/>
      <c r="R287" s="788">
        <f>SUM(R280:R286)</f>
        <v>0</v>
      </c>
      <c r="S287" s="791">
        <f>SUM(S280:S286)</f>
        <v>0</v>
      </c>
      <c r="T287" s="795">
        <f>SUM(T280:T286)</f>
        <v>0</v>
      </c>
      <c r="U287" s="791">
        <f>SUM(U280:U286)</f>
        <v>0</v>
      </c>
      <c r="V287" s="792"/>
      <c r="W287" s="792"/>
      <c r="X287" s="572"/>
    </row>
    <row r="288" spans="1:24" x14ac:dyDescent="0.25">
      <c r="A288" s="574"/>
      <c r="B288" s="664"/>
      <c r="C288" s="664"/>
      <c r="D288" s="664"/>
      <c r="E288" s="664"/>
      <c r="F288" s="664"/>
      <c r="G288" s="664"/>
      <c r="H288" s="762"/>
      <c r="I288" s="762"/>
      <c r="J288" s="762"/>
      <c r="K288" s="762"/>
      <c r="L288" s="762"/>
      <c r="M288" s="762"/>
      <c r="N288" s="762"/>
      <c r="O288" s="762"/>
      <c r="P288" s="762"/>
      <c r="Q288" s="762"/>
      <c r="R288" s="665"/>
      <c r="S288" s="763"/>
      <c r="T288" s="764"/>
      <c r="U288" s="763"/>
      <c r="V288" s="664"/>
      <c r="W288" s="664"/>
      <c r="X288" s="572"/>
    </row>
    <row r="289" spans="1:24" x14ac:dyDescent="0.25">
      <c r="A289" s="597"/>
      <c r="B289" s="669" t="s">
        <v>163</v>
      </c>
      <c r="C289" s="598"/>
      <c r="D289" s="598"/>
      <c r="E289" s="598"/>
      <c r="F289" s="598"/>
      <c r="G289" s="598"/>
      <c r="H289" s="765"/>
      <c r="I289" s="765"/>
      <c r="J289" s="765"/>
      <c r="K289" s="765"/>
      <c r="L289" s="765"/>
      <c r="M289" s="765"/>
      <c r="N289" s="765"/>
      <c r="O289" s="765"/>
      <c r="P289" s="765"/>
      <c r="Q289" s="765"/>
      <c r="R289" s="721" t="s">
        <v>102</v>
      </c>
      <c r="S289" s="670" t="s">
        <v>103</v>
      </c>
      <c r="T289" s="721" t="s">
        <v>109</v>
      </c>
      <c r="U289" s="670" t="s">
        <v>103</v>
      </c>
      <c r="V289" s="598"/>
      <c r="W289" s="601"/>
      <c r="X289" s="572"/>
    </row>
    <row r="290" spans="1:24" s="589" customFormat="1" x14ac:dyDescent="0.25">
      <c r="A290" s="585"/>
      <c r="B290" s="673" t="s">
        <v>88</v>
      </c>
      <c r="C290" s="602"/>
      <c r="D290" s="602"/>
      <c r="E290" s="602"/>
      <c r="F290" s="602"/>
      <c r="G290" s="602"/>
      <c r="H290" s="766"/>
      <c r="I290" s="766"/>
      <c r="J290" s="766"/>
      <c r="K290" s="766"/>
      <c r="L290" s="766"/>
      <c r="M290" s="766"/>
      <c r="N290" s="766"/>
      <c r="O290" s="766"/>
      <c r="P290" s="766"/>
      <c r="Q290" s="766"/>
      <c r="R290" s="673">
        <v>0</v>
      </c>
      <c r="S290" s="757">
        <v>0</v>
      </c>
      <c r="T290" s="674">
        <v>0</v>
      </c>
      <c r="U290" s="757">
        <v>0</v>
      </c>
      <c r="V290" s="602"/>
      <c r="W290" s="602"/>
      <c r="X290" s="588"/>
    </row>
    <row r="291" spans="1:24" s="589" customFormat="1" x14ac:dyDescent="0.25">
      <c r="A291" s="604"/>
      <c r="B291" s="662" t="s">
        <v>89</v>
      </c>
      <c r="C291" s="605"/>
      <c r="D291" s="605"/>
      <c r="E291" s="605"/>
      <c r="F291" s="605"/>
      <c r="G291" s="605"/>
      <c r="H291" s="761"/>
      <c r="I291" s="761"/>
      <c r="J291" s="761"/>
      <c r="K291" s="761"/>
      <c r="L291" s="761"/>
      <c r="M291" s="761"/>
      <c r="N291" s="761"/>
      <c r="O291" s="761"/>
      <c r="P291" s="761"/>
      <c r="Q291" s="761"/>
      <c r="R291" s="662">
        <v>0</v>
      </c>
      <c r="S291" s="760">
        <v>0</v>
      </c>
      <c r="T291" s="663">
        <v>0</v>
      </c>
      <c r="U291" s="760">
        <v>0</v>
      </c>
      <c r="V291" s="605"/>
      <c r="W291" s="607"/>
      <c r="X291" s="588"/>
    </row>
    <row r="292" spans="1:24" s="589" customFormat="1" x14ac:dyDescent="0.25">
      <c r="A292" s="604"/>
      <c r="B292" s="662" t="s">
        <v>90</v>
      </c>
      <c r="C292" s="605"/>
      <c r="D292" s="605"/>
      <c r="E292" s="605"/>
      <c r="F292" s="605"/>
      <c r="G292" s="605"/>
      <c r="H292" s="761"/>
      <c r="I292" s="761"/>
      <c r="J292" s="761"/>
      <c r="K292" s="761"/>
      <c r="L292" s="761"/>
      <c r="M292" s="761"/>
      <c r="N292" s="761"/>
      <c r="O292" s="761"/>
      <c r="P292" s="761"/>
      <c r="Q292" s="761"/>
      <c r="R292" s="662">
        <v>0</v>
      </c>
      <c r="S292" s="760">
        <v>0</v>
      </c>
      <c r="T292" s="663">
        <v>0</v>
      </c>
      <c r="U292" s="760">
        <v>0</v>
      </c>
      <c r="V292" s="605"/>
      <c r="W292" s="607"/>
      <c r="X292" s="588"/>
    </row>
    <row r="293" spans="1:24" s="589" customFormat="1" x14ac:dyDescent="0.25">
      <c r="A293" s="604"/>
      <c r="B293" s="662" t="s">
        <v>156</v>
      </c>
      <c r="C293" s="605"/>
      <c r="D293" s="605"/>
      <c r="E293" s="605"/>
      <c r="F293" s="605"/>
      <c r="G293" s="605"/>
      <c r="H293" s="761"/>
      <c r="I293" s="761"/>
      <c r="J293" s="761"/>
      <c r="K293" s="761"/>
      <c r="L293" s="761"/>
      <c r="M293" s="761"/>
      <c r="N293" s="761"/>
      <c r="O293" s="761"/>
      <c r="P293" s="761"/>
      <c r="Q293" s="761"/>
      <c r="R293" s="662">
        <v>0</v>
      </c>
      <c r="S293" s="760">
        <v>0</v>
      </c>
      <c r="T293" s="663">
        <v>0</v>
      </c>
      <c r="U293" s="760">
        <v>0</v>
      </c>
      <c r="V293" s="605"/>
      <c r="W293" s="607"/>
      <c r="X293" s="588"/>
    </row>
    <row r="294" spans="1:24" s="589" customFormat="1" x14ac:dyDescent="0.25">
      <c r="A294" s="604"/>
      <c r="B294" s="662" t="s">
        <v>157</v>
      </c>
      <c r="C294" s="605"/>
      <c r="D294" s="605"/>
      <c r="E294" s="605"/>
      <c r="F294" s="605"/>
      <c r="G294" s="605"/>
      <c r="H294" s="761"/>
      <c r="I294" s="761"/>
      <c r="J294" s="761"/>
      <c r="K294" s="761"/>
      <c r="L294" s="761"/>
      <c r="M294" s="761"/>
      <c r="N294" s="761"/>
      <c r="O294" s="761"/>
      <c r="P294" s="761"/>
      <c r="Q294" s="761"/>
      <c r="R294" s="662">
        <v>0</v>
      </c>
      <c r="S294" s="760">
        <v>0</v>
      </c>
      <c r="T294" s="663">
        <v>0</v>
      </c>
      <c r="U294" s="760">
        <v>0</v>
      </c>
      <c r="V294" s="605"/>
      <c r="W294" s="607"/>
      <c r="X294" s="588"/>
    </row>
    <row r="295" spans="1:24" s="589" customFormat="1" x14ac:dyDescent="0.25">
      <c r="A295" s="604"/>
      <c r="B295" s="662" t="s">
        <v>158</v>
      </c>
      <c r="C295" s="605"/>
      <c r="D295" s="605"/>
      <c r="E295" s="605"/>
      <c r="F295" s="605"/>
      <c r="G295" s="605"/>
      <c r="H295" s="761"/>
      <c r="I295" s="761"/>
      <c r="J295" s="761"/>
      <c r="K295" s="761"/>
      <c r="L295" s="761"/>
      <c r="M295" s="761"/>
      <c r="N295" s="761"/>
      <c r="O295" s="761"/>
      <c r="P295" s="761"/>
      <c r="Q295" s="761"/>
      <c r="R295" s="662">
        <v>0</v>
      </c>
      <c r="S295" s="760">
        <v>0</v>
      </c>
      <c r="T295" s="663">
        <v>0</v>
      </c>
      <c r="U295" s="760">
        <v>0</v>
      </c>
      <c r="V295" s="605"/>
      <c r="W295" s="607"/>
      <c r="X295" s="588"/>
    </row>
    <row r="296" spans="1:24" s="589" customFormat="1" x14ac:dyDescent="0.25">
      <c r="A296" s="604"/>
      <c r="B296" s="662" t="s">
        <v>159</v>
      </c>
      <c r="C296" s="605"/>
      <c r="D296" s="605"/>
      <c r="E296" s="605"/>
      <c r="F296" s="605"/>
      <c r="G296" s="605"/>
      <c r="H296" s="761"/>
      <c r="I296" s="761"/>
      <c r="J296" s="761"/>
      <c r="K296" s="761"/>
      <c r="L296" s="761"/>
      <c r="M296" s="761"/>
      <c r="N296" s="761"/>
      <c r="O296" s="761"/>
      <c r="P296" s="761"/>
      <c r="Q296" s="761"/>
      <c r="R296" s="662">
        <v>0</v>
      </c>
      <c r="S296" s="760">
        <v>0</v>
      </c>
      <c r="T296" s="663">
        <v>0</v>
      </c>
      <c r="U296" s="760">
        <v>0</v>
      </c>
      <c r="V296" s="605"/>
      <c r="W296" s="607"/>
      <c r="X296" s="588"/>
    </row>
    <row r="297" spans="1:24" s="589" customFormat="1" x14ac:dyDescent="0.25">
      <c r="A297" s="604"/>
      <c r="B297" s="662" t="s">
        <v>160</v>
      </c>
      <c r="C297" s="605"/>
      <c r="D297" s="605"/>
      <c r="E297" s="605"/>
      <c r="F297" s="605"/>
      <c r="G297" s="605"/>
      <c r="H297" s="761"/>
      <c r="I297" s="761"/>
      <c r="J297" s="761"/>
      <c r="K297" s="761"/>
      <c r="L297" s="761"/>
      <c r="M297" s="761"/>
      <c r="N297" s="761"/>
      <c r="O297" s="761"/>
      <c r="P297" s="761"/>
      <c r="Q297" s="761"/>
      <c r="R297" s="662">
        <v>0</v>
      </c>
      <c r="S297" s="760">
        <v>0</v>
      </c>
      <c r="T297" s="663">
        <v>0</v>
      </c>
      <c r="U297" s="760">
        <v>0</v>
      </c>
      <c r="V297" s="605"/>
      <c r="W297" s="607"/>
      <c r="X297" s="588"/>
    </row>
    <row r="298" spans="1:24" s="589" customFormat="1" x14ac:dyDescent="0.25">
      <c r="A298" s="604"/>
      <c r="B298" s="662"/>
      <c r="C298" s="605"/>
      <c r="D298" s="605"/>
      <c r="E298" s="605"/>
      <c r="F298" s="605"/>
      <c r="G298" s="605"/>
      <c r="H298" s="761"/>
      <c r="I298" s="761"/>
      <c r="J298" s="761"/>
      <c r="K298" s="761"/>
      <c r="L298" s="761"/>
      <c r="M298" s="761"/>
      <c r="N298" s="761"/>
      <c r="O298" s="761"/>
      <c r="P298" s="761"/>
      <c r="Q298" s="761"/>
      <c r="R298" s="662"/>
      <c r="S298" s="760"/>
      <c r="T298" s="663"/>
      <c r="U298" s="760"/>
      <c r="V298" s="605"/>
      <c r="W298" s="607"/>
      <c r="X298" s="588"/>
    </row>
    <row r="299" spans="1:24" s="589" customFormat="1" x14ac:dyDescent="0.25">
      <c r="A299" s="604"/>
      <c r="B299" s="605" t="s">
        <v>114</v>
      </c>
      <c r="C299" s="605"/>
      <c r="D299" s="605"/>
      <c r="E299" s="605"/>
      <c r="F299" s="605"/>
      <c r="G299" s="605"/>
      <c r="H299" s="761"/>
      <c r="I299" s="761"/>
      <c r="J299" s="761"/>
      <c r="K299" s="761"/>
      <c r="L299" s="761"/>
      <c r="M299" s="761"/>
      <c r="N299" s="761"/>
      <c r="O299" s="761"/>
      <c r="P299" s="761"/>
      <c r="Q299" s="761"/>
      <c r="R299" s="662">
        <f>SUM(R290:R297)</f>
        <v>0</v>
      </c>
      <c r="S299" s="760">
        <f>SUM(S290:S297)</f>
        <v>0</v>
      </c>
      <c r="T299" s="663">
        <f>SUM(T290:T297)</f>
        <v>0</v>
      </c>
      <c r="U299" s="760">
        <f>SUM(U290:U297)</f>
        <v>0</v>
      </c>
      <c r="V299" s="605"/>
      <c r="W299" s="607"/>
      <c r="X299" s="588"/>
    </row>
    <row r="300" spans="1:24" s="589" customFormat="1" x14ac:dyDescent="0.25">
      <c r="A300" s="604"/>
      <c r="B300" s="605"/>
      <c r="C300" s="605"/>
      <c r="D300" s="605"/>
      <c r="E300" s="605"/>
      <c r="F300" s="605"/>
      <c r="G300" s="605"/>
      <c r="H300" s="761"/>
      <c r="I300" s="761"/>
      <c r="J300" s="761"/>
      <c r="K300" s="761"/>
      <c r="L300" s="761"/>
      <c r="M300" s="761"/>
      <c r="N300" s="761"/>
      <c r="O300" s="761"/>
      <c r="P300" s="761"/>
      <c r="Q300" s="761"/>
      <c r="R300" s="662"/>
      <c r="S300" s="760"/>
      <c r="T300" s="663"/>
      <c r="U300" s="760"/>
      <c r="V300" s="605"/>
      <c r="W300" s="607"/>
      <c r="X300" s="588"/>
    </row>
    <row r="301" spans="1:24" s="589" customFormat="1" x14ac:dyDescent="0.25">
      <c r="A301" s="604"/>
      <c r="B301" s="610" t="s">
        <v>164</v>
      </c>
      <c r="C301" s="605"/>
      <c r="D301" s="605"/>
      <c r="E301" s="605"/>
      <c r="F301" s="605"/>
      <c r="G301" s="605"/>
      <c r="H301" s="761"/>
      <c r="I301" s="761"/>
      <c r="J301" s="761"/>
      <c r="K301" s="761"/>
      <c r="L301" s="761"/>
      <c r="M301" s="761"/>
      <c r="N301" s="761"/>
      <c r="O301" s="761"/>
      <c r="P301" s="761"/>
      <c r="Q301" s="761"/>
      <c r="R301" s="767">
        <f>R299+R277+R265</f>
        <v>0</v>
      </c>
      <c r="S301" s="760"/>
      <c r="T301" s="768">
        <f>+T299+T277+T265</f>
        <v>0</v>
      </c>
      <c r="U301" s="760"/>
      <c r="V301" s="605"/>
      <c r="W301" s="607"/>
      <c r="X301" s="588"/>
    </row>
    <row r="302" spans="1:24" s="589" customFormat="1" x14ac:dyDescent="0.25">
      <c r="A302" s="585"/>
      <c r="B302" s="758"/>
      <c r="C302" s="602"/>
      <c r="D302" s="602"/>
      <c r="E302" s="602"/>
      <c r="F302" s="602"/>
      <c r="G302" s="602"/>
      <c r="H302" s="766"/>
      <c r="I302" s="766"/>
      <c r="J302" s="766"/>
      <c r="K302" s="766"/>
      <c r="L302" s="766"/>
      <c r="M302" s="766"/>
      <c r="N302" s="766"/>
      <c r="O302" s="766"/>
      <c r="P302" s="766"/>
      <c r="Q302" s="766"/>
      <c r="R302" s="726"/>
      <c r="S302" s="757"/>
      <c r="T302" s="774"/>
      <c r="U302" s="757"/>
      <c r="V302" s="602"/>
      <c r="W302" s="602"/>
      <c r="X302" s="588"/>
    </row>
    <row r="303" spans="1:24" s="589" customFormat="1" x14ac:dyDescent="0.25">
      <c r="A303" s="597" t="s">
        <v>358</v>
      </c>
      <c r="B303" s="775" t="s">
        <v>359</v>
      </c>
      <c r="C303" s="598"/>
      <c r="D303" s="598"/>
      <c r="E303" s="598"/>
      <c r="F303" s="598"/>
      <c r="G303" s="598"/>
      <c r="H303" s="765"/>
      <c r="I303" s="765"/>
      <c r="J303" s="765"/>
      <c r="K303" s="765"/>
      <c r="L303" s="765"/>
      <c r="M303" s="765"/>
      <c r="N303" s="765"/>
      <c r="O303" s="765"/>
      <c r="P303" s="765"/>
      <c r="Q303" s="765"/>
      <c r="R303" s="721" t="s">
        <v>102</v>
      </c>
      <c r="S303" s="670" t="s">
        <v>103</v>
      </c>
      <c r="T303" s="721" t="s">
        <v>109</v>
      </c>
      <c r="U303" s="670" t="s">
        <v>103</v>
      </c>
      <c r="V303" s="775" t="s">
        <v>388</v>
      </c>
      <c r="W303" s="601"/>
      <c r="X303" s="588"/>
    </row>
    <row r="304" spans="1:24" s="589" customFormat="1" x14ac:dyDescent="0.25">
      <c r="A304" s="585"/>
      <c r="B304" s="673" t="s">
        <v>88</v>
      </c>
      <c r="C304" s="602"/>
      <c r="D304" s="602"/>
      <c r="E304" s="602"/>
      <c r="F304" s="602"/>
      <c r="G304" s="602"/>
      <c r="H304" s="766"/>
      <c r="I304" s="766"/>
      <c r="J304" s="766"/>
      <c r="K304" s="766"/>
      <c r="L304" s="766"/>
      <c r="M304" s="766"/>
      <c r="N304" s="766"/>
      <c r="O304" s="766"/>
      <c r="P304" s="766"/>
      <c r="Q304" s="766"/>
      <c r="R304" s="673">
        <v>0</v>
      </c>
      <c r="S304" s="757">
        <v>0</v>
      </c>
      <c r="T304" s="674">
        <v>0</v>
      </c>
      <c r="U304" s="757">
        <v>0</v>
      </c>
      <c r="V304" s="602"/>
      <c r="W304" s="602"/>
      <c r="X304" s="588"/>
    </row>
    <row r="305" spans="1:24" s="589" customFormat="1" x14ac:dyDescent="0.25">
      <c r="A305" s="604"/>
      <c r="B305" s="662" t="s">
        <v>89</v>
      </c>
      <c r="C305" s="605"/>
      <c r="D305" s="605"/>
      <c r="E305" s="605"/>
      <c r="F305" s="605"/>
      <c r="G305" s="605"/>
      <c r="H305" s="761"/>
      <c r="I305" s="761"/>
      <c r="J305" s="761"/>
      <c r="K305" s="761"/>
      <c r="L305" s="761"/>
      <c r="M305" s="761"/>
      <c r="N305" s="761"/>
      <c r="O305" s="761"/>
      <c r="P305" s="761"/>
      <c r="Q305" s="761"/>
      <c r="R305" s="662">
        <v>0</v>
      </c>
      <c r="S305" s="760">
        <v>0</v>
      </c>
      <c r="T305" s="663">
        <v>0</v>
      </c>
      <c r="U305" s="760">
        <v>0</v>
      </c>
      <c r="V305" s="605"/>
      <c r="W305" s="607"/>
      <c r="X305" s="588"/>
    </row>
    <row r="306" spans="1:24" s="589" customFormat="1" x14ac:dyDescent="0.25">
      <c r="A306" s="604"/>
      <c r="B306" s="662" t="s">
        <v>90</v>
      </c>
      <c r="C306" s="605"/>
      <c r="D306" s="605"/>
      <c r="E306" s="605"/>
      <c r="F306" s="605"/>
      <c r="G306" s="605"/>
      <c r="H306" s="761"/>
      <c r="I306" s="761"/>
      <c r="J306" s="761"/>
      <c r="K306" s="761"/>
      <c r="L306" s="761"/>
      <c r="M306" s="761"/>
      <c r="N306" s="761"/>
      <c r="O306" s="761"/>
      <c r="P306" s="761"/>
      <c r="Q306" s="761"/>
      <c r="R306" s="662">
        <v>0</v>
      </c>
      <c r="S306" s="760">
        <v>0</v>
      </c>
      <c r="T306" s="663">
        <v>0</v>
      </c>
      <c r="U306" s="760">
        <v>0</v>
      </c>
      <c r="V306" s="605"/>
      <c r="W306" s="607"/>
      <c r="X306" s="588"/>
    </row>
    <row r="307" spans="1:24" s="589" customFormat="1" x14ac:dyDescent="0.25">
      <c r="A307" s="604"/>
      <c r="B307" s="662" t="s">
        <v>156</v>
      </c>
      <c r="C307" s="605"/>
      <c r="D307" s="605"/>
      <c r="E307" s="605"/>
      <c r="F307" s="605"/>
      <c r="G307" s="605"/>
      <c r="H307" s="761"/>
      <c r="I307" s="761"/>
      <c r="J307" s="761"/>
      <c r="K307" s="761"/>
      <c r="L307" s="761"/>
      <c r="M307" s="761"/>
      <c r="N307" s="761"/>
      <c r="O307" s="761"/>
      <c r="P307" s="761"/>
      <c r="Q307" s="761"/>
      <c r="R307" s="662">
        <v>0</v>
      </c>
      <c r="S307" s="760">
        <v>0</v>
      </c>
      <c r="T307" s="663">
        <v>0</v>
      </c>
      <c r="U307" s="760">
        <v>0</v>
      </c>
      <c r="V307" s="605"/>
      <c r="W307" s="607"/>
      <c r="X307" s="588"/>
    </row>
    <row r="308" spans="1:24" s="589" customFormat="1" x14ac:dyDescent="0.25">
      <c r="A308" s="604"/>
      <c r="B308" s="662" t="s">
        <v>157</v>
      </c>
      <c r="C308" s="605"/>
      <c r="D308" s="605"/>
      <c r="E308" s="605"/>
      <c r="F308" s="605"/>
      <c r="G308" s="605"/>
      <c r="H308" s="761"/>
      <c r="I308" s="761"/>
      <c r="J308" s="761"/>
      <c r="K308" s="761"/>
      <c r="L308" s="761"/>
      <c r="M308" s="761"/>
      <c r="N308" s="761"/>
      <c r="O308" s="761"/>
      <c r="P308" s="761"/>
      <c r="Q308" s="761"/>
      <c r="R308" s="662">
        <v>0</v>
      </c>
      <c r="S308" s="760">
        <v>0</v>
      </c>
      <c r="T308" s="663">
        <v>0</v>
      </c>
      <c r="U308" s="760">
        <v>0</v>
      </c>
      <c r="V308" s="605"/>
      <c r="W308" s="607"/>
      <c r="X308" s="588"/>
    </row>
    <row r="309" spans="1:24" s="589" customFormat="1" x14ac:dyDescent="0.25">
      <c r="A309" s="604"/>
      <c r="B309" s="662" t="s">
        <v>158</v>
      </c>
      <c r="C309" s="605"/>
      <c r="D309" s="605"/>
      <c r="E309" s="605"/>
      <c r="F309" s="605"/>
      <c r="G309" s="605"/>
      <c r="H309" s="761"/>
      <c r="I309" s="761"/>
      <c r="J309" s="761"/>
      <c r="K309" s="761"/>
      <c r="L309" s="761"/>
      <c r="M309" s="761"/>
      <c r="N309" s="761"/>
      <c r="O309" s="761"/>
      <c r="P309" s="761"/>
      <c r="Q309" s="761"/>
      <c r="R309" s="662">
        <v>0</v>
      </c>
      <c r="S309" s="760">
        <v>0</v>
      </c>
      <c r="T309" s="663">
        <v>0</v>
      </c>
      <c r="U309" s="760">
        <v>0</v>
      </c>
      <c r="V309" s="605"/>
      <c r="W309" s="607"/>
      <c r="X309" s="588"/>
    </row>
    <row r="310" spans="1:24" s="589" customFormat="1" x14ac:dyDescent="0.25">
      <c r="A310" s="604"/>
      <c r="B310" s="662" t="s">
        <v>159</v>
      </c>
      <c r="C310" s="605"/>
      <c r="D310" s="605"/>
      <c r="E310" s="605"/>
      <c r="F310" s="605"/>
      <c r="G310" s="605"/>
      <c r="H310" s="761"/>
      <c r="I310" s="761"/>
      <c r="J310" s="761"/>
      <c r="K310" s="761"/>
      <c r="L310" s="761"/>
      <c r="M310" s="761"/>
      <c r="N310" s="761"/>
      <c r="O310" s="761"/>
      <c r="P310" s="761"/>
      <c r="Q310" s="761"/>
      <c r="R310" s="662">
        <v>0</v>
      </c>
      <c r="S310" s="760">
        <v>0</v>
      </c>
      <c r="T310" s="663">
        <v>0</v>
      </c>
      <c r="U310" s="760">
        <v>0</v>
      </c>
      <c r="V310" s="605"/>
      <c r="W310" s="607"/>
      <c r="X310" s="588"/>
    </row>
    <row r="311" spans="1:24" s="589" customFormat="1" x14ac:dyDescent="0.25">
      <c r="A311" s="604"/>
      <c r="B311" s="662" t="s">
        <v>160</v>
      </c>
      <c r="C311" s="605"/>
      <c r="D311" s="605"/>
      <c r="E311" s="605"/>
      <c r="F311" s="605"/>
      <c r="G311" s="605"/>
      <c r="H311" s="761"/>
      <c r="I311" s="761"/>
      <c r="J311" s="761"/>
      <c r="K311" s="761"/>
      <c r="L311" s="761"/>
      <c r="M311" s="761"/>
      <c r="N311" s="761"/>
      <c r="O311" s="761"/>
      <c r="P311" s="761"/>
      <c r="Q311" s="761"/>
      <c r="R311" s="662">
        <v>0</v>
      </c>
      <c r="S311" s="760">
        <v>0</v>
      </c>
      <c r="T311" s="663">
        <v>0</v>
      </c>
      <c r="U311" s="760">
        <v>0</v>
      </c>
      <c r="V311" s="605"/>
      <c r="W311" s="607"/>
      <c r="X311" s="588"/>
    </row>
    <row r="312" spans="1:24" s="589" customFormat="1" x14ac:dyDescent="0.25">
      <c r="A312" s="604"/>
      <c r="B312" s="662"/>
      <c r="C312" s="605"/>
      <c r="D312" s="605"/>
      <c r="E312" s="605"/>
      <c r="F312" s="605"/>
      <c r="G312" s="605"/>
      <c r="H312" s="761"/>
      <c r="I312" s="761"/>
      <c r="J312" s="761"/>
      <c r="K312" s="761"/>
      <c r="L312" s="761"/>
      <c r="M312" s="761"/>
      <c r="N312" s="761"/>
      <c r="O312" s="761"/>
      <c r="P312" s="761"/>
      <c r="Q312" s="761"/>
      <c r="R312" s="662"/>
      <c r="S312" s="760"/>
      <c r="T312" s="663"/>
      <c r="U312" s="760"/>
      <c r="V312" s="605"/>
      <c r="W312" s="607"/>
      <c r="X312" s="588"/>
    </row>
    <row r="313" spans="1:24" s="589" customFormat="1" x14ac:dyDescent="0.25">
      <c r="A313" s="604"/>
      <c r="B313" s="605" t="s">
        <v>114</v>
      </c>
      <c r="C313" s="605"/>
      <c r="D313" s="605"/>
      <c r="E313" s="605"/>
      <c r="F313" s="605"/>
      <c r="G313" s="605"/>
      <c r="H313" s="761"/>
      <c r="I313" s="761"/>
      <c r="J313" s="761"/>
      <c r="K313" s="761"/>
      <c r="L313" s="761"/>
      <c r="M313" s="761"/>
      <c r="N313" s="761"/>
      <c r="O313" s="761"/>
      <c r="P313" s="761"/>
      <c r="Q313" s="761"/>
      <c r="R313" s="662">
        <f>SUM(R304:R311)</f>
        <v>0</v>
      </c>
      <c r="S313" s="760">
        <f>SUM(S304:S311)</f>
        <v>0</v>
      </c>
      <c r="T313" s="663">
        <f>SUM(T304:T311)</f>
        <v>0</v>
      </c>
      <c r="U313" s="760">
        <f>SUM(U304:U311)</f>
        <v>0</v>
      </c>
      <c r="V313" s="605"/>
      <c r="W313" s="607"/>
      <c r="X313" s="588"/>
    </row>
    <row r="314" spans="1:24" s="589" customFormat="1" ht="16.5" thickBot="1" x14ac:dyDescent="0.3">
      <c r="A314" s="604"/>
      <c r="B314" s="798" t="s">
        <v>379</v>
      </c>
      <c r="C314" s="605"/>
      <c r="D314" s="605"/>
      <c r="E314" s="605"/>
      <c r="F314" s="605"/>
      <c r="G314" s="605"/>
      <c r="H314" s="761"/>
      <c r="I314" s="761"/>
      <c r="J314" s="761"/>
      <c r="K314" s="761"/>
      <c r="L314" s="761"/>
      <c r="M314" s="761"/>
      <c r="N314" s="761"/>
      <c r="O314" s="761"/>
      <c r="P314" s="761"/>
      <c r="Q314" s="761"/>
      <c r="R314" s="796"/>
      <c r="S314" s="796">
        <v>0</v>
      </c>
      <c r="T314" s="797"/>
      <c r="U314" s="797">
        <v>0</v>
      </c>
      <c r="V314" s="605"/>
      <c r="W314" s="607"/>
      <c r="X314" s="588"/>
    </row>
    <row r="315" spans="1:24" s="589" customFormat="1" ht="16.5" thickTop="1" x14ac:dyDescent="0.25">
      <c r="A315" s="802"/>
      <c r="B315" s="798" t="s">
        <v>382</v>
      </c>
      <c r="C315" s="605"/>
      <c r="D315" s="605"/>
      <c r="E315" s="605"/>
      <c r="F315" s="605"/>
      <c r="G315" s="605"/>
      <c r="H315" s="761"/>
      <c r="I315" s="761"/>
      <c r="J315" s="761"/>
      <c r="K315" s="761"/>
      <c r="L315" s="761"/>
      <c r="M315" s="761"/>
      <c r="N315" s="761"/>
      <c r="O315" s="761"/>
      <c r="P315" s="761"/>
      <c r="Q315" s="761"/>
      <c r="R315" s="803">
        <v>0</v>
      </c>
      <c r="S315" s="804">
        <v>0</v>
      </c>
      <c r="T315" s="805">
        <v>0</v>
      </c>
      <c r="U315" s="804">
        <v>0</v>
      </c>
      <c r="V315" s="806">
        <v>0</v>
      </c>
      <c r="W315" s="607"/>
      <c r="X315" s="588"/>
    </row>
    <row r="316" spans="1:24" s="589" customFormat="1" ht="16.5" thickBot="1" x14ac:dyDescent="0.3">
      <c r="A316" s="802"/>
      <c r="B316" s="798" t="s">
        <v>383</v>
      </c>
      <c r="C316" s="605"/>
      <c r="D316" s="605"/>
      <c r="E316" s="605"/>
      <c r="F316" s="605"/>
      <c r="G316" s="605"/>
      <c r="H316" s="761"/>
      <c r="I316" s="761"/>
      <c r="J316" s="761"/>
      <c r="K316" s="761"/>
      <c r="L316" s="761"/>
      <c r="M316" s="761"/>
      <c r="N316" s="761"/>
      <c r="O316" s="761"/>
      <c r="P316" s="761"/>
      <c r="Q316" s="761"/>
      <c r="R316" s="807">
        <v>0</v>
      </c>
      <c r="S316" s="808">
        <v>0</v>
      </c>
      <c r="T316" s="809">
        <v>0</v>
      </c>
      <c r="U316" s="810">
        <v>0</v>
      </c>
      <c r="V316" s="811">
        <v>0</v>
      </c>
      <c r="W316" s="607"/>
      <c r="X316" s="588"/>
    </row>
    <row r="317" spans="1:24" s="589" customFormat="1" ht="16.5" thickTop="1" x14ac:dyDescent="0.25">
      <c r="A317" s="585"/>
      <c r="B317" s="799"/>
      <c r="C317" s="602"/>
      <c r="D317" s="602"/>
      <c r="E317" s="602"/>
      <c r="F317" s="602"/>
      <c r="G317" s="602"/>
      <c r="H317" s="766"/>
      <c r="I317" s="766"/>
      <c r="J317" s="766"/>
      <c r="K317" s="766"/>
      <c r="L317" s="766"/>
      <c r="M317" s="766"/>
      <c r="N317" s="766"/>
      <c r="O317" s="766"/>
      <c r="P317" s="766"/>
      <c r="Q317" s="766"/>
      <c r="R317" s="800"/>
      <c r="S317" s="800"/>
      <c r="T317" s="801"/>
      <c r="U317" s="757"/>
      <c r="V317" s="602"/>
      <c r="W317" s="602"/>
      <c r="X317" s="588"/>
    </row>
    <row r="318" spans="1:24" s="589" customFormat="1" x14ac:dyDescent="0.25">
      <c r="A318" s="585"/>
      <c r="B318" s="584" t="s">
        <v>91</v>
      </c>
      <c r="C318" s="586"/>
      <c r="D318" s="586"/>
      <c r="E318" s="586"/>
      <c r="F318" s="592" t="s">
        <v>97</v>
      </c>
      <c r="G318" s="586"/>
      <c r="H318" s="584" t="s">
        <v>99</v>
      </c>
      <c r="I318" s="584"/>
      <c r="J318" s="584"/>
      <c r="K318" s="586"/>
      <c r="L318" s="586"/>
      <c r="M318" s="586"/>
      <c r="N318" s="586"/>
      <c r="O318" s="586"/>
      <c r="P318" s="586"/>
      <c r="Q318" s="586"/>
      <c r="R318" s="586"/>
      <c r="S318" s="586"/>
      <c r="T318" s="586"/>
      <c r="U318" s="586"/>
      <c r="V318" s="586"/>
      <c r="W318" s="586"/>
      <c r="X318" s="588"/>
    </row>
    <row r="319" spans="1:24" s="589" customFormat="1" x14ac:dyDescent="0.25">
      <c r="A319" s="585"/>
      <c r="B319" s="586"/>
      <c r="C319" s="586"/>
      <c r="D319" s="586"/>
      <c r="E319" s="586"/>
      <c r="F319" s="586"/>
      <c r="G319" s="586"/>
      <c r="H319" s="586"/>
      <c r="I319" s="586"/>
      <c r="J319" s="586"/>
      <c r="K319" s="586"/>
      <c r="L319" s="586"/>
      <c r="M319" s="586"/>
      <c r="N319" s="586"/>
      <c r="O319" s="586"/>
      <c r="P319" s="586"/>
      <c r="Q319" s="586"/>
      <c r="R319" s="586"/>
      <c r="S319" s="586"/>
      <c r="T319" s="586"/>
      <c r="U319" s="586"/>
      <c r="V319" s="586"/>
      <c r="W319" s="586"/>
      <c r="X319" s="588"/>
    </row>
    <row r="320" spans="1:24" s="589" customFormat="1" x14ac:dyDescent="0.25">
      <c r="A320" s="585"/>
      <c r="B320" s="584" t="s">
        <v>319</v>
      </c>
      <c r="C320" s="584"/>
      <c r="D320" s="584"/>
      <c r="E320" s="584"/>
      <c r="F320" s="771" t="s">
        <v>266</v>
      </c>
      <c r="G320" s="584"/>
      <c r="H320" s="584" t="s">
        <v>267</v>
      </c>
      <c r="I320" s="584"/>
      <c r="J320" s="584"/>
      <c r="K320" s="586"/>
      <c r="L320" s="586"/>
      <c r="M320" s="586"/>
      <c r="N320" s="586"/>
      <c r="O320" s="586"/>
      <c r="P320" s="586"/>
      <c r="Q320" s="586"/>
      <c r="R320" s="586"/>
      <c r="S320" s="586"/>
      <c r="T320" s="586"/>
      <c r="U320" s="586"/>
      <c r="V320" s="586"/>
      <c r="W320" s="586"/>
      <c r="X320" s="588"/>
    </row>
    <row r="321" spans="1:24" s="589" customFormat="1" x14ac:dyDescent="0.25">
      <c r="A321" s="585"/>
      <c r="B321" s="584" t="s">
        <v>320</v>
      </c>
      <c r="C321" s="584"/>
      <c r="D321" s="584"/>
      <c r="E321" s="584"/>
      <c r="F321" s="771" t="s">
        <v>147</v>
      </c>
      <c r="G321" s="584"/>
      <c r="H321" s="584" t="s">
        <v>153</v>
      </c>
      <c r="I321" s="584"/>
      <c r="J321" s="584"/>
      <c r="K321" s="586"/>
      <c r="L321" s="586"/>
      <c r="M321" s="586"/>
      <c r="N321" s="586"/>
      <c r="O321" s="586"/>
      <c r="P321" s="586"/>
      <c r="Q321" s="586"/>
      <c r="R321" s="586"/>
      <c r="S321" s="586"/>
      <c r="T321" s="586"/>
      <c r="U321" s="586"/>
      <c r="V321" s="586"/>
      <c r="W321" s="586"/>
      <c r="X321" s="588"/>
    </row>
    <row r="322" spans="1:24" s="589" customFormat="1" x14ac:dyDescent="0.25">
      <c r="A322" s="585"/>
      <c r="B322" s="584"/>
      <c r="C322" s="584"/>
      <c r="D322" s="584"/>
      <c r="E322" s="584"/>
      <c r="F322" s="771"/>
      <c r="G322" s="584"/>
      <c r="H322" s="584"/>
      <c r="I322" s="584"/>
      <c r="J322" s="584"/>
      <c r="K322" s="586"/>
      <c r="L322" s="586"/>
      <c r="M322" s="586"/>
      <c r="N322" s="586"/>
      <c r="O322" s="586"/>
      <c r="P322" s="586"/>
      <c r="Q322" s="586"/>
      <c r="R322" s="586"/>
      <c r="S322" s="586"/>
      <c r="T322" s="586"/>
      <c r="U322" s="586"/>
      <c r="V322" s="586"/>
      <c r="W322" s="586"/>
      <c r="X322" s="588"/>
    </row>
    <row r="323" spans="1:24" s="589" customFormat="1" x14ac:dyDescent="0.25">
      <c r="A323" s="585"/>
      <c r="B323" s="776" t="s">
        <v>378</v>
      </c>
      <c r="C323" s="584"/>
      <c r="D323" s="584"/>
      <c r="E323" s="584"/>
      <c r="F323" s="771"/>
      <c r="G323" s="584"/>
      <c r="H323" s="584"/>
      <c r="I323" s="584"/>
      <c r="J323" s="584"/>
      <c r="K323" s="586"/>
      <c r="L323" s="586"/>
      <c r="M323" s="586"/>
      <c r="N323" s="586"/>
      <c r="O323" s="586"/>
      <c r="P323" s="586"/>
      <c r="Q323" s="586"/>
      <c r="R323" s="586"/>
      <c r="S323" s="586"/>
      <c r="T323" s="586"/>
      <c r="U323" s="586"/>
      <c r="V323" s="586"/>
      <c r="W323" s="586"/>
      <c r="X323" s="588"/>
    </row>
    <row r="324" spans="1:24" s="589" customFormat="1" x14ac:dyDescent="0.25">
      <c r="A324" s="585"/>
      <c r="B324" s="584"/>
      <c r="C324" s="584"/>
      <c r="D324" s="584"/>
      <c r="E324" s="584"/>
      <c r="F324" s="771"/>
      <c r="G324" s="584"/>
      <c r="H324" s="584"/>
      <c r="I324" s="584"/>
      <c r="J324" s="584"/>
      <c r="K324" s="586"/>
      <c r="L324" s="586"/>
      <c r="M324" s="586"/>
      <c r="N324" s="586"/>
      <c r="O324" s="586"/>
      <c r="P324" s="586"/>
      <c r="Q324" s="586"/>
      <c r="R324" s="586"/>
      <c r="S324" s="586"/>
      <c r="T324" s="586"/>
      <c r="U324" s="586"/>
      <c r="V324" s="586"/>
      <c r="W324" s="586"/>
      <c r="X324" s="588"/>
    </row>
    <row r="325" spans="1:24" s="589" customFormat="1" ht="18.75" x14ac:dyDescent="0.3">
      <c r="A325" s="585"/>
      <c r="B325" s="777" t="s">
        <v>360</v>
      </c>
      <c r="C325" s="584"/>
      <c r="D325" s="584"/>
      <c r="E325" s="584"/>
      <c r="F325" s="771"/>
      <c r="G325" s="584"/>
      <c r="H325" s="584"/>
      <c r="I325" s="584"/>
      <c r="J325" s="584"/>
      <c r="K325" s="586"/>
      <c r="L325" s="586"/>
      <c r="M325" s="586"/>
      <c r="N325" s="602"/>
      <c r="O325" s="602"/>
      <c r="P325" s="778" t="s">
        <v>341</v>
      </c>
      <c r="Q325" s="586"/>
      <c r="R325" s="586"/>
      <c r="S325" s="586"/>
      <c r="T325" s="586"/>
      <c r="U325" s="586"/>
      <c r="V325" s="586"/>
      <c r="W325" s="586"/>
      <c r="X325" s="588"/>
    </row>
    <row r="326" spans="1:24" s="589" customFormat="1" x14ac:dyDescent="0.25">
      <c r="A326" s="585"/>
      <c r="B326" s="584"/>
      <c r="C326" s="584"/>
      <c r="D326" s="584"/>
      <c r="E326" s="584"/>
      <c r="F326" s="584"/>
      <c r="G326" s="584"/>
      <c r="H326" s="586"/>
      <c r="I326" s="586"/>
      <c r="J326" s="586"/>
      <c r="K326" s="586"/>
      <c r="L326" s="586"/>
      <c r="M326" s="586"/>
      <c r="N326" s="586"/>
      <c r="O326" s="586"/>
      <c r="P326" s="586"/>
      <c r="Q326" s="586"/>
      <c r="R326" s="586"/>
      <c r="S326" s="586"/>
      <c r="T326" s="586"/>
      <c r="U326" s="586"/>
      <c r="V326" s="586"/>
      <c r="W326" s="586"/>
      <c r="X326" s="588"/>
    </row>
    <row r="327" spans="1:24" s="589" customFormat="1" x14ac:dyDescent="0.25">
      <c r="A327" s="585"/>
      <c r="B327" s="584"/>
      <c r="C327" s="584"/>
      <c r="D327" s="584"/>
      <c r="E327" s="584"/>
      <c r="F327" s="584"/>
      <c r="G327" s="584"/>
      <c r="H327" s="586"/>
      <c r="I327" s="586"/>
      <c r="J327" s="586"/>
      <c r="K327" s="586"/>
      <c r="L327" s="586"/>
      <c r="M327" s="586"/>
      <c r="N327" s="586"/>
      <c r="O327" s="586"/>
      <c r="P327" s="586"/>
      <c r="Q327" s="586"/>
      <c r="R327" s="586"/>
      <c r="S327" s="586"/>
      <c r="T327" s="586"/>
      <c r="U327" s="586"/>
      <c r="V327" s="586"/>
      <c r="W327" s="586"/>
      <c r="X327" s="588"/>
    </row>
    <row r="328" spans="1:24" s="589" customFormat="1" ht="19.5" thickBot="1" x14ac:dyDescent="0.35">
      <c r="A328" s="585"/>
      <c r="B328" s="772" t="str">
        <f>B205</f>
        <v>PM15 INVESTOR REPORT QUARTER ENDING NOVEMBER  2020</v>
      </c>
      <c r="C328" s="584"/>
      <c r="D328" s="584"/>
      <c r="E328" s="584"/>
      <c r="F328" s="584"/>
      <c r="G328" s="584"/>
      <c r="H328" s="586"/>
      <c r="I328" s="586"/>
      <c r="J328" s="586"/>
      <c r="K328" s="586"/>
      <c r="L328" s="586"/>
      <c r="M328" s="586"/>
      <c r="N328" s="586"/>
      <c r="O328" s="586"/>
      <c r="P328" s="586"/>
      <c r="Q328" s="586"/>
      <c r="R328" s="586"/>
      <c r="S328" s="586"/>
      <c r="T328" s="586"/>
      <c r="U328" s="586"/>
      <c r="V328" s="586"/>
      <c r="W328" s="586"/>
      <c r="X328" s="588"/>
    </row>
    <row r="329" spans="1:24" x14ac:dyDescent="0.25">
      <c r="A329" s="773"/>
      <c r="B329" s="773"/>
      <c r="C329" s="773"/>
      <c r="D329" s="773"/>
      <c r="E329" s="773"/>
      <c r="F329" s="773"/>
      <c r="G329" s="773"/>
      <c r="H329" s="773"/>
      <c r="I329" s="773"/>
      <c r="J329" s="773"/>
      <c r="K329" s="773"/>
      <c r="L329" s="773"/>
      <c r="M329" s="773"/>
      <c r="N329" s="773"/>
      <c r="O329" s="773"/>
      <c r="P329" s="773"/>
      <c r="Q329" s="773"/>
      <c r="R329" s="773"/>
      <c r="S329" s="773"/>
      <c r="T329" s="773"/>
      <c r="U329" s="773"/>
      <c r="V329" s="773"/>
      <c r="W329" s="773"/>
    </row>
    <row r="330" spans="1:24" x14ac:dyDescent="0.25">
      <c r="B330" s="779" t="s">
        <v>361</v>
      </c>
    </row>
    <row r="331" spans="1:24" x14ac:dyDescent="0.25">
      <c r="B331" s="780" t="s">
        <v>362</v>
      </c>
    </row>
    <row r="332" spans="1:24" x14ac:dyDescent="0.25">
      <c r="B332" s="780" t="s">
        <v>363</v>
      </c>
    </row>
    <row r="333" spans="1:24" x14ac:dyDescent="0.25">
      <c r="B333" s="780" t="s">
        <v>364</v>
      </c>
    </row>
    <row r="334" spans="1:24" x14ac:dyDescent="0.25">
      <c r="B334" s="780" t="s">
        <v>365</v>
      </c>
    </row>
    <row r="335" spans="1:24" x14ac:dyDescent="0.25">
      <c r="B335" s="780" t="s">
        <v>366</v>
      </c>
    </row>
    <row r="336" spans="1:24" x14ac:dyDescent="0.25">
      <c r="B336" s="780" t="s">
        <v>367</v>
      </c>
    </row>
    <row r="337" spans="2:2" x14ac:dyDescent="0.25">
      <c r="B337" s="780" t="s">
        <v>368</v>
      </c>
    </row>
    <row r="338" spans="2:2" x14ac:dyDescent="0.25">
      <c r="B338" s="780"/>
    </row>
    <row r="339" spans="2:2" x14ac:dyDescent="0.25">
      <c r="B339" s="779" t="s">
        <v>384</v>
      </c>
    </row>
    <row r="340" spans="2:2" x14ac:dyDescent="0.25">
      <c r="B340" s="780" t="s">
        <v>393</v>
      </c>
    </row>
    <row r="341" spans="2:2" x14ac:dyDescent="0.25">
      <c r="B341" s="780" t="s">
        <v>394</v>
      </c>
    </row>
    <row r="342" spans="2:2" x14ac:dyDescent="0.25">
      <c r="B342" s="780"/>
    </row>
    <row r="343" spans="2:2" x14ac:dyDescent="0.25">
      <c r="B343" s="779" t="s">
        <v>369</v>
      </c>
    </row>
    <row r="344" spans="2:2" x14ac:dyDescent="0.25">
      <c r="B344" s="780" t="s">
        <v>370</v>
      </c>
    </row>
    <row r="345" spans="2:2" x14ac:dyDescent="0.25">
      <c r="B345" s="780" t="s">
        <v>371</v>
      </c>
    </row>
  </sheetData>
  <hyperlinks>
    <hyperlink ref="I9" r:id="rId1" xr:uid="{F8983421-76CE-4AFF-B9FD-ECC4E76A06DF}"/>
    <hyperlink ref="P241" r:id="rId2" xr:uid="{74A7ADDD-1D31-4D65-8D8E-96750BED3E28}"/>
    <hyperlink ref="P325" r:id="rId3" xr:uid="{6A20C863-5A4C-47F4-94EA-F3B09F7C7EE7}"/>
  </hyperlinks>
  <printOptions horizontalCentered="1" verticalCentered="1"/>
  <pageMargins left="0.19685039370078741" right="0.19685039370078741" top="0.27559055118110237" bottom="0.27559055118110237" header="0" footer="0"/>
  <pageSetup scale="37" orientation="landscape" r:id="rId4"/>
  <headerFooter alignWithMargins="0"/>
  <rowBreaks count="3" manualBreakCount="3">
    <brk id="64" max="23" man="1"/>
    <brk id="139" max="14" man="1"/>
    <brk id="205" max="14" man="1"/>
  </rowBreaks>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sheetPr>
  <dimension ref="A1:IV285"/>
  <sheetViews>
    <sheetView showGridLines="0" showOutlineSymbols="0" zoomScale="70" zoomScaleNormal="70" workbookViewId="0"/>
  </sheetViews>
  <sheetFormatPr defaultColWidth="9.6640625" defaultRowHeight="15" x14ac:dyDescent="0.2"/>
  <cols>
    <col min="1" max="1" width="4" style="1" customWidth="1"/>
    <col min="2" max="2" width="71.21875" style="1" customWidth="1"/>
    <col min="3" max="3" width="2.21875" style="1" customWidth="1"/>
    <col min="4" max="4" width="19.33203125" style="1" customWidth="1"/>
    <col min="5" max="5" width="2.21875" style="1" customWidth="1"/>
    <col min="6" max="6" width="25.109375" style="1" customWidth="1"/>
    <col min="7" max="7" width="2.21875" style="1" customWidth="1"/>
    <col min="8" max="8" width="16.21875" style="1" customWidth="1"/>
    <col min="9" max="9" width="2.88671875" style="1" customWidth="1"/>
    <col min="10" max="10" width="16.21875" style="1" customWidth="1"/>
    <col min="11" max="11" width="2.21875" style="1" customWidth="1"/>
    <col min="12" max="12" width="17.88671875" style="1" customWidth="1"/>
    <col min="13" max="13" width="2.33203125" style="1" customWidth="1"/>
    <col min="14" max="14" width="14.88671875" style="1" customWidth="1"/>
    <col min="15" max="15" width="2.33203125" style="1" customWidth="1"/>
    <col min="16" max="16" width="15.5546875" style="1" customWidth="1"/>
    <col min="17" max="17" width="2.21875" style="1" customWidth="1"/>
    <col min="18" max="18" width="15.5546875" style="1" customWidth="1"/>
    <col min="19" max="20" width="12.6640625" style="1" customWidth="1"/>
    <col min="21" max="21" width="7.77734375" style="1" customWidth="1"/>
    <col min="22" max="22" width="14.6640625" style="1" customWidth="1"/>
    <col min="23" max="23" width="11.77734375" style="1" customWidth="1"/>
    <col min="24" max="16384" width="9.6640625" style="1"/>
  </cols>
  <sheetData>
    <row r="1" spans="1:24" ht="20.25" x14ac:dyDescent="0.3">
      <c r="A1" s="2"/>
      <c r="B1" s="3" t="s">
        <v>237</v>
      </c>
      <c r="C1" s="4"/>
      <c r="D1" s="4"/>
      <c r="E1" s="4"/>
      <c r="F1" s="4"/>
      <c r="G1" s="4"/>
      <c r="H1" s="4"/>
      <c r="I1" s="4"/>
      <c r="J1" s="4"/>
      <c r="K1" s="4"/>
      <c r="L1" s="4"/>
      <c r="M1" s="4"/>
      <c r="N1" s="4"/>
      <c r="O1" s="4"/>
      <c r="P1" s="4"/>
      <c r="Q1" s="4"/>
      <c r="R1" s="4"/>
      <c r="S1" s="4"/>
      <c r="T1" s="4"/>
      <c r="U1" s="4"/>
      <c r="V1" s="4"/>
      <c r="W1" s="4"/>
      <c r="X1" s="5"/>
    </row>
    <row r="2" spans="1:24" ht="15.75" x14ac:dyDescent="0.25">
      <c r="A2" s="6"/>
      <c r="B2" s="7"/>
      <c r="C2" s="8"/>
      <c r="D2" s="8"/>
      <c r="E2" s="8"/>
      <c r="F2" s="8"/>
      <c r="G2" s="8"/>
      <c r="H2" s="8"/>
      <c r="I2" s="8"/>
      <c r="J2" s="8"/>
      <c r="K2" s="8"/>
      <c r="L2" s="8"/>
      <c r="M2" s="8"/>
      <c r="N2" s="8"/>
      <c r="O2" s="8"/>
      <c r="P2" s="8"/>
      <c r="Q2" s="8"/>
      <c r="R2" s="8"/>
      <c r="S2" s="8"/>
      <c r="T2" s="8"/>
      <c r="U2" s="8"/>
      <c r="V2" s="8"/>
      <c r="W2" s="8"/>
      <c r="X2" s="5"/>
    </row>
    <row r="3" spans="1:24" ht="15.75" x14ac:dyDescent="0.25">
      <c r="A3" s="9"/>
      <c r="B3" s="111" t="s">
        <v>238</v>
      </c>
      <c r="C3" s="8"/>
      <c r="D3" s="8"/>
      <c r="E3" s="8"/>
      <c r="F3" s="8"/>
      <c r="G3" s="8"/>
      <c r="H3" s="8"/>
      <c r="I3" s="8"/>
      <c r="J3" s="8"/>
      <c r="K3" s="8"/>
      <c r="L3" s="8"/>
      <c r="M3" s="8"/>
      <c r="N3" s="8"/>
      <c r="O3" s="8"/>
      <c r="P3" s="8"/>
      <c r="Q3" s="8"/>
      <c r="R3" s="8"/>
      <c r="S3" s="8"/>
      <c r="T3" s="8"/>
      <c r="U3" s="8"/>
      <c r="V3" s="8"/>
      <c r="W3" s="8"/>
      <c r="X3" s="5"/>
    </row>
    <row r="4" spans="1:24" ht="15.75" x14ac:dyDescent="0.25">
      <c r="A4" s="6"/>
      <c r="B4" s="7"/>
      <c r="C4" s="8"/>
      <c r="D4" s="8"/>
      <c r="E4" s="8"/>
      <c r="F4" s="8"/>
      <c r="G4" s="8"/>
      <c r="H4" s="8"/>
      <c r="I4" s="8"/>
      <c r="J4" s="8"/>
      <c r="K4" s="8"/>
      <c r="L4" s="8"/>
      <c r="M4" s="8"/>
      <c r="N4" s="8"/>
      <c r="O4" s="8"/>
      <c r="P4" s="8"/>
      <c r="Q4" s="8"/>
      <c r="R4" s="8"/>
      <c r="S4" s="8"/>
      <c r="T4" s="8"/>
      <c r="U4" s="8"/>
      <c r="V4" s="8"/>
      <c r="W4" s="8"/>
      <c r="X4" s="5"/>
    </row>
    <row r="5" spans="1:24" ht="15.75" x14ac:dyDescent="0.25">
      <c r="A5" s="6"/>
      <c r="B5" s="11" t="s">
        <v>137</v>
      </c>
      <c r="C5" s="8"/>
      <c r="D5" s="8"/>
      <c r="E5" s="8"/>
      <c r="F5" s="8"/>
      <c r="G5" s="8"/>
      <c r="H5" s="8"/>
      <c r="I5" s="8"/>
      <c r="J5" s="8"/>
      <c r="K5" s="8"/>
      <c r="L5" s="8"/>
      <c r="M5" s="8"/>
      <c r="N5" s="8"/>
      <c r="O5" s="8"/>
      <c r="P5" s="8"/>
      <c r="Q5" s="8"/>
      <c r="R5" s="8"/>
      <c r="S5" s="8"/>
      <c r="T5" s="8"/>
      <c r="U5" s="8"/>
      <c r="V5" s="8"/>
      <c r="W5" s="8"/>
      <c r="X5" s="5"/>
    </row>
    <row r="6" spans="1:24" ht="15.75" x14ac:dyDescent="0.25">
      <c r="A6" s="6"/>
      <c r="B6" s="11" t="s">
        <v>139</v>
      </c>
      <c r="C6" s="8"/>
      <c r="D6" s="8"/>
      <c r="E6" s="8"/>
      <c r="F6" s="8"/>
      <c r="G6" s="8"/>
      <c r="H6" s="8"/>
      <c r="I6" s="8"/>
      <c r="J6" s="8"/>
      <c r="K6" s="8"/>
      <c r="L6" s="8"/>
      <c r="M6" s="8"/>
      <c r="N6" s="8"/>
      <c r="O6" s="8"/>
      <c r="P6" s="8"/>
      <c r="Q6" s="8"/>
      <c r="R6" s="8"/>
      <c r="S6" s="8"/>
      <c r="T6" s="8"/>
      <c r="U6" s="8"/>
      <c r="V6" s="8"/>
      <c r="W6" s="8"/>
      <c r="X6" s="5"/>
    </row>
    <row r="7" spans="1:24" ht="15.75" x14ac:dyDescent="0.25">
      <c r="A7" s="6"/>
      <c r="B7" s="11" t="s">
        <v>138</v>
      </c>
      <c r="C7" s="8"/>
      <c r="D7" s="8"/>
      <c r="E7" s="8"/>
      <c r="F7" s="8"/>
      <c r="G7" s="8"/>
      <c r="H7" s="8"/>
      <c r="I7" s="8"/>
      <c r="J7" s="8"/>
      <c r="K7" s="8"/>
      <c r="L7" s="8"/>
      <c r="M7" s="8"/>
      <c r="N7" s="8"/>
      <c r="O7" s="8"/>
      <c r="P7" s="8"/>
      <c r="Q7" s="8"/>
      <c r="R7" s="8"/>
      <c r="S7" s="8"/>
      <c r="T7" s="8"/>
      <c r="U7" s="8"/>
      <c r="V7" s="8"/>
      <c r="W7" s="8"/>
      <c r="X7" s="5"/>
    </row>
    <row r="8" spans="1:24" ht="15.75" x14ac:dyDescent="0.25">
      <c r="A8" s="6"/>
      <c r="B8" s="11"/>
      <c r="C8" s="8"/>
      <c r="D8" s="8"/>
      <c r="E8" s="8"/>
      <c r="F8" s="8"/>
      <c r="G8" s="8"/>
      <c r="H8" s="8"/>
      <c r="I8" s="8"/>
      <c r="J8" s="8"/>
      <c r="K8" s="8"/>
      <c r="L8" s="8"/>
      <c r="M8" s="8"/>
      <c r="N8" s="8"/>
      <c r="O8" s="8"/>
      <c r="P8" s="8"/>
      <c r="Q8" s="8"/>
      <c r="R8" s="8"/>
      <c r="S8" s="8"/>
      <c r="T8" s="8"/>
      <c r="U8" s="8"/>
      <c r="V8" s="8"/>
      <c r="W8" s="8"/>
      <c r="X8" s="5"/>
    </row>
    <row r="9" spans="1:24" ht="18.75" x14ac:dyDescent="0.3">
      <c r="A9" s="6"/>
      <c r="B9" s="144" t="s">
        <v>166</v>
      </c>
      <c r="C9" s="8"/>
      <c r="D9" s="8"/>
      <c r="E9" s="8"/>
      <c r="F9" s="8"/>
      <c r="G9" s="8"/>
      <c r="H9" s="8"/>
      <c r="I9" s="145" t="s">
        <v>167</v>
      </c>
      <c r="J9" s="8"/>
      <c r="K9" s="8"/>
      <c r="L9" s="145"/>
      <c r="M9" s="8"/>
      <c r="N9" s="145"/>
      <c r="O9" s="8"/>
      <c r="P9" s="8"/>
      <c r="Q9" s="8"/>
      <c r="R9" s="8"/>
      <c r="S9" s="8"/>
      <c r="T9" s="8"/>
      <c r="U9" s="8"/>
      <c r="V9" s="8"/>
      <c r="W9" s="8"/>
      <c r="X9" s="5"/>
    </row>
    <row r="10" spans="1:24" ht="15.75" x14ac:dyDescent="0.25">
      <c r="A10" s="6"/>
      <c r="B10" s="11"/>
      <c r="C10" s="13"/>
      <c r="D10" s="13"/>
      <c r="E10" s="13"/>
      <c r="F10" s="8"/>
      <c r="G10" s="8"/>
      <c r="H10" s="8"/>
      <c r="I10" s="8"/>
      <c r="J10" s="8"/>
      <c r="K10" s="8"/>
      <c r="L10" s="8"/>
      <c r="M10" s="8"/>
      <c r="N10" s="8"/>
      <c r="O10" s="8"/>
      <c r="P10" s="8"/>
      <c r="Q10" s="8"/>
      <c r="R10" s="8"/>
      <c r="S10" s="8"/>
      <c r="T10" s="8"/>
      <c r="U10" s="8"/>
      <c r="V10" s="8"/>
      <c r="W10" s="8"/>
      <c r="X10" s="5"/>
    </row>
    <row r="11" spans="1:24" ht="15.75" x14ac:dyDescent="0.25">
      <c r="A11" s="6"/>
      <c r="B11" s="14" t="s">
        <v>0</v>
      </c>
      <c r="C11" s="8"/>
      <c r="D11" s="8"/>
      <c r="E11" s="8"/>
      <c r="F11" s="8"/>
      <c r="G11" s="8"/>
      <c r="H11" s="8"/>
      <c r="I11" s="8"/>
      <c r="J11" s="8"/>
      <c r="K11" s="8"/>
      <c r="L11" s="8"/>
      <c r="M11" s="8"/>
      <c r="N11" s="8"/>
      <c r="O11" s="8"/>
      <c r="P11" s="8"/>
      <c r="Q11" s="8"/>
      <c r="R11" s="8"/>
      <c r="S11" s="8"/>
      <c r="T11" s="8"/>
      <c r="U11" s="8"/>
      <c r="V11" s="8"/>
      <c r="W11" s="8"/>
      <c r="X11" s="5"/>
    </row>
    <row r="12" spans="1:24" ht="16.5" thickBot="1" x14ac:dyDescent="0.3">
      <c r="A12" s="6"/>
      <c r="B12" s="13"/>
      <c r="C12" s="8"/>
      <c r="D12" s="8"/>
      <c r="E12" s="8"/>
      <c r="F12" s="8"/>
      <c r="G12" s="8"/>
      <c r="H12" s="8"/>
      <c r="I12" s="8"/>
      <c r="J12" s="8"/>
      <c r="K12" s="8"/>
      <c r="L12" s="8"/>
      <c r="M12" s="8"/>
      <c r="N12" s="8"/>
      <c r="O12" s="8"/>
      <c r="P12" s="8"/>
      <c r="Q12" s="8"/>
      <c r="R12" s="8"/>
      <c r="S12" s="8"/>
      <c r="T12" s="8"/>
      <c r="U12" s="8"/>
      <c r="V12" s="8"/>
      <c r="W12" s="8"/>
      <c r="X12" s="5"/>
    </row>
    <row r="13" spans="1:24" ht="15.75" x14ac:dyDescent="0.25">
      <c r="A13" s="2"/>
      <c r="B13" s="4"/>
      <c r="C13" s="4"/>
      <c r="D13" s="4"/>
      <c r="E13" s="4"/>
      <c r="F13" s="4"/>
      <c r="G13" s="4"/>
      <c r="H13" s="4"/>
      <c r="I13" s="4"/>
      <c r="J13" s="4"/>
      <c r="K13" s="4"/>
      <c r="L13" s="4"/>
      <c r="M13" s="4"/>
      <c r="N13" s="4"/>
      <c r="O13" s="4"/>
      <c r="P13" s="4"/>
      <c r="Q13" s="4"/>
      <c r="R13" s="4"/>
      <c r="S13" s="4"/>
      <c r="T13" s="4"/>
      <c r="U13" s="4"/>
      <c r="V13" s="4"/>
      <c r="W13" s="4"/>
      <c r="X13" s="5"/>
    </row>
    <row r="14" spans="1:24" ht="15.75" x14ac:dyDescent="0.25">
      <c r="A14" s="6"/>
      <c r="B14" s="14" t="s">
        <v>1</v>
      </c>
      <c r="C14" s="15"/>
      <c r="D14" s="15"/>
      <c r="E14" s="15"/>
      <c r="F14" s="15"/>
      <c r="G14" s="15"/>
      <c r="H14" s="15"/>
      <c r="I14" s="15"/>
      <c r="J14" s="15"/>
      <c r="K14" s="15"/>
      <c r="L14" s="15"/>
      <c r="M14" s="15"/>
      <c r="N14" s="15"/>
      <c r="O14" s="15"/>
      <c r="P14" s="15"/>
      <c r="Q14" s="15"/>
      <c r="R14" s="15"/>
      <c r="S14" s="15"/>
      <c r="T14" s="15"/>
      <c r="U14" s="15"/>
      <c r="V14" s="16" t="s">
        <v>239</v>
      </c>
      <c r="W14" s="15"/>
      <c r="X14" s="5"/>
    </row>
    <row r="15" spans="1:24" ht="15.75" x14ac:dyDescent="0.25">
      <c r="A15" s="6"/>
      <c r="B15" s="14" t="s">
        <v>2</v>
      </c>
      <c r="C15" s="15"/>
      <c r="D15" s="15"/>
      <c r="E15" s="15"/>
      <c r="F15" s="15"/>
      <c r="G15" s="15"/>
      <c r="H15" s="18"/>
      <c r="I15" s="18"/>
      <c r="J15" s="18"/>
      <c r="K15" s="18"/>
      <c r="L15" s="18"/>
      <c r="M15" s="18"/>
      <c r="N15" s="18"/>
      <c r="O15" s="18"/>
      <c r="P15" s="18"/>
      <c r="Q15" s="18"/>
      <c r="R15" s="18" t="s">
        <v>104</v>
      </c>
      <c r="S15" s="134">
        <v>0.47189999999999999</v>
      </c>
      <c r="T15" s="17" t="s">
        <v>140</v>
      </c>
      <c r="U15" s="134">
        <v>0.52810000000000001</v>
      </c>
      <c r="V15" s="16"/>
      <c r="W15" s="15"/>
      <c r="X15" s="5"/>
    </row>
    <row r="16" spans="1:24" ht="15.75" x14ac:dyDescent="0.25">
      <c r="A16" s="6"/>
      <c r="B16" s="14" t="s">
        <v>3</v>
      </c>
      <c r="C16" s="15"/>
      <c r="D16" s="15"/>
      <c r="E16" s="15"/>
      <c r="F16" s="15"/>
      <c r="G16" s="15"/>
      <c r="H16" s="18"/>
      <c r="I16" s="18"/>
      <c r="J16" s="18"/>
      <c r="K16" s="18"/>
      <c r="L16" s="18"/>
      <c r="M16" s="18"/>
      <c r="N16" s="18"/>
      <c r="O16" s="18"/>
      <c r="P16" s="18"/>
      <c r="Q16" s="18"/>
      <c r="R16" s="18" t="s">
        <v>104</v>
      </c>
      <c r="S16" s="134">
        <v>0.53049999999999997</v>
      </c>
      <c r="T16" s="17" t="s">
        <v>140</v>
      </c>
      <c r="U16" s="134">
        <v>0.46949999999999997</v>
      </c>
      <c r="V16" s="16"/>
      <c r="W16" s="15"/>
      <c r="X16" s="5"/>
    </row>
    <row r="17" spans="1:24" ht="15.75" x14ac:dyDescent="0.25">
      <c r="A17" s="6"/>
      <c r="B17" s="14" t="s">
        <v>4</v>
      </c>
      <c r="C17" s="15"/>
      <c r="D17" s="15"/>
      <c r="E17" s="15"/>
      <c r="F17" s="15"/>
      <c r="G17" s="15"/>
      <c r="H17" s="15"/>
      <c r="I17" s="15"/>
      <c r="J17" s="15"/>
      <c r="K17" s="15"/>
      <c r="L17" s="15"/>
      <c r="M17" s="15"/>
      <c r="N17" s="15"/>
      <c r="O17" s="15"/>
      <c r="P17" s="15"/>
      <c r="Q17" s="15"/>
      <c r="R17" s="15"/>
      <c r="S17" s="15"/>
      <c r="T17" s="15"/>
      <c r="U17" s="15"/>
      <c r="V17" s="19">
        <v>39282</v>
      </c>
      <c r="W17" s="15"/>
      <c r="X17" s="5"/>
    </row>
    <row r="18" spans="1:24" ht="15.75" x14ac:dyDescent="0.25">
      <c r="A18" s="6"/>
      <c r="B18" s="14" t="s">
        <v>5</v>
      </c>
      <c r="C18" s="15"/>
      <c r="D18" s="15"/>
      <c r="E18" s="15"/>
      <c r="F18" s="15"/>
      <c r="G18" s="15"/>
      <c r="H18" s="15"/>
      <c r="I18" s="15"/>
      <c r="J18" s="15"/>
      <c r="K18" s="15"/>
      <c r="L18" s="15"/>
      <c r="M18" s="15"/>
      <c r="N18" s="15"/>
      <c r="O18" s="15"/>
      <c r="P18" s="15"/>
      <c r="Q18" s="15"/>
      <c r="R18" s="15"/>
      <c r="S18" s="15"/>
      <c r="T18" s="15"/>
      <c r="U18" s="15"/>
      <c r="V18" s="19">
        <v>39895</v>
      </c>
      <c r="W18" s="15"/>
      <c r="X18" s="5"/>
    </row>
    <row r="19" spans="1:24" ht="15.75" x14ac:dyDescent="0.25">
      <c r="A19" s="6"/>
      <c r="B19" s="8"/>
      <c r="C19" s="8"/>
      <c r="D19" s="8"/>
      <c r="E19" s="8"/>
      <c r="F19" s="8"/>
      <c r="G19" s="8"/>
      <c r="H19" s="8"/>
      <c r="I19" s="8"/>
      <c r="J19" s="8"/>
      <c r="K19" s="8"/>
      <c r="L19" s="8"/>
      <c r="M19" s="8"/>
      <c r="N19" s="8"/>
      <c r="O19" s="8"/>
      <c r="P19" s="8"/>
      <c r="Q19" s="8"/>
      <c r="R19" s="8"/>
      <c r="S19" s="8"/>
      <c r="T19" s="8"/>
      <c r="U19" s="8"/>
      <c r="V19" s="20"/>
      <c r="W19" s="8"/>
      <c r="X19" s="5"/>
    </row>
    <row r="20" spans="1:24" ht="15.75" x14ac:dyDescent="0.25">
      <c r="A20" s="6"/>
      <c r="B20" s="21" t="s">
        <v>6</v>
      </c>
      <c r="C20" s="8"/>
      <c r="D20" s="8"/>
      <c r="E20" s="8"/>
      <c r="F20" s="8"/>
      <c r="G20" s="8"/>
      <c r="H20" s="8"/>
      <c r="I20" s="8"/>
      <c r="J20" s="8"/>
      <c r="K20" s="8"/>
      <c r="L20" s="8"/>
      <c r="M20" s="8"/>
      <c r="N20" s="8"/>
      <c r="O20" s="8"/>
      <c r="P20" s="8"/>
      <c r="Q20" s="8"/>
      <c r="R20" s="8"/>
      <c r="S20" s="8"/>
      <c r="T20" s="20" t="s">
        <v>105</v>
      </c>
      <c r="U20" s="8"/>
      <c r="V20" s="173"/>
      <c r="W20" s="8"/>
      <c r="X20" s="5"/>
    </row>
    <row r="21" spans="1:24" ht="15.75" x14ac:dyDescent="0.25">
      <c r="A21" s="6"/>
      <c r="B21" s="8"/>
      <c r="C21" s="8"/>
      <c r="D21" s="8"/>
      <c r="E21" s="8"/>
      <c r="F21" s="8"/>
      <c r="G21" s="8"/>
      <c r="H21" s="8"/>
      <c r="I21" s="8"/>
      <c r="J21" s="8"/>
      <c r="K21" s="8"/>
      <c r="L21" s="8"/>
      <c r="M21" s="8"/>
      <c r="N21" s="8"/>
      <c r="O21" s="8"/>
      <c r="P21" s="8"/>
      <c r="Q21" s="8"/>
      <c r="R21" s="8"/>
      <c r="S21" s="8"/>
      <c r="T21" s="8"/>
      <c r="U21" s="8"/>
      <c r="V21" s="22"/>
      <c r="W21" s="8"/>
      <c r="X21" s="5"/>
    </row>
    <row r="22" spans="1:24" ht="15.75" x14ac:dyDescent="0.25">
      <c r="A22" s="6"/>
      <c r="B22" s="8"/>
      <c r="C22" s="112"/>
      <c r="D22" s="112" t="s">
        <v>177</v>
      </c>
      <c r="E22" s="112"/>
      <c r="F22" s="112" t="s">
        <v>178</v>
      </c>
      <c r="G22" s="112"/>
      <c r="H22" s="112" t="s">
        <v>179</v>
      </c>
      <c r="I22" s="112"/>
      <c r="J22" s="112" t="s">
        <v>219</v>
      </c>
      <c r="K22" s="112"/>
      <c r="L22" s="112" t="s">
        <v>180</v>
      </c>
      <c r="M22" s="112"/>
      <c r="N22" s="112" t="s">
        <v>181</v>
      </c>
      <c r="O22" s="112"/>
      <c r="P22" s="112" t="s">
        <v>182</v>
      </c>
      <c r="Q22" s="112"/>
      <c r="R22" s="112"/>
      <c r="S22" s="113"/>
      <c r="T22" s="23"/>
      <c r="U22" s="173"/>
      <c r="V22" s="173"/>
      <c r="W22" s="8"/>
      <c r="X22" s="5"/>
    </row>
    <row r="23" spans="1:24" ht="15.75" x14ac:dyDescent="0.25">
      <c r="A23" s="24"/>
      <c r="B23" s="25" t="s">
        <v>7</v>
      </c>
      <c r="C23" s="26"/>
      <c r="D23" s="26" t="s">
        <v>212</v>
      </c>
      <c r="E23" s="26"/>
      <c r="F23" s="26" t="s">
        <v>141</v>
      </c>
      <c r="G23" s="26"/>
      <c r="H23" s="26" t="s">
        <v>141</v>
      </c>
      <c r="I23" s="26"/>
      <c r="J23" s="26" t="s">
        <v>141</v>
      </c>
      <c r="K23" s="26"/>
      <c r="L23" s="26" t="s">
        <v>183</v>
      </c>
      <c r="M23" s="26"/>
      <c r="N23" s="26" t="s">
        <v>183</v>
      </c>
      <c r="O23" s="26"/>
      <c r="P23" s="26" t="s">
        <v>142</v>
      </c>
      <c r="Q23" s="26"/>
      <c r="R23" s="26"/>
      <c r="S23" s="26"/>
      <c r="T23" s="26"/>
      <c r="U23" s="174"/>
      <c r="V23" s="174"/>
      <c r="W23" s="25"/>
      <c r="X23" s="5"/>
    </row>
    <row r="24" spans="1:24" ht="15.75" x14ac:dyDescent="0.25">
      <c r="A24" s="24"/>
      <c r="B24" s="25" t="s">
        <v>8</v>
      </c>
      <c r="C24" s="26"/>
      <c r="D24" s="26" t="s">
        <v>213</v>
      </c>
      <c r="E24" s="26"/>
      <c r="F24" s="26" t="s">
        <v>143</v>
      </c>
      <c r="G24" s="26"/>
      <c r="H24" s="26" t="s">
        <v>143</v>
      </c>
      <c r="I24" s="26"/>
      <c r="J24" s="26" t="s">
        <v>143</v>
      </c>
      <c r="K24" s="26"/>
      <c r="L24" s="26" t="s">
        <v>165</v>
      </c>
      <c r="M24" s="26"/>
      <c r="N24" s="26" t="s">
        <v>165</v>
      </c>
      <c r="O24" s="26"/>
      <c r="P24" s="26" t="s">
        <v>144</v>
      </c>
      <c r="Q24" s="26"/>
      <c r="R24" s="26"/>
      <c r="S24" s="26"/>
      <c r="T24" s="26"/>
      <c r="U24" s="174"/>
      <c r="V24" s="174"/>
      <c r="W24" s="25"/>
      <c r="X24" s="5"/>
    </row>
    <row r="25" spans="1:24" ht="15.75" x14ac:dyDescent="0.25">
      <c r="A25" s="28"/>
      <c r="B25" s="130" t="s">
        <v>190</v>
      </c>
      <c r="C25" s="123"/>
      <c r="D25" s="26" t="s">
        <v>214</v>
      </c>
      <c r="E25" s="26"/>
      <c r="F25" s="26" t="s">
        <v>143</v>
      </c>
      <c r="G25" s="26"/>
      <c r="H25" s="26" t="s">
        <v>143</v>
      </c>
      <c r="I25" s="26"/>
      <c r="J25" s="26" t="s">
        <v>143</v>
      </c>
      <c r="K25" s="26"/>
      <c r="L25" s="26" t="s">
        <v>165</v>
      </c>
      <c r="M25" s="26"/>
      <c r="N25" s="26" t="s">
        <v>165</v>
      </c>
      <c r="O25" s="26"/>
      <c r="P25" s="26" t="s">
        <v>144</v>
      </c>
      <c r="Q25" s="26"/>
      <c r="R25" s="26"/>
      <c r="S25" s="123"/>
      <c r="T25" s="26"/>
      <c r="U25" s="174"/>
      <c r="V25" s="174"/>
      <c r="W25" s="25"/>
      <c r="X25" s="5"/>
    </row>
    <row r="26" spans="1:24" ht="15.75" x14ac:dyDescent="0.25">
      <c r="A26" s="28"/>
      <c r="B26" s="29" t="s">
        <v>9</v>
      </c>
      <c r="C26" s="123"/>
      <c r="D26" s="123" t="s">
        <v>212</v>
      </c>
      <c r="E26" s="123"/>
      <c r="F26" s="123" t="s">
        <v>141</v>
      </c>
      <c r="G26" s="123"/>
      <c r="H26" s="123" t="s">
        <v>141</v>
      </c>
      <c r="I26" s="123"/>
      <c r="J26" s="123" t="s">
        <v>141</v>
      </c>
      <c r="K26" s="123"/>
      <c r="L26" s="123" t="s">
        <v>183</v>
      </c>
      <c r="M26" s="123"/>
      <c r="N26" s="123" t="s">
        <v>183</v>
      </c>
      <c r="O26" s="123"/>
      <c r="P26" s="123" t="s">
        <v>142</v>
      </c>
      <c r="Q26" s="123"/>
      <c r="R26" s="123"/>
      <c r="S26" s="123"/>
      <c r="T26" s="26"/>
      <c r="U26" s="174"/>
      <c r="V26" s="174"/>
      <c r="W26" s="25"/>
      <c r="X26" s="5"/>
    </row>
    <row r="27" spans="1:24" ht="15.75" x14ac:dyDescent="0.25">
      <c r="A27" s="24"/>
      <c r="B27" s="29" t="s">
        <v>191</v>
      </c>
      <c r="C27" s="26"/>
      <c r="D27" s="123" t="s">
        <v>213</v>
      </c>
      <c r="E27" s="123"/>
      <c r="F27" s="123" t="s">
        <v>143</v>
      </c>
      <c r="G27" s="123"/>
      <c r="H27" s="123" t="s">
        <v>143</v>
      </c>
      <c r="I27" s="123"/>
      <c r="J27" s="123" t="s">
        <v>143</v>
      </c>
      <c r="K27" s="123"/>
      <c r="L27" s="123" t="s">
        <v>165</v>
      </c>
      <c r="M27" s="123"/>
      <c r="N27" s="123" t="s">
        <v>165</v>
      </c>
      <c r="O27" s="123"/>
      <c r="P27" s="123" t="s">
        <v>144</v>
      </c>
      <c r="Q27" s="123"/>
      <c r="R27" s="123"/>
      <c r="S27" s="26"/>
      <c r="T27" s="30"/>
      <c r="U27" s="174"/>
      <c r="V27" s="174"/>
      <c r="W27" s="25"/>
      <c r="X27" s="5"/>
    </row>
    <row r="28" spans="1:24" ht="15.75" x14ac:dyDescent="0.25">
      <c r="A28" s="24"/>
      <c r="B28" s="149" t="s">
        <v>192</v>
      </c>
      <c r="C28" s="26"/>
      <c r="D28" s="123" t="s">
        <v>214</v>
      </c>
      <c r="E28" s="123"/>
      <c r="F28" s="123" t="s">
        <v>143</v>
      </c>
      <c r="G28" s="123"/>
      <c r="H28" s="123" t="s">
        <v>143</v>
      </c>
      <c r="I28" s="123"/>
      <c r="J28" s="123" t="s">
        <v>143</v>
      </c>
      <c r="K28" s="123"/>
      <c r="L28" s="123" t="s">
        <v>165</v>
      </c>
      <c r="M28" s="123"/>
      <c r="N28" s="123" t="s">
        <v>165</v>
      </c>
      <c r="O28" s="123"/>
      <c r="P28" s="123" t="s">
        <v>144</v>
      </c>
      <c r="Q28" s="123"/>
      <c r="R28" s="123"/>
      <c r="S28" s="26"/>
      <c r="T28" s="30"/>
      <c r="U28" s="174"/>
      <c r="V28" s="174"/>
      <c r="W28" s="25"/>
      <c r="X28" s="5"/>
    </row>
    <row r="29" spans="1:24" ht="15.75" x14ac:dyDescent="0.25">
      <c r="A29" s="24"/>
      <c r="B29" s="25" t="s">
        <v>10</v>
      </c>
      <c r="C29" s="32"/>
      <c r="D29" s="26" t="s">
        <v>242</v>
      </c>
      <c r="E29" s="26"/>
      <c r="F29" s="30" t="s">
        <v>244</v>
      </c>
      <c r="G29" s="26"/>
      <c r="H29" s="26" t="s">
        <v>245</v>
      </c>
      <c r="I29" s="26"/>
      <c r="J29" s="26" t="s">
        <v>247</v>
      </c>
      <c r="K29" s="26"/>
      <c r="L29" s="26" t="s">
        <v>248</v>
      </c>
      <c r="M29" s="26"/>
      <c r="N29" s="26" t="s">
        <v>249</v>
      </c>
      <c r="O29" s="26"/>
      <c r="P29" s="26" t="s">
        <v>250</v>
      </c>
      <c r="Q29" s="26"/>
      <c r="R29" s="26"/>
      <c r="S29" s="31"/>
      <c r="T29" s="31"/>
      <c r="U29" s="175"/>
      <c r="V29" s="31"/>
      <c r="W29" s="34"/>
      <c r="X29" s="5"/>
    </row>
    <row r="30" spans="1:24" ht="15.75" x14ac:dyDescent="0.25">
      <c r="A30" s="24"/>
      <c r="B30" s="25" t="s">
        <v>10</v>
      </c>
      <c r="C30" s="32"/>
      <c r="D30" s="26" t="s">
        <v>243</v>
      </c>
      <c r="E30" s="26"/>
      <c r="F30" s="30" t="s">
        <v>118</v>
      </c>
      <c r="G30" s="26"/>
      <c r="H30" s="26" t="s">
        <v>118</v>
      </c>
      <c r="I30" s="26"/>
      <c r="J30" s="26" t="s">
        <v>246</v>
      </c>
      <c r="K30" s="26"/>
      <c r="L30" s="26" t="s">
        <v>118</v>
      </c>
      <c r="M30" s="26"/>
      <c r="N30" s="26" t="s">
        <v>118</v>
      </c>
      <c r="O30" s="26"/>
      <c r="P30" s="26" t="s">
        <v>118</v>
      </c>
      <c r="Q30" s="26"/>
      <c r="R30" s="26"/>
      <c r="S30" s="31"/>
      <c r="T30" s="31"/>
      <c r="U30" s="175"/>
      <c r="V30" s="31"/>
      <c r="W30" s="34"/>
      <c r="X30" s="5"/>
    </row>
    <row r="31" spans="1:24" ht="15.75" x14ac:dyDescent="0.25">
      <c r="A31" s="28"/>
      <c r="B31" s="25" t="s">
        <v>133</v>
      </c>
      <c r="C31" s="36"/>
      <c r="D31" s="143">
        <v>1000000</v>
      </c>
      <c r="E31" s="32"/>
      <c r="F31" s="31">
        <v>209500</v>
      </c>
      <c r="G31" s="31"/>
      <c r="H31" s="124">
        <v>110000</v>
      </c>
      <c r="I31" s="124"/>
      <c r="J31" s="143">
        <v>150000</v>
      </c>
      <c r="K31" s="31"/>
      <c r="L31" s="31">
        <v>17000</v>
      </c>
      <c r="M31" s="31"/>
      <c r="N31" s="124">
        <v>85500</v>
      </c>
      <c r="O31" s="31"/>
      <c r="P31" s="124">
        <v>110500</v>
      </c>
      <c r="Q31" s="31"/>
      <c r="R31" s="124"/>
      <c r="S31" s="35"/>
      <c r="T31" s="35"/>
      <c r="U31" s="37"/>
      <c r="V31" s="35"/>
      <c r="W31" s="34"/>
      <c r="X31" s="5"/>
    </row>
    <row r="32" spans="1:24" ht="15.75" x14ac:dyDescent="0.25">
      <c r="A32" s="24"/>
      <c r="B32" s="25" t="s">
        <v>132</v>
      </c>
      <c r="C32" s="32"/>
      <c r="D32" s="143">
        <f>D31*D38</f>
        <v>886817.5</v>
      </c>
      <c r="E32" s="32"/>
      <c r="F32" s="31">
        <f>F31*F38</f>
        <v>185788.28719999999</v>
      </c>
      <c r="G32" s="31"/>
      <c r="H32" s="124">
        <f>H31*H38</f>
        <v>97550.221999999994</v>
      </c>
      <c r="I32" s="124"/>
      <c r="J32" s="143">
        <f>J31*J38</f>
        <v>133022.625</v>
      </c>
      <c r="K32" s="31"/>
      <c r="L32" s="31">
        <f>L31*L38</f>
        <v>17000</v>
      </c>
      <c r="M32" s="31"/>
      <c r="N32" s="124">
        <f>N31*N38</f>
        <v>85500</v>
      </c>
      <c r="O32" s="31"/>
      <c r="P32" s="124">
        <f>P31*P38</f>
        <v>110500</v>
      </c>
      <c r="Q32" s="31"/>
      <c r="R32" s="124"/>
      <c r="S32" s="31"/>
      <c r="T32" s="31"/>
      <c r="U32" s="175"/>
      <c r="V32" s="31"/>
      <c r="W32" s="34"/>
      <c r="X32" s="5"/>
    </row>
    <row r="33" spans="1:27" ht="15.75" x14ac:dyDescent="0.25">
      <c r="A33" s="24"/>
      <c r="B33" s="29" t="s">
        <v>134</v>
      </c>
      <c r="C33" s="32"/>
      <c r="D33" s="170">
        <f>D37*D31</f>
        <v>867836.6</v>
      </c>
      <c r="E33" s="36"/>
      <c r="F33" s="35">
        <f>F37*F31</f>
        <v>181811.80959999998</v>
      </c>
      <c r="G33" s="35"/>
      <c r="H33" s="125">
        <f>H31*H37</f>
        <v>95462.356</v>
      </c>
      <c r="I33" s="125"/>
      <c r="J33" s="170">
        <f>J37*J31</f>
        <v>130175.48999999999</v>
      </c>
      <c r="K33" s="35"/>
      <c r="L33" s="35">
        <f>L31*L37</f>
        <v>17000</v>
      </c>
      <c r="M33" s="35"/>
      <c r="N33" s="125">
        <f>N31*N37</f>
        <v>85500</v>
      </c>
      <c r="O33" s="35"/>
      <c r="P33" s="125">
        <f>P31*P37</f>
        <v>110500</v>
      </c>
      <c r="Q33" s="35"/>
      <c r="R33" s="125"/>
      <c r="S33" s="31"/>
      <c r="T33" s="31"/>
      <c r="U33" s="175"/>
      <c r="V33" s="31"/>
      <c r="W33" s="34"/>
      <c r="X33" s="5"/>
    </row>
    <row r="34" spans="1:27" ht="15.75" x14ac:dyDescent="0.25">
      <c r="A34" s="28"/>
      <c r="B34" s="25" t="s">
        <v>286</v>
      </c>
      <c r="C34" s="36"/>
      <c r="D34" s="31">
        <v>492951</v>
      </c>
      <c r="E34" s="32"/>
      <c r="F34" s="31">
        <v>209500</v>
      </c>
      <c r="G34" s="31"/>
      <c r="H34" s="31">
        <v>74677</v>
      </c>
      <c r="I34" s="31"/>
      <c r="J34" s="31">
        <v>73943</v>
      </c>
      <c r="K34" s="31"/>
      <c r="L34" s="31">
        <v>17000</v>
      </c>
      <c r="M34" s="31"/>
      <c r="N34" s="31">
        <v>58045</v>
      </c>
      <c r="O34" s="31"/>
      <c r="P34" s="31">
        <v>75017</v>
      </c>
      <c r="Q34" s="31"/>
      <c r="R34" s="31"/>
      <c r="S34" s="35"/>
      <c r="T34" s="35"/>
      <c r="U34" s="37"/>
      <c r="V34" s="150">
        <f>SUM(C34:R34)</f>
        <v>1001133</v>
      </c>
      <c r="W34" s="34"/>
      <c r="X34" s="5"/>
    </row>
    <row r="35" spans="1:27" ht="15.75" x14ac:dyDescent="0.25">
      <c r="A35" s="28"/>
      <c r="B35" s="25" t="s">
        <v>287</v>
      </c>
      <c r="C35" s="126"/>
      <c r="D35" s="31">
        <f>D34*D38</f>
        <v>437157.57344250003</v>
      </c>
      <c r="E35" s="32"/>
      <c r="F35" s="31">
        <f>F34*F38</f>
        <v>185788.28719999999</v>
      </c>
      <c r="G35" s="31"/>
      <c r="H35" s="31">
        <f>H34*H38</f>
        <v>66225.072075399992</v>
      </c>
      <c r="I35" s="31"/>
      <c r="J35" s="31">
        <f>J34*J38</f>
        <v>65573.946402500005</v>
      </c>
      <c r="K35" s="31"/>
      <c r="L35" s="31">
        <f>L34*L38</f>
        <v>17000</v>
      </c>
      <c r="M35" s="31"/>
      <c r="N35" s="31">
        <f>N34*N38</f>
        <v>58045</v>
      </c>
      <c r="O35" s="31"/>
      <c r="P35" s="31">
        <f>P34*P38</f>
        <v>75017</v>
      </c>
      <c r="Q35" s="31"/>
      <c r="R35" s="31"/>
      <c r="S35" s="31"/>
      <c r="T35" s="31"/>
      <c r="U35" s="175"/>
      <c r="V35" s="150">
        <f>SUM(C35:R35)</f>
        <v>904806.87912040006</v>
      </c>
      <c r="W35" s="34"/>
      <c r="X35" s="5"/>
    </row>
    <row r="36" spans="1:27" ht="15.75" x14ac:dyDescent="0.25">
      <c r="A36" s="28"/>
      <c r="B36" s="29" t="s">
        <v>288</v>
      </c>
      <c r="C36" s="126"/>
      <c r="D36" s="35">
        <f>D34*D37</f>
        <v>427800.91980659997</v>
      </c>
      <c r="E36" s="36"/>
      <c r="F36" s="35">
        <f>F34*F37</f>
        <v>181811.80959999998</v>
      </c>
      <c r="G36" s="35"/>
      <c r="H36" s="35">
        <f>H34*H37</f>
        <v>64807.657809200005</v>
      </c>
      <c r="I36" s="35"/>
      <c r="J36" s="35">
        <f>J34*J37</f>
        <v>64170.441713799999</v>
      </c>
      <c r="K36" s="35"/>
      <c r="L36" s="35">
        <f>L34*L37</f>
        <v>17000</v>
      </c>
      <c r="M36" s="35"/>
      <c r="N36" s="35">
        <f>N34*N37</f>
        <v>58045</v>
      </c>
      <c r="O36" s="35"/>
      <c r="P36" s="35">
        <f>P34*P37</f>
        <v>75017</v>
      </c>
      <c r="Q36" s="35"/>
      <c r="R36" s="35"/>
      <c r="S36" s="128"/>
      <c r="T36" s="128"/>
      <c r="U36" s="175"/>
      <c r="V36" s="151">
        <f>SUM(C36:R36)</f>
        <v>888652.82892959984</v>
      </c>
      <c r="W36" s="34"/>
      <c r="X36" s="5"/>
    </row>
    <row r="37" spans="1:27" ht="15.75" x14ac:dyDescent="0.25">
      <c r="A37" s="24"/>
      <c r="B37" s="122" t="s">
        <v>130</v>
      </c>
      <c r="C37" s="25"/>
      <c r="D37" s="168">
        <v>0.86783659999999996</v>
      </c>
      <c r="E37" s="168"/>
      <c r="F37" s="168">
        <v>0.86783679999999996</v>
      </c>
      <c r="G37" s="168"/>
      <c r="H37" s="168">
        <v>0.86783960000000004</v>
      </c>
      <c r="I37" s="168"/>
      <c r="J37" s="168">
        <v>0.86783659999999996</v>
      </c>
      <c r="K37" s="168"/>
      <c r="L37" s="168">
        <v>1</v>
      </c>
      <c r="M37" s="168"/>
      <c r="N37" s="168">
        <v>1</v>
      </c>
      <c r="O37" s="168"/>
      <c r="P37" s="168">
        <v>1</v>
      </c>
      <c r="Q37" s="168"/>
      <c r="R37" s="168"/>
      <c r="S37" s="30"/>
      <c r="T37" s="30"/>
      <c r="U37" s="174"/>
      <c r="V37" s="174"/>
      <c r="W37" s="25"/>
      <c r="X37" s="5"/>
    </row>
    <row r="38" spans="1:27" ht="15.75" x14ac:dyDescent="0.25">
      <c r="A38" s="24"/>
      <c r="B38" s="122" t="s">
        <v>131</v>
      </c>
      <c r="C38" s="25"/>
      <c r="D38" s="168">
        <v>0.88681750000000004</v>
      </c>
      <c r="E38" s="168"/>
      <c r="F38" s="168">
        <v>0.88681759999999998</v>
      </c>
      <c r="G38" s="168"/>
      <c r="H38" s="168">
        <v>0.88682019999999995</v>
      </c>
      <c r="I38" s="168"/>
      <c r="J38" s="168">
        <v>0.88681750000000004</v>
      </c>
      <c r="K38" s="168"/>
      <c r="L38" s="168">
        <v>1</v>
      </c>
      <c r="M38" s="168"/>
      <c r="N38" s="168">
        <v>1</v>
      </c>
      <c r="O38" s="168"/>
      <c r="P38" s="168">
        <v>1</v>
      </c>
      <c r="Q38" s="168"/>
      <c r="R38" s="168"/>
      <c r="S38" s="39"/>
      <c r="T38" s="38"/>
      <c r="U38" s="174"/>
      <c r="V38" s="39"/>
      <c r="W38" s="25"/>
      <c r="X38" s="5"/>
    </row>
    <row r="39" spans="1:27" ht="15.75" x14ac:dyDescent="0.25">
      <c r="A39" s="24"/>
      <c r="B39" s="25" t="s">
        <v>11</v>
      </c>
      <c r="C39" s="25"/>
      <c r="D39" s="30" t="s">
        <v>278</v>
      </c>
      <c r="E39" s="25"/>
      <c r="F39" s="30" t="s">
        <v>251</v>
      </c>
      <c r="G39" s="30"/>
      <c r="H39" s="30" t="s">
        <v>252</v>
      </c>
      <c r="I39" s="30"/>
      <c r="J39" s="30" t="s">
        <v>253</v>
      </c>
      <c r="K39" s="30"/>
      <c r="L39" s="30" t="s">
        <v>254</v>
      </c>
      <c r="M39" s="30"/>
      <c r="N39" s="30" t="s">
        <v>254</v>
      </c>
      <c r="O39" s="30"/>
      <c r="P39" s="30" t="s">
        <v>255</v>
      </c>
      <c r="Q39" s="30"/>
      <c r="R39" s="30"/>
      <c r="S39" s="39"/>
      <c r="T39" s="38"/>
      <c r="U39" s="174"/>
      <c r="V39" s="174"/>
      <c r="W39" s="25"/>
      <c r="X39" s="5"/>
    </row>
    <row r="40" spans="1:27" ht="15.75" x14ac:dyDescent="0.25">
      <c r="A40" s="24"/>
      <c r="B40" s="25" t="s">
        <v>12</v>
      </c>
      <c r="C40" s="25"/>
      <c r="D40" s="38">
        <v>5.5125E-3</v>
      </c>
      <c r="E40" s="25"/>
      <c r="F40" s="38">
        <v>3.2625000000000001E-2</v>
      </c>
      <c r="G40" s="39"/>
      <c r="H40" s="38">
        <v>3.449E-2</v>
      </c>
      <c r="I40" s="38"/>
      <c r="J40" s="38">
        <v>2.1062500000000001E-2</v>
      </c>
      <c r="K40" s="39"/>
      <c r="L40" s="38">
        <v>3.4025E-2</v>
      </c>
      <c r="M40" s="39"/>
      <c r="N40" s="38">
        <v>3.5990000000000001E-2</v>
      </c>
      <c r="O40" s="39"/>
      <c r="P40" s="38">
        <v>3.8789999999999998E-2</v>
      </c>
      <c r="Q40" s="39"/>
      <c r="R40" s="38"/>
      <c r="S40" s="39"/>
      <c r="T40" s="38"/>
      <c r="U40" s="174"/>
      <c r="V40" s="30"/>
      <c r="W40" s="25"/>
      <c r="X40" s="5"/>
      <c r="AA40" s="1" t="s">
        <v>193</v>
      </c>
    </row>
    <row r="41" spans="1:27" ht="15.75" x14ac:dyDescent="0.25">
      <c r="A41" s="24"/>
      <c r="B41" s="25" t="s">
        <v>13</v>
      </c>
      <c r="C41" s="25"/>
      <c r="D41" s="38">
        <v>1.5125E-2</v>
      </c>
      <c r="E41" s="25"/>
      <c r="F41" s="38">
        <v>5.8450000000000002E-2</v>
      </c>
      <c r="G41" s="39"/>
      <c r="H41" s="38">
        <v>5.0779999999999999E-2</v>
      </c>
      <c r="I41" s="38"/>
      <c r="J41" s="38">
        <v>2.9287500000000001E-2</v>
      </c>
      <c r="K41" s="39"/>
      <c r="L41" s="38">
        <v>5.985E-2</v>
      </c>
      <c r="M41" s="39"/>
      <c r="N41" s="38">
        <v>5.228E-2</v>
      </c>
      <c r="O41" s="39"/>
      <c r="P41" s="38">
        <v>5.5079999999999997E-2</v>
      </c>
      <c r="Q41" s="39"/>
      <c r="R41" s="38"/>
      <c r="S41" s="39"/>
      <c r="T41" s="38"/>
      <c r="U41" s="174"/>
      <c r="V41" s="39" t="s">
        <v>193</v>
      </c>
      <c r="W41" s="25"/>
      <c r="X41" s="5"/>
    </row>
    <row r="42" spans="1:27" ht="15.75" x14ac:dyDescent="0.25">
      <c r="A42" s="24"/>
      <c r="B42" s="25" t="s">
        <v>289</v>
      </c>
      <c r="C42" s="25"/>
      <c r="D42" s="30" t="s">
        <v>279</v>
      </c>
      <c r="E42" s="25"/>
      <c r="F42" s="30" t="s">
        <v>251</v>
      </c>
      <c r="G42" s="30"/>
      <c r="H42" s="30" t="s">
        <v>229</v>
      </c>
      <c r="I42" s="30"/>
      <c r="J42" s="30" t="s">
        <v>229</v>
      </c>
      <c r="K42" s="30"/>
      <c r="L42" s="30" t="s">
        <v>254</v>
      </c>
      <c r="M42" s="30"/>
      <c r="N42" s="30" t="s">
        <v>262</v>
      </c>
      <c r="O42" s="30"/>
      <c r="P42" s="30" t="s">
        <v>263</v>
      </c>
      <c r="Q42" s="30"/>
      <c r="R42" s="30"/>
      <c r="S42" s="39"/>
      <c r="T42" s="38"/>
      <c r="U42" s="174"/>
      <c r="V42" s="174"/>
      <c r="W42" s="25"/>
      <c r="X42" s="5"/>
    </row>
    <row r="43" spans="1:27" ht="15.75" x14ac:dyDescent="0.25">
      <c r="A43" s="24"/>
      <c r="B43" s="25" t="s">
        <v>290</v>
      </c>
      <c r="C43" s="110"/>
      <c r="D43" s="38">
        <v>3.241695E-2</v>
      </c>
      <c r="E43" s="38"/>
      <c r="F43" s="38">
        <f>+F40</f>
        <v>3.2625000000000001E-2</v>
      </c>
      <c r="G43" s="38"/>
      <c r="H43" s="38">
        <v>3.27E-2</v>
      </c>
      <c r="I43" s="38"/>
      <c r="J43" s="38">
        <v>3.2715000000000001E-2</v>
      </c>
      <c r="K43" s="38"/>
      <c r="L43" s="38">
        <f>+L40</f>
        <v>3.4025E-2</v>
      </c>
      <c r="M43" s="38"/>
      <c r="N43" s="38">
        <v>3.4391999999999999E-2</v>
      </c>
      <c r="O43" s="38"/>
      <c r="P43" s="38">
        <v>3.7471999999999998E-2</v>
      </c>
      <c r="Q43" s="39"/>
      <c r="R43" s="38"/>
      <c r="S43" s="30"/>
      <c r="T43" s="30"/>
      <c r="U43" s="174"/>
      <c r="V43" s="39">
        <f>SUMPRODUCT(D43:R43,D35:R35)/V35</f>
        <v>3.3078014699474474E-2</v>
      </c>
      <c r="W43" s="25"/>
      <c r="X43" s="5"/>
    </row>
    <row r="44" spans="1:27" ht="15.75" x14ac:dyDescent="0.25">
      <c r="A44" s="24"/>
      <c r="B44" s="25" t="s">
        <v>291</v>
      </c>
      <c r="C44" s="110"/>
      <c r="D44" s="38">
        <v>5.8241950000000001E-2</v>
      </c>
      <c r="E44" s="38"/>
      <c r="F44" s="38">
        <f>+F41</f>
        <v>5.8450000000000002E-2</v>
      </c>
      <c r="G44" s="38"/>
      <c r="H44" s="38">
        <v>5.8525000000000001E-2</v>
      </c>
      <c r="I44" s="38"/>
      <c r="J44" s="38">
        <v>5.8540000000000002E-2</v>
      </c>
      <c r="K44" s="38"/>
      <c r="L44" s="38">
        <f>+L41</f>
        <v>5.985E-2</v>
      </c>
      <c r="M44" s="38"/>
      <c r="N44" s="38">
        <v>6.0217E-2</v>
      </c>
      <c r="O44" s="38"/>
      <c r="P44" s="38">
        <v>6.3297000000000006E-2</v>
      </c>
      <c r="Q44" s="39"/>
      <c r="R44" s="38"/>
      <c r="S44" s="30"/>
      <c r="T44" s="30"/>
      <c r="U44" s="174"/>
      <c r="V44" s="174"/>
      <c r="W44" s="25"/>
      <c r="X44" s="5"/>
    </row>
    <row r="45" spans="1:27" ht="15.75" x14ac:dyDescent="0.25">
      <c r="A45" s="24"/>
      <c r="B45" s="25" t="s">
        <v>14</v>
      </c>
      <c r="C45" s="25"/>
      <c r="D45" s="110">
        <v>40709</v>
      </c>
      <c r="E45" s="110"/>
      <c r="F45" s="110">
        <v>40709</v>
      </c>
      <c r="G45" s="110"/>
      <c r="H45" s="110">
        <v>40709</v>
      </c>
      <c r="I45" s="110"/>
      <c r="J45" s="110">
        <v>40709</v>
      </c>
      <c r="K45" s="110"/>
      <c r="L45" s="110">
        <v>40709</v>
      </c>
      <c r="M45" s="110"/>
      <c r="N45" s="110">
        <v>40709</v>
      </c>
      <c r="O45" s="110"/>
      <c r="P45" s="110">
        <v>40709</v>
      </c>
      <c r="Q45" s="110"/>
      <c r="R45" s="110"/>
      <c r="S45" s="30"/>
      <c r="T45" s="30"/>
      <c r="U45" s="174"/>
      <c r="V45" s="174"/>
      <c r="W45" s="25"/>
      <c r="X45" s="5"/>
    </row>
    <row r="46" spans="1:27" ht="15.75" x14ac:dyDescent="0.25">
      <c r="A46" s="24"/>
      <c r="B46" s="25" t="s">
        <v>15</v>
      </c>
      <c r="C46" s="25"/>
      <c r="D46" s="110" t="s">
        <v>118</v>
      </c>
      <c r="E46" s="110"/>
      <c r="F46" s="110">
        <v>41075</v>
      </c>
      <c r="G46" s="110"/>
      <c r="H46" s="110">
        <v>41075</v>
      </c>
      <c r="I46" s="110"/>
      <c r="J46" s="110">
        <v>41075</v>
      </c>
      <c r="K46" s="30"/>
      <c r="L46" s="110">
        <v>41075</v>
      </c>
      <c r="M46" s="30"/>
      <c r="N46" s="110">
        <v>41075</v>
      </c>
      <c r="O46" s="30"/>
      <c r="P46" s="110">
        <v>41075</v>
      </c>
      <c r="Q46" s="30"/>
      <c r="R46" s="110"/>
      <c r="S46" s="30"/>
      <c r="T46" s="30"/>
      <c r="U46" s="174"/>
      <c r="V46" s="174"/>
      <c r="W46" s="25"/>
      <c r="X46" s="5"/>
    </row>
    <row r="47" spans="1:27" ht="15.75" x14ac:dyDescent="0.25">
      <c r="A47" s="24"/>
      <c r="B47" s="25" t="s">
        <v>119</v>
      </c>
      <c r="C47" s="25"/>
      <c r="D47" s="171" t="s">
        <v>118</v>
      </c>
      <c r="E47" s="25"/>
      <c r="F47" s="30" t="s">
        <v>256</v>
      </c>
      <c r="G47" s="30"/>
      <c r="H47" s="30" t="s">
        <v>257</v>
      </c>
      <c r="I47" s="30"/>
      <c r="J47" s="30" t="s">
        <v>258</v>
      </c>
      <c r="K47" s="30"/>
      <c r="L47" s="30" t="s">
        <v>259</v>
      </c>
      <c r="M47" s="30"/>
      <c r="N47" s="30" t="s">
        <v>259</v>
      </c>
      <c r="O47" s="30"/>
      <c r="P47" s="30" t="s">
        <v>260</v>
      </c>
      <c r="Q47" s="30"/>
      <c r="R47" s="30"/>
      <c r="S47" s="40"/>
      <c r="T47" s="40"/>
      <c r="U47" s="40"/>
      <c r="V47" s="40"/>
      <c r="W47" s="25"/>
      <c r="X47" s="5"/>
    </row>
    <row r="48" spans="1:27" ht="15.75" x14ac:dyDescent="0.25">
      <c r="A48" s="24"/>
      <c r="B48" s="25" t="s">
        <v>292</v>
      </c>
      <c r="C48" s="25"/>
      <c r="D48" s="30" t="s">
        <v>200</v>
      </c>
      <c r="E48" s="25"/>
      <c r="F48" s="30" t="s">
        <v>256</v>
      </c>
      <c r="G48" s="30"/>
      <c r="H48" s="30" t="s">
        <v>261</v>
      </c>
      <c r="I48" s="30"/>
      <c r="J48" s="30" t="s">
        <v>261</v>
      </c>
      <c r="K48" s="30"/>
      <c r="L48" s="30" t="s">
        <v>259</v>
      </c>
      <c r="M48" s="30"/>
      <c r="N48" s="30" t="s">
        <v>263</v>
      </c>
      <c r="O48" s="30"/>
      <c r="P48" s="30" t="s">
        <v>264</v>
      </c>
      <c r="Q48" s="30"/>
      <c r="R48" s="30"/>
      <c r="S48" s="25"/>
      <c r="T48" s="25"/>
      <c r="U48" s="25"/>
      <c r="V48" s="39"/>
      <c r="W48" s="25"/>
      <c r="X48" s="5"/>
    </row>
    <row r="49" spans="1:25" ht="15.75" x14ac:dyDescent="0.25">
      <c r="A49" s="24"/>
      <c r="B49" s="25"/>
      <c r="C49" s="25"/>
      <c r="D49" s="30"/>
      <c r="E49" s="25"/>
      <c r="F49" s="30"/>
      <c r="G49" s="30"/>
      <c r="H49" s="30"/>
      <c r="I49" s="30"/>
      <c r="J49" s="30"/>
      <c r="K49" s="30"/>
      <c r="L49" s="30"/>
      <c r="M49" s="30"/>
      <c r="N49" s="30"/>
      <c r="O49" s="30"/>
      <c r="P49" s="30"/>
      <c r="Q49" s="30"/>
      <c r="R49" s="30"/>
      <c r="S49" s="25"/>
      <c r="T49" s="25"/>
      <c r="U49" s="25"/>
      <c r="V49" s="39" t="s">
        <v>193</v>
      </c>
      <c r="W49" s="25"/>
      <c r="X49" s="5"/>
    </row>
    <row r="50" spans="1:25" ht="15.75" x14ac:dyDescent="0.25">
      <c r="A50" s="24"/>
      <c r="B50" s="25" t="s">
        <v>169</v>
      </c>
      <c r="C50" s="25"/>
      <c r="D50" s="30"/>
      <c r="E50" s="25"/>
      <c r="F50" s="30"/>
      <c r="G50" s="30"/>
      <c r="H50" s="30"/>
      <c r="I50" s="30"/>
      <c r="J50" s="30"/>
      <c r="K50" s="30"/>
      <c r="L50" s="30"/>
      <c r="M50" s="30"/>
      <c r="N50" s="30"/>
      <c r="O50" s="30"/>
      <c r="P50" s="30"/>
      <c r="Q50" s="30"/>
      <c r="R50" s="30"/>
      <c r="S50" s="25"/>
      <c r="T50" s="25"/>
      <c r="U50" s="25"/>
      <c r="V50" s="39">
        <f>SUM(L34:R34)/SUM(D34:J34)</f>
        <v>0.17632136449250416</v>
      </c>
      <c r="W50" s="25"/>
      <c r="X50" s="5"/>
    </row>
    <row r="51" spans="1:25" ht="15.75" x14ac:dyDescent="0.25">
      <c r="A51" s="24"/>
      <c r="B51" s="25" t="s">
        <v>170</v>
      </c>
      <c r="C51" s="25"/>
      <c r="D51" s="25"/>
      <c r="E51" s="25"/>
      <c r="F51" s="41"/>
      <c r="G51" s="25"/>
      <c r="H51" s="25"/>
      <c r="I51" s="25"/>
      <c r="J51" s="25"/>
      <c r="K51" s="25"/>
      <c r="L51" s="25"/>
      <c r="M51" s="25"/>
      <c r="N51" s="25"/>
      <c r="O51" s="25"/>
      <c r="P51" s="25"/>
      <c r="Q51" s="25"/>
      <c r="R51" s="25"/>
      <c r="S51" s="25"/>
      <c r="T51" s="25"/>
      <c r="U51" s="25"/>
      <c r="V51" s="39">
        <f>SUM(L36:R36)/SUM(D36:J36)</f>
        <v>0.2031733865657076</v>
      </c>
      <c r="W51" s="25"/>
      <c r="X51" s="5"/>
    </row>
    <row r="52" spans="1:25" ht="15.75" x14ac:dyDescent="0.25">
      <c r="A52" s="24"/>
      <c r="B52" s="25" t="s">
        <v>171</v>
      </c>
      <c r="C52" s="25"/>
      <c r="D52" s="25"/>
      <c r="E52" s="25"/>
      <c r="F52" s="25"/>
      <c r="G52" s="25"/>
      <c r="H52" s="25"/>
      <c r="I52" s="25"/>
      <c r="J52" s="25"/>
      <c r="K52" s="25"/>
      <c r="L52" s="25"/>
      <c r="M52" s="25"/>
      <c r="N52" s="25"/>
      <c r="O52" s="25"/>
      <c r="P52" s="25"/>
      <c r="Q52" s="25"/>
      <c r="R52" s="25"/>
      <c r="S52" s="25"/>
      <c r="T52" s="30"/>
      <c r="U52" s="30"/>
      <c r="V52" s="31" t="s">
        <v>268</v>
      </c>
      <c r="W52" s="25"/>
      <c r="X52" s="5"/>
    </row>
    <row r="53" spans="1:25" ht="15.75" x14ac:dyDescent="0.25">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75" x14ac:dyDescent="0.25">
      <c r="A54" s="24"/>
      <c r="B54" s="25" t="s">
        <v>202</v>
      </c>
      <c r="C54" s="25"/>
      <c r="D54" s="25"/>
      <c r="E54" s="25"/>
      <c r="F54" s="25"/>
      <c r="G54" s="25"/>
      <c r="H54" s="25"/>
      <c r="I54" s="25"/>
      <c r="J54" s="25"/>
      <c r="K54" s="25"/>
      <c r="L54" s="25"/>
      <c r="M54" s="25"/>
      <c r="N54" s="25"/>
      <c r="O54" s="25"/>
      <c r="P54" s="25"/>
      <c r="Q54" s="25"/>
      <c r="R54" s="25"/>
      <c r="S54" s="25"/>
      <c r="T54" s="25"/>
      <c r="U54" s="25"/>
      <c r="V54" s="152" t="s">
        <v>203</v>
      </c>
      <c r="W54" s="25"/>
      <c r="X54" s="5"/>
    </row>
    <row r="55" spans="1:25" ht="15.75" x14ac:dyDescent="0.25">
      <c r="A55" s="24"/>
      <c r="B55" s="25" t="s">
        <v>270</v>
      </c>
      <c r="C55" s="25"/>
      <c r="D55" s="25"/>
      <c r="E55" s="25"/>
      <c r="F55" s="25"/>
      <c r="G55" s="25"/>
      <c r="H55" s="25"/>
      <c r="I55" s="25"/>
      <c r="J55" s="25"/>
      <c r="K55" s="25"/>
      <c r="L55" s="25"/>
      <c r="M55" s="25"/>
      <c r="N55" s="25"/>
      <c r="O55" s="25"/>
      <c r="P55" s="25"/>
      <c r="Q55" s="25"/>
      <c r="R55" s="25"/>
      <c r="S55" s="25"/>
      <c r="T55" s="30"/>
      <c r="U55" s="30"/>
      <c r="V55" s="153" t="s">
        <v>111</v>
      </c>
      <c r="W55" s="25"/>
      <c r="X55" s="5"/>
    </row>
    <row r="56" spans="1:25" ht="15.75" x14ac:dyDescent="0.25">
      <c r="A56" s="24"/>
      <c r="B56" s="29" t="s">
        <v>201</v>
      </c>
      <c r="C56" s="29"/>
      <c r="D56" s="29"/>
      <c r="E56" s="29"/>
      <c r="F56" s="29"/>
      <c r="G56" s="29"/>
      <c r="H56" s="29"/>
      <c r="I56" s="29"/>
      <c r="J56" s="29"/>
      <c r="K56" s="29"/>
      <c r="L56" s="29"/>
      <c r="M56" s="29"/>
      <c r="N56" s="29"/>
      <c r="O56" s="29"/>
      <c r="P56" s="29"/>
      <c r="Q56" s="29"/>
      <c r="R56" s="29"/>
      <c r="S56" s="29"/>
      <c r="T56" s="43"/>
      <c r="U56" s="43"/>
      <c r="V56" s="44">
        <v>39888</v>
      </c>
      <c r="W56" s="25"/>
      <c r="X56" s="5"/>
    </row>
    <row r="57" spans="1:25" ht="15.75" x14ac:dyDescent="0.25">
      <c r="A57" s="24"/>
      <c r="B57" s="25" t="s">
        <v>121</v>
      </c>
      <c r="C57" s="25"/>
      <c r="D57" s="25"/>
      <c r="E57" s="25"/>
      <c r="F57" s="25"/>
      <c r="G57" s="25"/>
      <c r="H57" s="58"/>
      <c r="I57" s="58"/>
      <c r="J57" s="58"/>
      <c r="K57" s="58"/>
      <c r="L57" s="58"/>
      <c r="M57" s="58"/>
      <c r="N57" s="58"/>
      <c r="O57" s="58"/>
      <c r="P57" s="58"/>
      <c r="Q57" s="58"/>
      <c r="R57" s="25">
        <f>+V57-T57+1</f>
        <v>91</v>
      </c>
      <c r="S57" s="58"/>
      <c r="T57" s="45">
        <v>39706</v>
      </c>
      <c r="U57" s="46"/>
      <c r="V57" s="45">
        <v>39796</v>
      </c>
      <c r="W57" s="25"/>
      <c r="X57" s="5"/>
    </row>
    <row r="58" spans="1:25" ht="15.75" x14ac:dyDescent="0.25">
      <c r="A58" s="24"/>
      <c r="B58" s="25" t="s">
        <v>122</v>
      </c>
      <c r="C58" s="25"/>
      <c r="D58" s="25"/>
      <c r="E58" s="25"/>
      <c r="F58" s="25"/>
      <c r="G58" s="25"/>
      <c r="H58" s="25"/>
      <c r="I58" s="25"/>
      <c r="J58" s="25"/>
      <c r="K58" s="25"/>
      <c r="L58" s="25"/>
      <c r="M58" s="25"/>
      <c r="N58" s="25"/>
      <c r="O58" s="25"/>
      <c r="P58" s="25"/>
      <c r="Q58" s="25"/>
      <c r="R58" s="25">
        <f>+V58-T58+1</f>
        <v>91</v>
      </c>
      <c r="S58" s="25"/>
      <c r="T58" s="45">
        <v>39797</v>
      </c>
      <c r="U58" s="46"/>
      <c r="V58" s="45">
        <v>39887</v>
      </c>
      <c r="W58" s="25"/>
      <c r="X58" s="5"/>
    </row>
    <row r="59" spans="1:25" ht="15.75" x14ac:dyDescent="0.25">
      <c r="A59" s="24"/>
      <c r="B59" s="25" t="s">
        <v>223</v>
      </c>
      <c r="C59" s="25"/>
      <c r="D59" s="25"/>
      <c r="E59" s="25"/>
      <c r="F59" s="25"/>
      <c r="G59" s="25"/>
      <c r="H59" s="25"/>
      <c r="I59" s="25"/>
      <c r="J59" s="25"/>
      <c r="K59" s="25"/>
      <c r="L59" s="25"/>
      <c r="M59" s="25"/>
      <c r="N59" s="25"/>
      <c r="O59" s="25"/>
      <c r="P59" s="25"/>
      <c r="Q59" s="25"/>
      <c r="R59" s="25"/>
      <c r="S59" s="25"/>
      <c r="T59" s="45"/>
      <c r="U59" s="46"/>
      <c r="V59" s="45" t="s">
        <v>120</v>
      </c>
      <c r="W59" s="25"/>
      <c r="X59" s="5"/>
    </row>
    <row r="60" spans="1:25" ht="15.75" x14ac:dyDescent="0.25">
      <c r="A60" s="24"/>
      <c r="B60" s="25" t="s">
        <v>271</v>
      </c>
      <c r="C60" s="25"/>
      <c r="D60" s="25"/>
      <c r="E60" s="25"/>
      <c r="F60" s="25"/>
      <c r="G60" s="25"/>
      <c r="H60" s="25"/>
      <c r="I60" s="25"/>
      <c r="J60" s="25"/>
      <c r="K60" s="25"/>
      <c r="L60" s="25"/>
      <c r="M60" s="25"/>
      <c r="N60" s="25"/>
      <c r="O60" s="25"/>
      <c r="P60" s="25"/>
      <c r="Q60" s="25"/>
      <c r="R60" s="25"/>
      <c r="S60" s="25"/>
      <c r="T60" s="45"/>
      <c r="U60" s="46"/>
      <c r="V60" s="45" t="s">
        <v>154</v>
      </c>
      <c r="W60" s="25"/>
      <c r="X60" s="5"/>
      <c r="Y60" s="133"/>
    </row>
    <row r="61" spans="1:25" ht="15.75" x14ac:dyDescent="0.25">
      <c r="A61" s="24"/>
      <c r="B61" s="25" t="s">
        <v>16</v>
      </c>
      <c r="C61" s="25"/>
      <c r="D61" s="25"/>
      <c r="E61" s="25"/>
      <c r="F61" s="25"/>
      <c r="G61" s="25"/>
      <c r="H61" s="25"/>
      <c r="I61" s="25"/>
      <c r="J61" s="25"/>
      <c r="K61" s="25"/>
      <c r="L61" s="25"/>
      <c r="M61" s="25"/>
      <c r="N61" s="25"/>
      <c r="O61" s="25"/>
      <c r="P61" s="25"/>
      <c r="Q61" s="25"/>
      <c r="R61" s="25"/>
      <c r="S61" s="25"/>
      <c r="T61" s="45"/>
      <c r="U61" s="46"/>
      <c r="V61" s="45">
        <v>39874</v>
      </c>
      <c r="W61" s="25"/>
      <c r="X61" s="5"/>
    </row>
    <row r="62" spans="1:25" ht="15.75" x14ac:dyDescent="0.25">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75" x14ac:dyDescent="0.25">
      <c r="A63" s="6"/>
      <c r="B63" s="8"/>
      <c r="C63" s="8"/>
      <c r="D63" s="8"/>
      <c r="E63" s="8"/>
      <c r="F63" s="8"/>
      <c r="G63" s="8"/>
      <c r="H63" s="8"/>
      <c r="I63" s="8"/>
      <c r="J63" s="8"/>
      <c r="K63" s="8"/>
      <c r="L63" s="8"/>
      <c r="M63" s="8"/>
      <c r="N63" s="8"/>
      <c r="O63" s="8"/>
      <c r="P63" s="8"/>
      <c r="Q63" s="8"/>
      <c r="R63" s="8"/>
      <c r="S63" s="8"/>
      <c r="T63" s="47"/>
      <c r="U63" s="48"/>
      <c r="V63" s="47"/>
      <c r="W63" s="8"/>
      <c r="X63" s="5"/>
    </row>
    <row r="64" spans="1:25" ht="19.5" thickBot="1" x14ac:dyDescent="0.35">
      <c r="A64" s="101"/>
      <c r="B64" s="102" t="s">
        <v>281</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75" x14ac:dyDescent="0.25">
      <c r="A65" s="2"/>
      <c r="B65" s="4"/>
      <c r="C65" s="4"/>
      <c r="D65" s="4"/>
      <c r="E65" s="4"/>
      <c r="F65" s="4"/>
      <c r="G65" s="4"/>
      <c r="H65" s="4"/>
      <c r="I65" s="4"/>
      <c r="J65" s="4"/>
      <c r="K65" s="4"/>
      <c r="L65" s="4"/>
      <c r="M65" s="4"/>
      <c r="N65" s="4"/>
      <c r="O65" s="4"/>
      <c r="P65" s="4"/>
      <c r="Q65" s="4"/>
      <c r="R65" s="4"/>
      <c r="S65" s="4"/>
      <c r="T65" s="4"/>
      <c r="U65" s="4"/>
      <c r="V65" s="50"/>
      <c r="W65" s="4"/>
      <c r="X65" s="5"/>
    </row>
    <row r="66" spans="1:24" ht="15.75" x14ac:dyDescent="0.25">
      <c r="A66" s="6"/>
      <c r="B66" s="51" t="s">
        <v>17</v>
      </c>
      <c r="C66" s="8"/>
      <c r="D66" s="8"/>
      <c r="E66" s="8"/>
      <c r="F66" s="8"/>
      <c r="G66" s="8"/>
      <c r="H66" s="8"/>
      <c r="I66" s="8"/>
      <c r="J66" s="8"/>
      <c r="K66" s="8"/>
      <c r="L66" s="8"/>
      <c r="M66" s="8"/>
      <c r="N66" s="8"/>
      <c r="O66" s="8"/>
      <c r="P66" s="8"/>
      <c r="Q66" s="8"/>
      <c r="R66" s="8"/>
      <c r="S66" s="8"/>
      <c r="T66" s="8"/>
      <c r="U66" s="8"/>
      <c r="V66" s="52"/>
      <c r="W66" s="8"/>
      <c r="X66" s="5"/>
    </row>
    <row r="67" spans="1:24" ht="15.75" x14ac:dyDescent="0.25">
      <c r="A67" s="6"/>
      <c r="B67" s="13"/>
      <c r="C67" s="8"/>
      <c r="D67" s="8"/>
      <c r="E67" s="8"/>
      <c r="F67" s="8"/>
      <c r="G67" s="8"/>
      <c r="H67" s="8"/>
      <c r="I67" s="8"/>
      <c r="J67" s="8"/>
      <c r="K67" s="8"/>
      <c r="L67" s="8"/>
      <c r="M67" s="8"/>
      <c r="N67" s="8"/>
      <c r="O67" s="8"/>
      <c r="P67" s="8"/>
      <c r="Q67" s="8"/>
      <c r="R67" s="8"/>
      <c r="S67" s="8"/>
      <c r="T67" s="8"/>
      <c r="U67" s="8"/>
      <c r="V67" s="52"/>
      <c r="W67" s="8"/>
      <c r="X67" s="5"/>
    </row>
    <row r="68" spans="1:24" ht="47.25" x14ac:dyDescent="0.25">
      <c r="A68" s="6"/>
      <c r="B68" s="114" t="s">
        <v>18</v>
      </c>
      <c r="C68" s="115"/>
      <c r="D68" s="115"/>
      <c r="E68" s="115"/>
      <c r="F68" s="115"/>
      <c r="G68" s="115"/>
      <c r="H68" s="115"/>
      <c r="I68" s="115"/>
      <c r="J68" s="115"/>
      <c r="K68" s="115"/>
      <c r="L68" s="115" t="s">
        <v>94</v>
      </c>
      <c r="M68" s="115"/>
      <c r="N68" s="115" t="s">
        <v>96</v>
      </c>
      <c r="O68" s="115"/>
      <c r="P68" s="115" t="s">
        <v>98</v>
      </c>
      <c r="Q68" s="115"/>
      <c r="R68" s="115" t="s">
        <v>100</v>
      </c>
      <c r="S68" s="115"/>
      <c r="T68" s="115" t="s">
        <v>106</v>
      </c>
      <c r="U68" s="115"/>
      <c r="V68" s="116" t="s">
        <v>112</v>
      </c>
      <c r="W68" s="117"/>
      <c r="X68" s="5"/>
    </row>
    <row r="69" spans="1:24" ht="15.75" x14ac:dyDescent="0.25">
      <c r="A69" s="24"/>
      <c r="B69" s="25" t="s">
        <v>19</v>
      </c>
      <c r="C69" s="34"/>
      <c r="D69" s="34"/>
      <c r="E69" s="34"/>
      <c r="F69" s="34"/>
      <c r="G69" s="34"/>
      <c r="H69" s="34"/>
      <c r="I69" s="34"/>
      <c r="J69" s="34"/>
      <c r="K69" s="34"/>
      <c r="L69" s="34">
        <v>812446</v>
      </c>
      <c r="M69" s="34"/>
      <c r="N69" s="53">
        <v>904807</v>
      </c>
      <c r="O69" s="34"/>
      <c r="P69" s="34">
        <f>16154+162+119</f>
        <v>16435</v>
      </c>
      <c r="Q69" s="34"/>
      <c r="R69" s="34">
        <f>162+119</f>
        <v>281</v>
      </c>
      <c r="S69" s="34"/>
      <c r="T69" s="34">
        <v>0</v>
      </c>
      <c r="U69" s="34"/>
      <c r="V69" s="53">
        <f>+N69-P69+R69-T69</f>
        <v>888653</v>
      </c>
      <c r="W69" s="25"/>
      <c r="X69" s="5"/>
    </row>
    <row r="70" spans="1:24" ht="15.75" x14ac:dyDescent="0.25">
      <c r="A70" s="24"/>
      <c r="B70" s="25" t="s">
        <v>20</v>
      </c>
      <c r="C70" s="34"/>
      <c r="D70" s="34"/>
      <c r="E70" s="34"/>
      <c r="F70" s="34"/>
      <c r="G70" s="34"/>
      <c r="H70" s="34"/>
      <c r="I70" s="34"/>
      <c r="J70" s="34"/>
      <c r="K70" s="34"/>
      <c r="L70" s="34">
        <v>0</v>
      </c>
      <c r="M70" s="34"/>
      <c r="N70" s="53">
        <v>0</v>
      </c>
      <c r="O70" s="34"/>
      <c r="P70" s="34">
        <v>0</v>
      </c>
      <c r="Q70" s="34"/>
      <c r="R70" s="34">
        <v>0</v>
      </c>
      <c r="S70" s="34"/>
      <c r="T70" s="34">
        <v>0</v>
      </c>
      <c r="U70" s="34"/>
      <c r="V70" s="53">
        <f>+L70-P70</f>
        <v>0</v>
      </c>
      <c r="W70" s="25"/>
      <c r="X70" s="5"/>
    </row>
    <row r="71" spans="1:24" ht="15.75" x14ac:dyDescent="0.25">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75" x14ac:dyDescent="0.25">
      <c r="A72" s="24"/>
      <c r="B72" s="25" t="s">
        <v>21</v>
      </c>
      <c r="C72" s="34"/>
      <c r="D72" s="34"/>
      <c r="E72" s="34"/>
      <c r="F72" s="34"/>
      <c r="G72" s="34"/>
      <c r="H72" s="34"/>
      <c r="I72" s="34"/>
      <c r="J72" s="34"/>
      <c r="K72" s="34"/>
      <c r="L72" s="34">
        <f>SUM(L69:L71)</f>
        <v>812446</v>
      </c>
      <c r="M72" s="34"/>
      <c r="N72" s="54">
        <f>N69+N70</f>
        <v>904807</v>
      </c>
      <c r="O72" s="34"/>
      <c r="P72" s="34">
        <f>SUM(P69:P71)</f>
        <v>16435</v>
      </c>
      <c r="Q72" s="34"/>
      <c r="R72" s="34">
        <f>SUM(R69:R71)</f>
        <v>281</v>
      </c>
      <c r="S72" s="34"/>
      <c r="T72" s="34">
        <f>SUM(T69:T71)</f>
        <v>0</v>
      </c>
      <c r="U72" s="34"/>
      <c r="V72" s="54">
        <f>SUM(V69:V71)</f>
        <v>888653</v>
      </c>
      <c r="W72" s="25"/>
      <c r="X72" s="5"/>
    </row>
    <row r="73" spans="1:24" ht="15.75" x14ac:dyDescent="0.25">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75" x14ac:dyDescent="0.25">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75" x14ac:dyDescent="0.25">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75" x14ac:dyDescent="0.25">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75" x14ac:dyDescent="0.25">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75" x14ac:dyDescent="0.25">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75" x14ac:dyDescent="0.25">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75" x14ac:dyDescent="0.25">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75" x14ac:dyDescent="0.25">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75" x14ac:dyDescent="0.25">
      <c r="A82" s="24"/>
      <c r="B82" s="25" t="s">
        <v>117</v>
      </c>
      <c r="C82" s="34"/>
      <c r="D82" s="34"/>
      <c r="E82" s="34"/>
      <c r="F82" s="34"/>
      <c r="G82" s="34"/>
      <c r="H82" s="34"/>
      <c r="I82" s="34"/>
      <c r="J82" s="34"/>
      <c r="K82" s="34"/>
      <c r="L82" s="34">
        <v>188687</v>
      </c>
      <c r="M82" s="34"/>
      <c r="N82" s="34">
        <v>0</v>
      </c>
      <c r="O82" s="34"/>
      <c r="P82" s="34">
        <v>0</v>
      </c>
      <c r="Q82" s="34"/>
      <c r="R82" s="34"/>
      <c r="S82" s="34"/>
      <c r="T82" s="34"/>
      <c r="U82" s="34"/>
      <c r="V82" s="54">
        <f>SUM(N82:R82)</f>
        <v>0</v>
      </c>
      <c r="W82" s="25"/>
      <c r="X82" s="5"/>
    </row>
    <row r="83" spans="1:24" ht="15.75" x14ac:dyDescent="0.25">
      <c r="A83" s="24"/>
      <c r="B83" s="25" t="s">
        <v>146</v>
      </c>
      <c r="C83" s="34"/>
      <c r="D83" s="34"/>
      <c r="E83" s="34"/>
      <c r="F83" s="34"/>
      <c r="G83" s="34"/>
      <c r="H83" s="34"/>
      <c r="I83" s="34"/>
      <c r="J83" s="34"/>
      <c r="K83" s="34"/>
      <c r="L83" s="34">
        <v>0</v>
      </c>
      <c r="M83" s="34"/>
      <c r="N83" s="34">
        <v>0</v>
      </c>
      <c r="O83" s="34"/>
      <c r="P83" s="34">
        <v>0</v>
      </c>
      <c r="Q83" s="34"/>
      <c r="R83" s="34"/>
      <c r="S83" s="34"/>
      <c r="T83" s="34"/>
      <c r="U83" s="34"/>
      <c r="V83" s="54">
        <f>+N83+P83</f>
        <v>0</v>
      </c>
      <c r="W83" s="25"/>
      <c r="X83" s="5"/>
    </row>
    <row r="84" spans="1:24" ht="15.75" x14ac:dyDescent="0.25">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75" x14ac:dyDescent="0.25">
      <c r="A85" s="24"/>
      <c r="B85" s="25" t="s">
        <v>26</v>
      </c>
      <c r="C85" s="34"/>
      <c r="D85" s="34"/>
      <c r="E85" s="34"/>
      <c r="F85" s="54"/>
      <c r="G85" s="34"/>
      <c r="H85" s="54"/>
      <c r="I85" s="54"/>
      <c r="J85" s="54"/>
      <c r="K85" s="54"/>
      <c r="L85" s="54">
        <f>SUM(L72:L84)</f>
        <v>1001133</v>
      </c>
      <c r="M85" s="34"/>
      <c r="N85" s="54">
        <f>SUM(N72:N84)</f>
        <v>904807</v>
      </c>
      <c r="O85" s="34"/>
      <c r="P85" s="34"/>
      <c r="Q85" s="34"/>
      <c r="R85" s="34"/>
      <c r="S85" s="34"/>
      <c r="T85" s="54"/>
      <c r="U85" s="34"/>
      <c r="V85" s="54">
        <f>SUM(V72:V84)</f>
        <v>888653</v>
      </c>
      <c r="W85" s="25"/>
      <c r="X85" s="5"/>
    </row>
    <row r="86" spans="1:24" ht="15.75" x14ac:dyDescent="0.25">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75" x14ac:dyDescent="0.25">
      <c r="A87" s="6"/>
      <c r="B87" s="8"/>
      <c r="C87" s="8"/>
      <c r="D87" s="8"/>
      <c r="E87" s="8"/>
      <c r="F87" s="8"/>
      <c r="G87" s="8"/>
      <c r="H87" s="8"/>
      <c r="I87" s="8"/>
      <c r="J87" s="8"/>
      <c r="K87" s="8"/>
      <c r="L87" s="8"/>
      <c r="M87" s="8"/>
      <c r="N87" s="8"/>
      <c r="O87" s="8"/>
      <c r="P87" s="8"/>
      <c r="Q87" s="8"/>
      <c r="R87" s="8"/>
      <c r="S87" s="8"/>
      <c r="T87" s="8"/>
      <c r="U87" s="8"/>
      <c r="V87" s="8"/>
      <c r="W87" s="8"/>
      <c r="X87" s="5"/>
    </row>
    <row r="88" spans="1:24" ht="15.75" x14ac:dyDescent="0.25">
      <c r="A88" s="6"/>
      <c r="B88" s="51" t="s">
        <v>27</v>
      </c>
      <c r="C88" s="14"/>
      <c r="D88" s="14"/>
      <c r="E88" s="14"/>
      <c r="F88" s="14"/>
      <c r="G88" s="14"/>
      <c r="H88" s="17"/>
      <c r="I88" s="17"/>
      <c r="J88" s="17"/>
      <c r="K88" s="17"/>
      <c r="L88" s="155" t="s">
        <v>95</v>
      </c>
      <c r="M88" s="17"/>
      <c r="N88" s="154">
        <f>+T201</f>
        <v>39871</v>
      </c>
      <c r="O88" s="17"/>
      <c r="P88" s="17"/>
      <c r="Q88" s="17"/>
      <c r="R88" s="17"/>
      <c r="S88" s="17"/>
      <c r="T88" s="17" t="s">
        <v>107</v>
      </c>
      <c r="U88" s="17"/>
      <c r="V88" s="17" t="s">
        <v>113</v>
      </c>
      <c r="W88" s="8"/>
      <c r="X88" s="5"/>
    </row>
    <row r="89" spans="1:24" ht="15.75" x14ac:dyDescent="0.25">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75" x14ac:dyDescent="0.25">
      <c r="A90" s="24"/>
      <c r="B90" s="25" t="s">
        <v>29</v>
      </c>
      <c r="C90" s="25"/>
      <c r="D90" s="25"/>
      <c r="E90" s="25"/>
      <c r="F90" s="25"/>
      <c r="G90" s="25"/>
      <c r="H90" s="40"/>
      <c r="I90" s="40"/>
      <c r="J90" s="40"/>
      <c r="K90" s="57"/>
      <c r="L90" s="40"/>
      <c r="M90" s="25"/>
      <c r="N90" s="127"/>
      <c r="O90" s="25"/>
      <c r="P90" s="25"/>
      <c r="Q90" s="25"/>
      <c r="R90" s="25"/>
      <c r="S90" s="25"/>
      <c r="T90" s="34">
        <f>16435-128</f>
        <v>16307</v>
      </c>
      <c r="U90" s="25"/>
      <c r="V90" s="53"/>
      <c r="W90" s="25"/>
      <c r="X90" s="5"/>
    </row>
    <row r="91" spans="1:24" ht="15.75" x14ac:dyDescent="0.25">
      <c r="A91" s="24"/>
      <c r="B91" s="25" t="s">
        <v>215</v>
      </c>
      <c r="C91" s="25"/>
      <c r="D91" s="25"/>
      <c r="E91" s="25"/>
      <c r="F91" s="25"/>
      <c r="G91" s="25"/>
      <c r="H91" s="40"/>
      <c r="I91" s="40"/>
      <c r="J91" s="40"/>
      <c r="K91" s="57"/>
      <c r="L91" s="40"/>
      <c r="M91" s="25"/>
      <c r="N91" s="127"/>
      <c r="O91" s="25"/>
      <c r="P91" s="25"/>
      <c r="Q91" s="25"/>
      <c r="R91" s="25"/>
      <c r="S91" s="25"/>
      <c r="T91" s="34"/>
      <c r="U91" s="25"/>
      <c r="V91" s="53">
        <f>5568+6404-144-846+12+14</f>
        <v>11008</v>
      </c>
      <c r="W91" s="25"/>
      <c r="X91" s="5"/>
    </row>
    <row r="92" spans="1:24" ht="15.75" x14ac:dyDescent="0.25">
      <c r="A92" s="24"/>
      <c r="B92" s="25" t="s">
        <v>210</v>
      </c>
      <c r="C92" s="25"/>
      <c r="D92" s="25"/>
      <c r="E92" s="25"/>
      <c r="F92" s="25"/>
      <c r="G92" s="25"/>
      <c r="H92" s="40"/>
      <c r="I92" s="40"/>
      <c r="J92" s="40"/>
      <c r="K92" s="57"/>
      <c r="L92" s="40"/>
      <c r="M92" s="25"/>
      <c r="N92" s="127"/>
      <c r="O92" s="25"/>
      <c r="P92" s="25"/>
      <c r="Q92" s="25"/>
      <c r="R92" s="25"/>
      <c r="S92" s="25"/>
      <c r="T92" s="34"/>
      <c r="U92" s="25"/>
      <c r="V92" s="53">
        <f>21+90</f>
        <v>111</v>
      </c>
      <c r="W92" s="25"/>
      <c r="X92" s="5"/>
    </row>
    <row r="93" spans="1:24" ht="15.75" x14ac:dyDescent="0.25">
      <c r="A93" s="24"/>
      <c r="B93" s="25" t="s">
        <v>211</v>
      </c>
      <c r="C93" s="25"/>
      <c r="D93" s="25"/>
      <c r="E93" s="25"/>
      <c r="F93" s="25"/>
      <c r="G93" s="25"/>
      <c r="H93" s="40"/>
      <c r="I93" s="40"/>
      <c r="J93" s="40"/>
      <c r="K93" s="57"/>
      <c r="L93" s="40"/>
      <c r="M93" s="25"/>
      <c r="N93" s="127"/>
      <c r="O93" s="25"/>
      <c r="P93" s="25"/>
      <c r="Q93" s="25"/>
      <c r="R93" s="25"/>
      <c r="S93" s="25"/>
      <c r="T93" s="34"/>
      <c r="U93" s="25"/>
      <c r="V93" s="53">
        <v>372</v>
      </c>
      <c r="W93" s="25"/>
      <c r="X93" s="5"/>
    </row>
    <row r="94" spans="1:24" ht="15.75" x14ac:dyDescent="0.25">
      <c r="A94" s="24"/>
      <c r="B94" s="25" t="s">
        <v>233</v>
      </c>
      <c r="C94" s="25"/>
      <c r="D94" s="25"/>
      <c r="E94" s="25"/>
      <c r="F94" s="25"/>
      <c r="G94" s="25"/>
      <c r="H94" s="40"/>
      <c r="I94" s="40"/>
      <c r="J94" s="40"/>
      <c r="K94" s="57"/>
      <c r="L94" s="40"/>
      <c r="M94" s="25"/>
      <c r="N94" s="127"/>
      <c r="O94" s="25"/>
      <c r="P94" s="25"/>
      <c r="Q94" s="25"/>
      <c r="R94" s="25"/>
      <c r="S94" s="25"/>
      <c r="T94" s="34"/>
      <c r="U94" s="25"/>
      <c r="V94" s="53">
        <v>0</v>
      </c>
      <c r="W94" s="25"/>
      <c r="X94" s="5"/>
    </row>
    <row r="95" spans="1:24" ht="15.75" x14ac:dyDescent="0.25">
      <c r="A95" s="24"/>
      <c r="B95" s="25" t="s">
        <v>235</v>
      </c>
      <c r="C95" s="25"/>
      <c r="D95" s="25"/>
      <c r="E95" s="25"/>
      <c r="F95" s="25"/>
      <c r="G95" s="25"/>
      <c r="H95" s="40"/>
      <c r="I95" s="40"/>
      <c r="J95" s="40"/>
      <c r="K95" s="57"/>
      <c r="L95" s="40"/>
      <c r="M95" s="25"/>
      <c r="N95" s="127"/>
      <c r="O95" s="25"/>
      <c r="P95" s="25"/>
      <c r="Q95" s="25"/>
      <c r="R95" s="25"/>
      <c r="S95" s="25"/>
      <c r="T95" s="34"/>
      <c r="U95" s="25"/>
      <c r="V95" s="53">
        <v>0</v>
      </c>
      <c r="W95" s="25"/>
      <c r="X95" s="5"/>
    </row>
    <row r="96" spans="1:24" ht="15.75" x14ac:dyDescent="0.25">
      <c r="A96" s="24"/>
      <c r="B96" s="25" t="s">
        <v>135</v>
      </c>
      <c r="C96" s="25"/>
      <c r="D96" s="25"/>
      <c r="E96" s="25"/>
      <c r="F96" s="25"/>
      <c r="G96" s="25"/>
      <c r="H96" s="25"/>
      <c r="I96" s="25"/>
      <c r="J96" s="25"/>
      <c r="K96" s="25"/>
      <c r="L96" s="25"/>
      <c r="M96" s="25"/>
      <c r="N96" s="25"/>
      <c r="O96" s="25"/>
      <c r="P96" s="25"/>
      <c r="Q96" s="25"/>
      <c r="R96" s="25"/>
      <c r="S96" s="25"/>
      <c r="T96" s="34"/>
      <c r="U96" s="25"/>
      <c r="V96" s="53">
        <v>0</v>
      </c>
      <c r="W96" s="25"/>
      <c r="X96" s="5"/>
    </row>
    <row r="97" spans="1:25" ht="15.75" x14ac:dyDescent="0.25">
      <c r="A97" s="24"/>
      <c r="B97" s="25" t="s">
        <v>272</v>
      </c>
      <c r="C97" s="25"/>
      <c r="D97" s="25"/>
      <c r="E97" s="25"/>
      <c r="F97" s="25"/>
      <c r="G97" s="25"/>
      <c r="H97" s="25"/>
      <c r="I97" s="25"/>
      <c r="J97" s="25"/>
      <c r="K97" s="25"/>
      <c r="L97" s="25"/>
      <c r="M97" s="25"/>
      <c r="N97" s="25"/>
      <c r="O97" s="25"/>
      <c r="P97" s="25"/>
      <c r="Q97" s="25"/>
      <c r="R97" s="25"/>
      <c r="S97" s="25"/>
      <c r="T97" s="34"/>
      <c r="U97" s="25"/>
      <c r="V97" s="53">
        <v>1742</v>
      </c>
      <c r="W97" s="25"/>
      <c r="X97" s="5"/>
    </row>
    <row r="98" spans="1:25" ht="15.75" x14ac:dyDescent="0.25">
      <c r="A98" s="24"/>
      <c r="B98" s="25" t="s">
        <v>30</v>
      </c>
      <c r="C98" s="25"/>
      <c r="D98" s="25"/>
      <c r="E98" s="25"/>
      <c r="F98" s="25"/>
      <c r="G98" s="25"/>
      <c r="H98" s="25"/>
      <c r="I98" s="25"/>
      <c r="J98" s="25"/>
      <c r="K98" s="25"/>
      <c r="L98" s="25"/>
      <c r="M98" s="25"/>
      <c r="N98" s="25"/>
      <c r="O98" s="25"/>
      <c r="P98" s="25"/>
      <c r="Q98" s="25"/>
      <c r="R98" s="25"/>
      <c r="S98" s="25"/>
      <c r="T98" s="34">
        <f>SUM(T89:T97)</f>
        <v>16307</v>
      </c>
      <c r="U98" s="25"/>
      <c r="V98" s="54">
        <f>SUM(V89:V97)</f>
        <v>13233</v>
      </c>
      <c r="W98" s="25"/>
      <c r="X98" s="5"/>
    </row>
    <row r="99" spans="1:25" ht="15.75" x14ac:dyDescent="0.25">
      <c r="A99" s="24"/>
      <c r="B99" s="25" t="s">
        <v>161</v>
      </c>
      <c r="C99" s="25"/>
      <c r="D99" s="25"/>
      <c r="E99" s="25"/>
      <c r="F99" s="25"/>
      <c r="G99" s="25"/>
      <c r="H99" s="25"/>
      <c r="I99" s="25"/>
      <c r="J99" s="25"/>
      <c r="K99" s="25"/>
      <c r="L99" s="25"/>
      <c r="M99" s="25"/>
      <c r="N99" s="25"/>
      <c r="O99" s="25"/>
      <c r="P99" s="25"/>
      <c r="Q99" s="25"/>
      <c r="R99" s="25"/>
      <c r="S99" s="25"/>
      <c r="T99" s="34">
        <f>-V99</f>
        <v>-59</v>
      </c>
      <c r="U99" s="25"/>
      <c r="V99" s="54">
        <v>59</v>
      </c>
      <c r="W99" s="25"/>
      <c r="X99" s="5"/>
    </row>
    <row r="100" spans="1:25" ht="15.75" x14ac:dyDescent="0.25">
      <c r="A100" s="24"/>
      <c r="B100" s="25" t="s">
        <v>31</v>
      </c>
      <c r="C100" s="25"/>
      <c r="D100" s="25"/>
      <c r="E100" s="25"/>
      <c r="F100" s="25"/>
      <c r="G100" s="25"/>
      <c r="H100" s="25"/>
      <c r="I100" s="25"/>
      <c r="J100" s="25"/>
      <c r="K100" s="25"/>
      <c r="L100" s="25"/>
      <c r="M100" s="25"/>
      <c r="N100" s="25"/>
      <c r="O100" s="25"/>
      <c r="P100" s="25"/>
      <c r="Q100" s="25"/>
      <c r="R100" s="25"/>
      <c r="S100" s="25"/>
      <c r="T100" s="34">
        <f>-V100</f>
        <v>0</v>
      </c>
      <c r="U100" s="25"/>
      <c r="V100" s="53">
        <v>0</v>
      </c>
      <c r="W100" s="25"/>
      <c r="X100" s="5"/>
    </row>
    <row r="101" spans="1:25" ht="15.75" x14ac:dyDescent="0.25">
      <c r="A101" s="24"/>
      <c r="B101" s="25" t="s">
        <v>274</v>
      </c>
      <c r="C101" s="25"/>
      <c r="D101" s="25"/>
      <c r="E101" s="25"/>
      <c r="F101" s="25"/>
      <c r="G101" s="25"/>
      <c r="H101" s="25"/>
      <c r="I101" s="25"/>
      <c r="J101" s="25"/>
      <c r="K101" s="25"/>
      <c r="L101" s="25"/>
      <c r="M101" s="25"/>
      <c r="N101" s="25"/>
      <c r="O101" s="25"/>
      <c r="P101" s="25"/>
      <c r="Q101" s="25"/>
      <c r="R101" s="25"/>
      <c r="S101" s="25"/>
      <c r="T101" s="34"/>
      <c r="U101" s="25"/>
      <c r="V101" s="53">
        <v>0</v>
      </c>
      <c r="W101" s="25"/>
      <c r="X101" s="5"/>
    </row>
    <row r="102" spans="1:25" ht="15.75" x14ac:dyDescent="0.25">
      <c r="A102" s="24"/>
      <c r="B102" s="25" t="s">
        <v>32</v>
      </c>
      <c r="C102" s="25"/>
      <c r="D102" s="25"/>
      <c r="E102" s="25"/>
      <c r="F102" s="25"/>
      <c r="G102" s="25"/>
      <c r="H102" s="25"/>
      <c r="I102" s="25"/>
      <c r="J102" s="25"/>
      <c r="K102" s="25"/>
      <c r="L102" s="25"/>
      <c r="M102" s="25"/>
      <c r="N102" s="25"/>
      <c r="O102" s="25"/>
      <c r="P102" s="25"/>
      <c r="Q102" s="25"/>
      <c r="R102" s="25"/>
      <c r="S102" s="25"/>
      <c r="T102" s="34">
        <f>T98+T100+T99</f>
        <v>16248</v>
      </c>
      <c r="U102" s="25"/>
      <c r="V102" s="54">
        <f>V98+V100+V99+V101</f>
        <v>13292</v>
      </c>
      <c r="W102" s="25"/>
      <c r="X102" s="5"/>
    </row>
    <row r="103" spans="1:25" ht="15.75" x14ac:dyDescent="0.25">
      <c r="A103" s="24"/>
      <c r="B103" s="118" t="s">
        <v>33</v>
      </c>
      <c r="C103" s="25"/>
      <c r="D103" s="25"/>
      <c r="E103" s="25"/>
      <c r="F103" s="25"/>
      <c r="G103" s="25"/>
      <c r="H103" s="25"/>
      <c r="I103" s="25"/>
      <c r="J103" s="25"/>
      <c r="K103" s="25"/>
      <c r="L103" s="25"/>
      <c r="M103" s="25"/>
      <c r="N103" s="25"/>
      <c r="O103" s="25"/>
      <c r="P103" s="25"/>
      <c r="Q103" s="25"/>
      <c r="R103" s="25"/>
      <c r="S103" s="25"/>
      <c r="T103" s="34"/>
      <c r="U103" s="25"/>
      <c r="V103" s="53"/>
      <c r="W103" s="25"/>
      <c r="X103" s="5"/>
    </row>
    <row r="104" spans="1:25" ht="15.75" x14ac:dyDescent="0.25">
      <c r="A104" s="24">
        <v>1</v>
      </c>
      <c r="B104" s="25" t="s">
        <v>34</v>
      </c>
      <c r="C104" s="25"/>
      <c r="D104" s="25"/>
      <c r="E104" s="25"/>
      <c r="F104" s="25"/>
      <c r="G104" s="25"/>
      <c r="H104" s="25"/>
      <c r="I104" s="25"/>
      <c r="J104" s="25"/>
      <c r="K104" s="25"/>
      <c r="L104" s="25"/>
      <c r="M104" s="25"/>
      <c r="N104" s="25"/>
      <c r="O104" s="25"/>
      <c r="P104" s="25"/>
      <c r="Q104" s="25"/>
      <c r="R104" s="25"/>
      <c r="S104" s="25"/>
      <c r="T104" s="25"/>
      <c r="U104" s="25"/>
      <c r="V104" s="53">
        <v>0</v>
      </c>
      <c r="W104" s="25"/>
      <c r="X104" s="5"/>
    </row>
    <row r="105" spans="1:25" ht="15.75" x14ac:dyDescent="0.25">
      <c r="A105" s="24">
        <f>+A104+1</f>
        <v>2</v>
      </c>
      <c r="B105" s="25" t="s">
        <v>221</v>
      </c>
      <c r="C105" s="25"/>
      <c r="D105" s="25"/>
      <c r="E105" s="25"/>
      <c r="F105" s="25"/>
      <c r="G105" s="25"/>
      <c r="H105" s="25"/>
      <c r="I105" s="25"/>
      <c r="J105" s="25"/>
      <c r="K105" s="25"/>
      <c r="L105" s="25"/>
      <c r="M105" s="25"/>
      <c r="N105" s="25"/>
      <c r="O105" s="25"/>
      <c r="P105" s="25"/>
      <c r="Q105" s="25"/>
      <c r="R105" s="25"/>
      <c r="S105" s="25"/>
      <c r="T105" s="25"/>
      <c r="U105" s="25"/>
      <c r="V105" s="53">
        <v>-2</v>
      </c>
      <c r="W105" s="25"/>
      <c r="X105" s="5"/>
    </row>
    <row r="106" spans="1:25" ht="15.75" x14ac:dyDescent="0.25">
      <c r="A106" s="24">
        <f>+A105+1</f>
        <v>3</v>
      </c>
      <c r="B106" s="25" t="s">
        <v>204</v>
      </c>
      <c r="C106" s="25"/>
      <c r="D106" s="25"/>
      <c r="E106" s="25"/>
      <c r="F106" s="25"/>
      <c r="G106" s="25"/>
      <c r="H106" s="25"/>
      <c r="I106" s="25"/>
      <c r="J106" s="25"/>
      <c r="K106" s="25"/>
      <c r="L106" s="25"/>
      <c r="M106" s="25"/>
      <c r="N106" s="25"/>
      <c r="O106" s="25"/>
      <c r="P106" s="25"/>
      <c r="Q106" s="25"/>
      <c r="R106" s="25"/>
      <c r="S106" s="25"/>
      <c r="T106" s="25"/>
      <c r="U106" s="25"/>
      <c r="V106" s="53">
        <f>-335-118-11</f>
        <v>-464</v>
      </c>
      <c r="W106" s="25"/>
      <c r="X106" s="5"/>
    </row>
    <row r="107" spans="1:25" ht="15.75" x14ac:dyDescent="0.25">
      <c r="A107" s="24" t="s">
        <v>127</v>
      </c>
      <c r="B107" s="25" t="s">
        <v>116</v>
      </c>
      <c r="C107" s="25"/>
      <c r="D107" s="25"/>
      <c r="E107" s="25"/>
      <c r="F107" s="25"/>
      <c r="G107" s="25"/>
      <c r="H107" s="25"/>
      <c r="I107" s="25"/>
      <c r="J107" s="25"/>
      <c r="K107" s="25"/>
      <c r="L107" s="25"/>
      <c r="M107" s="25"/>
      <c r="N107" s="25"/>
      <c r="O107" s="25"/>
      <c r="P107" s="25"/>
      <c r="Q107" s="25"/>
      <c r="R107" s="25"/>
      <c r="S107" s="25"/>
      <c r="T107" s="25"/>
      <c r="U107" s="25"/>
      <c r="V107" s="53">
        <v>-3446</v>
      </c>
      <c r="W107" s="25"/>
      <c r="X107" s="5"/>
    </row>
    <row r="108" spans="1:25" ht="15.75" x14ac:dyDescent="0.25">
      <c r="A108" s="24" t="s">
        <v>128</v>
      </c>
      <c r="B108" s="25" t="s">
        <v>220</v>
      </c>
      <c r="C108" s="25"/>
      <c r="D108" s="25"/>
      <c r="E108" s="25"/>
      <c r="F108" s="25"/>
      <c r="G108" s="25"/>
      <c r="H108" s="25"/>
      <c r="I108" s="25"/>
      <c r="J108" s="25"/>
      <c r="K108" s="25"/>
      <c r="L108" s="25"/>
      <c r="M108" s="25"/>
      <c r="N108" s="25"/>
      <c r="O108" s="25"/>
      <c r="P108" s="25"/>
      <c r="Q108" s="25"/>
      <c r="R108" s="25"/>
      <c r="S108" s="25"/>
      <c r="T108" s="25"/>
      <c r="U108" s="25"/>
      <c r="V108" s="53">
        <f>-6119+1511</f>
        <v>-4608</v>
      </c>
      <c r="W108" s="25"/>
      <c r="X108" s="5"/>
      <c r="Y108" s="109"/>
    </row>
    <row r="109" spans="1:25" ht="15.75" x14ac:dyDescent="0.25">
      <c r="A109" s="24" t="s">
        <v>150</v>
      </c>
      <c r="B109" s="25" t="s">
        <v>184</v>
      </c>
      <c r="C109" s="25"/>
      <c r="D109" s="25"/>
      <c r="E109" s="25"/>
      <c r="F109" s="25"/>
      <c r="G109" s="25"/>
      <c r="H109" s="25"/>
      <c r="I109" s="25"/>
      <c r="J109" s="25"/>
      <c r="K109" s="25"/>
      <c r="L109" s="25"/>
      <c r="M109" s="25"/>
      <c r="N109" s="25"/>
      <c r="O109" s="25"/>
      <c r="P109" s="25"/>
      <c r="Q109" s="25"/>
      <c r="R109" s="25"/>
      <c r="S109" s="25"/>
      <c r="T109" s="25"/>
      <c r="U109" s="25"/>
      <c r="V109" s="53">
        <v>-1511</v>
      </c>
      <c r="W109" s="25"/>
      <c r="X109" s="5"/>
      <c r="Y109" s="109"/>
    </row>
    <row r="110" spans="1:25" ht="15.75" x14ac:dyDescent="0.25">
      <c r="A110" s="24" t="s">
        <v>205</v>
      </c>
      <c r="B110" s="25" t="s">
        <v>185</v>
      </c>
      <c r="C110" s="25"/>
      <c r="D110" s="25"/>
      <c r="E110" s="25"/>
      <c r="F110" s="25"/>
      <c r="G110" s="25"/>
      <c r="H110" s="25"/>
      <c r="I110" s="25"/>
      <c r="J110" s="25"/>
      <c r="K110" s="25"/>
      <c r="L110" s="25"/>
      <c r="M110" s="25"/>
      <c r="N110" s="25"/>
      <c r="O110" s="25"/>
      <c r="P110" s="25"/>
      <c r="Q110" s="25"/>
      <c r="R110" s="25"/>
      <c r="S110" s="25"/>
      <c r="T110" s="25"/>
      <c r="U110" s="25"/>
      <c r="V110" s="53">
        <f>-641+144</f>
        <v>-497</v>
      </c>
      <c r="W110" s="25"/>
      <c r="X110" s="5"/>
      <c r="Y110" s="109"/>
    </row>
    <row r="111" spans="1:25" ht="15.75" x14ac:dyDescent="0.25">
      <c r="A111" s="24" t="s">
        <v>206</v>
      </c>
      <c r="B111" s="25" t="s">
        <v>186</v>
      </c>
      <c r="C111" s="25"/>
      <c r="D111" s="25"/>
      <c r="E111" s="25"/>
      <c r="F111" s="25"/>
      <c r="G111" s="25"/>
      <c r="H111" s="25"/>
      <c r="I111" s="25"/>
      <c r="J111" s="25"/>
      <c r="K111" s="25"/>
      <c r="L111" s="25"/>
      <c r="M111" s="25"/>
      <c r="N111" s="25"/>
      <c r="O111" s="25"/>
      <c r="P111" s="25"/>
      <c r="Q111" s="25"/>
      <c r="R111" s="25"/>
      <c r="S111" s="25"/>
      <c r="T111" s="25"/>
      <c r="U111" s="25"/>
      <c r="V111" s="53">
        <v>-144</v>
      </c>
      <c r="W111" s="25"/>
      <c r="X111" s="5"/>
      <c r="Y111" s="109"/>
    </row>
    <row r="112" spans="1:25" ht="15.75" x14ac:dyDescent="0.25">
      <c r="A112" s="24">
        <v>6</v>
      </c>
      <c r="B112" s="25" t="s">
        <v>196</v>
      </c>
      <c r="C112" s="25"/>
      <c r="D112" s="25"/>
      <c r="E112" s="25"/>
      <c r="F112" s="25"/>
      <c r="G112" s="25"/>
      <c r="H112" s="25"/>
      <c r="I112" s="25"/>
      <c r="J112" s="25"/>
      <c r="K112" s="25"/>
      <c r="L112" s="25"/>
      <c r="M112" s="25"/>
      <c r="N112" s="25"/>
      <c r="O112" s="25"/>
      <c r="P112" s="25"/>
      <c r="Q112" s="25"/>
      <c r="R112" s="25"/>
      <c r="S112" s="25"/>
      <c r="T112" s="25"/>
      <c r="U112" s="25"/>
      <c r="V112" s="53">
        <v>-701</v>
      </c>
      <c r="W112" s="25"/>
      <c r="X112" s="5"/>
      <c r="Y112" s="109"/>
    </row>
    <row r="113" spans="1:24" ht="15.75" x14ac:dyDescent="0.25">
      <c r="A113" s="24">
        <v>7</v>
      </c>
      <c r="B113" s="25" t="s">
        <v>35</v>
      </c>
      <c r="C113" s="25"/>
      <c r="D113" s="25"/>
      <c r="E113" s="25"/>
      <c r="F113" s="25"/>
      <c r="G113" s="25"/>
      <c r="H113" s="25"/>
      <c r="I113" s="25"/>
      <c r="J113" s="25"/>
      <c r="K113" s="25"/>
      <c r="L113" s="25"/>
      <c r="M113" s="25"/>
      <c r="N113" s="25"/>
      <c r="O113" s="25"/>
      <c r="P113" s="25"/>
      <c r="Q113" s="25"/>
      <c r="R113" s="25"/>
      <c r="S113" s="25"/>
      <c r="T113" s="25"/>
      <c r="U113" s="25"/>
      <c r="V113" s="53">
        <v>-9</v>
      </c>
      <c r="W113" s="25"/>
      <c r="X113" s="5"/>
    </row>
    <row r="114" spans="1:24" ht="15.75" x14ac:dyDescent="0.25">
      <c r="A114" s="24">
        <f t="shared" ref="A114:A119" si="0">+A113+1</f>
        <v>8</v>
      </c>
      <c r="B114" s="25" t="s">
        <v>45</v>
      </c>
      <c r="C114" s="25"/>
      <c r="D114" s="25"/>
      <c r="E114" s="25"/>
      <c r="F114" s="25"/>
      <c r="G114" s="25"/>
      <c r="H114" s="25"/>
      <c r="I114" s="25"/>
      <c r="J114" s="25"/>
      <c r="K114" s="25"/>
      <c r="L114" s="25"/>
      <c r="M114" s="25"/>
      <c r="N114" s="25"/>
      <c r="O114" s="25"/>
      <c r="P114" s="25"/>
      <c r="Q114" s="25"/>
      <c r="R114" s="25"/>
      <c r="S114" s="25"/>
      <c r="T114" s="34">
        <f>-V114</f>
        <v>128</v>
      </c>
      <c r="U114" s="25"/>
      <c r="V114" s="53">
        <v>-128</v>
      </c>
      <c r="W114" s="25"/>
      <c r="X114" s="5"/>
    </row>
    <row r="115" spans="1:24" ht="15.75" x14ac:dyDescent="0.25">
      <c r="A115" s="24">
        <f t="shared" si="0"/>
        <v>9</v>
      </c>
      <c r="B115" s="25" t="s">
        <v>125</v>
      </c>
      <c r="C115" s="25"/>
      <c r="D115" s="25"/>
      <c r="E115" s="25"/>
      <c r="F115" s="25"/>
      <c r="G115" s="25"/>
      <c r="H115" s="25"/>
      <c r="I115" s="25"/>
      <c r="J115" s="25"/>
      <c r="K115" s="25"/>
      <c r="L115" s="25"/>
      <c r="M115" s="25"/>
      <c r="N115" s="25"/>
      <c r="O115" s="25"/>
      <c r="P115" s="25"/>
      <c r="Q115" s="25"/>
      <c r="R115" s="25"/>
      <c r="S115" s="25"/>
      <c r="T115" s="25"/>
      <c r="U115" s="25"/>
      <c r="V115" s="53">
        <v>0</v>
      </c>
      <c r="W115" s="25"/>
      <c r="X115" s="5"/>
    </row>
    <row r="116" spans="1:24" ht="15.75" x14ac:dyDescent="0.25">
      <c r="A116" s="24">
        <f t="shared" si="0"/>
        <v>10</v>
      </c>
      <c r="B116" s="25" t="s">
        <v>225</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4" ht="15.75" x14ac:dyDescent="0.25">
      <c r="A117" s="24">
        <f t="shared" si="0"/>
        <v>11</v>
      </c>
      <c r="B117" s="25" t="s">
        <v>36</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4" ht="15.75" x14ac:dyDescent="0.25">
      <c r="A118" s="24">
        <f t="shared" si="0"/>
        <v>12</v>
      </c>
      <c r="B118" s="25" t="s">
        <v>149</v>
      </c>
      <c r="C118" s="25"/>
      <c r="D118" s="25"/>
      <c r="E118" s="25"/>
      <c r="F118" s="25"/>
      <c r="G118" s="25"/>
      <c r="H118" s="25"/>
      <c r="I118" s="25"/>
      <c r="J118" s="25"/>
      <c r="K118" s="25"/>
      <c r="L118" s="25"/>
      <c r="M118" s="25"/>
      <c r="N118" s="25"/>
      <c r="O118" s="25"/>
      <c r="P118" s="25"/>
      <c r="Q118" s="25"/>
      <c r="R118" s="25"/>
      <c r="S118" s="25"/>
      <c r="T118" s="25"/>
      <c r="U118" s="25"/>
      <c r="V118" s="53">
        <v>-335</v>
      </c>
      <c r="W118" s="25"/>
      <c r="X118" s="5"/>
    </row>
    <row r="119" spans="1:24" ht="15.75" x14ac:dyDescent="0.25">
      <c r="A119" s="24">
        <f t="shared" si="0"/>
        <v>13</v>
      </c>
      <c r="B119" s="25" t="s">
        <v>126</v>
      </c>
      <c r="C119" s="25"/>
      <c r="D119" s="25"/>
      <c r="E119" s="25"/>
      <c r="F119" s="25"/>
      <c r="G119" s="25"/>
      <c r="H119" s="25"/>
      <c r="I119" s="25"/>
      <c r="J119" s="25"/>
      <c r="K119" s="25"/>
      <c r="L119" s="25"/>
      <c r="M119" s="25"/>
      <c r="N119" s="25"/>
      <c r="O119" s="25"/>
      <c r="P119" s="25"/>
      <c r="Q119" s="25"/>
      <c r="R119" s="25"/>
      <c r="S119" s="25"/>
      <c r="T119" s="25"/>
      <c r="U119" s="25"/>
      <c r="V119" s="53">
        <f>-V102-SUM(V104:V118)</f>
        <v>-1447</v>
      </c>
      <c r="W119" s="25"/>
      <c r="X119" s="5"/>
    </row>
    <row r="120" spans="1:24" ht="15.75" x14ac:dyDescent="0.25">
      <c r="A120" s="24"/>
      <c r="B120" s="118" t="s">
        <v>37</v>
      </c>
      <c r="C120" s="25"/>
      <c r="D120" s="25"/>
      <c r="E120" s="25"/>
      <c r="F120" s="25"/>
      <c r="G120" s="25"/>
      <c r="H120" s="25"/>
      <c r="I120" s="25"/>
      <c r="J120" s="25"/>
      <c r="K120" s="25"/>
      <c r="L120" s="25"/>
      <c r="M120" s="25"/>
      <c r="N120" s="25"/>
      <c r="O120" s="25"/>
      <c r="P120" s="25"/>
      <c r="Q120" s="25"/>
      <c r="R120" s="25"/>
      <c r="S120" s="25"/>
      <c r="T120" s="25"/>
      <c r="U120" s="25"/>
      <c r="V120" s="59"/>
      <c r="W120" s="25"/>
      <c r="X120" s="5"/>
    </row>
    <row r="121" spans="1:24" ht="15.75" x14ac:dyDescent="0.25">
      <c r="A121" s="24"/>
      <c r="B121" s="25" t="s">
        <v>173</v>
      </c>
      <c r="C121" s="25"/>
      <c r="D121" s="25"/>
      <c r="E121" s="25"/>
      <c r="F121" s="25"/>
      <c r="G121" s="25"/>
      <c r="H121" s="25"/>
      <c r="I121" s="25"/>
      <c r="J121" s="25"/>
      <c r="K121" s="25"/>
      <c r="L121" s="25"/>
      <c r="M121" s="25"/>
      <c r="N121" s="25"/>
      <c r="O121" s="25"/>
      <c r="P121" s="25"/>
      <c r="Q121" s="25"/>
      <c r="R121" s="25"/>
      <c r="S121" s="25"/>
      <c r="T121" s="34">
        <f>-T185</f>
        <v>-97</v>
      </c>
      <c r="U121" s="34"/>
      <c r="V121" s="53"/>
      <c r="W121" s="25"/>
      <c r="X121" s="5"/>
    </row>
    <row r="122" spans="1:24" ht="15.75" x14ac:dyDescent="0.25">
      <c r="A122" s="24"/>
      <c r="B122" s="25" t="s">
        <v>174</v>
      </c>
      <c r="C122" s="25"/>
      <c r="D122" s="25"/>
      <c r="E122" s="25"/>
      <c r="F122" s="25"/>
      <c r="G122" s="25"/>
      <c r="H122" s="25"/>
      <c r="I122" s="25"/>
      <c r="J122" s="25"/>
      <c r="K122" s="25"/>
      <c r="L122" s="25"/>
      <c r="M122" s="25"/>
      <c r="N122" s="25"/>
      <c r="O122" s="25"/>
      <c r="P122" s="25"/>
      <c r="Q122" s="25"/>
      <c r="R122" s="25"/>
      <c r="S122" s="25"/>
      <c r="T122" s="34">
        <v>-1</v>
      </c>
      <c r="U122" s="34"/>
      <c r="V122" s="53"/>
      <c r="W122" s="25"/>
      <c r="X122" s="5"/>
    </row>
    <row r="123" spans="1:24" ht="15.75" x14ac:dyDescent="0.25">
      <c r="A123" s="24"/>
      <c r="B123" s="25" t="s">
        <v>38</v>
      </c>
      <c r="C123" s="25"/>
      <c r="D123" s="25"/>
      <c r="E123" s="25"/>
      <c r="F123" s="25"/>
      <c r="G123" s="25"/>
      <c r="H123" s="25"/>
      <c r="I123" s="25"/>
      <c r="J123" s="25"/>
      <c r="K123" s="25"/>
      <c r="L123" s="25"/>
      <c r="M123" s="25"/>
      <c r="N123" s="25"/>
      <c r="O123" s="25"/>
      <c r="P123" s="25"/>
      <c r="Q123" s="25"/>
      <c r="R123" s="25"/>
      <c r="S123" s="25"/>
      <c r="T123" s="34">
        <f>-S185</f>
        <v>-124</v>
      </c>
      <c r="U123" s="34"/>
      <c r="V123" s="53"/>
      <c r="W123" s="25"/>
      <c r="X123" s="5"/>
    </row>
    <row r="124" spans="1:24" ht="15.75" x14ac:dyDescent="0.25">
      <c r="A124" s="24"/>
      <c r="B124" s="25" t="s">
        <v>197</v>
      </c>
      <c r="C124" s="25"/>
      <c r="D124" s="25"/>
      <c r="E124" s="25"/>
      <c r="F124" s="25"/>
      <c r="G124" s="25"/>
      <c r="H124" s="25"/>
      <c r="I124" s="25"/>
      <c r="J124" s="25"/>
      <c r="K124" s="25"/>
      <c r="L124" s="25"/>
      <c r="M124" s="25"/>
      <c r="N124" s="25"/>
      <c r="O124" s="25"/>
      <c r="P124" s="25"/>
      <c r="Q124" s="25"/>
      <c r="R124" s="25"/>
      <c r="S124" s="25"/>
      <c r="T124" s="34">
        <v>-9357</v>
      </c>
      <c r="U124" s="34"/>
      <c r="V124" s="53"/>
      <c r="W124" s="25"/>
      <c r="X124" s="5"/>
    </row>
    <row r="125" spans="1:24" ht="15.75" x14ac:dyDescent="0.25">
      <c r="A125" s="24"/>
      <c r="B125" s="25" t="s">
        <v>195</v>
      </c>
      <c r="C125" s="25"/>
      <c r="D125" s="25"/>
      <c r="E125" s="25"/>
      <c r="F125" s="25"/>
      <c r="G125" s="25"/>
      <c r="H125" s="25"/>
      <c r="I125" s="25"/>
      <c r="J125" s="25"/>
      <c r="K125" s="25"/>
      <c r="L125" s="25"/>
      <c r="M125" s="25"/>
      <c r="N125" s="25"/>
      <c r="O125" s="25"/>
      <c r="P125" s="25"/>
      <c r="Q125" s="25"/>
      <c r="R125" s="25"/>
      <c r="S125" s="25"/>
      <c r="T125" s="34">
        <v>-3976</v>
      </c>
      <c r="U125" s="34"/>
      <c r="V125" s="53"/>
      <c r="W125" s="25"/>
      <c r="X125" s="5"/>
    </row>
    <row r="126" spans="1:24" ht="15.75" x14ac:dyDescent="0.25">
      <c r="A126" s="24"/>
      <c r="B126" s="25" t="s">
        <v>194</v>
      </c>
      <c r="C126" s="25"/>
      <c r="D126" s="25"/>
      <c r="E126" s="25"/>
      <c r="F126" s="25"/>
      <c r="G126" s="25"/>
      <c r="H126" s="25"/>
      <c r="I126" s="25"/>
      <c r="J126" s="25"/>
      <c r="K126" s="25"/>
      <c r="L126" s="25"/>
      <c r="M126" s="25"/>
      <c r="N126" s="25"/>
      <c r="O126" s="25"/>
      <c r="P126" s="25"/>
      <c r="Q126" s="25"/>
      <c r="R126" s="25"/>
      <c r="S126" s="25"/>
      <c r="T126" s="34">
        <v>-1417</v>
      </c>
      <c r="U126" s="34"/>
      <c r="V126" s="53"/>
      <c r="W126" s="25"/>
      <c r="X126" s="5"/>
    </row>
    <row r="127" spans="1:24" ht="15.75" x14ac:dyDescent="0.25">
      <c r="A127" s="24"/>
      <c r="B127" s="25" t="s">
        <v>222</v>
      </c>
      <c r="C127" s="25"/>
      <c r="D127" s="25"/>
      <c r="E127" s="25"/>
      <c r="F127" s="25"/>
      <c r="G127" s="25"/>
      <c r="H127" s="25"/>
      <c r="I127" s="25"/>
      <c r="J127" s="25"/>
      <c r="K127" s="25"/>
      <c r="L127" s="25"/>
      <c r="M127" s="25"/>
      <c r="N127" s="25"/>
      <c r="O127" s="25"/>
      <c r="P127" s="25"/>
      <c r="Q127" s="25"/>
      <c r="R127" s="25"/>
      <c r="S127" s="25"/>
      <c r="T127" s="34">
        <v>-1404</v>
      </c>
      <c r="U127" s="34"/>
      <c r="V127" s="53"/>
      <c r="W127" s="25"/>
      <c r="X127" s="5"/>
    </row>
    <row r="128" spans="1:24" ht="15.75" x14ac:dyDescent="0.25">
      <c r="A128" s="24"/>
      <c r="B128" s="25" t="s">
        <v>189</v>
      </c>
      <c r="C128" s="25"/>
      <c r="D128" s="25"/>
      <c r="E128" s="25"/>
      <c r="F128" s="25"/>
      <c r="G128" s="25"/>
      <c r="H128" s="25"/>
      <c r="I128" s="25"/>
      <c r="J128" s="25"/>
      <c r="K128" s="25"/>
      <c r="L128" s="25"/>
      <c r="M128" s="25"/>
      <c r="N128" s="25"/>
      <c r="O128" s="25"/>
      <c r="P128" s="25"/>
      <c r="Q128" s="25"/>
      <c r="R128" s="25"/>
      <c r="S128" s="25"/>
      <c r="T128" s="34">
        <v>0</v>
      </c>
      <c r="U128" s="34"/>
      <c r="V128" s="53"/>
      <c r="W128" s="25"/>
      <c r="X128" s="5"/>
    </row>
    <row r="129" spans="1:24" ht="15.75" x14ac:dyDescent="0.25">
      <c r="A129" s="24"/>
      <c r="B129" s="25" t="s">
        <v>188</v>
      </c>
      <c r="C129" s="25"/>
      <c r="D129" s="25"/>
      <c r="E129" s="25"/>
      <c r="F129" s="25"/>
      <c r="G129" s="25"/>
      <c r="H129" s="25"/>
      <c r="I129" s="25"/>
      <c r="J129" s="25"/>
      <c r="K129" s="25"/>
      <c r="L129" s="25"/>
      <c r="M129" s="25"/>
      <c r="N129" s="25"/>
      <c r="O129" s="25"/>
      <c r="P129" s="25"/>
      <c r="Q129" s="25"/>
      <c r="R129" s="25"/>
      <c r="S129" s="25"/>
      <c r="T129" s="34">
        <v>0</v>
      </c>
      <c r="U129" s="34"/>
      <c r="V129" s="53"/>
      <c r="W129" s="25"/>
      <c r="X129" s="5"/>
    </row>
    <row r="130" spans="1:24" ht="15.75" x14ac:dyDescent="0.25">
      <c r="A130" s="24"/>
      <c r="B130" s="25" t="s">
        <v>187</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75" x14ac:dyDescent="0.25">
      <c r="A131" s="24"/>
      <c r="B131" s="25" t="s">
        <v>39</v>
      </c>
      <c r="C131" s="25"/>
      <c r="D131" s="25"/>
      <c r="E131" s="25"/>
      <c r="F131" s="25"/>
      <c r="G131" s="25"/>
      <c r="H131" s="25"/>
      <c r="I131" s="25"/>
      <c r="J131" s="25"/>
      <c r="K131" s="25"/>
      <c r="L131" s="25"/>
      <c r="M131" s="25"/>
      <c r="N131" s="25"/>
      <c r="O131" s="25"/>
      <c r="P131" s="25"/>
      <c r="Q131" s="25"/>
      <c r="R131" s="25"/>
      <c r="S131" s="25"/>
      <c r="T131" s="34">
        <f>SUM(T121:T130)</f>
        <v>-16376</v>
      </c>
      <c r="U131" s="34"/>
      <c r="V131" s="34">
        <f>SUM(V103:V129)</f>
        <v>-13292</v>
      </c>
      <c r="W131" s="25"/>
      <c r="X131" s="5"/>
    </row>
    <row r="132" spans="1:24" ht="15.75" x14ac:dyDescent="0.25">
      <c r="A132" s="24"/>
      <c r="B132" s="25" t="s">
        <v>40</v>
      </c>
      <c r="C132" s="25"/>
      <c r="D132" s="25"/>
      <c r="E132" s="25"/>
      <c r="F132" s="25"/>
      <c r="G132" s="25"/>
      <c r="H132" s="25"/>
      <c r="I132" s="25"/>
      <c r="J132" s="25"/>
      <c r="K132" s="25"/>
      <c r="L132" s="25"/>
      <c r="M132" s="25"/>
      <c r="N132" s="25"/>
      <c r="O132" s="25"/>
      <c r="P132" s="25"/>
      <c r="Q132" s="25"/>
      <c r="R132" s="25"/>
      <c r="S132" s="25"/>
      <c r="T132" s="34">
        <f>T102+T131+T114</f>
        <v>0</v>
      </c>
      <c r="U132" s="34"/>
      <c r="V132" s="34">
        <f>V102+V131</f>
        <v>0</v>
      </c>
      <c r="W132" s="25"/>
      <c r="X132" s="5"/>
    </row>
    <row r="133" spans="1:24" ht="15.75" x14ac:dyDescent="0.25">
      <c r="A133" s="24"/>
      <c r="B133" s="25"/>
      <c r="C133" s="25"/>
      <c r="D133" s="25"/>
      <c r="E133" s="25"/>
      <c r="F133" s="25"/>
      <c r="G133" s="25"/>
      <c r="H133" s="25"/>
      <c r="I133" s="25"/>
      <c r="J133" s="25"/>
      <c r="K133" s="25"/>
      <c r="L133" s="25"/>
      <c r="M133" s="25"/>
      <c r="N133" s="25"/>
      <c r="O133" s="25"/>
      <c r="P133" s="25"/>
      <c r="Q133" s="25"/>
      <c r="R133" s="25"/>
      <c r="S133" s="25"/>
      <c r="T133" s="34"/>
      <c r="U133" s="34"/>
      <c r="V133" s="34"/>
      <c r="W133" s="25"/>
      <c r="X133" s="5"/>
    </row>
    <row r="134" spans="1:24" ht="15.75" x14ac:dyDescent="0.25">
      <c r="A134" s="6"/>
      <c r="B134" s="8"/>
      <c r="C134" s="8"/>
      <c r="D134" s="8"/>
      <c r="E134" s="8"/>
      <c r="F134" s="8"/>
      <c r="G134" s="8"/>
      <c r="H134" s="8"/>
      <c r="I134" s="8"/>
      <c r="J134" s="8"/>
      <c r="K134" s="8"/>
      <c r="L134" s="8"/>
      <c r="M134" s="8"/>
      <c r="N134" s="8"/>
      <c r="O134" s="8"/>
      <c r="P134" s="8"/>
      <c r="Q134" s="8"/>
      <c r="R134" s="8"/>
      <c r="S134" s="8"/>
      <c r="T134" s="8"/>
      <c r="U134" s="8"/>
      <c r="V134" s="52"/>
      <c r="W134" s="8"/>
      <c r="X134" s="5"/>
    </row>
    <row r="135" spans="1:24" ht="19.5" thickBot="1" x14ac:dyDescent="0.35">
      <c r="A135" s="101"/>
      <c r="B135" s="102" t="str">
        <f>B64</f>
        <v>PM15 INVESTOR REPORT QUARTER ENDING FEBRUARY 2009</v>
      </c>
      <c r="C135" s="103"/>
      <c r="D135" s="103"/>
      <c r="E135" s="103"/>
      <c r="F135" s="103"/>
      <c r="G135" s="103"/>
      <c r="H135" s="103"/>
      <c r="I135" s="103"/>
      <c r="J135" s="103"/>
      <c r="K135" s="103"/>
      <c r="L135" s="103"/>
      <c r="M135" s="103"/>
      <c r="N135" s="103"/>
      <c r="O135" s="103"/>
      <c r="P135" s="103"/>
      <c r="Q135" s="103"/>
      <c r="R135" s="103"/>
      <c r="S135" s="103"/>
      <c r="T135" s="103"/>
      <c r="U135" s="103"/>
      <c r="V135" s="106"/>
      <c r="W135" s="105"/>
      <c r="X135" s="5"/>
    </row>
    <row r="136" spans="1:24" ht="15.75" x14ac:dyDescent="0.25">
      <c r="A136" s="2"/>
      <c r="B136" s="60" t="s">
        <v>41</v>
      </c>
      <c r="C136" s="4"/>
      <c r="D136" s="4"/>
      <c r="E136" s="4"/>
      <c r="F136" s="4"/>
      <c r="G136" s="4"/>
      <c r="H136" s="4"/>
      <c r="I136" s="4"/>
      <c r="J136" s="4"/>
      <c r="K136" s="4"/>
      <c r="L136" s="4"/>
      <c r="M136" s="4"/>
      <c r="N136" s="4"/>
      <c r="O136" s="4"/>
      <c r="P136" s="4"/>
      <c r="Q136" s="4"/>
      <c r="R136" s="4"/>
      <c r="S136" s="4"/>
      <c r="T136" s="4"/>
      <c r="U136" s="4"/>
      <c r="V136" s="50"/>
      <c r="W136" s="4"/>
      <c r="X136" s="5"/>
    </row>
    <row r="137" spans="1:24" ht="15.75" x14ac:dyDescent="0.25">
      <c r="A137" s="6"/>
      <c r="B137" s="21"/>
      <c r="C137" s="8"/>
      <c r="D137" s="8"/>
      <c r="E137" s="8"/>
      <c r="F137" s="8"/>
      <c r="G137" s="8"/>
      <c r="H137" s="8"/>
      <c r="I137" s="8"/>
      <c r="J137" s="8"/>
      <c r="K137" s="8"/>
      <c r="L137" s="8"/>
      <c r="M137" s="8"/>
      <c r="N137" s="8"/>
      <c r="O137" s="8"/>
      <c r="P137" s="8"/>
      <c r="Q137" s="8"/>
      <c r="R137" s="8"/>
      <c r="S137" s="8"/>
      <c r="T137" s="8"/>
      <c r="U137" s="8"/>
      <c r="V137" s="52"/>
      <c r="W137" s="8"/>
      <c r="X137" s="5"/>
    </row>
    <row r="138" spans="1:24" ht="15.75" x14ac:dyDescent="0.25">
      <c r="A138" s="6"/>
      <c r="B138" s="119" t="s">
        <v>42</v>
      </c>
      <c r="C138" s="8"/>
      <c r="D138" s="8"/>
      <c r="E138" s="8"/>
      <c r="F138" s="8"/>
      <c r="G138" s="8"/>
      <c r="H138" s="8"/>
      <c r="I138" s="8"/>
      <c r="J138" s="8"/>
      <c r="K138" s="8"/>
      <c r="L138" s="8"/>
      <c r="M138" s="8"/>
      <c r="N138" s="8"/>
      <c r="O138" s="8"/>
      <c r="P138" s="8"/>
      <c r="Q138" s="8"/>
      <c r="R138" s="8"/>
      <c r="S138" s="8"/>
      <c r="T138" s="8"/>
      <c r="U138" s="8"/>
      <c r="V138" s="52"/>
      <c r="W138" s="8"/>
      <c r="X138" s="5"/>
    </row>
    <row r="139" spans="1:24" ht="15.75" x14ac:dyDescent="0.25">
      <c r="A139" s="24"/>
      <c r="B139" s="25" t="s">
        <v>43</v>
      </c>
      <c r="C139" s="25"/>
      <c r="D139" s="25"/>
      <c r="E139" s="25"/>
      <c r="F139" s="25"/>
      <c r="G139" s="25"/>
      <c r="H139" s="25"/>
      <c r="I139" s="25"/>
      <c r="J139" s="25"/>
      <c r="K139" s="25"/>
      <c r="L139" s="25"/>
      <c r="M139" s="25"/>
      <c r="N139" s="25"/>
      <c r="O139" s="25"/>
      <c r="P139" s="25"/>
      <c r="Q139" s="25"/>
      <c r="R139" s="25"/>
      <c r="S139" s="25"/>
      <c r="T139" s="25"/>
      <c r="U139" s="25"/>
      <c r="V139" s="53">
        <f>+V34*0.019</f>
        <v>19021.526999999998</v>
      </c>
      <c r="W139" s="25"/>
      <c r="X139" s="5"/>
    </row>
    <row r="140" spans="1:24" ht="15.75" x14ac:dyDescent="0.25">
      <c r="A140" s="24"/>
      <c r="B140" s="25" t="s">
        <v>44</v>
      </c>
      <c r="C140" s="25"/>
      <c r="D140" s="25"/>
      <c r="E140" s="25"/>
      <c r="F140" s="25"/>
      <c r="G140" s="25"/>
      <c r="H140" s="25"/>
      <c r="I140" s="25"/>
      <c r="J140" s="25"/>
      <c r="K140" s="25"/>
      <c r="L140" s="25"/>
      <c r="M140" s="25"/>
      <c r="N140" s="25"/>
      <c r="O140" s="25"/>
      <c r="P140" s="25"/>
      <c r="Q140" s="25"/>
      <c r="R140" s="25"/>
      <c r="S140" s="25"/>
      <c r="T140" s="25"/>
      <c r="U140" s="25"/>
      <c r="V140" s="53">
        <v>19022</v>
      </c>
      <c r="W140" s="25"/>
      <c r="X140" s="5"/>
    </row>
    <row r="141" spans="1:24" ht="15.75" x14ac:dyDescent="0.25">
      <c r="A141" s="24"/>
      <c r="B141" s="25" t="s">
        <v>136</v>
      </c>
      <c r="C141" s="25"/>
      <c r="D141" s="25"/>
      <c r="E141" s="25"/>
      <c r="F141" s="25"/>
      <c r="G141" s="25"/>
      <c r="H141" s="25"/>
      <c r="I141" s="25"/>
      <c r="J141" s="25"/>
      <c r="K141" s="25"/>
      <c r="L141" s="25"/>
      <c r="M141" s="25"/>
      <c r="N141" s="25"/>
      <c r="O141" s="25"/>
      <c r="P141" s="25"/>
      <c r="Q141" s="25"/>
      <c r="R141" s="25"/>
      <c r="S141" s="25"/>
      <c r="T141" s="25"/>
      <c r="U141" s="25"/>
      <c r="V141" s="53"/>
      <c r="W141" s="25"/>
      <c r="X141" s="5"/>
    </row>
    <row r="142" spans="1:24" ht="15.75" x14ac:dyDescent="0.25">
      <c r="A142" s="24"/>
      <c r="B142" s="25" t="s">
        <v>123</v>
      </c>
      <c r="C142" s="25"/>
      <c r="D142" s="25"/>
      <c r="E142" s="25"/>
      <c r="F142" s="25"/>
      <c r="G142" s="25"/>
      <c r="H142" s="25"/>
      <c r="I142" s="25"/>
      <c r="J142" s="25"/>
      <c r="K142" s="25"/>
      <c r="L142" s="25"/>
      <c r="M142" s="25"/>
      <c r="N142" s="25"/>
      <c r="O142" s="25"/>
      <c r="P142" s="25"/>
      <c r="Q142" s="25"/>
      <c r="R142" s="25"/>
      <c r="S142" s="25"/>
      <c r="T142" s="25"/>
      <c r="U142" s="25"/>
      <c r="V142" s="53">
        <v>0</v>
      </c>
      <c r="W142" s="25"/>
      <c r="X142" s="5"/>
    </row>
    <row r="143" spans="1:24" ht="15.75" x14ac:dyDescent="0.25">
      <c r="A143" s="24"/>
      <c r="B143" s="25" t="s">
        <v>124</v>
      </c>
      <c r="C143" s="25"/>
      <c r="D143" s="25"/>
      <c r="E143" s="25"/>
      <c r="F143" s="25"/>
      <c r="G143" s="25"/>
      <c r="H143" s="25"/>
      <c r="I143" s="25"/>
      <c r="J143" s="25"/>
      <c r="K143" s="25"/>
      <c r="L143" s="25"/>
      <c r="M143" s="25"/>
      <c r="N143" s="25"/>
      <c r="O143" s="25"/>
      <c r="P143" s="25"/>
      <c r="Q143" s="25"/>
      <c r="R143" s="25"/>
      <c r="S143" s="25"/>
      <c r="T143" s="25"/>
      <c r="U143" s="25"/>
      <c r="V143" s="53">
        <v>0</v>
      </c>
      <c r="W143" s="25"/>
      <c r="X143" s="5"/>
    </row>
    <row r="144" spans="1:24" ht="15.75" x14ac:dyDescent="0.25">
      <c r="A144" s="24"/>
      <c r="B144" s="25" t="s">
        <v>175</v>
      </c>
      <c r="C144" s="25"/>
      <c r="D144" s="25"/>
      <c r="E144" s="25"/>
      <c r="F144" s="25"/>
      <c r="G144" s="25"/>
      <c r="H144" s="25"/>
      <c r="I144" s="25"/>
      <c r="J144" s="25"/>
      <c r="K144" s="25"/>
      <c r="L144" s="25"/>
      <c r="M144" s="25"/>
      <c r="N144" s="25"/>
      <c r="O144" s="25"/>
      <c r="P144" s="25"/>
      <c r="Q144" s="25"/>
      <c r="R144" s="25"/>
      <c r="S144" s="25"/>
      <c r="T144" s="25"/>
      <c r="U144" s="25"/>
      <c r="V144" s="53">
        <v>0</v>
      </c>
      <c r="W144" s="25"/>
      <c r="X144" s="5"/>
    </row>
    <row r="145" spans="1:25" ht="15.75" x14ac:dyDescent="0.25">
      <c r="A145" s="24"/>
      <c r="B145" s="25" t="s">
        <v>45</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75" x14ac:dyDescent="0.25">
      <c r="A146" s="24"/>
      <c r="B146" s="25" t="s">
        <v>129</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75" x14ac:dyDescent="0.25">
      <c r="A147" s="24"/>
      <c r="B147" s="25" t="s">
        <v>241</v>
      </c>
      <c r="C147" s="25"/>
      <c r="D147" s="25"/>
      <c r="E147" s="25"/>
      <c r="F147" s="25"/>
      <c r="G147" s="25"/>
      <c r="H147" s="25"/>
      <c r="I147" s="25"/>
      <c r="J147" s="25"/>
      <c r="K147" s="25"/>
      <c r="L147" s="25"/>
      <c r="M147" s="25"/>
      <c r="N147" s="25"/>
      <c r="O147" s="25"/>
      <c r="P147" s="25"/>
      <c r="Q147" s="25"/>
      <c r="R147" s="25"/>
      <c r="S147" s="25"/>
      <c r="T147" s="25"/>
      <c r="U147" s="25"/>
      <c r="V147" s="53">
        <v>0</v>
      </c>
      <c r="W147" s="25"/>
      <c r="X147" s="5"/>
      <c r="Y147" s="109"/>
    </row>
    <row r="148" spans="1:25" ht="15.75" x14ac:dyDescent="0.25">
      <c r="A148" s="24"/>
      <c r="B148" s="25" t="s">
        <v>46</v>
      </c>
      <c r="C148" s="25"/>
      <c r="D148" s="25"/>
      <c r="E148" s="25"/>
      <c r="F148" s="25"/>
      <c r="G148" s="25"/>
      <c r="H148" s="25"/>
      <c r="I148" s="25"/>
      <c r="J148" s="25"/>
      <c r="K148" s="25"/>
      <c r="L148" s="25"/>
      <c r="M148" s="25"/>
      <c r="N148" s="25"/>
      <c r="O148" s="25"/>
      <c r="P148" s="25"/>
      <c r="Q148" s="25"/>
      <c r="R148" s="25"/>
      <c r="S148" s="25"/>
      <c r="T148" s="25"/>
      <c r="U148" s="25"/>
      <c r="V148" s="53">
        <f>SUM(V140:V147)</f>
        <v>19022</v>
      </c>
      <c r="W148" s="25"/>
      <c r="X148" s="5"/>
    </row>
    <row r="149" spans="1:25" ht="15.75" x14ac:dyDescent="0.25">
      <c r="A149" s="24"/>
      <c r="B149" s="25"/>
      <c r="C149" s="25"/>
      <c r="D149" s="25"/>
      <c r="E149" s="25"/>
      <c r="F149" s="25"/>
      <c r="G149" s="25"/>
      <c r="H149" s="25"/>
      <c r="I149" s="25"/>
      <c r="J149" s="25"/>
      <c r="K149" s="25"/>
      <c r="L149" s="25"/>
      <c r="M149" s="25"/>
      <c r="N149" s="25"/>
      <c r="O149" s="25"/>
      <c r="P149" s="25"/>
      <c r="Q149" s="25"/>
      <c r="R149" s="25"/>
      <c r="S149" s="25"/>
      <c r="T149" s="25"/>
      <c r="U149" s="25"/>
      <c r="V149" s="53"/>
      <c r="W149" s="25"/>
      <c r="X149" s="5"/>
    </row>
    <row r="150" spans="1:25" ht="15.75" x14ac:dyDescent="0.25">
      <c r="A150" s="24"/>
      <c r="B150" s="135" t="s">
        <v>269</v>
      </c>
      <c r="C150" s="25"/>
      <c r="D150" s="25"/>
      <c r="E150" s="25"/>
      <c r="F150" s="25"/>
      <c r="G150" s="25"/>
      <c r="H150" s="25"/>
      <c r="I150" s="25"/>
      <c r="J150" s="25"/>
      <c r="K150" s="25"/>
      <c r="L150" s="25"/>
      <c r="M150" s="25"/>
      <c r="N150" s="25"/>
      <c r="O150" s="25"/>
      <c r="P150" s="25"/>
      <c r="Q150" s="25"/>
      <c r="R150" s="25"/>
      <c r="S150" s="25"/>
      <c r="T150" s="25"/>
      <c r="U150" s="25"/>
      <c r="V150" s="53"/>
      <c r="W150" s="25"/>
      <c r="X150" s="5"/>
    </row>
    <row r="151" spans="1:25" ht="15.75" x14ac:dyDescent="0.25">
      <c r="A151" s="24"/>
      <c r="B151" s="25" t="s">
        <v>155</v>
      </c>
      <c r="C151" s="25"/>
      <c r="D151" s="25"/>
      <c r="E151" s="25"/>
      <c r="F151" s="25"/>
      <c r="G151" s="25"/>
      <c r="H151" s="25"/>
      <c r="I151" s="25"/>
      <c r="J151" s="25"/>
      <c r="K151" s="25"/>
      <c r="L151" s="25"/>
      <c r="M151" s="25"/>
      <c r="N151" s="25"/>
      <c r="O151" s="25"/>
      <c r="P151" s="25"/>
      <c r="Q151" s="25"/>
      <c r="R151" s="25"/>
      <c r="S151" s="25"/>
      <c r="T151" s="25"/>
      <c r="U151" s="25"/>
      <c r="V151" s="53">
        <v>0</v>
      </c>
      <c r="W151" s="25"/>
      <c r="X151" s="5"/>
    </row>
    <row r="152" spans="1:25" ht="15.75" x14ac:dyDescent="0.25">
      <c r="A152" s="24"/>
      <c r="B152" s="25" t="s">
        <v>172</v>
      </c>
      <c r="C152" s="25"/>
      <c r="D152" s="25"/>
      <c r="E152" s="25"/>
      <c r="F152" s="25"/>
      <c r="G152" s="25"/>
      <c r="H152" s="25"/>
      <c r="I152" s="25"/>
      <c r="J152" s="25"/>
      <c r="K152" s="25"/>
      <c r="L152" s="25"/>
      <c r="M152" s="25"/>
      <c r="N152" s="25"/>
      <c r="O152" s="25"/>
      <c r="P152" s="25"/>
      <c r="Q152" s="25"/>
      <c r="R152" s="25"/>
      <c r="S152" s="25"/>
      <c r="T152" s="25"/>
      <c r="U152" s="25"/>
      <c r="V152" s="53">
        <v>0</v>
      </c>
      <c r="W152" s="25"/>
      <c r="X152" s="5"/>
    </row>
    <row r="153" spans="1:25" ht="15.75" x14ac:dyDescent="0.25">
      <c r="A153" s="24"/>
      <c r="B153" s="25" t="s">
        <v>226</v>
      </c>
      <c r="C153" s="25"/>
      <c r="D153" s="25"/>
      <c r="E153" s="25"/>
      <c r="F153" s="25"/>
      <c r="G153" s="25"/>
      <c r="H153" s="25"/>
      <c r="I153" s="25"/>
      <c r="J153" s="25"/>
      <c r="K153" s="25"/>
      <c r="L153" s="25"/>
      <c r="M153" s="25"/>
      <c r="N153" s="25"/>
      <c r="O153" s="25"/>
      <c r="P153" s="25"/>
      <c r="Q153" s="25"/>
      <c r="R153" s="25"/>
      <c r="S153" s="25"/>
      <c r="T153" s="25"/>
      <c r="U153" s="25"/>
      <c r="V153" s="53">
        <v>0</v>
      </c>
      <c r="W153" s="25"/>
      <c r="X153" s="5"/>
    </row>
    <row r="154" spans="1:25" ht="15.75" x14ac:dyDescent="0.25">
      <c r="A154" s="24"/>
      <c r="B154" s="25"/>
      <c r="C154" s="25"/>
      <c r="D154" s="25"/>
      <c r="E154" s="25"/>
      <c r="F154" s="25"/>
      <c r="G154" s="25"/>
      <c r="H154" s="25"/>
      <c r="I154" s="25"/>
      <c r="J154" s="25"/>
      <c r="K154" s="25"/>
      <c r="L154" s="25"/>
      <c r="M154" s="25"/>
      <c r="N154" s="25"/>
      <c r="O154" s="25"/>
      <c r="P154" s="25"/>
      <c r="Q154" s="25"/>
      <c r="R154" s="25"/>
      <c r="S154" s="25"/>
      <c r="T154" s="25"/>
      <c r="U154" s="25"/>
      <c r="V154" s="53"/>
      <c r="W154" s="25"/>
      <c r="X154" s="5"/>
    </row>
    <row r="155" spans="1:25" ht="15.75" x14ac:dyDescent="0.25">
      <c r="A155" s="24"/>
      <c r="B155" s="25"/>
      <c r="C155" s="25"/>
      <c r="D155" s="25"/>
      <c r="E155" s="25"/>
      <c r="F155" s="25"/>
      <c r="G155" s="25"/>
      <c r="H155" s="25"/>
      <c r="I155" s="25"/>
      <c r="J155" s="25"/>
      <c r="K155" s="25"/>
      <c r="L155" s="25"/>
      <c r="M155" s="25"/>
      <c r="N155" s="25"/>
      <c r="O155" s="25"/>
      <c r="P155" s="25"/>
      <c r="Q155" s="25"/>
      <c r="R155" s="25"/>
      <c r="S155" s="25"/>
      <c r="T155" s="25"/>
      <c r="U155" s="25"/>
      <c r="V155" s="61"/>
      <c r="W155" s="25"/>
      <c r="X155" s="5"/>
    </row>
    <row r="156" spans="1:25" ht="15.75" x14ac:dyDescent="0.25">
      <c r="A156" s="6"/>
      <c r="B156" s="119" t="s">
        <v>24</v>
      </c>
      <c r="C156" s="8"/>
      <c r="D156" s="8"/>
      <c r="E156" s="8"/>
      <c r="F156" s="8"/>
      <c r="G156" s="8"/>
      <c r="H156" s="8"/>
      <c r="I156" s="8"/>
      <c r="J156" s="8"/>
      <c r="K156" s="8"/>
      <c r="L156" s="8"/>
      <c r="M156" s="8"/>
      <c r="N156" s="8"/>
      <c r="O156" s="8"/>
      <c r="P156" s="8"/>
      <c r="Q156" s="8"/>
      <c r="R156" s="8"/>
      <c r="S156" s="8"/>
      <c r="T156" s="8"/>
      <c r="U156" s="8"/>
      <c r="V156" s="52"/>
      <c r="W156" s="8"/>
      <c r="X156" s="5"/>
    </row>
    <row r="157" spans="1:25" ht="15.75" x14ac:dyDescent="0.25">
      <c r="A157" s="24"/>
      <c r="B157" s="25" t="s">
        <v>47</v>
      </c>
      <c r="C157" s="25"/>
      <c r="D157" s="25"/>
      <c r="E157" s="25"/>
      <c r="F157" s="25"/>
      <c r="G157" s="25"/>
      <c r="H157" s="25"/>
      <c r="I157" s="25"/>
      <c r="J157" s="25"/>
      <c r="K157" s="25"/>
      <c r="L157" s="25"/>
      <c r="M157" s="25"/>
      <c r="N157" s="25"/>
      <c r="O157" s="25"/>
      <c r="P157" s="25"/>
      <c r="Q157" s="25"/>
      <c r="R157" s="25"/>
      <c r="S157" s="25"/>
      <c r="T157" s="25"/>
      <c r="U157" s="25"/>
      <c r="V157" s="59" t="s">
        <v>118</v>
      </c>
      <c r="W157" s="25"/>
      <c r="X157" s="5"/>
    </row>
    <row r="158" spans="1:25" ht="15.75" x14ac:dyDescent="0.25">
      <c r="A158" s="24"/>
      <c r="B158" s="25" t="s">
        <v>48</v>
      </c>
      <c r="C158" s="174"/>
      <c r="D158" s="174"/>
      <c r="E158" s="174"/>
      <c r="F158" s="174"/>
      <c r="G158" s="174"/>
      <c r="H158" s="174"/>
      <c r="I158" s="174"/>
      <c r="J158" s="174"/>
      <c r="K158" s="174"/>
      <c r="L158" s="174"/>
      <c r="M158" s="174"/>
      <c r="N158" s="174"/>
      <c r="O158" s="174"/>
      <c r="P158" s="174"/>
      <c r="Q158" s="174"/>
      <c r="R158" s="174"/>
      <c r="S158" s="174"/>
      <c r="T158" s="174"/>
      <c r="U158" s="174"/>
      <c r="V158" s="59" t="s">
        <v>118</v>
      </c>
      <c r="W158" s="25"/>
      <c r="X158" s="5"/>
    </row>
    <row r="159" spans="1:25" ht="15.75" x14ac:dyDescent="0.25">
      <c r="A159" s="24"/>
      <c r="B159" s="25" t="s">
        <v>49</v>
      </c>
      <c r="C159" s="25"/>
      <c r="D159" s="25"/>
      <c r="E159" s="25"/>
      <c r="F159" s="25"/>
      <c r="G159" s="25"/>
      <c r="H159" s="25"/>
      <c r="I159" s="25"/>
      <c r="J159" s="25"/>
      <c r="K159" s="25"/>
      <c r="L159" s="25"/>
      <c r="M159" s="25"/>
      <c r="N159" s="25"/>
      <c r="O159" s="25"/>
      <c r="P159" s="25"/>
      <c r="Q159" s="25"/>
      <c r="R159" s="25"/>
      <c r="S159" s="25"/>
      <c r="T159" s="25"/>
      <c r="U159" s="25"/>
      <c r="V159" s="59" t="s">
        <v>118</v>
      </c>
      <c r="W159" s="25"/>
      <c r="X159" s="5"/>
    </row>
    <row r="160" spans="1:25" ht="15.75" x14ac:dyDescent="0.25">
      <c r="A160" s="24"/>
      <c r="B160" s="25" t="s">
        <v>50</v>
      </c>
      <c r="C160" s="25"/>
      <c r="D160" s="25"/>
      <c r="E160" s="25"/>
      <c r="F160" s="25"/>
      <c r="G160" s="25"/>
      <c r="H160" s="25"/>
      <c r="I160" s="25"/>
      <c r="J160" s="25"/>
      <c r="K160" s="25"/>
      <c r="L160" s="25"/>
      <c r="M160" s="25"/>
      <c r="N160" s="25"/>
      <c r="O160" s="25"/>
      <c r="P160" s="25"/>
      <c r="Q160" s="25"/>
      <c r="R160" s="25"/>
      <c r="S160" s="25"/>
      <c r="T160" s="25"/>
      <c r="U160" s="25"/>
      <c r="V160" s="59" t="s">
        <v>118</v>
      </c>
      <c r="W160" s="25"/>
      <c r="X160" s="5"/>
    </row>
    <row r="161" spans="1:256" ht="15.75" x14ac:dyDescent="0.25">
      <c r="A161" s="24"/>
      <c r="B161" s="25"/>
      <c r="C161" s="25"/>
      <c r="D161" s="25"/>
      <c r="E161" s="25"/>
      <c r="F161" s="25"/>
      <c r="G161" s="25"/>
      <c r="H161" s="25"/>
      <c r="I161" s="25"/>
      <c r="J161" s="25"/>
      <c r="K161" s="25"/>
      <c r="L161" s="25"/>
      <c r="M161" s="25"/>
      <c r="N161" s="25"/>
      <c r="O161" s="25"/>
      <c r="P161" s="25"/>
      <c r="Q161" s="25"/>
      <c r="R161" s="25"/>
      <c r="S161" s="25"/>
      <c r="T161" s="25"/>
      <c r="U161" s="25"/>
      <c r="V161" s="61"/>
      <c r="W161" s="25"/>
      <c r="X161" s="5"/>
    </row>
    <row r="162" spans="1:256" ht="15.75" x14ac:dyDescent="0.25">
      <c r="A162" s="6"/>
      <c r="B162" s="119" t="s">
        <v>51</v>
      </c>
      <c r="C162" s="8"/>
      <c r="D162" s="8"/>
      <c r="E162" s="8"/>
      <c r="F162" s="8"/>
      <c r="G162" s="8"/>
      <c r="H162" s="8"/>
      <c r="I162" s="8"/>
      <c r="J162" s="8"/>
      <c r="K162" s="8"/>
      <c r="L162" s="8"/>
      <c r="M162" s="8"/>
      <c r="N162" s="8"/>
      <c r="O162" s="8"/>
      <c r="P162" s="8"/>
      <c r="Q162" s="8"/>
      <c r="R162" s="8"/>
      <c r="S162" s="8"/>
      <c r="T162" s="8"/>
      <c r="U162" s="8"/>
      <c r="V162" s="63"/>
      <c r="W162" s="8"/>
      <c r="X162" s="5"/>
    </row>
    <row r="163" spans="1:256" ht="15.75" x14ac:dyDescent="0.25">
      <c r="A163" s="24"/>
      <c r="B163" s="25" t="s">
        <v>52</v>
      </c>
      <c r="C163" s="25"/>
      <c r="D163" s="25"/>
      <c r="E163" s="25"/>
      <c r="F163" s="25"/>
      <c r="G163" s="25"/>
      <c r="H163" s="25"/>
      <c r="I163" s="25"/>
      <c r="J163" s="25"/>
      <c r="K163" s="25"/>
      <c r="L163" s="25"/>
      <c r="M163" s="25"/>
      <c r="N163" s="25"/>
      <c r="O163" s="25"/>
      <c r="P163" s="25"/>
      <c r="Q163" s="25"/>
      <c r="R163" s="25"/>
      <c r="S163" s="25"/>
      <c r="T163" s="25"/>
      <c r="U163" s="25"/>
      <c r="V163" s="53">
        <v>0</v>
      </c>
      <c r="W163" s="25"/>
      <c r="X163" s="5"/>
    </row>
    <row r="164" spans="1:256" ht="15.75" x14ac:dyDescent="0.25">
      <c r="A164" s="24"/>
      <c r="B164" s="25" t="s">
        <v>53</v>
      </c>
      <c r="C164" s="25"/>
      <c r="D164" s="25"/>
      <c r="E164" s="25"/>
      <c r="F164" s="25"/>
      <c r="G164" s="25"/>
      <c r="H164" s="25"/>
      <c r="I164" s="25"/>
      <c r="J164" s="25"/>
      <c r="K164" s="25"/>
      <c r="L164" s="25"/>
      <c r="M164" s="25"/>
      <c r="N164" s="25"/>
      <c r="O164" s="25"/>
      <c r="P164" s="25"/>
      <c r="Q164" s="25"/>
      <c r="R164" s="25"/>
      <c r="S164" s="25"/>
      <c r="T164" s="25"/>
      <c r="U164" s="25"/>
      <c r="V164" s="53">
        <v>128</v>
      </c>
      <c r="W164" s="25"/>
      <c r="X164" s="5"/>
    </row>
    <row r="165" spans="1:256" ht="15.75" x14ac:dyDescent="0.25">
      <c r="A165" s="24"/>
      <c r="B165" s="25" t="s">
        <v>54</v>
      </c>
      <c r="C165" s="25"/>
      <c r="D165" s="25"/>
      <c r="E165" s="25"/>
      <c r="F165" s="25"/>
      <c r="G165" s="25"/>
      <c r="H165" s="25"/>
      <c r="I165" s="25"/>
      <c r="J165" s="25"/>
      <c r="K165" s="25"/>
      <c r="L165" s="25"/>
      <c r="M165" s="25"/>
      <c r="N165" s="25"/>
      <c r="O165" s="25"/>
      <c r="P165" s="25"/>
      <c r="Q165" s="25"/>
      <c r="R165" s="25"/>
      <c r="S165" s="25"/>
      <c r="T165" s="25"/>
      <c r="U165" s="25"/>
      <c r="V165" s="53">
        <f>V164+V163</f>
        <v>128</v>
      </c>
      <c r="W165" s="25"/>
      <c r="X165" s="5"/>
    </row>
    <row r="166" spans="1:256" ht="15.75" x14ac:dyDescent="0.25">
      <c r="A166" s="24"/>
      <c r="B166" s="25" t="s">
        <v>303</v>
      </c>
      <c r="C166" s="25"/>
      <c r="D166" s="25"/>
      <c r="E166" s="25"/>
      <c r="F166" s="25"/>
      <c r="G166" s="25"/>
      <c r="H166" s="25"/>
      <c r="I166" s="25"/>
      <c r="J166" s="25"/>
      <c r="K166" s="25"/>
      <c r="L166" s="25"/>
      <c r="M166" s="25"/>
      <c r="N166" s="25"/>
      <c r="O166" s="25"/>
      <c r="P166" s="25"/>
      <c r="Q166" s="25"/>
      <c r="R166" s="25"/>
      <c r="S166" s="25"/>
      <c r="T166" s="25"/>
      <c r="U166" s="25"/>
      <c r="V166" s="53">
        <f>V114</f>
        <v>-128</v>
      </c>
      <c r="W166" s="25"/>
      <c r="X166" s="5"/>
    </row>
    <row r="167" spans="1:256" ht="15.75" x14ac:dyDescent="0.25">
      <c r="A167" s="24"/>
      <c r="B167" s="25" t="s">
        <v>55</v>
      </c>
      <c r="C167" s="25"/>
      <c r="D167" s="25"/>
      <c r="E167" s="25"/>
      <c r="F167" s="25"/>
      <c r="G167" s="25"/>
      <c r="H167" s="25"/>
      <c r="I167" s="25"/>
      <c r="J167" s="25"/>
      <c r="K167" s="25"/>
      <c r="L167" s="25"/>
      <c r="M167" s="25"/>
      <c r="N167" s="25"/>
      <c r="O167" s="25"/>
      <c r="P167" s="25"/>
      <c r="Q167" s="25"/>
      <c r="R167" s="25"/>
      <c r="S167" s="25"/>
      <c r="T167" s="25"/>
      <c r="U167" s="25"/>
      <c r="V167" s="53">
        <f>V165+V166</f>
        <v>0</v>
      </c>
      <c r="W167" s="25"/>
      <c r="X167" s="5"/>
    </row>
    <row r="168" spans="1:256" ht="16.5" thickBot="1" x14ac:dyDescent="0.3">
      <c r="A168" s="24"/>
      <c r="B168" s="25"/>
      <c r="C168" s="25"/>
      <c r="D168" s="25"/>
      <c r="E168" s="25"/>
      <c r="F168" s="25"/>
      <c r="G168" s="25"/>
      <c r="H168" s="25"/>
      <c r="I168" s="25"/>
      <c r="J168" s="25"/>
      <c r="K168" s="25"/>
      <c r="L168" s="25"/>
      <c r="M168" s="25"/>
      <c r="N168" s="25"/>
      <c r="O168" s="25"/>
      <c r="P168" s="25"/>
      <c r="Q168" s="25"/>
      <c r="R168" s="25"/>
      <c r="S168" s="25"/>
      <c r="T168" s="25"/>
      <c r="U168" s="25"/>
      <c r="V168" s="61"/>
      <c r="W168" s="25"/>
      <c r="X168" s="5"/>
    </row>
    <row r="169" spans="1:256" ht="15.75" x14ac:dyDescent="0.25">
      <c r="A169" s="2"/>
      <c r="B169" s="4"/>
      <c r="C169" s="4"/>
      <c r="D169" s="4"/>
      <c r="E169" s="4"/>
      <c r="F169" s="4"/>
      <c r="G169" s="4"/>
      <c r="H169" s="4"/>
      <c r="I169" s="4"/>
      <c r="J169" s="4"/>
      <c r="K169" s="4"/>
      <c r="L169" s="4"/>
      <c r="M169" s="4"/>
      <c r="N169" s="4"/>
      <c r="O169" s="4"/>
      <c r="P169" s="4"/>
      <c r="Q169" s="4"/>
      <c r="R169" s="4"/>
      <c r="S169" s="4"/>
      <c r="T169" s="4"/>
      <c r="U169" s="4"/>
      <c r="V169" s="50"/>
      <c r="W169" s="4"/>
      <c r="X169" s="5"/>
    </row>
    <row r="170" spans="1:256" s="158" customFormat="1" ht="15.75" x14ac:dyDescent="0.25">
      <c r="A170" s="6"/>
      <c r="B170" s="119" t="s">
        <v>230</v>
      </c>
      <c r="C170" s="157"/>
      <c r="D170" s="157"/>
      <c r="E170" s="157"/>
      <c r="F170" s="157"/>
      <c r="G170" s="157"/>
      <c r="H170" s="157"/>
      <c r="I170" s="157"/>
      <c r="J170" s="157"/>
      <c r="K170" s="157"/>
      <c r="L170" s="157"/>
      <c r="M170" s="157"/>
      <c r="N170" s="157"/>
      <c r="O170" s="157"/>
      <c r="P170" s="157"/>
      <c r="Q170" s="157"/>
      <c r="R170" s="157"/>
      <c r="S170" s="157"/>
      <c r="T170" s="157"/>
      <c r="U170" s="157"/>
      <c r="V170" s="165"/>
      <c r="W170" s="157"/>
      <c r="X170" s="5"/>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s="160" customFormat="1" ht="15.75" x14ac:dyDescent="0.25">
      <c r="A171" s="24"/>
      <c r="B171" s="159" t="s">
        <v>231</v>
      </c>
      <c r="C171" s="159"/>
      <c r="D171" s="159"/>
      <c r="E171" s="159"/>
      <c r="F171" s="159"/>
      <c r="G171" s="159"/>
      <c r="H171" s="159"/>
      <c r="I171" s="159"/>
      <c r="J171" s="159"/>
      <c r="K171" s="159"/>
      <c r="L171" s="159"/>
      <c r="M171" s="159"/>
      <c r="N171" s="159"/>
      <c r="O171" s="159"/>
      <c r="P171" s="159"/>
      <c r="Q171" s="159"/>
      <c r="R171" s="159"/>
      <c r="S171" s="159"/>
      <c r="T171" s="159"/>
      <c r="U171" s="159"/>
      <c r="V171" s="166">
        <f>+'Aug 08'!V173</f>
        <v>0</v>
      </c>
      <c r="W171" s="159"/>
      <c r="X171" s="5"/>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s="160" customFormat="1" ht="15.75" x14ac:dyDescent="0.25">
      <c r="A172" s="24"/>
      <c r="B172" s="159" t="s">
        <v>234</v>
      </c>
      <c r="C172" s="159"/>
      <c r="D172" s="159"/>
      <c r="E172" s="159"/>
      <c r="F172" s="159"/>
      <c r="G172" s="159"/>
      <c r="H172" s="159"/>
      <c r="I172" s="159"/>
      <c r="J172" s="159"/>
      <c r="K172" s="159"/>
      <c r="L172" s="159"/>
      <c r="M172" s="159"/>
      <c r="N172" s="159"/>
      <c r="O172" s="159"/>
      <c r="P172" s="159"/>
      <c r="Q172" s="159"/>
      <c r="R172" s="159"/>
      <c r="S172" s="159"/>
      <c r="T172" s="159"/>
      <c r="U172" s="159"/>
      <c r="V172" s="166">
        <f>+V95</f>
        <v>0</v>
      </c>
      <c r="W172" s="159"/>
      <c r="X172" s="5"/>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s="160" customFormat="1" ht="15.75" x14ac:dyDescent="0.25">
      <c r="A173" s="24"/>
      <c r="B173" s="159" t="s">
        <v>232</v>
      </c>
      <c r="C173" s="159"/>
      <c r="D173" s="159"/>
      <c r="E173" s="159"/>
      <c r="F173" s="159"/>
      <c r="G173" s="159"/>
      <c r="H173" s="159"/>
      <c r="I173" s="159"/>
      <c r="J173" s="159"/>
      <c r="K173" s="159"/>
      <c r="L173" s="159"/>
      <c r="M173" s="159"/>
      <c r="N173" s="159"/>
      <c r="O173" s="159"/>
      <c r="P173" s="159"/>
      <c r="Q173" s="159"/>
      <c r="R173" s="159"/>
      <c r="S173" s="159"/>
      <c r="T173" s="159"/>
      <c r="U173" s="159"/>
      <c r="V173" s="166">
        <f>+V171-V172</f>
        <v>0</v>
      </c>
      <c r="W173" s="159"/>
      <c r="X173" s="5"/>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s="163" customFormat="1" ht="16.5" thickBot="1" x14ac:dyDescent="0.3">
      <c r="A174" s="167"/>
      <c r="B174" s="161"/>
      <c r="C174" s="161"/>
      <c r="D174" s="161"/>
      <c r="E174" s="161"/>
      <c r="F174" s="161"/>
      <c r="G174" s="161"/>
      <c r="H174" s="161"/>
      <c r="I174" s="161"/>
      <c r="J174" s="161"/>
      <c r="K174" s="161"/>
      <c r="L174" s="161"/>
      <c r="M174" s="161"/>
      <c r="N174" s="161"/>
      <c r="O174" s="161"/>
      <c r="P174" s="161"/>
      <c r="Q174" s="161"/>
      <c r="R174" s="161"/>
      <c r="S174" s="161"/>
      <c r="T174" s="161"/>
      <c r="U174" s="161"/>
      <c r="V174" s="162"/>
      <c r="W174" s="161"/>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4" customFormat="1" ht="15.75" x14ac:dyDescent="0.25">
      <c r="A175" s="2"/>
      <c r="B175" s="4"/>
      <c r="C175" s="4"/>
      <c r="D175" s="4"/>
      <c r="E175" s="4"/>
      <c r="F175" s="4"/>
      <c r="G175" s="4"/>
      <c r="H175" s="4"/>
      <c r="I175" s="4"/>
      <c r="J175" s="4"/>
      <c r="K175" s="4"/>
      <c r="L175" s="4"/>
      <c r="M175" s="4"/>
      <c r="N175" s="4"/>
      <c r="O175" s="4"/>
      <c r="P175" s="4"/>
      <c r="Q175" s="4"/>
      <c r="R175" s="4"/>
      <c r="S175" s="4"/>
      <c r="T175" s="4"/>
      <c r="U175" s="4"/>
      <c r="V175" s="50"/>
      <c r="W175" s="4"/>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ht="15.75" x14ac:dyDescent="0.25">
      <c r="A176" s="6"/>
      <c r="B176" s="119" t="s">
        <v>56</v>
      </c>
      <c r="C176" s="8"/>
      <c r="D176" s="8"/>
      <c r="E176" s="8"/>
      <c r="F176" s="8"/>
      <c r="G176" s="8"/>
      <c r="H176" s="8"/>
      <c r="I176" s="8"/>
      <c r="J176" s="8"/>
      <c r="K176" s="8"/>
      <c r="L176" s="8"/>
      <c r="M176" s="8"/>
      <c r="N176" s="8"/>
      <c r="O176" s="8"/>
      <c r="P176" s="8"/>
      <c r="Q176" s="8"/>
      <c r="R176" s="8"/>
      <c r="S176" s="8"/>
      <c r="T176" s="8"/>
      <c r="U176" s="8"/>
      <c r="V176" s="52"/>
      <c r="W176" s="8"/>
      <c r="X176" s="5"/>
    </row>
    <row r="177" spans="1:24" ht="15.75" x14ac:dyDescent="0.25">
      <c r="A177" s="6"/>
      <c r="B177" s="21"/>
      <c r="C177" s="8"/>
      <c r="D177" s="8"/>
      <c r="E177" s="8"/>
      <c r="F177" s="8"/>
      <c r="G177" s="8"/>
      <c r="H177" s="8"/>
      <c r="I177" s="8"/>
      <c r="J177" s="8"/>
      <c r="K177" s="8"/>
      <c r="L177" s="8"/>
      <c r="M177" s="8"/>
      <c r="N177" s="8"/>
      <c r="O177" s="8"/>
      <c r="P177" s="8"/>
      <c r="Q177" s="8"/>
      <c r="R177" s="8"/>
      <c r="S177" s="8"/>
      <c r="T177" s="8"/>
      <c r="U177" s="8"/>
      <c r="V177" s="52"/>
      <c r="W177" s="8"/>
      <c r="X177" s="5"/>
    </row>
    <row r="178" spans="1:24" ht="15.75" x14ac:dyDescent="0.25">
      <c r="A178" s="24"/>
      <c r="B178" s="25" t="s">
        <v>57</v>
      </c>
      <c r="C178" s="25"/>
      <c r="D178" s="25"/>
      <c r="E178" s="25"/>
      <c r="F178" s="25"/>
      <c r="G178" s="25"/>
      <c r="H178" s="25"/>
      <c r="I178" s="25"/>
      <c r="J178" s="25"/>
      <c r="K178" s="25"/>
      <c r="L178" s="25"/>
      <c r="M178" s="25"/>
      <c r="N178" s="25"/>
      <c r="O178" s="25"/>
      <c r="P178" s="25"/>
      <c r="Q178" s="25"/>
      <c r="R178" s="25"/>
      <c r="S178" s="25"/>
      <c r="T178" s="25"/>
      <c r="U178" s="25"/>
      <c r="V178" s="53">
        <f>V72</f>
        <v>888653</v>
      </c>
      <c r="W178" s="25"/>
      <c r="X178" s="5"/>
    </row>
    <row r="179" spans="1:24" ht="15.75" x14ac:dyDescent="0.25">
      <c r="A179" s="24"/>
      <c r="B179" s="25" t="s">
        <v>58</v>
      </c>
      <c r="C179" s="25"/>
      <c r="D179" s="25"/>
      <c r="E179" s="25"/>
      <c r="F179" s="25"/>
      <c r="G179" s="25"/>
      <c r="H179" s="25"/>
      <c r="I179" s="25"/>
      <c r="J179" s="25"/>
      <c r="K179" s="25"/>
      <c r="L179" s="25"/>
      <c r="M179" s="25"/>
      <c r="N179" s="25"/>
      <c r="O179" s="25"/>
      <c r="P179" s="25"/>
      <c r="Q179" s="25"/>
      <c r="R179" s="25"/>
      <c r="S179" s="25"/>
      <c r="T179" s="25"/>
      <c r="U179" s="25"/>
      <c r="V179" s="53">
        <f>V85</f>
        <v>888653</v>
      </c>
      <c r="W179" s="25"/>
      <c r="X179" s="5"/>
    </row>
    <row r="180" spans="1:24" ht="16.5" thickBot="1" x14ac:dyDescent="0.3">
      <c r="A180" s="24"/>
      <c r="B180" s="25"/>
      <c r="C180" s="25"/>
      <c r="D180" s="25"/>
      <c r="E180" s="25"/>
      <c r="F180" s="25"/>
      <c r="G180" s="25"/>
      <c r="H180" s="25"/>
      <c r="I180" s="25"/>
      <c r="J180" s="25"/>
      <c r="K180" s="25"/>
      <c r="L180" s="25"/>
      <c r="M180" s="25"/>
      <c r="N180" s="25"/>
      <c r="O180" s="25"/>
      <c r="P180" s="25"/>
      <c r="Q180" s="25"/>
      <c r="R180" s="25"/>
      <c r="S180" s="25"/>
      <c r="T180" s="25"/>
      <c r="U180" s="25"/>
      <c r="V180" s="61"/>
      <c r="W180" s="25"/>
      <c r="X180" s="5"/>
    </row>
    <row r="181" spans="1:24" ht="15.75" x14ac:dyDescent="0.25">
      <c r="A181" s="2"/>
      <c r="B181" s="4"/>
      <c r="C181" s="4"/>
      <c r="D181" s="4"/>
      <c r="E181" s="4"/>
      <c r="F181" s="4"/>
      <c r="G181" s="4"/>
      <c r="H181" s="4"/>
      <c r="I181" s="4"/>
      <c r="J181" s="4"/>
      <c r="K181" s="4"/>
      <c r="L181" s="4"/>
      <c r="M181" s="4"/>
      <c r="N181" s="4"/>
      <c r="O181" s="4"/>
      <c r="P181" s="4"/>
      <c r="Q181" s="4"/>
      <c r="R181" s="4"/>
      <c r="S181" s="4"/>
      <c r="T181" s="4"/>
      <c r="U181" s="4"/>
      <c r="V181" s="50"/>
      <c r="W181" s="4"/>
      <c r="X181" s="5"/>
    </row>
    <row r="182" spans="1:24" ht="15.75" x14ac:dyDescent="0.25">
      <c r="A182" s="6"/>
      <c r="B182" s="119" t="s">
        <v>59</v>
      </c>
      <c r="C182" s="117"/>
      <c r="D182" s="117"/>
      <c r="E182" s="117"/>
      <c r="F182" s="117"/>
      <c r="G182" s="117"/>
      <c r="H182" s="120"/>
      <c r="I182" s="120"/>
      <c r="J182" s="120"/>
      <c r="K182" s="120"/>
      <c r="L182" s="120"/>
      <c r="M182" s="120"/>
      <c r="N182" s="120"/>
      <c r="O182" s="120"/>
      <c r="P182" s="120"/>
      <c r="Q182" s="120"/>
      <c r="R182" s="120"/>
      <c r="S182" s="120" t="s">
        <v>101</v>
      </c>
      <c r="T182" s="120" t="s">
        <v>176</v>
      </c>
      <c r="U182" s="111"/>
      <c r="V182" s="121" t="s">
        <v>114</v>
      </c>
      <c r="W182" s="10"/>
      <c r="X182" s="5"/>
    </row>
    <row r="183" spans="1:24" ht="15.75" x14ac:dyDescent="0.25">
      <c r="A183" s="24"/>
      <c r="B183" s="25" t="s">
        <v>60</v>
      </c>
      <c r="C183" s="25"/>
      <c r="D183" s="25"/>
      <c r="E183" s="25"/>
      <c r="F183" s="25"/>
      <c r="G183" s="25"/>
      <c r="H183" s="25"/>
      <c r="I183" s="25"/>
      <c r="J183" s="25"/>
      <c r="K183" s="25"/>
      <c r="L183" s="25"/>
      <c r="M183" s="25"/>
      <c r="N183" s="25"/>
      <c r="O183" s="25"/>
      <c r="P183" s="25"/>
      <c r="Q183" s="25"/>
      <c r="R183" s="25"/>
      <c r="S183" s="53">
        <f>+V34*0.16</f>
        <v>160181.28</v>
      </c>
      <c r="T183" s="40"/>
      <c r="U183" s="25"/>
      <c r="V183" s="53"/>
      <c r="W183" s="25"/>
      <c r="X183" s="5"/>
    </row>
    <row r="184" spans="1:24" ht="15.75" x14ac:dyDescent="0.25">
      <c r="A184" s="24"/>
      <c r="B184" s="25" t="s">
        <v>61</v>
      </c>
      <c r="C184" s="25"/>
      <c r="D184" s="25"/>
      <c r="E184" s="25"/>
      <c r="F184" s="25"/>
      <c r="G184" s="25"/>
      <c r="H184" s="25"/>
      <c r="I184" s="25"/>
      <c r="J184" s="25"/>
      <c r="K184" s="25"/>
      <c r="L184" s="25"/>
      <c r="M184" s="25"/>
      <c r="N184" s="25"/>
      <c r="O184" s="25"/>
      <c r="P184" s="25"/>
      <c r="Q184" s="25"/>
      <c r="R184" s="25"/>
      <c r="S184" s="53">
        <f>+'Nov 08'!S186</f>
        <v>8249</v>
      </c>
      <c r="T184" s="53">
        <f>+'Nov 08'!T186</f>
        <v>5830</v>
      </c>
      <c r="U184" s="25"/>
      <c r="V184" s="53">
        <f>S184+T184</f>
        <v>14079</v>
      </c>
      <c r="W184" s="25"/>
      <c r="X184" s="5"/>
    </row>
    <row r="185" spans="1:24" ht="15.75" x14ac:dyDescent="0.25">
      <c r="A185" s="24"/>
      <c r="B185" s="25" t="s">
        <v>62</v>
      </c>
      <c r="C185" s="25"/>
      <c r="D185" s="25"/>
      <c r="E185" s="25"/>
      <c r="F185" s="25"/>
      <c r="G185" s="25"/>
      <c r="H185" s="25"/>
      <c r="I185" s="25"/>
      <c r="J185" s="25"/>
      <c r="K185" s="25"/>
      <c r="L185" s="25"/>
      <c r="M185" s="25"/>
      <c r="N185" s="25"/>
      <c r="O185" s="25"/>
      <c r="P185" s="25"/>
      <c r="Q185" s="25"/>
      <c r="R185" s="25"/>
      <c r="S185" s="34">
        <f>66+58</f>
        <v>124</v>
      </c>
      <c r="T185" s="34">
        <v>97</v>
      </c>
      <c r="U185" s="25"/>
      <c r="V185" s="53">
        <f>S185+T185</f>
        <v>221</v>
      </c>
      <c r="W185" s="25"/>
      <c r="X185" s="5"/>
    </row>
    <row r="186" spans="1:24" ht="15.75" x14ac:dyDescent="0.25">
      <c r="A186" s="24"/>
      <c r="B186" s="25" t="s">
        <v>63</v>
      </c>
      <c r="C186" s="25"/>
      <c r="D186" s="25"/>
      <c r="E186" s="25"/>
      <c r="F186" s="25"/>
      <c r="G186" s="25"/>
      <c r="H186" s="25"/>
      <c r="I186" s="25"/>
      <c r="J186" s="25"/>
      <c r="K186" s="25"/>
      <c r="L186" s="25"/>
      <c r="M186" s="25"/>
      <c r="N186" s="25"/>
      <c r="O186" s="25"/>
      <c r="P186" s="25"/>
      <c r="Q186" s="25"/>
      <c r="R186" s="25"/>
      <c r="S186" s="53">
        <f>S184+S185</f>
        <v>8373</v>
      </c>
      <c r="T186" s="53">
        <f>T185+T184</f>
        <v>5927</v>
      </c>
      <c r="U186" s="25"/>
      <c r="V186" s="53">
        <f>S186+T186</f>
        <v>14300</v>
      </c>
      <c r="W186" s="25"/>
      <c r="X186" s="5"/>
    </row>
    <row r="187" spans="1:24" ht="15.75" x14ac:dyDescent="0.25">
      <c r="A187" s="24"/>
      <c r="B187" s="25" t="s">
        <v>64</v>
      </c>
      <c r="C187" s="25"/>
      <c r="D187" s="25"/>
      <c r="E187" s="25"/>
      <c r="F187" s="25"/>
      <c r="G187" s="25"/>
      <c r="H187" s="25"/>
      <c r="I187" s="25"/>
      <c r="J187" s="25"/>
      <c r="K187" s="25"/>
      <c r="L187" s="25"/>
      <c r="M187" s="25"/>
      <c r="N187" s="25"/>
      <c r="O187" s="25"/>
      <c r="P187" s="25"/>
      <c r="Q187" s="25"/>
      <c r="R187" s="25"/>
      <c r="S187" s="53">
        <f>S183-S186-T186</f>
        <v>145881.28</v>
      </c>
      <c r="T187" s="40"/>
      <c r="U187" s="25"/>
      <c r="V187" s="53"/>
      <c r="W187" s="25"/>
      <c r="X187" s="5"/>
    </row>
    <row r="188" spans="1:24" ht="16.5" thickBot="1" x14ac:dyDescent="0.3">
      <c r="A188" s="24"/>
      <c r="B188" s="25"/>
      <c r="C188" s="25"/>
      <c r="D188" s="25"/>
      <c r="E188" s="25"/>
      <c r="F188" s="25"/>
      <c r="G188" s="25"/>
      <c r="H188" s="25"/>
      <c r="I188" s="25"/>
      <c r="J188" s="25"/>
      <c r="K188" s="25"/>
      <c r="L188" s="25"/>
      <c r="M188" s="25"/>
      <c r="N188" s="25"/>
      <c r="O188" s="25"/>
      <c r="P188" s="25"/>
      <c r="Q188" s="25"/>
      <c r="R188" s="25"/>
      <c r="S188" s="25"/>
      <c r="T188" s="25"/>
      <c r="U188" s="25"/>
      <c r="V188" s="61"/>
      <c r="W188" s="25"/>
      <c r="X188" s="5"/>
    </row>
    <row r="189" spans="1:24" ht="15.75" x14ac:dyDescent="0.25">
      <c r="A189" s="2"/>
      <c r="B189" s="4"/>
      <c r="C189" s="4"/>
      <c r="D189" s="4"/>
      <c r="E189" s="4"/>
      <c r="F189" s="4"/>
      <c r="G189" s="4"/>
      <c r="H189" s="4"/>
      <c r="I189" s="4"/>
      <c r="J189" s="4"/>
      <c r="K189" s="4"/>
      <c r="L189" s="4"/>
      <c r="M189" s="4"/>
      <c r="N189" s="4"/>
      <c r="O189" s="4"/>
      <c r="P189" s="4"/>
      <c r="Q189" s="4"/>
      <c r="R189" s="4"/>
      <c r="S189" s="4"/>
      <c r="T189" s="4"/>
      <c r="U189" s="4"/>
      <c r="V189" s="50"/>
      <c r="W189" s="4"/>
      <c r="X189" s="5"/>
    </row>
    <row r="190" spans="1:24" ht="15.75" x14ac:dyDescent="0.25">
      <c r="A190" s="6"/>
      <c r="B190" s="119" t="s">
        <v>65</v>
      </c>
      <c r="C190" s="8"/>
      <c r="D190" s="8"/>
      <c r="E190" s="8"/>
      <c r="F190" s="8"/>
      <c r="G190" s="8"/>
      <c r="H190" s="8"/>
      <c r="I190" s="8"/>
      <c r="J190" s="8"/>
      <c r="K190" s="8"/>
      <c r="L190" s="8"/>
      <c r="M190" s="8"/>
      <c r="N190" s="8"/>
      <c r="O190" s="8"/>
      <c r="P190" s="8"/>
      <c r="Q190" s="8"/>
      <c r="R190" s="8"/>
      <c r="S190" s="8"/>
      <c r="T190" s="8"/>
      <c r="U190" s="8"/>
      <c r="V190" s="65"/>
      <c r="W190" s="8"/>
      <c r="X190" s="5"/>
    </row>
    <row r="191" spans="1:24" ht="15.75" x14ac:dyDescent="0.25">
      <c r="A191" s="24"/>
      <c r="B191" s="25" t="s">
        <v>66</v>
      </c>
      <c r="C191" s="25"/>
      <c r="D191" s="25"/>
      <c r="E191" s="25"/>
      <c r="F191" s="25"/>
      <c r="G191" s="25"/>
      <c r="H191" s="25"/>
      <c r="I191" s="25"/>
      <c r="J191" s="25"/>
      <c r="K191" s="25"/>
      <c r="L191" s="25"/>
      <c r="M191" s="25"/>
      <c r="N191" s="25"/>
      <c r="O191" s="25"/>
      <c r="P191" s="25"/>
      <c r="Q191" s="25"/>
      <c r="R191" s="25"/>
      <c r="S191" s="25"/>
      <c r="T191" s="25"/>
      <c r="U191" s="25"/>
      <c r="V191" s="59">
        <f>(V102+V104+V105+V106+V107)/-(V108+V109)</f>
        <v>1.5329302173557771</v>
      </c>
      <c r="W191" s="25" t="s">
        <v>115</v>
      </c>
      <c r="X191" s="5"/>
    </row>
    <row r="192" spans="1:24" ht="15.75" x14ac:dyDescent="0.25">
      <c r="A192" s="24"/>
      <c r="B192" s="25" t="s">
        <v>67</v>
      </c>
      <c r="C192" s="25"/>
      <c r="D192" s="25"/>
      <c r="E192" s="25"/>
      <c r="F192" s="25"/>
      <c r="G192" s="25"/>
      <c r="H192" s="25"/>
      <c r="I192" s="25"/>
      <c r="J192" s="25"/>
      <c r="K192" s="25"/>
      <c r="L192" s="25"/>
      <c r="M192" s="25"/>
      <c r="N192" s="25"/>
      <c r="O192" s="25"/>
      <c r="P192" s="25"/>
      <c r="Q192" s="25"/>
      <c r="R192" s="25"/>
      <c r="S192" s="25"/>
      <c r="T192" s="25"/>
      <c r="U192" s="25"/>
      <c r="V192" s="66">
        <v>1.38</v>
      </c>
      <c r="W192" s="25" t="s">
        <v>115</v>
      </c>
      <c r="X192" s="5"/>
    </row>
    <row r="193" spans="1:24" ht="15.75" x14ac:dyDescent="0.25">
      <c r="A193" s="24"/>
      <c r="B193" s="25" t="s">
        <v>68</v>
      </c>
      <c r="C193" s="25"/>
      <c r="D193" s="25"/>
      <c r="E193" s="25"/>
      <c r="F193" s="25"/>
      <c r="G193" s="25"/>
      <c r="H193" s="25"/>
      <c r="I193" s="25"/>
      <c r="J193" s="25"/>
      <c r="K193" s="25"/>
      <c r="L193" s="25"/>
      <c r="M193" s="25"/>
      <c r="N193" s="25"/>
      <c r="O193" s="25"/>
      <c r="P193" s="25"/>
      <c r="Q193" s="25"/>
      <c r="R193" s="25"/>
      <c r="S193" s="25"/>
      <c r="T193" s="25"/>
      <c r="U193" s="25"/>
      <c r="V193" s="59">
        <f>(V102+V104+V105+V106+V107+V108+V109)/-(V110+V111)</f>
        <v>5.0873634945397814</v>
      </c>
      <c r="W193" s="25" t="s">
        <v>115</v>
      </c>
      <c r="X193" s="5"/>
    </row>
    <row r="194" spans="1:24" ht="15.75" x14ac:dyDescent="0.25">
      <c r="A194" s="24"/>
      <c r="B194" s="25" t="s">
        <v>69</v>
      </c>
      <c r="C194" s="25"/>
      <c r="D194" s="25"/>
      <c r="E194" s="25"/>
      <c r="F194" s="25"/>
      <c r="G194" s="25"/>
      <c r="H194" s="25"/>
      <c r="I194" s="25"/>
      <c r="J194" s="25"/>
      <c r="K194" s="25"/>
      <c r="L194" s="25"/>
      <c r="M194" s="25"/>
      <c r="N194" s="25"/>
      <c r="O194" s="25"/>
      <c r="P194" s="25"/>
      <c r="Q194" s="25"/>
      <c r="R194" s="25"/>
      <c r="S194" s="25"/>
      <c r="T194" s="25"/>
      <c r="U194" s="25"/>
      <c r="V194" s="66">
        <v>3.99</v>
      </c>
      <c r="W194" s="25" t="s">
        <v>115</v>
      </c>
      <c r="X194" s="5"/>
    </row>
    <row r="195" spans="1:24" ht="15.75" x14ac:dyDescent="0.25">
      <c r="A195" s="24"/>
      <c r="B195" s="25" t="s">
        <v>198</v>
      </c>
      <c r="C195" s="25"/>
      <c r="D195" s="25"/>
      <c r="E195" s="25"/>
      <c r="F195" s="25"/>
      <c r="G195" s="25"/>
      <c r="H195" s="25"/>
      <c r="I195" s="25"/>
      <c r="J195" s="25"/>
      <c r="K195" s="25"/>
      <c r="L195" s="25"/>
      <c r="M195" s="25"/>
      <c r="N195" s="25"/>
      <c r="O195" s="25"/>
      <c r="P195" s="25"/>
      <c r="Q195" s="25"/>
      <c r="R195" s="25"/>
      <c r="S195" s="25"/>
      <c r="T195" s="25"/>
      <c r="U195" s="25"/>
      <c r="V195" s="59">
        <f>(V102+V104+V105+V106+V107+V108+V109+V110+V111)/-(V112)</f>
        <v>3.7375178316690443</v>
      </c>
      <c r="W195" s="25" t="s">
        <v>115</v>
      </c>
      <c r="X195" s="5"/>
    </row>
    <row r="196" spans="1:24" ht="15.75" x14ac:dyDescent="0.25">
      <c r="A196" s="24"/>
      <c r="B196" s="25" t="s">
        <v>199</v>
      </c>
      <c r="C196" s="25"/>
      <c r="D196" s="25"/>
      <c r="E196" s="25"/>
      <c r="F196" s="25"/>
      <c r="G196" s="25"/>
      <c r="H196" s="25"/>
      <c r="I196" s="25"/>
      <c r="J196" s="25"/>
      <c r="K196" s="25"/>
      <c r="L196" s="25"/>
      <c r="M196" s="25"/>
      <c r="N196" s="25"/>
      <c r="O196" s="25"/>
      <c r="P196" s="25"/>
      <c r="Q196" s="25"/>
      <c r="R196" s="25"/>
      <c r="S196" s="25"/>
      <c r="T196" s="25"/>
      <c r="U196" s="25"/>
      <c r="V196" s="66">
        <v>2.84</v>
      </c>
      <c r="W196" s="25" t="s">
        <v>115</v>
      </c>
      <c r="X196" s="5"/>
    </row>
    <row r="197" spans="1:24" ht="15.75" x14ac:dyDescent="0.25">
      <c r="A197" s="24"/>
      <c r="B197" s="25"/>
      <c r="C197" s="25"/>
      <c r="D197" s="25"/>
      <c r="E197" s="25"/>
      <c r="F197" s="25"/>
      <c r="G197" s="25"/>
      <c r="H197" s="25"/>
      <c r="I197" s="25"/>
      <c r="J197" s="25"/>
      <c r="K197" s="25"/>
      <c r="L197" s="25"/>
      <c r="M197" s="25"/>
      <c r="N197" s="25"/>
      <c r="O197" s="25"/>
      <c r="P197" s="25"/>
      <c r="Q197" s="25"/>
      <c r="R197" s="25"/>
      <c r="S197" s="25"/>
      <c r="T197" s="25"/>
      <c r="U197" s="25"/>
      <c r="V197" s="25"/>
      <c r="W197" s="25"/>
      <c r="X197" s="5"/>
    </row>
    <row r="198" spans="1:24" ht="15.75" x14ac:dyDescent="0.25">
      <c r="A198" s="24"/>
      <c r="B198" s="25"/>
      <c r="C198" s="25"/>
      <c r="D198" s="25"/>
      <c r="E198" s="25"/>
      <c r="F198" s="25"/>
      <c r="G198" s="25"/>
      <c r="H198" s="25"/>
      <c r="I198" s="25"/>
      <c r="J198" s="25"/>
      <c r="K198" s="25"/>
      <c r="L198" s="25"/>
      <c r="M198" s="25"/>
      <c r="N198" s="25"/>
      <c r="O198" s="25"/>
      <c r="P198" s="25"/>
      <c r="Q198" s="25"/>
      <c r="R198" s="25"/>
      <c r="S198" s="25"/>
      <c r="T198" s="25"/>
      <c r="U198" s="25"/>
      <c r="V198" s="25"/>
      <c r="W198" s="25"/>
      <c r="X198" s="5"/>
    </row>
    <row r="199" spans="1:24" ht="15.75" x14ac:dyDescent="0.25">
      <c r="A199" s="6"/>
      <c r="B199" s="8"/>
      <c r="C199" s="8"/>
      <c r="D199" s="8"/>
      <c r="E199" s="8"/>
      <c r="F199" s="8"/>
      <c r="G199" s="8"/>
      <c r="H199" s="8"/>
      <c r="I199" s="8"/>
      <c r="J199" s="8"/>
      <c r="K199" s="8"/>
      <c r="L199" s="8"/>
      <c r="M199" s="8"/>
      <c r="N199" s="8"/>
      <c r="O199" s="8"/>
      <c r="P199" s="8"/>
      <c r="Q199" s="8"/>
      <c r="R199" s="8"/>
      <c r="S199" s="8"/>
      <c r="T199" s="8"/>
      <c r="U199" s="8"/>
      <c r="V199" s="8"/>
      <c r="W199" s="8"/>
      <c r="X199" s="5"/>
    </row>
    <row r="200" spans="1:24" ht="19.5" thickBot="1" x14ac:dyDescent="0.35">
      <c r="A200" s="101"/>
      <c r="B200" s="102" t="str">
        <f>B135</f>
        <v>PM15 INVESTOR REPORT QUARTER ENDING FEBRUARY 2009</v>
      </c>
      <c r="C200" s="176"/>
      <c r="D200" s="176"/>
      <c r="E200" s="176"/>
      <c r="F200" s="176"/>
      <c r="G200" s="176"/>
      <c r="H200" s="176"/>
      <c r="I200" s="176"/>
      <c r="J200" s="176"/>
      <c r="K200" s="176"/>
      <c r="L200" s="176"/>
      <c r="M200" s="176"/>
      <c r="N200" s="176"/>
      <c r="O200" s="176"/>
      <c r="P200" s="176"/>
      <c r="Q200" s="176"/>
      <c r="R200" s="176"/>
      <c r="S200" s="176"/>
      <c r="T200" s="176"/>
      <c r="U200" s="176"/>
      <c r="V200" s="176"/>
      <c r="W200" s="177"/>
      <c r="X200" s="5"/>
    </row>
    <row r="201" spans="1:24" ht="15.75" x14ac:dyDescent="0.25">
      <c r="A201" s="67"/>
      <c r="B201" s="60" t="s">
        <v>70</v>
      </c>
      <c r="C201" s="68"/>
      <c r="D201" s="68"/>
      <c r="E201" s="68"/>
      <c r="F201" s="68"/>
      <c r="G201" s="69"/>
      <c r="H201" s="69"/>
      <c r="I201" s="69"/>
      <c r="J201" s="69"/>
      <c r="K201" s="69"/>
      <c r="L201" s="69"/>
      <c r="M201" s="69"/>
      <c r="N201" s="69"/>
      <c r="O201" s="69"/>
      <c r="P201" s="69"/>
      <c r="Q201" s="69"/>
      <c r="R201" s="69"/>
      <c r="S201" s="69"/>
      <c r="T201" s="70">
        <v>39871</v>
      </c>
      <c r="U201" s="4"/>
      <c r="V201" s="4"/>
      <c r="W201" s="4"/>
      <c r="X201" s="5"/>
    </row>
    <row r="202" spans="1:24" ht="15.75" x14ac:dyDescent="0.25">
      <c r="A202" s="71"/>
      <c r="B202" s="72"/>
      <c r="C202" s="73"/>
      <c r="D202" s="73"/>
      <c r="E202" s="73"/>
      <c r="F202" s="73"/>
      <c r="G202" s="74"/>
      <c r="H202" s="74"/>
      <c r="I202" s="74"/>
      <c r="J202" s="74"/>
      <c r="K202" s="74"/>
      <c r="L202" s="74"/>
      <c r="M202" s="74"/>
      <c r="N202" s="74"/>
      <c r="O202" s="74"/>
      <c r="P202" s="74"/>
      <c r="Q202" s="74"/>
      <c r="R202" s="74"/>
      <c r="S202" s="74"/>
      <c r="T202" s="74"/>
      <c r="U202" s="8"/>
      <c r="V202" s="8"/>
      <c r="W202" s="8"/>
      <c r="X202" s="5"/>
    </row>
    <row r="203" spans="1:24" ht="15.75" x14ac:dyDescent="0.25">
      <c r="A203" s="75"/>
      <c r="B203" s="76" t="s">
        <v>71</v>
      </c>
      <c r="C203" s="77"/>
      <c r="D203" s="77"/>
      <c r="E203" s="77"/>
      <c r="F203" s="77"/>
      <c r="G203" s="64"/>
      <c r="H203" s="64"/>
      <c r="I203" s="64"/>
      <c r="J203" s="64"/>
      <c r="K203" s="64"/>
      <c r="L203" s="64"/>
      <c r="M203" s="64"/>
      <c r="N203" s="64"/>
      <c r="O203" s="64"/>
      <c r="P203" s="64"/>
      <c r="Q203" s="64"/>
      <c r="R203" s="64"/>
      <c r="S203" s="64"/>
      <c r="T203" s="78">
        <v>5.3830000000000003E-2</v>
      </c>
      <c r="U203" s="25"/>
      <c r="V203" s="25"/>
      <c r="W203" s="25"/>
      <c r="X203" s="5"/>
    </row>
    <row r="204" spans="1:24" ht="15.75" x14ac:dyDescent="0.25">
      <c r="A204" s="75"/>
      <c r="B204" s="76" t="s">
        <v>151</v>
      </c>
      <c r="C204" s="77"/>
      <c r="D204" s="77"/>
      <c r="E204" s="77"/>
      <c r="F204" s="77"/>
      <c r="G204" s="64"/>
      <c r="H204" s="64"/>
      <c r="I204" s="64"/>
      <c r="J204" s="64"/>
      <c r="K204" s="64"/>
      <c r="L204" s="64"/>
      <c r="M204" s="64"/>
      <c r="N204" s="64"/>
      <c r="O204" s="64"/>
      <c r="P204" s="64"/>
      <c r="Q204" s="64"/>
      <c r="R204" s="64"/>
      <c r="S204" s="64"/>
      <c r="T204" s="39">
        <v>6.25E-2</v>
      </c>
      <c r="U204" s="25"/>
      <c r="V204" s="25"/>
      <c r="W204" s="25"/>
      <c r="X204" s="5"/>
    </row>
    <row r="205" spans="1:24" ht="15.75" x14ac:dyDescent="0.25">
      <c r="A205" s="75"/>
      <c r="B205" s="76" t="s">
        <v>72</v>
      </c>
      <c r="C205" s="77"/>
      <c r="D205" s="77"/>
      <c r="E205" s="77"/>
      <c r="F205" s="77"/>
      <c r="G205" s="64"/>
      <c r="H205" s="64"/>
      <c r="I205" s="64"/>
      <c r="J205" s="64"/>
      <c r="K205" s="64"/>
      <c r="L205" s="64"/>
      <c r="M205" s="64"/>
      <c r="N205" s="64"/>
      <c r="O205" s="64"/>
      <c r="P205" s="64"/>
      <c r="Q205" s="64"/>
      <c r="R205" s="64"/>
      <c r="S205" s="64"/>
      <c r="T205" s="78">
        <f>T203-T204</f>
        <v>-8.6699999999999972E-3</v>
      </c>
      <c r="U205" s="25"/>
      <c r="V205" s="25"/>
      <c r="W205" s="25"/>
      <c r="X205" s="5"/>
    </row>
    <row r="206" spans="1:24" ht="15.75" x14ac:dyDescent="0.25">
      <c r="A206" s="75"/>
      <c r="B206" s="76" t="s">
        <v>73</v>
      </c>
      <c r="C206" s="77"/>
      <c r="D206" s="77"/>
      <c r="E206" s="77"/>
      <c r="F206" s="77"/>
      <c r="G206" s="64"/>
      <c r="H206" s="64"/>
      <c r="I206" s="64"/>
      <c r="J206" s="64"/>
      <c r="K206" s="64"/>
      <c r="L206" s="64"/>
      <c r="M206" s="64"/>
      <c r="N206" s="64"/>
      <c r="O206" s="64"/>
      <c r="P206" s="64"/>
      <c r="Q206" s="64"/>
      <c r="R206" s="64"/>
      <c r="S206" s="64"/>
      <c r="T206" s="78">
        <v>4.8719999999999999E-2</v>
      </c>
      <c r="U206" s="25"/>
      <c r="V206" s="25"/>
      <c r="W206" s="25"/>
      <c r="X206" s="5"/>
    </row>
    <row r="207" spans="1:24" ht="15.75" x14ac:dyDescent="0.25">
      <c r="A207" s="75"/>
      <c r="B207" s="76" t="s">
        <v>218</v>
      </c>
      <c r="C207" s="77"/>
      <c r="D207" s="77"/>
      <c r="E207" s="77"/>
      <c r="F207" s="77"/>
      <c r="G207" s="64"/>
      <c r="H207" s="64"/>
      <c r="I207" s="64"/>
      <c r="J207" s="64"/>
      <c r="K207" s="64"/>
      <c r="L207" s="64"/>
      <c r="M207" s="64"/>
      <c r="N207" s="64"/>
      <c r="O207" s="64"/>
      <c r="P207" s="64"/>
      <c r="Q207" s="64"/>
      <c r="R207" s="64"/>
      <c r="S207" s="64"/>
      <c r="T207" s="78">
        <f>V43</f>
        <v>3.3078014699474474E-2</v>
      </c>
      <c r="U207" s="25"/>
      <c r="V207" s="25"/>
      <c r="W207" s="25"/>
      <c r="X207" s="5"/>
    </row>
    <row r="208" spans="1:24" ht="15.75" x14ac:dyDescent="0.25">
      <c r="A208" s="75"/>
      <c r="B208" s="76" t="s">
        <v>74</v>
      </c>
      <c r="C208" s="77"/>
      <c r="D208" s="77"/>
      <c r="E208" s="77"/>
      <c r="F208" s="77"/>
      <c r="G208" s="64"/>
      <c r="H208" s="64"/>
      <c r="I208" s="64"/>
      <c r="J208" s="64"/>
      <c r="K208" s="64"/>
      <c r="L208" s="64"/>
      <c r="M208" s="64"/>
      <c r="N208" s="64"/>
      <c r="O208" s="64"/>
      <c r="P208" s="64"/>
      <c r="Q208" s="64"/>
      <c r="R208" s="64"/>
      <c r="S208" s="64"/>
      <c r="T208" s="78">
        <f>T206-T207</f>
        <v>1.5641985300525525E-2</v>
      </c>
      <c r="U208" s="25"/>
      <c r="V208" s="25"/>
      <c r="W208" s="25"/>
      <c r="X208" s="5"/>
    </row>
    <row r="209" spans="1:24" ht="15.75" x14ac:dyDescent="0.25">
      <c r="A209" s="75"/>
      <c r="B209" s="76" t="s">
        <v>227</v>
      </c>
      <c r="C209" s="77"/>
      <c r="D209" s="77"/>
      <c r="E209" s="77"/>
      <c r="F209" s="77"/>
      <c r="G209" s="64"/>
      <c r="H209" s="64"/>
      <c r="I209" s="64"/>
      <c r="J209" s="64"/>
      <c r="K209" s="64"/>
      <c r="L209" s="64"/>
      <c r="M209" s="64"/>
      <c r="N209" s="64"/>
      <c r="O209" s="64"/>
      <c r="P209" s="64"/>
      <c r="Q209" s="64"/>
      <c r="R209" s="64"/>
      <c r="S209" s="64"/>
      <c r="T209" s="78">
        <f>V102/N72</f>
        <v>1.4690425692993092E-2</v>
      </c>
      <c r="U209" s="25"/>
      <c r="V209" s="25"/>
      <c r="W209" s="25"/>
      <c r="X209" s="5"/>
    </row>
    <row r="210" spans="1:24" ht="15.75" x14ac:dyDescent="0.25">
      <c r="A210" s="75"/>
      <c r="B210" s="76" t="s">
        <v>207</v>
      </c>
      <c r="C210" s="77"/>
      <c r="D210" s="77"/>
      <c r="E210" s="77"/>
      <c r="F210" s="77"/>
      <c r="G210" s="64"/>
      <c r="H210" s="64"/>
      <c r="I210" s="64"/>
      <c r="J210" s="64"/>
      <c r="K210" s="64"/>
      <c r="L210" s="64"/>
      <c r="M210" s="64"/>
      <c r="N210" s="64"/>
      <c r="O210" s="64"/>
      <c r="P210" s="64"/>
      <c r="Q210" s="64"/>
      <c r="R210" s="64"/>
      <c r="S210" s="64"/>
      <c r="T210" s="172">
        <v>51105</v>
      </c>
      <c r="U210" s="25"/>
      <c r="V210" s="25"/>
      <c r="W210" s="25"/>
      <c r="X210" s="5"/>
    </row>
    <row r="211" spans="1:24" ht="15.75" x14ac:dyDescent="0.25">
      <c r="A211" s="75"/>
      <c r="B211" s="76" t="s">
        <v>208</v>
      </c>
      <c r="C211" s="77"/>
      <c r="D211" s="77"/>
      <c r="E211" s="77"/>
      <c r="F211" s="77"/>
      <c r="G211" s="64"/>
      <c r="H211" s="64"/>
      <c r="I211" s="64"/>
      <c r="J211" s="64"/>
      <c r="K211" s="64"/>
      <c r="L211" s="64"/>
      <c r="M211" s="64"/>
      <c r="N211" s="64"/>
      <c r="O211" s="64"/>
      <c r="P211" s="64"/>
      <c r="Q211" s="64"/>
      <c r="R211" s="64"/>
      <c r="S211" s="64"/>
      <c r="T211" s="172">
        <v>51105</v>
      </c>
      <c r="U211" s="25"/>
      <c r="V211" s="25"/>
      <c r="W211" s="25"/>
      <c r="X211" s="5"/>
    </row>
    <row r="212" spans="1:24" ht="15.75" x14ac:dyDescent="0.25">
      <c r="A212" s="75"/>
      <c r="B212" s="76" t="s">
        <v>209</v>
      </c>
      <c r="C212" s="77"/>
      <c r="D212" s="77"/>
      <c r="E212" s="77"/>
      <c r="F212" s="77"/>
      <c r="G212" s="64"/>
      <c r="H212" s="64"/>
      <c r="I212" s="64"/>
      <c r="J212" s="64"/>
      <c r="K212" s="64"/>
      <c r="L212" s="64"/>
      <c r="M212" s="64"/>
      <c r="N212" s="64"/>
      <c r="O212" s="64"/>
      <c r="P212" s="64"/>
      <c r="Q212" s="64"/>
      <c r="R212" s="64"/>
      <c r="S212" s="64"/>
      <c r="T212" s="172">
        <v>51105</v>
      </c>
      <c r="U212" s="25"/>
      <c r="V212" s="25"/>
      <c r="W212" s="25"/>
      <c r="X212" s="5"/>
    </row>
    <row r="213" spans="1:24" ht="15.75" x14ac:dyDescent="0.25">
      <c r="A213" s="75"/>
      <c r="B213" s="76" t="s">
        <v>75</v>
      </c>
      <c r="C213" s="77"/>
      <c r="D213" s="77"/>
      <c r="E213" s="77"/>
      <c r="F213" s="77"/>
      <c r="G213" s="64"/>
      <c r="H213" s="64"/>
      <c r="I213" s="64"/>
      <c r="J213" s="64"/>
      <c r="K213" s="64"/>
      <c r="L213" s="64"/>
      <c r="M213" s="64"/>
      <c r="N213" s="64"/>
      <c r="O213" s="64"/>
      <c r="P213" s="64"/>
      <c r="Q213" s="64"/>
      <c r="R213" s="64"/>
      <c r="S213" s="64"/>
      <c r="T213" s="132">
        <v>21.06</v>
      </c>
      <c r="U213" s="25" t="s">
        <v>110</v>
      </c>
      <c r="V213" s="25"/>
      <c r="W213" s="25"/>
      <c r="X213" s="5"/>
    </row>
    <row r="214" spans="1:24" ht="15.75" x14ac:dyDescent="0.25">
      <c r="A214" s="75"/>
      <c r="B214" s="76" t="s">
        <v>76</v>
      </c>
      <c r="C214" s="77"/>
      <c r="D214" s="77"/>
      <c r="E214" s="77"/>
      <c r="F214" s="77"/>
      <c r="G214" s="64"/>
      <c r="H214" s="64"/>
      <c r="I214" s="64"/>
      <c r="J214" s="64"/>
      <c r="K214" s="64"/>
      <c r="L214" s="64"/>
      <c r="M214" s="64"/>
      <c r="N214" s="64"/>
      <c r="O214" s="64"/>
      <c r="P214" s="64"/>
      <c r="Q214" s="64"/>
      <c r="R214" s="64"/>
      <c r="S214" s="64"/>
      <c r="T214" s="132">
        <v>19.54</v>
      </c>
      <c r="U214" s="25" t="s">
        <v>110</v>
      </c>
      <c r="V214" s="25"/>
      <c r="W214" s="25"/>
      <c r="X214" s="5"/>
    </row>
    <row r="215" spans="1:24" ht="15.75" x14ac:dyDescent="0.25">
      <c r="A215" s="75"/>
      <c r="B215" s="76" t="s">
        <v>77</v>
      </c>
      <c r="C215" s="77"/>
      <c r="D215" s="77"/>
      <c r="E215" s="77"/>
      <c r="F215" s="77"/>
      <c r="G215" s="64"/>
      <c r="H215" s="64"/>
      <c r="I215" s="64"/>
      <c r="J215" s="64"/>
      <c r="K215" s="64"/>
      <c r="L215" s="64"/>
      <c r="M215" s="64"/>
      <c r="N215" s="64"/>
      <c r="O215" s="64"/>
      <c r="P215" s="64"/>
      <c r="Q215" s="64"/>
      <c r="R215" s="64"/>
      <c r="S215" s="64"/>
      <c r="T215" s="78">
        <f>+P69/N69</f>
        <v>1.8164094663281782E-2</v>
      </c>
      <c r="U215" s="25"/>
      <c r="V215" s="25"/>
      <c r="W215" s="25"/>
      <c r="X215" s="5"/>
    </row>
    <row r="216" spans="1:24" ht="15.75" x14ac:dyDescent="0.25">
      <c r="A216" s="75"/>
      <c r="B216" s="76" t="s">
        <v>78</v>
      </c>
      <c r="C216" s="77"/>
      <c r="D216" s="77"/>
      <c r="E216" s="77"/>
      <c r="F216" s="77"/>
      <c r="G216" s="64"/>
      <c r="H216" s="64"/>
      <c r="I216" s="64"/>
      <c r="J216" s="64"/>
      <c r="K216" s="64"/>
      <c r="L216" s="64"/>
      <c r="M216" s="64"/>
      <c r="N216" s="64"/>
      <c r="O216" s="64"/>
      <c r="P216" s="64"/>
      <c r="Q216" s="64"/>
      <c r="R216" s="64"/>
      <c r="S216" s="64"/>
      <c r="T216" s="78">
        <v>7.6100000000000001E-2</v>
      </c>
      <c r="U216" s="25"/>
      <c r="V216" s="25"/>
      <c r="W216" s="25"/>
      <c r="X216" s="5"/>
    </row>
    <row r="217" spans="1:24" ht="15.75" x14ac:dyDescent="0.25">
      <c r="A217" s="75"/>
      <c r="B217" s="76"/>
      <c r="C217" s="76"/>
      <c r="D217" s="76"/>
      <c r="E217" s="76"/>
      <c r="F217" s="76"/>
      <c r="G217" s="25"/>
      <c r="H217" s="25"/>
      <c r="I217" s="25"/>
      <c r="J217" s="25"/>
      <c r="K217" s="25"/>
      <c r="L217" s="25"/>
      <c r="M217" s="25"/>
      <c r="N217" s="25"/>
      <c r="O217" s="25"/>
      <c r="P217" s="25"/>
      <c r="Q217" s="25"/>
      <c r="R217" s="25"/>
      <c r="S217" s="25"/>
      <c r="T217" s="61"/>
      <c r="U217" s="25"/>
      <c r="V217" s="79"/>
      <c r="W217" s="25"/>
      <c r="X217" s="5"/>
    </row>
    <row r="218" spans="1:24" ht="15.75" x14ac:dyDescent="0.25">
      <c r="A218" s="80"/>
      <c r="B218" s="14" t="s">
        <v>79</v>
      </c>
      <c r="C218" s="81"/>
      <c r="D218" s="81"/>
      <c r="E218" s="81"/>
      <c r="F218" s="82"/>
      <c r="G218" s="81"/>
      <c r="H218" s="17"/>
      <c r="I218" s="17"/>
      <c r="J218" s="17"/>
      <c r="K218" s="17"/>
      <c r="L218" s="17"/>
      <c r="M218" s="17"/>
      <c r="N218" s="17"/>
      <c r="O218" s="17"/>
      <c r="P218" s="17"/>
      <c r="Q218" s="17"/>
      <c r="R218" s="17"/>
      <c r="S218" s="17" t="s">
        <v>102</v>
      </c>
      <c r="T218" s="83" t="s">
        <v>108</v>
      </c>
      <c r="U218" s="8"/>
      <c r="V218" s="8"/>
      <c r="W218" s="8"/>
      <c r="X218" s="5"/>
    </row>
    <row r="219" spans="1:24" ht="15.75" x14ac:dyDescent="0.25">
      <c r="A219" s="84"/>
      <c r="B219" s="76" t="s">
        <v>80</v>
      </c>
      <c r="C219" s="54"/>
      <c r="D219" s="54"/>
      <c r="E219" s="54"/>
      <c r="F219" s="25"/>
      <c r="G219" s="25"/>
      <c r="H219" s="30"/>
      <c r="I219" s="30"/>
      <c r="J219" s="30"/>
      <c r="K219" s="30"/>
      <c r="L219" s="30"/>
      <c r="M219" s="30"/>
      <c r="N219" s="30"/>
      <c r="O219" s="30"/>
      <c r="P219" s="30"/>
      <c r="Q219" s="30"/>
      <c r="R219" s="30"/>
      <c r="S219" s="30">
        <v>1</v>
      </c>
      <c r="T219" s="85">
        <v>242</v>
      </c>
      <c r="U219" s="25"/>
      <c r="V219" s="79"/>
      <c r="W219" s="86"/>
      <c r="X219" s="5"/>
    </row>
    <row r="220" spans="1:24" ht="15.75" x14ac:dyDescent="0.25">
      <c r="A220" s="84"/>
      <c r="B220" s="76" t="s">
        <v>145</v>
      </c>
      <c r="C220" s="54"/>
      <c r="D220" s="54"/>
      <c r="E220" s="54"/>
      <c r="F220" s="25"/>
      <c r="G220" s="25"/>
      <c r="H220" s="30"/>
      <c r="I220" s="30"/>
      <c r="J220" s="30"/>
      <c r="K220" s="30"/>
      <c r="L220" s="30"/>
      <c r="M220" s="30"/>
      <c r="N220" s="30"/>
      <c r="O220" s="30"/>
      <c r="P220" s="30"/>
      <c r="Q220" s="30"/>
      <c r="R220" s="30"/>
      <c r="S220" s="148">
        <f>+R260</f>
        <v>108</v>
      </c>
      <c r="T220" s="85">
        <f>+T260</f>
        <v>17268</v>
      </c>
      <c r="U220" s="25"/>
      <c r="V220" s="79"/>
      <c r="W220" s="86"/>
      <c r="X220" s="5"/>
    </row>
    <row r="221" spans="1:24" ht="15.75" x14ac:dyDescent="0.25">
      <c r="A221" s="84"/>
      <c r="B221" s="76" t="s">
        <v>81</v>
      </c>
      <c r="C221" s="54"/>
      <c r="D221" s="54"/>
      <c r="E221" s="54"/>
      <c r="F221" s="25"/>
      <c r="G221" s="25"/>
      <c r="H221" s="30"/>
      <c r="I221" s="30"/>
      <c r="J221" s="30"/>
      <c r="K221" s="30"/>
      <c r="L221" s="30"/>
      <c r="M221" s="30"/>
      <c r="N221" s="30"/>
      <c r="O221" s="30"/>
      <c r="P221" s="30"/>
      <c r="Q221" s="30"/>
      <c r="R221" s="30"/>
      <c r="S221" s="148">
        <f>+R272</f>
        <v>1</v>
      </c>
      <c r="T221" s="85">
        <f>+T272:T272</f>
        <v>117</v>
      </c>
      <c r="U221" s="25"/>
      <c r="V221" s="79"/>
      <c r="W221" s="86"/>
      <c r="X221" s="5"/>
    </row>
    <row r="222" spans="1:24" ht="15.75" x14ac:dyDescent="0.25">
      <c r="A222" s="84"/>
      <c r="B222" s="122" t="s">
        <v>82</v>
      </c>
      <c r="C222" s="54"/>
      <c r="D222" s="54"/>
      <c r="E222" s="54"/>
      <c r="F222" s="25"/>
      <c r="G222" s="25"/>
      <c r="H222" s="25"/>
      <c r="I222" s="25"/>
      <c r="J222" s="25"/>
      <c r="K222" s="25"/>
      <c r="L222" s="25"/>
      <c r="M222" s="25"/>
      <c r="N222" s="25"/>
      <c r="O222" s="25"/>
      <c r="P222" s="25"/>
      <c r="Q222" s="25"/>
      <c r="R222" s="25"/>
      <c r="S222" s="25"/>
      <c r="T222" s="85">
        <v>0</v>
      </c>
      <c r="U222" s="25"/>
      <c r="V222" s="79"/>
      <c r="W222" s="86"/>
      <c r="X222" s="5"/>
    </row>
    <row r="223" spans="1:24" ht="15.75" x14ac:dyDescent="0.25">
      <c r="A223" s="84"/>
      <c r="B223" s="122" t="s">
        <v>228</v>
      </c>
      <c r="C223" s="54"/>
      <c r="D223" s="54"/>
      <c r="E223" s="54"/>
      <c r="F223" s="25"/>
      <c r="G223" s="25"/>
      <c r="H223" s="25"/>
      <c r="I223" s="25"/>
      <c r="J223" s="25"/>
      <c r="K223" s="25"/>
      <c r="L223" s="25"/>
      <c r="M223" s="25"/>
      <c r="N223" s="25"/>
      <c r="O223" s="25"/>
      <c r="P223" s="25"/>
      <c r="Q223" s="25"/>
      <c r="R223" s="25"/>
      <c r="S223" s="25"/>
      <c r="T223" s="85">
        <f>+N82</f>
        <v>0</v>
      </c>
      <c r="U223" s="25"/>
      <c r="V223" s="79"/>
      <c r="W223" s="86"/>
      <c r="X223" s="5"/>
    </row>
    <row r="224" spans="1:24" ht="15.75" x14ac:dyDescent="0.25">
      <c r="A224" s="87"/>
      <c r="B224" s="122" t="s">
        <v>83</v>
      </c>
      <c r="C224" s="76"/>
      <c r="D224" s="76"/>
      <c r="E224" s="76"/>
      <c r="F224" s="76"/>
      <c r="G224" s="25"/>
      <c r="H224" s="25"/>
      <c r="I224" s="25"/>
      <c r="J224" s="25"/>
      <c r="K224" s="25"/>
      <c r="L224" s="25"/>
      <c r="M224" s="25"/>
      <c r="N224" s="25"/>
      <c r="O224" s="25"/>
      <c r="P224" s="25"/>
      <c r="Q224" s="25"/>
      <c r="R224" s="25"/>
      <c r="S224" s="25"/>
      <c r="T224" s="85"/>
      <c r="U224" s="25"/>
      <c r="V224" s="79"/>
      <c r="W224" s="88"/>
      <c r="X224" s="5"/>
    </row>
    <row r="225" spans="1:25" ht="15.75" x14ac:dyDescent="0.25">
      <c r="A225" s="87"/>
      <c r="B225" s="130" t="s">
        <v>84</v>
      </c>
      <c r="C225" s="76"/>
      <c r="D225" s="76"/>
      <c r="E225" s="76"/>
      <c r="F225" s="76"/>
      <c r="G225" s="25"/>
      <c r="H225" s="25"/>
      <c r="I225" s="25"/>
      <c r="J225" s="25"/>
      <c r="K225" s="25"/>
      <c r="L225" s="25"/>
      <c r="M225" s="25"/>
      <c r="N225" s="25"/>
      <c r="O225" s="25"/>
      <c r="P225" s="25"/>
      <c r="Q225" s="25"/>
      <c r="R225" s="25"/>
      <c r="S225" s="30"/>
      <c r="T225" s="85">
        <f>V164</f>
        <v>128</v>
      </c>
      <c r="U225" s="25"/>
      <c r="V225" s="79"/>
      <c r="W225" s="88"/>
      <c r="X225" s="5"/>
    </row>
    <row r="226" spans="1:25" ht="15.75" x14ac:dyDescent="0.25">
      <c r="A226" s="84"/>
      <c r="B226" s="76" t="s">
        <v>85</v>
      </c>
      <c r="C226" s="54"/>
      <c r="D226" s="54"/>
      <c r="E226" s="54"/>
      <c r="F226" s="54"/>
      <c r="G226" s="25"/>
      <c r="H226" s="25"/>
      <c r="I226" s="25"/>
      <c r="J226" s="25"/>
      <c r="K226" s="25"/>
      <c r="L226" s="25"/>
      <c r="M226" s="25"/>
      <c r="N226" s="25"/>
      <c r="O226" s="25"/>
      <c r="P226" s="25"/>
      <c r="Q226" s="25"/>
      <c r="R226" s="25"/>
      <c r="S226" s="30"/>
      <c r="T226" s="85">
        <f>+'Nov 08'!T226+T225</f>
        <v>253</v>
      </c>
      <c r="U226" s="25"/>
      <c r="V226" s="79"/>
      <c r="W226" s="88"/>
      <c r="X226" s="5"/>
    </row>
    <row r="227" spans="1:25" ht="15.75" x14ac:dyDescent="0.25">
      <c r="A227" s="87"/>
      <c r="B227" s="122" t="s">
        <v>285</v>
      </c>
      <c r="C227" s="76"/>
      <c r="D227" s="76"/>
      <c r="E227" s="76"/>
      <c r="F227" s="76"/>
      <c r="G227" s="25"/>
      <c r="H227" s="25"/>
      <c r="I227" s="25"/>
      <c r="J227" s="25"/>
      <c r="K227" s="25"/>
      <c r="L227" s="25"/>
      <c r="M227" s="25"/>
      <c r="N227" s="25"/>
      <c r="O227" s="25"/>
      <c r="P227" s="25"/>
      <c r="Q227" s="25"/>
      <c r="R227" s="25"/>
      <c r="S227" s="30"/>
      <c r="T227" s="85"/>
      <c r="U227" s="25"/>
      <c r="V227" s="79"/>
      <c r="W227" s="88"/>
      <c r="X227" s="5"/>
    </row>
    <row r="228" spans="1:25" ht="15.75" x14ac:dyDescent="0.25">
      <c r="A228" s="87"/>
      <c r="B228" s="76" t="s">
        <v>282</v>
      </c>
      <c r="C228" s="76"/>
      <c r="D228" s="76"/>
      <c r="E228" s="76"/>
      <c r="F228" s="76"/>
      <c r="G228" s="25"/>
      <c r="H228" s="25"/>
      <c r="I228" s="25"/>
      <c r="J228" s="25"/>
      <c r="K228" s="25"/>
      <c r="L228" s="25"/>
      <c r="M228" s="25"/>
      <c r="N228" s="25"/>
      <c r="O228" s="25"/>
      <c r="P228" s="25"/>
      <c r="Q228" s="25"/>
      <c r="R228" s="25"/>
      <c r="S228" s="30">
        <v>0</v>
      </c>
      <c r="T228" s="85">
        <v>0</v>
      </c>
      <c r="U228" s="25"/>
      <c r="V228" s="79"/>
      <c r="W228" s="88"/>
      <c r="X228" s="5"/>
    </row>
    <row r="229" spans="1:25" ht="15.75" x14ac:dyDescent="0.25">
      <c r="A229" s="84"/>
      <c r="B229" s="76" t="s">
        <v>86</v>
      </c>
      <c r="C229" s="89"/>
      <c r="D229" s="89"/>
      <c r="E229" s="89"/>
      <c r="F229" s="90"/>
      <c r="G229" s="25"/>
      <c r="H229" s="25"/>
      <c r="I229" s="25"/>
      <c r="J229" s="25"/>
      <c r="K229" s="25"/>
      <c r="L229" s="25"/>
      <c r="M229" s="25"/>
      <c r="N229" s="25"/>
      <c r="O229" s="25"/>
      <c r="P229" s="25"/>
      <c r="Q229" s="25"/>
      <c r="R229" s="25"/>
      <c r="S229" s="25"/>
      <c r="T229" s="62">
        <v>0</v>
      </c>
      <c r="U229" s="25"/>
      <c r="V229" s="79"/>
      <c r="W229" s="88"/>
      <c r="X229" s="5"/>
    </row>
    <row r="230" spans="1:25" ht="15.75" x14ac:dyDescent="0.25">
      <c r="A230" s="84"/>
      <c r="B230" s="76" t="s">
        <v>87</v>
      </c>
      <c r="C230" s="89"/>
      <c r="D230" s="89"/>
      <c r="E230" s="89"/>
      <c r="F230" s="90"/>
      <c r="G230" s="25"/>
      <c r="H230" s="25"/>
      <c r="I230" s="25"/>
      <c r="J230" s="25"/>
      <c r="K230" s="25"/>
      <c r="L230" s="25"/>
      <c r="M230" s="25"/>
      <c r="N230" s="25"/>
      <c r="O230" s="25"/>
      <c r="P230" s="25"/>
      <c r="Q230" s="25"/>
      <c r="R230" s="25"/>
      <c r="S230" s="25"/>
      <c r="T230" s="62">
        <v>0</v>
      </c>
      <c r="U230" s="25"/>
      <c r="V230" s="79"/>
      <c r="W230" s="88"/>
      <c r="X230" s="5"/>
    </row>
    <row r="231" spans="1:25" ht="15.75" x14ac:dyDescent="0.25">
      <c r="A231" s="84"/>
      <c r="B231" s="122" t="s">
        <v>216</v>
      </c>
      <c r="C231" s="89"/>
      <c r="D231" s="89"/>
      <c r="E231" s="89"/>
      <c r="F231" s="90"/>
      <c r="G231" s="25"/>
      <c r="H231" s="25"/>
      <c r="I231" s="25"/>
      <c r="J231" s="25"/>
      <c r="K231" s="25"/>
      <c r="L231" s="25"/>
      <c r="M231" s="25"/>
      <c r="N231" s="25"/>
      <c r="O231" s="25"/>
      <c r="P231" s="25"/>
      <c r="Q231" s="25"/>
      <c r="R231" s="25"/>
      <c r="S231" s="25"/>
      <c r="T231" s="91"/>
      <c r="U231" s="25"/>
      <c r="V231" s="79"/>
      <c r="W231" s="88"/>
      <c r="X231" s="5"/>
    </row>
    <row r="232" spans="1:25" ht="15.75" x14ac:dyDescent="0.25">
      <c r="A232" s="84"/>
      <c r="B232" s="76" t="s">
        <v>282</v>
      </c>
      <c r="C232" s="89"/>
      <c r="D232" s="89"/>
      <c r="E232" s="89"/>
      <c r="F232" s="90"/>
      <c r="G232" s="25"/>
      <c r="H232" s="25"/>
      <c r="I232" s="25"/>
      <c r="J232" s="25"/>
      <c r="K232" s="25"/>
      <c r="L232" s="25"/>
      <c r="M232" s="25"/>
      <c r="N232" s="25"/>
      <c r="O232" s="25"/>
      <c r="P232" s="25"/>
      <c r="Q232" s="25"/>
      <c r="R232" s="25"/>
      <c r="S232" s="30">
        <v>2</v>
      </c>
      <c r="T232" s="85">
        <v>289</v>
      </c>
      <c r="U232" s="25"/>
      <c r="V232" s="79"/>
      <c r="W232" s="88"/>
      <c r="X232" s="5"/>
    </row>
    <row r="233" spans="1:25" ht="15.75" x14ac:dyDescent="0.25">
      <c r="A233" s="84"/>
      <c r="B233" s="76" t="s">
        <v>217</v>
      </c>
      <c r="C233" s="89"/>
      <c r="D233" s="89"/>
      <c r="E233" s="89"/>
      <c r="F233" s="90"/>
      <c r="G233" s="25"/>
      <c r="H233" s="25"/>
      <c r="I233" s="25"/>
      <c r="J233" s="25"/>
      <c r="K233" s="25"/>
      <c r="L233" s="25"/>
      <c r="M233" s="25"/>
      <c r="N233" s="25"/>
      <c r="O233" s="25"/>
      <c r="P233" s="25"/>
      <c r="Q233" s="25"/>
      <c r="R233" s="25"/>
      <c r="S233" s="25"/>
      <c r="T233" s="62">
        <v>11.98</v>
      </c>
      <c r="U233" s="25"/>
      <c r="V233" s="79"/>
      <c r="W233" s="88"/>
      <c r="X233" s="5"/>
    </row>
    <row r="234" spans="1:25" ht="15.75" x14ac:dyDescent="0.25">
      <c r="A234" s="84"/>
      <c r="B234" s="76"/>
      <c r="C234" s="89"/>
      <c r="D234" s="89"/>
      <c r="E234" s="89"/>
      <c r="F234" s="90"/>
      <c r="G234" s="25"/>
      <c r="H234" s="25"/>
      <c r="I234" s="25"/>
      <c r="J234" s="25"/>
      <c r="K234" s="25"/>
      <c r="L234" s="25"/>
      <c r="M234" s="25"/>
      <c r="N234" s="25"/>
      <c r="O234" s="25"/>
      <c r="P234" s="25"/>
      <c r="Q234" s="25"/>
      <c r="R234" s="25"/>
      <c r="S234" s="25"/>
      <c r="T234" s="91"/>
      <c r="U234" s="25"/>
      <c r="V234" s="79"/>
      <c r="W234" s="88"/>
      <c r="X234" s="5"/>
    </row>
    <row r="235" spans="1:25" ht="15.75" x14ac:dyDescent="0.25">
      <c r="A235" s="84"/>
      <c r="B235" s="76"/>
      <c r="C235" s="89"/>
      <c r="D235" s="89"/>
      <c r="E235" s="89"/>
      <c r="F235" s="90"/>
      <c r="G235" s="25"/>
      <c r="H235" s="25"/>
      <c r="I235" s="25"/>
      <c r="J235" s="25"/>
      <c r="K235" s="25"/>
      <c r="L235" s="25"/>
      <c r="M235" s="25"/>
      <c r="N235" s="25"/>
      <c r="O235" s="25"/>
      <c r="P235" s="25"/>
      <c r="Q235" s="25"/>
      <c r="R235" s="25"/>
      <c r="S235" s="25"/>
      <c r="T235" s="91"/>
      <c r="U235" s="25"/>
      <c r="V235" s="79"/>
      <c r="W235" s="88"/>
      <c r="X235" s="5"/>
    </row>
    <row r="236" spans="1:25" ht="18.75" x14ac:dyDescent="0.3">
      <c r="A236" s="84"/>
      <c r="B236" s="146" t="s">
        <v>168</v>
      </c>
      <c r="C236" s="89"/>
      <c r="D236" s="89"/>
      <c r="E236" s="89"/>
      <c r="F236" s="90"/>
      <c r="G236" s="25"/>
      <c r="H236" s="25"/>
      <c r="I236" s="25"/>
      <c r="J236" s="25"/>
      <c r="K236" s="25"/>
      <c r="L236" s="25"/>
      <c r="M236" s="25"/>
      <c r="N236" s="25"/>
      <c r="O236" s="25"/>
      <c r="P236" s="147" t="s">
        <v>167</v>
      </c>
      <c r="Q236" s="25"/>
      <c r="R236" s="25"/>
      <c r="S236" s="25"/>
      <c r="T236" s="91"/>
      <c r="U236" s="25"/>
      <c r="V236" s="79"/>
      <c r="W236" s="88"/>
      <c r="X236" s="5"/>
    </row>
    <row r="237" spans="1:25" ht="15.75" x14ac:dyDescent="0.25">
      <c r="A237" s="84"/>
      <c r="B237" s="76"/>
      <c r="C237" s="89"/>
      <c r="D237" s="89"/>
      <c r="E237" s="89"/>
      <c r="F237" s="90"/>
      <c r="G237" s="25"/>
      <c r="H237" s="25"/>
      <c r="I237" s="25"/>
      <c r="J237" s="25"/>
      <c r="K237" s="25"/>
      <c r="L237" s="25"/>
      <c r="M237" s="25"/>
      <c r="N237" s="25"/>
      <c r="O237" s="25"/>
      <c r="P237" s="25"/>
      <c r="Q237" s="25"/>
      <c r="R237" s="25"/>
      <c r="S237" s="25"/>
      <c r="T237" s="91"/>
      <c r="U237" s="25"/>
      <c r="V237" s="79"/>
      <c r="W237" s="88"/>
      <c r="X237" s="5"/>
    </row>
    <row r="238" spans="1:25" ht="15.75" x14ac:dyDescent="0.25">
      <c r="A238" s="6"/>
      <c r="B238" s="14" t="s">
        <v>162</v>
      </c>
      <c r="C238" s="81"/>
      <c r="D238" s="81"/>
      <c r="E238" s="81"/>
      <c r="F238" s="82"/>
      <c r="G238" s="81"/>
      <c r="H238" s="17"/>
      <c r="I238" s="17"/>
      <c r="J238" s="17"/>
      <c r="K238" s="17"/>
      <c r="L238" s="17"/>
      <c r="M238" s="17"/>
      <c r="N238" s="17"/>
      <c r="O238" s="17"/>
      <c r="P238" s="17"/>
      <c r="Q238" s="17"/>
      <c r="R238" s="83" t="s">
        <v>102</v>
      </c>
      <c r="S238" s="17" t="s">
        <v>103</v>
      </c>
      <c r="T238" s="83" t="s">
        <v>109</v>
      </c>
      <c r="U238" s="17" t="s">
        <v>103</v>
      </c>
      <c r="V238" s="8"/>
      <c r="W238" s="92"/>
      <c r="X238" s="5"/>
    </row>
    <row r="239" spans="1:25" ht="15.75" x14ac:dyDescent="0.25">
      <c r="A239" s="24"/>
      <c r="B239" s="54" t="s">
        <v>88</v>
      </c>
      <c r="C239" s="93"/>
      <c r="D239" s="93"/>
      <c r="E239" s="93"/>
      <c r="F239" s="25"/>
      <c r="G239" s="93"/>
      <c r="H239" s="93"/>
      <c r="I239" s="93"/>
      <c r="J239" s="93"/>
      <c r="K239" s="93"/>
      <c r="L239" s="93"/>
      <c r="M239" s="93"/>
      <c r="N239" s="93"/>
      <c r="O239" s="93"/>
      <c r="P239" s="93"/>
      <c r="Q239" s="93"/>
      <c r="R239" s="54">
        <v>5922</v>
      </c>
      <c r="S239" s="94">
        <f t="shared" ref="S239:S246" si="1">R239/$R$248</f>
        <v>0.98453865336658353</v>
      </c>
      <c r="T239" s="53">
        <v>857428</v>
      </c>
      <c r="U239" s="131">
        <f t="shared" ref="U239:U246" si="2">T239/$T$248</f>
        <v>0.98411510579982275</v>
      </c>
      <c r="V239" s="79"/>
      <c r="W239" s="88"/>
      <c r="X239" s="5"/>
    </row>
    <row r="240" spans="1:25" ht="15.75" x14ac:dyDescent="0.25">
      <c r="A240" s="24"/>
      <c r="B240" s="54" t="s">
        <v>89</v>
      </c>
      <c r="C240" s="93"/>
      <c r="D240" s="93"/>
      <c r="E240" s="93"/>
      <c r="F240" s="25"/>
      <c r="G240" s="94"/>
      <c r="H240" s="93"/>
      <c r="I240" s="93"/>
      <c r="J240" s="93"/>
      <c r="K240" s="93"/>
      <c r="L240" s="93"/>
      <c r="M240" s="93"/>
      <c r="N240" s="93"/>
      <c r="O240" s="93"/>
      <c r="P240" s="93"/>
      <c r="Q240" s="93"/>
      <c r="R240" s="54">
        <v>35</v>
      </c>
      <c r="S240" s="94">
        <f t="shared" si="1"/>
        <v>5.8187863674147968E-3</v>
      </c>
      <c r="T240" s="53">
        <v>5491</v>
      </c>
      <c r="U240" s="131">
        <f t="shared" si="2"/>
        <v>6.3023088188708873E-3</v>
      </c>
      <c r="V240" s="79"/>
      <c r="W240" s="88"/>
      <c r="X240" s="5"/>
      <c r="Y240" s="109"/>
    </row>
    <row r="241" spans="1:25" ht="15.75" x14ac:dyDescent="0.25">
      <c r="A241" s="24"/>
      <c r="B241" s="54" t="s">
        <v>90</v>
      </c>
      <c r="C241" s="93"/>
      <c r="D241" s="93"/>
      <c r="E241" s="93"/>
      <c r="F241" s="25"/>
      <c r="G241" s="94"/>
      <c r="H241" s="93"/>
      <c r="I241" s="93"/>
      <c r="J241" s="93"/>
      <c r="K241" s="93"/>
      <c r="L241" s="93"/>
      <c r="M241" s="93"/>
      <c r="N241" s="93"/>
      <c r="O241" s="93"/>
      <c r="P241" s="93"/>
      <c r="Q241" s="93"/>
      <c r="R241" s="54">
        <v>31</v>
      </c>
      <c r="S241" s="94">
        <f t="shared" si="1"/>
        <v>5.15378221113882E-3</v>
      </c>
      <c r="T241" s="53">
        <v>4763</v>
      </c>
      <c r="U241" s="131">
        <f t="shared" si="2"/>
        <v>5.4667450199020282E-3</v>
      </c>
      <c r="V241" s="79"/>
      <c r="W241" s="88"/>
      <c r="X241" s="5"/>
    </row>
    <row r="242" spans="1:25" ht="15.75" x14ac:dyDescent="0.25">
      <c r="A242" s="24"/>
      <c r="B242" s="54" t="s">
        <v>156</v>
      </c>
      <c r="C242" s="93"/>
      <c r="D242" s="93"/>
      <c r="E242" s="93"/>
      <c r="F242" s="25"/>
      <c r="G242" s="94"/>
      <c r="H242" s="93"/>
      <c r="I242" s="93"/>
      <c r="J242" s="93"/>
      <c r="K242" s="93"/>
      <c r="L242" s="93"/>
      <c r="M242" s="93"/>
      <c r="N242" s="93"/>
      <c r="O242" s="93"/>
      <c r="P242" s="93"/>
      <c r="Q242" s="93"/>
      <c r="R242" s="54">
        <v>10</v>
      </c>
      <c r="S242" s="94">
        <f t="shared" si="1"/>
        <v>1.6625103906899418E-3</v>
      </c>
      <c r="T242" s="53">
        <v>1144</v>
      </c>
      <c r="U242" s="131">
        <f t="shared" si="2"/>
        <v>1.3130288269510644E-3</v>
      </c>
      <c r="V242" s="79"/>
      <c r="W242" s="88"/>
      <c r="X242" s="5"/>
      <c r="Y242" s="109"/>
    </row>
    <row r="243" spans="1:25" ht="15.75" x14ac:dyDescent="0.25">
      <c r="A243" s="24"/>
      <c r="B243" s="54" t="s">
        <v>157</v>
      </c>
      <c r="C243" s="93"/>
      <c r="D243" s="93"/>
      <c r="E243" s="93"/>
      <c r="F243" s="25"/>
      <c r="G243" s="94"/>
      <c r="H243" s="93"/>
      <c r="I243" s="93"/>
      <c r="J243" s="93"/>
      <c r="K243" s="93"/>
      <c r="L243" s="93"/>
      <c r="M243" s="93"/>
      <c r="N243" s="93"/>
      <c r="O243" s="93"/>
      <c r="P243" s="93"/>
      <c r="Q243" s="93"/>
      <c r="R243" s="54">
        <v>6</v>
      </c>
      <c r="S243" s="94">
        <f t="shared" si="1"/>
        <v>9.9750623441396502E-4</v>
      </c>
      <c r="T243" s="53">
        <v>990</v>
      </c>
      <c r="U243" s="131">
        <f t="shared" si="2"/>
        <v>1.1362749463999595E-3</v>
      </c>
      <c r="V243" s="79"/>
      <c r="W243" s="88"/>
      <c r="X243" s="5"/>
    </row>
    <row r="244" spans="1:25" ht="15.75" x14ac:dyDescent="0.25">
      <c r="A244" s="24"/>
      <c r="B244" s="54" t="s">
        <v>158</v>
      </c>
      <c r="C244" s="93"/>
      <c r="D244" s="93"/>
      <c r="E244" s="93"/>
      <c r="F244" s="25"/>
      <c r="G244" s="94"/>
      <c r="H244" s="93"/>
      <c r="I244" s="93"/>
      <c r="J244" s="93"/>
      <c r="K244" s="93"/>
      <c r="L244" s="93"/>
      <c r="M244" s="93"/>
      <c r="N244" s="93"/>
      <c r="O244" s="93"/>
      <c r="P244" s="93"/>
      <c r="Q244" s="93"/>
      <c r="R244" s="54">
        <v>10</v>
      </c>
      <c r="S244" s="94">
        <f t="shared" si="1"/>
        <v>1.6625103906899418E-3</v>
      </c>
      <c r="T244" s="53">
        <v>1210</v>
      </c>
      <c r="U244" s="131">
        <f t="shared" si="2"/>
        <v>1.3887804900443951E-3</v>
      </c>
      <c r="V244" s="79"/>
      <c r="W244" s="88"/>
      <c r="X244" s="5"/>
      <c r="Y244" s="109"/>
    </row>
    <row r="245" spans="1:25" ht="15.75" x14ac:dyDescent="0.25">
      <c r="A245" s="24"/>
      <c r="B245" s="54" t="s">
        <v>159</v>
      </c>
      <c r="C245" s="93"/>
      <c r="D245" s="93"/>
      <c r="E245" s="93"/>
      <c r="F245" s="25"/>
      <c r="G245" s="94"/>
      <c r="H245" s="93"/>
      <c r="I245" s="93"/>
      <c r="J245" s="93"/>
      <c r="K245" s="93"/>
      <c r="L245" s="93"/>
      <c r="M245" s="93"/>
      <c r="N245" s="93"/>
      <c r="O245" s="93"/>
      <c r="P245" s="93"/>
      <c r="Q245" s="93"/>
      <c r="R245" s="54">
        <v>1</v>
      </c>
      <c r="S245" s="94">
        <f t="shared" si="1"/>
        <v>1.6625103906899418E-4</v>
      </c>
      <c r="T245" s="53">
        <v>242</v>
      </c>
      <c r="U245" s="131">
        <f t="shared" si="2"/>
        <v>2.77756098008879E-4</v>
      </c>
      <c r="V245" s="79"/>
      <c r="W245" s="88"/>
      <c r="X245" s="5"/>
    </row>
    <row r="246" spans="1:25" ht="15.75" x14ac:dyDescent="0.25">
      <c r="A246" s="24"/>
      <c r="B246" s="54" t="s">
        <v>160</v>
      </c>
      <c r="C246" s="93"/>
      <c r="D246" s="93"/>
      <c r="E246" s="93"/>
      <c r="F246" s="25"/>
      <c r="G246" s="94"/>
      <c r="H246" s="93"/>
      <c r="I246" s="93"/>
      <c r="J246" s="93"/>
      <c r="K246" s="93"/>
      <c r="L246" s="93"/>
      <c r="M246" s="93"/>
      <c r="N246" s="93"/>
      <c r="O246" s="93"/>
      <c r="P246" s="93"/>
      <c r="Q246" s="93"/>
      <c r="R246" s="54">
        <v>0</v>
      </c>
      <c r="S246" s="94">
        <f t="shared" si="1"/>
        <v>0</v>
      </c>
      <c r="T246" s="53">
        <v>0</v>
      </c>
      <c r="U246" s="131">
        <f t="shared" si="2"/>
        <v>0</v>
      </c>
      <c r="V246" s="79"/>
      <c r="W246" s="88"/>
      <c r="X246" s="5"/>
      <c r="Y246" s="109"/>
    </row>
    <row r="247" spans="1:25" ht="15.75" x14ac:dyDescent="0.25">
      <c r="A247" s="24"/>
      <c r="B247" s="54"/>
      <c r="C247" s="93"/>
      <c r="D247" s="93"/>
      <c r="E247" s="93"/>
      <c r="F247" s="25"/>
      <c r="G247" s="94"/>
      <c r="H247" s="93"/>
      <c r="I247" s="93"/>
      <c r="J247" s="93"/>
      <c r="K247" s="93"/>
      <c r="L247" s="93"/>
      <c r="M247" s="93"/>
      <c r="N247" s="93"/>
      <c r="O247" s="93"/>
      <c r="P247" s="93"/>
      <c r="Q247" s="93"/>
      <c r="R247" s="54"/>
      <c r="S247" s="94"/>
      <c r="T247" s="53"/>
      <c r="U247" s="131"/>
      <c r="V247" s="79"/>
      <c r="W247" s="88"/>
      <c r="X247" s="5"/>
    </row>
    <row r="248" spans="1:25" ht="15.75" x14ac:dyDescent="0.25">
      <c r="A248" s="24"/>
      <c r="B248" s="25"/>
      <c r="C248" s="25"/>
      <c r="D248" s="25"/>
      <c r="E248" s="25"/>
      <c r="F248" s="25"/>
      <c r="G248" s="25"/>
      <c r="H248" s="95"/>
      <c r="I248" s="95"/>
      <c r="J248" s="95"/>
      <c r="K248" s="95"/>
      <c r="L248" s="95"/>
      <c r="M248" s="95"/>
      <c r="N248" s="95"/>
      <c r="O248" s="95"/>
      <c r="P248" s="95"/>
      <c r="Q248" s="95"/>
      <c r="R248" s="34">
        <f>SUM(R239:R247)</f>
        <v>6015</v>
      </c>
      <c r="S248" s="131">
        <f>SUM(S239:S247)</f>
        <v>1.0000000000000002</v>
      </c>
      <c r="T248" s="53">
        <f>SUM(T239:T247)</f>
        <v>871268</v>
      </c>
      <c r="U248" s="131">
        <f>SUM(U239:U247)</f>
        <v>1</v>
      </c>
      <c r="V248" s="25"/>
      <c r="W248" s="25"/>
      <c r="X248" s="5"/>
    </row>
    <row r="249" spans="1:25" ht="15.75" x14ac:dyDescent="0.25">
      <c r="A249" s="24"/>
      <c r="B249" s="25"/>
      <c r="C249" s="25"/>
      <c r="D249" s="25"/>
      <c r="E249" s="25"/>
      <c r="F249" s="25"/>
      <c r="G249" s="25"/>
      <c r="H249" s="95"/>
      <c r="I249" s="95"/>
      <c r="J249" s="95"/>
      <c r="K249" s="95"/>
      <c r="L249" s="95"/>
      <c r="M249" s="95"/>
      <c r="N249" s="95"/>
      <c r="O249" s="95"/>
      <c r="P249" s="95"/>
      <c r="Q249" s="95"/>
      <c r="R249" s="34"/>
      <c r="S249" s="131"/>
      <c r="T249" s="53"/>
      <c r="U249" s="131"/>
      <c r="V249" s="25"/>
      <c r="W249" s="25"/>
      <c r="X249" s="5"/>
    </row>
    <row r="250" spans="1:25" ht="15.75" x14ac:dyDescent="0.25">
      <c r="A250" s="138"/>
      <c r="B250" s="14" t="s">
        <v>236</v>
      </c>
      <c r="C250" s="81"/>
      <c r="D250" s="81"/>
      <c r="E250" s="81"/>
      <c r="F250" s="82"/>
      <c r="G250" s="81"/>
      <c r="H250" s="17"/>
      <c r="I250" s="17"/>
      <c r="J250" s="17"/>
      <c r="K250" s="17"/>
      <c r="L250" s="17"/>
      <c r="M250" s="17"/>
      <c r="N250" s="17"/>
      <c r="O250" s="17"/>
      <c r="P250" s="17"/>
      <c r="Q250" s="17"/>
      <c r="R250" s="83" t="s">
        <v>102</v>
      </c>
      <c r="S250" s="17" t="s">
        <v>103</v>
      </c>
      <c r="T250" s="83" t="s">
        <v>109</v>
      </c>
      <c r="U250" s="17" t="s">
        <v>103</v>
      </c>
      <c r="V250" s="136"/>
      <c r="W250" s="137"/>
      <c r="X250" s="5"/>
    </row>
    <row r="251" spans="1:25" ht="15.75" x14ac:dyDescent="0.25">
      <c r="A251" s="24"/>
      <c r="B251" s="54" t="s">
        <v>88</v>
      </c>
      <c r="C251" s="93"/>
      <c r="D251" s="93"/>
      <c r="E251" s="93"/>
      <c r="F251" s="25"/>
      <c r="G251" s="93"/>
      <c r="H251" s="93"/>
      <c r="I251" s="93"/>
      <c r="J251" s="93"/>
      <c r="K251" s="93"/>
      <c r="L251" s="93"/>
      <c r="M251" s="93"/>
      <c r="N251" s="93"/>
      <c r="O251" s="93"/>
      <c r="P251" s="93"/>
      <c r="Q251" s="93"/>
      <c r="R251" s="54">
        <v>3</v>
      </c>
      <c r="S251" s="94">
        <f t="shared" ref="S251:S258" si="3">R251/$R$260</f>
        <v>2.7777777777777776E-2</v>
      </c>
      <c r="T251" s="53">
        <v>239</v>
      </c>
      <c r="U251" s="131">
        <f t="shared" ref="U251:U258" si="4">T251/$T$260</f>
        <v>1.384063006717628E-2</v>
      </c>
      <c r="V251" s="25"/>
      <c r="W251" s="25"/>
      <c r="X251" s="5"/>
    </row>
    <row r="252" spans="1:25" ht="15.75" x14ac:dyDescent="0.25">
      <c r="A252" s="24"/>
      <c r="B252" s="54" t="s">
        <v>89</v>
      </c>
      <c r="C252" s="93"/>
      <c r="D252" s="93"/>
      <c r="E252" s="93"/>
      <c r="F252" s="25"/>
      <c r="G252" s="94"/>
      <c r="H252" s="93"/>
      <c r="I252" s="93"/>
      <c r="J252" s="93"/>
      <c r="K252" s="93"/>
      <c r="L252" s="93"/>
      <c r="M252" s="93"/>
      <c r="N252" s="93"/>
      <c r="O252" s="93"/>
      <c r="P252" s="93"/>
      <c r="Q252" s="93"/>
      <c r="R252" s="54">
        <v>12</v>
      </c>
      <c r="S252" s="94">
        <f t="shared" si="3"/>
        <v>0.1111111111111111</v>
      </c>
      <c r="T252" s="53">
        <v>1924</v>
      </c>
      <c r="U252" s="131">
        <f t="shared" si="4"/>
        <v>0.1114199675700718</v>
      </c>
      <c r="V252" s="25"/>
      <c r="W252" s="25"/>
      <c r="X252" s="5"/>
    </row>
    <row r="253" spans="1:25" ht="15.75" x14ac:dyDescent="0.25">
      <c r="A253" s="24"/>
      <c r="B253" s="54" t="s">
        <v>90</v>
      </c>
      <c r="C253" s="93"/>
      <c r="D253" s="93"/>
      <c r="E253" s="93"/>
      <c r="F253" s="25"/>
      <c r="G253" s="94"/>
      <c r="H253" s="93"/>
      <c r="I253" s="93"/>
      <c r="J253" s="93"/>
      <c r="K253" s="93"/>
      <c r="L253" s="93"/>
      <c r="M253" s="93"/>
      <c r="N253" s="93"/>
      <c r="O253" s="93"/>
      <c r="P253" s="93"/>
      <c r="Q253" s="93"/>
      <c r="R253" s="54">
        <v>19</v>
      </c>
      <c r="S253" s="94">
        <f t="shared" si="3"/>
        <v>0.17592592592592593</v>
      </c>
      <c r="T253" s="53">
        <v>3904</v>
      </c>
      <c r="U253" s="131">
        <f t="shared" si="4"/>
        <v>0.22608292795923093</v>
      </c>
      <c r="V253" s="25"/>
      <c r="W253" s="25"/>
      <c r="X253" s="5"/>
    </row>
    <row r="254" spans="1:25" ht="15.75" x14ac:dyDescent="0.25">
      <c r="A254" s="24"/>
      <c r="B254" s="54" t="s">
        <v>156</v>
      </c>
      <c r="C254" s="93"/>
      <c r="D254" s="93"/>
      <c r="E254" s="93"/>
      <c r="F254" s="25"/>
      <c r="G254" s="94"/>
      <c r="H254" s="93"/>
      <c r="I254" s="93"/>
      <c r="J254" s="93"/>
      <c r="K254" s="93"/>
      <c r="L254" s="93"/>
      <c r="M254" s="93"/>
      <c r="N254" s="93"/>
      <c r="O254" s="93"/>
      <c r="P254" s="93"/>
      <c r="Q254" s="93"/>
      <c r="R254" s="54">
        <v>13</v>
      </c>
      <c r="S254" s="94">
        <f t="shared" si="3"/>
        <v>0.12037037037037036</v>
      </c>
      <c r="T254" s="53">
        <v>2010</v>
      </c>
      <c r="U254" s="131">
        <f t="shared" si="4"/>
        <v>0.11640027797081307</v>
      </c>
      <c r="V254" s="25"/>
      <c r="W254" s="25"/>
      <c r="X254" s="5"/>
    </row>
    <row r="255" spans="1:25" ht="15.75" x14ac:dyDescent="0.25">
      <c r="A255" s="24"/>
      <c r="B255" s="54" t="s">
        <v>157</v>
      </c>
      <c r="C255" s="93"/>
      <c r="D255" s="93"/>
      <c r="E255" s="93"/>
      <c r="F255" s="25"/>
      <c r="G255" s="94"/>
      <c r="H255" s="93"/>
      <c r="I255" s="93"/>
      <c r="J255" s="93"/>
      <c r="K255" s="93"/>
      <c r="L255" s="93"/>
      <c r="M255" s="93"/>
      <c r="N255" s="93"/>
      <c r="O255" s="93"/>
      <c r="P255" s="93"/>
      <c r="Q255" s="93"/>
      <c r="R255" s="54">
        <v>9</v>
      </c>
      <c r="S255" s="94">
        <f t="shared" si="3"/>
        <v>8.3333333333333329E-2</v>
      </c>
      <c r="T255" s="53">
        <v>1323</v>
      </c>
      <c r="U255" s="131">
        <f t="shared" si="4"/>
        <v>7.6615705350938146E-2</v>
      </c>
      <c r="V255" s="25"/>
      <c r="W255" s="25"/>
      <c r="X255" s="5"/>
    </row>
    <row r="256" spans="1:25" ht="15.75" x14ac:dyDescent="0.25">
      <c r="A256" s="24"/>
      <c r="B256" s="54" t="s">
        <v>158</v>
      </c>
      <c r="C256" s="93"/>
      <c r="D256" s="93"/>
      <c r="E256" s="93"/>
      <c r="F256" s="25"/>
      <c r="G256" s="94"/>
      <c r="H256" s="93"/>
      <c r="I256" s="93"/>
      <c r="J256" s="93"/>
      <c r="K256" s="93"/>
      <c r="L256" s="93"/>
      <c r="M256" s="93"/>
      <c r="N256" s="93"/>
      <c r="O256" s="93"/>
      <c r="P256" s="93"/>
      <c r="Q256" s="93"/>
      <c r="R256" s="54">
        <v>7</v>
      </c>
      <c r="S256" s="94">
        <f t="shared" si="3"/>
        <v>6.4814814814814811E-2</v>
      </c>
      <c r="T256" s="53">
        <v>1147</v>
      </c>
      <c r="U256" s="131">
        <f t="shared" si="4"/>
        <v>6.642344220523512E-2</v>
      </c>
      <c r="V256" s="25"/>
      <c r="W256" s="25"/>
      <c r="X256" s="5"/>
    </row>
    <row r="257" spans="1:24" ht="15.75" x14ac:dyDescent="0.25">
      <c r="A257" s="24"/>
      <c r="B257" s="54" t="s">
        <v>159</v>
      </c>
      <c r="C257" s="93"/>
      <c r="D257" s="93"/>
      <c r="E257" s="93"/>
      <c r="F257" s="25"/>
      <c r="G257" s="94"/>
      <c r="H257" s="93"/>
      <c r="I257" s="93"/>
      <c r="J257" s="93"/>
      <c r="K257" s="93"/>
      <c r="L257" s="93"/>
      <c r="M257" s="93"/>
      <c r="N257" s="93"/>
      <c r="O257" s="93"/>
      <c r="P257" s="93"/>
      <c r="Q257" s="93"/>
      <c r="R257" s="54">
        <v>35</v>
      </c>
      <c r="S257" s="94">
        <f t="shared" si="3"/>
        <v>0.32407407407407407</v>
      </c>
      <c r="T257" s="53">
        <v>5481</v>
      </c>
      <c r="U257" s="131">
        <f t="shared" si="4"/>
        <v>0.31740792216817232</v>
      </c>
      <c r="V257" s="25"/>
      <c r="W257" s="25"/>
      <c r="X257" s="5"/>
    </row>
    <row r="258" spans="1:24" ht="15.75" x14ac:dyDescent="0.25">
      <c r="A258" s="24"/>
      <c r="B258" s="54" t="s">
        <v>160</v>
      </c>
      <c r="C258" s="93"/>
      <c r="D258" s="93"/>
      <c r="E258" s="93"/>
      <c r="F258" s="25"/>
      <c r="G258" s="94"/>
      <c r="H258" s="93"/>
      <c r="I258" s="93"/>
      <c r="J258" s="93"/>
      <c r="K258" s="93"/>
      <c r="L258" s="93"/>
      <c r="M258" s="93"/>
      <c r="N258" s="93"/>
      <c r="O258" s="93"/>
      <c r="P258" s="93"/>
      <c r="Q258" s="93"/>
      <c r="R258" s="54">
        <v>10</v>
      </c>
      <c r="S258" s="94">
        <f t="shared" si="3"/>
        <v>9.2592592592592587E-2</v>
      </c>
      <c r="T258" s="53">
        <v>1240</v>
      </c>
      <c r="U258" s="131">
        <f t="shared" si="4"/>
        <v>7.1809126708362286E-2</v>
      </c>
      <c r="V258" s="25"/>
      <c r="W258" s="25"/>
      <c r="X258" s="5"/>
    </row>
    <row r="259" spans="1:24" ht="15.75" x14ac:dyDescent="0.25">
      <c r="A259" s="24"/>
      <c r="B259" s="54"/>
      <c r="C259" s="93"/>
      <c r="D259" s="93"/>
      <c r="E259" s="93"/>
      <c r="F259" s="25"/>
      <c r="G259" s="94"/>
      <c r="H259" s="93"/>
      <c r="I259" s="93"/>
      <c r="J259" s="93"/>
      <c r="K259" s="93"/>
      <c r="L259" s="93"/>
      <c r="M259" s="93"/>
      <c r="N259" s="93"/>
      <c r="O259" s="93"/>
      <c r="P259" s="93"/>
      <c r="Q259" s="93"/>
      <c r="R259" s="54"/>
      <c r="S259" s="94"/>
      <c r="T259" s="53"/>
      <c r="U259" s="131"/>
      <c r="V259" s="25"/>
      <c r="W259" s="25"/>
      <c r="X259" s="5"/>
    </row>
    <row r="260" spans="1:24" ht="15.75" x14ac:dyDescent="0.25">
      <c r="A260" s="24"/>
      <c r="B260" s="25"/>
      <c r="C260" s="25"/>
      <c r="D260" s="25"/>
      <c r="E260" s="25"/>
      <c r="F260" s="25"/>
      <c r="G260" s="25"/>
      <c r="H260" s="95"/>
      <c r="I260" s="95"/>
      <c r="J260" s="95"/>
      <c r="K260" s="95"/>
      <c r="L260" s="95"/>
      <c r="M260" s="95"/>
      <c r="N260" s="95"/>
      <c r="O260" s="95"/>
      <c r="P260" s="95"/>
      <c r="Q260" s="95"/>
      <c r="R260" s="34">
        <f>SUM(R251:R259)</f>
        <v>108</v>
      </c>
      <c r="S260" s="131">
        <f>SUM(S251:S259)</f>
        <v>0.99999999999999989</v>
      </c>
      <c r="T260" s="53">
        <f>SUM(T251:T259)</f>
        <v>17268</v>
      </c>
      <c r="U260" s="131">
        <f>SUM(U251:U259)</f>
        <v>1</v>
      </c>
      <c r="V260" s="25"/>
      <c r="W260" s="25"/>
      <c r="X260" s="5"/>
    </row>
    <row r="261" spans="1:24" ht="15.75" x14ac:dyDescent="0.25">
      <c r="A261" s="24"/>
      <c r="B261" s="25"/>
      <c r="C261" s="25"/>
      <c r="D261" s="25"/>
      <c r="E261" s="25"/>
      <c r="F261" s="25"/>
      <c r="G261" s="25"/>
      <c r="H261" s="95"/>
      <c r="I261" s="95"/>
      <c r="J261" s="95"/>
      <c r="K261" s="95"/>
      <c r="L261" s="95"/>
      <c r="M261" s="95"/>
      <c r="N261" s="95"/>
      <c r="O261" s="95"/>
      <c r="P261" s="95"/>
      <c r="Q261" s="95"/>
      <c r="R261" s="34"/>
      <c r="S261" s="131"/>
      <c r="T261" s="53"/>
      <c r="U261" s="131"/>
      <c r="V261" s="25"/>
      <c r="W261" s="25"/>
      <c r="X261" s="5"/>
    </row>
    <row r="262" spans="1:24" ht="15.75" x14ac:dyDescent="0.25">
      <c r="A262" s="138"/>
      <c r="B262" s="14" t="s">
        <v>163</v>
      </c>
      <c r="C262" s="136"/>
      <c r="D262" s="136"/>
      <c r="E262" s="136"/>
      <c r="F262" s="136"/>
      <c r="G262" s="136"/>
      <c r="H262" s="142"/>
      <c r="I262" s="142"/>
      <c r="J262" s="142"/>
      <c r="K262" s="142"/>
      <c r="L262" s="142"/>
      <c r="M262" s="142"/>
      <c r="N262" s="142"/>
      <c r="O262" s="142"/>
      <c r="P262" s="142"/>
      <c r="Q262" s="142"/>
      <c r="R262" s="83" t="s">
        <v>102</v>
      </c>
      <c r="S262" s="17" t="s">
        <v>103</v>
      </c>
      <c r="T262" s="83" t="s">
        <v>109</v>
      </c>
      <c r="U262" s="17" t="s">
        <v>103</v>
      </c>
      <c r="V262" s="136"/>
      <c r="W262" s="137"/>
      <c r="X262" s="5"/>
    </row>
    <row r="263" spans="1:24" ht="15.75" x14ac:dyDescent="0.25">
      <c r="A263" s="24"/>
      <c r="B263" s="54" t="s">
        <v>88</v>
      </c>
      <c r="C263" s="25"/>
      <c r="D263" s="25"/>
      <c r="E263" s="25"/>
      <c r="F263" s="25"/>
      <c r="G263" s="25"/>
      <c r="H263" s="95"/>
      <c r="I263" s="95"/>
      <c r="J263" s="95"/>
      <c r="K263" s="95"/>
      <c r="L263" s="95"/>
      <c r="M263" s="95"/>
      <c r="N263" s="95"/>
      <c r="O263" s="95"/>
      <c r="P263" s="95"/>
      <c r="Q263" s="95"/>
      <c r="R263" s="54">
        <v>0</v>
      </c>
      <c r="S263" s="94">
        <f>R263/$R$272</f>
        <v>0</v>
      </c>
      <c r="T263" s="53">
        <v>0</v>
      </c>
      <c r="U263" s="131">
        <f>T263/$T$272</f>
        <v>0</v>
      </c>
      <c r="V263" s="25"/>
      <c r="W263" s="25"/>
      <c r="X263" s="5"/>
    </row>
    <row r="264" spans="1:24" ht="15.75" x14ac:dyDescent="0.25">
      <c r="A264" s="24"/>
      <c r="B264" s="54" t="s">
        <v>89</v>
      </c>
      <c r="C264" s="25"/>
      <c r="D264" s="25"/>
      <c r="E264" s="25"/>
      <c r="F264" s="25"/>
      <c r="G264" s="25"/>
      <c r="H264" s="95"/>
      <c r="I264" s="95"/>
      <c r="J264" s="95"/>
      <c r="K264" s="95"/>
      <c r="L264" s="95"/>
      <c r="M264" s="95"/>
      <c r="N264" s="95"/>
      <c r="O264" s="95"/>
      <c r="P264" s="95"/>
      <c r="Q264" s="95"/>
      <c r="R264" s="54">
        <v>0</v>
      </c>
      <c r="S264" s="94">
        <f t="shared" ref="S264:S270" si="5">R264/$R$272</f>
        <v>0</v>
      </c>
      <c r="T264" s="53">
        <v>0</v>
      </c>
      <c r="U264" s="131">
        <f t="shared" ref="U264:U270" si="6">T264/$T$272</f>
        <v>0</v>
      </c>
      <c r="V264" s="25"/>
      <c r="W264" s="25"/>
      <c r="X264" s="5"/>
    </row>
    <row r="265" spans="1:24" ht="15.75" x14ac:dyDescent="0.25">
      <c r="A265" s="24"/>
      <c r="B265" s="54" t="s">
        <v>90</v>
      </c>
      <c r="C265" s="25"/>
      <c r="D265" s="25"/>
      <c r="E265" s="25"/>
      <c r="F265" s="25"/>
      <c r="G265" s="25"/>
      <c r="H265" s="95"/>
      <c r="I265" s="95"/>
      <c r="J265" s="95"/>
      <c r="K265" s="95"/>
      <c r="L265" s="95"/>
      <c r="M265" s="95"/>
      <c r="N265" s="95"/>
      <c r="O265" s="95"/>
      <c r="P265" s="95"/>
      <c r="Q265" s="95"/>
      <c r="R265" s="54">
        <v>0</v>
      </c>
      <c r="S265" s="94">
        <f t="shared" si="5"/>
        <v>0</v>
      </c>
      <c r="T265" s="53">
        <v>0</v>
      </c>
      <c r="U265" s="131">
        <f t="shared" si="6"/>
        <v>0</v>
      </c>
      <c r="V265" s="25"/>
      <c r="W265" s="25"/>
      <c r="X265" s="5"/>
    </row>
    <row r="266" spans="1:24" ht="15.75" x14ac:dyDescent="0.25">
      <c r="A266" s="24"/>
      <c r="B266" s="54" t="s">
        <v>156</v>
      </c>
      <c r="C266" s="25"/>
      <c r="D266" s="25"/>
      <c r="E266" s="25"/>
      <c r="F266" s="25"/>
      <c r="G266" s="25"/>
      <c r="H266" s="95"/>
      <c r="I266" s="95"/>
      <c r="J266" s="95"/>
      <c r="K266" s="95"/>
      <c r="L266" s="95"/>
      <c r="M266" s="95"/>
      <c r="N266" s="95"/>
      <c r="O266" s="95"/>
      <c r="P266" s="95"/>
      <c r="Q266" s="95"/>
      <c r="R266" s="54">
        <v>0</v>
      </c>
      <c r="S266" s="94">
        <f t="shared" si="5"/>
        <v>0</v>
      </c>
      <c r="T266" s="53">
        <v>0</v>
      </c>
      <c r="U266" s="131">
        <f t="shared" si="6"/>
        <v>0</v>
      </c>
      <c r="V266" s="25"/>
      <c r="W266" s="25"/>
      <c r="X266" s="5"/>
    </row>
    <row r="267" spans="1:24" ht="15.75" x14ac:dyDescent="0.25">
      <c r="A267" s="24"/>
      <c r="B267" s="54" t="s">
        <v>157</v>
      </c>
      <c r="C267" s="25"/>
      <c r="D267" s="25"/>
      <c r="E267" s="25"/>
      <c r="F267" s="25"/>
      <c r="G267" s="25"/>
      <c r="H267" s="95"/>
      <c r="I267" s="95"/>
      <c r="J267" s="95"/>
      <c r="K267" s="95"/>
      <c r="L267" s="95"/>
      <c r="M267" s="95"/>
      <c r="N267" s="95"/>
      <c r="O267" s="95"/>
      <c r="P267" s="95"/>
      <c r="Q267" s="95"/>
      <c r="R267" s="54">
        <v>0</v>
      </c>
      <c r="S267" s="94">
        <f t="shared" si="5"/>
        <v>0</v>
      </c>
      <c r="T267" s="53">
        <v>0</v>
      </c>
      <c r="U267" s="131">
        <f t="shared" si="6"/>
        <v>0</v>
      </c>
      <c r="V267" s="25"/>
      <c r="W267" s="25"/>
      <c r="X267" s="5"/>
    </row>
    <row r="268" spans="1:24" ht="15.75" x14ac:dyDescent="0.25">
      <c r="A268" s="24"/>
      <c r="B268" s="54" t="s">
        <v>158</v>
      </c>
      <c r="C268" s="25"/>
      <c r="D268" s="25"/>
      <c r="E268" s="25"/>
      <c r="F268" s="25"/>
      <c r="G268" s="25"/>
      <c r="H268" s="95"/>
      <c r="I268" s="95"/>
      <c r="J268" s="95"/>
      <c r="K268" s="95"/>
      <c r="L268" s="95"/>
      <c r="M268" s="95"/>
      <c r="N268" s="95"/>
      <c r="O268" s="95"/>
      <c r="P268" s="95"/>
      <c r="Q268" s="95"/>
      <c r="R268" s="54">
        <v>0</v>
      </c>
      <c r="S268" s="94">
        <f t="shared" si="5"/>
        <v>0</v>
      </c>
      <c r="T268" s="53">
        <v>0</v>
      </c>
      <c r="U268" s="131">
        <f t="shared" si="6"/>
        <v>0</v>
      </c>
      <c r="V268" s="25"/>
      <c r="W268" s="25"/>
      <c r="X268" s="5"/>
    </row>
    <row r="269" spans="1:24" ht="15.75" x14ac:dyDescent="0.25">
      <c r="A269" s="24"/>
      <c r="B269" s="54" t="s">
        <v>159</v>
      </c>
      <c r="C269" s="25"/>
      <c r="D269" s="25"/>
      <c r="E269" s="25"/>
      <c r="F269" s="25"/>
      <c r="G269" s="25"/>
      <c r="H269" s="95"/>
      <c r="I269" s="95"/>
      <c r="J269" s="95"/>
      <c r="K269" s="95"/>
      <c r="L269" s="95"/>
      <c r="M269" s="95"/>
      <c r="N269" s="95"/>
      <c r="O269" s="95"/>
      <c r="P269" s="95"/>
      <c r="Q269" s="95"/>
      <c r="R269" s="54">
        <v>0</v>
      </c>
      <c r="S269" s="94">
        <f t="shared" si="5"/>
        <v>0</v>
      </c>
      <c r="T269" s="53">
        <v>0</v>
      </c>
      <c r="U269" s="131">
        <f t="shared" si="6"/>
        <v>0</v>
      </c>
      <c r="V269" s="25"/>
      <c r="W269" s="25"/>
      <c r="X269" s="5"/>
    </row>
    <row r="270" spans="1:24" ht="15.75" x14ac:dyDescent="0.25">
      <c r="A270" s="24"/>
      <c r="B270" s="54" t="s">
        <v>160</v>
      </c>
      <c r="C270" s="25"/>
      <c r="D270" s="25"/>
      <c r="E270" s="25"/>
      <c r="F270" s="25"/>
      <c r="G270" s="25"/>
      <c r="H270" s="95"/>
      <c r="I270" s="95"/>
      <c r="J270" s="95"/>
      <c r="K270" s="95"/>
      <c r="L270" s="95"/>
      <c r="M270" s="95"/>
      <c r="N270" s="95"/>
      <c r="O270" s="95"/>
      <c r="P270" s="95"/>
      <c r="Q270" s="95"/>
      <c r="R270" s="54">
        <v>1</v>
      </c>
      <c r="S270" s="94">
        <f t="shared" si="5"/>
        <v>1</v>
      </c>
      <c r="T270" s="53">
        <v>117</v>
      </c>
      <c r="U270" s="131">
        <f t="shared" si="6"/>
        <v>1</v>
      </c>
      <c r="V270" s="25"/>
      <c r="W270" s="25"/>
      <c r="X270" s="5"/>
    </row>
    <row r="271" spans="1:24" ht="15.75" x14ac:dyDescent="0.25">
      <c r="A271" s="24"/>
      <c r="B271" s="54"/>
      <c r="C271" s="25"/>
      <c r="D271" s="25"/>
      <c r="E271" s="25"/>
      <c r="F271" s="25"/>
      <c r="G271" s="25"/>
      <c r="H271" s="95"/>
      <c r="I271" s="95"/>
      <c r="J271" s="95"/>
      <c r="K271" s="95"/>
      <c r="L271" s="95"/>
      <c r="M271" s="95"/>
      <c r="N271" s="95"/>
      <c r="O271" s="95"/>
      <c r="P271" s="95"/>
      <c r="Q271" s="95"/>
      <c r="R271" s="54"/>
      <c r="S271" s="94"/>
      <c r="T271" s="53"/>
      <c r="U271" s="131"/>
      <c r="V271" s="25"/>
      <c r="W271" s="25"/>
      <c r="X271" s="5"/>
    </row>
    <row r="272" spans="1:24" ht="15.75" x14ac:dyDescent="0.25">
      <c r="A272" s="24"/>
      <c r="B272" s="25" t="s">
        <v>114</v>
      </c>
      <c r="C272" s="25"/>
      <c r="D272" s="25"/>
      <c r="E272" s="25"/>
      <c r="F272" s="25"/>
      <c r="G272" s="25"/>
      <c r="H272" s="95"/>
      <c r="I272" s="95"/>
      <c r="J272" s="95"/>
      <c r="K272" s="95"/>
      <c r="L272" s="95"/>
      <c r="M272" s="95"/>
      <c r="N272" s="95"/>
      <c r="O272" s="95"/>
      <c r="P272" s="95"/>
      <c r="Q272" s="95"/>
      <c r="R272" s="34">
        <f>SUM(R263:R270)</f>
        <v>1</v>
      </c>
      <c r="S272" s="94">
        <f>SUM(S263:S270)</f>
        <v>1</v>
      </c>
      <c r="T272" s="53">
        <f>SUM(T263:T270)</f>
        <v>117</v>
      </c>
      <c r="U272" s="131">
        <f>SUM(U263:U270)</f>
        <v>1</v>
      </c>
      <c r="V272" s="25"/>
      <c r="W272" s="25"/>
      <c r="X272" s="5"/>
    </row>
    <row r="273" spans="1:24" ht="15.75" x14ac:dyDescent="0.25">
      <c r="A273" s="24"/>
      <c r="B273" s="25"/>
      <c r="C273" s="25"/>
      <c r="D273" s="25"/>
      <c r="E273" s="25"/>
      <c r="F273" s="25"/>
      <c r="G273" s="25"/>
      <c r="H273" s="95"/>
      <c r="I273" s="95"/>
      <c r="J273" s="95"/>
      <c r="K273" s="95"/>
      <c r="L273" s="95"/>
      <c r="M273" s="95"/>
      <c r="N273" s="95"/>
      <c r="O273" s="95"/>
      <c r="P273" s="95"/>
      <c r="Q273" s="95"/>
      <c r="R273" s="34"/>
      <c r="S273" s="131"/>
      <c r="T273" s="53"/>
      <c r="U273" s="131"/>
      <c r="V273" s="25"/>
      <c r="W273" s="25"/>
      <c r="X273" s="5"/>
    </row>
    <row r="274" spans="1:24" ht="15.75" x14ac:dyDescent="0.25">
      <c r="A274" s="24"/>
      <c r="B274" s="139" t="s">
        <v>164</v>
      </c>
      <c r="C274" s="25"/>
      <c r="D274" s="25"/>
      <c r="E274" s="25"/>
      <c r="F274" s="25"/>
      <c r="G274" s="25"/>
      <c r="H274" s="95"/>
      <c r="I274" s="95"/>
      <c r="J274" s="95"/>
      <c r="K274" s="95"/>
      <c r="L274" s="95"/>
      <c r="M274" s="95"/>
      <c r="N274" s="95"/>
      <c r="O274" s="95"/>
      <c r="P274" s="95"/>
      <c r="Q274" s="95"/>
      <c r="R274" s="156">
        <f>R272+R260+R248</f>
        <v>6124</v>
      </c>
      <c r="S274" s="140"/>
      <c r="T274" s="141">
        <f>+T272+T260+T248</f>
        <v>888653</v>
      </c>
      <c r="U274" s="140"/>
      <c r="V274" s="25"/>
      <c r="W274" s="25"/>
      <c r="X274" s="5"/>
    </row>
    <row r="275" spans="1:24" ht="15.75" x14ac:dyDescent="0.25">
      <c r="A275" s="24"/>
      <c r="B275" s="25"/>
      <c r="C275" s="25"/>
      <c r="D275" s="25"/>
      <c r="E275" s="25"/>
      <c r="F275" s="25"/>
      <c r="G275" s="25"/>
      <c r="H275" s="95"/>
      <c r="I275" s="95"/>
      <c r="J275" s="95"/>
      <c r="K275" s="95"/>
      <c r="L275" s="95"/>
      <c r="M275" s="95"/>
      <c r="N275" s="95"/>
      <c r="O275" s="95"/>
      <c r="P275" s="95"/>
      <c r="Q275" s="95"/>
      <c r="R275" s="95"/>
      <c r="S275" s="95"/>
      <c r="T275" s="53"/>
      <c r="U275" s="95"/>
      <c r="V275" s="25"/>
      <c r="W275" s="25"/>
      <c r="X275" s="5"/>
    </row>
    <row r="276" spans="1:24" ht="15.75" x14ac:dyDescent="0.25">
      <c r="A276" s="6"/>
      <c r="B276" s="8"/>
      <c r="C276" s="8"/>
      <c r="D276" s="8"/>
      <c r="E276" s="8"/>
      <c r="F276" s="8"/>
      <c r="G276" s="8"/>
      <c r="H276" s="96"/>
      <c r="I276" s="96"/>
      <c r="J276" s="96"/>
      <c r="K276" s="96"/>
      <c r="L276" s="96"/>
      <c r="M276" s="96"/>
      <c r="N276" s="96"/>
      <c r="O276" s="96"/>
      <c r="P276" s="96"/>
      <c r="Q276" s="96"/>
      <c r="R276" s="96"/>
      <c r="S276" s="96"/>
      <c r="T276" s="97"/>
      <c r="U276" s="96"/>
      <c r="V276" s="8"/>
      <c r="W276" s="8"/>
      <c r="X276" s="5"/>
    </row>
    <row r="277" spans="1:24" ht="15.75" x14ac:dyDescent="0.25">
      <c r="A277" s="178"/>
      <c r="B277" s="14" t="s">
        <v>91</v>
      </c>
      <c r="C277" s="15"/>
      <c r="D277" s="15"/>
      <c r="E277" s="15"/>
      <c r="F277" s="17" t="s">
        <v>97</v>
      </c>
      <c r="G277" s="15"/>
      <c r="H277" s="14" t="s">
        <v>99</v>
      </c>
      <c r="I277" s="14"/>
      <c r="J277" s="14"/>
      <c r="K277" s="173"/>
      <c r="L277" s="173"/>
      <c r="M277" s="173"/>
      <c r="N277" s="173"/>
      <c r="O277" s="173"/>
      <c r="P277" s="173"/>
      <c r="Q277" s="173"/>
      <c r="R277" s="173"/>
      <c r="S277" s="173"/>
      <c r="T277" s="173"/>
      <c r="U277" s="173"/>
      <c r="V277" s="173"/>
      <c r="W277" s="173"/>
      <c r="X277" s="5"/>
    </row>
    <row r="278" spans="1:24" ht="15.75" x14ac:dyDescent="0.25">
      <c r="A278" s="178"/>
      <c r="B278" s="173"/>
      <c r="C278" s="8"/>
      <c r="D278" s="8"/>
      <c r="E278" s="8"/>
      <c r="F278" s="8"/>
      <c r="G278" s="8"/>
      <c r="H278" s="8"/>
      <c r="I278" s="8"/>
      <c r="J278" s="8"/>
      <c r="K278" s="173"/>
      <c r="L278" s="173"/>
      <c r="M278" s="173"/>
      <c r="N278" s="173"/>
      <c r="O278" s="173"/>
      <c r="P278" s="173"/>
      <c r="Q278" s="173"/>
      <c r="R278" s="173"/>
      <c r="S278" s="173"/>
      <c r="T278" s="173"/>
      <c r="U278" s="173"/>
      <c r="V278" s="173"/>
      <c r="W278" s="173"/>
      <c r="X278" s="5"/>
    </row>
    <row r="279" spans="1:24" ht="15.75" x14ac:dyDescent="0.25">
      <c r="A279" s="178"/>
      <c r="B279" s="13" t="s">
        <v>92</v>
      </c>
      <c r="C279" s="13"/>
      <c r="D279" s="13"/>
      <c r="E279" s="13"/>
      <c r="F279" s="129" t="s">
        <v>148</v>
      </c>
      <c r="G279" s="13"/>
      <c r="H279" s="13" t="s">
        <v>152</v>
      </c>
      <c r="I279" s="13"/>
      <c r="J279" s="13"/>
      <c r="K279" s="173"/>
      <c r="L279" s="173"/>
      <c r="M279" s="173"/>
      <c r="N279" s="173"/>
      <c r="O279" s="173"/>
      <c r="P279" s="173"/>
      <c r="Q279" s="173"/>
      <c r="R279" s="173"/>
      <c r="S279" s="173"/>
      <c r="T279" s="173"/>
      <c r="U279" s="173"/>
      <c r="V279" s="173"/>
      <c r="W279" s="173"/>
      <c r="X279" s="5"/>
    </row>
    <row r="280" spans="1:24" ht="15.75" x14ac:dyDescent="0.25">
      <c r="A280" s="178"/>
      <c r="B280" s="13" t="s">
        <v>265</v>
      </c>
      <c r="C280" s="13"/>
      <c r="D280" s="13"/>
      <c r="E280" s="13"/>
      <c r="F280" s="129" t="s">
        <v>266</v>
      </c>
      <c r="G280" s="13"/>
      <c r="H280" s="13" t="s">
        <v>267</v>
      </c>
      <c r="I280" s="13"/>
      <c r="J280" s="13"/>
      <c r="K280" s="173"/>
      <c r="L280" s="173"/>
      <c r="M280" s="173"/>
      <c r="N280" s="173"/>
      <c r="O280" s="173"/>
      <c r="P280" s="173"/>
      <c r="Q280" s="173"/>
      <c r="R280" s="173"/>
      <c r="S280" s="173"/>
      <c r="T280" s="173"/>
      <c r="U280" s="173"/>
      <c r="V280" s="173"/>
      <c r="W280" s="173"/>
      <c r="X280" s="5"/>
    </row>
    <row r="281" spans="1:24" ht="15.75" x14ac:dyDescent="0.25">
      <c r="A281" s="178"/>
      <c r="B281" s="13" t="s">
        <v>93</v>
      </c>
      <c r="C281" s="13"/>
      <c r="D281" s="13"/>
      <c r="E281" s="13"/>
      <c r="F281" s="129" t="s">
        <v>147</v>
      </c>
      <c r="G281" s="13"/>
      <c r="H281" s="13" t="s">
        <v>153</v>
      </c>
      <c r="I281" s="13"/>
      <c r="J281" s="13"/>
      <c r="K281" s="173"/>
      <c r="L281" s="173"/>
      <c r="M281" s="173"/>
      <c r="N281" s="173"/>
      <c r="O281" s="173"/>
      <c r="P281" s="173"/>
      <c r="Q281" s="173"/>
      <c r="R281" s="173"/>
      <c r="S281" s="173"/>
      <c r="T281" s="173"/>
      <c r="U281" s="173"/>
      <c r="V281" s="173"/>
      <c r="W281" s="173"/>
      <c r="X281" s="5"/>
    </row>
    <row r="282" spans="1:24" ht="15.75" x14ac:dyDescent="0.25">
      <c r="A282" s="178"/>
      <c r="B282" s="13"/>
      <c r="C282" s="13"/>
      <c r="D282" s="13"/>
      <c r="E282" s="13"/>
      <c r="F282" s="13"/>
      <c r="G282" s="99"/>
      <c r="H282" s="173"/>
      <c r="I282" s="173"/>
      <c r="J282" s="173"/>
      <c r="K282" s="173"/>
      <c r="L282" s="173"/>
      <c r="M282" s="173"/>
      <c r="N282" s="173"/>
      <c r="O282" s="173"/>
      <c r="P282" s="173"/>
      <c r="Q282" s="173"/>
      <c r="R282" s="173"/>
      <c r="S282" s="173"/>
      <c r="T282" s="173"/>
      <c r="U282" s="173"/>
      <c r="V282" s="173"/>
      <c r="W282" s="173"/>
      <c r="X282" s="5"/>
    </row>
    <row r="283" spans="1:24" ht="15.75" x14ac:dyDescent="0.25">
      <c r="A283" s="178"/>
      <c r="B283" s="13"/>
      <c r="C283" s="13"/>
      <c r="D283" s="13"/>
      <c r="E283" s="13"/>
      <c r="F283" s="13"/>
      <c r="G283" s="99"/>
      <c r="H283" s="173"/>
      <c r="I283" s="173"/>
      <c r="J283" s="173"/>
      <c r="K283" s="173"/>
      <c r="L283" s="173"/>
      <c r="M283" s="173"/>
      <c r="N283" s="173"/>
      <c r="O283" s="173"/>
      <c r="P283" s="173"/>
      <c r="Q283" s="173"/>
      <c r="R283" s="173"/>
      <c r="S283" s="173"/>
      <c r="T283" s="173"/>
      <c r="U283" s="173"/>
      <c r="V283" s="173"/>
      <c r="W283" s="173"/>
      <c r="X283" s="5"/>
    </row>
    <row r="284" spans="1:24" ht="19.5" thickBot="1" x14ac:dyDescent="0.35">
      <c r="A284" s="178"/>
      <c r="B284" s="49" t="str">
        <f>B200</f>
        <v>PM15 INVESTOR REPORT QUARTER ENDING FEBRUARY 2009</v>
      </c>
      <c r="C284" s="13"/>
      <c r="D284" s="13"/>
      <c r="E284" s="13"/>
      <c r="F284" s="13"/>
      <c r="G284" s="99"/>
      <c r="H284" s="173"/>
      <c r="I284" s="173"/>
      <c r="J284" s="173"/>
      <c r="K284" s="173"/>
      <c r="L284" s="173"/>
      <c r="M284" s="173"/>
      <c r="N284" s="173"/>
      <c r="O284" s="173"/>
      <c r="P284" s="173"/>
      <c r="Q284" s="173"/>
      <c r="R284" s="173"/>
      <c r="S284" s="173"/>
      <c r="T284" s="173"/>
      <c r="U284" s="173"/>
      <c r="V284" s="173"/>
      <c r="W284" s="173"/>
      <c r="X284" s="5"/>
    </row>
    <row r="285" spans="1:24" x14ac:dyDescent="0.2">
      <c r="A285" s="100"/>
      <c r="B285" s="100"/>
      <c r="C285" s="100"/>
      <c r="D285" s="100"/>
      <c r="E285" s="100"/>
      <c r="F285" s="100"/>
      <c r="G285" s="100"/>
      <c r="H285" s="100"/>
      <c r="I285" s="100"/>
      <c r="J285" s="100"/>
      <c r="K285" s="100"/>
      <c r="L285" s="100"/>
      <c r="M285" s="100"/>
      <c r="N285" s="100"/>
      <c r="O285" s="100"/>
      <c r="P285" s="100"/>
      <c r="Q285" s="100"/>
      <c r="R285" s="100"/>
      <c r="S285" s="100"/>
      <c r="T285" s="100"/>
      <c r="U285" s="100"/>
      <c r="V285" s="100"/>
      <c r="W285" s="100"/>
    </row>
  </sheetData>
  <phoneticPr fontId="0" type="noConversion"/>
  <hyperlinks>
    <hyperlink ref="P236" r:id="rId1" xr:uid="{00000000-0004-0000-0500-000000000000}"/>
    <hyperlink ref="I9" r:id="rId2" xr:uid="{00000000-0004-0000-05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5" max="14" man="1"/>
    <brk id="200" max="14"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IV285"/>
  <sheetViews>
    <sheetView showGridLines="0" showOutlineSymbols="0" zoomScale="70" zoomScaleNormal="70" workbookViewId="0"/>
  </sheetViews>
  <sheetFormatPr defaultColWidth="9.6640625" defaultRowHeight="15" x14ac:dyDescent="0.2"/>
  <cols>
    <col min="1" max="1" width="4" style="1" customWidth="1"/>
    <col min="2" max="2" width="71.21875" style="1" customWidth="1"/>
    <col min="3" max="3" width="2.21875" style="1" customWidth="1"/>
    <col min="4" max="4" width="19.33203125" style="1" customWidth="1"/>
    <col min="5" max="5" width="2.21875" style="1" customWidth="1"/>
    <col min="6" max="6" width="25.109375" style="1" customWidth="1"/>
    <col min="7" max="7" width="2.21875" style="1" customWidth="1"/>
    <col min="8" max="8" width="16.21875" style="1" customWidth="1"/>
    <col min="9" max="9" width="2.88671875" style="1" customWidth="1"/>
    <col min="10" max="10" width="16.21875" style="1" customWidth="1"/>
    <col min="11" max="11" width="2.21875" style="1" customWidth="1"/>
    <col min="12" max="12" width="17.88671875" style="1" customWidth="1"/>
    <col min="13" max="13" width="2.33203125" style="1" customWidth="1"/>
    <col min="14" max="14" width="14.88671875" style="1" customWidth="1"/>
    <col min="15" max="15" width="2.33203125" style="1" customWidth="1"/>
    <col min="16" max="16" width="15.5546875" style="1" customWidth="1"/>
    <col min="17" max="17" width="2.21875" style="1" customWidth="1"/>
    <col min="18" max="18" width="15.5546875" style="1" customWidth="1"/>
    <col min="19" max="20" width="12.6640625" style="1" customWidth="1"/>
    <col min="21" max="21" width="7.77734375" style="1" customWidth="1"/>
    <col min="22" max="22" width="14.6640625" style="1" customWidth="1"/>
    <col min="23" max="23" width="11.77734375" style="1" customWidth="1"/>
    <col min="24" max="16384" width="9.6640625" style="1"/>
  </cols>
  <sheetData>
    <row r="1" spans="1:24" ht="20.25" x14ac:dyDescent="0.3">
      <c r="A1" s="2"/>
      <c r="B1" s="3" t="s">
        <v>237</v>
      </c>
      <c r="C1" s="4"/>
      <c r="D1" s="4"/>
      <c r="E1" s="4"/>
      <c r="F1" s="4"/>
      <c r="G1" s="4"/>
      <c r="H1" s="4"/>
      <c r="I1" s="4"/>
      <c r="J1" s="4"/>
      <c r="K1" s="4"/>
      <c r="L1" s="4"/>
      <c r="M1" s="4"/>
      <c r="N1" s="4"/>
      <c r="O1" s="4"/>
      <c r="P1" s="4"/>
      <c r="Q1" s="4"/>
      <c r="R1" s="4"/>
      <c r="S1" s="4"/>
      <c r="T1" s="4"/>
      <c r="U1" s="4"/>
      <c r="V1" s="4"/>
      <c r="W1" s="4"/>
      <c r="X1" s="5"/>
    </row>
    <row r="2" spans="1:24" ht="15.75" x14ac:dyDescent="0.25">
      <c r="A2" s="6"/>
      <c r="B2" s="7"/>
      <c r="C2" s="8"/>
      <c r="D2" s="8"/>
      <c r="E2" s="8"/>
      <c r="F2" s="8"/>
      <c r="G2" s="8"/>
      <c r="H2" s="8"/>
      <c r="I2" s="8"/>
      <c r="J2" s="8"/>
      <c r="K2" s="8"/>
      <c r="L2" s="8"/>
      <c r="M2" s="8"/>
      <c r="N2" s="8"/>
      <c r="O2" s="8"/>
      <c r="P2" s="8"/>
      <c r="Q2" s="8"/>
      <c r="R2" s="8"/>
      <c r="S2" s="8"/>
      <c r="T2" s="8"/>
      <c r="U2" s="8"/>
      <c r="V2" s="8"/>
      <c r="W2" s="8"/>
      <c r="X2" s="5"/>
    </row>
    <row r="3" spans="1:24" ht="15.75" x14ac:dyDescent="0.25">
      <c r="A3" s="9"/>
      <c r="B3" s="111" t="s">
        <v>238</v>
      </c>
      <c r="C3" s="8"/>
      <c r="D3" s="8"/>
      <c r="E3" s="8"/>
      <c r="F3" s="8"/>
      <c r="G3" s="8"/>
      <c r="H3" s="8"/>
      <c r="I3" s="8"/>
      <c r="J3" s="8"/>
      <c r="K3" s="8"/>
      <c r="L3" s="8"/>
      <c r="M3" s="8"/>
      <c r="N3" s="8"/>
      <c r="O3" s="8"/>
      <c r="P3" s="8"/>
      <c r="Q3" s="8"/>
      <c r="R3" s="8"/>
      <c r="S3" s="8"/>
      <c r="T3" s="8"/>
      <c r="U3" s="8"/>
      <c r="V3" s="8"/>
      <c r="W3" s="8"/>
      <c r="X3" s="5"/>
    </row>
    <row r="4" spans="1:24" ht="15.75" x14ac:dyDescent="0.25">
      <c r="A4" s="6"/>
      <c r="B4" s="7"/>
      <c r="C4" s="8"/>
      <c r="D4" s="8"/>
      <c r="E4" s="8"/>
      <c r="F4" s="8"/>
      <c r="G4" s="8"/>
      <c r="H4" s="8"/>
      <c r="I4" s="8"/>
      <c r="J4" s="8"/>
      <c r="K4" s="8"/>
      <c r="L4" s="8"/>
      <c r="M4" s="8"/>
      <c r="N4" s="8"/>
      <c r="O4" s="8"/>
      <c r="P4" s="8"/>
      <c r="Q4" s="8"/>
      <c r="R4" s="8"/>
      <c r="S4" s="8"/>
      <c r="T4" s="8"/>
      <c r="U4" s="8"/>
      <c r="V4" s="8"/>
      <c r="W4" s="8"/>
      <c r="X4" s="5"/>
    </row>
    <row r="5" spans="1:24" ht="15.75" x14ac:dyDescent="0.25">
      <c r="A5" s="6"/>
      <c r="B5" s="11" t="s">
        <v>137</v>
      </c>
      <c r="C5" s="8"/>
      <c r="D5" s="8"/>
      <c r="E5" s="8"/>
      <c r="F5" s="8"/>
      <c r="G5" s="8"/>
      <c r="H5" s="8"/>
      <c r="I5" s="8"/>
      <c r="J5" s="8"/>
      <c r="K5" s="8"/>
      <c r="L5" s="8"/>
      <c r="M5" s="8"/>
      <c r="N5" s="8"/>
      <c r="O5" s="8"/>
      <c r="P5" s="8"/>
      <c r="Q5" s="8"/>
      <c r="R5" s="8"/>
      <c r="S5" s="8"/>
      <c r="T5" s="8"/>
      <c r="U5" s="8"/>
      <c r="V5" s="8"/>
      <c r="W5" s="8"/>
      <c r="X5" s="5"/>
    </row>
    <row r="6" spans="1:24" ht="15.75" x14ac:dyDescent="0.25">
      <c r="A6" s="6"/>
      <c r="B6" s="11" t="s">
        <v>139</v>
      </c>
      <c r="C6" s="8"/>
      <c r="D6" s="8"/>
      <c r="E6" s="8"/>
      <c r="F6" s="8"/>
      <c r="G6" s="8"/>
      <c r="H6" s="8"/>
      <c r="I6" s="8"/>
      <c r="J6" s="8"/>
      <c r="K6" s="8"/>
      <c r="L6" s="8"/>
      <c r="M6" s="8"/>
      <c r="N6" s="8"/>
      <c r="O6" s="8"/>
      <c r="P6" s="8"/>
      <c r="Q6" s="8"/>
      <c r="R6" s="8"/>
      <c r="S6" s="8"/>
      <c r="T6" s="8"/>
      <c r="U6" s="8"/>
      <c r="V6" s="8"/>
      <c r="W6" s="8"/>
      <c r="X6" s="5"/>
    </row>
    <row r="7" spans="1:24" ht="15.75" x14ac:dyDescent="0.25">
      <c r="A7" s="6"/>
      <c r="B7" s="11" t="s">
        <v>138</v>
      </c>
      <c r="C7" s="8"/>
      <c r="D7" s="8"/>
      <c r="E7" s="8"/>
      <c r="F7" s="8"/>
      <c r="G7" s="8"/>
      <c r="H7" s="8"/>
      <c r="I7" s="8"/>
      <c r="J7" s="8"/>
      <c r="K7" s="8"/>
      <c r="L7" s="8"/>
      <c r="M7" s="8"/>
      <c r="N7" s="8"/>
      <c r="O7" s="8"/>
      <c r="P7" s="8"/>
      <c r="Q7" s="8"/>
      <c r="R7" s="8"/>
      <c r="S7" s="8"/>
      <c r="T7" s="8"/>
      <c r="U7" s="8"/>
      <c r="V7" s="8"/>
      <c r="W7" s="8"/>
      <c r="X7" s="5"/>
    </row>
    <row r="8" spans="1:24" ht="15.75" x14ac:dyDescent="0.25">
      <c r="A8" s="6"/>
      <c r="B8" s="11"/>
      <c r="C8" s="8"/>
      <c r="D8" s="8"/>
      <c r="E8" s="8"/>
      <c r="F8" s="8"/>
      <c r="G8" s="8"/>
      <c r="H8" s="8"/>
      <c r="I8" s="8"/>
      <c r="J8" s="8"/>
      <c r="K8" s="8"/>
      <c r="L8" s="8"/>
      <c r="M8" s="8"/>
      <c r="N8" s="8"/>
      <c r="O8" s="8"/>
      <c r="P8" s="8"/>
      <c r="Q8" s="8"/>
      <c r="R8" s="8"/>
      <c r="S8" s="8"/>
      <c r="T8" s="8"/>
      <c r="U8" s="8"/>
      <c r="V8" s="8"/>
      <c r="W8" s="8"/>
      <c r="X8" s="5"/>
    </row>
    <row r="9" spans="1:24" ht="18.75" x14ac:dyDescent="0.3">
      <c r="A9" s="6"/>
      <c r="B9" s="144" t="s">
        <v>166</v>
      </c>
      <c r="C9" s="8"/>
      <c r="D9" s="8"/>
      <c r="E9" s="8"/>
      <c r="F9" s="8"/>
      <c r="G9" s="8"/>
      <c r="H9" s="8"/>
      <c r="I9" s="145" t="s">
        <v>167</v>
      </c>
      <c r="J9" s="8"/>
      <c r="K9" s="8"/>
      <c r="L9" s="145"/>
      <c r="M9" s="8"/>
      <c r="N9" s="145"/>
      <c r="O9" s="8"/>
      <c r="P9" s="8"/>
      <c r="Q9" s="8"/>
      <c r="R9" s="8"/>
      <c r="S9" s="8"/>
      <c r="T9" s="8"/>
      <c r="U9" s="8"/>
      <c r="V9" s="8"/>
      <c r="W9" s="8"/>
      <c r="X9" s="5"/>
    </row>
    <row r="10" spans="1:24" ht="15.75" x14ac:dyDescent="0.25">
      <c r="A10" s="6"/>
      <c r="B10" s="11"/>
      <c r="C10" s="13"/>
      <c r="D10" s="13"/>
      <c r="E10" s="13"/>
      <c r="F10" s="8"/>
      <c r="G10" s="8"/>
      <c r="H10" s="8"/>
      <c r="I10" s="8"/>
      <c r="J10" s="8"/>
      <c r="K10" s="8"/>
      <c r="L10" s="8"/>
      <c r="M10" s="8"/>
      <c r="N10" s="8"/>
      <c r="O10" s="8"/>
      <c r="P10" s="8"/>
      <c r="Q10" s="8"/>
      <c r="R10" s="8"/>
      <c r="S10" s="8"/>
      <c r="T10" s="8"/>
      <c r="U10" s="8"/>
      <c r="V10" s="8"/>
      <c r="W10" s="8"/>
      <c r="X10" s="5"/>
    </row>
    <row r="11" spans="1:24" ht="15.75" x14ac:dyDescent="0.25">
      <c r="A11" s="6"/>
      <c r="B11" s="14" t="s">
        <v>0</v>
      </c>
      <c r="C11" s="8"/>
      <c r="D11" s="8"/>
      <c r="E11" s="8"/>
      <c r="F11" s="8"/>
      <c r="G11" s="8"/>
      <c r="H11" s="8"/>
      <c r="I11" s="8"/>
      <c r="J11" s="8"/>
      <c r="K11" s="8"/>
      <c r="L11" s="8"/>
      <c r="M11" s="8"/>
      <c r="N11" s="8"/>
      <c r="O11" s="8"/>
      <c r="P11" s="8"/>
      <c r="Q11" s="8"/>
      <c r="R11" s="8"/>
      <c r="S11" s="8"/>
      <c r="T11" s="8"/>
      <c r="U11" s="8"/>
      <c r="V11" s="8"/>
      <c r="W11" s="8"/>
      <c r="X11" s="5"/>
    </row>
    <row r="12" spans="1:24" ht="16.5" thickBot="1" x14ac:dyDescent="0.3">
      <c r="A12" s="6"/>
      <c r="B12" s="13"/>
      <c r="C12" s="8"/>
      <c r="D12" s="8"/>
      <c r="E12" s="8"/>
      <c r="F12" s="8"/>
      <c r="G12" s="8"/>
      <c r="H12" s="8"/>
      <c r="I12" s="8"/>
      <c r="J12" s="8"/>
      <c r="K12" s="8"/>
      <c r="L12" s="8"/>
      <c r="M12" s="8"/>
      <c r="N12" s="8"/>
      <c r="O12" s="8"/>
      <c r="P12" s="8"/>
      <c r="Q12" s="8"/>
      <c r="R12" s="8"/>
      <c r="S12" s="8"/>
      <c r="T12" s="8"/>
      <c r="U12" s="8"/>
      <c r="V12" s="8"/>
      <c r="W12" s="8"/>
      <c r="X12" s="5"/>
    </row>
    <row r="13" spans="1:24" ht="15.75" x14ac:dyDescent="0.25">
      <c r="A13" s="2"/>
      <c r="B13" s="4"/>
      <c r="C13" s="4"/>
      <c r="D13" s="4"/>
      <c r="E13" s="4"/>
      <c r="F13" s="4"/>
      <c r="G13" s="4"/>
      <c r="H13" s="4"/>
      <c r="I13" s="4"/>
      <c r="J13" s="4"/>
      <c r="K13" s="4"/>
      <c r="L13" s="4"/>
      <c r="M13" s="4"/>
      <c r="N13" s="4"/>
      <c r="O13" s="4"/>
      <c r="P13" s="4"/>
      <c r="Q13" s="4"/>
      <c r="R13" s="4"/>
      <c r="S13" s="4"/>
      <c r="T13" s="4"/>
      <c r="U13" s="4"/>
      <c r="V13" s="4"/>
      <c r="W13" s="4"/>
      <c r="X13" s="5"/>
    </row>
    <row r="14" spans="1:24" ht="15.75" x14ac:dyDescent="0.25">
      <c r="A14" s="6"/>
      <c r="B14" s="14" t="s">
        <v>1</v>
      </c>
      <c r="C14" s="15"/>
      <c r="D14" s="15"/>
      <c r="E14" s="15"/>
      <c r="F14" s="15"/>
      <c r="G14" s="15"/>
      <c r="H14" s="15"/>
      <c r="I14" s="15"/>
      <c r="J14" s="15"/>
      <c r="K14" s="15"/>
      <c r="L14" s="15"/>
      <c r="M14" s="15"/>
      <c r="N14" s="15"/>
      <c r="O14" s="15"/>
      <c r="P14" s="15"/>
      <c r="Q14" s="15"/>
      <c r="R14" s="15"/>
      <c r="S14" s="15"/>
      <c r="T14" s="15"/>
      <c r="U14" s="15"/>
      <c r="V14" s="16" t="s">
        <v>239</v>
      </c>
      <c r="W14" s="15"/>
      <c r="X14" s="5"/>
    </row>
    <row r="15" spans="1:24" ht="15.75" x14ac:dyDescent="0.25">
      <c r="A15" s="6"/>
      <c r="B15" s="14" t="s">
        <v>2</v>
      </c>
      <c r="C15" s="15"/>
      <c r="D15" s="15"/>
      <c r="E15" s="15"/>
      <c r="F15" s="15"/>
      <c r="G15" s="15"/>
      <c r="H15" s="18"/>
      <c r="I15" s="18"/>
      <c r="J15" s="18"/>
      <c r="K15" s="18"/>
      <c r="L15" s="18"/>
      <c r="M15" s="18"/>
      <c r="N15" s="18"/>
      <c r="O15" s="18"/>
      <c r="P15" s="18"/>
      <c r="Q15" s="18"/>
      <c r="R15" s="18" t="s">
        <v>104</v>
      </c>
      <c r="S15" s="134">
        <v>0.47189999999999999</v>
      </c>
      <c r="T15" s="17" t="s">
        <v>140</v>
      </c>
      <c r="U15" s="134">
        <v>0.52810000000000001</v>
      </c>
      <c r="V15" s="16"/>
      <c r="W15" s="15"/>
      <c r="X15" s="5"/>
    </row>
    <row r="16" spans="1:24" ht="15.75" x14ac:dyDescent="0.25">
      <c r="A16" s="6"/>
      <c r="B16" s="14" t="s">
        <v>3</v>
      </c>
      <c r="C16" s="15"/>
      <c r="D16" s="15"/>
      <c r="E16" s="15"/>
      <c r="F16" s="15"/>
      <c r="G16" s="15"/>
      <c r="H16" s="18"/>
      <c r="I16" s="18"/>
      <c r="J16" s="18"/>
      <c r="K16" s="18"/>
      <c r="L16" s="18"/>
      <c r="M16" s="18"/>
      <c r="N16" s="18"/>
      <c r="O16" s="18"/>
      <c r="P16" s="18"/>
      <c r="Q16" s="18"/>
      <c r="R16" s="18" t="s">
        <v>104</v>
      </c>
      <c r="S16" s="134">
        <v>0.53290000000000004</v>
      </c>
      <c r="T16" s="17" t="s">
        <v>140</v>
      </c>
      <c r="U16" s="134">
        <v>0.46710000000000002</v>
      </c>
      <c r="V16" s="16"/>
      <c r="W16" s="15"/>
      <c r="X16" s="5"/>
    </row>
    <row r="17" spans="1:24" ht="15.75" x14ac:dyDescent="0.25">
      <c r="A17" s="6"/>
      <c r="B17" s="14" t="s">
        <v>4</v>
      </c>
      <c r="C17" s="15"/>
      <c r="D17" s="15"/>
      <c r="E17" s="15"/>
      <c r="F17" s="15"/>
      <c r="G17" s="15"/>
      <c r="H17" s="15"/>
      <c r="I17" s="15"/>
      <c r="J17" s="15"/>
      <c r="K17" s="15"/>
      <c r="L17" s="15"/>
      <c r="M17" s="15"/>
      <c r="N17" s="15"/>
      <c r="O17" s="15"/>
      <c r="P17" s="15"/>
      <c r="Q17" s="15"/>
      <c r="R17" s="15"/>
      <c r="S17" s="15"/>
      <c r="T17" s="15"/>
      <c r="U17" s="15"/>
      <c r="V17" s="19">
        <v>39282</v>
      </c>
      <c r="W17" s="15"/>
      <c r="X17" s="5"/>
    </row>
    <row r="18" spans="1:24" ht="15.75" x14ac:dyDescent="0.25">
      <c r="A18" s="6"/>
      <c r="B18" s="14" t="s">
        <v>5</v>
      </c>
      <c r="C18" s="15"/>
      <c r="D18" s="15"/>
      <c r="E18" s="15"/>
      <c r="F18" s="15"/>
      <c r="G18" s="15"/>
      <c r="H18" s="15"/>
      <c r="I18" s="15"/>
      <c r="J18" s="15"/>
      <c r="K18" s="15"/>
      <c r="L18" s="15"/>
      <c r="M18" s="15"/>
      <c r="N18" s="15"/>
      <c r="O18" s="15"/>
      <c r="P18" s="15"/>
      <c r="Q18" s="15"/>
      <c r="R18" s="15"/>
      <c r="S18" s="15"/>
      <c r="T18" s="15"/>
      <c r="U18" s="15"/>
      <c r="V18" s="19">
        <v>39986</v>
      </c>
      <c r="W18" s="15"/>
      <c r="X18" s="5"/>
    </row>
    <row r="19" spans="1:24" ht="15.75" x14ac:dyDescent="0.25">
      <c r="A19" s="6"/>
      <c r="B19" s="8"/>
      <c r="C19" s="8"/>
      <c r="D19" s="8"/>
      <c r="E19" s="8"/>
      <c r="F19" s="8"/>
      <c r="G19" s="8"/>
      <c r="H19" s="8"/>
      <c r="I19" s="8"/>
      <c r="J19" s="8"/>
      <c r="K19" s="8"/>
      <c r="L19" s="8"/>
      <c r="M19" s="8"/>
      <c r="N19" s="8"/>
      <c r="O19" s="8"/>
      <c r="P19" s="8"/>
      <c r="Q19" s="8"/>
      <c r="R19" s="8"/>
      <c r="S19" s="8"/>
      <c r="T19" s="8"/>
      <c r="U19" s="8"/>
      <c r="V19" s="20"/>
      <c r="W19" s="8"/>
      <c r="X19" s="5"/>
    </row>
    <row r="20" spans="1:24" ht="15.75" x14ac:dyDescent="0.25">
      <c r="A20" s="6"/>
      <c r="B20" s="21" t="s">
        <v>6</v>
      </c>
      <c r="C20" s="8"/>
      <c r="D20" s="8"/>
      <c r="E20" s="8"/>
      <c r="F20" s="8"/>
      <c r="G20" s="8"/>
      <c r="H20" s="8"/>
      <c r="I20" s="8"/>
      <c r="J20" s="8"/>
      <c r="K20" s="8"/>
      <c r="L20" s="8"/>
      <c r="M20" s="8"/>
      <c r="N20" s="8"/>
      <c r="O20" s="8"/>
      <c r="P20" s="8"/>
      <c r="Q20" s="8"/>
      <c r="R20" s="8"/>
      <c r="S20" s="8"/>
      <c r="T20" s="20" t="s">
        <v>105</v>
      </c>
      <c r="U20" s="8"/>
      <c r="V20" s="173"/>
      <c r="W20" s="8"/>
      <c r="X20" s="5"/>
    </row>
    <row r="21" spans="1:24" ht="15.75" x14ac:dyDescent="0.25">
      <c r="A21" s="6"/>
      <c r="B21" s="8"/>
      <c r="C21" s="8"/>
      <c r="D21" s="8"/>
      <c r="E21" s="8"/>
      <c r="F21" s="8"/>
      <c r="G21" s="8"/>
      <c r="H21" s="8"/>
      <c r="I21" s="8"/>
      <c r="J21" s="8"/>
      <c r="K21" s="8"/>
      <c r="L21" s="8"/>
      <c r="M21" s="8"/>
      <c r="N21" s="8"/>
      <c r="O21" s="8"/>
      <c r="P21" s="8"/>
      <c r="Q21" s="8"/>
      <c r="R21" s="8"/>
      <c r="S21" s="8"/>
      <c r="T21" s="8"/>
      <c r="U21" s="8"/>
      <c r="V21" s="22"/>
      <c r="W21" s="8"/>
      <c r="X21" s="5"/>
    </row>
    <row r="22" spans="1:24" ht="15.75" x14ac:dyDescent="0.25">
      <c r="A22" s="6"/>
      <c r="B22" s="8"/>
      <c r="C22" s="112"/>
      <c r="D22" s="112" t="s">
        <v>177</v>
      </c>
      <c r="E22" s="112"/>
      <c r="F22" s="112" t="s">
        <v>178</v>
      </c>
      <c r="G22" s="112"/>
      <c r="H22" s="112" t="s">
        <v>179</v>
      </c>
      <c r="I22" s="112"/>
      <c r="J22" s="112" t="s">
        <v>219</v>
      </c>
      <c r="K22" s="112"/>
      <c r="L22" s="112" t="s">
        <v>180</v>
      </c>
      <c r="M22" s="112"/>
      <c r="N22" s="112" t="s">
        <v>181</v>
      </c>
      <c r="O22" s="112"/>
      <c r="P22" s="112" t="s">
        <v>182</v>
      </c>
      <c r="Q22" s="112"/>
      <c r="R22" s="112"/>
      <c r="S22" s="113"/>
      <c r="T22" s="23"/>
      <c r="U22" s="173"/>
      <c r="V22" s="173"/>
      <c r="W22" s="8"/>
      <c r="X22" s="5"/>
    </row>
    <row r="23" spans="1:24" ht="15.75" x14ac:dyDescent="0.25">
      <c r="A23" s="24"/>
      <c r="B23" s="25" t="s">
        <v>7</v>
      </c>
      <c r="C23" s="26"/>
      <c r="D23" s="26" t="s">
        <v>212</v>
      </c>
      <c r="E23" s="26"/>
      <c r="F23" s="26" t="s">
        <v>141</v>
      </c>
      <c r="G23" s="26"/>
      <c r="H23" s="26" t="s">
        <v>141</v>
      </c>
      <c r="I23" s="26"/>
      <c r="J23" s="26" t="s">
        <v>141</v>
      </c>
      <c r="K23" s="26"/>
      <c r="L23" s="26" t="s">
        <v>183</v>
      </c>
      <c r="M23" s="26"/>
      <c r="N23" s="26" t="s">
        <v>183</v>
      </c>
      <c r="O23" s="26"/>
      <c r="P23" s="26" t="s">
        <v>142</v>
      </c>
      <c r="Q23" s="26"/>
      <c r="R23" s="26"/>
      <c r="S23" s="26"/>
      <c r="T23" s="26"/>
      <c r="U23" s="174"/>
      <c r="V23" s="174"/>
      <c r="W23" s="25"/>
      <c r="X23" s="5"/>
    </row>
    <row r="24" spans="1:24" ht="15.75" x14ac:dyDescent="0.25">
      <c r="A24" s="24"/>
      <c r="B24" s="25" t="s">
        <v>8</v>
      </c>
      <c r="C24" s="26"/>
      <c r="D24" s="26" t="s">
        <v>213</v>
      </c>
      <c r="E24" s="26"/>
      <c r="F24" s="26" t="s">
        <v>143</v>
      </c>
      <c r="G24" s="26"/>
      <c r="H24" s="26" t="s">
        <v>143</v>
      </c>
      <c r="I24" s="26"/>
      <c r="J24" s="26" t="s">
        <v>143</v>
      </c>
      <c r="K24" s="26"/>
      <c r="L24" s="26" t="s">
        <v>165</v>
      </c>
      <c r="M24" s="26"/>
      <c r="N24" s="26" t="s">
        <v>165</v>
      </c>
      <c r="O24" s="26"/>
      <c r="P24" s="26" t="s">
        <v>144</v>
      </c>
      <c r="Q24" s="26"/>
      <c r="R24" s="26"/>
      <c r="S24" s="26"/>
      <c r="T24" s="26"/>
      <c r="U24" s="174"/>
      <c r="V24" s="174"/>
      <c r="W24" s="25"/>
      <c r="X24" s="5"/>
    </row>
    <row r="25" spans="1:24" ht="15.75" x14ac:dyDescent="0.25">
      <c r="A25" s="28"/>
      <c r="B25" s="130" t="s">
        <v>190</v>
      </c>
      <c r="C25" s="123"/>
      <c r="D25" s="26" t="s">
        <v>214</v>
      </c>
      <c r="E25" s="26"/>
      <c r="F25" s="26" t="s">
        <v>143</v>
      </c>
      <c r="G25" s="26"/>
      <c r="H25" s="26" t="s">
        <v>143</v>
      </c>
      <c r="I25" s="26"/>
      <c r="J25" s="26" t="s">
        <v>143</v>
      </c>
      <c r="K25" s="26"/>
      <c r="L25" s="26" t="s">
        <v>165</v>
      </c>
      <c r="M25" s="26"/>
      <c r="N25" s="26" t="s">
        <v>165</v>
      </c>
      <c r="O25" s="26"/>
      <c r="P25" s="26" t="s">
        <v>144</v>
      </c>
      <c r="Q25" s="26"/>
      <c r="R25" s="26"/>
      <c r="S25" s="123"/>
      <c r="T25" s="26"/>
      <c r="U25" s="174"/>
      <c r="V25" s="174"/>
      <c r="W25" s="25"/>
      <c r="X25" s="5"/>
    </row>
    <row r="26" spans="1:24" ht="15.75" x14ac:dyDescent="0.25">
      <c r="A26" s="28"/>
      <c r="B26" s="29" t="s">
        <v>9</v>
      </c>
      <c r="C26" s="123"/>
      <c r="D26" s="123" t="s">
        <v>212</v>
      </c>
      <c r="E26" s="123"/>
      <c r="F26" s="123" t="s">
        <v>141</v>
      </c>
      <c r="G26" s="123"/>
      <c r="H26" s="123" t="s">
        <v>141</v>
      </c>
      <c r="I26" s="123"/>
      <c r="J26" s="123" t="s">
        <v>141</v>
      </c>
      <c r="K26" s="123"/>
      <c r="L26" s="123" t="s">
        <v>183</v>
      </c>
      <c r="M26" s="123"/>
      <c r="N26" s="123" t="s">
        <v>183</v>
      </c>
      <c r="O26" s="123"/>
      <c r="P26" s="123" t="s">
        <v>142</v>
      </c>
      <c r="Q26" s="123"/>
      <c r="R26" s="123"/>
      <c r="S26" s="123"/>
      <c r="T26" s="26"/>
      <c r="U26" s="174"/>
      <c r="V26" s="174"/>
      <c r="W26" s="25"/>
      <c r="X26" s="5"/>
    </row>
    <row r="27" spans="1:24" ht="15.75" x14ac:dyDescent="0.25">
      <c r="A27" s="24"/>
      <c r="B27" s="29" t="s">
        <v>191</v>
      </c>
      <c r="C27" s="26"/>
      <c r="D27" s="123" t="s">
        <v>213</v>
      </c>
      <c r="E27" s="123"/>
      <c r="F27" s="123" t="s">
        <v>143</v>
      </c>
      <c r="G27" s="123"/>
      <c r="H27" s="123" t="s">
        <v>143</v>
      </c>
      <c r="I27" s="123"/>
      <c r="J27" s="123" t="s">
        <v>143</v>
      </c>
      <c r="K27" s="123"/>
      <c r="L27" s="123" t="s">
        <v>165</v>
      </c>
      <c r="M27" s="123"/>
      <c r="N27" s="123" t="s">
        <v>165</v>
      </c>
      <c r="O27" s="123"/>
      <c r="P27" s="123" t="s">
        <v>144</v>
      </c>
      <c r="Q27" s="123"/>
      <c r="R27" s="123"/>
      <c r="S27" s="26"/>
      <c r="T27" s="30"/>
      <c r="U27" s="174"/>
      <c r="V27" s="174"/>
      <c r="W27" s="25"/>
      <c r="X27" s="5"/>
    </row>
    <row r="28" spans="1:24" ht="15.75" x14ac:dyDescent="0.25">
      <c r="A28" s="24"/>
      <c r="B28" s="149" t="s">
        <v>192</v>
      </c>
      <c r="C28" s="26"/>
      <c r="D28" s="123" t="s">
        <v>214</v>
      </c>
      <c r="E28" s="123"/>
      <c r="F28" s="123" t="s">
        <v>143</v>
      </c>
      <c r="G28" s="123"/>
      <c r="H28" s="123" t="s">
        <v>143</v>
      </c>
      <c r="I28" s="123"/>
      <c r="J28" s="123" t="s">
        <v>143</v>
      </c>
      <c r="K28" s="123"/>
      <c r="L28" s="123" t="s">
        <v>165</v>
      </c>
      <c r="M28" s="123"/>
      <c r="N28" s="123" t="s">
        <v>165</v>
      </c>
      <c r="O28" s="123"/>
      <c r="P28" s="123" t="s">
        <v>144</v>
      </c>
      <c r="Q28" s="123"/>
      <c r="R28" s="123"/>
      <c r="S28" s="26"/>
      <c r="T28" s="30"/>
      <c r="U28" s="174"/>
      <c r="V28" s="174"/>
      <c r="W28" s="25"/>
      <c r="X28" s="5"/>
    </row>
    <row r="29" spans="1:24" ht="15.75" x14ac:dyDescent="0.25">
      <c r="A29" s="24"/>
      <c r="B29" s="25" t="s">
        <v>10</v>
      </c>
      <c r="C29" s="32"/>
      <c r="D29" s="26" t="s">
        <v>242</v>
      </c>
      <c r="E29" s="26"/>
      <c r="F29" s="30" t="s">
        <v>244</v>
      </c>
      <c r="G29" s="26"/>
      <c r="H29" s="26" t="s">
        <v>245</v>
      </c>
      <c r="I29" s="26"/>
      <c r="J29" s="26" t="s">
        <v>247</v>
      </c>
      <c r="K29" s="26"/>
      <c r="L29" s="26" t="s">
        <v>248</v>
      </c>
      <c r="M29" s="26"/>
      <c r="N29" s="26" t="s">
        <v>249</v>
      </c>
      <c r="O29" s="26"/>
      <c r="P29" s="26" t="s">
        <v>250</v>
      </c>
      <c r="Q29" s="26"/>
      <c r="R29" s="26"/>
      <c r="S29" s="31"/>
      <c r="T29" s="31"/>
      <c r="U29" s="175"/>
      <c r="V29" s="31"/>
      <c r="W29" s="34"/>
      <c r="X29" s="5"/>
    </row>
    <row r="30" spans="1:24" ht="15.75" x14ac:dyDescent="0.25">
      <c r="A30" s="24"/>
      <c r="B30" s="25" t="s">
        <v>10</v>
      </c>
      <c r="C30" s="32"/>
      <c r="D30" s="26" t="s">
        <v>243</v>
      </c>
      <c r="E30" s="26"/>
      <c r="F30" s="30" t="s">
        <v>118</v>
      </c>
      <c r="G30" s="26"/>
      <c r="H30" s="26" t="s">
        <v>118</v>
      </c>
      <c r="I30" s="26"/>
      <c r="J30" s="26" t="s">
        <v>246</v>
      </c>
      <c r="K30" s="26"/>
      <c r="L30" s="26" t="s">
        <v>118</v>
      </c>
      <c r="M30" s="26"/>
      <c r="N30" s="26" t="s">
        <v>118</v>
      </c>
      <c r="O30" s="26"/>
      <c r="P30" s="26" t="s">
        <v>118</v>
      </c>
      <c r="Q30" s="26"/>
      <c r="R30" s="26"/>
      <c r="S30" s="31"/>
      <c r="T30" s="31"/>
      <c r="U30" s="175"/>
      <c r="V30" s="31"/>
      <c r="W30" s="34"/>
      <c r="X30" s="5"/>
    </row>
    <row r="31" spans="1:24" ht="15.75" x14ac:dyDescent="0.25">
      <c r="A31" s="28"/>
      <c r="B31" s="25" t="s">
        <v>133</v>
      </c>
      <c r="C31" s="36"/>
      <c r="D31" s="143">
        <v>1000000</v>
      </c>
      <c r="E31" s="32"/>
      <c r="F31" s="31">
        <v>209500</v>
      </c>
      <c r="G31" s="31"/>
      <c r="H31" s="124">
        <v>110000</v>
      </c>
      <c r="I31" s="124"/>
      <c r="J31" s="143">
        <v>150000</v>
      </c>
      <c r="K31" s="31"/>
      <c r="L31" s="31">
        <v>17000</v>
      </c>
      <c r="M31" s="31"/>
      <c r="N31" s="124">
        <v>85500</v>
      </c>
      <c r="O31" s="31"/>
      <c r="P31" s="124">
        <v>110500</v>
      </c>
      <c r="Q31" s="31"/>
      <c r="R31" s="124"/>
      <c r="S31" s="35"/>
      <c r="T31" s="35"/>
      <c r="U31" s="37"/>
      <c r="V31" s="35"/>
      <c r="W31" s="34"/>
      <c r="X31" s="5"/>
    </row>
    <row r="32" spans="1:24" ht="15.75" x14ac:dyDescent="0.25">
      <c r="A32" s="24"/>
      <c r="B32" s="25" t="s">
        <v>132</v>
      </c>
      <c r="C32" s="32"/>
      <c r="D32" s="143">
        <f>D31*D38</f>
        <v>867836.6</v>
      </c>
      <c r="E32" s="32"/>
      <c r="F32" s="31">
        <f>F31*F38</f>
        <v>181811.80959999998</v>
      </c>
      <c r="G32" s="31"/>
      <c r="H32" s="124">
        <f>H31*H38</f>
        <v>95462.356</v>
      </c>
      <c r="I32" s="124"/>
      <c r="J32" s="143">
        <f>J31*J38</f>
        <v>130175.48999999999</v>
      </c>
      <c r="K32" s="31"/>
      <c r="L32" s="31">
        <f>L31*L38</f>
        <v>17000</v>
      </c>
      <c r="M32" s="31"/>
      <c r="N32" s="124">
        <f>N31*N38</f>
        <v>85500</v>
      </c>
      <c r="O32" s="31"/>
      <c r="P32" s="124">
        <f>P31*P38</f>
        <v>110500</v>
      </c>
      <c r="Q32" s="31"/>
      <c r="R32" s="124"/>
      <c r="S32" s="31"/>
      <c r="T32" s="31"/>
      <c r="U32" s="175"/>
      <c r="V32" s="31"/>
      <c r="W32" s="34"/>
      <c r="X32" s="5"/>
    </row>
    <row r="33" spans="1:27" ht="15.75" x14ac:dyDescent="0.25">
      <c r="A33" s="24"/>
      <c r="B33" s="29" t="s">
        <v>134</v>
      </c>
      <c r="C33" s="32"/>
      <c r="D33" s="170">
        <f>D37*D31</f>
        <v>858738.8</v>
      </c>
      <c r="E33" s="36"/>
      <c r="F33" s="35">
        <f>F37*F31</f>
        <v>179905.8205</v>
      </c>
      <c r="G33" s="35"/>
      <c r="H33" s="125">
        <f>H31*H37</f>
        <v>94461.62</v>
      </c>
      <c r="I33" s="125"/>
      <c r="J33" s="170">
        <f>J37*J31</f>
        <v>128810.82</v>
      </c>
      <c r="K33" s="35"/>
      <c r="L33" s="35">
        <f>L31*L37</f>
        <v>17000</v>
      </c>
      <c r="M33" s="35"/>
      <c r="N33" s="125">
        <f>N31*N37</f>
        <v>85500</v>
      </c>
      <c r="O33" s="35"/>
      <c r="P33" s="125">
        <f>P31*P37</f>
        <v>110500</v>
      </c>
      <c r="Q33" s="35"/>
      <c r="R33" s="125"/>
      <c r="S33" s="31"/>
      <c r="T33" s="31"/>
      <c r="U33" s="175"/>
      <c r="V33" s="31"/>
      <c r="W33" s="34"/>
      <c r="X33" s="5"/>
    </row>
    <row r="34" spans="1:27" ht="15.75" x14ac:dyDescent="0.25">
      <c r="A34" s="28"/>
      <c r="B34" s="25" t="s">
        <v>286</v>
      </c>
      <c r="C34" s="36"/>
      <c r="D34" s="31">
        <v>492951</v>
      </c>
      <c r="E34" s="32"/>
      <c r="F34" s="31">
        <v>209500</v>
      </c>
      <c r="G34" s="31"/>
      <c r="H34" s="31">
        <v>74677</v>
      </c>
      <c r="I34" s="31"/>
      <c r="J34" s="31">
        <v>73943</v>
      </c>
      <c r="K34" s="31"/>
      <c r="L34" s="31">
        <v>17000</v>
      </c>
      <c r="M34" s="31"/>
      <c r="N34" s="31">
        <v>58045</v>
      </c>
      <c r="O34" s="31"/>
      <c r="P34" s="31">
        <v>75017</v>
      </c>
      <c r="Q34" s="31"/>
      <c r="R34" s="31"/>
      <c r="S34" s="35"/>
      <c r="T34" s="35"/>
      <c r="U34" s="37"/>
      <c r="V34" s="150">
        <f>SUM(C34:R34)</f>
        <v>1001133</v>
      </c>
      <c r="W34" s="34"/>
      <c r="X34" s="5"/>
    </row>
    <row r="35" spans="1:27" ht="15.75" x14ac:dyDescent="0.25">
      <c r="A35" s="28"/>
      <c r="B35" s="25" t="s">
        <v>287</v>
      </c>
      <c r="C35" s="126"/>
      <c r="D35" s="31">
        <f>D34*D38</f>
        <v>427800.91980659997</v>
      </c>
      <c r="E35" s="32"/>
      <c r="F35" s="31">
        <f>F34*F38</f>
        <v>181811.80959999998</v>
      </c>
      <c r="G35" s="31"/>
      <c r="H35" s="31">
        <f>H34*H38</f>
        <v>64807.657809200005</v>
      </c>
      <c r="I35" s="31"/>
      <c r="J35" s="31">
        <f>J34*J38</f>
        <v>64170.441713799999</v>
      </c>
      <c r="K35" s="31"/>
      <c r="L35" s="31">
        <f>L34*L38</f>
        <v>17000</v>
      </c>
      <c r="M35" s="31"/>
      <c r="N35" s="31">
        <f>N34*N38</f>
        <v>58045</v>
      </c>
      <c r="O35" s="31"/>
      <c r="P35" s="31">
        <f>P34*P38</f>
        <v>75017</v>
      </c>
      <c r="Q35" s="31"/>
      <c r="R35" s="31"/>
      <c r="S35" s="31"/>
      <c r="T35" s="31"/>
      <c r="U35" s="175"/>
      <c r="V35" s="150">
        <f>SUM(C35:R35)</f>
        <v>888652.82892959984</v>
      </c>
      <c r="W35" s="34"/>
      <c r="X35" s="5"/>
    </row>
    <row r="36" spans="1:27" ht="15.75" x14ac:dyDescent="0.25">
      <c r="A36" s="28"/>
      <c r="B36" s="29" t="s">
        <v>288</v>
      </c>
      <c r="C36" s="126"/>
      <c r="D36" s="35">
        <f>D34*D37</f>
        <v>423316.15019880002</v>
      </c>
      <c r="E36" s="36"/>
      <c r="F36" s="35">
        <f>F34*F37</f>
        <v>179905.8205</v>
      </c>
      <c r="G36" s="35"/>
      <c r="H36" s="35">
        <f>H34*H37</f>
        <v>64128.276334000002</v>
      </c>
      <c r="I36" s="35"/>
      <c r="J36" s="35">
        <f>J34*J37</f>
        <v>63497.723088400002</v>
      </c>
      <c r="K36" s="35"/>
      <c r="L36" s="35">
        <f>L34*L37</f>
        <v>17000</v>
      </c>
      <c r="M36" s="35"/>
      <c r="N36" s="35">
        <f>N34*N37</f>
        <v>58045</v>
      </c>
      <c r="O36" s="35"/>
      <c r="P36" s="35">
        <f>P34*P37</f>
        <v>75017</v>
      </c>
      <c r="Q36" s="35"/>
      <c r="R36" s="35"/>
      <c r="S36" s="128"/>
      <c r="T36" s="128"/>
      <c r="U36" s="175"/>
      <c r="V36" s="151">
        <f>SUM(C36:R36)</f>
        <v>880909.97012120008</v>
      </c>
      <c r="W36" s="34"/>
      <c r="X36" s="5"/>
    </row>
    <row r="37" spans="1:27" ht="15.75" x14ac:dyDescent="0.25">
      <c r="A37" s="24"/>
      <c r="B37" s="122" t="s">
        <v>130</v>
      </c>
      <c r="C37" s="25"/>
      <c r="D37" s="168">
        <v>0.85873880000000002</v>
      </c>
      <c r="E37" s="168"/>
      <c r="F37" s="168">
        <v>0.85873900000000003</v>
      </c>
      <c r="G37" s="168"/>
      <c r="H37" s="168">
        <v>0.85874200000000001</v>
      </c>
      <c r="I37" s="168"/>
      <c r="J37" s="168">
        <v>0.85873880000000002</v>
      </c>
      <c r="K37" s="168"/>
      <c r="L37" s="168">
        <v>1</v>
      </c>
      <c r="M37" s="168"/>
      <c r="N37" s="168">
        <v>1</v>
      </c>
      <c r="O37" s="168"/>
      <c r="P37" s="168">
        <v>1</v>
      </c>
      <c r="Q37" s="168"/>
      <c r="R37" s="168"/>
      <c r="S37" s="30"/>
      <c r="T37" s="30"/>
      <c r="U37" s="174"/>
      <c r="V37" s="174"/>
      <c r="W37" s="25"/>
      <c r="X37" s="5"/>
    </row>
    <row r="38" spans="1:27" ht="15.75" x14ac:dyDescent="0.25">
      <c r="A38" s="24"/>
      <c r="B38" s="122" t="s">
        <v>131</v>
      </c>
      <c r="C38" s="25"/>
      <c r="D38" s="168">
        <v>0.86783659999999996</v>
      </c>
      <c r="E38" s="168"/>
      <c r="F38" s="168">
        <v>0.86783679999999996</v>
      </c>
      <c r="G38" s="168"/>
      <c r="H38" s="168">
        <v>0.86783960000000004</v>
      </c>
      <c r="I38" s="168"/>
      <c r="J38" s="168">
        <v>0.86783659999999996</v>
      </c>
      <c r="K38" s="168"/>
      <c r="L38" s="168">
        <v>1</v>
      </c>
      <c r="M38" s="168"/>
      <c r="N38" s="168">
        <v>1</v>
      </c>
      <c r="O38" s="168"/>
      <c r="P38" s="168">
        <v>1</v>
      </c>
      <c r="Q38" s="168"/>
      <c r="R38" s="168"/>
      <c r="S38" s="39"/>
      <c r="T38" s="38"/>
      <c r="U38" s="174"/>
      <c r="V38" s="39"/>
      <c r="W38" s="25"/>
      <c r="X38" s="5"/>
    </row>
    <row r="39" spans="1:27" ht="15.75" x14ac:dyDescent="0.25">
      <c r="A39" s="24"/>
      <c r="B39" s="25" t="s">
        <v>11</v>
      </c>
      <c r="C39" s="25"/>
      <c r="D39" s="30" t="s">
        <v>278</v>
      </c>
      <c r="E39" s="25"/>
      <c r="F39" s="30" t="s">
        <v>251</v>
      </c>
      <c r="G39" s="30"/>
      <c r="H39" s="30" t="s">
        <v>252</v>
      </c>
      <c r="I39" s="30"/>
      <c r="J39" s="30" t="s">
        <v>253</v>
      </c>
      <c r="K39" s="30"/>
      <c r="L39" s="30" t="s">
        <v>254</v>
      </c>
      <c r="M39" s="30"/>
      <c r="N39" s="30" t="s">
        <v>254</v>
      </c>
      <c r="O39" s="30"/>
      <c r="P39" s="30" t="s">
        <v>255</v>
      </c>
      <c r="Q39" s="30"/>
      <c r="R39" s="30"/>
      <c r="S39" s="39"/>
      <c r="T39" s="38"/>
      <c r="U39" s="174"/>
      <c r="V39" s="174"/>
      <c r="W39" s="25"/>
      <c r="X39" s="5"/>
    </row>
    <row r="40" spans="1:27" ht="15.75" x14ac:dyDescent="0.25">
      <c r="A40" s="24"/>
      <c r="B40" s="25" t="s">
        <v>12</v>
      </c>
      <c r="C40" s="25"/>
      <c r="D40" s="38">
        <v>4.3438000000000001E-3</v>
      </c>
      <c r="E40" s="25"/>
      <c r="F40" s="38">
        <v>1.9681299999999999E-2</v>
      </c>
      <c r="G40" s="39"/>
      <c r="H40" s="38">
        <v>1.77E-2</v>
      </c>
      <c r="I40" s="38"/>
      <c r="J40" s="38">
        <v>1.43E-2</v>
      </c>
      <c r="K40" s="39"/>
      <c r="L40" s="38">
        <v>2.1081300000000001E-2</v>
      </c>
      <c r="M40" s="39"/>
      <c r="N40" s="38">
        <v>1.9199999999999998E-2</v>
      </c>
      <c r="O40" s="39"/>
      <c r="P40" s="38">
        <v>2.1999999999999999E-2</v>
      </c>
      <c r="Q40" s="39"/>
      <c r="R40" s="38"/>
      <c r="S40" s="39"/>
      <c r="T40" s="38"/>
      <c r="U40" s="174"/>
      <c r="V40" s="30"/>
      <c r="W40" s="25"/>
      <c r="X40" s="5"/>
      <c r="AA40" s="1" t="s">
        <v>193</v>
      </c>
    </row>
    <row r="41" spans="1:27" ht="15.75" x14ac:dyDescent="0.25">
      <c r="A41" s="24"/>
      <c r="B41" s="25" t="s">
        <v>13</v>
      </c>
      <c r="C41" s="25"/>
      <c r="D41" s="38">
        <v>5.5125E-3</v>
      </c>
      <c r="E41" s="25"/>
      <c r="F41" s="38">
        <v>3.2625000000000001E-2</v>
      </c>
      <c r="G41" s="39"/>
      <c r="H41" s="38">
        <v>3.449E-2</v>
      </c>
      <c r="I41" s="38"/>
      <c r="J41" s="38">
        <v>2.1062500000000001E-2</v>
      </c>
      <c r="K41" s="39"/>
      <c r="L41" s="38">
        <v>3.4025E-2</v>
      </c>
      <c r="M41" s="39"/>
      <c r="N41" s="38">
        <v>3.5990000000000001E-2</v>
      </c>
      <c r="O41" s="39"/>
      <c r="P41" s="38">
        <v>3.8789999999999998E-2</v>
      </c>
      <c r="Q41" s="39"/>
      <c r="R41" s="38"/>
      <c r="S41" s="39"/>
      <c r="T41" s="38"/>
      <c r="U41" s="174"/>
      <c r="V41" s="39" t="s">
        <v>193</v>
      </c>
      <c r="W41" s="25"/>
      <c r="X41" s="5"/>
    </row>
    <row r="42" spans="1:27" ht="15.75" x14ac:dyDescent="0.25">
      <c r="A42" s="24"/>
      <c r="B42" s="25" t="s">
        <v>289</v>
      </c>
      <c r="C42" s="25"/>
      <c r="D42" s="30" t="s">
        <v>279</v>
      </c>
      <c r="E42" s="25"/>
      <c r="F42" s="30" t="s">
        <v>251</v>
      </c>
      <c r="G42" s="30"/>
      <c r="H42" s="30" t="s">
        <v>229</v>
      </c>
      <c r="I42" s="30"/>
      <c r="J42" s="30" t="s">
        <v>229</v>
      </c>
      <c r="K42" s="30"/>
      <c r="L42" s="30" t="s">
        <v>254</v>
      </c>
      <c r="M42" s="30"/>
      <c r="N42" s="30" t="s">
        <v>262</v>
      </c>
      <c r="O42" s="30"/>
      <c r="P42" s="30" t="s">
        <v>263</v>
      </c>
      <c r="Q42" s="30"/>
      <c r="R42" s="30"/>
      <c r="S42" s="39"/>
      <c r="T42" s="38"/>
      <c r="U42" s="174"/>
      <c r="V42" s="174"/>
      <c r="W42" s="25"/>
      <c r="X42" s="5"/>
    </row>
    <row r="43" spans="1:27" ht="15.75" x14ac:dyDescent="0.25">
      <c r="A43" s="24"/>
      <c r="B43" s="25" t="s">
        <v>290</v>
      </c>
      <c r="C43" s="110"/>
      <c r="D43" s="38">
        <v>1.9473250000000001E-2</v>
      </c>
      <c r="E43" s="38"/>
      <c r="F43" s="38">
        <f>+F40</f>
        <v>1.9681299999999999E-2</v>
      </c>
      <c r="G43" s="38"/>
      <c r="H43" s="38">
        <v>1.9756300000000001E-2</v>
      </c>
      <c r="I43" s="38"/>
      <c r="J43" s="38">
        <v>1.9771299999999999E-2</v>
      </c>
      <c r="K43" s="38"/>
      <c r="L43" s="38">
        <f>+L40</f>
        <v>2.1081300000000001E-2</v>
      </c>
      <c r="M43" s="38"/>
      <c r="N43" s="38">
        <v>2.14483E-2</v>
      </c>
      <c r="O43" s="38"/>
      <c r="P43" s="38">
        <v>2.4528299999999999E-2</v>
      </c>
      <c r="Q43" s="39"/>
      <c r="R43" s="38"/>
      <c r="S43" s="30"/>
      <c r="T43" s="30"/>
      <c r="U43" s="174"/>
      <c r="V43" s="39">
        <f>SUMPRODUCT(D43:R43,D35:R35)/V35</f>
        <v>2.0144478457688544E-2</v>
      </c>
      <c r="W43" s="25"/>
      <c r="X43" s="5"/>
    </row>
    <row r="44" spans="1:27" ht="15.75" x14ac:dyDescent="0.25">
      <c r="A44" s="24"/>
      <c r="B44" s="25" t="s">
        <v>291</v>
      </c>
      <c r="C44" s="110"/>
      <c r="D44" s="38">
        <v>3.241695E-2</v>
      </c>
      <c r="E44" s="38"/>
      <c r="F44" s="38">
        <f>+F41</f>
        <v>3.2625000000000001E-2</v>
      </c>
      <c r="G44" s="38"/>
      <c r="H44" s="38">
        <v>3.27E-2</v>
      </c>
      <c r="I44" s="38"/>
      <c r="J44" s="38">
        <v>3.2715000000000001E-2</v>
      </c>
      <c r="K44" s="38"/>
      <c r="L44" s="38">
        <f>+L41</f>
        <v>3.4025E-2</v>
      </c>
      <c r="M44" s="38"/>
      <c r="N44" s="38">
        <v>3.4391999999999999E-2</v>
      </c>
      <c r="O44" s="38"/>
      <c r="P44" s="38">
        <v>3.7471999999999998E-2</v>
      </c>
      <c r="Q44" s="39"/>
      <c r="R44" s="38"/>
      <c r="S44" s="30"/>
      <c r="T44" s="30"/>
      <c r="U44" s="174"/>
      <c r="V44" s="174"/>
      <c r="W44" s="25"/>
      <c r="X44" s="5"/>
    </row>
    <row r="45" spans="1:27" ht="15.75" x14ac:dyDescent="0.25">
      <c r="A45" s="24"/>
      <c r="B45" s="25" t="s">
        <v>14</v>
      </c>
      <c r="C45" s="25"/>
      <c r="D45" s="110">
        <v>40709</v>
      </c>
      <c r="E45" s="110"/>
      <c r="F45" s="110">
        <v>40709</v>
      </c>
      <c r="G45" s="110"/>
      <c r="H45" s="110">
        <v>40709</v>
      </c>
      <c r="I45" s="110"/>
      <c r="J45" s="110">
        <v>40709</v>
      </c>
      <c r="K45" s="110"/>
      <c r="L45" s="110">
        <v>40709</v>
      </c>
      <c r="M45" s="110"/>
      <c r="N45" s="110">
        <v>40709</v>
      </c>
      <c r="O45" s="110"/>
      <c r="P45" s="110">
        <v>40709</v>
      </c>
      <c r="Q45" s="110"/>
      <c r="R45" s="110"/>
      <c r="S45" s="30"/>
      <c r="T45" s="30"/>
      <c r="U45" s="174"/>
      <c r="V45" s="174"/>
      <c r="W45" s="25"/>
      <c r="X45" s="5"/>
    </row>
    <row r="46" spans="1:27" ht="15.75" x14ac:dyDescent="0.25">
      <c r="A46" s="24"/>
      <c r="B46" s="25" t="s">
        <v>15</v>
      </c>
      <c r="C46" s="25"/>
      <c r="D46" s="110" t="s">
        <v>118</v>
      </c>
      <c r="E46" s="110"/>
      <c r="F46" s="110">
        <v>41075</v>
      </c>
      <c r="G46" s="110"/>
      <c r="H46" s="110">
        <v>41075</v>
      </c>
      <c r="I46" s="110"/>
      <c r="J46" s="110">
        <v>41075</v>
      </c>
      <c r="K46" s="30"/>
      <c r="L46" s="110">
        <v>41075</v>
      </c>
      <c r="M46" s="30"/>
      <c r="N46" s="110">
        <v>41075</v>
      </c>
      <c r="O46" s="30"/>
      <c r="P46" s="110">
        <v>41075</v>
      </c>
      <c r="Q46" s="30"/>
      <c r="R46" s="110"/>
      <c r="S46" s="30"/>
      <c r="T46" s="30"/>
      <c r="U46" s="174"/>
      <c r="V46" s="174"/>
      <c r="W46" s="25"/>
      <c r="X46" s="5"/>
    </row>
    <row r="47" spans="1:27" ht="15.75" x14ac:dyDescent="0.25">
      <c r="A47" s="24"/>
      <c r="B47" s="25" t="s">
        <v>119</v>
      </c>
      <c r="C47" s="25"/>
      <c r="D47" s="171" t="s">
        <v>118</v>
      </c>
      <c r="E47" s="25"/>
      <c r="F47" s="30" t="s">
        <v>256</v>
      </c>
      <c r="G47" s="30"/>
      <c r="H47" s="30" t="s">
        <v>257</v>
      </c>
      <c r="I47" s="30"/>
      <c r="J47" s="30" t="s">
        <v>258</v>
      </c>
      <c r="K47" s="30"/>
      <c r="L47" s="30" t="s">
        <v>259</v>
      </c>
      <c r="M47" s="30"/>
      <c r="N47" s="30" t="s">
        <v>259</v>
      </c>
      <c r="O47" s="30"/>
      <c r="P47" s="30" t="s">
        <v>260</v>
      </c>
      <c r="Q47" s="30"/>
      <c r="R47" s="30"/>
      <c r="S47" s="40"/>
      <c r="T47" s="40"/>
      <c r="U47" s="40"/>
      <c r="V47" s="40"/>
      <c r="W47" s="25"/>
      <c r="X47" s="5"/>
    </row>
    <row r="48" spans="1:27" ht="15.75" x14ac:dyDescent="0.25">
      <c r="A48" s="24"/>
      <c r="B48" s="25" t="s">
        <v>292</v>
      </c>
      <c r="C48" s="25"/>
      <c r="D48" s="30" t="s">
        <v>200</v>
      </c>
      <c r="E48" s="25"/>
      <c r="F48" s="30" t="s">
        <v>256</v>
      </c>
      <c r="G48" s="30"/>
      <c r="H48" s="30" t="s">
        <v>261</v>
      </c>
      <c r="I48" s="30"/>
      <c r="J48" s="30" t="s">
        <v>261</v>
      </c>
      <c r="K48" s="30"/>
      <c r="L48" s="30" t="s">
        <v>259</v>
      </c>
      <c r="M48" s="30"/>
      <c r="N48" s="30" t="s">
        <v>263</v>
      </c>
      <c r="O48" s="30"/>
      <c r="P48" s="30" t="s">
        <v>264</v>
      </c>
      <c r="Q48" s="30"/>
      <c r="R48" s="30"/>
      <c r="S48" s="25"/>
      <c r="T48" s="25"/>
      <c r="U48" s="25"/>
      <c r="V48" s="39"/>
      <c r="W48" s="25"/>
      <c r="X48" s="5"/>
    </row>
    <row r="49" spans="1:25" ht="15.75" x14ac:dyDescent="0.25">
      <c r="A49" s="24"/>
      <c r="B49" s="25"/>
      <c r="C49" s="25"/>
      <c r="D49" s="30"/>
      <c r="E49" s="25"/>
      <c r="F49" s="30"/>
      <c r="G49" s="30"/>
      <c r="H49" s="30"/>
      <c r="I49" s="30"/>
      <c r="J49" s="30"/>
      <c r="K49" s="30"/>
      <c r="L49" s="30"/>
      <c r="M49" s="30"/>
      <c r="N49" s="30"/>
      <c r="O49" s="30"/>
      <c r="P49" s="30"/>
      <c r="Q49" s="30"/>
      <c r="R49" s="30"/>
      <c r="S49" s="25"/>
      <c r="T49" s="25"/>
      <c r="U49" s="25"/>
      <c r="V49" s="39" t="s">
        <v>193</v>
      </c>
      <c r="W49" s="25"/>
      <c r="X49" s="5"/>
    </row>
    <row r="50" spans="1:25" ht="15.75" x14ac:dyDescent="0.25">
      <c r="A50" s="24"/>
      <c r="B50" s="25" t="s">
        <v>169</v>
      </c>
      <c r="C50" s="25"/>
      <c r="D50" s="30"/>
      <c r="E50" s="25"/>
      <c r="F50" s="30"/>
      <c r="G50" s="30"/>
      <c r="H50" s="30"/>
      <c r="I50" s="30"/>
      <c r="J50" s="30"/>
      <c r="K50" s="30"/>
      <c r="L50" s="30"/>
      <c r="M50" s="30"/>
      <c r="N50" s="30"/>
      <c r="O50" s="30"/>
      <c r="P50" s="30"/>
      <c r="Q50" s="30"/>
      <c r="R50" s="30"/>
      <c r="S50" s="25"/>
      <c r="T50" s="25"/>
      <c r="U50" s="25"/>
      <c r="V50" s="39">
        <f>SUM(L34:R34)/SUM(D34:J34)</f>
        <v>0.17632136449250416</v>
      </c>
      <c r="W50" s="25"/>
      <c r="X50" s="5"/>
    </row>
    <row r="51" spans="1:25" ht="15.75" x14ac:dyDescent="0.25">
      <c r="A51" s="24"/>
      <c r="B51" s="25" t="s">
        <v>170</v>
      </c>
      <c r="C51" s="25"/>
      <c r="D51" s="25"/>
      <c r="E51" s="25"/>
      <c r="F51" s="41"/>
      <c r="G51" s="25"/>
      <c r="H51" s="25"/>
      <c r="I51" s="25"/>
      <c r="J51" s="25"/>
      <c r="K51" s="25"/>
      <c r="L51" s="25"/>
      <c r="M51" s="25"/>
      <c r="N51" s="25"/>
      <c r="O51" s="25"/>
      <c r="P51" s="25"/>
      <c r="Q51" s="25"/>
      <c r="R51" s="25"/>
      <c r="S51" s="25"/>
      <c r="T51" s="25"/>
      <c r="U51" s="25"/>
      <c r="V51" s="39">
        <f>SUM(L36:R36)/SUM(D36:J36)</f>
        <v>0.20532587642695987</v>
      </c>
      <c r="W51" s="25"/>
      <c r="X51" s="5"/>
    </row>
    <row r="52" spans="1:25" ht="15.75" x14ac:dyDescent="0.25">
      <c r="A52" s="24"/>
      <c r="B52" s="25" t="s">
        <v>171</v>
      </c>
      <c r="C52" s="25"/>
      <c r="D52" s="25"/>
      <c r="E52" s="25"/>
      <c r="F52" s="25"/>
      <c r="G52" s="25"/>
      <c r="H52" s="25"/>
      <c r="I52" s="25"/>
      <c r="J52" s="25"/>
      <c r="K52" s="25"/>
      <c r="L52" s="25"/>
      <c r="M52" s="25"/>
      <c r="N52" s="25"/>
      <c r="O52" s="25"/>
      <c r="P52" s="25"/>
      <c r="Q52" s="25"/>
      <c r="R52" s="25"/>
      <c r="S52" s="25"/>
      <c r="T52" s="30"/>
      <c r="U52" s="30"/>
      <c r="V52" s="31" t="s">
        <v>268</v>
      </c>
      <c r="W52" s="25"/>
      <c r="X52" s="5"/>
    </row>
    <row r="53" spans="1:25" ht="15.75" x14ac:dyDescent="0.25">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75" x14ac:dyDescent="0.25">
      <c r="A54" s="24"/>
      <c r="B54" s="25" t="s">
        <v>202</v>
      </c>
      <c r="C54" s="25"/>
      <c r="D54" s="25"/>
      <c r="E54" s="25"/>
      <c r="F54" s="25"/>
      <c r="G54" s="25"/>
      <c r="H54" s="25"/>
      <c r="I54" s="25"/>
      <c r="J54" s="25"/>
      <c r="K54" s="25"/>
      <c r="L54" s="25"/>
      <c r="M54" s="25"/>
      <c r="N54" s="25"/>
      <c r="O54" s="25"/>
      <c r="P54" s="25"/>
      <c r="Q54" s="25"/>
      <c r="R54" s="25"/>
      <c r="S54" s="25"/>
      <c r="T54" s="25"/>
      <c r="U54" s="25"/>
      <c r="V54" s="152" t="s">
        <v>203</v>
      </c>
      <c r="W54" s="25"/>
      <c r="X54" s="5"/>
    </row>
    <row r="55" spans="1:25" ht="15.75" x14ac:dyDescent="0.25">
      <c r="A55" s="24"/>
      <c r="B55" s="25" t="s">
        <v>270</v>
      </c>
      <c r="C55" s="25"/>
      <c r="D55" s="25"/>
      <c r="E55" s="25"/>
      <c r="F55" s="25"/>
      <c r="G55" s="25"/>
      <c r="H55" s="25"/>
      <c r="I55" s="25"/>
      <c r="J55" s="25"/>
      <c r="K55" s="25"/>
      <c r="L55" s="25"/>
      <c r="M55" s="25"/>
      <c r="N55" s="25"/>
      <c r="O55" s="25"/>
      <c r="P55" s="25"/>
      <c r="Q55" s="25"/>
      <c r="R55" s="25"/>
      <c r="S55" s="25"/>
      <c r="T55" s="30"/>
      <c r="U55" s="30"/>
      <c r="V55" s="153" t="s">
        <v>111</v>
      </c>
      <c r="W55" s="25"/>
      <c r="X55" s="5"/>
    </row>
    <row r="56" spans="1:25" ht="15.75" x14ac:dyDescent="0.25">
      <c r="A56" s="24"/>
      <c r="B56" s="29" t="s">
        <v>201</v>
      </c>
      <c r="C56" s="29"/>
      <c r="D56" s="29"/>
      <c r="E56" s="29"/>
      <c r="F56" s="29"/>
      <c r="G56" s="29"/>
      <c r="H56" s="29"/>
      <c r="I56" s="29"/>
      <c r="J56" s="29"/>
      <c r="K56" s="29"/>
      <c r="L56" s="29"/>
      <c r="M56" s="29"/>
      <c r="N56" s="29"/>
      <c r="O56" s="29"/>
      <c r="P56" s="29"/>
      <c r="Q56" s="29"/>
      <c r="R56" s="29"/>
      <c r="S56" s="29"/>
      <c r="T56" s="43"/>
      <c r="U56" s="43"/>
      <c r="V56" s="44">
        <v>39979</v>
      </c>
      <c r="W56" s="25"/>
      <c r="X56" s="5"/>
    </row>
    <row r="57" spans="1:25" ht="15.75" x14ac:dyDescent="0.25">
      <c r="A57" s="24"/>
      <c r="B57" s="25" t="s">
        <v>121</v>
      </c>
      <c r="C57" s="25"/>
      <c r="D57" s="25"/>
      <c r="E57" s="25"/>
      <c r="F57" s="25"/>
      <c r="G57" s="25"/>
      <c r="H57" s="58"/>
      <c r="I57" s="58"/>
      <c r="J57" s="58"/>
      <c r="K57" s="58"/>
      <c r="L57" s="58"/>
      <c r="M57" s="58"/>
      <c r="N57" s="58"/>
      <c r="O57" s="58"/>
      <c r="P57" s="58"/>
      <c r="Q57" s="58"/>
      <c r="R57" s="25">
        <f>+V57-T57+1</f>
        <v>91</v>
      </c>
      <c r="S57" s="58"/>
      <c r="T57" s="45">
        <v>39797</v>
      </c>
      <c r="U57" s="46"/>
      <c r="V57" s="45">
        <v>39887</v>
      </c>
      <c r="W57" s="25"/>
      <c r="X57" s="5"/>
    </row>
    <row r="58" spans="1:25" ht="15.75" x14ac:dyDescent="0.25">
      <c r="A58" s="24"/>
      <c r="B58" s="25" t="s">
        <v>122</v>
      </c>
      <c r="C58" s="25"/>
      <c r="D58" s="25"/>
      <c r="E58" s="25"/>
      <c r="F58" s="25"/>
      <c r="G58" s="25"/>
      <c r="H58" s="25"/>
      <c r="I58" s="25"/>
      <c r="J58" s="25"/>
      <c r="K58" s="25"/>
      <c r="L58" s="25"/>
      <c r="M58" s="25"/>
      <c r="N58" s="25"/>
      <c r="O58" s="25"/>
      <c r="P58" s="25"/>
      <c r="Q58" s="25"/>
      <c r="R58" s="25">
        <f>+V58-T58+1</f>
        <v>91</v>
      </c>
      <c r="S58" s="25"/>
      <c r="T58" s="45">
        <v>39888</v>
      </c>
      <c r="U58" s="46"/>
      <c r="V58" s="45">
        <v>39978</v>
      </c>
      <c r="W58" s="25"/>
      <c r="X58" s="5"/>
    </row>
    <row r="59" spans="1:25" ht="15.75" x14ac:dyDescent="0.25">
      <c r="A59" s="24"/>
      <c r="B59" s="25" t="s">
        <v>223</v>
      </c>
      <c r="C59" s="25"/>
      <c r="D59" s="25"/>
      <c r="E59" s="25"/>
      <c r="F59" s="25"/>
      <c r="G59" s="25"/>
      <c r="H59" s="25"/>
      <c r="I59" s="25"/>
      <c r="J59" s="25"/>
      <c r="K59" s="25"/>
      <c r="L59" s="25"/>
      <c r="M59" s="25"/>
      <c r="N59" s="25"/>
      <c r="O59" s="25"/>
      <c r="P59" s="25"/>
      <c r="Q59" s="25"/>
      <c r="R59" s="25"/>
      <c r="S59" s="25"/>
      <c r="T59" s="45"/>
      <c r="U59" s="46"/>
      <c r="V59" s="45" t="s">
        <v>120</v>
      </c>
      <c r="W59" s="25"/>
      <c r="X59" s="5"/>
    </row>
    <row r="60" spans="1:25" ht="15.75" x14ac:dyDescent="0.25">
      <c r="A60" s="24"/>
      <c r="B60" s="25" t="s">
        <v>271</v>
      </c>
      <c r="C60" s="25"/>
      <c r="D60" s="25"/>
      <c r="E60" s="25"/>
      <c r="F60" s="25"/>
      <c r="G60" s="25"/>
      <c r="H60" s="25"/>
      <c r="I60" s="25"/>
      <c r="J60" s="25"/>
      <c r="K60" s="25"/>
      <c r="L60" s="25"/>
      <c r="M60" s="25"/>
      <c r="N60" s="25"/>
      <c r="O60" s="25"/>
      <c r="P60" s="25"/>
      <c r="Q60" s="25"/>
      <c r="R60" s="25"/>
      <c r="S60" s="25"/>
      <c r="T60" s="45"/>
      <c r="U60" s="46"/>
      <c r="V60" s="45" t="s">
        <v>154</v>
      </c>
      <c r="W60" s="25"/>
      <c r="X60" s="5"/>
      <c r="Y60" s="133"/>
    </row>
    <row r="61" spans="1:25" ht="15.75" x14ac:dyDescent="0.25">
      <c r="A61" s="24"/>
      <c r="B61" s="25" t="s">
        <v>16</v>
      </c>
      <c r="C61" s="25"/>
      <c r="D61" s="25"/>
      <c r="E61" s="25"/>
      <c r="F61" s="25"/>
      <c r="G61" s="25"/>
      <c r="H61" s="25"/>
      <c r="I61" s="25"/>
      <c r="J61" s="25"/>
      <c r="K61" s="25"/>
      <c r="L61" s="25"/>
      <c r="M61" s="25"/>
      <c r="N61" s="25"/>
      <c r="O61" s="25"/>
      <c r="P61" s="25"/>
      <c r="Q61" s="25"/>
      <c r="R61" s="25"/>
      <c r="S61" s="25"/>
      <c r="T61" s="45"/>
      <c r="U61" s="46"/>
      <c r="V61" s="45">
        <v>39965</v>
      </c>
      <c r="W61" s="25"/>
      <c r="X61" s="5"/>
    </row>
    <row r="62" spans="1:25" ht="15.75" x14ac:dyDescent="0.25">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75" x14ac:dyDescent="0.25">
      <c r="A63" s="6"/>
      <c r="B63" s="8"/>
      <c r="C63" s="8"/>
      <c r="D63" s="8"/>
      <c r="E63" s="8"/>
      <c r="F63" s="8"/>
      <c r="G63" s="8"/>
      <c r="H63" s="8"/>
      <c r="I63" s="8"/>
      <c r="J63" s="8"/>
      <c r="K63" s="8"/>
      <c r="L63" s="8"/>
      <c r="M63" s="8"/>
      <c r="N63" s="8"/>
      <c r="O63" s="8"/>
      <c r="P63" s="8"/>
      <c r="Q63" s="8"/>
      <c r="R63" s="8"/>
      <c r="S63" s="8"/>
      <c r="T63" s="47"/>
      <c r="U63" s="48"/>
      <c r="V63" s="47"/>
      <c r="W63" s="8"/>
      <c r="X63" s="5"/>
    </row>
    <row r="64" spans="1:25" ht="19.5" thickBot="1" x14ac:dyDescent="0.35">
      <c r="A64" s="101"/>
      <c r="B64" s="102" t="s">
        <v>283</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75" x14ac:dyDescent="0.25">
      <c r="A65" s="2"/>
      <c r="B65" s="4"/>
      <c r="C65" s="4"/>
      <c r="D65" s="4"/>
      <c r="E65" s="4"/>
      <c r="F65" s="4"/>
      <c r="G65" s="4"/>
      <c r="H65" s="4"/>
      <c r="I65" s="4"/>
      <c r="J65" s="4"/>
      <c r="K65" s="4"/>
      <c r="L65" s="4"/>
      <c r="M65" s="4"/>
      <c r="N65" s="4"/>
      <c r="O65" s="4"/>
      <c r="P65" s="4"/>
      <c r="Q65" s="4"/>
      <c r="R65" s="4"/>
      <c r="S65" s="4"/>
      <c r="T65" s="4"/>
      <c r="U65" s="4"/>
      <c r="V65" s="50"/>
      <c r="W65" s="4"/>
      <c r="X65" s="5"/>
    </row>
    <row r="66" spans="1:24" ht="15.75" x14ac:dyDescent="0.25">
      <c r="A66" s="6"/>
      <c r="B66" s="51" t="s">
        <v>17</v>
      </c>
      <c r="C66" s="8"/>
      <c r="D66" s="8"/>
      <c r="E66" s="8"/>
      <c r="F66" s="8"/>
      <c r="G66" s="8"/>
      <c r="H66" s="8"/>
      <c r="I66" s="8"/>
      <c r="J66" s="8"/>
      <c r="K66" s="8"/>
      <c r="L66" s="8"/>
      <c r="M66" s="8"/>
      <c r="N66" s="8"/>
      <c r="O66" s="8"/>
      <c r="P66" s="8"/>
      <c r="Q66" s="8"/>
      <c r="R66" s="8"/>
      <c r="S66" s="8"/>
      <c r="T66" s="8"/>
      <c r="U66" s="8"/>
      <c r="V66" s="52"/>
      <c r="W66" s="8"/>
      <c r="X66" s="5"/>
    </row>
    <row r="67" spans="1:24" ht="15.75" x14ac:dyDescent="0.25">
      <c r="A67" s="6"/>
      <c r="B67" s="13"/>
      <c r="C67" s="8"/>
      <c r="D67" s="8"/>
      <c r="E67" s="8"/>
      <c r="F67" s="8"/>
      <c r="G67" s="8"/>
      <c r="H67" s="8"/>
      <c r="I67" s="8"/>
      <c r="J67" s="8"/>
      <c r="K67" s="8"/>
      <c r="L67" s="8"/>
      <c r="M67" s="8"/>
      <c r="N67" s="8"/>
      <c r="O67" s="8"/>
      <c r="P67" s="8"/>
      <c r="Q67" s="8"/>
      <c r="R67" s="8"/>
      <c r="S67" s="8"/>
      <c r="T67" s="8"/>
      <c r="U67" s="8"/>
      <c r="V67" s="52"/>
      <c r="W67" s="8"/>
      <c r="X67" s="5"/>
    </row>
    <row r="68" spans="1:24" ht="47.25" x14ac:dyDescent="0.25">
      <c r="A68" s="6"/>
      <c r="B68" s="114" t="s">
        <v>18</v>
      </c>
      <c r="C68" s="115"/>
      <c r="D68" s="115"/>
      <c r="E68" s="115"/>
      <c r="F68" s="115"/>
      <c r="G68" s="115"/>
      <c r="H68" s="115"/>
      <c r="I68" s="115"/>
      <c r="J68" s="115"/>
      <c r="K68" s="115"/>
      <c r="L68" s="115" t="s">
        <v>94</v>
      </c>
      <c r="M68" s="115"/>
      <c r="N68" s="115" t="s">
        <v>96</v>
      </c>
      <c r="O68" s="115"/>
      <c r="P68" s="115" t="s">
        <v>98</v>
      </c>
      <c r="Q68" s="115"/>
      <c r="R68" s="115" t="s">
        <v>100</v>
      </c>
      <c r="S68" s="115"/>
      <c r="T68" s="115" t="s">
        <v>106</v>
      </c>
      <c r="U68" s="115"/>
      <c r="V68" s="116" t="s">
        <v>112</v>
      </c>
      <c r="W68" s="117"/>
      <c r="X68" s="5"/>
    </row>
    <row r="69" spans="1:24" ht="15.75" x14ac:dyDescent="0.25">
      <c r="A69" s="24"/>
      <c r="B69" s="25" t="s">
        <v>19</v>
      </c>
      <c r="C69" s="34"/>
      <c r="D69" s="34"/>
      <c r="E69" s="34"/>
      <c r="F69" s="34"/>
      <c r="G69" s="34"/>
      <c r="H69" s="34"/>
      <c r="I69" s="34"/>
      <c r="J69" s="34"/>
      <c r="K69" s="34"/>
      <c r="L69" s="34">
        <v>812446</v>
      </c>
      <c r="M69" s="34"/>
      <c r="N69" s="53">
        <v>888653</v>
      </c>
      <c r="O69" s="34"/>
      <c r="P69" s="34">
        <f>7743+319+286</f>
        <v>8348</v>
      </c>
      <c r="Q69" s="34"/>
      <c r="R69" s="34">
        <f>319+286</f>
        <v>605</v>
      </c>
      <c r="S69" s="34"/>
      <c r="T69" s="34">
        <v>0</v>
      </c>
      <c r="U69" s="34"/>
      <c r="V69" s="53">
        <f>+N69-P69+R69-T69</f>
        <v>880910</v>
      </c>
      <c r="W69" s="25"/>
      <c r="X69" s="5"/>
    </row>
    <row r="70" spans="1:24" ht="15.75" x14ac:dyDescent="0.25">
      <c r="A70" s="24"/>
      <c r="B70" s="25" t="s">
        <v>20</v>
      </c>
      <c r="C70" s="34"/>
      <c r="D70" s="34"/>
      <c r="E70" s="34"/>
      <c r="F70" s="34"/>
      <c r="G70" s="34"/>
      <c r="H70" s="34"/>
      <c r="I70" s="34"/>
      <c r="J70" s="34"/>
      <c r="K70" s="34"/>
      <c r="L70" s="34">
        <v>0</v>
      </c>
      <c r="M70" s="34"/>
      <c r="N70" s="53">
        <v>0</v>
      </c>
      <c r="O70" s="34"/>
      <c r="P70" s="34">
        <v>0</v>
      </c>
      <c r="Q70" s="34"/>
      <c r="R70" s="34">
        <v>0</v>
      </c>
      <c r="S70" s="34"/>
      <c r="T70" s="34">
        <v>0</v>
      </c>
      <c r="U70" s="34"/>
      <c r="V70" s="53">
        <f>+L70-P70</f>
        <v>0</v>
      </c>
      <c r="W70" s="25"/>
      <c r="X70" s="5"/>
    </row>
    <row r="71" spans="1:24" ht="15.75" x14ac:dyDescent="0.25">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75" x14ac:dyDescent="0.25">
      <c r="A72" s="24"/>
      <c r="B72" s="25" t="s">
        <v>21</v>
      </c>
      <c r="C72" s="34"/>
      <c r="D72" s="34"/>
      <c r="E72" s="34"/>
      <c r="F72" s="34"/>
      <c r="G72" s="34"/>
      <c r="H72" s="34"/>
      <c r="I72" s="34"/>
      <c r="J72" s="34"/>
      <c r="K72" s="34"/>
      <c r="L72" s="34">
        <f>SUM(L69:L71)</f>
        <v>812446</v>
      </c>
      <c r="M72" s="34"/>
      <c r="N72" s="54">
        <f>N69+N70</f>
        <v>888653</v>
      </c>
      <c r="O72" s="34"/>
      <c r="P72" s="34">
        <f>SUM(P69:P71)</f>
        <v>8348</v>
      </c>
      <c r="Q72" s="34"/>
      <c r="R72" s="34">
        <f>SUM(R69:R71)</f>
        <v>605</v>
      </c>
      <c r="S72" s="34"/>
      <c r="T72" s="34">
        <f>SUM(T69:T71)</f>
        <v>0</v>
      </c>
      <c r="U72" s="34"/>
      <c r="V72" s="54">
        <f>SUM(V69:V71)</f>
        <v>880910</v>
      </c>
      <c r="W72" s="25"/>
      <c r="X72" s="5"/>
    </row>
    <row r="73" spans="1:24" ht="15.75" x14ac:dyDescent="0.25">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75" x14ac:dyDescent="0.25">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75" x14ac:dyDescent="0.25">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75" x14ac:dyDescent="0.25">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75" x14ac:dyDescent="0.25">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75" x14ac:dyDescent="0.25">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75" x14ac:dyDescent="0.25">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75" x14ac:dyDescent="0.25">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75" x14ac:dyDescent="0.25">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75" x14ac:dyDescent="0.25">
      <c r="A82" s="24"/>
      <c r="B82" s="25" t="s">
        <v>117</v>
      </c>
      <c r="C82" s="34"/>
      <c r="D82" s="34"/>
      <c r="E82" s="34"/>
      <c r="F82" s="34"/>
      <c r="G82" s="34"/>
      <c r="H82" s="34"/>
      <c r="I82" s="34"/>
      <c r="J82" s="34"/>
      <c r="K82" s="34"/>
      <c r="L82" s="34">
        <v>188687</v>
      </c>
      <c r="M82" s="34"/>
      <c r="N82" s="34">
        <v>0</v>
      </c>
      <c r="O82" s="34"/>
      <c r="P82" s="34">
        <v>0</v>
      </c>
      <c r="Q82" s="34"/>
      <c r="R82" s="34"/>
      <c r="S82" s="34"/>
      <c r="T82" s="34"/>
      <c r="U82" s="34"/>
      <c r="V82" s="54">
        <f>SUM(N82:R82)</f>
        <v>0</v>
      </c>
      <c r="W82" s="25"/>
      <c r="X82" s="5"/>
    </row>
    <row r="83" spans="1:24" ht="15.75" x14ac:dyDescent="0.25">
      <c r="A83" s="24"/>
      <c r="B83" s="25" t="s">
        <v>146</v>
      </c>
      <c r="C83" s="34"/>
      <c r="D83" s="34"/>
      <c r="E83" s="34"/>
      <c r="F83" s="34"/>
      <c r="G83" s="34"/>
      <c r="H83" s="34"/>
      <c r="I83" s="34"/>
      <c r="J83" s="34"/>
      <c r="K83" s="34"/>
      <c r="L83" s="34">
        <v>0</v>
      </c>
      <c r="M83" s="34"/>
      <c r="N83" s="34">
        <v>0</v>
      </c>
      <c r="O83" s="34"/>
      <c r="P83" s="34">
        <v>0</v>
      </c>
      <c r="Q83" s="34"/>
      <c r="R83" s="34"/>
      <c r="S83" s="34"/>
      <c r="T83" s="34"/>
      <c r="U83" s="34"/>
      <c r="V83" s="54">
        <f>+N83+P83</f>
        <v>0</v>
      </c>
      <c r="W83" s="25"/>
      <c r="X83" s="5"/>
    </row>
    <row r="84" spans="1:24" ht="15.75" x14ac:dyDescent="0.25">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75" x14ac:dyDescent="0.25">
      <c r="A85" s="24"/>
      <c r="B85" s="25" t="s">
        <v>26</v>
      </c>
      <c r="C85" s="34"/>
      <c r="D85" s="34"/>
      <c r="E85" s="34"/>
      <c r="F85" s="54"/>
      <c r="G85" s="34"/>
      <c r="H85" s="54"/>
      <c r="I85" s="54"/>
      <c r="J85" s="54"/>
      <c r="K85" s="54"/>
      <c r="L85" s="54">
        <f>SUM(L72:L84)</f>
        <v>1001133</v>
      </c>
      <c r="M85" s="34"/>
      <c r="N85" s="54">
        <f>SUM(N72:N84)</f>
        <v>888653</v>
      </c>
      <c r="O85" s="34"/>
      <c r="P85" s="34"/>
      <c r="Q85" s="34"/>
      <c r="R85" s="34"/>
      <c r="S85" s="34"/>
      <c r="T85" s="54"/>
      <c r="U85" s="34"/>
      <c r="V85" s="54">
        <f>SUM(V72:V84)</f>
        <v>880910</v>
      </c>
      <c r="W85" s="25"/>
      <c r="X85" s="5"/>
    </row>
    <row r="86" spans="1:24" ht="15.75" x14ac:dyDescent="0.25">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75" x14ac:dyDescent="0.25">
      <c r="A87" s="6"/>
      <c r="B87" s="8"/>
      <c r="C87" s="8"/>
      <c r="D87" s="8"/>
      <c r="E87" s="8"/>
      <c r="F87" s="8"/>
      <c r="G87" s="8"/>
      <c r="H87" s="8"/>
      <c r="I87" s="8"/>
      <c r="J87" s="8"/>
      <c r="K87" s="8"/>
      <c r="L87" s="8"/>
      <c r="M87" s="8"/>
      <c r="N87" s="8"/>
      <c r="O87" s="8"/>
      <c r="P87" s="8"/>
      <c r="Q87" s="8"/>
      <c r="R87" s="8"/>
      <c r="S87" s="8"/>
      <c r="T87" s="8"/>
      <c r="U87" s="8"/>
      <c r="V87" s="8"/>
      <c r="W87" s="8"/>
      <c r="X87" s="5"/>
    </row>
    <row r="88" spans="1:24" ht="15.75" x14ac:dyDescent="0.25">
      <c r="A88" s="6"/>
      <c r="B88" s="51" t="s">
        <v>27</v>
      </c>
      <c r="C88" s="14"/>
      <c r="D88" s="14"/>
      <c r="E88" s="14"/>
      <c r="F88" s="14"/>
      <c r="G88" s="14"/>
      <c r="H88" s="17"/>
      <c r="I88" s="17"/>
      <c r="J88" s="17"/>
      <c r="K88" s="17"/>
      <c r="L88" s="155" t="s">
        <v>95</v>
      </c>
      <c r="M88" s="17"/>
      <c r="N88" s="154">
        <f>+T201</f>
        <v>39962</v>
      </c>
      <c r="O88" s="17"/>
      <c r="P88" s="17"/>
      <c r="Q88" s="17"/>
      <c r="R88" s="17"/>
      <c r="S88" s="17"/>
      <c r="T88" s="17" t="s">
        <v>107</v>
      </c>
      <c r="U88" s="17"/>
      <c r="V88" s="17" t="s">
        <v>113</v>
      </c>
      <c r="W88" s="8"/>
      <c r="X88" s="5"/>
    </row>
    <row r="89" spans="1:24" ht="15.75" x14ac:dyDescent="0.25">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75" x14ac:dyDescent="0.25">
      <c r="A90" s="24"/>
      <c r="B90" s="25" t="s">
        <v>29</v>
      </c>
      <c r="C90" s="25"/>
      <c r="D90" s="25"/>
      <c r="E90" s="25"/>
      <c r="F90" s="25"/>
      <c r="G90" s="25"/>
      <c r="H90" s="40"/>
      <c r="I90" s="40"/>
      <c r="J90" s="40"/>
      <c r="K90" s="57"/>
      <c r="L90" s="40"/>
      <c r="M90" s="25"/>
      <c r="N90" s="127"/>
      <c r="O90" s="25"/>
      <c r="P90" s="25"/>
      <c r="Q90" s="25"/>
      <c r="R90" s="25"/>
      <c r="S90" s="25"/>
      <c r="T90" s="34">
        <f>8348-2</f>
        <v>8346</v>
      </c>
      <c r="U90" s="25"/>
      <c r="V90" s="53"/>
      <c r="W90" s="25"/>
      <c r="X90" s="5"/>
    </row>
    <row r="91" spans="1:24" ht="15.75" x14ac:dyDescent="0.25">
      <c r="A91" s="24"/>
      <c r="B91" s="25" t="s">
        <v>215</v>
      </c>
      <c r="C91" s="25"/>
      <c r="D91" s="25"/>
      <c r="E91" s="25"/>
      <c r="F91" s="25"/>
      <c r="G91" s="25"/>
      <c r="H91" s="40"/>
      <c r="I91" s="40"/>
      <c r="J91" s="40"/>
      <c r="K91" s="57"/>
      <c r="L91" s="40"/>
      <c r="M91" s="25"/>
      <c r="N91" s="127"/>
      <c r="O91" s="25"/>
      <c r="P91" s="25"/>
      <c r="Q91" s="25"/>
      <c r="R91" s="25"/>
      <c r="S91" s="25"/>
      <c r="T91" s="34"/>
      <c r="U91" s="25"/>
      <c r="V91" s="53">
        <f>5180+5178-345-847+8+22</f>
        <v>9196</v>
      </c>
      <c r="W91" s="25"/>
      <c r="X91" s="5"/>
    </row>
    <row r="92" spans="1:24" ht="15.75" x14ac:dyDescent="0.25">
      <c r="A92" s="24"/>
      <c r="B92" s="25" t="s">
        <v>210</v>
      </c>
      <c r="C92" s="25"/>
      <c r="D92" s="25"/>
      <c r="E92" s="25"/>
      <c r="F92" s="25"/>
      <c r="G92" s="25"/>
      <c r="H92" s="40"/>
      <c r="I92" s="40"/>
      <c r="J92" s="40"/>
      <c r="K92" s="57"/>
      <c r="L92" s="40"/>
      <c r="M92" s="25"/>
      <c r="N92" s="127"/>
      <c r="O92" s="25"/>
      <c r="P92" s="25"/>
      <c r="Q92" s="25"/>
      <c r="R92" s="25"/>
      <c r="S92" s="25"/>
      <c r="T92" s="34"/>
      <c r="U92" s="25"/>
      <c r="V92" s="53">
        <f>18+28</f>
        <v>46</v>
      </c>
      <c r="W92" s="25"/>
      <c r="X92" s="5"/>
    </row>
    <row r="93" spans="1:24" ht="15.75" x14ac:dyDescent="0.25">
      <c r="A93" s="24"/>
      <c r="B93" s="25" t="s">
        <v>211</v>
      </c>
      <c r="C93" s="25"/>
      <c r="D93" s="25"/>
      <c r="E93" s="25"/>
      <c r="F93" s="25"/>
      <c r="G93" s="25"/>
      <c r="H93" s="40"/>
      <c r="I93" s="40"/>
      <c r="J93" s="40"/>
      <c r="K93" s="57"/>
      <c r="L93" s="40"/>
      <c r="M93" s="25"/>
      <c r="N93" s="127"/>
      <c r="O93" s="25"/>
      <c r="P93" s="25"/>
      <c r="Q93" s="25"/>
      <c r="R93" s="25"/>
      <c r="S93" s="25"/>
      <c r="T93" s="34"/>
      <c r="U93" s="25"/>
      <c r="V93" s="53">
        <v>224</v>
      </c>
      <c r="W93" s="25"/>
      <c r="X93" s="5"/>
    </row>
    <row r="94" spans="1:24" ht="15.75" x14ac:dyDescent="0.25">
      <c r="A94" s="24"/>
      <c r="B94" s="25" t="s">
        <v>233</v>
      </c>
      <c r="C94" s="25"/>
      <c r="D94" s="25"/>
      <c r="E94" s="25"/>
      <c r="F94" s="25"/>
      <c r="G94" s="25"/>
      <c r="H94" s="40"/>
      <c r="I94" s="40"/>
      <c r="J94" s="40"/>
      <c r="K94" s="57"/>
      <c r="L94" s="40"/>
      <c r="M94" s="25"/>
      <c r="N94" s="127"/>
      <c r="O94" s="25"/>
      <c r="P94" s="25"/>
      <c r="Q94" s="25"/>
      <c r="R94" s="25"/>
      <c r="S94" s="25"/>
      <c r="T94" s="34"/>
      <c r="U94" s="25"/>
      <c r="V94" s="53">
        <v>0</v>
      </c>
      <c r="W94" s="25"/>
      <c r="X94" s="5"/>
    </row>
    <row r="95" spans="1:24" ht="15.75" x14ac:dyDescent="0.25">
      <c r="A95" s="24"/>
      <c r="B95" s="25" t="s">
        <v>235</v>
      </c>
      <c r="C95" s="25"/>
      <c r="D95" s="25"/>
      <c r="E95" s="25"/>
      <c r="F95" s="25"/>
      <c r="G95" s="25"/>
      <c r="H95" s="40"/>
      <c r="I95" s="40"/>
      <c r="J95" s="40"/>
      <c r="K95" s="57"/>
      <c r="L95" s="40"/>
      <c r="M95" s="25"/>
      <c r="N95" s="127"/>
      <c r="O95" s="25"/>
      <c r="P95" s="25"/>
      <c r="Q95" s="25"/>
      <c r="R95" s="25"/>
      <c r="S95" s="25"/>
      <c r="T95" s="34"/>
      <c r="U95" s="25"/>
      <c r="V95" s="53">
        <v>0</v>
      </c>
      <c r="W95" s="25"/>
      <c r="X95" s="5"/>
    </row>
    <row r="96" spans="1:24" ht="15.75" x14ac:dyDescent="0.25">
      <c r="A96" s="24"/>
      <c r="B96" s="25" t="s">
        <v>135</v>
      </c>
      <c r="C96" s="25"/>
      <c r="D96" s="25"/>
      <c r="E96" s="25"/>
      <c r="F96" s="25"/>
      <c r="G96" s="25"/>
      <c r="H96" s="25"/>
      <c r="I96" s="25"/>
      <c r="J96" s="25"/>
      <c r="K96" s="25"/>
      <c r="L96" s="25"/>
      <c r="M96" s="25"/>
      <c r="N96" s="25"/>
      <c r="O96" s="25"/>
      <c r="P96" s="25"/>
      <c r="Q96" s="25"/>
      <c r="R96" s="25"/>
      <c r="S96" s="25"/>
      <c r="T96" s="34"/>
      <c r="U96" s="25"/>
      <c r="V96" s="53">
        <v>0</v>
      </c>
      <c r="W96" s="25"/>
      <c r="X96" s="5"/>
    </row>
    <row r="97" spans="1:25" ht="15.75" x14ac:dyDescent="0.25">
      <c r="A97" s="24"/>
      <c r="B97" s="25" t="s">
        <v>272</v>
      </c>
      <c r="C97" s="25"/>
      <c r="D97" s="25"/>
      <c r="E97" s="25"/>
      <c r="F97" s="25"/>
      <c r="G97" s="25"/>
      <c r="H97" s="25"/>
      <c r="I97" s="25"/>
      <c r="J97" s="25"/>
      <c r="K97" s="25"/>
      <c r="L97" s="25"/>
      <c r="M97" s="25"/>
      <c r="N97" s="25"/>
      <c r="O97" s="25"/>
      <c r="P97" s="25"/>
      <c r="Q97" s="25"/>
      <c r="R97" s="25"/>
      <c r="S97" s="25"/>
      <c r="T97" s="34"/>
      <c r="U97" s="25"/>
      <c r="V97" s="53">
        <v>1821</v>
      </c>
      <c r="W97" s="25"/>
      <c r="X97" s="5"/>
    </row>
    <row r="98" spans="1:25" ht="15.75" x14ac:dyDescent="0.25">
      <c r="A98" s="24"/>
      <c r="B98" s="25" t="s">
        <v>30</v>
      </c>
      <c r="C98" s="25"/>
      <c r="D98" s="25"/>
      <c r="E98" s="25"/>
      <c r="F98" s="25"/>
      <c r="G98" s="25"/>
      <c r="H98" s="25"/>
      <c r="I98" s="25"/>
      <c r="J98" s="25"/>
      <c r="K98" s="25"/>
      <c r="L98" s="25"/>
      <c r="M98" s="25"/>
      <c r="N98" s="25"/>
      <c r="O98" s="25"/>
      <c r="P98" s="25"/>
      <c r="Q98" s="25"/>
      <c r="R98" s="25"/>
      <c r="S98" s="25"/>
      <c r="T98" s="34">
        <f>SUM(T89:T97)</f>
        <v>8346</v>
      </c>
      <c r="U98" s="25"/>
      <c r="V98" s="54">
        <f>SUM(V89:V97)</f>
        <v>11287</v>
      </c>
      <c r="W98" s="25"/>
      <c r="X98" s="5"/>
    </row>
    <row r="99" spans="1:25" ht="15.75" x14ac:dyDescent="0.25">
      <c r="A99" s="24"/>
      <c r="B99" s="25" t="s">
        <v>161</v>
      </c>
      <c r="C99" s="25"/>
      <c r="D99" s="25"/>
      <c r="E99" s="25"/>
      <c r="F99" s="25"/>
      <c r="G99" s="25"/>
      <c r="H99" s="25"/>
      <c r="I99" s="25"/>
      <c r="J99" s="25"/>
      <c r="K99" s="25"/>
      <c r="L99" s="25"/>
      <c r="M99" s="25"/>
      <c r="N99" s="25"/>
      <c r="O99" s="25"/>
      <c r="P99" s="25"/>
      <c r="Q99" s="25"/>
      <c r="R99" s="25"/>
      <c r="S99" s="25"/>
      <c r="T99" s="34">
        <f>-V99</f>
        <v>-45</v>
      </c>
      <c r="U99" s="25"/>
      <c r="V99" s="54">
        <v>45</v>
      </c>
      <c r="W99" s="25"/>
      <c r="X99" s="5"/>
    </row>
    <row r="100" spans="1:25" ht="15.75" x14ac:dyDescent="0.25">
      <c r="A100" s="24"/>
      <c r="B100" s="25" t="s">
        <v>31</v>
      </c>
      <c r="C100" s="25"/>
      <c r="D100" s="25"/>
      <c r="E100" s="25"/>
      <c r="F100" s="25"/>
      <c r="G100" s="25"/>
      <c r="H100" s="25"/>
      <c r="I100" s="25"/>
      <c r="J100" s="25"/>
      <c r="K100" s="25"/>
      <c r="L100" s="25"/>
      <c r="M100" s="25"/>
      <c r="N100" s="25"/>
      <c r="O100" s="25"/>
      <c r="P100" s="25"/>
      <c r="Q100" s="25"/>
      <c r="R100" s="25"/>
      <c r="S100" s="25"/>
      <c r="T100" s="34">
        <f>-V100</f>
        <v>0</v>
      </c>
      <c r="U100" s="25"/>
      <c r="V100" s="53">
        <v>0</v>
      </c>
      <c r="W100" s="25"/>
      <c r="X100" s="5"/>
    </row>
    <row r="101" spans="1:25" ht="15.75" x14ac:dyDescent="0.25">
      <c r="A101" s="24"/>
      <c r="B101" s="25" t="s">
        <v>274</v>
      </c>
      <c r="C101" s="25"/>
      <c r="D101" s="25"/>
      <c r="E101" s="25"/>
      <c r="F101" s="25"/>
      <c r="G101" s="25"/>
      <c r="H101" s="25"/>
      <c r="I101" s="25"/>
      <c r="J101" s="25"/>
      <c r="K101" s="25"/>
      <c r="L101" s="25"/>
      <c r="M101" s="25"/>
      <c r="N101" s="25"/>
      <c r="O101" s="25"/>
      <c r="P101" s="25"/>
      <c r="Q101" s="25"/>
      <c r="R101" s="25"/>
      <c r="S101" s="25"/>
      <c r="T101" s="34"/>
      <c r="U101" s="25"/>
      <c r="V101" s="53">
        <v>0</v>
      </c>
      <c r="W101" s="25"/>
      <c r="X101" s="5"/>
    </row>
    <row r="102" spans="1:25" ht="15.75" x14ac:dyDescent="0.25">
      <c r="A102" s="24"/>
      <c r="B102" s="25" t="s">
        <v>32</v>
      </c>
      <c r="C102" s="25"/>
      <c r="D102" s="25"/>
      <c r="E102" s="25"/>
      <c r="F102" s="25"/>
      <c r="G102" s="25"/>
      <c r="H102" s="25"/>
      <c r="I102" s="25"/>
      <c r="J102" s="25"/>
      <c r="K102" s="25"/>
      <c r="L102" s="25"/>
      <c r="M102" s="25"/>
      <c r="N102" s="25"/>
      <c r="O102" s="25"/>
      <c r="P102" s="25"/>
      <c r="Q102" s="25"/>
      <c r="R102" s="25"/>
      <c r="S102" s="25"/>
      <c r="T102" s="34">
        <f>T98+T100+T99</f>
        <v>8301</v>
      </c>
      <c r="U102" s="25"/>
      <c r="V102" s="54">
        <f>V98+V100+V99+V101</f>
        <v>11332</v>
      </c>
      <c r="W102" s="25"/>
      <c r="X102" s="5"/>
    </row>
    <row r="103" spans="1:25" ht="15.75" x14ac:dyDescent="0.25">
      <c r="A103" s="24"/>
      <c r="B103" s="118" t="s">
        <v>33</v>
      </c>
      <c r="C103" s="25"/>
      <c r="D103" s="25"/>
      <c r="E103" s="25"/>
      <c r="F103" s="25"/>
      <c r="G103" s="25"/>
      <c r="H103" s="25"/>
      <c r="I103" s="25"/>
      <c r="J103" s="25"/>
      <c r="K103" s="25"/>
      <c r="L103" s="25"/>
      <c r="M103" s="25"/>
      <c r="N103" s="25"/>
      <c r="O103" s="25"/>
      <c r="P103" s="25"/>
      <c r="Q103" s="25"/>
      <c r="R103" s="25"/>
      <c r="S103" s="25"/>
      <c r="T103" s="34"/>
      <c r="U103" s="25"/>
      <c r="V103" s="53"/>
      <c r="W103" s="25"/>
      <c r="X103" s="5"/>
    </row>
    <row r="104" spans="1:25" ht="15.75" x14ac:dyDescent="0.25">
      <c r="A104" s="24">
        <v>1</v>
      </c>
      <c r="B104" s="25" t="s">
        <v>34</v>
      </c>
      <c r="C104" s="25"/>
      <c r="D104" s="25"/>
      <c r="E104" s="25"/>
      <c r="F104" s="25"/>
      <c r="G104" s="25"/>
      <c r="H104" s="25"/>
      <c r="I104" s="25"/>
      <c r="J104" s="25"/>
      <c r="K104" s="25"/>
      <c r="L104" s="25"/>
      <c r="M104" s="25"/>
      <c r="N104" s="25"/>
      <c r="O104" s="25"/>
      <c r="P104" s="25"/>
      <c r="Q104" s="25"/>
      <c r="R104" s="25"/>
      <c r="S104" s="25"/>
      <c r="T104" s="25"/>
      <c r="U104" s="25"/>
      <c r="V104" s="53">
        <v>0</v>
      </c>
      <c r="W104" s="25"/>
      <c r="X104" s="5"/>
    </row>
    <row r="105" spans="1:25" ht="15.75" x14ac:dyDescent="0.25">
      <c r="A105" s="24">
        <f>+A104+1</f>
        <v>2</v>
      </c>
      <c r="B105" s="25" t="s">
        <v>221</v>
      </c>
      <c r="C105" s="25"/>
      <c r="D105" s="25"/>
      <c r="E105" s="25"/>
      <c r="F105" s="25"/>
      <c r="G105" s="25"/>
      <c r="H105" s="25"/>
      <c r="I105" s="25"/>
      <c r="J105" s="25"/>
      <c r="K105" s="25"/>
      <c r="L105" s="25"/>
      <c r="M105" s="25"/>
      <c r="N105" s="25"/>
      <c r="O105" s="25"/>
      <c r="P105" s="25"/>
      <c r="Q105" s="25"/>
      <c r="R105" s="25"/>
      <c r="S105" s="25"/>
      <c r="T105" s="25"/>
      <c r="U105" s="25"/>
      <c r="V105" s="53">
        <v>-2</v>
      </c>
      <c r="W105" s="25"/>
      <c r="X105" s="5"/>
    </row>
    <row r="106" spans="1:25" ht="15.75" x14ac:dyDescent="0.25">
      <c r="A106" s="24">
        <f>+A105+1</f>
        <v>3</v>
      </c>
      <c r="B106" s="25" t="s">
        <v>204</v>
      </c>
      <c r="C106" s="25"/>
      <c r="D106" s="25"/>
      <c r="E106" s="25"/>
      <c r="F106" s="25"/>
      <c r="G106" s="25"/>
      <c r="H106" s="25"/>
      <c r="I106" s="25"/>
      <c r="J106" s="25"/>
      <c r="K106" s="25"/>
      <c r="L106" s="25"/>
      <c r="M106" s="25"/>
      <c r="N106" s="25"/>
      <c r="O106" s="25"/>
      <c r="P106" s="25"/>
      <c r="Q106" s="25"/>
      <c r="R106" s="25"/>
      <c r="S106" s="25"/>
      <c r="T106" s="25"/>
      <c r="U106" s="25"/>
      <c r="V106" s="53">
        <f>-337-112-10</f>
        <v>-459</v>
      </c>
      <c r="W106" s="25"/>
      <c r="X106" s="5"/>
    </row>
    <row r="107" spans="1:25" ht="15.75" x14ac:dyDescent="0.25">
      <c r="A107" s="24" t="s">
        <v>127</v>
      </c>
      <c r="B107" s="25" t="s">
        <v>116</v>
      </c>
      <c r="C107" s="25"/>
      <c r="D107" s="25"/>
      <c r="E107" s="25"/>
      <c r="F107" s="25"/>
      <c r="G107" s="25"/>
      <c r="H107" s="25"/>
      <c r="I107" s="25"/>
      <c r="J107" s="25"/>
      <c r="K107" s="25"/>
      <c r="L107" s="25"/>
      <c r="M107" s="25"/>
      <c r="N107" s="25"/>
      <c r="O107" s="25"/>
      <c r="P107" s="25"/>
      <c r="Q107" s="25"/>
      <c r="R107" s="25"/>
      <c r="S107" s="25"/>
      <c r="T107" s="25"/>
      <c r="U107" s="25"/>
      <c r="V107" s="53">
        <v>-4315</v>
      </c>
      <c r="W107" s="25"/>
      <c r="X107" s="5"/>
    </row>
    <row r="108" spans="1:25" ht="15.75" x14ac:dyDescent="0.25">
      <c r="A108" s="24" t="s">
        <v>128</v>
      </c>
      <c r="B108" s="25" t="s">
        <v>220</v>
      </c>
      <c r="C108" s="25"/>
      <c r="D108" s="25"/>
      <c r="E108" s="25"/>
      <c r="F108" s="25"/>
      <c r="G108" s="25"/>
      <c r="H108" s="25"/>
      <c r="I108" s="25"/>
      <c r="J108" s="25"/>
      <c r="K108" s="25"/>
      <c r="L108" s="25"/>
      <c r="M108" s="25"/>
      <c r="N108" s="25"/>
      <c r="O108" s="25"/>
      <c r="P108" s="25"/>
      <c r="Q108" s="25"/>
      <c r="R108" s="25"/>
      <c r="S108" s="25"/>
      <c r="T108" s="25"/>
      <c r="U108" s="25"/>
      <c r="V108" s="53">
        <f>-3604+892</f>
        <v>-2712</v>
      </c>
      <c r="W108" s="25"/>
      <c r="X108" s="5"/>
      <c r="Y108" s="109"/>
    </row>
    <row r="109" spans="1:25" ht="15.75" x14ac:dyDescent="0.25">
      <c r="A109" s="24" t="s">
        <v>150</v>
      </c>
      <c r="B109" s="25" t="s">
        <v>184</v>
      </c>
      <c r="C109" s="25"/>
      <c r="D109" s="25"/>
      <c r="E109" s="25"/>
      <c r="F109" s="25"/>
      <c r="G109" s="25"/>
      <c r="H109" s="25"/>
      <c r="I109" s="25"/>
      <c r="J109" s="25"/>
      <c r="K109" s="25"/>
      <c r="L109" s="25"/>
      <c r="M109" s="25"/>
      <c r="N109" s="25"/>
      <c r="O109" s="25"/>
      <c r="P109" s="25"/>
      <c r="Q109" s="25"/>
      <c r="R109" s="25"/>
      <c r="S109" s="25"/>
      <c r="T109" s="25"/>
      <c r="U109" s="25"/>
      <c r="V109" s="53">
        <v>-892</v>
      </c>
      <c r="W109" s="25"/>
      <c r="X109" s="5"/>
      <c r="Y109" s="109"/>
    </row>
    <row r="110" spans="1:25" ht="15.75" x14ac:dyDescent="0.25">
      <c r="A110" s="24" t="s">
        <v>205</v>
      </c>
      <c r="B110" s="25" t="s">
        <v>185</v>
      </c>
      <c r="C110" s="25"/>
      <c r="D110" s="25"/>
      <c r="E110" s="25"/>
      <c r="F110" s="25"/>
      <c r="G110" s="25"/>
      <c r="H110" s="25"/>
      <c r="I110" s="25"/>
      <c r="J110" s="25"/>
      <c r="K110" s="25"/>
      <c r="L110" s="25"/>
      <c r="M110" s="25"/>
      <c r="N110" s="25"/>
      <c r="O110" s="25"/>
      <c r="P110" s="25"/>
      <c r="Q110" s="25"/>
      <c r="R110" s="25"/>
      <c r="S110" s="25"/>
      <c r="T110" s="25"/>
      <c r="U110" s="25"/>
      <c r="V110" s="53">
        <f>-399+89</f>
        <v>-310</v>
      </c>
      <c r="W110" s="25"/>
      <c r="X110" s="5"/>
      <c r="Y110" s="109"/>
    </row>
    <row r="111" spans="1:25" ht="15.75" x14ac:dyDescent="0.25">
      <c r="A111" s="24" t="s">
        <v>206</v>
      </c>
      <c r="B111" s="25" t="s">
        <v>186</v>
      </c>
      <c r="C111" s="25"/>
      <c r="D111" s="25"/>
      <c r="E111" s="25"/>
      <c r="F111" s="25"/>
      <c r="G111" s="25"/>
      <c r="H111" s="25"/>
      <c r="I111" s="25"/>
      <c r="J111" s="25"/>
      <c r="K111" s="25"/>
      <c r="L111" s="25"/>
      <c r="M111" s="25"/>
      <c r="N111" s="25"/>
      <c r="O111" s="25"/>
      <c r="P111" s="25"/>
      <c r="Q111" s="25"/>
      <c r="R111" s="25"/>
      <c r="S111" s="25"/>
      <c r="T111" s="25"/>
      <c r="U111" s="25"/>
      <c r="V111" s="53">
        <v>-89</v>
      </c>
      <c r="W111" s="25"/>
      <c r="X111" s="5"/>
      <c r="Y111" s="109"/>
    </row>
    <row r="112" spans="1:25" ht="15.75" x14ac:dyDescent="0.25">
      <c r="A112" s="24">
        <v>6</v>
      </c>
      <c r="B112" s="25" t="s">
        <v>196</v>
      </c>
      <c r="C112" s="25"/>
      <c r="D112" s="25"/>
      <c r="E112" s="25"/>
      <c r="F112" s="25"/>
      <c r="G112" s="25"/>
      <c r="H112" s="25"/>
      <c r="I112" s="25"/>
      <c r="J112" s="25"/>
      <c r="K112" s="25"/>
      <c r="L112" s="25"/>
      <c r="M112" s="25"/>
      <c r="N112" s="25"/>
      <c r="O112" s="25"/>
      <c r="P112" s="25"/>
      <c r="Q112" s="25"/>
      <c r="R112" s="25"/>
      <c r="S112" s="25"/>
      <c r="T112" s="25"/>
      <c r="U112" s="25"/>
      <c r="V112" s="53">
        <v>-459</v>
      </c>
      <c r="W112" s="25"/>
      <c r="X112" s="5"/>
      <c r="Y112" s="109"/>
    </row>
    <row r="113" spans="1:24" ht="15.75" x14ac:dyDescent="0.25">
      <c r="A113" s="24">
        <v>7</v>
      </c>
      <c r="B113" s="25" t="s">
        <v>35</v>
      </c>
      <c r="C113" s="25"/>
      <c r="D113" s="25"/>
      <c r="E113" s="25"/>
      <c r="F113" s="25"/>
      <c r="G113" s="25"/>
      <c r="H113" s="25"/>
      <c r="I113" s="25"/>
      <c r="J113" s="25"/>
      <c r="K113" s="25"/>
      <c r="L113" s="25"/>
      <c r="M113" s="25"/>
      <c r="N113" s="25"/>
      <c r="O113" s="25"/>
      <c r="P113" s="25"/>
      <c r="Q113" s="25"/>
      <c r="R113" s="25"/>
      <c r="S113" s="25"/>
      <c r="T113" s="25"/>
      <c r="U113" s="25"/>
      <c r="V113" s="53">
        <v>-9</v>
      </c>
      <c r="W113" s="25"/>
      <c r="X113" s="5"/>
    </row>
    <row r="114" spans="1:24" ht="15.75" x14ac:dyDescent="0.25">
      <c r="A114" s="24">
        <f t="shared" ref="A114:A119" si="0">+A113+1</f>
        <v>8</v>
      </c>
      <c r="B114" s="25" t="s">
        <v>45</v>
      </c>
      <c r="C114" s="25"/>
      <c r="D114" s="25"/>
      <c r="E114" s="25"/>
      <c r="F114" s="25"/>
      <c r="G114" s="25"/>
      <c r="H114" s="25"/>
      <c r="I114" s="25"/>
      <c r="J114" s="25"/>
      <c r="K114" s="25"/>
      <c r="L114" s="25"/>
      <c r="M114" s="25"/>
      <c r="N114" s="25"/>
      <c r="O114" s="25"/>
      <c r="P114" s="25"/>
      <c r="Q114" s="25"/>
      <c r="R114" s="25"/>
      <c r="S114" s="25"/>
      <c r="T114" s="34">
        <f>-V114</f>
        <v>2</v>
      </c>
      <c r="U114" s="25"/>
      <c r="V114" s="53">
        <v>-2</v>
      </c>
      <c r="W114" s="25"/>
      <c r="X114" s="5"/>
    </row>
    <row r="115" spans="1:24" ht="15.75" x14ac:dyDescent="0.25">
      <c r="A115" s="24">
        <f t="shared" si="0"/>
        <v>9</v>
      </c>
      <c r="B115" s="25" t="s">
        <v>125</v>
      </c>
      <c r="C115" s="25"/>
      <c r="D115" s="25"/>
      <c r="E115" s="25"/>
      <c r="F115" s="25"/>
      <c r="G115" s="25"/>
      <c r="H115" s="25"/>
      <c r="I115" s="25"/>
      <c r="J115" s="25"/>
      <c r="K115" s="25"/>
      <c r="L115" s="25"/>
      <c r="M115" s="25"/>
      <c r="N115" s="25"/>
      <c r="O115" s="25"/>
      <c r="P115" s="25"/>
      <c r="Q115" s="25"/>
      <c r="R115" s="25"/>
      <c r="S115" s="25"/>
      <c r="T115" s="25"/>
      <c r="U115" s="25"/>
      <c r="V115" s="53">
        <v>0</v>
      </c>
      <c r="W115" s="25"/>
      <c r="X115" s="5"/>
    </row>
    <row r="116" spans="1:24" ht="15.75" x14ac:dyDescent="0.25">
      <c r="A116" s="24">
        <f t="shared" si="0"/>
        <v>10</v>
      </c>
      <c r="B116" s="25" t="s">
        <v>225</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4" ht="15.75" x14ac:dyDescent="0.25">
      <c r="A117" s="24">
        <f t="shared" si="0"/>
        <v>11</v>
      </c>
      <c r="B117" s="25" t="s">
        <v>36</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4" ht="15.75" x14ac:dyDescent="0.25">
      <c r="A118" s="24">
        <f t="shared" si="0"/>
        <v>12</v>
      </c>
      <c r="B118" s="25" t="s">
        <v>149</v>
      </c>
      <c r="C118" s="25"/>
      <c r="D118" s="25"/>
      <c r="E118" s="25"/>
      <c r="F118" s="25"/>
      <c r="G118" s="25"/>
      <c r="H118" s="25"/>
      <c r="I118" s="25"/>
      <c r="J118" s="25"/>
      <c r="K118" s="25"/>
      <c r="L118" s="25"/>
      <c r="M118" s="25"/>
      <c r="N118" s="25"/>
      <c r="O118" s="25"/>
      <c r="P118" s="25"/>
      <c r="Q118" s="25"/>
      <c r="R118" s="25"/>
      <c r="S118" s="25"/>
      <c r="T118" s="25"/>
      <c r="U118" s="25"/>
      <c r="V118" s="53">
        <v>-336</v>
      </c>
      <c r="W118" s="25"/>
      <c r="X118" s="5"/>
    </row>
    <row r="119" spans="1:24" ht="15.75" x14ac:dyDescent="0.25">
      <c r="A119" s="24">
        <f t="shared" si="0"/>
        <v>13</v>
      </c>
      <c r="B119" s="25" t="s">
        <v>126</v>
      </c>
      <c r="C119" s="25"/>
      <c r="D119" s="25"/>
      <c r="E119" s="25"/>
      <c r="F119" s="25"/>
      <c r="G119" s="25"/>
      <c r="H119" s="25"/>
      <c r="I119" s="25"/>
      <c r="J119" s="25"/>
      <c r="K119" s="25"/>
      <c r="L119" s="25"/>
      <c r="M119" s="25"/>
      <c r="N119" s="25"/>
      <c r="O119" s="25"/>
      <c r="P119" s="25"/>
      <c r="Q119" s="25"/>
      <c r="R119" s="25"/>
      <c r="S119" s="25"/>
      <c r="T119" s="25"/>
      <c r="U119" s="25"/>
      <c r="V119" s="53">
        <f>-V102-SUM(V104:V118)</f>
        <v>-1747</v>
      </c>
      <c r="W119" s="25"/>
      <c r="X119" s="5"/>
    </row>
    <row r="120" spans="1:24" ht="15.75" x14ac:dyDescent="0.25">
      <c r="A120" s="24"/>
      <c r="B120" s="118" t="s">
        <v>37</v>
      </c>
      <c r="C120" s="25"/>
      <c r="D120" s="25"/>
      <c r="E120" s="25"/>
      <c r="F120" s="25"/>
      <c r="G120" s="25"/>
      <c r="H120" s="25"/>
      <c r="I120" s="25"/>
      <c r="J120" s="25"/>
      <c r="K120" s="25"/>
      <c r="L120" s="25"/>
      <c r="M120" s="25"/>
      <c r="N120" s="25"/>
      <c r="O120" s="25"/>
      <c r="P120" s="25"/>
      <c r="Q120" s="25"/>
      <c r="R120" s="25"/>
      <c r="S120" s="25"/>
      <c r="T120" s="25"/>
      <c r="U120" s="25"/>
      <c r="V120" s="59"/>
      <c r="W120" s="25"/>
      <c r="X120" s="5"/>
    </row>
    <row r="121" spans="1:24" ht="15.75" x14ac:dyDescent="0.25">
      <c r="A121" s="24"/>
      <c r="B121" s="25" t="s">
        <v>173</v>
      </c>
      <c r="C121" s="25"/>
      <c r="D121" s="25"/>
      <c r="E121" s="25"/>
      <c r="F121" s="25"/>
      <c r="G121" s="25"/>
      <c r="H121" s="25"/>
      <c r="I121" s="25"/>
      <c r="J121" s="25"/>
      <c r="K121" s="25"/>
      <c r="L121" s="25"/>
      <c r="M121" s="25"/>
      <c r="N121" s="25"/>
      <c r="O121" s="25"/>
      <c r="P121" s="25"/>
      <c r="Q121" s="25"/>
      <c r="R121" s="25"/>
      <c r="S121" s="25"/>
      <c r="T121" s="34">
        <f>-T185</f>
        <v>-77</v>
      </c>
      <c r="U121" s="34"/>
      <c r="V121" s="53"/>
      <c r="W121" s="25"/>
      <c r="X121" s="5"/>
    </row>
    <row r="122" spans="1:24" ht="15.75" x14ac:dyDescent="0.25">
      <c r="A122" s="24"/>
      <c r="B122" s="25" t="s">
        <v>174</v>
      </c>
      <c r="C122" s="25"/>
      <c r="D122" s="25"/>
      <c r="E122" s="25"/>
      <c r="F122" s="25"/>
      <c r="G122" s="25"/>
      <c r="H122" s="25"/>
      <c r="I122" s="25"/>
      <c r="J122" s="25"/>
      <c r="K122" s="25"/>
      <c r="L122" s="25"/>
      <c r="M122" s="25"/>
      <c r="N122" s="25"/>
      <c r="O122" s="25"/>
      <c r="P122" s="25"/>
      <c r="Q122" s="25"/>
      <c r="R122" s="25"/>
      <c r="S122" s="25"/>
      <c r="T122" s="34">
        <v>0</v>
      </c>
      <c r="U122" s="34"/>
      <c r="V122" s="53"/>
      <c r="W122" s="25"/>
      <c r="X122" s="5"/>
    </row>
    <row r="123" spans="1:24" ht="15.75" x14ac:dyDescent="0.25">
      <c r="A123" s="24"/>
      <c r="B123" s="25" t="s">
        <v>38</v>
      </c>
      <c r="C123" s="25"/>
      <c r="D123" s="25"/>
      <c r="E123" s="25"/>
      <c r="F123" s="25"/>
      <c r="G123" s="25"/>
      <c r="H123" s="25"/>
      <c r="I123" s="25"/>
      <c r="J123" s="25"/>
      <c r="K123" s="25"/>
      <c r="L123" s="25"/>
      <c r="M123" s="25"/>
      <c r="N123" s="25"/>
      <c r="O123" s="25"/>
      <c r="P123" s="25"/>
      <c r="Q123" s="25"/>
      <c r="R123" s="25"/>
      <c r="S123" s="25"/>
      <c r="T123" s="34">
        <f>-S185</f>
        <v>-483</v>
      </c>
      <c r="U123" s="34"/>
      <c r="V123" s="53"/>
      <c r="W123" s="25"/>
      <c r="X123" s="5"/>
    </row>
    <row r="124" spans="1:24" ht="15.75" x14ac:dyDescent="0.25">
      <c r="A124" s="24"/>
      <c r="B124" s="25" t="s">
        <v>197</v>
      </c>
      <c r="C124" s="25"/>
      <c r="D124" s="25"/>
      <c r="E124" s="25"/>
      <c r="F124" s="25"/>
      <c r="G124" s="25"/>
      <c r="H124" s="25"/>
      <c r="I124" s="25"/>
      <c r="J124" s="25"/>
      <c r="K124" s="25"/>
      <c r="L124" s="25"/>
      <c r="M124" s="25"/>
      <c r="N124" s="25"/>
      <c r="O124" s="25"/>
      <c r="P124" s="25"/>
      <c r="Q124" s="25"/>
      <c r="R124" s="25"/>
      <c r="S124" s="25"/>
      <c r="T124" s="34">
        <v>-4485</v>
      </c>
      <c r="U124" s="34"/>
      <c r="V124" s="53"/>
      <c r="W124" s="25"/>
      <c r="X124" s="5"/>
    </row>
    <row r="125" spans="1:24" ht="15.75" x14ac:dyDescent="0.25">
      <c r="A125" s="24"/>
      <c r="B125" s="25" t="s">
        <v>195</v>
      </c>
      <c r="C125" s="25"/>
      <c r="D125" s="25"/>
      <c r="E125" s="25"/>
      <c r="F125" s="25"/>
      <c r="G125" s="25"/>
      <c r="H125" s="25"/>
      <c r="I125" s="25"/>
      <c r="J125" s="25"/>
      <c r="K125" s="25"/>
      <c r="L125" s="25"/>
      <c r="M125" s="25"/>
      <c r="N125" s="25"/>
      <c r="O125" s="25"/>
      <c r="P125" s="25"/>
      <c r="Q125" s="25"/>
      <c r="R125" s="25"/>
      <c r="S125" s="25"/>
      <c r="T125" s="34">
        <v>-1906</v>
      </c>
      <c r="U125" s="34"/>
      <c r="V125" s="53"/>
      <c r="W125" s="25"/>
      <c r="X125" s="5"/>
    </row>
    <row r="126" spans="1:24" ht="15.75" x14ac:dyDescent="0.25">
      <c r="A126" s="24"/>
      <c r="B126" s="25" t="s">
        <v>194</v>
      </c>
      <c r="C126" s="25"/>
      <c r="D126" s="25"/>
      <c r="E126" s="25"/>
      <c r="F126" s="25"/>
      <c r="G126" s="25"/>
      <c r="H126" s="25"/>
      <c r="I126" s="25"/>
      <c r="J126" s="25"/>
      <c r="K126" s="25"/>
      <c r="L126" s="25"/>
      <c r="M126" s="25"/>
      <c r="N126" s="25"/>
      <c r="O126" s="25"/>
      <c r="P126" s="25"/>
      <c r="Q126" s="25"/>
      <c r="R126" s="25"/>
      <c r="S126" s="25"/>
      <c r="T126" s="34">
        <v>-679</v>
      </c>
      <c r="U126" s="34"/>
      <c r="V126" s="53"/>
      <c r="W126" s="25"/>
      <c r="X126" s="5"/>
    </row>
    <row r="127" spans="1:24" ht="15.75" x14ac:dyDescent="0.25">
      <c r="A127" s="24"/>
      <c r="B127" s="25" t="s">
        <v>222</v>
      </c>
      <c r="C127" s="25"/>
      <c r="D127" s="25"/>
      <c r="E127" s="25"/>
      <c r="F127" s="25"/>
      <c r="G127" s="25"/>
      <c r="H127" s="25"/>
      <c r="I127" s="25"/>
      <c r="J127" s="25"/>
      <c r="K127" s="25"/>
      <c r="L127" s="25"/>
      <c r="M127" s="25"/>
      <c r="N127" s="25"/>
      <c r="O127" s="25"/>
      <c r="P127" s="25"/>
      <c r="Q127" s="25"/>
      <c r="R127" s="25"/>
      <c r="S127" s="25"/>
      <c r="T127" s="34">
        <v>-673</v>
      </c>
      <c r="U127" s="34"/>
      <c r="V127" s="53"/>
      <c r="W127" s="25"/>
      <c r="X127" s="5"/>
    </row>
    <row r="128" spans="1:24" ht="15.75" x14ac:dyDescent="0.25">
      <c r="A128" s="24"/>
      <c r="B128" s="25" t="s">
        <v>189</v>
      </c>
      <c r="C128" s="25"/>
      <c r="D128" s="25"/>
      <c r="E128" s="25"/>
      <c r="F128" s="25"/>
      <c r="G128" s="25"/>
      <c r="H128" s="25"/>
      <c r="I128" s="25"/>
      <c r="J128" s="25"/>
      <c r="K128" s="25"/>
      <c r="L128" s="25"/>
      <c r="M128" s="25"/>
      <c r="N128" s="25"/>
      <c r="O128" s="25"/>
      <c r="P128" s="25"/>
      <c r="Q128" s="25"/>
      <c r="R128" s="25"/>
      <c r="S128" s="25"/>
      <c r="T128" s="34">
        <v>0</v>
      </c>
      <c r="U128" s="34"/>
      <c r="V128" s="53"/>
      <c r="W128" s="25"/>
      <c r="X128" s="5"/>
    </row>
    <row r="129" spans="1:24" ht="15.75" x14ac:dyDescent="0.25">
      <c r="A129" s="24"/>
      <c r="B129" s="25" t="s">
        <v>188</v>
      </c>
      <c r="C129" s="25"/>
      <c r="D129" s="25"/>
      <c r="E129" s="25"/>
      <c r="F129" s="25"/>
      <c r="G129" s="25"/>
      <c r="H129" s="25"/>
      <c r="I129" s="25"/>
      <c r="J129" s="25"/>
      <c r="K129" s="25"/>
      <c r="L129" s="25"/>
      <c r="M129" s="25"/>
      <c r="N129" s="25"/>
      <c r="O129" s="25"/>
      <c r="P129" s="25"/>
      <c r="Q129" s="25"/>
      <c r="R129" s="25"/>
      <c r="S129" s="25"/>
      <c r="T129" s="34">
        <v>0</v>
      </c>
      <c r="U129" s="34"/>
      <c r="V129" s="53"/>
      <c r="W129" s="25"/>
      <c r="X129" s="5"/>
    </row>
    <row r="130" spans="1:24" ht="15.75" x14ac:dyDescent="0.25">
      <c r="A130" s="24"/>
      <c r="B130" s="25" t="s">
        <v>187</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75" x14ac:dyDescent="0.25">
      <c r="A131" s="24"/>
      <c r="B131" s="25" t="s">
        <v>39</v>
      </c>
      <c r="C131" s="25"/>
      <c r="D131" s="25"/>
      <c r="E131" s="25"/>
      <c r="F131" s="25"/>
      <c r="G131" s="25"/>
      <c r="H131" s="25"/>
      <c r="I131" s="25"/>
      <c r="J131" s="25"/>
      <c r="K131" s="25"/>
      <c r="L131" s="25"/>
      <c r="M131" s="25"/>
      <c r="N131" s="25"/>
      <c r="O131" s="25"/>
      <c r="P131" s="25"/>
      <c r="Q131" s="25"/>
      <c r="R131" s="25"/>
      <c r="S131" s="25"/>
      <c r="T131" s="34">
        <f>SUM(T121:T130)</f>
        <v>-8303</v>
      </c>
      <c r="U131" s="34"/>
      <c r="V131" s="34">
        <f>SUM(V103:V129)</f>
        <v>-11332</v>
      </c>
      <c r="W131" s="25"/>
      <c r="X131" s="5"/>
    </row>
    <row r="132" spans="1:24" ht="15.75" x14ac:dyDescent="0.25">
      <c r="A132" s="24"/>
      <c r="B132" s="25" t="s">
        <v>40</v>
      </c>
      <c r="C132" s="25"/>
      <c r="D132" s="25"/>
      <c r="E132" s="25"/>
      <c r="F132" s="25"/>
      <c r="G132" s="25"/>
      <c r="H132" s="25"/>
      <c r="I132" s="25"/>
      <c r="J132" s="25"/>
      <c r="K132" s="25"/>
      <c r="L132" s="25"/>
      <c r="M132" s="25"/>
      <c r="N132" s="25"/>
      <c r="O132" s="25"/>
      <c r="P132" s="25"/>
      <c r="Q132" s="25"/>
      <c r="R132" s="25"/>
      <c r="S132" s="25"/>
      <c r="T132" s="34">
        <f>T102+T131+T114</f>
        <v>0</v>
      </c>
      <c r="U132" s="34"/>
      <c r="V132" s="34">
        <f>V102+V131</f>
        <v>0</v>
      </c>
      <c r="W132" s="25"/>
      <c r="X132" s="5"/>
    </row>
    <row r="133" spans="1:24" ht="15.75" x14ac:dyDescent="0.25">
      <c r="A133" s="24"/>
      <c r="B133" s="25"/>
      <c r="C133" s="25"/>
      <c r="D133" s="25"/>
      <c r="E133" s="25"/>
      <c r="F133" s="25"/>
      <c r="G133" s="25"/>
      <c r="H133" s="25"/>
      <c r="I133" s="25"/>
      <c r="J133" s="25"/>
      <c r="K133" s="25"/>
      <c r="L133" s="25"/>
      <c r="M133" s="25"/>
      <c r="N133" s="25"/>
      <c r="O133" s="25"/>
      <c r="P133" s="25"/>
      <c r="Q133" s="25"/>
      <c r="R133" s="25"/>
      <c r="S133" s="25"/>
      <c r="T133" s="34"/>
      <c r="U133" s="34"/>
      <c r="V133" s="34"/>
      <c r="W133" s="25"/>
      <c r="X133" s="5"/>
    </row>
    <row r="134" spans="1:24" ht="15.75" x14ac:dyDescent="0.25">
      <c r="A134" s="6"/>
      <c r="B134" s="8"/>
      <c r="C134" s="8"/>
      <c r="D134" s="8"/>
      <c r="E134" s="8"/>
      <c r="F134" s="8"/>
      <c r="G134" s="8"/>
      <c r="H134" s="8"/>
      <c r="I134" s="8"/>
      <c r="J134" s="8"/>
      <c r="K134" s="8"/>
      <c r="L134" s="8"/>
      <c r="M134" s="8"/>
      <c r="N134" s="8"/>
      <c r="O134" s="8"/>
      <c r="P134" s="8"/>
      <c r="Q134" s="8"/>
      <c r="R134" s="8"/>
      <c r="S134" s="8"/>
      <c r="T134" s="8"/>
      <c r="U134" s="8"/>
      <c r="V134" s="52"/>
      <c r="W134" s="8"/>
      <c r="X134" s="5"/>
    </row>
    <row r="135" spans="1:24" ht="19.5" thickBot="1" x14ac:dyDescent="0.35">
      <c r="A135" s="101"/>
      <c r="B135" s="102" t="str">
        <f>B64</f>
        <v>PM15 INVESTOR REPORT QUARTER ENDING MAY 2009</v>
      </c>
      <c r="C135" s="103"/>
      <c r="D135" s="103"/>
      <c r="E135" s="103"/>
      <c r="F135" s="103"/>
      <c r="G135" s="103"/>
      <c r="H135" s="103"/>
      <c r="I135" s="103"/>
      <c r="J135" s="103"/>
      <c r="K135" s="103"/>
      <c r="L135" s="103"/>
      <c r="M135" s="103"/>
      <c r="N135" s="103"/>
      <c r="O135" s="103"/>
      <c r="P135" s="103"/>
      <c r="Q135" s="103"/>
      <c r="R135" s="103"/>
      <c r="S135" s="103"/>
      <c r="T135" s="103"/>
      <c r="U135" s="103"/>
      <c r="V135" s="106"/>
      <c r="W135" s="105"/>
      <c r="X135" s="5"/>
    </row>
    <row r="136" spans="1:24" ht="15.75" x14ac:dyDescent="0.25">
      <c r="A136" s="2"/>
      <c r="B136" s="60" t="s">
        <v>41</v>
      </c>
      <c r="C136" s="4"/>
      <c r="D136" s="4"/>
      <c r="E136" s="4"/>
      <c r="F136" s="4"/>
      <c r="G136" s="4"/>
      <c r="H136" s="4"/>
      <c r="I136" s="4"/>
      <c r="J136" s="4"/>
      <c r="K136" s="4"/>
      <c r="L136" s="4"/>
      <c r="M136" s="4"/>
      <c r="N136" s="4"/>
      <c r="O136" s="4"/>
      <c r="P136" s="4"/>
      <c r="Q136" s="4"/>
      <c r="R136" s="4"/>
      <c r="S136" s="4"/>
      <c r="T136" s="4"/>
      <c r="U136" s="4"/>
      <c r="V136" s="50"/>
      <c r="W136" s="4"/>
      <c r="X136" s="5"/>
    </row>
    <row r="137" spans="1:24" ht="15.75" x14ac:dyDescent="0.25">
      <c r="A137" s="6"/>
      <c r="B137" s="21"/>
      <c r="C137" s="8"/>
      <c r="D137" s="8"/>
      <c r="E137" s="8"/>
      <c r="F137" s="8"/>
      <c r="G137" s="8"/>
      <c r="H137" s="8"/>
      <c r="I137" s="8"/>
      <c r="J137" s="8"/>
      <c r="K137" s="8"/>
      <c r="L137" s="8"/>
      <c r="M137" s="8"/>
      <c r="N137" s="8"/>
      <c r="O137" s="8"/>
      <c r="P137" s="8"/>
      <c r="Q137" s="8"/>
      <c r="R137" s="8"/>
      <c r="S137" s="8"/>
      <c r="T137" s="8"/>
      <c r="U137" s="8"/>
      <c r="V137" s="52"/>
      <c r="W137" s="8"/>
      <c r="X137" s="5"/>
    </row>
    <row r="138" spans="1:24" ht="15.75" x14ac:dyDescent="0.25">
      <c r="A138" s="6"/>
      <c r="B138" s="119" t="s">
        <v>42</v>
      </c>
      <c r="C138" s="8"/>
      <c r="D138" s="8"/>
      <c r="E138" s="8"/>
      <c r="F138" s="8"/>
      <c r="G138" s="8"/>
      <c r="H138" s="8"/>
      <c r="I138" s="8"/>
      <c r="J138" s="8"/>
      <c r="K138" s="8"/>
      <c r="L138" s="8"/>
      <c r="M138" s="8"/>
      <c r="N138" s="8"/>
      <c r="O138" s="8"/>
      <c r="P138" s="8"/>
      <c r="Q138" s="8"/>
      <c r="R138" s="8"/>
      <c r="S138" s="8"/>
      <c r="T138" s="8"/>
      <c r="U138" s="8"/>
      <c r="V138" s="52"/>
      <c r="W138" s="8"/>
      <c r="X138" s="5"/>
    </row>
    <row r="139" spans="1:24" ht="15.75" x14ac:dyDescent="0.25">
      <c r="A139" s="24"/>
      <c r="B139" s="25" t="s">
        <v>43</v>
      </c>
      <c r="C139" s="25"/>
      <c r="D139" s="25"/>
      <c r="E139" s="25"/>
      <c r="F139" s="25"/>
      <c r="G139" s="25"/>
      <c r="H139" s="25"/>
      <c r="I139" s="25"/>
      <c r="J139" s="25"/>
      <c r="K139" s="25"/>
      <c r="L139" s="25"/>
      <c r="M139" s="25"/>
      <c r="N139" s="25"/>
      <c r="O139" s="25"/>
      <c r="P139" s="25"/>
      <c r="Q139" s="25"/>
      <c r="R139" s="25"/>
      <c r="S139" s="25"/>
      <c r="T139" s="25"/>
      <c r="U139" s="25"/>
      <c r="V139" s="53">
        <f>+V34*0.019</f>
        <v>19021.526999999998</v>
      </c>
      <c r="W139" s="25"/>
      <c r="X139" s="5"/>
    </row>
    <row r="140" spans="1:24" ht="15.75" x14ac:dyDescent="0.25">
      <c r="A140" s="24"/>
      <c r="B140" s="25" t="s">
        <v>44</v>
      </c>
      <c r="C140" s="25"/>
      <c r="D140" s="25"/>
      <c r="E140" s="25"/>
      <c r="F140" s="25"/>
      <c r="G140" s="25"/>
      <c r="H140" s="25"/>
      <c r="I140" s="25"/>
      <c r="J140" s="25"/>
      <c r="K140" s="25"/>
      <c r="L140" s="25"/>
      <c r="M140" s="25"/>
      <c r="N140" s="25"/>
      <c r="O140" s="25"/>
      <c r="P140" s="25"/>
      <c r="Q140" s="25"/>
      <c r="R140" s="25"/>
      <c r="S140" s="25"/>
      <c r="T140" s="25"/>
      <c r="U140" s="25"/>
      <c r="V140" s="53">
        <v>19022</v>
      </c>
      <c r="W140" s="25"/>
      <c r="X140" s="5"/>
    </row>
    <row r="141" spans="1:24" ht="15.75" x14ac:dyDescent="0.25">
      <c r="A141" s="24"/>
      <c r="B141" s="25" t="s">
        <v>136</v>
      </c>
      <c r="C141" s="25"/>
      <c r="D141" s="25"/>
      <c r="E141" s="25"/>
      <c r="F141" s="25"/>
      <c r="G141" s="25"/>
      <c r="H141" s="25"/>
      <c r="I141" s="25"/>
      <c r="J141" s="25"/>
      <c r="K141" s="25"/>
      <c r="L141" s="25"/>
      <c r="M141" s="25"/>
      <c r="N141" s="25"/>
      <c r="O141" s="25"/>
      <c r="P141" s="25"/>
      <c r="Q141" s="25"/>
      <c r="R141" s="25"/>
      <c r="S141" s="25"/>
      <c r="T141" s="25"/>
      <c r="U141" s="25"/>
      <c r="V141" s="53"/>
      <c r="W141" s="25"/>
      <c r="X141" s="5"/>
    </row>
    <row r="142" spans="1:24" ht="15.75" x14ac:dyDescent="0.25">
      <c r="A142" s="24"/>
      <c r="B142" s="25" t="s">
        <v>123</v>
      </c>
      <c r="C142" s="25"/>
      <c r="D142" s="25"/>
      <c r="E142" s="25"/>
      <c r="F142" s="25"/>
      <c r="G142" s="25"/>
      <c r="H142" s="25"/>
      <c r="I142" s="25"/>
      <c r="J142" s="25"/>
      <c r="K142" s="25"/>
      <c r="L142" s="25"/>
      <c r="M142" s="25"/>
      <c r="N142" s="25"/>
      <c r="O142" s="25"/>
      <c r="P142" s="25"/>
      <c r="Q142" s="25"/>
      <c r="R142" s="25"/>
      <c r="S142" s="25"/>
      <c r="T142" s="25"/>
      <c r="U142" s="25"/>
      <c r="V142" s="53">
        <v>0</v>
      </c>
      <c r="W142" s="25"/>
      <c r="X142" s="5"/>
    </row>
    <row r="143" spans="1:24" ht="15.75" x14ac:dyDescent="0.25">
      <c r="A143" s="24"/>
      <c r="B143" s="25" t="s">
        <v>124</v>
      </c>
      <c r="C143" s="25"/>
      <c r="D143" s="25"/>
      <c r="E143" s="25"/>
      <c r="F143" s="25"/>
      <c r="G143" s="25"/>
      <c r="H143" s="25"/>
      <c r="I143" s="25"/>
      <c r="J143" s="25"/>
      <c r="K143" s="25"/>
      <c r="L143" s="25"/>
      <c r="M143" s="25"/>
      <c r="N143" s="25"/>
      <c r="O143" s="25"/>
      <c r="P143" s="25"/>
      <c r="Q143" s="25"/>
      <c r="R143" s="25"/>
      <c r="S143" s="25"/>
      <c r="T143" s="25"/>
      <c r="U143" s="25"/>
      <c r="V143" s="53">
        <v>0</v>
      </c>
      <c r="W143" s="25"/>
      <c r="X143" s="5"/>
    </row>
    <row r="144" spans="1:24" ht="15.75" x14ac:dyDescent="0.25">
      <c r="A144" s="24"/>
      <c r="B144" s="25" t="s">
        <v>175</v>
      </c>
      <c r="C144" s="25"/>
      <c r="D144" s="25"/>
      <c r="E144" s="25"/>
      <c r="F144" s="25"/>
      <c r="G144" s="25"/>
      <c r="H144" s="25"/>
      <c r="I144" s="25"/>
      <c r="J144" s="25"/>
      <c r="K144" s="25"/>
      <c r="L144" s="25"/>
      <c r="M144" s="25"/>
      <c r="N144" s="25"/>
      <c r="O144" s="25"/>
      <c r="P144" s="25"/>
      <c r="Q144" s="25"/>
      <c r="R144" s="25"/>
      <c r="S144" s="25"/>
      <c r="T144" s="25"/>
      <c r="U144" s="25"/>
      <c r="V144" s="53">
        <v>0</v>
      </c>
      <c r="W144" s="25"/>
      <c r="X144" s="5"/>
    </row>
    <row r="145" spans="1:25" ht="15.75" x14ac:dyDescent="0.25">
      <c r="A145" s="24"/>
      <c r="B145" s="25" t="s">
        <v>45</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75" x14ac:dyDescent="0.25">
      <c r="A146" s="24"/>
      <c r="B146" s="25" t="s">
        <v>129</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75" x14ac:dyDescent="0.25">
      <c r="A147" s="24"/>
      <c r="B147" s="25" t="s">
        <v>241</v>
      </c>
      <c r="C147" s="25"/>
      <c r="D147" s="25"/>
      <c r="E147" s="25"/>
      <c r="F147" s="25"/>
      <c r="G147" s="25"/>
      <c r="H147" s="25"/>
      <c r="I147" s="25"/>
      <c r="J147" s="25"/>
      <c r="K147" s="25"/>
      <c r="L147" s="25"/>
      <c r="M147" s="25"/>
      <c r="N147" s="25"/>
      <c r="O147" s="25"/>
      <c r="P147" s="25"/>
      <c r="Q147" s="25"/>
      <c r="R147" s="25"/>
      <c r="S147" s="25"/>
      <c r="T147" s="25"/>
      <c r="U147" s="25"/>
      <c r="V147" s="53">
        <v>0</v>
      </c>
      <c r="W147" s="25"/>
      <c r="X147" s="5"/>
      <c r="Y147" s="109"/>
    </row>
    <row r="148" spans="1:25" ht="15.75" x14ac:dyDescent="0.25">
      <c r="A148" s="24"/>
      <c r="B148" s="25" t="s">
        <v>46</v>
      </c>
      <c r="C148" s="25"/>
      <c r="D148" s="25"/>
      <c r="E148" s="25"/>
      <c r="F148" s="25"/>
      <c r="G148" s="25"/>
      <c r="H148" s="25"/>
      <c r="I148" s="25"/>
      <c r="J148" s="25"/>
      <c r="K148" s="25"/>
      <c r="L148" s="25"/>
      <c r="M148" s="25"/>
      <c r="N148" s="25"/>
      <c r="O148" s="25"/>
      <c r="P148" s="25"/>
      <c r="Q148" s="25"/>
      <c r="R148" s="25"/>
      <c r="S148" s="25"/>
      <c r="T148" s="25"/>
      <c r="U148" s="25"/>
      <c r="V148" s="53">
        <f>SUM(V140:V147)</f>
        <v>19022</v>
      </c>
      <c r="W148" s="25"/>
      <c r="X148" s="5"/>
    </row>
    <row r="149" spans="1:25" ht="15.75" x14ac:dyDescent="0.25">
      <c r="A149" s="24"/>
      <c r="B149" s="25"/>
      <c r="C149" s="25"/>
      <c r="D149" s="25"/>
      <c r="E149" s="25"/>
      <c r="F149" s="25"/>
      <c r="G149" s="25"/>
      <c r="H149" s="25"/>
      <c r="I149" s="25"/>
      <c r="J149" s="25"/>
      <c r="K149" s="25"/>
      <c r="L149" s="25"/>
      <c r="M149" s="25"/>
      <c r="N149" s="25"/>
      <c r="O149" s="25"/>
      <c r="P149" s="25"/>
      <c r="Q149" s="25"/>
      <c r="R149" s="25"/>
      <c r="S149" s="25"/>
      <c r="T149" s="25"/>
      <c r="U149" s="25"/>
      <c r="V149" s="53"/>
      <c r="W149" s="25"/>
      <c r="X149" s="5"/>
    </row>
    <row r="150" spans="1:25" ht="15.75" x14ac:dyDescent="0.25">
      <c r="A150" s="24"/>
      <c r="B150" s="135" t="s">
        <v>269</v>
      </c>
      <c r="C150" s="25"/>
      <c r="D150" s="25"/>
      <c r="E150" s="25"/>
      <c r="F150" s="25"/>
      <c r="G150" s="25"/>
      <c r="H150" s="25"/>
      <c r="I150" s="25"/>
      <c r="J150" s="25"/>
      <c r="K150" s="25"/>
      <c r="L150" s="25"/>
      <c r="M150" s="25"/>
      <c r="N150" s="25"/>
      <c r="O150" s="25"/>
      <c r="P150" s="25"/>
      <c r="Q150" s="25"/>
      <c r="R150" s="25"/>
      <c r="S150" s="25"/>
      <c r="T150" s="25"/>
      <c r="U150" s="25"/>
      <c r="V150" s="53"/>
      <c r="W150" s="25"/>
      <c r="X150" s="5"/>
    </row>
    <row r="151" spans="1:25" ht="15.75" x14ac:dyDescent="0.25">
      <c r="A151" s="24"/>
      <c r="B151" s="25" t="s">
        <v>155</v>
      </c>
      <c r="C151" s="25"/>
      <c r="D151" s="25"/>
      <c r="E151" s="25"/>
      <c r="F151" s="25"/>
      <c r="G151" s="25"/>
      <c r="H151" s="25"/>
      <c r="I151" s="25"/>
      <c r="J151" s="25"/>
      <c r="K151" s="25"/>
      <c r="L151" s="25"/>
      <c r="M151" s="25"/>
      <c r="N151" s="25"/>
      <c r="O151" s="25"/>
      <c r="P151" s="25"/>
      <c r="Q151" s="25"/>
      <c r="R151" s="25"/>
      <c r="S151" s="25"/>
      <c r="T151" s="25"/>
      <c r="U151" s="25"/>
      <c r="V151" s="53">
        <v>0</v>
      </c>
      <c r="W151" s="25"/>
      <c r="X151" s="5"/>
    </row>
    <row r="152" spans="1:25" ht="15.75" x14ac:dyDescent="0.25">
      <c r="A152" s="24"/>
      <c r="B152" s="25" t="s">
        <v>172</v>
      </c>
      <c r="C152" s="25"/>
      <c r="D152" s="25"/>
      <c r="E152" s="25"/>
      <c r="F152" s="25"/>
      <c r="G152" s="25"/>
      <c r="H152" s="25"/>
      <c r="I152" s="25"/>
      <c r="J152" s="25"/>
      <c r="K152" s="25"/>
      <c r="L152" s="25"/>
      <c r="M152" s="25"/>
      <c r="N152" s="25"/>
      <c r="O152" s="25"/>
      <c r="P152" s="25"/>
      <c r="Q152" s="25"/>
      <c r="R152" s="25"/>
      <c r="S152" s="25"/>
      <c r="T152" s="25"/>
      <c r="U152" s="25"/>
      <c r="V152" s="53">
        <v>0</v>
      </c>
      <c r="W152" s="25"/>
      <c r="X152" s="5"/>
    </row>
    <row r="153" spans="1:25" ht="15.75" x14ac:dyDescent="0.25">
      <c r="A153" s="24"/>
      <c r="B153" s="25" t="s">
        <v>226</v>
      </c>
      <c r="C153" s="25"/>
      <c r="D153" s="25"/>
      <c r="E153" s="25"/>
      <c r="F153" s="25"/>
      <c r="G153" s="25"/>
      <c r="H153" s="25"/>
      <c r="I153" s="25"/>
      <c r="J153" s="25"/>
      <c r="K153" s="25"/>
      <c r="L153" s="25"/>
      <c r="M153" s="25"/>
      <c r="N153" s="25"/>
      <c r="O153" s="25"/>
      <c r="P153" s="25"/>
      <c r="Q153" s="25"/>
      <c r="R153" s="25"/>
      <c r="S153" s="25"/>
      <c r="T153" s="25"/>
      <c r="U153" s="25"/>
      <c r="V153" s="53">
        <v>0</v>
      </c>
      <c r="W153" s="25"/>
      <c r="X153" s="5"/>
    </row>
    <row r="154" spans="1:25" ht="15.75" x14ac:dyDescent="0.25">
      <c r="A154" s="24"/>
      <c r="B154" s="25"/>
      <c r="C154" s="25"/>
      <c r="D154" s="25"/>
      <c r="E154" s="25"/>
      <c r="F154" s="25"/>
      <c r="G154" s="25"/>
      <c r="H154" s="25"/>
      <c r="I154" s="25"/>
      <c r="J154" s="25"/>
      <c r="K154" s="25"/>
      <c r="L154" s="25"/>
      <c r="M154" s="25"/>
      <c r="N154" s="25"/>
      <c r="O154" s="25"/>
      <c r="P154" s="25"/>
      <c r="Q154" s="25"/>
      <c r="R154" s="25"/>
      <c r="S154" s="25"/>
      <c r="T154" s="25"/>
      <c r="U154" s="25"/>
      <c r="V154" s="53"/>
      <c r="W154" s="25"/>
      <c r="X154" s="5"/>
    </row>
    <row r="155" spans="1:25" ht="15.75" x14ac:dyDescent="0.25">
      <c r="A155" s="24"/>
      <c r="B155" s="25"/>
      <c r="C155" s="25"/>
      <c r="D155" s="25"/>
      <c r="E155" s="25"/>
      <c r="F155" s="25"/>
      <c r="G155" s="25"/>
      <c r="H155" s="25"/>
      <c r="I155" s="25"/>
      <c r="J155" s="25"/>
      <c r="K155" s="25"/>
      <c r="L155" s="25"/>
      <c r="M155" s="25"/>
      <c r="N155" s="25"/>
      <c r="O155" s="25"/>
      <c r="P155" s="25"/>
      <c r="Q155" s="25"/>
      <c r="R155" s="25"/>
      <c r="S155" s="25"/>
      <c r="T155" s="25"/>
      <c r="U155" s="25"/>
      <c r="V155" s="61"/>
      <c r="W155" s="25"/>
      <c r="X155" s="5"/>
    </row>
    <row r="156" spans="1:25" ht="15.75" x14ac:dyDescent="0.25">
      <c r="A156" s="6"/>
      <c r="B156" s="119" t="s">
        <v>24</v>
      </c>
      <c r="C156" s="8"/>
      <c r="D156" s="8"/>
      <c r="E156" s="8"/>
      <c r="F156" s="8"/>
      <c r="G156" s="8"/>
      <c r="H156" s="8"/>
      <c r="I156" s="8"/>
      <c r="J156" s="8"/>
      <c r="K156" s="8"/>
      <c r="L156" s="8"/>
      <c r="M156" s="8"/>
      <c r="N156" s="8"/>
      <c r="O156" s="8"/>
      <c r="P156" s="8"/>
      <c r="Q156" s="8"/>
      <c r="R156" s="8"/>
      <c r="S156" s="8"/>
      <c r="T156" s="8"/>
      <c r="U156" s="8"/>
      <c r="V156" s="52"/>
      <c r="W156" s="8"/>
      <c r="X156" s="5"/>
    </row>
    <row r="157" spans="1:25" ht="15.75" x14ac:dyDescent="0.25">
      <c r="A157" s="24"/>
      <c r="B157" s="25" t="s">
        <v>47</v>
      </c>
      <c r="C157" s="25"/>
      <c r="D157" s="25"/>
      <c r="E157" s="25"/>
      <c r="F157" s="25"/>
      <c r="G157" s="25"/>
      <c r="H157" s="25"/>
      <c r="I157" s="25"/>
      <c r="J157" s="25"/>
      <c r="K157" s="25"/>
      <c r="L157" s="25"/>
      <c r="M157" s="25"/>
      <c r="N157" s="25"/>
      <c r="O157" s="25"/>
      <c r="P157" s="25"/>
      <c r="Q157" s="25"/>
      <c r="R157" s="25"/>
      <c r="S157" s="25"/>
      <c r="T157" s="25"/>
      <c r="U157" s="25"/>
      <c r="V157" s="59" t="s">
        <v>118</v>
      </c>
      <c r="W157" s="25"/>
      <c r="X157" s="5"/>
    </row>
    <row r="158" spans="1:25" ht="15.75" x14ac:dyDescent="0.25">
      <c r="A158" s="24"/>
      <c r="B158" s="25" t="s">
        <v>48</v>
      </c>
      <c r="C158" s="174"/>
      <c r="D158" s="174"/>
      <c r="E158" s="174"/>
      <c r="F158" s="174"/>
      <c r="G158" s="174"/>
      <c r="H158" s="174"/>
      <c r="I158" s="174"/>
      <c r="J158" s="174"/>
      <c r="K158" s="174"/>
      <c r="L158" s="174"/>
      <c r="M158" s="174"/>
      <c r="N158" s="174"/>
      <c r="O158" s="174"/>
      <c r="P158" s="174"/>
      <c r="Q158" s="174"/>
      <c r="R158" s="174"/>
      <c r="S158" s="174"/>
      <c r="T158" s="174"/>
      <c r="U158" s="174"/>
      <c r="V158" s="59" t="s">
        <v>118</v>
      </c>
      <c r="W158" s="25"/>
      <c r="X158" s="5"/>
    </row>
    <row r="159" spans="1:25" ht="15.75" x14ac:dyDescent="0.25">
      <c r="A159" s="24"/>
      <c r="B159" s="25" t="s">
        <v>49</v>
      </c>
      <c r="C159" s="25"/>
      <c r="D159" s="25"/>
      <c r="E159" s="25"/>
      <c r="F159" s="25"/>
      <c r="G159" s="25"/>
      <c r="H159" s="25"/>
      <c r="I159" s="25"/>
      <c r="J159" s="25"/>
      <c r="K159" s="25"/>
      <c r="L159" s="25"/>
      <c r="M159" s="25"/>
      <c r="N159" s="25"/>
      <c r="O159" s="25"/>
      <c r="P159" s="25"/>
      <c r="Q159" s="25"/>
      <c r="R159" s="25"/>
      <c r="S159" s="25"/>
      <c r="T159" s="25"/>
      <c r="U159" s="25"/>
      <c r="V159" s="59" t="s">
        <v>118</v>
      </c>
      <c r="W159" s="25"/>
      <c r="X159" s="5"/>
    </row>
    <row r="160" spans="1:25" ht="15.75" x14ac:dyDescent="0.25">
      <c r="A160" s="24"/>
      <c r="B160" s="25" t="s">
        <v>50</v>
      </c>
      <c r="C160" s="25"/>
      <c r="D160" s="25"/>
      <c r="E160" s="25"/>
      <c r="F160" s="25"/>
      <c r="G160" s="25"/>
      <c r="H160" s="25"/>
      <c r="I160" s="25"/>
      <c r="J160" s="25"/>
      <c r="K160" s="25"/>
      <c r="L160" s="25"/>
      <c r="M160" s="25"/>
      <c r="N160" s="25"/>
      <c r="O160" s="25"/>
      <c r="P160" s="25"/>
      <c r="Q160" s="25"/>
      <c r="R160" s="25"/>
      <c r="S160" s="25"/>
      <c r="T160" s="25"/>
      <c r="U160" s="25"/>
      <c r="V160" s="59" t="s">
        <v>118</v>
      </c>
      <c r="W160" s="25"/>
      <c r="X160" s="5"/>
    </row>
    <row r="161" spans="1:256" ht="15.75" x14ac:dyDescent="0.25">
      <c r="A161" s="24"/>
      <c r="B161" s="25"/>
      <c r="C161" s="25"/>
      <c r="D161" s="25"/>
      <c r="E161" s="25"/>
      <c r="F161" s="25"/>
      <c r="G161" s="25"/>
      <c r="H161" s="25"/>
      <c r="I161" s="25"/>
      <c r="J161" s="25"/>
      <c r="K161" s="25"/>
      <c r="L161" s="25"/>
      <c r="M161" s="25"/>
      <c r="N161" s="25"/>
      <c r="O161" s="25"/>
      <c r="P161" s="25"/>
      <c r="Q161" s="25"/>
      <c r="R161" s="25"/>
      <c r="S161" s="25"/>
      <c r="T161" s="25"/>
      <c r="U161" s="25"/>
      <c r="V161" s="61"/>
      <c r="W161" s="25"/>
      <c r="X161" s="5"/>
    </row>
    <row r="162" spans="1:256" ht="15.75" x14ac:dyDescent="0.25">
      <c r="A162" s="6"/>
      <c r="B162" s="119" t="s">
        <v>51</v>
      </c>
      <c r="C162" s="8"/>
      <c r="D162" s="8"/>
      <c r="E162" s="8"/>
      <c r="F162" s="8"/>
      <c r="G162" s="8"/>
      <c r="H162" s="8"/>
      <c r="I162" s="8"/>
      <c r="J162" s="8"/>
      <c r="K162" s="8"/>
      <c r="L162" s="8"/>
      <c r="M162" s="8"/>
      <c r="N162" s="8"/>
      <c r="O162" s="8"/>
      <c r="P162" s="8"/>
      <c r="Q162" s="8"/>
      <c r="R162" s="8"/>
      <c r="S162" s="8"/>
      <c r="T162" s="8"/>
      <c r="U162" s="8"/>
      <c r="V162" s="63"/>
      <c r="W162" s="8"/>
      <c r="X162" s="5"/>
    </row>
    <row r="163" spans="1:256" ht="15.75" x14ac:dyDescent="0.25">
      <c r="A163" s="24"/>
      <c r="B163" s="25" t="s">
        <v>52</v>
      </c>
      <c r="C163" s="25"/>
      <c r="D163" s="25"/>
      <c r="E163" s="25"/>
      <c r="F163" s="25"/>
      <c r="G163" s="25"/>
      <c r="H163" s="25"/>
      <c r="I163" s="25"/>
      <c r="J163" s="25"/>
      <c r="K163" s="25"/>
      <c r="L163" s="25"/>
      <c r="M163" s="25"/>
      <c r="N163" s="25"/>
      <c r="O163" s="25"/>
      <c r="P163" s="25"/>
      <c r="Q163" s="25"/>
      <c r="R163" s="25"/>
      <c r="S163" s="25"/>
      <c r="T163" s="25"/>
      <c r="U163" s="25"/>
      <c r="V163" s="53">
        <v>0</v>
      </c>
      <c r="W163" s="25"/>
      <c r="X163" s="5"/>
    </row>
    <row r="164" spans="1:256" ht="15.75" x14ac:dyDescent="0.25">
      <c r="A164" s="24"/>
      <c r="B164" s="25" t="s">
        <v>53</v>
      </c>
      <c r="C164" s="25"/>
      <c r="D164" s="25"/>
      <c r="E164" s="25"/>
      <c r="F164" s="25"/>
      <c r="G164" s="25"/>
      <c r="H164" s="25"/>
      <c r="I164" s="25"/>
      <c r="J164" s="25"/>
      <c r="K164" s="25"/>
      <c r="L164" s="25"/>
      <c r="M164" s="25"/>
      <c r="N164" s="25"/>
      <c r="O164" s="25"/>
      <c r="P164" s="25"/>
      <c r="Q164" s="25"/>
      <c r="R164" s="25"/>
      <c r="S164" s="25"/>
      <c r="T164" s="25"/>
      <c r="U164" s="25"/>
      <c r="V164" s="53">
        <v>2</v>
      </c>
      <c r="W164" s="25"/>
      <c r="X164" s="5"/>
    </row>
    <row r="165" spans="1:256" ht="15.75" x14ac:dyDescent="0.25">
      <c r="A165" s="24"/>
      <c r="B165" s="25" t="s">
        <v>54</v>
      </c>
      <c r="C165" s="25"/>
      <c r="D165" s="25"/>
      <c r="E165" s="25"/>
      <c r="F165" s="25"/>
      <c r="G165" s="25"/>
      <c r="H165" s="25"/>
      <c r="I165" s="25"/>
      <c r="J165" s="25"/>
      <c r="K165" s="25"/>
      <c r="L165" s="25"/>
      <c r="M165" s="25"/>
      <c r="N165" s="25"/>
      <c r="O165" s="25"/>
      <c r="P165" s="25"/>
      <c r="Q165" s="25"/>
      <c r="R165" s="25"/>
      <c r="S165" s="25"/>
      <c r="T165" s="25"/>
      <c r="U165" s="25"/>
      <c r="V165" s="53">
        <f>V164+V163</f>
        <v>2</v>
      </c>
      <c r="W165" s="25"/>
      <c r="X165" s="5"/>
    </row>
    <row r="166" spans="1:256" ht="15.75" x14ac:dyDescent="0.25">
      <c r="A166" s="24"/>
      <c r="B166" s="25" t="s">
        <v>303</v>
      </c>
      <c r="C166" s="25"/>
      <c r="D166" s="25"/>
      <c r="E166" s="25"/>
      <c r="F166" s="25"/>
      <c r="G166" s="25"/>
      <c r="H166" s="25"/>
      <c r="I166" s="25"/>
      <c r="J166" s="25"/>
      <c r="K166" s="25"/>
      <c r="L166" s="25"/>
      <c r="M166" s="25"/>
      <c r="N166" s="25"/>
      <c r="O166" s="25"/>
      <c r="P166" s="25"/>
      <c r="Q166" s="25"/>
      <c r="R166" s="25"/>
      <c r="S166" s="25"/>
      <c r="T166" s="25"/>
      <c r="U166" s="25"/>
      <c r="V166" s="53">
        <f>V114</f>
        <v>-2</v>
      </c>
      <c r="W166" s="25"/>
      <c r="X166" s="5"/>
    </row>
    <row r="167" spans="1:256" ht="15.75" x14ac:dyDescent="0.25">
      <c r="A167" s="24"/>
      <c r="B167" s="25" t="s">
        <v>55</v>
      </c>
      <c r="C167" s="25"/>
      <c r="D167" s="25"/>
      <c r="E167" s="25"/>
      <c r="F167" s="25"/>
      <c r="G167" s="25"/>
      <c r="H167" s="25"/>
      <c r="I167" s="25"/>
      <c r="J167" s="25"/>
      <c r="K167" s="25"/>
      <c r="L167" s="25"/>
      <c r="M167" s="25"/>
      <c r="N167" s="25"/>
      <c r="O167" s="25"/>
      <c r="P167" s="25"/>
      <c r="Q167" s="25"/>
      <c r="R167" s="25"/>
      <c r="S167" s="25"/>
      <c r="T167" s="25"/>
      <c r="U167" s="25"/>
      <c r="V167" s="53">
        <f>V165+V166</f>
        <v>0</v>
      </c>
      <c r="W167" s="25"/>
      <c r="X167" s="5"/>
    </row>
    <row r="168" spans="1:256" ht="16.5" thickBot="1" x14ac:dyDescent="0.3">
      <c r="A168" s="24"/>
      <c r="B168" s="25"/>
      <c r="C168" s="25"/>
      <c r="D168" s="25"/>
      <c r="E168" s="25"/>
      <c r="F168" s="25"/>
      <c r="G168" s="25"/>
      <c r="H168" s="25"/>
      <c r="I168" s="25"/>
      <c r="J168" s="25"/>
      <c r="K168" s="25"/>
      <c r="L168" s="25"/>
      <c r="M168" s="25"/>
      <c r="N168" s="25"/>
      <c r="O168" s="25"/>
      <c r="P168" s="25"/>
      <c r="Q168" s="25"/>
      <c r="R168" s="25"/>
      <c r="S168" s="25"/>
      <c r="T168" s="25"/>
      <c r="U168" s="25"/>
      <c r="V168" s="61"/>
      <c r="W168" s="25"/>
      <c r="X168" s="5"/>
    </row>
    <row r="169" spans="1:256" ht="15.75" x14ac:dyDescent="0.25">
      <c r="A169" s="2"/>
      <c r="B169" s="4"/>
      <c r="C169" s="4"/>
      <c r="D169" s="4"/>
      <c r="E169" s="4"/>
      <c r="F169" s="4"/>
      <c r="G169" s="4"/>
      <c r="H169" s="4"/>
      <c r="I169" s="4"/>
      <c r="J169" s="4"/>
      <c r="K169" s="4"/>
      <c r="L169" s="4"/>
      <c r="M169" s="4"/>
      <c r="N169" s="4"/>
      <c r="O169" s="4"/>
      <c r="P169" s="4"/>
      <c r="Q169" s="4"/>
      <c r="R169" s="4"/>
      <c r="S169" s="4"/>
      <c r="T169" s="4"/>
      <c r="U169" s="4"/>
      <c r="V169" s="50"/>
      <c r="W169" s="4"/>
      <c r="X169" s="5"/>
    </row>
    <row r="170" spans="1:256" s="158" customFormat="1" ht="15.75" x14ac:dyDescent="0.25">
      <c r="A170" s="6"/>
      <c r="B170" s="119" t="s">
        <v>230</v>
      </c>
      <c r="C170" s="157"/>
      <c r="D170" s="157"/>
      <c r="E170" s="157"/>
      <c r="F170" s="157"/>
      <c r="G170" s="157"/>
      <c r="H170" s="157"/>
      <c r="I170" s="157"/>
      <c r="J170" s="157"/>
      <c r="K170" s="157"/>
      <c r="L170" s="157"/>
      <c r="M170" s="157"/>
      <c r="N170" s="157"/>
      <c r="O170" s="157"/>
      <c r="P170" s="157"/>
      <c r="Q170" s="157"/>
      <c r="R170" s="157"/>
      <c r="S170" s="157"/>
      <c r="T170" s="157"/>
      <c r="U170" s="157"/>
      <c r="V170" s="165"/>
      <c r="W170" s="157"/>
      <c r="X170" s="5"/>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s="160" customFormat="1" ht="15.75" x14ac:dyDescent="0.25">
      <c r="A171" s="24"/>
      <c r="B171" s="159" t="s">
        <v>231</v>
      </c>
      <c r="C171" s="159"/>
      <c r="D171" s="159"/>
      <c r="E171" s="159"/>
      <c r="F171" s="159"/>
      <c r="G171" s="159"/>
      <c r="H171" s="159"/>
      <c r="I171" s="159"/>
      <c r="J171" s="159"/>
      <c r="K171" s="159"/>
      <c r="L171" s="159"/>
      <c r="M171" s="159"/>
      <c r="N171" s="159"/>
      <c r="O171" s="159"/>
      <c r="P171" s="159"/>
      <c r="Q171" s="159"/>
      <c r="R171" s="159"/>
      <c r="S171" s="159"/>
      <c r="T171" s="159"/>
      <c r="U171" s="159"/>
      <c r="V171" s="166">
        <f>+'Aug 08'!V173</f>
        <v>0</v>
      </c>
      <c r="W171" s="159"/>
      <c r="X171" s="5"/>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s="160" customFormat="1" ht="15.75" x14ac:dyDescent="0.25">
      <c r="A172" s="24"/>
      <c r="B172" s="159" t="s">
        <v>234</v>
      </c>
      <c r="C172" s="159"/>
      <c r="D172" s="159"/>
      <c r="E172" s="159"/>
      <c r="F172" s="159"/>
      <c r="G172" s="159"/>
      <c r="H172" s="159"/>
      <c r="I172" s="159"/>
      <c r="J172" s="159"/>
      <c r="K172" s="159"/>
      <c r="L172" s="159"/>
      <c r="M172" s="159"/>
      <c r="N172" s="159"/>
      <c r="O172" s="159"/>
      <c r="P172" s="159"/>
      <c r="Q172" s="159"/>
      <c r="R172" s="159"/>
      <c r="S172" s="159"/>
      <c r="T172" s="159"/>
      <c r="U172" s="159"/>
      <c r="V172" s="166">
        <f>+V95</f>
        <v>0</v>
      </c>
      <c r="W172" s="159"/>
      <c r="X172" s="5"/>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s="160" customFormat="1" ht="15.75" x14ac:dyDescent="0.25">
      <c r="A173" s="24"/>
      <c r="B173" s="159" t="s">
        <v>232</v>
      </c>
      <c r="C173" s="159"/>
      <c r="D173" s="159"/>
      <c r="E173" s="159"/>
      <c r="F173" s="159"/>
      <c r="G173" s="159"/>
      <c r="H173" s="159"/>
      <c r="I173" s="159"/>
      <c r="J173" s="159"/>
      <c r="K173" s="159"/>
      <c r="L173" s="159"/>
      <c r="M173" s="159"/>
      <c r="N173" s="159"/>
      <c r="O173" s="159"/>
      <c r="P173" s="159"/>
      <c r="Q173" s="159"/>
      <c r="R173" s="159"/>
      <c r="S173" s="159"/>
      <c r="T173" s="159"/>
      <c r="U173" s="159"/>
      <c r="V173" s="166">
        <f>+V171-V172</f>
        <v>0</v>
      </c>
      <c r="W173" s="159"/>
      <c r="X173" s="5"/>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s="163" customFormat="1" ht="16.5" thickBot="1" x14ac:dyDescent="0.3">
      <c r="A174" s="167"/>
      <c r="B174" s="161"/>
      <c r="C174" s="161"/>
      <c r="D174" s="161"/>
      <c r="E174" s="161"/>
      <c r="F174" s="161"/>
      <c r="G174" s="161"/>
      <c r="H174" s="161"/>
      <c r="I174" s="161"/>
      <c r="J174" s="161"/>
      <c r="K174" s="161"/>
      <c r="L174" s="161"/>
      <c r="M174" s="161"/>
      <c r="N174" s="161"/>
      <c r="O174" s="161"/>
      <c r="P174" s="161"/>
      <c r="Q174" s="161"/>
      <c r="R174" s="161"/>
      <c r="S174" s="161"/>
      <c r="T174" s="161"/>
      <c r="U174" s="161"/>
      <c r="V174" s="162"/>
      <c r="W174" s="161"/>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4" customFormat="1" ht="15.75" x14ac:dyDescent="0.25">
      <c r="A175" s="2"/>
      <c r="B175" s="4"/>
      <c r="C175" s="4"/>
      <c r="D175" s="4"/>
      <c r="E175" s="4"/>
      <c r="F175" s="4"/>
      <c r="G175" s="4"/>
      <c r="H175" s="4"/>
      <c r="I175" s="4"/>
      <c r="J175" s="4"/>
      <c r="K175" s="4"/>
      <c r="L175" s="4"/>
      <c r="M175" s="4"/>
      <c r="N175" s="4"/>
      <c r="O175" s="4"/>
      <c r="P175" s="4"/>
      <c r="Q175" s="4"/>
      <c r="R175" s="4"/>
      <c r="S175" s="4"/>
      <c r="T175" s="4"/>
      <c r="U175" s="4"/>
      <c r="V175" s="50"/>
      <c r="W175" s="4"/>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ht="15.75" x14ac:dyDescent="0.25">
      <c r="A176" s="6"/>
      <c r="B176" s="119" t="s">
        <v>56</v>
      </c>
      <c r="C176" s="8"/>
      <c r="D176" s="8"/>
      <c r="E176" s="8"/>
      <c r="F176" s="8"/>
      <c r="G176" s="8"/>
      <c r="H176" s="8"/>
      <c r="I176" s="8"/>
      <c r="J176" s="8"/>
      <c r="K176" s="8"/>
      <c r="L176" s="8"/>
      <c r="M176" s="8"/>
      <c r="N176" s="8"/>
      <c r="O176" s="8"/>
      <c r="P176" s="8"/>
      <c r="Q176" s="8"/>
      <c r="R176" s="8"/>
      <c r="S176" s="8"/>
      <c r="T176" s="8"/>
      <c r="U176" s="8"/>
      <c r="V176" s="52"/>
      <c r="W176" s="8"/>
      <c r="X176" s="5"/>
    </row>
    <row r="177" spans="1:24" ht="15.75" x14ac:dyDescent="0.25">
      <c r="A177" s="6"/>
      <c r="B177" s="21"/>
      <c r="C177" s="8"/>
      <c r="D177" s="8"/>
      <c r="E177" s="8"/>
      <c r="F177" s="8"/>
      <c r="G177" s="8"/>
      <c r="H177" s="8"/>
      <c r="I177" s="8"/>
      <c r="J177" s="8"/>
      <c r="K177" s="8"/>
      <c r="L177" s="8"/>
      <c r="M177" s="8"/>
      <c r="N177" s="8"/>
      <c r="O177" s="8"/>
      <c r="P177" s="8"/>
      <c r="Q177" s="8"/>
      <c r="R177" s="8"/>
      <c r="S177" s="8"/>
      <c r="T177" s="8"/>
      <c r="U177" s="8"/>
      <c r="V177" s="52"/>
      <c r="W177" s="8"/>
      <c r="X177" s="5"/>
    </row>
    <row r="178" spans="1:24" ht="15.75" x14ac:dyDescent="0.25">
      <c r="A178" s="24"/>
      <c r="B178" s="25" t="s">
        <v>57</v>
      </c>
      <c r="C178" s="25"/>
      <c r="D178" s="25"/>
      <c r="E178" s="25"/>
      <c r="F178" s="25"/>
      <c r="G178" s="25"/>
      <c r="H178" s="25"/>
      <c r="I178" s="25"/>
      <c r="J178" s="25"/>
      <c r="K178" s="25"/>
      <c r="L178" s="25"/>
      <c r="M178" s="25"/>
      <c r="N178" s="25"/>
      <c r="O178" s="25"/>
      <c r="P178" s="25"/>
      <c r="Q178" s="25"/>
      <c r="R178" s="25"/>
      <c r="S178" s="25"/>
      <c r="T178" s="25"/>
      <c r="U178" s="25"/>
      <c r="V178" s="53">
        <f>V72</f>
        <v>880910</v>
      </c>
      <c r="W178" s="25"/>
      <c r="X178" s="5"/>
    </row>
    <row r="179" spans="1:24" ht="15.75" x14ac:dyDescent="0.25">
      <c r="A179" s="24"/>
      <c r="B179" s="25" t="s">
        <v>58</v>
      </c>
      <c r="C179" s="25"/>
      <c r="D179" s="25"/>
      <c r="E179" s="25"/>
      <c r="F179" s="25"/>
      <c r="G179" s="25"/>
      <c r="H179" s="25"/>
      <c r="I179" s="25"/>
      <c r="J179" s="25"/>
      <c r="K179" s="25"/>
      <c r="L179" s="25"/>
      <c r="M179" s="25"/>
      <c r="N179" s="25"/>
      <c r="O179" s="25"/>
      <c r="P179" s="25"/>
      <c r="Q179" s="25"/>
      <c r="R179" s="25"/>
      <c r="S179" s="25"/>
      <c r="T179" s="25"/>
      <c r="U179" s="25"/>
      <c r="V179" s="53">
        <f>V85</f>
        <v>880910</v>
      </c>
      <c r="W179" s="25"/>
      <c r="X179" s="5"/>
    </row>
    <row r="180" spans="1:24" ht="16.5" thickBot="1" x14ac:dyDescent="0.3">
      <c r="A180" s="24"/>
      <c r="B180" s="25"/>
      <c r="C180" s="25"/>
      <c r="D180" s="25"/>
      <c r="E180" s="25"/>
      <c r="F180" s="25"/>
      <c r="G180" s="25"/>
      <c r="H180" s="25"/>
      <c r="I180" s="25"/>
      <c r="J180" s="25"/>
      <c r="K180" s="25"/>
      <c r="L180" s="25"/>
      <c r="M180" s="25"/>
      <c r="N180" s="25"/>
      <c r="O180" s="25"/>
      <c r="P180" s="25"/>
      <c r="Q180" s="25"/>
      <c r="R180" s="25"/>
      <c r="S180" s="25"/>
      <c r="T180" s="25"/>
      <c r="U180" s="25"/>
      <c r="V180" s="61"/>
      <c r="W180" s="25"/>
      <c r="X180" s="5"/>
    </row>
    <row r="181" spans="1:24" ht="15.75" x14ac:dyDescent="0.25">
      <c r="A181" s="2"/>
      <c r="B181" s="4"/>
      <c r="C181" s="4"/>
      <c r="D181" s="4"/>
      <c r="E181" s="4"/>
      <c r="F181" s="4"/>
      <c r="G181" s="4"/>
      <c r="H181" s="4"/>
      <c r="I181" s="4"/>
      <c r="J181" s="4"/>
      <c r="K181" s="4"/>
      <c r="L181" s="4"/>
      <c r="M181" s="4"/>
      <c r="N181" s="4"/>
      <c r="O181" s="4"/>
      <c r="P181" s="4"/>
      <c r="Q181" s="4"/>
      <c r="R181" s="4"/>
      <c r="S181" s="4"/>
      <c r="T181" s="4"/>
      <c r="U181" s="4"/>
      <c r="V181" s="50"/>
      <c r="W181" s="4"/>
      <c r="X181" s="5"/>
    </row>
    <row r="182" spans="1:24" ht="15.75" x14ac:dyDescent="0.25">
      <c r="A182" s="6"/>
      <c r="B182" s="119" t="s">
        <v>59</v>
      </c>
      <c r="C182" s="117"/>
      <c r="D182" s="117"/>
      <c r="E182" s="117"/>
      <c r="F182" s="117"/>
      <c r="G182" s="117"/>
      <c r="H182" s="120"/>
      <c r="I182" s="120"/>
      <c r="J182" s="120"/>
      <c r="K182" s="120"/>
      <c r="L182" s="120"/>
      <c r="M182" s="120"/>
      <c r="N182" s="120"/>
      <c r="O182" s="120"/>
      <c r="P182" s="120"/>
      <c r="Q182" s="120"/>
      <c r="R182" s="120"/>
      <c r="S182" s="120" t="s">
        <v>101</v>
      </c>
      <c r="T182" s="120" t="s">
        <v>176</v>
      </c>
      <c r="U182" s="111"/>
      <c r="V182" s="121" t="s">
        <v>114</v>
      </c>
      <c r="W182" s="10"/>
      <c r="X182" s="5"/>
    </row>
    <row r="183" spans="1:24" ht="15.75" x14ac:dyDescent="0.25">
      <c r="A183" s="24"/>
      <c r="B183" s="25" t="s">
        <v>60</v>
      </c>
      <c r="C183" s="25"/>
      <c r="D183" s="25"/>
      <c r="E183" s="25"/>
      <c r="F183" s="25"/>
      <c r="G183" s="25"/>
      <c r="H183" s="25"/>
      <c r="I183" s="25"/>
      <c r="J183" s="25"/>
      <c r="K183" s="25"/>
      <c r="L183" s="25"/>
      <c r="M183" s="25"/>
      <c r="N183" s="25"/>
      <c r="O183" s="25"/>
      <c r="P183" s="25"/>
      <c r="Q183" s="25"/>
      <c r="R183" s="25"/>
      <c r="S183" s="53">
        <f>+V34*0.16</f>
        <v>160181.28</v>
      </c>
      <c r="T183" s="40"/>
      <c r="U183" s="25"/>
      <c r="V183" s="53"/>
      <c r="W183" s="25"/>
      <c r="X183" s="5"/>
    </row>
    <row r="184" spans="1:24" ht="15.75" x14ac:dyDescent="0.25">
      <c r="A184" s="24"/>
      <c r="B184" s="25" t="s">
        <v>61</v>
      </c>
      <c r="C184" s="25"/>
      <c r="D184" s="25"/>
      <c r="E184" s="25"/>
      <c r="F184" s="25"/>
      <c r="G184" s="25"/>
      <c r="H184" s="25"/>
      <c r="I184" s="25"/>
      <c r="J184" s="25"/>
      <c r="K184" s="25"/>
      <c r="L184" s="25"/>
      <c r="M184" s="25"/>
      <c r="N184" s="25"/>
      <c r="O184" s="25"/>
      <c r="P184" s="25"/>
      <c r="Q184" s="25"/>
      <c r="R184" s="25"/>
      <c r="S184" s="53">
        <f>+'Feb 09'!S186</f>
        <v>8373</v>
      </c>
      <c r="T184" s="53">
        <f>+'Feb 09'!T186</f>
        <v>5927</v>
      </c>
      <c r="U184" s="25"/>
      <c r="V184" s="53">
        <f>S184+T184</f>
        <v>14300</v>
      </c>
      <c r="W184" s="25"/>
      <c r="X184" s="5"/>
    </row>
    <row r="185" spans="1:24" ht="15.75" x14ac:dyDescent="0.25">
      <c r="A185" s="24"/>
      <c r="B185" s="25" t="s">
        <v>62</v>
      </c>
      <c r="C185" s="25"/>
      <c r="D185" s="25"/>
      <c r="E185" s="25"/>
      <c r="F185" s="25"/>
      <c r="G185" s="25"/>
      <c r="H185" s="25"/>
      <c r="I185" s="25"/>
      <c r="J185" s="25"/>
      <c r="K185" s="25"/>
      <c r="L185" s="25"/>
      <c r="M185" s="25"/>
      <c r="N185" s="25"/>
      <c r="O185" s="25"/>
      <c r="P185" s="25"/>
      <c r="Q185" s="25"/>
      <c r="R185" s="25"/>
      <c r="S185" s="34">
        <f>241+242</f>
        <v>483</v>
      </c>
      <c r="T185" s="34">
        <v>77</v>
      </c>
      <c r="U185" s="25"/>
      <c r="V185" s="53">
        <f>S185+T185</f>
        <v>560</v>
      </c>
      <c r="W185" s="25"/>
      <c r="X185" s="5"/>
    </row>
    <row r="186" spans="1:24" ht="15.75" x14ac:dyDescent="0.25">
      <c r="A186" s="24"/>
      <c r="B186" s="25" t="s">
        <v>63</v>
      </c>
      <c r="C186" s="25"/>
      <c r="D186" s="25"/>
      <c r="E186" s="25"/>
      <c r="F186" s="25"/>
      <c r="G186" s="25"/>
      <c r="H186" s="25"/>
      <c r="I186" s="25"/>
      <c r="J186" s="25"/>
      <c r="K186" s="25"/>
      <c r="L186" s="25"/>
      <c r="M186" s="25"/>
      <c r="N186" s="25"/>
      <c r="O186" s="25"/>
      <c r="P186" s="25"/>
      <c r="Q186" s="25"/>
      <c r="R186" s="25"/>
      <c r="S186" s="53">
        <f>S184+S185</f>
        <v>8856</v>
      </c>
      <c r="T186" s="53">
        <f>T185+T184</f>
        <v>6004</v>
      </c>
      <c r="U186" s="25"/>
      <c r="V186" s="53">
        <f>S186+T186</f>
        <v>14860</v>
      </c>
      <c r="W186" s="25"/>
      <c r="X186" s="5"/>
    </row>
    <row r="187" spans="1:24" ht="15.75" x14ac:dyDescent="0.25">
      <c r="A187" s="24"/>
      <c r="B187" s="25" t="s">
        <v>64</v>
      </c>
      <c r="C187" s="25"/>
      <c r="D187" s="25"/>
      <c r="E187" s="25"/>
      <c r="F187" s="25"/>
      <c r="G187" s="25"/>
      <c r="H187" s="25"/>
      <c r="I187" s="25"/>
      <c r="J187" s="25"/>
      <c r="K187" s="25"/>
      <c r="L187" s="25"/>
      <c r="M187" s="25"/>
      <c r="N187" s="25"/>
      <c r="O187" s="25"/>
      <c r="P187" s="25"/>
      <c r="Q187" s="25"/>
      <c r="R187" s="25"/>
      <c r="S187" s="53">
        <f>S183-S186-T186</f>
        <v>145321.28</v>
      </c>
      <c r="T187" s="40"/>
      <c r="U187" s="25"/>
      <c r="V187" s="53"/>
      <c r="W187" s="25"/>
      <c r="X187" s="5"/>
    </row>
    <row r="188" spans="1:24" ht="16.5" thickBot="1" x14ac:dyDescent="0.3">
      <c r="A188" s="24"/>
      <c r="B188" s="25"/>
      <c r="C188" s="25"/>
      <c r="D188" s="25"/>
      <c r="E188" s="25"/>
      <c r="F188" s="25"/>
      <c r="G188" s="25"/>
      <c r="H188" s="25"/>
      <c r="I188" s="25"/>
      <c r="J188" s="25"/>
      <c r="K188" s="25"/>
      <c r="L188" s="25"/>
      <c r="M188" s="25"/>
      <c r="N188" s="25"/>
      <c r="O188" s="25"/>
      <c r="P188" s="25"/>
      <c r="Q188" s="25"/>
      <c r="R188" s="25"/>
      <c r="S188" s="25"/>
      <c r="T188" s="25"/>
      <c r="U188" s="25"/>
      <c r="V188" s="61"/>
      <c r="W188" s="25"/>
      <c r="X188" s="5"/>
    </row>
    <row r="189" spans="1:24" ht="15.75" x14ac:dyDescent="0.25">
      <c r="A189" s="2"/>
      <c r="B189" s="4"/>
      <c r="C189" s="4"/>
      <c r="D189" s="4"/>
      <c r="E189" s="4"/>
      <c r="F189" s="4"/>
      <c r="G189" s="4"/>
      <c r="H189" s="4"/>
      <c r="I189" s="4"/>
      <c r="J189" s="4"/>
      <c r="K189" s="4"/>
      <c r="L189" s="4"/>
      <c r="M189" s="4"/>
      <c r="N189" s="4"/>
      <c r="O189" s="4"/>
      <c r="P189" s="4"/>
      <c r="Q189" s="4"/>
      <c r="R189" s="4"/>
      <c r="S189" s="4"/>
      <c r="T189" s="4"/>
      <c r="U189" s="4"/>
      <c r="V189" s="50"/>
      <c r="W189" s="4"/>
      <c r="X189" s="5"/>
    </row>
    <row r="190" spans="1:24" ht="15.75" x14ac:dyDescent="0.25">
      <c r="A190" s="6"/>
      <c r="B190" s="119" t="s">
        <v>65</v>
      </c>
      <c r="C190" s="8"/>
      <c r="D190" s="8"/>
      <c r="E190" s="8"/>
      <c r="F190" s="8"/>
      <c r="G190" s="8"/>
      <c r="H190" s="8"/>
      <c r="I190" s="8"/>
      <c r="J190" s="8"/>
      <c r="K190" s="8"/>
      <c r="L190" s="8"/>
      <c r="M190" s="8"/>
      <c r="N190" s="8"/>
      <c r="O190" s="8"/>
      <c r="P190" s="8"/>
      <c r="Q190" s="8"/>
      <c r="R190" s="8"/>
      <c r="S190" s="8"/>
      <c r="T190" s="8"/>
      <c r="U190" s="8"/>
      <c r="V190" s="65"/>
      <c r="W190" s="8"/>
      <c r="X190" s="5"/>
    </row>
    <row r="191" spans="1:24" ht="15.75" x14ac:dyDescent="0.25">
      <c r="A191" s="24"/>
      <c r="B191" s="25" t="s">
        <v>66</v>
      </c>
      <c r="C191" s="25"/>
      <c r="D191" s="25"/>
      <c r="E191" s="25"/>
      <c r="F191" s="25"/>
      <c r="G191" s="25"/>
      <c r="H191" s="25"/>
      <c r="I191" s="25"/>
      <c r="J191" s="25"/>
      <c r="K191" s="25"/>
      <c r="L191" s="25"/>
      <c r="M191" s="25"/>
      <c r="N191" s="25"/>
      <c r="O191" s="25"/>
      <c r="P191" s="25"/>
      <c r="Q191" s="25"/>
      <c r="R191" s="25"/>
      <c r="S191" s="25"/>
      <c r="T191" s="25"/>
      <c r="U191" s="25"/>
      <c r="V191" s="59">
        <f>(V102+V104+V105+V106+V107)/-(V108+V109)</f>
        <v>1.8190899001109877</v>
      </c>
      <c r="W191" s="25" t="s">
        <v>115</v>
      </c>
      <c r="X191" s="5"/>
    </row>
    <row r="192" spans="1:24" ht="15.75" x14ac:dyDescent="0.25">
      <c r="A192" s="24"/>
      <c r="B192" s="25" t="s">
        <v>67</v>
      </c>
      <c r="C192" s="25"/>
      <c r="D192" s="25"/>
      <c r="E192" s="25"/>
      <c r="F192" s="25"/>
      <c r="G192" s="25"/>
      <c r="H192" s="25"/>
      <c r="I192" s="25"/>
      <c r="J192" s="25"/>
      <c r="K192" s="25"/>
      <c r="L192" s="25"/>
      <c r="M192" s="25"/>
      <c r="N192" s="25"/>
      <c r="O192" s="25"/>
      <c r="P192" s="25"/>
      <c r="Q192" s="25"/>
      <c r="R192" s="25"/>
      <c r="S192" s="25"/>
      <c r="T192" s="25"/>
      <c r="U192" s="25"/>
      <c r="V192" s="66">
        <v>1.4</v>
      </c>
      <c r="W192" s="25" t="s">
        <v>115</v>
      </c>
      <c r="X192" s="5"/>
    </row>
    <row r="193" spans="1:24" ht="15.75" x14ac:dyDescent="0.25">
      <c r="A193" s="24"/>
      <c r="B193" s="25" t="s">
        <v>68</v>
      </c>
      <c r="C193" s="25"/>
      <c r="D193" s="25"/>
      <c r="E193" s="25"/>
      <c r="F193" s="25"/>
      <c r="G193" s="25"/>
      <c r="H193" s="25"/>
      <c r="I193" s="25"/>
      <c r="J193" s="25"/>
      <c r="K193" s="25"/>
      <c r="L193" s="25"/>
      <c r="M193" s="25"/>
      <c r="N193" s="25"/>
      <c r="O193" s="25"/>
      <c r="P193" s="25"/>
      <c r="Q193" s="25"/>
      <c r="R193" s="25"/>
      <c r="S193" s="25"/>
      <c r="T193" s="25"/>
      <c r="U193" s="25"/>
      <c r="V193" s="59">
        <f>(V102+V104+V105+V106+V107+V108+V109)/-(V110+V111)</f>
        <v>7.3984962406015038</v>
      </c>
      <c r="W193" s="25" t="s">
        <v>115</v>
      </c>
      <c r="X193" s="5"/>
    </row>
    <row r="194" spans="1:24" ht="15.75" x14ac:dyDescent="0.25">
      <c r="A194" s="24"/>
      <c r="B194" s="25" t="s">
        <v>69</v>
      </c>
      <c r="C194" s="25"/>
      <c r="D194" s="25"/>
      <c r="E194" s="25"/>
      <c r="F194" s="25"/>
      <c r="G194" s="25"/>
      <c r="H194" s="25"/>
      <c r="I194" s="25"/>
      <c r="J194" s="25"/>
      <c r="K194" s="25"/>
      <c r="L194" s="25"/>
      <c r="M194" s="25"/>
      <c r="N194" s="25"/>
      <c r="O194" s="25"/>
      <c r="P194" s="25"/>
      <c r="Q194" s="25"/>
      <c r="R194" s="25"/>
      <c r="S194" s="25"/>
      <c r="T194" s="25"/>
      <c r="U194" s="25"/>
      <c r="V194" s="66">
        <v>4.16</v>
      </c>
      <c r="W194" s="25" t="s">
        <v>115</v>
      </c>
      <c r="X194" s="5"/>
    </row>
    <row r="195" spans="1:24" ht="15.75" x14ac:dyDescent="0.25">
      <c r="A195" s="24"/>
      <c r="B195" s="25" t="s">
        <v>198</v>
      </c>
      <c r="C195" s="25"/>
      <c r="D195" s="25"/>
      <c r="E195" s="25"/>
      <c r="F195" s="25"/>
      <c r="G195" s="25"/>
      <c r="H195" s="25"/>
      <c r="I195" s="25"/>
      <c r="J195" s="25"/>
      <c r="K195" s="25"/>
      <c r="L195" s="25"/>
      <c r="M195" s="25"/>
      <c r="N195" s="25"/>
      <c r="O195" s="25"/>
      <c r="P195" s="25"/>
      <c r="Q195" s="25"/>
      <c r="R195" s="25"/>
      <c r="S195" s="25"/>
      <c r="T195" s="25"/>
      <c r="U195" s="25"/>
      <c r="V195" s="59">
        <f>(V102+V104+V105+V106+V107+V108+V109+V110+V111)/-(V112)</f>
        <v>5.5620915032679736</v>
      </c>
      <c r="W195" s="25" t="s">
        <v>115</v>
      </c>
      <c r="X195" s="5"/>
    </row>
    <row r="196" spans="1:24" ht="15.75" x14ac:dyDescent="0.25">
      <c r="A196" s="24"/>
      <c r="B196" s="25" t="s">
        <v>199</v>
      </c>
      <c r="C196" s="25"/>
      <c r="D196" s="25"/>
      <c r="E196" s="25"/>
      <c r="F196" s="25"/>
      <c r="G196" s="25"/>
      <c r="H196" s="25"/>
      <c r="I196" s="25"/>
      <c r="J196" s="25"/>
      <c r="K196" s="25"/>
      <c r="L196" s="25"/>
      <c r="M196" s="25"/>
      <c r="N196" s="25"/>
      <c r="O196" s="25"/>
      <c r="P196" s="25"/>
      <c r="Q196" s="25"/>
      <c r="R196" s="25"/>
      <c r="S196" s="25"/>
      <c r="T196" s="25"/>
      <c r="U196" s="25"/>
      <c r="V196" s="66">
        <v>2.99</v>
      </c>
      <c r="W196" s="25" t="s">
        <v>115</v>
      </c>
      <c r="X196" s="5"/>
    </row>
    <row r="197" spans="1:24" ht="15.75" x14ac:dyDescent="0.25">
      <c r="A197" s="24"/>
      <c r="B197" s="25"/>
      <c r="C197" s="25"/>
      <c r="D197" s="25"/>
      <c r="E197" s="25"/>
      <c r="F197" s="25"/>
      <c r="G197" s="25"/>
      <c r="H197" s="25"/>
      <c r="I197" s="25"/>
      <c r="J197" s="25"/>
      <c r="K197" s="25"/>
      <c r="L197" s="25"/>
      <c r="M197" s="25"/>
      <c r="N197" s="25"/>
      <c r="O197" s="25"/>
      <c r="P197" s="25"/>
      <c r="Q197" s="25"/>
      <c r="R197" s="25"/>
      <c r="S197" s="25"/>
      <c r="T197" s="25"/>
      <c r="U197" s="25"/>
      <c r="V197" s="25"/>
      <c r="W197" s="25"/>
      <c r="X197" s="5"/>
    </row>
    <row r="198" spans="1:24" ht="15.75" x14ac:dyDescent="0.25">
      <c r="A198" s="24"/>
      <c r="B198" s="25"/>
      <c r="C198" s="25"/>
      <c r="D198" s="25"/>
      <c r="E198" s="25"/>
      <c r="F198" s="25"/>
      <c r="G198" s="25"/>
      <c r="H198" s="25"/>
      <c r="I198" s="25"/>
      <c r="J198" s="25"/>
      <c r="K198" s="25"/>
      <c r="L198" s="25"/>
      <c r="M198" s="25"/>
      <c r="N198" s="25"/>
      <c r="O198" s="25"/>
      <c r="P198" s="25"/>
      <c r="Q198" s="25"/>
      <c r="R198" s="25"/>
      <c r="S198" s="25"/>
      <c r="T198" s="25"/>
      <c r="U198" s="25"/>
      <c r="V198" s="25"/>
      <c r="W198" s="25"/>
      <c r="X198" s="5"/>
    </row>
    <row r="199" spans="1:24" ht="15.75" x14ac:dyDescent="0.25">
      <c r="A199" s="6"/>
      <c r="B199" s="8"/>
      <c r="C199" s="8"/>
      <c r="D199" s="8"/>
      <c r="E199" s="8"/>
      <c r="F199" s="8"/>
      <c r="G199" s="8"/>
      <c r="H199" s="8"/>
      <c r="I199" s="8"/>
      <c r="J199" s="8"/>
      <c r="K199" s="8"/>
      <c r="L199" s="8"/>
      <c r="M199" s="8"/>
      <c r="N199" s="8"/>
      <c r="O199" s="8"/>
      <c r="P199" s="8"/>
      <c r="Q199" s="8"/>
      <c r="R199" s="8"/>
      <c r="S199" s="8"/>
      <c r="T199" s="8"/>
      <c r="U199" s="8"/>
      <c r="V199" s="8"/>
      <c r="W199" s="8"/>
      <c r="X199" s="5"/>
    </row>
    <row r="200" spans="1:24" ht="19.5" thickBot="1" x14ac:dyDescent="0.35">
      <c r="A200" s="101"/>
      <c r="B200" s="102" t="str">
        <f>B135</f>
        <v>PM15 INVESTOR REPORT QUARTER ENDING MAY 2009</v>
      </c>
      <c r="C200" s="176"/>
      <c r="D200" s="176"/>
      <c r="E200" s="176"/>
      <c r="F200" s="176"/>
      <c r="G200" s="176"/>
      <c r="H200" s="176"/>
      <c r="I200" s="176"/>
      <c r="J200" s="176"/>
      <c r="K200" s="176"/>
      <c r="L200" s="176"/>
      <c r="M200" s="176"/>
      <c r="N200" s="176"/>
      <c r="O200" s="176"/>
      <c r="P200" s="176"/>
      <c r="Q200" s="176"/>
      <c r="R200" s="176"/>
      <c r="S200" s="176"/>
      <c r="T200" s="176"/>
      <c r="U200" s="176"/>
      <c r="V200" s="176"/>
      <c r="W200" s="177"/>
      <c r="X200" s="5"/>
    </row>
    <row r="201" spans="1:24" ht="15.75" x14ac:dyDescent="0.25">
      <c r="A201" s="67"/>
      <c r="B201" s="60" t="s">
        <v>70</v>
      </c>
      <c r="C201" s="68"/>
      <c r="D201" s="68"/>
      <c r="E201" s="68"/>
      <c r="F201" s="68"/>
      <c r="G201" s="69"/>
      <c r="H201" s="69"/>
      <c r="I201" s="69"/>
      <c r="J201" s="69"/>
      <c r="K201" s="69"/>
      <c r="L201" s="69"/>
      <c r="M201" s="69"/>
      <c r="N201" s="69"/>
      <c r="O201" s="69"/>
      <c r="P201" s="69"/>
      <c r="Q201" s="69"/>
      <c r="R201" s="69"/>
      <c r="S201" s="69"/>
      <c r="T201" s="70">
        <v>39962</v>
      </c>
      <c r="U201" s="4"/>
      <c r="V201" s="4"/>
      <c r="W201" s="4"/>
      <c r="X201" s="5"/>
    </row>
    <row r="202" spans="1:24" ht="15.75" x14ac:dyDescent="0.25">
      <c r="A202" s="71"/>
      <c r="B202" s="72"/>
      <c r="C202" s="73"/>
      <c r="D202" s="73"/>
      <c r="E202" s="73"/>
      <c r="F202" s="73"/>
      <c r="G202" s="74"/>
      <c r="H202" s="74"/>
      <c r="I202" s="74"/>
      <c r="J202" s="74"/>
      <c r="K202" s="74"/>
      <c r="L202" s="74"/>
      <c r="M202" s="74"/>
      <c r="N202" s="74"/>
      <c r="O202" s="74"/>
      <c r="P202" s="74"/>
      <c r="Q202" s="74"/>
      <c r="R202" s="74"/>
      <c r="S202" s="74"/>
      <c r="T202" s="74"/>
      <c r="U202" s="8"/>
      <c r="V202" s="8"/>
      <c r="W202" s="8"/>
      <c r="X202" s="5"/>
    </row>
    <row r="203" spans="1:24" ht="15.75" x14ac:dyDescent="0.25">
      <c r="A203" s="75"/>
      <c r="B203" s="76" t="s">
        <v>71</v>
      </c>
      <c r="C203" s="77"/>
      <c r="D203" s="77"/>
      <c r="E203" s="77"/>
      <c r="F203" s="77"/>
      <c r="G203" s="64"/>
      <c r="H203" s="64"/>
      <c r="I203" s="64"/>
      <c r="J203" s="64"/>
      <c r="K203" s="64"/>
      <c r="L203" s="64"/>
      <c r="M203" s="64"/>
      <c r="N203" s="64"/>
      <c r="O203" s="64"/>
      <c r="P203" s="64"/>
      <c r="Q203" s="64"/>
      <c r="R203" s="64"/>
      <c r="S203" s="64"/>
      <c r="T203" s="78">
        <v>5.3830000000000003E-2</v>
      </c>
      <c r="U203" s="25"/>
      <c r="V203" s="25"/>
      <c r="W203" s="25"/>
      <c r="X203" s="5"/>
    </row>
    <row r="204" spans="1:24" ht="15.75" x14ac:dyDescent="0.25">
      <c r="A204" s="75"/>
      <c r="B204" s="76" t="s">
        <v>151</v>
      </c>
      <c r="C204" s="77"/>
      <c r="D204" s="77"/>
      <c r="E204" s="77"/>
      <c r="F204" s="77"/>
      <c r="G204" s="64"/>
      <c r="H204" s="64"/>
      <c r="I204" s="64"/>
      <c r="J204" s="64"/>
      <c r="K204" s="64"/>
      <c r="L204" s="64"/>
      <c r="M204" s="64"/>
      <c r="N204" s="64"/>
      <c r="O204" s="64"/>
      <c r="P204" s="64"/>
      <c r="Q204" s="64"/>
      <c r="R204" s="64"/>
      <c r="S204" s="64"/>
      <c r="T204" s="39">
        <v>6.25E-2</v>
      </c>
      <c r="U204" s="25"/>
      <c r="V204" s="25"/>
      <c r="W204" s="25"/>
      <c r="X204" s="5"/>
    </row>
    <row r="205" spans="1:24" ht="15.75" x14ac:dyDescent="0.25">
      <c r="A205" s="75"/>
      <c r="B205" s="76" t="s">
        <v>72</v>
      </c>
      <c r="C205" s="77"/>
      <c r="D205" s="77"/>
      <c r="E205" s="77"/>
      <c r="F205" s="77"/>
      <c r="G205" s="64"/>
      <c r="H205" s="64"/>
      <c r="I205" s="64"/>
      <c r="J205" s="64"/>
      <c r="K205" s="64"/>
      <c r="L205" s="64"/>
      <c r="M205" s="64"/>
      <c r="N205" s="64"/>
      <c r="O205" s="64"/>
      <c r="P205" s="64"/>
      <c r="Q205" s="64"/>
      <c r="R205" s="64"/>
      <c r="S205" s="64"/>
      <c r="T205" s="78">
        <f>T203-T204</f>
        <v>-8.6699999999999972E-3</v>
      </c>
      <c r="U205" s="25"/>
      <c r="V205" s="25"/>
      <c r="W205" s="25"/>
      <c r="X205" s="5"/>
    </row>
    <row r="206" spans="1:24" ht="15.75" x14ac:dyDescent="0.25">
      <c r="A206" s="75"/>
      <c r="B206" s="76" t="s">
        <v>73</v>
      </c>
      <c r="C206" s="77"/>
      <c r="D206" s="77"/>
      <c r="E206" s="77"/>
      <c r="F206" s="77"/>
      <c r="G206" s="64"/>
      <c r="H206" s="64"/>
      <c r="I206" s="64"/>
      <c r="J206" s="64"/>
      <c r="K206" s="64"/>
      <c r="L206" s="64"/>
      <c r="M206" s="64"/>
      <c r="N206" s="64"/>
      <c r="O206" s="64"/>
      <c r="P206" s="64"/>
      <c r="Q206" s="64"/>
      <c r="R206" s="64"/>
      <c r="S206" s="64"/>
      <c r="T206" s="78">
        <v>4.1669999999999999E-2</v>
      </c>
      <c r="U206" s="25"/>
      <c r="V206" s="25"/>
      <c r="W206" s="25"/>
      <c r="X206" s="5"/>
    </row>
    <row r="207" spans="1:24" ht="15.75" x14ac:dyDescent="0.25">
      <c r="A207" s="75"/>
      <c r="B207" s="76" t="s">
        <v>218</v>
      </c>
      <c r="C207" s="77"/>
      <c r="D207" s="77"/>
      <c r="E207" s="77"/>
      <c r="F207" s="77"/>
      <c r="G207" s="64"/>
      <c r="H207" s="64"/>
      <c r="I207" s="64"/>
      <c r="J207" s="64"/>
      <c r="K207" s="64"/>
      <c r="L207" s="64"/>
      <c r="M207" s="64"/>
      <c r="N207" s="64"/>
      <c r="O207" s="64"/>
      <c r="P207" s="64"/>
      <c r="Q207" s="64"/>
      <c r="R207" s="64"/>
      <c r="S207" s="64"/>
      <c r="T207" s="78">
        <f>V43</f>
        <v>2.0144478457688544E-2</v>
      </c>
      <c r="U207" s="25"/>
      <c r="V207" s="25"/>
      <c r="W207" s="25"/>
      <c r="X207" s="5"/>
    </row>
    <row r="208" spans="1:24" ht="15.75" x14ac:dyDescent="0.25">
      <c r="A208" s="75"/>
      <c r="B208" s="76" t="s">
        <v>74</v>
      </c>
      <c r="C208" s="77"/>
      <c r="D208" s="77"/>
      <c r="E208" s="77"/>
      <c r="F208" s="77"/>
      <c r="G208" s="64"/>
      <c r="H208" s="64"/>
      <c r="I208" s="64"/>
      <c r="J208" s="64"/>
      <c r="K208" s="64"/>
      <c r="L208" s="64"/>
      <c r="M208" s="64"/>
      <c r="N208" s="64"/>
      <c r="O208" s="64"/>
      <c r="P208" s="64"/>
      <c r="Q208" s="64"/>
      <c r="R208" s="64"/>
      <c r="S208" s="64"/>
      <c r="T208" s="78">
        <f>T206-T207</f>
        <v>2.1525521542311455E-2</v>
      </c>
      <c r="U208" s="25"/>
      <c r="V208" s="25"/>
      <c r="W208" s="25"/>
      <c r="X208" s="5"/>
    </row>
    <row r="209" spans="1:24" ht="15.75" x14ac:dyDescent="0.25">
      <c r="A209" s="75"/>
      <c r="B209" s="76" t="s">
        <v>227</v>
      </c>
      <c r="C209" s="77"/>
      <c r="D209" s="77"/>
      <c r="E209" s="77"/>
      <c r="F209" s="77"/>
      <c r="G209" s="64"/>
      <c r="H209" s="64"/>
      <c r="I209" s="64"/>
      <c r="J209" s="64"/>
      <c r="K209" s="64"/>
      <c r="L209" s="64"/>
      <c r="M209" s="64"/>
      <c r="N209" s="64"/>
      <c r="O209" s="64"/>
      <c r="P209" s="64"/>
      <c r="Q209" s="64"/>
      <c r="R209" s="64"/>
      <c r="S209" s="64"/>
      <c r="T209" s="78">
        <f>V102/N72</f>
        <v>1.2751884031224786E-2</v>
      </c>
      <c r="U209" s="25"/>
      <c r="V209" s="25"/>
      <c r="W209" s="25"/>
      <c r="X209" s="5"/>
    </row>
    <row r="210" spans="1:24" ht="15.75" x14ac:dyDescent="0.25">
      <c r="A210" s="75"/>
      <c r="B210" s="76" t="s">
        <v>207</v>
      </c>
      <c r="C210" s="77"/>
      <c r="D210" s="77"/>
      <c r="E210" s="77"/>
      <c r="F210" s="77"/>
      <c r="G210" s="64"/>
      <c r="H210" s="64"/>
      <c r="I210" s="64"/>
      <c r="J210" s="64"/>
      <c r="K210" s="64"/>
      <c r="L210" s="64"/>
      <c r="M210" s="64"/>
      <c r="N210" s="64"/>
      <c r="O210" s="64"/>
      <c r="P210" s="64"/>
      <c r="Q210" s="64"/>
      <c r="R210" s="64"/>
      <c r="S210" s="64"/>
      <c r="T210" s="172">
        <v>51105</v>
      </c>
      <c r="U210" s="25"/>
      <c r="V210" s="25"/>
      <c r="W210" s="25"/>
      <c r="X210" s="5"/>
    </row>
    <row r="211" spans="1:24" ht="15.75" x14ac:dyDescent="0.25">
      <c r="A211" s="75"/>
      <c r="B211" s="76" t="s">
        <v>208</v>
      </c>
      <c r="C211" s="77"/>
      <c r="D211" s="77"/>
      <c r="E211" s="77"/>
      <c r="F211" s="77"/>
      <c r="G211" s="64"/>
      <c r="H211" s="64"/>
      <c r="I211" s="64"/>
      <c r="J211" s="64"/>
      <c r="K211" s="64"/>
      <c r="L211" s="64"/>
      <c r="M211" s="64"/>
      <c r="N211" s="64"/>
      <c r="O211" s="64"/>
      <c r="P211" s="64"/>
      <c r="Q211" s="64"/>
      <c r="R211" s="64"/>
      <c r="S211" s="64"/>
      <c r="T211" s="172">
        <v>51105</v>
      </c>
      <c r="U211" s="25"/>
      <c r="V211" s="25"/>
      <c r="W211" s="25"/>
      <c r="X211" s="5"/>
    </row>
    <row r="212" spans="1:24" ht="15.75" x14ac:dyDescent="0.25">
      <c r="A212" s="75"/>
      <c r="B212" s="76" t="s">
        <v>209</v>
      </c>
      <c r="C212" s="77"/>
      <c r="D212" s="77"/>
      <c r="E212" s="77"/>
      <c r="F212" s="77"/>
      <c r="G212" s="64"/>
      <c r="H212" s="64"/>
      <c r="I212" s="64"/>
      <c r="J212" s="64"/>
      <c r="K212" s="64"/>
      <c r="L212" s="64"/>
      <c r="M212" s="64"/>
      <c r="N212" s="64"/>
      <c r="O212" s="64"/>
      <c r="P212" s="64"/>
      <c r="Q212" s="64"/>
      <c r="R212" s="64"/>
      <c r="S212" s="64"/>
      <c r="T212" s="172">
        <v>51105</v>
      </c>
      <c r="U212" s="25"/>
      <c r="V212" s="25"/>
      <c r="W212" s="25"/>
      <c r="X212" s="5"/>
    </row>
    <row r="213" spans="1:24" ht="15.75" x14ac:dyDescent="0.25">
      <c r="A213" s="75"/>
      <c r="B213" s="76" t="s">
        <v>75</v>
      </c>
      <c r="C213" s="77"/>
      <c r="D213" s="77"/>
      <c r="E213" s="77"/>
      <c r="F213" s="77"/>
      <c r="G213" s="64"/>
      <c r="H213" s="64"/>
      <c r="I213" s="64"/>
      <c r="J213" s="64"/>
      <c r="K213" s="64"/>
      <c r="L213" s="64"/>
      <c r="M213" s="64"/>
      <c r="N213" s="64"/>
      <c r="O213" s="64"/>
      <c r="P213" s="64"/>
      <c r="Q213" s="64"/>
      <c r="R213" s="64"/>
      <c r="S213" s="64"/>
      <c r="T213" s="132">
        <v>21.06</v>
      </c>
      <c r="U213" s="25" t="s">
        <v>110</v>
      </c>
      <c r="V213" s="25"/>
      <c r="W213" s="25"/>
      <c r="X213" s="5"/>
    </row>
    <row r="214" spans="1:24" ht="15.75" x14ac:dyDescent="0.25">
      <c r="A214" s="75"/>
      <c r="B214" s="76" t="s">
        <v>76</v>
      </c>
      <c r="C214" s="77"/>
      <c r="D214" s="77"/>
      <c r="E214" s="77"/>
      <c r="F214" s="77"/>
      <c r="G214" s="64"/>
      <c r="H214" s="64"/>
      <c r="I214" s="64"/>
      <c r="J214" s="64"/>
      <c r="K214" s="64"/>
      <c r="L214" s="64"/>
      <c r="M214" s="64"/>
      <c r="N214" s="64"/>
      <c r="O214" s="64"/>
      <c r="P214" s="64"/>
      <c r="Q214" s="64"/>
      <c r="R214" s="64"/>
      <c r="S214" s="64"/>
      <c r="T214" s="132">
        <v>19.309999999999999</v>
      </c>
      <c r="U214" s="25" t="s">
        <v>110</v>
      </c>
      <c r="V214" s="25"/>
      <c r="W214" s="25"/>
      <c r="X214" s="5"/>
    </row>
    <row r="215" spans="1:24" ht="15.75" x14ac:dyDescent="0.25">
      <c r="A215" s="75"/>
      <c r="B215" s="76" t="s">
        <v>77</v>
      </c>
      <c r="C215" s="77"/>
      <c r="D215" s="77"/>
      <c r="E215" s="77"/>
      <c r="F215" s="77"/>
      <c r="G215" s="64"/>
      <c r="H215" s="64"/>
      <c r="I215" s="64"/>
      <c r="J215" s="64"/>
      <c r="K215" s="64"/>
      <c r="L215" s="64"/>
      <c r="M215" s="64"/>
      <c r="N215" s="64"/>
      <c r="O215" s="64"/>
      <c r="P215" s="64"/>
      <c r="Q215" s="64"/>
      <c r="R215" s="64"/>
      <c r="S215" s="64"/>
      <c r="T215" s="78">
        <f>+P69/N69</f>
        <v>9.3939929308740309E-3</v>
      </c>
      <c r="U215" s="25"/>
      <c r="V215" s="25"/>
      <c r="W215" s="25"/>
      <c r="X215" s="5"/>
    </row>
    <row r="216" spans="1:24" ht="15.75" x14ac:dyDescent="0.25">
      <c r="A216" s="75"/>
      <c r="B216" s="76" t="s">
        <v>78</v>
      </c>
      <c r="C216" s="77"/>
      <c r="D216" s="77"/>
      <c r="E216" s="77"/>
      <c r="F216" s="77"/>
      <c r="G216" s="64"/>
      <c r="H216" s="64"/>
      <c r="I216" s="64"/>
      <c r="J216" s="64"/>
      <c r="K216" s="64"/>
      <c r="L216" s="64"/>
      <c r="M216" s="64"/>
      <c r="N216" s="64"/>
      <c r="O216" s="64"/>
      <c r="P216" s="64"/>
      <c r="Q216" s="64"/>
      <c r="R216" s="64"/>
      <c r="S216" s="64"/>
      <c r="T216" s="78">
        <v>7.1099999999999997E-2</v>
      </c>
      <c r="U216" s="25"/>
      <c r="V216" s="25"/>
      <c r="W216" s="25"/>
      <c r="X216" s="5"/>
    </row>
    <row r="217" spans="1:24" ht="15.75" x14ac:dyDescent="0.25">
      <c r="A217" s="75"/>
      <c r="B217" s="76"/>
      <c r="C217" s="76"/>
      <c r="D217" s="76"/>
      <c r="E217" s="76"/>
      <c r="F217" s="76"/>
      <c r="G217" s="25"/>
      <c r="H217" s="25"/>
      <c r="I217" s="25"/>
      <c r="J217" s="25"/>
      <c r="K217" s="25"/>
      <c r="L217" s="25"/>
      <c r="M217" s="25"/>
      <c r="N217" s="25"/>
      <c r="O217" s="25"/>
      <c r="P217" s="25"/>
      <c r="Q217" s="25"/>
      <c r="R217" s="25"/>
      <c r="S217" s="25"/>
      <c r="T217" s="61"/>
      <c r="U217" s="25"/>
      <c r="V217" s="79"/>
      <c r="W217" s="25"/>
      <c r="X217" s="5"/>
    </row>
    <row r="218" spans="1:24" ht="15.75" x14ac:dyDescent="0.25">
      <c r="A218" s="80"/>
      <c r="B218" s="14" t="s">
        <v>79</v>
      </c>
      <c r="C218" s="81"/>
      <c r="D218" s="81"/>
      <c r="E218" s="81"/>
      <c r="F218" s="82"/>
      <c r="G218" s="81"/>
      <c r="H218" s="17"/>
      <c r="I218" s="17"/>
      <c r="J218" s="17"/>
      <c r="K218" s="17"/>
      <c r="L218" s="17"/>
      <c r="M218" s="17"/>
      <c r="N218" s="17"/>
      <c r="O218" s="17"/>
      <c r="P218" s="17"/>
      <c r="Q218" s="17"/>
      <c r="R218" s="17"/>
      <c r="S218" s="17" t="s">
        <v>102</v>
      </c>
      <c r="T218" s="83" t="s">
        <v>108</v>
      </c>
      <c r="U218" s="8"/>
      <c r="V218" s="8"/>
      <c r="W218" s="8"/>
      <c r="X218" s="5"/>
    </row>
    <row r="219" spans="1:24" ht="15.75" x14ac:dyDescent="0.25">
      <c r="A219" s="84"/>
      <c r="B219" s="76" t="s">
        <v>80</v>
      </c>
      <c r="C219" s="54"/>
      <c r="D219" s="54"/>
      <c r="E219" s="54"/>
      <c r="F219" s="25"/>
      <c r="G219" s="25"/>
      <c r="H219" s="30"/>
      <c r="I219" s="30"/>
      <c r="J219" s="30"/>
      <c r="K219" s="30"/>
      <c r="L219" s="30"/>
      <c r="M219" s="30"/>
      <c r="N219" s="30"/>
      <c r="O219" s="30"/>
      <c r="P219" s="30"/>
      <c r="Q219" s="30"/>
      <c r="R219" s="30"/>
      <c r="S219" s="30">
        <v>0</v>
      </c>
      <c r="T219" s="85">
        <v>0</v>
      </c>
      <c r="U219" s="25"/>
      <c r="V219" s="79"/>
      <c r="W219" s="86"/>
      <c r="X219" s="5"/>
    </row>
    <row r="220" spans="1:24" ht="15.75" x14ac:dyDescent="0.25">
      <c r="A220" s="84"/>
      <c r="B220" s="76" t="s">
        <v>145</v>
      </c>
      <c r="C220" s="54"/>
      <c r="D220" s="54"/>
      <c r="E220" s="54"/>
      <c r="F220" s="25"/>
      <c r="G220" s="25"/>
      <c r="H220" s="30"/>
      <c r="I220" s="30"/>
      <c r="J220" s="30"/>
      <c r="K220" s="30"/>
      <c r="L220" s="30"/>
      <c r="M220" s="30"/>
      <c r="N220" s="30"/>
      <c r="O220" s="30"/>
      <c r="P220" s="30"/>
      <c r="Q220" s="30"/>
      <c r="R220" s="30"/>
      <c r="S220" s="148">
        <f>+R260</f>
        <v>129</v>
      </c>
      <c r="T220" s="85">
        <f>+T260</f>
        <v>20246</v>
      </c>
      <c r="U220" s="25"/>
      <c r="V220" s="79"/>
      <c r="W220" s="86"/>
      <c r="X220" s="5"/>
    </row>
    <row r="221" spans="1:24" ht="15.75" x14ac:dyDescent="0.25">
      <c r="A221" s="84"/>
      <c r="B221" s="76" t="s">
        <v>81</v>
      </c>
      <c r="C221" s="54"/>
      <c r="D221" s="54"/>
      <c r="E221" s="54"/>
      <c r="F221" s="25"/>
      <c r="G221" s="25"/>
      <c r="H221" s="30"/>
      <c r="I221" s="30"/>
      <c r="J221" s="30"/>
      <c r="K221" s="30"/>
      <c r="L221" s="30"/>
      <c r="M221" s="30"/>
      <c r="N221" s="30"/>
      <c r="O221" s="30"/>
      <c r="P221" s="30"/>
      <c r="Q221" s="30"/>
      <c r="R221" s="30"/>
      <c r="S221" s="148">
        <f>+R272</f>
        <v>1</v>
      </c>
      <c r="T221" s="85">
        <f>+T272:T272</f>
        <v>117</v>
      </c>
      <c r="U221" s="25"/>
      <c r="V221" s="79"/>
      <c r="W221" s="86"/>
      <c r="X221" s="5"/>
    </row>
    <row r="222" spans="1:24" ht="15.75" x14ac:dyDescent="0.25">
      <c r="A222" s="84"/>
      <c r="B222" s="122" t="s">
        <v>82</v>
      </c>
      <c r="C222" s="54"/>
      <c r="D222" s="54"/>
      <c r="E222" s="54"/>
      <c r="F222" s="25"/>
      <c r="G222" s="25"/>
      <c r="H222" s="25"/>
      <c r="I222" s="25"/>
      <c r="J222" s="25"/>
      <c r="K222" s="25"/>
      <c r="L222" s="25"/>
      <c r="M222" s="25"/>
      <c r="N222" s="25"/>
      <c r="O222" s="25"/>
      <c r="P222" s="25"/>
      <c r="Q222" s="25"/>
      <c r="R222" s="25"/>
      <c r="S222" s="25"/>
      <c r="T222" s="85">
        <v>0</v>
      </c>
      <c r="U222" s="25"/>
      <c r="V222" s="79"/>
      <c r="W222" s="86"/>
      <c r="X222" s="5"/>
    </row>
    <row r="223" spans="1:24" ht="15.75" x14ac:dyDescent="0.25">
      <c r="A223" s="84"/>
      <c r="B223" s="122" t="s">
        <v>228</v>
      </c>
      <c r="C223" s="54"/>
      <c r="D223" s="54"/>
      <c r="E223" s="54"/>
      <c r="F223" s="25"/>
      <c r="G223" s="25"/>
      <c r="H223" s="25"/>
      <c r="I223" s="25"/>
      <c r="J223" s="25"/>
      <c r="K223" s="25"/>
      <c r="L223" s="25"/>
      <c r="M223" s="25"/>
      <c r="N223" s="25"/>
      <c r="O223" s="25"/>
      <c r="P223" s="25"/>
      <c r="Q223" s="25"/>
      <c r="R223" s="25"/>
      <c r="S223" s="25"/>
      <c r="T223" s="85">
        <f>+N82</f>
        <v>0</v>
      </c>
      <c r="U223" s="25"/>
      <c r="V223" s="79"/>
      <c r="W223" s="86"/>
      <c r="X223" s="5"/>
    </row>
    <row r="224" spans="1:24" ht="15.75" x14ac:dyDescent="0.25">
      <c r="A224" s="87"/>
      <c r="B224" s="122" t="s">
        <v>83</v>
      </c>
      <c r="C224" s="76"/>
      <c r="D224" s="76"/>
      <c r="E224" s="76"/>
      <c r="F224" s="76"/>
      <c r="G224" s="25"/>
      <c r="H224" s="25"/>
      <c r="I224" s="25"/>
      <c r="J224" s="25"/>
      <c r="K224" s="25"/>
      <c r="L224" s="25"/>
      <c r="M224" s="25"/>
      <c r="N224" s="25"/>
      <c r="O224" s="25"/>
      <c r="P224" s="25"/>
      <c r="Q224" s="25"/>
      <c r="R224" s="25"/>
      <c r="S224" s="25"/>
      <c r="T224" s="85"/>
      <c r="U224" s="25"/>
      <c r="V224" s="79"/>
      <c r="W224" s="88"/>
      <c r="X224" s="5"/>
    </row>
    <row r="225" spans="1:25" ht="15.75" x14ac:dyDescent="0.25">
      <c r="A225" s="87"/>
      <c r="B225" s="130" t="s">
        <v>84</v>
      </c>
      <c r="C225" s="76"/>
      <c r="D225" s="76"/>
      <c r="E225" s="76"/>
      <c r="F225" s="76"/>
      <c r="G225" s="25"/>
      <c r="H225" s="25"/>
      <c r="I225" s="25"/>
      <c r="J225" s="25"/>
      <c r="K225" s="25"/>
      <c r="L225" s="25"/>
      <c r="M225" s="25"/>
      <c r="N225" s="25"/>
      <c r="O225" s="25"/>
      <c r="P225" s="25"/>
      <c r="Q225" s="25"/>
      <c r="R225" s="25"/>
      <c r="S225" s="30"/>
      <c r="T225" s="85">
        <f>V164</f>
        <v>2</v>
      </c>
      <c r="U225" s="25"/>
      <c r="V225" s="79"/>
      <c r="W225" s="88"/>
      <c r="X225" s="5"/>
    </row>
    <row r="226" spans="1:25" ht="15.75" x14ac:dyDescent="0.25">
      <c r="A226" s="84"/>
      <c r="B226" s="76" t="s">
        <v>85</v>
      </c>
      <c r="C226" s="54"/>
      <c r="D226" s="54"/>
      <c r="E226" s="54"/>
      <c r="F226" s="54"/>
      <c r="G226" s="25"/>
      <c r="H226" s="25"/>
      <c r="I226" s="25"/>
      <c r="J226" s="25"/>
      <c r="K226" s="25"/>
      <c r="L226" s="25"/>
      <c r="M226" s="25"/>
      <c r="N226" s="25"/>
      <c r="O226" s="25"/>
      <c r="P226" s="25"/>
      <c r="Q226" s="25"/>
      <c r="R226" s="25"/>
      <c r="S226" s="30"/>
      <c r="T226" s="85">
        <f>+'Feb 09'!T226+T225</f>
        <v>255</v>
      </c>
      <c r="U226" s="25"/>
      <c r="V226" s="79"/>
      <c r="W226" s="88"/>
      <c r="X226" s="5"/>
    </row>
    <row r="227" spans="1:25" ht="15.75" x14ac:dyDescent="0.25">
      <c r="A227" s="87"/>
      <c r="B227" s="122" t="s">
        <v>285</v>
      </c>
      <c r="C227" s="76"/>
      <c r="D227" s="76"/>
      <c r="E227" s="76"/>
      <c r="F227" s="76"/>
      <c r="G227" s="25"/>
      <c r="H227" s="25"/>
      <c r="I227" s="25"/>
      <c r="J227" s="25"/>
      <c r="K227" s="25"/>
      <c r="L227" s="25"/>
      <c r="M227" s="25"/>
      <c r="N227" s="25"/>
      <c r="O227" s="25"/>
      <c r="P227" s="25"/>
      <c r="Q227" s="25"/>
      <c r="R227" s="25"/>
      <c r="S227" s="30"/>
      <c r="T227" s="85"/>
      <c r="U227" s="25"/>
      <c r="V227" s="79"/>
      <c r="W227" s="88"/>
      <c r="X227" s="5"/>
    </row>
    <row r="228" spans="1:25" ht="15.75" x14ac:dyDescent="0.25">
      <c r="A228" s="87"/>
      <c r="B228" s="76" t="s">
        <v>282</v>
      </c>
      <c r="C228" s="76"/>
      <c r="D228" s="76"/>
      <c r="E228" s="76"/>
      <c r="F228" s="76"/>
      <c r="G228" s="25"/>
      <c r="H228" s="25"/>
      <c r="I228" s="25"/>
      <c r="J228" s="25"/>
      <c r="K228" s="25"/>
      <c r="L228" s="25"/>
      <c r="M228" s="25"/>
      <c r="N228" s="25"/>
      <c r="O228" s="25"/>
      <c r="P228" s="25"/>
      <c r="Q228" s="25"/>
      <c r="R228" s="25"/>
      <c r="S228" s="30">
        <v>0</v>
      </c>
      <c r="T228" s="85">
        <v>0</v>
      </c>
      <c r="U228" s="25"/>
      <c r="V228" s="79"/>
      <c r="W228" s="88"/>
      <c r="X228" s="5"/>
    </row>
    <row r="229" spans="1:25" ht="15.75" x14ac:dyDescent="0.25">
      <c r="A229" s="84"/>
      <c r="B229" s="76" t="s">
        <v>86</v>
      </c>
      <c r="C229" s="89"/>
      <c r="D229" s="89"/>
      <c r="E229" s="89"/>
      <c r="F229" s="90"/>
      <c r="G229" s="25"/>
      <c r="H229" s="25"/>
      <c r="I229" s="25"/>
      <c r="J229" s="25"/>
      <c r="K229" s="25"/>
      <c r="L229" s="25"/>
      <c r="M229" s="25"/>
      <c r="N229" s="25"/>
      <c r="O229" s="25"/>
      <c r="P229" s="25"/>
      <c r="Q229" s="25"/>
      <c r="R229" s="25"/>
      <c r="S229" s="25"/>
      <c r="T229" s="62">
        <v>0</v>
      </c>
      <c r="U229" s="25"/>
      <c r="V229" s="79"/>
      <c r="W229" s="88"/>
      <c r="X229" s="5"/>
    </row>
    <row r="230" spans="1:25" ht="15.75" x14ac:dyDescent="0.25">
      <c r="A230" s="84"/>
      <c r="B230" s="76" t="s">
        <v>87</v>
      </c>
      <c r="C230" s="89"/>
      <c r="D230" s="89"/>
      <c r="E230" s="89"/>
      <c r="F230" s="90"/>
      <c r="G230" s="25"/>
      <c r="H230" s="25"/>
      <c r="I230" s="25"/>
      <c r="J230" s="25"/>
      <c r="K230" s="25"/>
      <c r="L230" s="25"/>
      <c r="M230" s="25"/>
      <c r="N230" s="25"/>
      <c r="O230" s="25"/>
      <c r="P230" s="25"/>
      <c r="Q230" s="25"/>
      <c r="R230" s="25"/>
      <c r="S230" s="25"/>
      <c r="T230" s="62">
        <v>0</v>
      </c>
      <c r="U230" s="25"/>
      <c r="V230" s="79"/>
      <c r="W230" s="88"/>
      <c r="X230" s="5"/>
    </row>
    <row r="231" spans="1:25" ht="15.75" x14ac:dyDescent="0.25">
      <c r="A231" s="84"/>
      <c r="B231" s="122" t="s">
        <v>216</v>
      </c>
      <c r="C231" s="89"/>
      <c r="D231" s="89"/>
      <c r="E231" s="89"/>
      <c r="F231" s="90"/>
      <c r="G231" s="25"/>
      <c r="H231" s="25"/>
      <c r="I231" s="25"/>
      <c r="J231" s="25"/>
      <c r="K231" s="25"/>
      <c r="L231" s="25"/>
      <c r="M231" s="25"/>
      <c r="N231" s="25"/>
      <c r="O231" s="25"/>
      <c r="P231" s="25"/>
      <c r="Q231" s="25"/>
      <c r="R231" s="25"/>
      <c r="S231" s="25"/>
      <c r="T231" s="91"/>
      <c r="U231" s="25"/>
      <c r="V231" s="79"/>
      <c r="W231" s="88"/>
      <c r="X231" s="5"/>
    </row>
    <row r="232" spans="1:25" ht="15.75" x14ac:dyDescent="0.25">
      <c r="A232" s="84"/>
      <c r="B232" s="76" t="s">
        <v>282</v>
      </c>
      <c r="C232" s="89"/>
      <c r="D232" s="89"/>
      <c r="E232" s="89"/>
      <c r="F232" s="90"/>
      <c r="G232" s="25"/>
      <c r="H232" s="25"/>
      <c r="I232" s="25"/>
      <c r="J232" s="25"/>
      <c r="K232" s="25"/>
      <c r="L232" s="25"/>
      <c r="M232" s="25"/>
      <c r="N232" s="25"/>
      <c r="O232" s="25"/>
      <c r="P232" s="25"/>
      <c r="Q232" s="25"/>
      <c r="R232" s="25"/>
      <c r="S232" s="30">
        <v>1</v>
      </c>
      <c r="T232" s="85">
        <v>66</v>
      </c>
      <c r="U232" s="25"/>
      <c r="V232" s="79"/>
      <c r="W232" s="88"/>
      <c r="X232" s="5"/>
    </row>
    <row r="233" spans="1:25" ht="15.75" x14ac:dyDescent="0.25">
      <c r="A233" s="84"/>
      <c r="B233" s="76" t="s">
        <v>217</v>
      </c>
      <c r="C233" s="89"/>
      <c r="D233" s="89"/>
      <c r="E233" s="89"/>
      <c r="F233" s="90"/>
      <c r="G233" s="25"/>
      <c r="H233" s="25"/>
      <c r="I233" s="25"/>
      <c r="J233" s="25"/>
      <c r="K233" s="25"/>
      <c r="L233" s="25"/>
      <c r="M233" s="25"/>
      <c r="N233" s="25"/>
      <c r="O233" s="25"/>
      <c r="P233" s="25"/>
      <c r="Q233" s="25"/>
      <c r="R233" s="25"/>
      <c r="S233" s="25"/>
      <c r="T233" s="62">
        <v>11.04</v>
      </c>
      <c r="U233" s="25"/>
      <c r="V233" s="79"/>
      <c r="W233" s="88"/>
      <c r="X233" s="5"/>
    </row>
    <row r="234" spans="1:25" ht="15.75" x14ac:dyDescent="0.25">
      <c r="A234" s="84"/>
      <c r="B234" s="76"/>
      <c r="C234" s="89"/>
      <c r="D234" s="89"/>
      <c r="E234" s="89"/>
      <c r="F234" s="90"/>
      <c r="G234" s="25"/>
      <c r="H234" s="25"/>
      <c r="I234" s="25"/>
      <c r="J234" s="25"/>
      <c r="K234" s="25"/>
      <c r="L234" s="25"/>
      <c r="M234" s="25"/>
      <c r="N234" s="25"/>
      <c r="O234" s="25"/>
      <c r="P234" s="25"/>
      <c r="Q234" s="25"/>
      <c r="R234" s="25"/>
      <c r="S234" s="25"/>
      <c r="T234" s="91"/>
      <c r="U234" s="25"/>
      <c r="V234" s="79"/>
      <c r="W234" s="88"/>
      <c r="X234" s="5"/>
    </row>
    <row r="235" spans="1:25" ht="15.75" x14ac:dyDescent="0.25">
      <c r="A235" s="84"/>
      <c r="B235" s="76"/>
      <c r="C235" s="89"/>
      <c r="D235" s="89"/>
      <c r="E235" s="89"/>
      <c r="F235" s="90"/>
      <c r="G235" s="25"/>
      <c r="H235" s="25"/>
      <c r="I235" s="25"/>
      <c r="J235" s="25"/>
      <c r="K235" s="25"/>
      <c r="L235" s="25"/>
      <c r="M235" s="25"/>
      <c r="N235" s="25"/>
      <c r="O235" s="25"/>
      <c r="P235" s="25"/>
      <c r="Q235" s="25"/>
      <c r="R235" s="25"/>
      <c r="S235" s="25"/>
      <c r="T235" s="91"/>
      <c r="U235" s="25"/>
      <c r="V235" s="79"/>
      <c r="W235" s="88"/>
      <c r="X235" s="5"/>
    </row>
    <row r="236" spans="1:25" ht="18.75" x14ac:dyDescent="0.3">
      <c r="A236" s="84"/>
      <c r="B236" s="146" t="s">
        <v>168</v>
      </c>
      <c r="C236" s="89"/>
      <c r="D236" s="89"/>
      <c r="E236" s="89"/>
      <c r="F236" s="90"/>
      <c r="G236" s="25"/>
      <c r="H236" s="25"/>
      <c r="I236" s="25"/>
      <c r="J236" s="25"/>
      <c r="K236" s="25"/>
      <c r="L236" s="25"/>
      <c r="M236" s="25"/>
      <c r="N236" s="25"/>
      <c r="O236" s="25"/>
      <c r="P236" s="147" t="s">
        <v>167</v>
      </c>
      <c r="Q236" s="25"/>
      <c r="R236" s="25"/>
      <c r="S236" s="25"/>
      <c r="T236" s="91"/>
      <c r="U236" s="25"/>
      <c r="V236" s="79"/>
      <c r="W236" s="88"/>
      <c r="X236" s="5"/>
    </row>
    <row r="237" spans="1:25" ht="15.75" x14ac:dyDescent="0.25">
      <c r="A237" s="84"/>
      <c r="B237" s="76"/>
      <c r="C237" s="89"/>
      <c r="D237" s="89"/>
      <c r="E237" s="89"/>
      <c r="F237" s="90"/>
      <c r="G237" s="25"/>
      <c r="H237" s="25"/>
      <c r="I237" s="25"/>
      <c r="J237" s="25"/>
      <c r="K237" s="25"/>
      <c r="L237" s="25"/>
      <c r="M237" s="25"/>
      <c r="N237" s="25"/>
      <c r="O237" s="25"/>
      <c r="P237" s="25"/>
      <c r="Q237" s="25"/>
      <c r="R237" s="25"/>
      <c r="S237" s="25"/>
      <c r="T237" s="91"/>
      <c r="U237" s="25"/>
      <c r="V237" s="79"/>
      <c r="W237" s="88"/>
      <c r="X237" s="5"/>
    </row>
    <row r="238" spans="1:25" ht="15.75" x14ac:dyDescent="0.25">
      <c r="A238" s="6"/>
      <c r="B238" s="14" t="s">
        <v>162</v>
      </c>
      <c r="C238" s="81"/>
      <c r="D238" s="81"/>
      <c r="E238" s="81"/>
      <c r="F238" s="82"/>
      <c r="G238" s="81"/>
      <c r="H238" s="17"/>
      <c r="I238" s="17"/>
      <c r="J238" s="17"/>
      <c r="K238" s="17"/>
      <c r="L238" s="17"/>
      <c r="M238" s="17"/>
      <c r="N238" s="17"/>
      <c r="O238" s="17"/>
      <c r="P238" s="17"/>
      <c r="Q238" s="17"/>
      <c r="R238" s="83" t="s">
        <v>102</v>
      </c>
      <c r="S238" s="17" t="s">
        <v>103</v>
      </c>
      <c r="T238" s="83" t="s">
        <v>109</v>
      </c>
      <c r="U238" s="17" t="s">
        <v>103</v>
      </c>
      <c r="V238" s="8"/>
      <c r="W238" s="92"/>
      <c r="X238" s="5"/>
    </row>
    <row r="239" spans="1:25" ht="15.75" x14ac:dyDescent="0.25">
      <c r="A239" s="24"/>
      <c r="B239" s="54" t="s">
        <v>88</v>
      </c>
      <c r="C239" s="93"/>
      <c r="D239" s="93"/>
      <c r="E239" s="93"/>
      <c r="F239" s="25"/>
      <c r="G239" s="93"/>
      <c r="H239" s="93"/>
      <c r="I239" s="93"/>
      <c r="J239" s="93"/>
      <c r="K239" s="93"/>
      <c r="L239" s="93"/>
      <c r="M239" s="93"/>
      <c r="N239" s="93"/>
      <c r="O239" s="93"/>
      <c r="P239" s="93"/>
      <c r="Q239" s="93"/>
      <c r="R239" s="54">
        <v>5861</v>
      </c>
      <c r="S239" s="94">
        <f t="shared" ref="S239:S246" si="1">R239/$R$248</f>
        <v>0.98454560725684526</v>
      </c>
      <c r="T239" s="53">
        <v>845837</v>
      </c>
      <c r="U239" s="131">
        <f t="shared" ref="U239:U246" si="2">T239/$T$248</f>
        <v>0.98290622127553751</v>
      </c>
      <c r="V239" s="79"/>
      <c r="W239" s="88"/>
      <c r="X239" s="5"/>
    </row>
    <row r="240" spans="1:25" ht="15.75" x14ac:dyDescent="0.25">
      <c r="A240" s="24"/>
      <c r="B240" s="54" t="s">
        <v>89</v>
      </c>
      <c r="C240" s="93"/>
      <c r="D240" s="93"/>
      <c r="E240" s="93"/>
      <c r="F240" s="25"/>
      <c r="G240" s="94"/>
      <c r="H240" s="93"/>
      <c r="I240" s="93"/>
      <c r="J240" s="93"/>
      <c r="K240" s="93"/>
      <c r="L240" s="93"/>
      <c r="M240" s="93"/>
      <c r="N240" s="93"/>
      <c r="O240" s="93"/>
      <c r="P240" s="93"/>
      <c r="Q240" s="93"/>
      <c r="R240" s="54">
        <v>53</v>
      </c>
      <c r="S240" s="94">
        <f t="shared" si="1"/>
        <v>8.903074080295649E-3</v>
      </c>
      <c r="T240" s="53">
        <v>8294</v>
      </c>
      <c r="U240" s="131">
        <f t="shared" si="2"/>
        <v>9.6380557947445059E-3</v>
      </c>
      <c r="V240" s="79"/>
      <c r="W240" s="88"/>
      <c r="X240" s="5"/>
      <c r="Y240" s="109"/>
    </row>
    <row r="241" spans="1:25" ht="15.75" x14ac:dyDescent="0.25">
      <c r="A241" s="24"/>
      <c r="B241" s="54" t="s">
        <v>90</v>
      </c>
      <c r="C241" s="93"/>
      <c r="D241" s="93"/>
      <c r="E241" s="93"/>
      <c r="F241" s="25"/>
      <c r="G241" s="94"/>
      <c r="H241" s="93"/>
      <c r="I241" s="93"/>
      <c r="J241" s="93"/>
      <c r="K241" s="93"/>
      <c r="L241" s="93"/>
      <c r="M241" s="93"/>
      <c r="N241" s="93"/>
      <c r="O241" s="93"/>
      <c r="P241" s="93"/>
      <c r="Q241" s="93"/>
      <c r="R241" s="54">
        <v>18</v>
      </c>
      <c r="S241" s="94">
        <f t="shared" si="1"/>
        <v>3.0236855367041827E-3</v>
      </c>
      <c r="T241" s="53">
        <v>2591</v>
      </c>
      <c r="U241" s="131">
        <f t="shared" si="2"/>
        <v>3.0108756407261892E-3</v>
      </c>
      <c r="V241" s="79"/>
      <c r="W241" s="88"/>
      <c r="X241" s="5"/>
    </row>
    <row r="242" spans="1:25" ht="15.75" x14ac:dyDescent="0.25">
      <c r="A242" s="24"/>
      <c r="B242" s="54" t="s">
        <v>156</v>
      </c>
      <c r="C242" s="93"/>
      <c r="D242" s="93"/>
      <c r="E242" s="93"/>
      <c r="F242" s="25"/>
      <c r="G242" s="94"/>
      <c r="H242" s="93"/>
      <c r="I242" s="93"/>
      <c r="J242" s="93"/>
      <c r="K242" s="93"/>
      <c r="L242" s="93"/>
      <c r="M242" s="93"/>
      <c r="N242" s="93"/>
      <c r="O242" s="93"/>
      <c r="P242" s="93"/>
      <c r="Q242" s="93"/>
      <c r="R242" s="54">
        <v>9</v>
      </c>
      <c r="S242" s="94">
        <f t="shared" si="1"/>
        <v>1.5118427683520914E-3</v>
      </c>
      <c r="T242" s="53">
        <v>1249</v>
      </c>
      <c r="U242" s="131">
        <f t="shared" si="2"/>
        <v>1.4514024219479005E-3</v>
      </c>
      <c r="V242" s="79"/>
      <c r="W242" s="88"/>
      <c r="X242" s="5"/>
      <c r="Y242" s="109"/>
    </row>
    <row r="243" spans="1:25" ht="15.75" x14ac:dyDescent="0.25">
      <c r="A243" s="24"/>
      <c r="B243" s="54" t="s">
        <v>157</v>
      </c>
      <c r="C243" s="93"/>
      <c r="D243" s="93"/>
      <c r="E243" s="93"/>
      <c r="F243" s="25"/>
      <c r="G243" s="94"/>
      <c r="H243" s="93"/>
      <c r="I243" s="93"/>
      <c r="J243" s="93"/>
      <c r="K243" s="93"/>
      <c r="L243" s="93"/>
      <c r="M243" s="93"/>
      <c r="N243" s="93"/>
      <c r="O243" s="93"/>
      <c r="P243" s="93"/>
      <c r="Q243" s="93"/>
      <c r="R243" s="54">
        <v>6</v>
      </c>
      <c r="S243" s="94">
        <f t="shared" si="1"/>
        <v>1.0078951789013943E-3</v>
      </c>
      <c r="T243" s="53">
        <v>1696</v>
      </c>
      <c r="U243" s="131">
        <f t="shared" si="2"/>
        <v>1.9708394776810564E-3</v>
      </c>
      <c r="V243" s="79"/>
      <c r="W243" s="88"/>
      <c r="X243" s="5"/>
    </row>
    <row r="244" spans="1:25" ht="15.75" x14ac:dyDescent="0.25">
      <c r="A244" s="24"/>
      <c r="B244" s="54" t="s">
        <v>158</v>
      </c>
      <c r="C244" s="93"/>
      <c r="D244" s="93"/>
      <c r="E244" s="93"/>
      <c r="F244" s="25"/>
      <c r="G244" s="94"/>
      <c r="H244" s="93"/>
      <c r="I244" s="93"/>
      <c r="J244" s="93"/>
      <c r="K244" s="93"/>
      <c r="L244" s="93"/>
      <c r="M244" s="93"/>
      <c r="N244" s="93"/>
      <c r="O244" s="93"/>
      <c r="P244" s="93"/>
      <c r="Q244" s="93"/>
      <c r="R244" s="54">
        <v>3</v>
      </c>
      <c r="S244" s="94">
        <f t="shared" si="1"/>
        <v>5.0394758945069716E-4</v>
      </c>
      <c r="T244" s="53">
        <v>344</v>
      </c>
      <c r="U244" s="131">
        <f t="shared" si="2"/>
        <v>3.997457431145539E-4</v>
      </c>
      <c r="V244" s="79"/>
      <c r="W244" s="88"/>
      <c r="X244" s="5"/>
      <c r="Y244" s="109"/>
    </row>
    <row r="245" spans="1:25" ht="15.75" x14ac:dyDescent="0.25">
      <c r="A245" s="24"/>
      <c r="B245" s="54" t="s">
        <v>159</v>
      </c>
      <c r="C245" s="93"/>
      <c r="D245" s="93"/>
      <c r="E245" s="93"/>
      <c r="F245" s="25"/>
      <c r="G245" s="94"/>
      <c r="H245" s="93"/>
      <c r="I245" s="93"/>
      <c r="J245" s="93"/>
      <c r="K245" s="93"/>
      <c r="L245" s="93"/>
      <c r="M245" s="93"/>
      <c r="N245" s="93"/>
      <c r="O245" s="93"/>
      <c r="P245" s="93"/>
      <c r="Q245" s="93"/>
      <c r="R245" s="54">
        <v>2</v>
      </c>
      <c r="S245" s="94">
        <f t="shared" si="1"/>
        <v>3.3596505963379809E-4</v>
      </c>
      <c r="T245" s="53">
        <v>294</v>
      </c>
      <c r="U245" s="131">
        <f t="shared" si="2"/>
        <v>3.4164316417348501E-4</v>
      </c>
      <c r="V245" s="79"/>
      <c r="W245" s="88"/>
      <c r="X245" s="5"/>
    </row>
    <row r="246" spans="1:25" ht="15.75" x14ac:dyDescent="0.25">
      <c r="A246" s="24"/>
      <c r="B246" s="54" t="s">
        <v>160</v>
      </c>
      <c r="C246" s="93"/>
      <c r="D246" s="93"/>
      <c r="E246" s="93"/>
      <c r="F246" s="25"/>
      <c r="G246" s="94"/>
      <c r="H246" s="93"/>
      <c r="I246" s="93"/>
      <c r="J246" s="93"/>
      <c r="K246" s="93"/>
      <c r="L246" s="93"/>
      <c r="M246" s="93"/>
      <c r="N246" s="93"/>
      <c r="O246" s="93"/>
      <c r="P246" s="93"/>
      <c r="Q246" s="93"/>
      <c r="R246" s="54">
        <v>1</v>
      </c>
      <c r="S246" s="94">
        <f t="shared" si="1"/>
        <v>1.6798252981689904E-4</v>
      </c>
      <c r="T246" s="53">
        <v>242</v>
      </c>
      <c r="U246" s="131">
        <f t="shared" si="2"/>
        <v>2.8121648207477337E-4</v>
      </c>
      <c r="V246" s="79"/>
      <c r="W246" s="88"/>
      <c r="X246" s="5"/>
      <c r="Y246" s="109"/>
    </row>
    <row r="247" spans="1:25" ht="15.75" x14ac:dyDescent="0.25">
      <c r="A247" s="24"/>
      <c r="B247" s="54"/>
      <c r="C247" s="93"/>
      <c r="D247" s="93"/>
      <c r="E247" s="93"/>
      <c r="F247" s="25"/>
      <c r="G247" s="94"/>
      <c r="H247" s="93"/>
      <c r="I247" s="93"/>
      <c r="J247" s="93"/>
      <c r="K247" s="93"/>
      <c r="L247" s="93"/>
      <c r="M247" s="93"/>
      <c r="N247" s="93"/>
      <c r="O247" s="93"/>
      <c r="P247" s="93"/>
      <c r="Q247" s="93"/>
      <c r="R247" s="54"/>
      <c r="S247" s="94"/>
      <c r="T247" s="53"/>
      <c r="U247" s="131"/>
      <c r="V247" s="79"/>
      <c r="W247" s="88"/>
      <c r="X247" s="5"/>
    </row>
    <row r="248" spans="1:25" ht="15.75" x14ac:dyDescent="0.25">
      <c r="A248" s="24"/>
      <c r="B248" s="25"/>
      <c r="C248" s="25"/>
      <c r="D248" s="25"/>
      <c r="E248" s="25"/>
      <c r="F248" s="25"/>
      <c r="G248" s="25"/>
      <c r="H248" s="95"/>
      <c r="I248" s="95"/>
      <c r="J248" s="95"/>
      <c r="K248" s="95"/>
      <c r="L248" s="95"/>
      <c r="M248" s="95"/>
      <c r="N248" s="95"/>
      <c r="O248" s="95"/>
      <c r="P248" s="95"/>
      <c r="Q248" s="95"/>
      <c r="R248" s="34">
        <f>SUM(R239:R247)</f>
        <v>5953</v>
      </c>
      <c r="S248" s="131">
        <f>SUM(S239:S247)</f>
        <v>1.0000000000000002</v>
      </c>
      <c r="T248" s="53">
        <f>SUM(T239:T247)</f>
        <v>860547</v>
      </c>
      <c r="U248" s="131">
        <f>SUM(U239:U247)</f>
        <v>1</v>
      </c>
      <c r="V248" s="25"/>
      <c r="W248" s="25"/>
      <c r="X248" s="5"/>
    </row>
    <row r="249" spans="1:25" ht="15.75" x14ac:dyDescent="0.25">
      <c r="A249" s="24"/>
      <c r="B249" s="25"/>
      <c r="C249" s="25"/>
      <c r="D249" s="25"/>
      <c r="E249" s="25"/>
      <c r="F249" s="25"/>
      <c r="G249" s="25"/>
      <c r="H249" s="95"/>
      <c r="I249" s="95"/>
      <c r="J249" s="95"/>
      <c r="K249" s="95"/>
      <c r="L249" s="95"/>
      <c r="M249" s="95"/>
      <c r="N249" s="95"/>
      <c r="O249" s="95"/>
      <c r="P249" s="95"/>
      <c r="Q249" s="95"/>
      <c r="R249" s="34"/>
      <c r="S249" s="131"/>
      <c r="T249" s="53"/>
      <c r="U249" s="131"/>
      <c r="V249" s="25"/>
      <c r="W249" s="25"/>
      <c r="X249" s="5"/>
    </row>
    <row r="250" spans="1:25" ht="15.75" x14ac:dyDescent="0.25">
      <c r="A250" s="138"/>
      <c r="B250" s="14" t="s">
        <v>236</v>
      </c>
      <c r="C250" s="81"/>
      <c r="D250" s="81"/>
      <c r="E250" s="81"/>
      <c r="F250" s="82"/>
      <c r="G250" s="81"/>
      <c r="H250" s="17"/>
      <c r="I250" s="17"/>
      <c r="J250" s="17"/>
      <c r="K250" s="17"/>
      <c r="L250" s="17"/>
      <c r="M250" s="17"/>
      <c r="N250" s="17"/>
      <c r="O250" s="17"/>
      <c r="P250" s="17"/>
      <c r="Q250" s="17"/>
      <c r="R250" s="83" t="s">
        <v>102</v>
      </c>
      <c r="S250" s="17" t="s">
        <v>103</v>
      </c>
      <c r="T250" s="83" t="s">
        <v>109</v>
      </c>
      <c r="U250" s="17" t="s">
        <v>103</v>
      </c>
      <c r="V250" s="136"/>
      <c r="W250" s="137"/>
      <c r="X250" s="5"/>
    </row>
    <row r="251" spans="1:25" ht="15.75" x14ac:dyDescent="0.25">
      <c r="A251" s="24"/>
      <c r="B251" s="54" t="s">
        <v>88</v>
      </c>
      <c r="C251" s="93"/>
      <c r="D251" s="93"/>
      <c r="E251" s="93"/>
      <c r="F251" s="25"/>
      <c r="G251" s="93"/>
      <c r="H251" s="93"/>
      <c r="I251" s="93"/>
      <c r="J251" s="93"/>
      <c r="K251" s="93"/>
      <c r="L251" s="93"/>
      <c r="M251" s="93"/>
      <c r="N251" s="93"/>
      <c r="O251" s="93"/>
      <c r="P251" s="93"/>
      <c r="Q251" s="93"/>
      <c r="R251" s="54">
        <v>16</v>
      </c>
      <c r="S251" s="94">
        <f t="shared" ref="S251:S258" si="3">R251/$R$260</f>
        <v>0.12403100775193798</v>
      </c>
      <c r="T251" s="53">
        <v>1857</v>
      </c>
      <c r="U251" s="131">
        <f t="shared" ref="U251:U258" si="4">T251/$T$260</f>
        <v>9.1721821594389019E-2</v>
      </c>
      <c r="V251" s="25"/>
      <c r="W251" s="25"/>
      <c r="X251" s="5"/>
    </row>
    <row r="252" spans="1:25" ht="15.75" x14ac:dyDescent="0.25">
      <c r="A252" s="24"/>
      <c r="B252" s="54" t="s">
        <v>89</v>
      </c>
      <c r="C252" s="93"/>
      <c r="D252" s="93"/>
      <c r="E252" s="93"/>
      <c r="F252" s="25"/>
      <c r="G252" s="94"/>
      <c r="H252" s="93"/>
      <c r="I252" s="93"/>
      <c r="J252" s="93"/>
      <c r="K252" s="93"/>
      <c r="L252" s="93"/>
      <c r="M252" s="93"/>
      <c r="N252" s="93"/>
      <c r="O252" s="93"/>
      <c r="P252" s="93"/>
      <c r="Q252" s="93"/>
      <c r="R252" s="54">
        <v>10</v>
      </c>
      <c r="S252" s="94">
        <f t="shared" si="3"/>
        <v>7.7519379844961239E-2</v>
      </c>
      <c r="T252" s="53">
        <v>1407</v>
      </c>
      <c r="U252" s="131">
        <f t="shared" si="4"/>
        <v>6.949520893015905E-2</v>
      </c>
      <c r="V252" s="25"/>
      <c r="W252" s="25"/>
      <c r="X252" s="5"/>
    </row>
    <row r="253" spans="1:25" ht="15.75" x14ac:dyDescent="0.25">
      <c r="A253" s="24"/>
      <c r="B253" s="54" t="s">
        <v>90</v>
      </c>
      <c r="C253" s="93"/>
      <c r="D253" s="93"/>
      <c r="E253" s="93"/>
      <c r="F253" s="25"/>
      <c r="G253" s="94"/>
      <c r="H253" s="93"/>
      <c r="I253" s="93"/>
      <c r="J253" s="93"/>
      <c r="K253" s="93"/>
      <c r="L253" s="93"/>
      <c r="M253" s="93"/>
      <c r="N253" s="93"/>
      <c r="O253" s="93"/>
      <c r="P253" s="93"/>
      <c r="Q253" s="93"/>
      <c r="R253" s="54">
        <v>22</v>
      </c>
      <c r="S253" s="94">
        <f t="shared" si="3"/>
        <v>0.17054263565891473</v>
      </c>
      <c r="T253" s="53">
        <v>3909</v>
      </c>
      <c r="U253" s="131">
        <f t="shared" si="4"/>
        <v>0.19307517534327767</v>
      </c>
      <c r="V253" s="25"/>
      <c r="W253" s="25"/>
      <c r="X253" s="5"/>
    </row>
    <row r="254" spans="1:25" ht="15.75" x14ac:dyDescent="0.25">
      <c r="A254" s="24"/>
      <c r="B254" s="54" t="s">
        <v>156</v>
      </c>
      <c r="C254" s="93"/>
      <c r="D254" s="93"/>
      <c r="E254" s="93"/>
      <c r="F254" s="25"/>
      <c r="G254" s="94"/>
      <c r="H254" s="93"/>
      <c r="I254" s="93"/>
      <c r="J254" s="93"/>
      <c r="K254" s="93"/>
      <c r="L254" s="93"/>
      <c r="M254" s="93"/>
      <c r="N254" s="93"/>
      <c r="O254" s="93"/>
      <c r="P254" s="93"/>
      <c r="Q254" s="93"/>
      <c r="R254" s="54">
        <v>5</v>
      </c>
      <c r="S254" s="94">
        <f t="shared" si="3"/>
        <v>3.875968992248062E-2</v>
      </c>
      <c r="T254" s="53">
        <v>627</v>
      </c>
      <c r="U254" s="131">
        <f t="shared" si="4"/>
        <v>3.0969080312160426E-2</v>
      </c>
      <c r="V254" s="25"/>
      <c r="W254" s="25"/>
      <c r="X254" s="5"/>
    </row>
    <row r="255" spans="1:25" ht="15.75" x14ac:dyDescent="0.25">
      <c r="A255" s="24"/>
      <c r="B255" s="54" t="s">
        <v>157</v>
      </c>
      <c r="C255" s="93"/>
      <c r="D255" s="93"/>
      <c r="E255" s="93"/>
      <c r="F255" s="25"/>
      <c r="G255" s="94"/>
      <c r="H255" s="93"/>
      <c r="I255" s="93"/>
      <c r="J255" s="93"/>
      <c r="K255" s="93"/>
      <c r="L255" s="93"/>
      <c r="M255" s="93"/>
      <c r="N255" s="93"/>
      <c r="O255" s="93"/>
      <c r="P255" s="93"/>
      <c r="Q255" s="93"/>
      <c r="R255" s="54">
        <v>7</v>
      </c>
      <c r="S255" s="94">
        <f t="shared" si="3"/>
        <v>5.4263565891472867E-2</v>
      </c>
      <c r="T255" s="53">
        <v>1149</v>
      </c>
      <c r="U255" s="131">
        <f t="shared" si="4"/>
        <v>5.6751951002667195E-2</v>
      </c>
      <c r="V255" s="25"/>
      <c r="W255" s="25"/>
      <c r="X255" s="5"/>
    </row>
    <row r="256" spans="1:25" ht="15.75" x14ac:dyDescent="0.25">
      <c r="A256" s="24"/>
      <c r="B256" s="54" t="s">
        <v>158</v>
      </c>
      <c r="C256" s="93"/>
      <c r="D256" s="93"/>
      <c r="E256" s="93"/>
      <c r="F256" s="25"/>
      <c r="G256" s="94"/>
      <c r="H256" s="93"/>
      <c r="I256" s="93"/>
      <c r="J256" s="93"/>
      <c r="K256" s="93"/>
      <c r="L256" s="93"/>
      <c r="M256" s="93"/>
      <c r="N256" s="93"/>
      <c r="O256" s="93"/>
      <c r="P256" s="93"/>
      <c r="Q256" s="93"/>
      <c r="R256" s="54">
        <v>11</v>
      </c>
      <c r="S256" s="94">
        <f t="shared" si="3"/>
        <v>8.5271317829457363E-2</v>
      </c>
      <c r="T256" s="53">
        <v>2596</v>
      </c>
      <c r="U256" s="131">
        <f t="shared" si="4"/>
        <v>0.12822285883631335</v>
      </c>
      <c r="V256" s="25"/>
      <c r="W256" s="25"/>
      <c r="X256" s="5"/>
    </row>
    <row r="257" spans="1:24" ht="15.75" x14ac:dyDescent="0.25">
      <c r="A257" s="24"/>
      <c r="B257" s="54" t="s">
        <v>159</v>
      </c>
      <c r="C257" s="93"/>
      <c r="D257" s="93"/>
      <c r="E257" s="93"/>
      <c r="F257" s="25"/>
      <c r="G257" s="94"/>
      <c r="H257" s="93"/>
      <c r="I257" s="93"/>
      <c r="J257" s="93"/>
      <c r="K257" s="93"/>
      <c r="L257" s="93"/>
      <c r="M257" s="93"/>
      <c r="N257" s="93"/>
      <c r="O257" s="93"/>
      <c r="P257" s="93"/>
      <c r="Q257" s="93"/>
      <c r="R257" s="54">
        <v>28</v>
      </c>
      <c r="S257" s="94">
        <f t="shared" si="3"/>
        <v>0.21705426356589147</v>
      </c>
      <c r="T257" s="53">
        <v>4553</v>
      </c>
      <c r="U257" s="131">
        <f t="shared" si="4"/>
        <v>0.22488392768942014</v>
      </c>
      <c r="V257" s="25"/>
      <c r="W257" s="25"/>
      <c r="X257" s="5"/>
    </row>
    <row r="258" spans="1:24" ht="15.75" x14ac:dyDescent="0.25">
      <c r="A258" s="24"/>
      <c r="B258" s="54" t="s">
        <v>160</v>
      </c>
      <c r="C258" s="93"/>
      <c r="D258" s="93"/>
      <c r="E258" s="93"/>
      <c r="F258" s="25"/>
      <c r="G258" s="94"/>
      <c r="H258" s="93"/>
      <c r="I258" s="93"/>
      <c r="J258" s="93"/>
      <c r="K258" s="93"/>
      <c r="L258" s="93"/>
      <c r="M258" s="93"/>
      <c r="N258" s="93"/>
      <c r="O258" s="93"/>
      <c r="P258" s="93"/>
      <c r="Q258" s="93"/>
      <c r="R258" s="54">
        <v>30</v>
      </c>
      <c r="S258" s="94">
        <f t="shared" si="3"/>
        <v>0.23255813953488372</v>
      </c>
      <c r="T258" s="53">
        <v>4148</v>
      </c>
      <c r="U258" s="131">
        <f t="shared" si="4"/>
        <v>0.20487997629161317</v>
      </c>
      <c r="V258" s="25"/>
      <c r="W258" s="25"/>
      <c r="X258" s="5"/>
    </row>
    <row r="259" spans="1:24" ht="15.75" x14ac:dyDescent="0.25">
      <c r="A259" s="24"/>
      <c r="B259" s="54"/>
      <c r="C259" s="93"/>
      <c r="D259" s="93"/>
      <c r="E259" s="93"/>
      <c r="F259" s="25"/>
      <c r="G259" s="94"/>
      <c r="H259" s="93"/>
      <c r="I259" s="93"/>
      <c r="J259" s="93"/>
      <c r="K259" s="93"/>
      <c r="L259" s="93"/>
      <c r="M259" s="93"/>
      <c r="N259" s="93"/>
      <c r="O259" s="93"/>
      <c r="P259" s="93"/>
      <c r="Q259" s="93"/>
      <c r="R259" s="54"/>
      <c r="S259" s="94"/>
      <c r="T259" s="53"/>
      <c r="U259" s="131"/>
      <c r="V259" s="25"/>
      <c r="W259" s="25"/>
      <c r="X259" s="5"/>
    </row>
    <row r="260" spans="1:24" ht="15.75" x14ac:dyDescent="0.25">
      <c r="A260" s="24"/>
      <c r="B260" s="25"/>
      <c r="C260" s="25"/>
      <c r="D260" s="25"/>
      <c r="E260" s="25"/>
      <c r="F260" s="25"/>
      <c r="G260" s="25"/>
      <c r="H260" s="95"/>
      <c r="I260" s="95"/>
      <c r="J260" s="95"/>
      <c r="K260" s="95"/>
      <c r="L260" s="95"/>
      <c r="M260" s="95"/>
      <c r="N260" s="95"/>
      <c r="O260" s="95"/>
      <c r="P260" s="95"/>
      <c r="Q260" s="95"/>
      <c r="R260" s="34">
        <f>SUM(R251:R259)</f>
        <v>129</v>
      </c>
      <c r="S260" s="131">
        <f>SUM(S251:S259)</f>
        <v>1</v>
      </c>
      <c r="T260" s="53">
        <f>SUM(T251:T259)</f>
        <v>20246</v>
      </c>
      <c r="U260" s="131">
        <f>SUM(U251:U259)</f>
        <v>1</v>
      </c>
      <c r="V260" s="25"/>
      <c r="W260" s="25"/>
      <c r="X260" s="5"/>
    </row>
    <row r="261" spans="1:24" ht="15.75" x14ac:dyDescent="0.25">
      <c r="A261" s="24"/>
      <c r="B261" s="25"/>
      <c r="C261" s="25"/>
      <c r="D261" s="25"/>
      <c r="E261" s="25"/>
      <c r="F261" s="25"/>
      <c r="G261" s="25"/>
      <c r="H261" s="95"/>
      <c r="I261" s="95"/>
      <c r="J261" s="95"/>
      <c r="K261" s="95"/>
      <c r="L261" s="95"/>
      <c r="M261" s="95"/>
      <c r="N261" s="95"/>
      <c r="O261" s="95"/>
      <c r="P261" s="95"/>
      <c r="Q261" s="95"/>
      <c r="R261" s="34"/>
      <c r="S261" s="131"/>
      <c r="T261" s="53"/>
      <c r="U261" s="131"/>
      <c r="V261" s="25"/>
      <c r="W261" s="25"/>
      <c r="X261" s="5"/>
    </row>
    <row r="262" spans="1:24" ht="15.75" x14ac:dyDescent="0.25">
      <c r="A262" s="138"/>
      <c r="B262" s="14" t="s">
        <v>163</v>
      </c>
      <c r="C262" s="136"/>
      <c r="D262" s="136"/>
      <c r="E262" s="136"/>
      <c r="F262" s="136"/>
      <c r="G262" s="136"/>
      <c r="H262" s="142"/>
      <c r="I262" s="142"/>
      <c r="J262" s="142"/>
      <c r="K262" s="142"/>
      <c r="L262" s="142"/>
      <c r="M262" s="142"/>
      <c r="N262" s="142"/>
      <c r="O262" s="142"/>
      <c r="P262" s="142"/>
      <c r="Q262" s="142"/>
      <c r="R262" s="83" t="s">
        <v>102</v>
      </c>
      <c r="S262" s="17" t="s">
        <v>103</v>
      </c>
      <c r="T262" s="83" t="s">
        <v>109</v>
      </c>
      <c r="U262" s="17" t="s">
        <v>103</v>
      </c>
      <c r="V262" s="136"/>
      <c r="W262" s="137"/>
      <c r="X262" s="5"/>
    </row>
    <row r="263" spans="1:24" ht="15.75" x14ac:dyDescent="0.25">
      <c r="A263" s="24"/>
      <c r="B263" s="54" t="s">
        <v>88</v>
      </c>
      <c r="C263" s="25"/>
      <c r="D263" s="25"/>
      <c r="E263" s="25"/>
      <c r="F263" s="25"/>
      <c r="G263" s="25"/>
      <c r="H263" s="95"/>
      <c r="I263" s="95"/>
      <c r="J263" s="95"/>
      <c r="K263" s="95"/>
      <c r="L263" s="95"/>
      <c r="M263" s="95"/>
      <c r="N263" s="95"/>
      <c r="O263" s="95"/>
      <c r="P263" s="95"/>
      <c r="Q263" s="95"/>
      <c r="R263" s="54">
        <v>0</v>
      </c>
      <c r="S263" s="94">
        <f t="shared" ref="S263:S270" si="5">R263/$R$272</f>
        <v>0</v>
      </c>
      <c r="T263" s="53">
        <v>0</v>
      </c>
      <c r="U263" s="131">
        <f t="shared" ref="U263:U270" si="6">T263/$T$272</f>
        <v>0</v>
      </c>
      <c r="V263" s="25"/>
      <c r="W263" s="25"/>
      <c r="X263" s="5"/>
    </row>
    <row r="264" spans="1:24" ht="15.75" x14ac:dyDescent="0.25">
      <c r="A264" s="24"/>
      <c r="B264" s="54" t="s">
        <v>89</v>
      </c>
      <c r="C264" s="25"/>
      <c r="D264" s="25"/>
      <c r="E264" s="25"/>
      <c r="F264" s="25"/>
      <c r="G264" s="25"/>
      <c r="H264" s="95"/>
      <c r="I264" s="95"/>
      <c r="J264" s="95"/>
      <c r="K264" s="95"/>
      <c r="L264" s="95"/>
      <c r="M264" s="95"/>
      <c r="N264" s="95"/>
      <c r="O264" s="95"/>
      <c r="P264" s="95"/>
      <c r="Q264" s="95"/>
      <c r="R264" s="54">
        <v>0</v>
      </c>
      <c r="S264" s="94">
        <f t="shared" si="5"/>
        <v>0</v>
      </c>
      <c r="T264" s="53">
        <v>0</v>
      </c>
      <c r="U264" s="131">
        <f t="shared" si="6"/>
        <v>0</v>
      </c>
      <c r="V264" s="25"/>
      <c r="W264" s="25"/>
      <c r="X264" s="5"/>
    </row>
    <row r="265" spans="1:24" ht="15.75" x14ac:dyDescent="0.25">
      <c r="A265" s="24"/>
      <c r="B265" s="54" t="s">
        <v>90</v>
      </c>
      <c r="C265" s="25"/>
      <c r="D265" s="25"/>
      <c r="E265" s="25"/>
      <c r="F265" s="25"/>
      <c r="G265" s="25"/>
      <c r="H265" s="95"/>
      <c r="I265" s="95"/>
      <c r="J265" s="95"/>
      <c r="K265" s="95"/>
      <c r="L265" s="95"/>
      <c r="M265" s="95"/>
      <c r="N265" s="95"/>
      <c r="O265" s="95"/>
      <c r="P265" s="95"/>
      <c r="Q265" s="95"/>
      <c r="R265" s="54">
        <v>0</v>
      </c>
      <c r="S265" s="94">
        <f t="shared" si="5"/>
        <v>0</v>
      </c>
      <c r="T265" s="53">
        <v>0</v>
      </c>
      <c r="U265" s="131">
        <f t="shared" si="6"/>
        <v>0</v>
      </c>
      <c r="V265" s="25"/>
      <c r="W265" s="25"/>
      <c r="X265" s="5"/>
    </row>
    <row r="266" spans="1:24" ht="15.75" x14ac:dyDescent="0.25">
      <c r="A266" s="24"/>
      <c r="B266" s="54" t="s">
        <v>156</v>
      </c>
      <c r="C266" s="25"/>
      <c r="D266" s="25"/>
      <c r="E266" s="25"/>
      <c r="F266" s="25"/>
      <c r="G266" s="25"/>
      <c r="H266" s="95"/>
      <c r="I266" s="95"/>
      <c r="J266" s="95"/>
      <c r="K266" s="95"/>
      <c r="L266" s="95"/>
      <c r="M266" s="95"/>
      <c r="N266" s="95"/>
      <c r="O266" s="95"/>
      <c r="P266" s="95"/>
      <c r="Q266" s="95"/>
      <c r="R266" s="54">
        <v>0</v>
      </c>
      <c r="S266" s="94">
        <f t="shared" si="5"/>
        <v>0</v>
      </c>
      <c r="T266" s="53">
        <v>0</v>
      </c>
      <c r="U266" s="131">
        <f t="shared" si="6"/>
        <v>0</v>
      </c>
      <c r="V266" s="25"/>
      <c r="W266" s="25"/>
      <c r="X266" s="5"/>
    </row>
    <row r="267" spans="1:24" ht="15.75" x14ac:dyDescent="0.25">
      <c r="A267" s="24"/>
      <c r="B267" s="54" t="s">
        <v>157</v>
      </c>
      <c r="C267" s="25"/>
      <c r="D267" s="25"/>
      <c r="E267" s="25"/>
      <c r="F267" s="25"/>
      <c r="G267" s="25"/>
      <c r="H267" s="95"/>
      <c r="I267" s="95"/>
      <c r="J267" s="95"/>
      <c r="K267" s="95"/>
      <c r="L267" s="95"/>
      <c r="M267" s="95"/>
      <c r="N267" s="95"/>
      <c r="O267" s="95"/>
      <c r="P267" s="95"/>
      <c r="Q267" s="95"/>
      <c r="R267" s="54">
        <v>0</v>
      </c>
      <c r="S267" s="94">
        <f t="shared" si="5"/>
        <v>0</v>
      </c>
      <c r="T267" s="53">
        <v>0</v>
      </c>
      <c r="U267" s="131">
        <f t="shared" si="6"/>
        <v>0</v>
      </c>
      <c r="V267" s="25"/>
      <c r="W267" s="25"/>
      <c r="X267" s="5"/>
    </row>
    <row r="268" spans="1:24" ht="15.75" x14ac:dyDescent="0.25">
      <c r="A268" s="24"/>
      <c r="B268" s="54" t="s">
        <v>158</v>
      </c>
      <c r="C268" s="25"/>
      <c r="D268" s="25"/>
      <c r="E268" s="25"/>
      <c r="F268" s="25"/>
      <c r="G268" s="25"/>
      <c r="H268" s="95"/>
      <c r="I268" s="95"/>
      <c r="J268" s="95"/>
      <c r="K268" s="95"/>
      <c r="L268" s="95"/>
      <c r="M268" s="95"/>
      <c r="N268" s="95"/>
      <c r="O268" s="95"/>
      <c r="P268" s="95"/>
      <c r="Q268" s="95"/>
      <c r="R268" s="54">
        <v>0</v>
      </c>
      <c r="S268" s="94">
        <f t="shared" si="5"/>
        <v>0</v>
      </c>
      <c r="T268" s="53">
        <v>0</v>
      </c>
      <c r="U268" s="131">
        <f t="shared" si="6"/>
        <v>0</v>
      </c>
      <c r="V268" s="25"/>
      <c r="W268" s="25"/>
      <c r="X268" s="5"/>
    </row>
    <row r="269" spans="1:24" ht="15.75" x14ac:dyDescent="0.25">
      <c r="A269" s="24"/>
      <c r="B269" s="54" t="s">
        <v>159</v>
      </c>
      <c r="C269" s="25"/>
      <c r="D269" s="25"/>
      <c r="E269" s="25"/>
      <c r="F269" s="25"/>
      <c r="G269" s="25"/>
      <c r="H269" s="95"/>
      <c r="I269" s="95"/>
      <c r="J269" s="95"/>
      <c r="K269" s="95"/>
      <c r="L269" s="95"/>
      <c r="M269" s="95"/>
      <c r="N269" s="95"/>
      <c r="O269" s="95"/>
      <c r="P269" s="95"/>
      <c r="Q269" s="95"/>
      <c r="R269" s="54">
        <v>0</v>
      </c>
      <c r="S269" s="94">
        <f t="shared" si="5"/>
        <v>0</v>
      </c>
      <c r="T269" s="53">
        <v>0</v>
      </c>
      <c r="U269" s="131">
        <f t="shared" si="6"/>
        <v>0</v>
      </c>
      <c r="V269" s="25"/>
      <c r="W269" s="25"/>
      <c r="X269" s="5"/>
    </row>
    <row r="270" spans="1:24" ht="15.75" x14ac:dyDescent="0.25">
      <c r="A270" s="24"/>
      <c r="B270" s="54" t="s">
        <v>160</v>
      </c>
      <c r="C270" s="25"/>
      <c r="D270" s="25"/>
      <c r="E270" s="25"/>
      <c r="F270" s="25"/>
      <c r="G270" s="25"/>
      <c r="H270" s="95"/>
      <c r="I270" s="95"/>
      <c r="J270" s="95"/>
      <c r="K270" s="95"/>
      <c r="L270" s="95"/>
      <c r="M270" s="95"/>
      <c r="N270" s="95"/>
      <c r="O270" s="95"/>
      <c r="P270" s="95"/>
      <c r="Q270" s="95"/>
      <c r="R270" s="54">
        <v>1</v>
      </c>
      <c r="S270" s="94">
        <f t="shared" si="5"/>
        <v>1</v>
      </c>
      <c r="T270" s="53">
        <v>117</v>
      </c>
      <c r="U270" s="131">
        <f t="shared" si="6"/>
        <v>1</v>
      </c>
      <c r="V270" s="25"/>
      <c r="W270" s="25"/>
      <c r="X270" s="5"/>
    </row>
    <row r="271" spans="1:24" ht="15.75" x14ac:dyDescent="0.25">
      <c r="A271" s="24"/>
      <c r="B271" s="54"/>
      <c r="C271" s="25"/>
      <c r="D271" s="25"/>
      <c r="E271" s="25"/>
      <c r="F271" s="25"/>
      <c r="G271" s="25"/>
      <c r="H271" s="95"/>
      <c r="I271" s="95"/>
      <c r="J271" s="95"/>
      <c r="K271" s="95"/>
      <c r="L271" s="95"/>
      <c r="M271" s="95"/>
      <c r="N271" s="95"/>
      <c r="O271" s="95"/>
      <c r="P271" s="95"/>
      <c r="Q271" s="95"/>
      <c r="R271" s="54"/>
      <c r="S271" s="94"/>
      <c r="T271" s="53"/>
      <c r="U271" s="131"/>
      <c r="V271" s="25"/>
      <c r="W271" s="25"/>
      <c r="X271" s="5"/>
    </row>
    <row r="272" spans="1:24" ht="15.75" x14ac:dyDescent="0.25">
      <c r="A272" s="24"/>
      <c r="B272" s="25" t="s">
        <v>114</v>
      </c>
      <c r="C272" s="25"/>
      <c r="D272" s="25"/>
      <c r="E272" s="25"/>
      <c r="F272" s="25"/>
      <c r="G272" s="25"/>
      <c r="H272" s="95"/>
      <c r="I272" s="95"/>
      <c r="J272" s="95"/>
      <c r="K272" s="95"/>
      <c r="L272" s="95"/>
      <c r="M272" s="95"/>
      <c r="N272" s="95"/>
      <c r="O272" s="95"/>
      <c r="P272" s="95"/>
      <c r="Q272" s="95"/>
      <c r="R272" s="34">
        <f>SUM(R263:R270)</f>
        <v>1</v>
      </c>
      <c r="S272" s="94">
        <f>SUM(S263:S270)</f>
        <v>1</v>
      </c>
      <c r="T272" s="53">
        <f>SUM(T263:T270)</f>
        <v>117</v>
      </c>
      <c r="U272" s="131">
        <f>SUM(U263:U270)</f>
        <v>1</v>
      </c>
      <c r="V272" s="25"/>
      <c r="W272" s="25"/>
      <c r="X272" s="5"/>
    </row>
    <row r="273" spans="1:24" ht="15.75" x14ac:dyDescent="0.25">
      <c r="A273" s="24"/>
      <c r="B273" s="25"/>
      <c r="C273" s="25"/>
      <c r="D273" s="25"/>
      <c r="E273" s="25"/>
      <c r="F273" s="25"/>
      <c r="G273" s="25"/>
      <c r="H273" s="95"/>
      <c r="I273" s="95"/>
      <c r="J273" s="95"/>
      <c r="K273" s="95"/>
      <c r="L273" s="95"/>
      <c r="M273" s="95"/>
      <c r="N273" s="95"/>
      <c r="O273" s="95"/>
      <c r="P273" s="95"/>
      <c r="Q273" s="95"/>
      <c r="R273" s="34"/>
      <c r="S273" s="131"/>
      <c r="T273" s="53"/>
      <c r="U273" s="131"/>
      <c r="V273" s="25"/>
      <c r="W273" s="25"/>
      <c r="X273" s="5"/>
    </row>
    <row r="274" spans="1:24" ht="15.75" x14ac:dyDescent="0.25">
      <c r="A274" s="24"/>
      <c r="B274" s="139" t="s">
        <v>164</v>
      </c>
      <c r="C274" s="25"/>
      <c r="D274" s="25"/>
      <c r="E274" s="25"/>
      <c r="F274" s="25"/>
      <c r="G274" s="25"/>
      <c r="H274" s="95"/>
      <c r="I274" s="95"/>
      <c r="J274" s="95"/>
      <c r="K274" s="95"/>
      <c r="L274" s="95"/>
      <c r="M274" s="95"/>
      <c r="N274" s="95"/>
      <c r="O274" s="95"/>
      <c r="P274" s="95"/>
      <c r="Q274" s="95"/>
      <c r="R274" s="156">
        <f>R272+R260+R248</f>
        <v>6083</v>
      </c>
      <c r="S274" s="140"/>
      <c r="T274" s="141">
        <f>+T272+T260+T248</f>
        <v>880910</v>
      </c>
      <c r="U274" s="140"/>
      <c r="V274" s="25"/>
      <c r="W274" s="25"/>
      <c r="X274" s="5"/>
    </row>
    <row r="275" spans="1:24" ht="15.75" x14ac:dyDescent="0.25">
      <c r="A275" s="24"/>
      <c r="B275" s="25"/>
      <c r="C275" s="25"/>
      <c r="D275" s="25"/>
      <c r="E275" s="25"/>
      <c r="F275" s="25"/>
      <c r="G275" s="25"/>
      <c r="H275" s="95"/>
      <c r="I275" s="95"/>
      <c r="J275" s="95"/>
      <c r="K275" s="95"/>
      <c r="L275" s="95"/>
      <c r="M275" s="95"/>
      <c r="N275" s="95"/>
      <c r="O275" s="95"/>
      <c r="P275" s="95"/>
      <c r="Q275" s="95"/>
      <c r="R275" s="95"/>
      <c r="S275" s="95"/>
      <c r="T275" s="53"/>
      <c r="U275" s="95"/>
      <c r="V275" s="25"/>
      <c r="W275" s="25"/>
      <c r="X275" s="5"/>
    </row>
    <row r="276" spans="1:24" ht="15.75" x14ac:dyDescent="0.25">
      <c r="A276" s="6"/>
      <c r="B276" s="8"/>
      <c r="C276" s="8"/>
      <c r="D276" s="8"/>
      <c r="E276" s="8"/>
      <c r="F276" s="8"/>
      <c r="G276" s="8"/>
      <c r="H276" s="96"/>
      <c r="I276" s="96"/>
      <c r="J276" s="96"/>
      <c r="K276" s="96"/>
      <c r="L276" s="96"/>
      <c r="M276" s="96"/>
      <c r="N276" s="96"/>
      <c r="O276" s="96"/>
      <c r="P276" s="96"/>
      <c r="Q276" s="96"/>
      <c r="R276" s="96"/>
      <c r="S276" s="96"/>
      <c r="T276" s="97"/>
      <c r="U276" s="96"/>
      <c r="V276" s="8"/>
      <c r="W276" s="8"/>
      <c r="X276" s="5"/>
    </row>
    <row r="277" spans="1:24" ht="15.75" x14ac:dyDescent="0.25">
      <c r="A277" s="178"/>
      <c r="B277" s="14" t="s">
        <v>91</v>
      </c>
      <c r="C277" s="15"/>
      <c r="D277" s="15"/>
      <c r="E277" s="15"/>
      <c r="F277" s="17" t="s">
        <v>97</v>
      </c>
      <c r="G277" s="15"/>
      <c r="H277" s="14" t="s">
        <v>99</v>
      </c>
      <c r="I277" s="14"/>
      <c r="J277" s="14"/>
      <c r="K277" s="173"/>
      <c r="L277" s="173"/>
      <c r="M277" s="173"/>
      <c r="N277" s="173"/>
      <c r="O277" s="173"/>
      <c r="P277" s="173"/>
      <c r="Q277" s="173"/>
      <c r="R277" s="173"/>
      <c r="S277" s="173"/>
      <c r="T277" s="173"/>
      <c r="U277" s="173"/>
      <c r="V277" s="173"/>
      <c r="W277" s="173"/>
      <c r="X277" s="5"/>
    </row>
    <row r="278" spans="1:24" ht="15.75" x14ac:dyDescent="0.25">
      <c r="A278" s="178"/>
      <c r="B278" s="173"/>
      <c r="C278" s="8"/>
      <c r="D278" s="8"/>
      <c r="E278" s="8"/>
      <c r="F278" s="8"/>
      <c r="G278" s="8"/>
      <c r="H278" s="8"/>
      <c r="I278" s="8"/>
      <c r="J278" s="8"/>
      <c r="K278" s="173"/>
      <c r="L278" s="173"/>
      <c r="M278" s="173"/>
      <c r="N278" s="173"/>
      <c r="O278" s="173"/>
      <c r="P278" s="173"/>
      <c r="Q278" s="173"/>
      <c r="R278" s="173"/>
      <c r="S278" s="173"/>
      <c r="T278" s="173"/>
      <c r="U278" s="173"/>
      <c r="V278" s="173"/>
      <c r="W278" s="173"/>
      <c r="X278" s="5"/>
    </row>
    <row r="279" spans="1:24" ht="15.75" x14ac:dyDescent="0.25">
      <c r="A279" s="178"/>
      <c r="B279" s="13" t="s">
        <v>92</v>
      </c>
      <c r="C279" s="13"/>
      <c r="D279" s="13"/>
      <c r="E279" s="13"/>
      <c r="F279" s="129" t="s">
        <v>148</v>
      </c>
      <c r="G279" s="13"/>
      <c r="H279" s="13" t="s">
        <v>152</v>
      </c>
      <c r="I279" s="13"/>
      <c r="J279" s="13"/>
      <c r="K279" s="173"/>
      <c r="L279" s="173"/>
      <c r="M279" s="173"/>
      <c r="N279" s="173"/>
      <c r="O279" s="173"/>
      <c r="P279" s="173"/>
      <c r="Q279" s="173"/>
      <c r="R279" s="173"/>
      <c r="S279" s="173"/>
      <c r="T279" s="173"/>
      <c r="U279" s="173"/>
      <c r="V279" s="173"/>
      <c r="W279" s="173"/>
      <c r="X279" s="5"/>
    </row>
    <row r="280" spans="1:24" ht="15.75" x14ac:dyDescent="0.25">
      <c r="A280" s="178"/>
      <c r="B280" s="13" t="s">
        <v>265</v>
      </c>
      <c r="C280" s="13"/>
      <c r="D280" s="13"/>
      <c r="E280" s="13"/>
      <c r="F280" s="129" t="s">
        <v>266</v>
      </c>
      <c r="G280" s="13"/>
      <c r="H280" s="13" t="s">
        <v>267</v>
      </c>
      <c r="I280" s="13"/>
      <c r="J280" s="13"/>
      <c r="K280" s="173"/>
      <c r="L280" s="173"/>
      <c r="M280" s="173"/>
      <c r="N280" s="173"/>
      <c r="O280" s="173"/>
      <c r="P280" s="173"/>
      <c r="Q280" s="173"/>
      <c r="R280" s="173"/>
      <c r="S280" s="173"/>
      <c r="T280" s="173"/>
      <c r="U280" s="173"/>
      <c r="V280" s="173"/>
      <c r="W280" s="173"/>
      <c r="X280" s="5"/>
    </row>
    <row r="281" spans="1:24" ht="15.75" x14ac:dyDescent="0.25">
      <c r="A281" s="178"/>
      <c r="B281" s="13" t="s">
        <v>93</v>
      </c>
      <c r="C281" s="13"/>
      <c r="D281" s="13"/>
      <c r="E281" s="13"/>
      <c r="F281" s="129" t="s">
        <v>147</v>
      </c>
      <c r="G281" s="13"/>
      <c r="H281" s="13" t="s">
        <v>153</v>
      </c>
      <c r="I281" s="13"/>
      <c r="J281" s="13"/>
      <c r="K281" s="173"/>
      <c r="L281" s="173"/>
      <c r="M281" s="173"/>
      <c r="N281" s="173"/>
      <c r="O281" s="173"/>
      <c r="P281" s="173"/>
      <c r="Q281" s="173"/>
      <c r="R281" s="173"/>
      <c r="S281" s="173"/>
      <c r="T281" s="173"/>
      <c r="U281" s="173"/>
      <c r="V281" s="173"/>
      <c r="W281" s="173"/>
      <c r="X281" s="5"/>
    </row>
    <row r="282" spans="1:24" ht="15.75" x14ac:dyDescent="0.25">
      <c r="A282" s="178"/>
      <c r="B282" s="13"/>
      <c r="C282" s="13"/>
      <c r="D282" s="13"/>
      <c r="E282" s="13"/>
      <c r="F282" s="13"/>
      <c r="G282" s="99"/>
      <c r="H282" s="173"/>
      <c r="I282" s="173"/>
      <c r="J282" s="173"/>
      <c r="K282" s="173"/>
      <c r="L282" s="173"/>
      <c r="M282" s="173"/>
      <c r="N282" s="173"/>
      <c r="O282" s="173"/>
      <c r="P282" s="173"/>
      <c r="Q282" s="173"/>
      <c r="R282" s="173"/>
      <c r="S282" s="173"/>
      <c r="T282" s="173"/>
      <c r="U282" s="173"/>
      <c r="V282" s="173"/>
      <c r="W282" s="173"/>
      <c r="X282" s="5"/>
    </row>
    <row r="283" spans="1:24" ht="15.75" x14ac:dyDescent="0.25">
      <c r="A283" s="178"/>
      <c r="B283" s="13"/>
      <c r="C283" s="13"/>
      <c r="D283" s="13"/>
      <c r="E283" s="13"/>
      <c r="F283" s="13"/>
      <c r="G283" s="99"/>
      <c r="H283" s="173"/>
      <c r="I283" s="173"/>
      <c r="J283" s="173"/>
      <c r="K283" s="173"/>
      <c r="L283" s="173"/>
      <c r="M283" s="173"/>
      <c r="N283" s="173"/>
      <c r="O283" s="173"/>
      <c r="P283" s="173"/>
      <c r="Q283" s="173"/>
      <c r="R283" s="173"/>
      <c r="S283" s="173"/>
      <c r="T283" s="173"/>
      <c r="U283" s="173"/>
      <c r="V283" s="173"/>
      <c r="W283" s="173"/>
      <c r="X283" s="5"/>
    </row>
    <row r="284" spans="1:24" ht="19.5" thickBot="1" x14ac:dyDescent="0.35">
      <c r="A284" s="178"/>
      <c r="B284" s="49" t="str">
        <f>B200</f>
        <v>PM15 INVESTOR REPORT QUARTER ENDING MAY 2009</v>
      </c>
      <c r="C284" s="13"/>
      <c r="D284" s="13"/>
      <c r="E284" s="13"/>
      <c r="F284" s="13"/>
      <c r="G284" s="99"/>
      <c r="H284" s="173"/>
      <c r="I284" s="173"/>
      <c r="J284" s="173"/>
      <c r="K284" s="173"/>
      <c r="L284" s="173"/>
      <c r="M284" s="173"/>
      <c r="N284" s="173"/>
      <c r="O284" s="173"/>
      <c r="P284" s="173"/>
      <c r="Q284" s="173"/>
      <c r="R284" s="173"/>
      <c r="S284" s="173"/>
      <c r="T284" s="173"/>
      <c r="U284" s="173"/>
      <c r="V284" s="173"/>
      <c r="W284" s="173"/>
      <c r="X284" s="5"/>
    </row>
    <row r="285" spans="1:24" x14ac:dyDescent="0.2">
      <c r="A285" s="100"/>
      <c r="B285" s="100"/>
      <c r="C285" s="100"/>
      <c r="D285" s="100"/>
      <c r="E285" s="100"/>
      <c r="F285" s="100"/>
      <c r="G285" s="100"/>
      <c r="H285" s="100"/>
      <c r="I285" s="100"/>
      <c r="J285" s="100"/>
      <c r="K285" s="100"/>
      <c r="L285" s="100"/>
      <c r="M285" s="100"/>
      <c r="N285" s="100"/>
      <c r="O285" s="100"/>
      <c r="P285" s="100"/>
      <c r="Q285" s="100"/>
      <c r="R285" s="100"/>
      <c r="S285" s="100"/>
      <c r="T285" s="100"/>
      <c r="U285" s="100"/>
      <c r="V285" s="100"/>
      <c r="W285" s="100"/>
    </row>
  </sheetData>
  <phoneticPr fontId="0" type="noConversion"/>
  <hyperlinks>
    <hyperlink ref="P236" r:id="rId1" xr:uid="{00000000-0004-0000-0600-000000000000}"/>
    <hyperlink ref="I9" r:id="rId2" xr:uid="{00000000-0004-0000-06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5" max="14" man="1"/>
    <brk id="200" max="14" man="1"/>
  </row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sheetPr>
  <dimension ref="A1:IV285"/>
  <sheetViews>
    <sheetView showGridLines="0" showOutlineSymbols="0" zoomScale="70" zoomScaleNormal="70" workbookViewId="0"/>
  </sheetViews>
  <sheetFormatPr defaultColWidth="9.6640625" defaultRowHeight="15" x14ac:dyDescent="0.2"/>
  <cols>
    <col min="1" max="1" width="4" style="1" customWidth="1"/>
    <col min="2" max="2" width="71.21875" style="1" customWidth="1"/>
    <col min="3" max="3" width="2.21875" style="1" customWidth="1"/>
    <col min="4" max="4" width="19.33203125" style="1" customWidth="1"/>
    <col min="5" max="5" width="2.21875" style="1" customWidth="1"/>
    <col min="6" max="6" width="25.109375" style="1" customWidth="1"/>
    <col min="7" max="7" width="2.21875" style="1" customWidth="1"/>
    <col min="8" max="8" width="16.21875" style="1" customWidth="1"/>
    <col min="9" max="9" width="2.88671875" style="1" customWidth="1"/>
    <col min="10" max="10" width="16.21875" style="1" customWidth="1"/>
    <col min="11" max="11" width="2.21875" style="1" customWidth="1"/>
    <col min="12" max="12" width="17.88671875" style="1" customWidth="1"/>
    <col min="13" max="13" width="2.33203125" style="1" customWidth="1"/>
    <col min="14" max="14" width="14.88671875" style="1" customWidth="1"/>
    <col min="15" max="15" width="2.33203125" style="1" customWidth="1"/>
    <col min="16" max="16" width="15.5546875" style="1" customWidth="1"/>
    <col min="17" max="17" width="2.21875" style="1" customWidth="1"/>
    <col min="18" max="18" width="15.5546875" style="1" customWidth="1"/>
    <col min="19" max="20" width="12.6640625" style="1" customWidth="1"/>
    <col min="21" max="21" width="7.77734375" style="1" customWidth="1"/>
    <col min="22" max="22" width="14.6640625" style="1" customWidth="1"/>
    <col min="23" max="23" width="11.77734375" style="1" customWidth="1"/>
    <col min="24" max="16384" width="9.6640625" style="1"/>
  </cols>
  <sheetData>
    <row r="1" spans="1:24" ht="20.25" x14ac:dyDescent="0.3">
      <c r="A1" s="2"/>
      <c r="B1" s="3" t="s">
        <v>237</v>
      </c>
      <c r="C1" s="4"/>
      <c r="D1" s="4"/>
      <c r="E1" s="4"/>
      <c r="F1" s="4"/>
      <c r="G1" s="4"/>
      <c r="H1" s="4"/>
      <c r="I1" s="4"/>
      <c r="J1" s="4"/>
      <c r="K1" s="4"/>
      <c r="L1" s="4"/>
      <c r="M1" s="4"/>
      <c r="N1" s="4"/>
      <c r="O1" s="4"/>
      <c r="P1" s="4"/>
      <c r="Q1" s="4"/>
      <c r="R1" s="4"/>
      <c r="S1" s="4"/>
      <c r="T1" s="4"/>
      <c r="U1" s="4"/>
      <c r="V1" s="4"/>
      <c r="W1" s="4"/>
      <c r="X1" s="5"/>
    </row>
    <row r="2" spans="1:24" ht="15.75" x14ac:dyDescent="0.25">
      <c r="A2" s="6"/>
      <c r="B2" s="7"/>
      <c r="C2" s="8"/>
      <c r="D2" s="8"/>
      <c r="E2" s="8"/>
      <c r="F2" s="8"/>
      <c r="G2" s="8"/>
      <c r="H2" s="8"/>
      <c r="I2" s="8"/>
      <c r="J2" s="8"/>
      <c r="K2" s="8"/>
      <c r="L2" s="8"/>
      <c r="M2" s="8"/>
      <c r="N2" s="8"/>
      <c r="O2" s="8"/>
      <c r="P2" s="8"/>
      <c r="Q2" s="8"/>
      <c r="R2" s="8"/>
      <c r="S2" s="8"/>
      <c r="T2" s="8"/>
      <c r="U2" s="8"/>
      <c r="V2" s="8"/>
      <c r="W2" s="8"/>
      <c r="X2" s="5"/>
    </row>
    <row r="3" spans="1:24" ht="15.75" x14ac:dyDescent="0.25">
      <c r="A3" s="9"/>
      <c r="B3" s="111" t="s">
        <v>238</v>
      </c>
      <c r="C3" s="8"/>
      <c r="D3" s="8"/>
      <c r="E3" s="8"/>
      <c r="F3" s="8"/>
      <c r="G3" s="8"/>
      <c r="H3" s="8"/>
      <c r="I3" s="8"/>
      <c r="J3" s="8"/>
      <c r="K3" s="8"/>
      <c r="L3" s="8"/>
      <c r="M3" s="8"/>
      <c r="N3" s="8"/>
      <c r="O3" s="8"/>
      <c r="P3" s="8"/>
      <c r="Q3" s="8"/>
      <c r="R3" s="8"/>
      <c r="S3" s="8"/>
      <c r="T3" s="8"/>
      <c r="U3" s="8"/>
      <c r="V3" s="8"/>
      <c r="W3" s="8"/>
      <c r="X3" s="5"/>
    </row>
    <row r="4" spans="1:24" ht="15.75" x14ac:dyDescent="0.25">
      <c r="A4" s="6"/>
      <c r="B4" s="7"/>
      <c r="C4" s="8"/>
      <c r="D4" s="8"/>
      <c r="E4" s="8"/>
      <c r="F4" s="8"/>
      <c r="G4" s="8"/>
      <c r="H4" s="8"/>
      <c r="I4" s="8"/>
      <c r="J4" s="8"/>
      <c r="K4" s="8"/>
      <c r="L4" s="8"/>
      <c r="M4" s="8"/>
      <c r="N4" s="8"/>
      <c r="O4" s="8"/>
      <c r="P4" s="8"/>
      <c r="Q4" s="8"/>
      <c r="R4" s="8"/>
      <c r="S4" s="8"/>
      <c r="T4" s="8"/>
      <c r="U4" s="8"/>
      <c r="V4" s="8"/>
      <c r="W4" s="8"/>
      <c r="X4" s="5"/>
    </row>
    <row r="5" spans="1:24" ht="15.75" x14ac:dyDescent="0.25">
      <c r="A5" s="6"/>
      <c r="B5" s="11" t="s">
        <v>137</v>
      </c>
      <c r="C5" s="8"/>
      <c r="D5" s="8"/>
      <c r="E5" s="8"/>
      <c r="F5" s="8"/>
      <c r="G5" s="8"/>
      <c r="H5" s="8"/>
      <c r="I5" s="8"/>
      <c r="J5" s="8"/>
      <c r="K5" s="8"/>
      <c r="L5" s="8"/>
      <c r="M5" s="8"/>
      <c r="N5" s="8"/>
      <c r="O5" s="8"/>
      <c r="P5" s="8"/>
      <c r="Q5" s="8"/>
      <c r="R5" s="8"/>
      <c r="S5" s="8"/>
      <c r="T5" s="8"/>
      <c r="U5" s="8"/>
      <c r="V5" s="8"/>
      <c r="W5" s="8"/>
      <c r="X5" s="5"/>
    </row>
    <row r="6" spans="1:24" ht="15.75" x14ac:dyDescent="0.25">
      <c r="A6" s="6"/>
      <c r="B6" s="11" t="s">
        <v>139</v>
      </c>
      <c r="C6" s="8"/>
      <c r="D6" s="8"/>
      <c r="E6" s="8"/>
      <c r="F6" s="8"/>
      <c r="G6" s="8"/>
      <c r="H6" s="8"/>
      <c r="I6" s="8"/>
      <c r="J6" s="8"/>
      <c r="K6" s="8"/>
      <c r="L6" s="8"/>
      <c r="M6" s="8"/>
      <c r="N6" s="8"/>
      <c r="O6" s="8"/>
      <c r="P6" s="8"/>
      <c r="Q6" s="8"/>
      <c r="R6" s="8"/>
      <c r="S6" s="8"/>
      <c r="T6" s="8"/>
      <c r="U6" s="8"/>
      <c r="V6" s="8"/>
      <c r="W6" s="8"/>
      <c r="X6" s="5"/>
    </row>
    <row r="7" spans="1:24" ht="15.75" x14ac:dyDescent="0.25">
      <c r="A7" s="6"/>
      <c r="B7" s="11" t="s">
        <v>138</v>
      </c>
      <c r="C7" s="8"/>
      <c r="D7" s="8"/>
      <c r="E7" s="8"/>
      <c r="F7" s="8"/>
      <c r="G7" s="8"/>
      <c r="H7" s="8"/>
      <c r="I7" s="8"/>
      <c r="J7" s="8"/>
      <c r="K7" s="8"/>
      <c r="L7" s="8"/>
      <c r="M7" s="8"/>
      <c r="N7" s="8"/>
      <c r="O7" s="8"/>
      <c r="P7" s="8"/>
      <c r="Q7" s="8"/>
      <c r="R7" s="8"/>
      <c r="S7" s="8"/>
      <c r="T7" s="8"/>
      <c r="U7" s="8"/>
      <c r="V7" s="8"/>
      <c r="W7" s="8"/>
      <c r="X7" s="5"/>
    </row>
    <row r="8" spans="1:24" ht="15.75" x14ac:dyDescent="0.25">
      <c r="A8" s="6"/>
      <c r="B8" s="11"/>
      <c r="C8" s="8"/>
      <c r="D8" s="8"/>
      <c r="E8" s="8"/>
      <c r="F8" s="8"/>
      <c r="G8" s="8"/>
      <c r="H8" s="8"/>
      <c r="I8" s="8"/>
      <c r="J8" s="8"/>
      <c r="K8" s="8"/>
      <c r="L8" s="8"/>
      <c r="M8" s="8"/>
      <c r="N8" s="8"/>
      <c r="O8" s="8"/>
      <c r="P8" s="8"/>
      <c r="Q8" s="8"/>
      <c r="R8" s="8"/>
      <c r="S8" s="8"/>
      <c r="T8" s="8"/>
      <c r="U8" s="8"/>
      <c r="V8" s="8"/>
      <c r="W8" s="8"/>
      <c r="X8" s="5"/>
    </row>
    <row r="9" spans="1:24" ht="18.75" x14ac:dyDescent="0.3">
      <c r="A9" s="6"/>
      <c r="B9" s="144" t="s">
        <v>166</v>
      </c>
      <c r="C9" s="8"/>
      <c r="D9" s="8"/>
      <c r="E9" s="8"/>
      <c r="F9" s="8"/>
      <c r="G9" s="8"/>
      <c r="H9" s="8"/>
      <c r="I9" s="145" t="s">
        <v>167</v>
      </c>
      <c r="J9" s="8"/>
      <c r="K9" s="8"/>
      <c r="L9" s="145"/>
      <c r="M9" s="8"/>
      <c r="N9" s="145"/>
      <c r="O9" s="8"/>
      <c r="P9" s="8"/>
      <c r="Q9" s="8"/>
      <c r="R9" s="8"/>
      <c r="S9" s="8"/>
      <c r="T9" s="8"/>
      <c r="U9" s="8"/>
      <c r="V9" s="8"/>
      <c r="W9" s="8"/>
      <c r="X9" s="5"/>
    </row>
    <row r="10" spans="1:24" ht="15.75" x14ac:dyDescent="0.25">
      <c r="A10" s="6"/>
      <c r="B10" s="11"/>
      <c r="C10" s="13"/>
      <c r="D10" s="13"/>
      <c r="E10" s="13"/>
      <c r="F10" s="8"/>
      <c r="G10" s="8"/>
      <c r="H10" s="8"/>
      <c r="I10" s="8"/>
      <c r="J10" s="8"/>
      <c r="K10" s="8"/>
      <c r="L10" s="8"/>
      <c r="M10" s="8"/>
      <c r="N10" s="8"/>
      <c r="O10" s="8"/>
      <c r="P10" s="8"/>
      <c r="Q10" s="8"/>
      <c r="R10" s="8"/>
      <c r="S10" s="8"/>
      <c r="T10" s="8"/>
      <c r="U10" s="8"/>
      <c r="V10" s="8"/>
      <c r="W10" s="8"/>
      <c r="X10" s="5"/>
    </row>
    <row r="11" spans="1:24" ht="15.75" x14ac:dyDescent="0.25">
      <c r="A11" s="6"/>
      <c r="B11" s="14" t="s">
        <v>0</v>
      </c>
      <c r="C11" s="8"/>
      <c r="D11" s="8"/>
      <c r="E11" s="8"/>
      <c r="F11" s="8"/>
      <c r="G11" s="8"/>
      <c r="H11" s="8"/>
      <c r="I11" s="8"/>
      <c r="J11" s="8"/>
      <c r="K11" s="8"/>
      <c r="L11" s="8"/>
      <c r="M11" s="8"/>
      <c r="N11" s="8"/>
      <c r="O11" s="8"/>
      <c r="P11" s="8"/>
      <c r="Q11" s="8"/>
      <c r="R11" s="8"/>
      <c r="S11" s="8"/>
      <c r="T11" s="8"/>
      <c r="U11" s="8"/>
      <c r="V11" s="8"/>
      <c r="W11" s="8"/>
      <c r="X11" s="5"/>
    </row>
    <row r="12" spans="1:24" ht="16.5" thickBot="1" x14ac:dyDescent="0.3">
      <c r="A12" s="6"/>
      <c r="B12" s="13"/>
      <c r="C12" s="8"/>
      <c r="D12" s="8"/>
      <c r="E12" s="8"/>
      <c r="F12" s="8"/>
      <c r="G12" s="8"/>
      <c r="H12" s="8"/>
      <c r="I12" s="8"/>
      <c r="J12" s="8"/>
      <c r="K12" s="8"/>
      <c r="L12" s="8"/>
      <c r="M12" s="8"/>
      <c r="N12" s="8"/>
      <c r="O12" s="8"/>
      <c r="P12" s="8"/>
      <c r="Q12" s="8"/>
      <c r="R12" s="8"/>
      <c r="S12" s="8"/>
      <c r="T12" s="8"/>
      <c r="U12" s="8"/>
      <c r="V12" s="8"/>
      <c r="W12" s="8"/>
      <c r="X12" s="5"/>
    </row>
    <row r="13" spans="1:24" ht="15.75" x14ac:dyDescent="0.25">
      <c r="A13" s="2"/>
      <c r="B13" s="4"/>
      <c r="C13" s="4"/>
      <c r="D13" s="4"/>
      <c r="E13" s="4"/>
      <c r="F13" s="4"/>
      <c r="G13" s="4"/>
      <c r="H13" s="4"/>
      <c r="I13" s="4"/>
      <c r="J13" s="4"/>
      <c r="K13" s="4"/>
      <c r="L13" s="4"/>
      <c r="M13" s="4"/>
      <c r="N13" s="4"/>
      <c r="O13" s="4"/>
      <c r="P13" s="4"/>
      <c r="Q13" s="4"/>
      <c r="R13" s="4"/>
      <c r="S13" s="4"/>
      <c r="T13" s="4"/>
      <c r="U13" s="4"/>
      <c r="V13" s="4"/>
      <c r="W13" s="4"/>
      <c r="X13" s="5"/>
    </row>
    <row r="14" spans="1:24" ht="15.75" x14ac:dyDescent="0.25">
      <c r="A14" s="6"/>
      <c r="B14" s="14" t="s">
        <v>1</v>
      </c>
      <c r="C14" s="15"/>
      <c r="D14" s="15"/>
      <c r="E14" s="15"/>
      <c r="F14" s="15"/>
      <c r="G14" s="15"/>
      <c r="H14" s="15"/>
      <c r="I14" s="15"/>
      <c r="J14" s="15"/>
      <c r="K14" s="15"/>
      <c r="L14" s="15"/>
      <c r="M14" s="15"/>
      <c r="N14" s="15"/>
      <c r="O14" s="15"/>
      <c r="P14" s="15"/>
      <c r="Q14" s="15"/>
      <c r="R14" s="15"/>
      <c r="S14" s="15"/>
      <c r="T14" s="15"/>
      <c r="U14" s="15"/>
      <c r="V14" s="16" t="s">
        <v>239</v>
      </c>
      <c r="W14" s="15"/>
      <c r="X14" s="5"/>
    </row>
    <row r="15" spans="1:24" ht="15.75" x14ac:dyDescent="0.25">
      <c r="A15" s="6"/>
      <c r="B15" s="14" t="s">
        <v>2</v>
      </c>
      <c r="C15" s="15"/>
      <c r="D15" s="15"/>
      <c r="E15" s="15"/>
      <c r="F15" s="15"/>
      <c r="G15" s="15"/>
      <c r="H15" s="18"/>
      <c r="I15" s="18"/>
      <c r="J15" s="18"/>
      <c r="K15" s="18"/>
      <c r="L15" s="18"/>
      <c r="M15" s="18"/>
      <c r="N15" s="18"/>
      <c r="O15" s="18"/>
      <c r="P15" s="18"/>
      <c r="Q15" s="18"/>
      <c r="R15" s="18" t="s">
        <v>104</v>
      </c>
      <c r="S15" s="134">
        <v>0.47189999999999999</v>
      </c>
      <c r="T15" s="17" t="s">
        <v>140</v>
      </c>
      <c r="U15" s="134">
        <v>0.52810000000000001</v>
      </c>
      <c r="V15" s="16"/>
      <c r="W15" s="15"/>
      <c r="X15" s="5"/>
    </row>
    <row r="16" spans="1:24" ht="15.75" x14ac:dyDescent="0.25">
      <c r="A16" s="6"/>
      <c r="B16" s="14" t="s">
        <v>3</v>
      </c>
      <c r="C16" s="15"/>
      <c r="D16" s="15"/>
      <c r="E16" s="15"/>
      <c r="F16" s="15"/>
      <c r="G16" s="15"/>
      <c r="H16" s="18"/>
      <c r="I16" s="18"/>
      <c r="J16" s="18"/>
      <c r="K16" s="18"/>
      <c r="L16" s="18"/>
      <c r="M16" s="18"/>
      <c r="N16" s="18"/>
      <c r="O16" s="18"/>
      <c r="P16" s="18"/>
      <c r="Q16" s="18"/>
      <c r="R16" s="18" t="s">
        <v>104</v>
      </c>
      <c r="S16" s="134">
        <v>0.53390000000000004</v>
      </c>
      <c r="T16" s="17" t="s">
        <v>140</v>
      </c>
      <c r="U16" s="134">
        <v>0.46610000000000001</v>
      </c>
      <c r="V16" s="16"/>
      <c r="W16" s="15"/>
      <c r="X16" s="5"/>
    </row>
    <row r="17" spans="1:24" ht="15.75" x14ac:dyDescent="0.25">
      <c r="A17" s="6"/>
      <c r="B17" s="14" t="s">
        <v>4</v>
      </c>
      <c r="C17" s="15"/>
      <c r="D17" s="15"/>
      <c r="E17" s="15"/>
      <c r="F17" s="15"/>
      <c r="G17" s="15"/>
      <c r="H17" s="15"/>
      <c r="I17" s="15"/>
      <c r="J17" s="15"/>
      <c r="K17" s="15"/>
      <c r="L17" s="15"/>
      <c r="M17" s="15"/>
      <c r="N17" s="15"/>
      <c r="O17" s="15"/>
      <c r="P17" s="15"/>
      <c r="Q17" s="15"/>
      <c r="R17" s="15"/>
      <c r="S17" s="15"/>
      <c r="T17" s="15"/>
      <c r="U17" s="15"/>
      <c r="V17" s="19">
        <v>39282</v>
      </c>
      <c r="W17" s="15"/>
      <c r="X17" s="5"/>
    </row>
    <row r="18" spans="1:24" ht="15.75" x14ac:dyDescent="0.25">
      <c r="A18" s="6"/>
      <c r="B18" s="14" t="s">
        <v>5</v>
      </c>
      <c r="C18" s="15"/>
      <c r="D18" s="15"/>
      <c r="E18" s="15"/>
      <c r="F18" s="15"/>
      <c r="G18" s="15"/>
      <c r="H18" s="15"/>
      <c r="I18" s="15"/>
      <c r="J18" s="15"/>
      <c r="K18" s="15"/>
      <c r="L18" s="15"/>
      <c r="M18" s="15"/>
      <c r="N18" s="15"/>
      <c r="O18" s="15"/>
      <c r="P18" s="15"/>
      <c r="Q18" s="15"/>
      <c r="R18" s="15"/>
      <c r="S18" s="15"/>
      <c r="T18" s="15"/>
      <c r="U18" s="15"/>
      <c r="V18" s="19">
        <v>40078</v>
      </c>
      <c r="W18" s="15"/>
      <c r="X18" s="5"/>
    </row>
    <row r="19" spans="1:24" ht="15.75" x14ac:dyDescent="0.25">
      <c r="A19" s="6"/>
      <c r="B19" s="8"/>
      <c r="C19" s="8"/>
      <c r="D19" s="8"/>
      <c r="E19" s="8"/>
      <c r="F19" s="8"/>
      <c r="G19" s="8"/>
      <c r="H19" s="8"/>
      <c r="I19" s="8"/>
      <c r="J19" s="8"/>
      <c r="K19" s="8"/>
      <c r="L19" s="8"/>
      <c r="M19" s="8"/>
      <c r="N19" s="8"/>
      <c r="O19" s="8"/>
      <c r="P19" s="8"/>
      <c r="Q19" s="8"/>
      <c r="R19" s="8"/>
      <c r="S19" s="8"/>
      <c r="T19" s="8"/>
      <c r="U19" s="8"/>
      <c r="V19" s="20"/>
      <c r="W19" s="8"/>
      <c r="X19" s="5"/>
    </row>
    <row r="20" spans="1:24" ht="15.75" x14ac:dyDescent="0.25">
      <c r="A20" s="6"/>
      <c r="B20" s="21" t="s">
        <v>6</v>
      </c>
      <c r="C20" s="8"/>
      <c r="D20" s="8"/>
      <c r="E20" s="8"/>
      <c r="F20" s="8"/>
      <c r="G20" s="8"/>
      <c r="H20" s="8"/>
      <c r="I20" s="8"/>
      <c r="J20" s="8"/>
      <c r="K20" s="8"/>
      <c r="L20" s="8"/>
      <c r="M20" s="8"/>
      <c r="N20" s="8"/>
      <c r="O20" s="8"/>
      <c r="P20" s="8"/>
      <c r="Q20" s="8"/>
      <c r="R20" s="8"/>
      <c r="S20" s="8"/>
      <c r="T20" s="20" t="s">
        <v>105</v>
      </c>
      <c r="U20" s="8"/>
      <c r="V20" s="173"/>
      <c r="W20" s="8"/>
      <c r="X20" s="5"/>
    </row>
    <row r="21" spans="1:24" ht="15.75" x14ac:dyDescent="0.25">
      <c r="A21" s="6"/>
      <c r="B21" s="8"/>
      <c r="C21" s="8"/>
      <c r="D21" s="8"/>
      <c r="E21" s="8"/>
      <c r="F21" s="8"/>
      <c r="G21" s="8"/>
      <c r="H21" s="8"/>
      <c r="I21" s="8"/>
      <c r="J21" s="8"/>
      <c r="K21" s="8"/>
      <c r="L21" s="8"/>
      <c r="M21" s="8"/>
      <c r="N21" s="8"/>
      <c r="O21" s="8"/>
      <c r="P21" s="8"/>
      <c r="Q21" s="8"/>
      <c r="R21" s="8"/>
      <c r="S21" s="8"/>
      <c r="T21" s="8"/>
      <c r="U21" s="8"/>
      <c r="V21" s="22"/>
      <c r="W21" s="8"/>
      <c r="X21" s="5"/>
    </row>
    <row r="22" spans="1:24" ht="15.75" x14ac:dyDescent="0.25">
      <c r="A22" s="6"/>
      <c r="B22" s="8"/>
      <c r="C22" s="112"/>
      <c r="D22" s="112" t="s">
        <v>177</v>
      </c>
      <c r="E22" s="112"/>
      <c r="F22" s="112" t="s">
        <v>178</v>
      </c>
      <c r="G22" s="112"/>
      <c r="H22" s="112" t="s">
        <v>179</v>
      </c>
      <c r="I22" s="112"/>
      <c r="J22" s="112" t="s">
        <v>219</v>
      </c>
      <c r="K22" s="112"/>
      <c r="L22" s="112" t="s">
        <v>180</v>
      </c>
      <c r="M22" s="112"/>
      <c r="N22" s="112" t="s">
        <v>181</v>
      </c>
      <c r="O22" s="112"/>
      <c r="P22" s="112" t="s">
        <v>182</v>
      </c>
      <c r="Q22" s="112"/>
      <c r="R22" s="112"/>
      <c r="S22" s="113"/>
      <c r="T22" s="23"/>
      <c r="U22" s="173"/>
      <c r="V22" s="173"/>
      <c r="W22" s="8"/>
      <c r="X22" s="5"/>
    </row>
    <row r="23" spans="1:24" ht="15.75" x14ac:dyDescent="0.25">
      <c r="A23" s="24"/>
      <c r="B23" s="25" t="s">
        <v>7</v>
      </c>
      <c r="C23" s="26"/>
      <c r="D23" s="26" t="s">
        <v>212</v>
      </c>
      <c r="E23" s="26"/>
      <c r="F23" s="26" t="s">
        <v>141</v>
      </c>
      <c r="G23" s="26"/>
      <c r="H23" s="26" t="s">
        <v>141</v>
      </c>
      <c r="I23" s="26"/>
      <c r="J23" s="26" t="s">
        <v>141</v>
      </c>
      <c r="K23" s="26"/>
      <c r="L23" s="26" t="s">
        <v>183</v>
      </c>
      <c r="M23" s="26"/>
      <c r="N23" s="26" t="s">
        <v>183</v>
      </c>
      <c r="O23" s="26"/>
      <c r="P23" s="26" t="s">
        <v>142</v>
      </c>
      <c r="Q23" s="26"/>
      <c r="R23" s="26"/>
      <c r="S23" s="26"/>
      <c r="T23" s="26"/>
      <c r="U23" s="174"/>
      <c r="V23" s="174"/>
      <c r="W23" s="25"/>
      <c r="X23" s="5"/>
    </row>
    <row r="24" spans="1:24" ht="15.75" x14ac:dyDescent="0.25">
      <c r="A24" s="24"/>
      <c r="B24" s="25" t="s">
        <v>8</v>
      </c>
      <c r="C24" s="26"/>
      <c r="D24" s="26" t="s">
        <v>213</v>
      </c>
      <c r="E24" s="26"/>
      <c r="F24" s="26" t="s">
        <v>143</v>
      </c>
      <c r="G24" s="26"/>
      <c r="H24" s="26" t="s">
        <v>143</v>
      </c>
      <c r="I24" s="26"/>
      <c r="J24" s="26" t="s">
        <v>143</v>
      </c>
      <c r="K24" s="26"/>
      <c r="L24" s="26" t="s">
        <v>165</v>
      </c>
      <c r="M24" s="26"/>
      <c r="N24" s="26" t="s">
        <v>165</v>
      </c>
      <c r="O24" s="26"/>
      <c r="P24" s="26" t="s">
        <v>144</v>
      </c>
      <c r="Q24" s="26"/>
      <c r="R24" s="26"/>
      <c r="S24" s="26"/>
      <c r="T24" s="26"/>
      <c r="U24" s="174"/>
      <c r="V24" s="174"/>
      <c r="W24" s="25"/>
      <c r="X24" s="5"/>
    </row>
    <row r="25" spans="1:24" ht="15.75" x14ac:dyDescent="0.25">
      <c r="A25" s="28"/>
      <c r="B25" s="130" t="s">
        <v>190</v>
      </c>
      <c r="C25" s="123"/>
      <c r="D25" s="26" t="s">
        <v>214</v>
      </c>
      <c r="E25" s="26"/>
      <c r="F25" s="26" t="s">
        <v>143</v>
      </c>
      <c r="G25" s="26"/>
      <c r="H25" s="26" t="s">
        <v>143</v>
      </c>
      <c r="I25" s="26"/>
      <c r="J25" s="26" t="s">
        <v>143</v>
      </c>
      <c r="K25" s="26"/>
      <c r="L25" s="26" t="s">
        <v>165</v>
      </c>
      <c r="M25" s="26"/>
      <c r="N25" s="26" t="s">
        <v>165</v>
      </c>
      <c r="O25" s="26"/>
      <c r="P25" s="26" t="s">
        <v>144</v>
      </c>
      <c r="Q25" s="26"/>
      <c r="R25" s="26"/>
      <c r="S25" s="123"/>
      <c r="T25" s="26"/>
      <c r="U25" s="174"/>
      <c r="V25" s="174"/>
      <c r="W25" s="25"/>
      <c r="X25" s="5"/>
    </row>
    <row r="26" spans="1:24" ht="15.75" x14ac:dyDescent="0.25">
      <c r="A26" s="28"/>
      <c r="B26" s="29" t="s">
        <v>9</v>
      </c>
      <c r="C26" s="123"/>
      <c r="D26" s="123" t="s">
        <v>141</v>
      </c>
      <c r="E26" s="123"/>
      <c r="F26" s="123" t="s">
        <v>141</v>
      </c>
      <c r="G26" s="123"/>
      <c r="H26" s="123" t="s">
        <v>141</v>
      </c>
      <c r="I26" s="123"/>
      <c r="J26" s="123" t="s">
        <v>141</v>
      </c>
      <c r="K26" s="123"/>
      <c r="L26" s="123" t="s">
        <v>183</v>
      </c>
      <c r="M26" s="123"/>
      <c r="N26" s="123" t="s">
        <v>183</v>
      </c>
      <c r="O26" s="123"/>
      <c r="P26" s="123" t="s">
        <v>142</v>
      </c>
      <c r="Q26" s="123"/>
      <c r="R26" s="123"/>
      <c r="S26" s="123"/>
      <c r="T26" s="26"/>
      <c r="U26" s="174"/>
      <c r="V26" s="174"/>
      <c r="W26" s="25"/>
      <c r="X26" s="5"/>
    </row>
    <row r="27" spans="1:24" ht="15.75" x14ac:dyDescent="0.25">
      <c r="A27" s="24"/>
      <c r="B27" s="29" t="s">
        <v>191</v>
      </c>
      <c r="C27" s="26"/>
      <c r="D27" s="123" t="s">
        <v>143</v>
      </c>
      <c r="E27" s="123"/>
      <c r="F27" s="123" t="s">
        <v>143</v>
      </c>
      <c r="G27" s="123"/>
      <c r="H27" s="123" t="s">
        <v>143</v>
      </c>
      <c r="I27" s="123"/>
      <c r="J27" s="123" t="s">
        <v>143</v>
      </c>
      <c r="K27" s="123"/>
      <c r="L27" s="123" t="s">
        <v>165</v>
      </c>
      <c r="M27" s="123"/>
      <c r="N27" s="123" t="s">
        <v>165</v>
      </c>
      <c r="O27" s="123"/>
      <c r="P27" s="123" t="s">
        <v>144</v>
      </c>
      <c r="Q27" s="123"/>
      <c r="R27" s="123"/>
      <c r="S27" s="26"/>
      <c r="T27" s="30"/>
      <c r="U27" s="174"/>
      <c r="V27" s="174"/>
      <c r="W27" s="25"/>
      <c r="X27" s="5"/>
    </row>
    <row r="28" spans="1:24" ht="15.75" x14ac:dyDescent="0.25">
      <c r="A28" s="24"/>
      <c r="B28" s="149" t="s">
        <v>192</v>
      </c>
      <c r="C28" s="26"/>
      <c r="D28" s="123" t="s">
        <v>143</v>
      </c>
      <c r="E28" s="123"/>
      <c r="F28" s="123" t="s">
        <v>143</v>
      </c>
      <c r="G28" s="123"/>
      <c r="H28" s="123" t="s">
        <v>143</v>
      </c>
      <c r="I28" s="123"/>
      <c r="J28" s="123" t="s">
        <v>143</v>
      </c>
      <c r="K28" s="123"/>
      <c r="L28" s="123" t="s">
        <v>165</v>
      </c>
      <c r="M28" s="123"/>
      <c r="N28" s="123" t="s">
        <v>165</v>
      </c>
      <c r="O28" s="123"/>
      <c r="P28" s="123" t="s">
        <v>144</v>
      </c>
      <c r="Q28" s="123"/>
      <c r="R28" s="123"/>
      <c r="S28" s="26"/>
      <c r="T28" s="30"/>
      <c r="U28" s="174"/>
      <c r="V28" s="174"/>
      <c r="W28" s="25"/>
      <c r="X28" s="5"/>
    </row>
    <row r="29" spans="1:24" ht="15.75" x14ac:dyDescent="0.25">
      <c r="A29" s="24"/>
      <c r="B29" s="25" t="s">
        <v>10</v>
      </c>
      <c r="C29" s="32"/>
      <c r="D29" s="26" t="s">
        <v>242</v>
      </c>
      <c r="E29" s="26"/>
      <c r="F29" s="30" t="s">
        <v>244</v>
      </c>
      <c r="G29" s="26"/>
      <c r="H29" s="26" t="s">
        <v>245</v>
      </c>
      <c r="I29" s="26"/>
      <c r="J29" s="26" t="s">
        <v>247</v>
      </c>
      <c r="K29" s="26"/>
      <c r="L29" s="26" t="s">
        <v>248</v>
      </c>
      <c r="M29" s="26"/>
      <c r="N29" s="26" t="s">
        <v>249</v>
      </c>
      <c r="O29" s="26"/>
      <c r="P29" s="26" t="s">
        <v>250</v>
      </c>
      <c r="Q29" s="26"/>
      <c r="R29" s="26"/>
      <c r="S29" s="31"/>
      <c r="T29" s="31"/>
      <c r="U29" s="175"/>
      <c r="V29" s="31"/>
      <c r="W29" s="34"/>
      <c r="X29" s="5"/>
    </row>
    <row r="30" spans="1:24" ht="15.75" x14ac:dyDescent="0.25">
      <c r="A30" s="24"/>
      <c r="B30" s="25" t="s">
        <v>10</v>
      </c>
      <c r="C30" s="32"/>
      <c r="D30" s="26" t="s">
        <v>243</v>
      </c>
      <c r="E30" s="26"/>
      <c r="F30" s="30" t="s">
        <v>118</v>
      </c>
      <c r="G30" s="26"/>
      <c r="H30" s="26" t="s">
        <v>118</v>
      </c>
      <c r="I30" s="26"/>
      <c r="J30" s="26" t="s">
        <v>246</v>
      </c>
      <c r="K30" s="26"/>
      <c r="L30" s="26" t="s">
        <v>118</v>
      </c>
      <c r="M30" s="26"/>
      <c r="N30" s="26" t="s">
        <v>118</v>
      </c>
      <c r="O30" s="26"/>
      <c r="P30" s="26" t="s">
        <v>118</v>
      </c>
      <c r="Q30" s="26"/>
      <c r="R30" s="26"/>
      <c r="S30" s="31"/>
      <c r="T30" s="31"/>
      <c r="U30" s="175"/>
      <c r="V30" s="31"/>
      <c r="W30" s="34"/>
      <c r="X30" s="5"/>
    </row>
    <row r="31" spans="1:24" ht="15.75" x14ac:dyDescent="0.25">
      <c r="A31" s="28"/>
      <c r="B31" s="25" t="s">
        <v>133</v>
      </c>
      <c r="C31" s="36"/>
      <c r="D31" s="143">
        <v>1000000</v>
      </c>
      <c r="E31" s="32"/>
      <c r="F31" s="31">
        <v>209500</v>
      </c>
      <c r="G31" s="31"/>
      <c r="H31" s="124">
        <v>110000</v>
      </c>
      <c r="I31" s="124"/>
      <c r="J31" s="143">
        <v>150000</v>
      </c>
      <c r="K31" s="31"/>
      <c r="L31" s="31">
        <v>17000</v>
      </c>
      <c r="M31" s="31"/>
      <c r="N31" s="124">
        <v>85500</v>
      </c>
      <c r="O31" s="31"/>
      <c r="P31" s="124">
        <v>110500</v>
      </c>
      <c r="Q31" s="31"/>
      <c r="R31" s="124"/>
      <c r="S31" s="35"/>
      <c r="T31" s="35"/>
      <c r="U31" s="37"/>
      <c r="V31" s="35"/>
      <c r="W31" s="34"/>
      <c r="X31" s="5"/>
    </row>
    <row r="32" spans="1:24" ht="15.75" x14ac:dyDescent="0.25">
      <c r="A32" s="24"/>
      <c r="B32" s="25" t="s">
        <v>132</v>
      </c>
      <c r="C32" s="32"/>
      <c r="D32" s="143">
        <f>D31*D38</f>
        <v>858738.8</v>
      </c>
      <c r="E32" s="32"/>
      <c r="F32" s="31">
        <f>F31*F38</f>
        <v>179905.8205</v>
      </c>
      <c r="G32" s="31"/>
      <c r="H32" s="124">
        <f>H31*H38</f>
        <v>94461.62</v>
      </c>
      <c r="I32" s="124"/>
      <c r="J32" s="143">
        <f>J31*J38</f>
        <v>128810.82</v>
      </c>
      <c r="K32" s="31"/>
      <c r="L32" s="31">
        <f>L31*L38</f>
        <v>17000</v>
      </c>
      <c r="M32" s="31"/>
      <c r="N32" s="124">
        <f>N31*N38</f>
        <v>85500</v>
      </c>
      <c r="O32" s="31"/>
      <c r="P32" s="124">
        <f>P31*P38</f>
        <v>110500</v>
      </c>
      <c r="Q32" s="31"/>
      <c r="R32" s="124"/>
      <c r="S32" s="31"/>
      <c r="T32" s="31"/>
      <c r="U32" s="175"/>
      <c r="V32" s="31"/>
      <c r="W32" s="34"/>
      <c r="X32" s="5"/>
    </row>
    <row r="33" spans="1:27" ht="15.75" x14ac:dyDescent="0.25">
      <c r="A33" s="24"/>
      <c r="B33" s="29" t="s">
        <v>134</v>
      </c>
      <c r="C33" s="32"/>
      <c r="D33" s="170">
        <f>D37*D31</f>
        <v>853704.7</v>
      </c>
      <c r="E33" s="36"/>
      <c r="F33" s="35">
        <f>F37*F31</f>
        <v>178851.19750000001</v>
      </c>
      <c r="G33" s="35"/>
      <c r="H33" s="125">
        <f>H31*H37</f>
        <v>93907.88</v>
      </c>
      <c r="I33" s="125"/>
      <c r="J33" s="170">
        <f>J37*J31</f>
        <v>128055.705</v>
      </c>
      <c r="K33" s="35"/>
      <c r="L33" s="35">
        <f>L31*L37</f>
        <v>17000</v>
      </c>
      <c r="M33" s="35"/>
      <c r="N33" s="125">
        <f>N31*N37</f>
        <v>85500</v>
      </c>
      <c r="O33" s="35"/>
      <c r="P33" s="125">
        <f>P31*P37</f>
        <v>110500</v>
      </c>
      <c r="Q33" s="35"/>
      <c r="R33" s="125"/>
      <c r="S33" s="31"/>
      <c r="T33" s="31"/>
      <c r="U33" s="175"/>
      <c r="V33" s="31"/>
      <c r="W33" s="34"/>
      <c r="X33" s="5"/>
    </row>
    <row r="34" spans="1:27" ht="15.75" x14ac:dyDescent="0.25">
      <c r="A34" s="28"/>
      <c r="B34" s="25" t="s">
        <v>286</v>
      </c>
      <c r="C34" s="36"/>
      <c r="D34" s="31">
        <v>492951</v>
      </c>
      <c r="E34" s="32"/>
      <c r="F34" s="31">
        <v>209500</v>
      </c>
      <c r="G34" s="31"/>
      <c r="H34" s="31">
        <v>74677</v>
      </c>
      <c r="I34" s="31"/>
      <c r="J34" s="31">
        <v>73943</v>
      </c>
      <c r="K34" s="31"/>
      <c r="L34" s="31">
        <v>17000</v>
      </c>
      <c r="M34" s="31"/>
      <c r="N34" s="31">
        <v>58045</v>
      </c>
      <c r="O34" s="31"/>
      <c r="P34" s="31">
        <v>75017</v>
      </c>
      <c r="Q34" s="31"/>
      <c r="R34" s="31"/>
      <c r="S34" s="35"/>
      <c r="T34" s="35"/>
      <c r="U34" s="37"/>
      <c r="V34" s="150">
        <f>SUM(C34:R34)</f>
        <v>1001133</v>
      </c>
      <c r="W34" s="34"/>
      <c r="X34" s="5"/>
    </row>
    <row r="35" spans="1:27" ht="15.75" x14ac:dyDescent="0.25">
      <c r="A35" s="28"/>
      <c r="B35" s="25" t="s">
        <v>287</v>
      </c>
      <c r="C35" s="126"/>
      <c r="D35" s="31">
        <f>D34*D38</f>
        <v>423316.15019880002</v>
      </c>
      <c r="E35" s="32"/>
      <c r="F35" s="31">
        <f>F34*F38</f>
        <v>179905.8205</v>
      </c>
      <c r="G35" s="31"/>
      <c r="H35" s="31">
        <f>H34*H38</f>
        <v>64128.276334000002</v>
      </c>
      <c r="I35" s="31"/>
      <c r="J35" s="31">
        <f>J34*J38</f>
        <v>63497.723088400002</v>
      </c>
      <c r="K35" s="31"/>
      <c r="L35" s="31">
        <f>L34*L38</f>
        <v>17000</v>
      </c>
      <c r="M35" s="31"/>
      <c r="N35" s="31">
        <f>N34*N38</f>
        <v>58045</v>
      </c>
      <c r="O35" s="31"/>
      <c r="P35" s="31">
        <f>P34*P38</f>
        <v>75017</v>
      </c>
      <c r="Q35" s="31"/>
      <c r="R35" s="31"/>
      <c r="S35" s="31"/>
      <c r="T35" s="31"/>
      <c r="U35" s="175"/>
      <c r="V35" s="150">
        <f>SUM(C35:R35)</f>
        <v>880909.97012120008</v>
      </c>
      <c r="W35" s="34"/>
      <c r="X35" s="5"/>
    </row>
    <row r="36" spans="1:27" ht="15.75" x14ac:dyDescent="0.25">
      <c r="A36" s="28"/>
      <c r="B36" s="29" t="s">
        <v>288</v>
      </c>
      <c r="C36" s="126"/>
      <c r="D36" s="35">
        <f>D34*D37</f>
        <v>420834.58556969999</v>
      </c>
      <c r="E36" s="36"/>
      <c r="F36" s="35">
        <f>F34*F37</f>
        <v>178851.19750000001</v>
      </c>
      <c r="G36" s="35"/>
      <c r="H36" s="35">
        <f>H34*H37</f>
        <v>63752.352316000004</v>
      </c>
      <c r="I36" s="35"/>
      <c r="J36" s="35">
        <f>J34*J37</f>
        <v>63125.486632100001</v>
      </c>
      <c r="K36" s="35"/>
      <c r="L36" s="35">
        <f>L34*L37</f>
        <v>17000</v>
      </c>
      <c r="M36" s="35"/>
      <c r="N36" s="35">
        <f>N34*N37</f>
        <v>58045</v>
      </c>
      <c r="O36" s="35"/>
      <c r="P36" s="35">
        <f>P34*P37</f>
        <v>75017</v>
      </c>
      <c r="Q36" s="35"/>
      <c r="R36" s="35"/>
      <c r="S36" s="128"/>
      <c r="T36" s="128"/>
      <c r="U36" s="175"/>
      <c r="V36" s="151">
        <f>SUM(C36:R36)-1</f>
        <v>876624.62201779999</v>
      </c>
      <c r="W36" s="34"/>
      <c r="X36" s="5"/>
    </row>
    <row r="37" spans="1:27" ht="15.75" x14ac:dyDescent="0.25">
      <c r="A37" s="24"/>
      <c r="B37" s="122" t="s">
        <v>130</v>
      </c>
      <c r="C37" s="25"/>
      <c r="D37" s="168">
        <v>0.85370469999999998</v>
      </c>
      <c r="E37" s="168"/>
      <c r="F37" s="168">
        <v>0.85370500000000005</v>
      </c>
      <c r="G37" s="168"/>
      <c r="H37" s="168">
        <v>0.85370800000000002</v>
      </c>
      <c r="I37" s="168"/>
      <c r="J37" s="168">
        <v>0.85370469999999998</v>
      </c>
      <c r="K37" s="168"/>
      <c r="L37" s="168">
        <v>1</v>
      </c>
      <c r="M37" s="168"/>
      <c r="N37" s="168">
        <v>1</v>
      </c>
      <c r="O37" s="168"/>
      <c r="P37" s="168">
        <v>1</v>
      </c>
      <c r="Q37" s="168"/>
      <c r="R37" s="168"/>
      <c r="S37" s="30"/>
      <c r="T37" s="30"/>
      <c r="U37" s="174"/>
      <c r="V37" s="174"/>
      <c r="W37" s="25"/>
      <c r="X37" s="5"/>
    </row>
    <row r="38" spans="1:27" ht="15.75" x14ac:dyDescent="0.25">
      <c r="A38" s="24"/>
      <c r="B38" s="122" t="s">
        <v>131</v>
      </c>
      <c r="C38" s="25"/>
      <c r="D38" s="168">
        <v>0.85873880000000002</v>
      </c>
      <c r="E38" s="168"/>
      <c r="F38" s="168">
        <v>0.85873900000000003</v>
      </c>
      <c r="G38" s="168"/>
      <c r="H38" s="168">
        <v>0.85874200000000001</v>
      </c>
      <c r="I38" s="168"/>
      <c r="J38" s="168">
        <v>0.85873880000000002</v>
      </c>
      <c r="K38" s="168"/>
      <c r="L38" s="168">
        <v>1</v>
      </c>
      <c r="M38" s="168"/>
      <c r="N38" s="168">
        <v>1</v>
      </c>
      <c r="O38" s="168"/>
      <c r="P38" s="168">
        <v>1</v>
      </c>
      <c r="Q38" s="168"/>
      <c r="R38" s="168"/>
      <c r="S38" s="39"/>
      <c r="T38" s="38"/>
      <c r="U38" s="174"/>
      <c r="V38" s="39"/>
      <c r="W38" s="25"/>
      <c r="X38" s="5"/>
    </row>
    <row r="39" spans="1:27" ht="15.75" x14ac:dyDescent="0.25">
      <c r="A39" s="24"/>
      <c r="B39" s="25" t="s">
        <v>11</v>
      </c>
      <c r="C39" s="25"/>
      <c r="D39" s="30" t="s">
        <v>278</v>
      </c>
      <c r="E39" s="25"/>
      <c r="F39" s="30" t="s">
        <v>251</v>
      </c>
      <c r="G39" s="30"/>
      <c r="H39" s="30" t="s">
        <v>252</v>
      </c>
      <c r="I39" s="30"/>
      <c r="J39" s="30" t="s">
        <v>253</v>
      </c>
      <c r="K39" s="30"/>
      <c r="L39" s="30" t="s">
        <v>254</v>
      </c>
      <c r="M39" s="30"/>
      <c r="N39" s="30" t="s">
        <v>254</v>
      </c>
      <c r="O39" s="30"/>
      <c r="P39" s="30" t="s">
        <v>255</v>
      </c>
      <c r="Q39" s="30"/>
      <c r="R39" s="30"/>
      <c r="S39" s="39"/>
      <c r="T39" s="38"/>
      <c r="U39" s="174"/>
      <c r="V39" s="174"/>
      <c r="W39" s="25"/>
      <c r="X39" s="5"/>
    </row>
    <row r="40" spans="1:27" ht="15.75" x14ac:dyDescent="0.25">
      <c r="A40" s="24"/>
      <c r="B40" s="25" t="s">
        <v>12</v>
      </c>
      <c r="C40" s="25"/>
      <c r="D40" s="38">
        <v>3.6281E-3</v>
      </c>
      <c r="E40" s="25"/>
      <c r="F40" s="38">
        <v>1.3818799999999999E-2</v>
      </c>
      <c r="G40" s="39"/>
      <c r="H40" s="38">
        <v>1.397E-2</v>
      </c>
      <c r="I40" s="38"/>
      <c r="J40" s="38">
        <v>7.3937999999999999E-3</v>
      </c>
      <c r="K40" s="39"/>
      <c r="L40" s="38">
        <v>1.5218799999999999E-2</v>
      </c>
      <c r="M40" s="39"/>
      <c r="N40" s="38">
        <v>1.5469999999999999E-2</v>
      </c>
      <c r="O40" s="39"/>
      <c r="P40" s="38">
        <v>1.8270000000000002E-2</v>
      </c>
      <c r="Q40" s="39"/>
      <c r="R40" s="38"/>
      <c r="S40" s="39"/>
      <c r="T40" s="38"/>
      <c r="U40" s="174"/>
      <c r="V40" s="30"/>
      <c r="W40" s="25"/>
      <c r="X40" s="5"/>
      <c r="AA40" s="1" t="s">
        <v>193</v>
      </c>
    </row>
    <row r="41" spans="1:27" ht="15.75" x14ac:dyDescent="0.25">
      <c r="A41" s="24"/>
      <c r="B41" s="25" t="s">
        <v>13</v>
      </c>
      <c r="C41" s="25"/>
      <c r="D41" s="38">
        <v>4.3438000000000001E-3</v>
      </c>
      <c r="E41" s="25"/>
      <c r="F41" s="38">
        <v>1.9681299999999999E-2</v>
      </c>
      <c r="G41" s="39"/>
      <c r="H41" s="38">
        <v>1.77E-2</v>
      </c>
      <c r="I41" s="38"/>
      <c r="J41" s="38">
        <v>1.43E-2</v>
      </c>
      <c r="K41" s="39"/>
      <c r="L41" s="38">
        <v>2.1081300000000001E-2</v>
      </c>
      <c r="M41" s="39"/>
      <c r="N41" s="38">
        <v>1.9199999999999998E-2</v>
      </c>
      <c r="O41" s="39"/>
      <c r="P41" s="38">
        <v>2.1999999999999999E-2</v>
      </c>
      <c r="Q41" s="39"/>
      <c r="R41" s="38"/>
      <c r="S41" s="39"/>
      <c r="T41" s="38"/>
      <c r="U41" s="174"/>
      <c r="V41" s="39" t="s">
        <v>193</v>
      </c>
      <c r="W41" s="25"/>
      <c r="X41" s="5"/>
    </row>
    <row r="42" spans="1:27" ht="15.75" x14ac:dyDescent="0.25">
      <c r="A42" s="24"/>
      <c r="B42" s="25" t="s">
        <v>289</v>
      </c>
      <c r="C42" s="25"/>
      <c r="D42" s="30" t="s">
        <v>279</v>
      </c>
      <c r="E42" s="25"/>
      <c r="F42" s="30" t="s">
        <v>251</v>
      </c>
      <c r="G42" s="30"/>
      <c r="H42" s="30" t="s">
        <v>229</v>
      </c>
      <c r="I42" s="30"/>
      <c r="J42" s="30" t="s">
        <v>229</v>
      </c>
      <c r="K42" s="30"/>
      <c r="L42" s="30" t="s">
        <v>254</v>
      </c>
      <c r="M42" s="30"/>
      <c r="N42" s="30" t="s">
        <v>262</v>
      </c>
      <c r="O42" s="30"/>
      <c r="P42" s="30" t="s">
        <v>263</v>
      </c>
      <c r="Q42" s="30"/>
      <c r="R42" s="30"/>
      <c r="S42" s="39"/>
      <c r="T42" s="38"/>
      <c r="U42" s="174"/>
      <c r="V42" s="174"/>
      <c r="W42" s="25"/>
      <c r="X42" s="5"/>
    </row>
    <row r="43" spans="1:27" ht="15.75" x14ac:dyDescent="0.25">
      <c r="A43" s="24"/>
      <c r="B43" s="25" t="s">
        <v>290</v>
      </c>
      <c r="C43" s="110"/>
      <c r="D43" s="38">
        <v>1.361075E-2</v>
      </c>
      <c r="E43" s="38"/>
      <c r="F43" s="38">
        <f>+F40</f>
        <v>1.3818799999999999E-2</v>
      </c>
      <c r="G43" s="38"/>
      <c r="H43" s="38">
        <v>1.38938E-2</v>
      </c>
      <c r="I43" s="38"/>
      <c r="J43" s="38">
        <v>1.3908800000000001E-2</v>
      </c>
      <c r="K43" s="38"/>
      <c r="L43" s="38">
        <f>+L40</f>
        <v>1.5218799999999999E-2</v>
      </c>
      <c r="M43" s="38"/>
      <c r="N43" s="38">
        <v>1.55858E-2</v>
      </c>
      <c r="O43" s="38"/>
      <c r="P43" s="38">
        <v>1.86658E-2</v>
      </c>
      <c r="Q43" s="39"/>
      <c r="R43" s="38"/>
      <c r="S43" s="30"/>
      <c r="T43" s="30"/>
      <c r="U43" s="174"/>
      <c r="V43" s="39">
        <f>SUMPRODUCT(D43:R43,D35:R35)/V35</f>
        <v>1.4286982241934896E-2</v>
      </c>
      <c r="W43" s="25"/>
      <c r="X43" s="5"/>
    </row>
    <row r="44" spans="1:27" ht="15.75" x14ac:dyDescent="0.25">
      <c r="A44" s="24"/>
      <c r="B44" s="25" t="s">
        <v>291</v>
      </c>
      <c r="C44" s="110"/>
      <c r="D44" s="38">
        <v>1.9473250000000001E-2</v>
      </c>
      <c r="E44" s="38"/>
      <c r="F44" s="38">
        <f>+F41</f>
        <v>1.9681299999999999E-2</v>
      </c>
      <c r="G44" s="38"/>
      <c r="H44" s="38">
        <v>1.9756300000000001E-2</v>
      </c>
      <c r="I44" s="38"/>
      <c r="J44" s="38">
        <v>1.9771299999999999E-2</v>
      </c>
      <c r="K44" s="38"/>
      <c r="L44" s="38">
        <f>+L41</f>
        <v>2.1081300000000001E-2</v>
      </c>
      <c r="M44" s="38"/>
      <c r="N44" s="38">
        <v>2.14483E-2</v>
      </c>
      <c r="O44" s="38"/>
      <c r="P44" s="38">
        <v>2.4528299999999999E-2</v>
      </c>
      <c r="Q44" s="39"/>
      <c r="R44" s="38"/>
      <c r="S44" s="30"/>
      <c r="T44" s="30"/>
      <c r="U44" s="174"/>
      <c r="V44" s="174"/>
      <c r="W44" s="25"/>
      <c r="X44" s="5"/>
    </row>
    <row r="45" spans="1:27" ht="15.75" x14ac:dyDescent="0.25">
      <c r="A45" s="24"/>
      <c r="B45" s="25" t="s">
        <v>14</v>
      </c>
      <c r="C45" s="25"/>
      <c r="D45" s="110">
        <v>40709</v>
      </c>
      <c r="E45" s="110"/>
      <c r="F45" s="110">
        <v>40709</v>
      </c>
      <c r="G45" s="110"/>
      <c r="H45" s="110">
        <v>40709</v>
      </c>
      <c r="I45" s="110"/>
      <c r="J45" s="110">
        <v>40709</v>
      </c>
      <c r="K45" s="110"/>
      <c r="L45" s="110">
        <v>40709</v>
      </c>
      <c r="M45" s="110"/>
      <c r="N45" s="110">
        <v>40709</v>
      </c>
      <c r="O45" s="110"/>
      <c r="P45" s="110">
        <v>40709</v>
      </c>
      <c r="Q45" s="110"/>
      <c r="R45" s="110"/>
      <c r="S45" s="30"/>
      <c r="T45" s="30"/>
      <c r="U45" s="174"/>
      <c r="V45" s="174"/>
      <c r="W45" s="25"/>
      <c r="X45" s="5"/>
    </row>
    <row r="46" spans="1:27" ht="15.75" x14ac:dyDescent="0.25">
      <c r="A46" s="24"/>
      <c r="B46" s="25" t="s">
        <v>15</v>
      </c>
      <c r="C46" s="25"/>
      <c r="D46" s="110" t="s">
        <v>118</v>
      </c>
      <c r="E46" s="110"/>
      <c r="F46" s="110">
        <v>41075</v>
      </c>
      <c r="G46" s="110"/>
      <c r="H46" s="110">
        <v>41075</v>
      </c>
      <c r="I46" s="110"/>
      <c r="J46" s="110">
        <v>41075</v>
      </c>
      <c r="K46" s="30"/>
      <c r="L46" s="110">
        <v>41075</v>
      </c>
      <c r="M46" s="30"/>
      <c r="N46" s="110">
        <v>41075</v>
      </c>
      <c r="O46" s="30"/>
      <c r="P46" s="110">
        <v>41075</v>
      </c>
      <c r="Q46" s="30"/>
      <c r="R46" s="110"/>
      <c r="S46" s="30"/>
      <c r="T46" s="30"/>
      <c r="U46" s="174"/>
      <c r="V46" s="174"/>
      <c r="W46" s="25"/>
      <c r="X46" s="5"/>
    </row>
    <row r="47" spans="1:27" ht="15.75" x14ac:dyDescent="0.25">
      <c r="A47" s="24"/>
      <c r="B47" s="25" t="s">
        <v>119</v>
      </c>
      <c r="C47" s="25"/>
      <c r="D47" s="171" t="s">
        <v>118</v>
      </c>
      <c r="E47" s="25"/>
      <c r="F47" s="30" t="s">
        <v>256</v>
      </c>
      <c r="G47" s="30"/>
      <c r="H47" s="30" t="s">
        <v>257</v>
      </c>
      <c r="I47" s="30"/>
      <c r="J47" s="30" t="s">
        <v>258</v>
      </c>
      <c r="K47" s="30"/>
      <c r="L47" s="30" t="s">
        <v>259</v>
      </c>
      <c r="M47" s="30"/>
      <c r="N47" s="30" t="s">
        <v>259</v>
      </c>
      <c r="O47" s="30"/>
      <c r="P47" s="30" t="s">
        <v>260</v>
      </c>
      <c r="Q47" s="30"/>
      <c r="R47" s="30"/>
      <c r="S47" s="40"/>
      <c r="T47" s="40"/>
      <c r="U47" s="40"/>
      <c r="V47" s="40"/>
      <c r="W47" s="25"/>
      <c r="X47" s="5"/>
    </row>
    <row r="48" spans="1:27" ht="15.75" x14ac:dyDescent="0.25">
      <c r="A48" s="24"/>
      <c r="B48" s="25" t="s">
        <v>292</v>
      </c>
      <c r="C48" s="25"/>
      <c r="D48" s="30" t="s">
        <v>200</v>
      </c>
      <c r="E48" s="25"/>
      <c r="F48" s="30" t="s">
        <v>256</v>
      </c>
      <c r="G48" s="30"/>
      <c r="H48" s="30" t="s">
        <v>261</v>
      </c>
      <c r="I48" s="30"/>
      <c r="J48" s="30" t="s">
        <v>261</v>
      </c>
      <c r="K48" s="30"/>
      <c r="L48" s="30" t="s">
        <v>259</v>
      </c>
      <c r="M48" s="30"/>
      <c r="N48" s="30" t="s">
        <v>263</v>
      </c>
      <c r="O48" s="30"/>
      <c r="P48" s="30" t="s">
        <v>264</v>
      </c>
      <c r="Q48" s="30"/>
      <c r="R48" s="30"/>
      <c r="S48" s="25"/>
      <c r="T48" s="25"/>
      <c r="U48" s="25"/>
      <c r="V48" s="39"/>
      <c r="W48" s="25"/>
      <c r="X48" s="5"/>
    </row>
    <row r="49" spans="1:25" ht="15.75" x14ac:dyDescent="0.25">
      <c r="A49" s="24"/>
      <c r="B49" s="25"/>
      <c r="C49" s="25"/>
      <c r="D49" s="30"/>
      <c r="E49" s="25"/>
      <c r="F49" s="30"/>
      <c r="G49" s="30"/>
      <c r="H49" s="30"/>
      <c r="I49" s="30"/>
      <c r="J49" s="30"/>
      <c r="K49" s="30"/>
      <c r="L49" s="30"/>
      <c r="M49" s="30"/>
      <c r="N49" s="30"/>
      <c r="O49" s="30"/>
      <c r="P49" s="30"/>
      <c r="Q49" s="30"/>
      <c r="R49" s="30"/>
      <c r="S49" s="25"/>
      <c r="T49" s="25"/>
      <c r="U49" s="25"/>
      <c r="V49" s="39" t="s">
        <v>193</v>
      </c>
      <c r="W49" s="25"/>
      <c r="X49" s="5"/>
    </row>
    <row r="50" spans="1:25" ht="15.75" x14ac:dyDescent="0.25">
      <c r="A50" s="24"/>
      <c r="B50" s="25" t="s">
        <v>169</v>
      </c>
      <c r="C50" s="25"/>
      <c r="D50" s="30"/>
      <c r="E50" s="25"/>
      <c r="F50" s="30"/>
      <c r="G50" s="30"/>
      <c r="H50" s="30"/>
      <c r="I50" s="30"/>
      <c r="J50" s="30"/>
      <c r="K50" s="30"/>
      <c r="L50" s="30"/>
      <c r="M50" s="30"/>
      <c r="N50" s="30"/>
      <c r="O50" s="30"/>
      <c r="P50" s="30"/>
      <c r="Q50" s="30"/>
      <c r="R50" s="30"/>
      <c r="S50" s="25"/>
      <c r="T50" s="25"/>
      <c r="U50" s="25"/>
      <c r="V50" s="39">
        <f>SUM(L34:R34)/SUM(D34:J34)</f>
        <v>0.17632136449250416</v>
      </c>
      <c r="W50" s="25"/>
      <c r="X50" s="5"/>
    </row>
    <row r="51" spans="1:25" ht="15.75" x14ac:dyDescent="0.25">
      <c r="A51" s="24"/>
      <c r="B51" s="25" t="s">
        <v>170</v>
      </c>
      <c r="C51" s="25"/>
      <c r="D51" s="25"/>
      <c r="E51" s="25"/>
      <c r="F51" s="41"/>
      <c r="G51" s="25"/>
      <c r="H51" s="25"/>
      <c r="I51" s="25"/>
      <c r="J51" s="25"/>
      <c r="K51" s="25"/>
      <c r="L51" s="25"/>
      <c r="M51" s="25"/>
      <c r="N51" s="25"/>
      <c r="O51" s="25"/>
      <c r="P51" s="25"/>
      <c r="Q51" s="25"/>
      <c r="R51" s="25"/>
      <c r="S51" s="25"/>
      <c r="T51" s="25"/>
      <c r="U51" s="25"/>
      <c r="V51" s="39">
        <f>SUM(L36:R36)/SUM(D36:J36)</f>
        <v>0.20653662728564692</v>
      </c>
      <c r="W51" s="25"/>
      <c r="X51" s="5"/>
    </row>
    <row r="52" spans="1:25" ht="15.75" x14ac:dyDescent="0.25">
      <c r="A52" s="24"/>
      <c r="B52" s="25" t="s">
        <v>171</v>
      </c>
      <c r="C52" s="25"/>
      <c r="D52" s="25"/>
      <c r="E52" s="25"/>
      <c r="F52" s="25"/>
      <c r="G52" s="25"/>
      <c r="H52" s="25"/>
      <c r="I52" s="25"/>
      <c r="J52" s="25"/>
      <c r="K52" s="25"/>
      <c r="L52" s="25"/>
      <c r="M52" s="25"/>
      <c r="N52" s="25"/>
      <c r="O52" s="25"/>
      <c r="P52" s="25"/>
      <c r="Q52" s="25"/>
      <c r="R52" s="25"/>
      <c r="S52" s="25"/>
      <c r="T52" s="30"/>
      <c r="U52" s="30"/>
      <c r="V52" s="31" t="s">
        <v>268</v>
      </c>
      <c r="W52" s="25"/>
      <c r="X52" s="5"/>
    </row>
    <row r="53" spans="1:25" ht="15.75" x14ac:dyDescent="0.25">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75" x14ac:dyDescent="0.25">
      <c r="A54" s="24"/>
      <c r="B54" s="25" t="s">
        <v>202</v>
      </c>
      <c r="C54" s="25"/>
      <c r="D54" s="25"/>
      <c r="E54" s="25"/>
      <c r="F54" s="25"/>
      <c r="G54" s="25"/>
      <c r="H54" s="25"/>
      <c r="I54" s="25"/>
      <c r="J54" s="25"/>
      <c r="K54" s="25"/>
      <c r="L54" s="25"/>
      <c r="M54" s="25"/>
      <c r="N54" s="25"/>
      <c r="O54" s="25"/>
      <c r="P54" s="25"/>
      <c r="Q54" s="25"/>
      <c r="R54" s="25"/>
      <c r="S54" s="25"/>
      <c r="T54" s="25"/>
      <c r="U54" s="25"/>
      <c r="V54" s="152" t="s">
        <v>203</v>
      </c>
      <c r="W54" s="25"/>
      <c r="X54" s="5"/>
    </row>
    <row r="55" spans="1:25" ht="15.75" x14ac:dyDescent="0.25">
      <c r="A55" s="24"/>
      <c r="B55" s="25" t="s">
        <v>270</v>
      </c>
      <c r="C55" s="25"/>
      <c r="D55" s="25"/>
      <c r="E55" s="25"/>
      <c r="F55" s="25"/>
      <c r="G55" s="25"/>
      <c r="H55" s="25"/>
      <c r="I55" s="25"/>
      <c r="J55" s="25"/>
      <c r="K55" s="25"/>
      <c r="L55" s="25"/>
      <c r="M55" s="25"/>
      <c r="N55" s="25"/>
      <c r="O55" s="25"/>
      <c r="P55" s="25"/>
      <c r="Q55" s="25"/>
      <c r="R55" s="25"/>
      <c r="S55" s="25"/>
      <c r="T55" s="30"/>
      <c r="U55" s="30"/>
      <c r="V55" s="153" t="s">
        <v>111</v>
      </c>
      <c r="W55" s="25"/>
      <c r="X55" s="5"/>
    </row>
    <row r="56" spans="1:25" ht="15.75" x14ac:dyDescent="0.25">
      <c r="A56" s="24"/>
      <c r="B56" s="29" t="s">
        <v>201</v>
      </c>
      <c r="C56" s="29"/>
      <c r="D56" s="29"/>
      <c r="E56" s="29"/>
      <c r="F56" s="29"/>
      <c r="G56" s="29"/>
      <c r="H56" s="29"/>
      <c r="I56" s="29"/>
      <c r="J56" s="29"/>
      <c r="K56" s="29"/>
      <c r="L56" s="29"/>
      <c r="M56" s="29"/>
      <c r="N56" s="29"/>
      <c r="O56" s="29"/>
      <c r="P56" s="29"/>
      <c r="Q56" s="29"/>
      <c r="R56" s="29"/>
      <c r="S56" s="29"/>
      <c r="T56" s="43"/>
      <c r="U56" s="43"/>
      <c r="V56" s="44">
        <v>40071</v>
      </c>
      <c r="W56" s="25"/>
      <c r="X56" s="5"/>
    </row>
    <row r="57" spans="1:25" ht="15.75" x14ac:dyDescent="0.25">
      <c r="A57" s="24"/>
      <c r="B57" s="25" t="s">
        <v>121</v>
      </c>
      <c r="C57" s="25"/>
      <c r="D57" s="25"/>
      <c r="E57" s="25"/>
      <c r="F57" s="25"/>
      <c r="G57" s="25"/>
      <c r="H57" s="58"/>
      <c r="I57" s="58"/>
      <c r="J57" s="58"/>
      <c r="K57" s="58"/>
      <c r="L57" s="58"/>
      <c r="M57" s="58"/>
      <c r="N57" s="58"/>
      <c r="O57" s="58"/>
      <c r="P57" s="58"/>
      <c r="Q57" s="58"/>
      <c r="R57" s="25">
        <f>+V57-T57+1</f>
        <v>91</v>
      </c>
      <c r="S57" s="58"/>
      <c r="T57" s="45">
        <v>39888</v>
      </c>
      <c r="U57" s="46"/>
      <c r="V57" s="45">
        <v>39978</v>
      </c>
      <c r="W57" s="25"/>
      <c r="X57" s="5"/>
    </row>
    <row r="58" spans="1:25" ht="15.75" x14ac:dyDescent="0.25">
      <c r="A58" s="24"/>
      <c r="B58" s="25" t="s">
        <v>122</v>
      </c>
      <c r="C58" s="25"/>
      <c r="D58" s="25"/>
      <c r="E58" s="25"/>
      <c r="F58" s="25"/>
      <c r="G58" s="25"/>
      <c r="H58" s="25"/>
      <c r="I58" s="25"/>
      <c r="J58" s="25"/>
      <c r="K58" s="25"/>
      <c r="L58" s="25"/>
      <c r="M58" s="25"/>
      <c r="N58" s="25"/>
      <c r="O58" s="25"/>
      <c r="P58" s="25"/>
      <c r="Q58" s="25"/>
      <c r="R58" s="25">
        <f>+V58-T58+1</f>
        <v>92</v>
      </c>
      <c r="S58" s="25"/>
      <c r="T58" s="45">
        <v>39979</v>
      </c>
      <c r="U58" s="46"/>
      <c r="V58" s="45">
        <v>40070</v>
      </c>
      <c r="W58" s="25"/>
      <c r="X58" s="5"/>
    </row>
    <row r="59" spans="1:25" ht="15.75" x14ac:dyDescent="0.25">
      <c r="A59" s="24"/>
      <c r="B59" s="25" t="s">
        <v>223</v>
      </c>
      <c r="C59" s="25"/>
      <c r="D59" s="25"/>
      <c r="E59" s="25"/>
      <c r="F59" s="25"/>
      <c r="G59" s="25"/>
      <c r="H59" s="25"/>
      <c r="I59" s="25"/>
      <c r="J59" s="25"/>
      <c r="K59" s="25"/>
      <c r="L59" s="25"/>
      <c r="M59" s="25"/>
      <c r="N59" s="25"/>
      <c r="O59" s="25"/>
      <c r="P59" s="25"/>
      <c r="Q59" s="25"/>
      <c r="R59" s="25"/>
      <c r="S59" s="25"/>
      <c r="T59" s="45"/>
      <c r="U59" s="46"/>
      <c r="V59" s="45" t="s">
        <v>120</v>
      </c>
      <c r="W59" s="25"/>
      <c r="X59" s="5"/>
    </row>
    <row r="60" spans="1:25" ht="15.75" x14ac:dyDescent="0.25">
      <c r="A60" s="24"/>
      <c r="B60" s="25" t="s">
        <v>271</v>
      </c>
      <c r="C60" s="25"/>
      <c r="D60" s="25"/>
      <c r="E60" s="25"/>
      <c r="F60" s="25"/>
      <c r="G60" s="25"/>
      <c r="H60" s="25"/>
      <c r="I60" s="25"/>
      <c r="J60" s="25"/>
      <c r="K60" s="25"/>
      <c r="L60" s="25"/>
      <c r="M60" s="25"/>
      <c r="N60" s="25"/>
      <c r="O60" s="25"/>
      <c r="P60" s="25"/>
      <c r="Q60" s="25"/>
      <c r="R60" s="25"/>
      <c r="S60" s="25"/>
      <c r="T60" s="45"/>
      <c r="U60" s="46"/>
      <c r="V60" s="45" t="s">
        <v>154</v>
      </c>
      <c r="W60" s="25"/>
      <c r="X60" s="5"/>
      <c r="Y60" s="133"/>
    </row>
    <row r="61" spans="1:25" ht="15.75" x14ac:dyDescent="0.25">
      <c r="A61" s="24"/>
      <c r="B61" s="25" t="s">
        <v>16</v>
      </c>
      <c r="C61" s="25"/>
      <c r="D61" s="25"/>
      <c r="E61" s="25"/>
      <c r="F61" s="25"/>
      <c r="G61" s="25"/>
      <c r="H61" s="25"/>
      <c r="I61" s="25"/>
      <c r="J61" s="25"/>
      <c r="K61" s="25"/>
      <c r="L61" s="25"/>
      <c r="M61" s="25"/>
      <c r="N61" s="25"/>
      <c r="O61" s="25"/>
      <c r="P61" s="25"/>
      <c r="Q61" s="25"/>
      <c r="R61" s="25"/>
      <c r="S61" s="25"/>
      <c r="T61" s="45"/>
      <c r="U61" s="46"/>
      <c r="V61" s="45">
        <v>40057</v>
      </c>
      <c r="W61" s="25"/>
      <c r="X61" s="5"/>
    </row>
    <row r="62" spans="1:25" ht="15.75" x14ac:dyDescent="0.25">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75" x14ac:dyDescent="0.25">
      <c r="A63" s="6"/>
      <c r="B63" s="8"/>
      <c r="C63" s="8"/>
      <c r="D63" s="8"/>
      <c r="E63" s="8"/>
      <c r="F63" s="8"/>
      <c r="G63" s="8"/>
      <c r="H63" s="8"/>
      <c r="I63" s="8"/>
      <c r="J63" s="8"/>
      <c r="K63" s="8"/>
      <c r="L63" s="8"/>
      <c r="M63" s="8"/>
      <c r="N63" s="8"/>
      <c r="O63" s="8"/>
      <c r="P63" s="8"/>
      <c r="Q63" s="8"/>
      <c r="R63" s="8"/>
      <c r="S63" s="8"/>
      <c r="T63" s="47"/>
      <c r="U63" s="48"/>
      <c r="V63" s="47"/>
      <c r="W63" s="8"/>
      <c r="X63" s="5"/>
    </row>
    <row r="64" spans="1:25" ht="19.5" thickBot="1" x14ac:dyDescent="0.35">
      <c r="A64" s="101"/>
      <c r="B64" s="102" t="s">
        <v>284</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75" x14ac:dyDescent="0.25">
      <c r="A65" s="2"/>
      <c r="B65" s="4"/>
      <c r="C65" s="4"/>
      <c r="D65" s="4"/>
      <c r="E65" s="4"/>
      <c r="F65" s="4"/>
      <c r="G65" s="4"/>
      <c r="H65" s="4"/>
      <c r="I65" s="4"/>
      <c r="J65" s="4"/>
      <c r="K65" s="4"/>
      <c r="L65" s="4"/>
      <c r="M65" s="4"/>
      <c r="N65" s="4"/>
      <c r="O65" s="4"/>
      <c r="P65" s="4"/>
      <c r="Q65" s="4"/>
      <c r="R65" s="4"/>
      <c r="S65" s="4"/>
      <c r="T65" s="4"/>
      <c r="U65" s="4"/>
      <c r="V65" s="50"/>
      <c r="W65" s="4"/>
      <c r="X65" s="5"/>
    </row>
    <row r="66" spans="1:24" ht="15.75" x14ac:dyDescent="0.25">
      <c r="A66" s="6"/>
      <c r="B66" s="51" t="s">
        <v>17</v>
      </c>
      <c r="C66" s="8"/>
      <c r="D66" s="8"/>
      <c r="E66" s="8"/>
      <c r="F66" s="8"/>
      <c r="G66" s="8"/>
      <c r="H66" s="8"/>
      <c r="I66" s="8"/>
      <c r="J66" s="8"/>
      <c r="K66" s="8"/>
      <c r="L66" s="8"/>
      <c r="M66" s="8"/>
      <c r="N66" s="8"/>
      <c r="O66" s="8"/>
      <c r="P66" s="8"/>
      <c r="Q66" s="8"/>
      <c r="R66" s="8"/>
      <c r="S66" s="8"/>
      <c r="T66" s="8"/>
      <c r="U66" s="8"/>
      <c r="V66" s="52"/>
      <c r="W66" s="8"/>
      <c r="X66" s="5"/>
    </row>
    <row r="67" spans="1:24" ht="15.75" x14ac:dyDescent="0.25">
      <c r="A67" s="6"/>
      <c r="B67" s="13"/>
      <c r="C67" s="8"/>
      <c r="D67" s="8"/>
      <c r="E67" s="8"/>
      <c r="F67" s="8"/>
      <c r="G67" s="8"/>
      <c r="H67" s="8"/>
      <c r="I67" s="8"/>
      <c r="J67" s="8"/>
      <c r="K67" s="8"/>
      <c r="L67" s="8"/>
      <c r="M67" s="8"/>
      <c r="N67" s="8"/>
      <c r="O67" s="8"/>
      <c r="P67" s="8"/>
      <c r="Q67" s="8"/>
      <c r="R67" s="8"/>
      <c r="S67" s="8"/>
      <c r="T67" s="8"/>
      <c r="U67" s="8"/>
      <c r="V67" s="52"/>
      <c r="W67" s="8"/>
      <c r="X67" s="5"/>
    </row>
    <row r="68" spans="1:24" ht="47.25" x14ac:dyDescent="0.25">
      <c r="A68" s="6"/>
      <c r="B68" s="114" t="s">
        <v>18</v>
      </c>
      <c r="C68" s="115"/>
      <c r="D68" s="115"/>
      <c r="E68" s="115"/>
      <c r="F68" s="115"/>
      <c r="G68" s="115"/>
      <c r="H68" s="115"/>
      <c r="I68" s="115"/>
      <c r="J68" s="115"/>
      <c r="K68" s="115"/>
      <c r="L68" s="115" t="s">
        <v>94</v>
      </c>
      <c r="M68" s="115"/>
      <c r="N68" s="115" t="s">
        <v>96</v>
      </c>
      <c r="O68" s="115"/>
      <c r="P68" s="115" t="s">
        <v>98</v>
      </c>
      <c r="Q68" s="115"/>
      <c r="R68" s="115" t="s">
        <v>100</v>
      </c>
      <c r="S68" s="115"/>
      <c r="T68" s="115" t="s">
        <v>106</v>
      </c>
      <c r="U68" s="115"/>
      <c r="V68" s="116" t="s">
        <v>112</v>
      </c>
      <c r="W68" s="117"/>
      <c r="X68" s="5"/>
    </row>
    <row r="69" spans="1:24" ht="15.75" x14ac:dyDescent="0.25">
      <c r="A69" s="24"/>
      <c r="B69" s="25" t="s">
        <v>19</v>
      </c>
      <c r="C69" s="34"/>
      <c r="D69" s="34"/>
      <c r="E69" s="34"/>
      <c r="F69" s="34"/>
      <c r="G69" s="34"/>
      <c r="H69" s="34"/>
      <c r="I69" s="34"/>
      <c r="J69" s="34"/>
      <c r="K69" s="34"/>
      <c r="L69" s="34">
        <v>812446</v>
      </c>
      <c r="M69" s="34"/>
      <c r="N69" s="53">
        <v>880910</v>
      </c>
      <c r="O69" s="34"/>
      <c r="P69" s="34">
        <f>4284+461+156+1</f>
        <v>4902</v>
      </c>
      <c r="Q69" s="34"/>
      <c r="R69" s="34">
        <f>461+156</f>
        <v>617</v>
      </c>
      <c r="S69" s="34"/>
      <c r="T69" s="34">
        <v>0</v>
      </c>
      <c r="U69" s="34"/>
      <c r="V69" s="53">
        <f>+N69-P69+R69-T69</f>
        <v>876625</v>
      </c>
      <c r="W69" s="25"/>
      <c r="X69" s="5"/>
    </row>
    <row r="70" spans="1:24" ht="15.75" x14ac:dyDescent="0.25">
      <c r="A70" s="24"/>
      <c r="B70" s="25" t="s">
        <v>20</v>
      </c>
      <c r="C70" s="34"/>
      <c r="D70" s="34"/>
      <c r="E70" s="34"/>
      <c r="F70" s="34"/>
      <c r="G70" s="34"/>
      <c r="H70" s="34"/>
      <c r="I70" s="34"/>
      <c r="J70" s="34"/>
      <c r="K70" s="34"/>
      <c r="L70" s="34">
        <v>0</v>
      </c>
      <c r="M70" s="34"/>
      <c r="N70" s="53">
        <v>0</v>
      </c>
      <c r="O70" s="34"/>
      <c r="P70" s="34">
        <v>0</v>
      </c>
      <c r="Q70" s="34"/>
      <c r="R70" s="34">
        <v>0</v>
      </c>
      <c r="S70" s="34"/>
      <c r="T70" s="34">
        <v>0</v>
      </c>
      <c r="U70" s="34"/>
      <c r="V70" s="53">
        <f>+L70-P70</f>
        <v>0</v>
      </c>
      <c r="W70" s="25"/>
      <c r="X70" s="5"/>
    </row>
    <row r="71" spans="1:24" ht="15.75" x14ac:dyDescent="0.25">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75" x14ac:dyDescent="0.25">
      <c r="A72" s="24"/>
      <c r="B72" s="25" t="s">
        <v>21</v>
      </c>
      <c r="C72" s="34"/>
      <c r="D72" s="34"/>
      <c r="E72" s="34"/>
      <c r="F72" s="34"/>
      <c r="G72" s="34"/>
      <c r="H72" s="34"/>
      <c r="I72" s="34"/>
      <c r="J72" s="34"/>
      <c r="K72" s="34"/>
      <c r="L72" s="34">
        <f>SUM(L69:L71)</f>
        <v>812446</v>
      </c>
      <c r="M72" s="34"/>
      <c r="N72" s="54">
        <f>N69+N70</f>
        <v>880910</v>
      </c>
      <c r="O72" s="34"/>
      <c r="P72" s="34">
        <f>SUM(P69:P71)</f>
        <v>4902</v>
      </c>
      <c r="Q72" s="34"/>
      <c r="R72" s="34">
        <f>SUM(R69:R71)</f>
        <v>617</v>
      </c>
      <c r="S72" s="34"/>
      <c r="T72" s="34">
        <f>SUM(T69:T71)</f>
        <v>0</v>
      </c>
      <c r="U72" s="34"/>
      <c r="V72" s="54">
        <f>SUM(V69:V71)</f>
        <v>876625</v>
      </c>
      <c r="W72" s="25"/>
      <c r="X72" s="5"/>
    </row>
    <row r="73" spans="1:24" ht="15.75" x14ac:dyDescent="0.25">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75" x14ac:dyDescent="0.25">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75" x14ac:dyDescent="0.25">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75" x14ac:dyDescent="0.25">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75" x14ac:dyDescent="0.25">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75" x14ac:dyDescent="0.25">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75" x14ac:dyDescent="0.25">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75" x14ac:dyDescent="0.25">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75" x14ac:dyDescent="0.25">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75" x14ac:dyDescent="0.25">
      <c r="A82" s="24"/>
      <c r="B82" s="25" t="s">
        <v>117</v>
      </c>
      <c r="C82" s="34"/>
      <c r="D82" s="34"/>
      <c r="E82" s="34"/>
      <c r="F82" s="34"/>
      <c r="G82" s="34"/>
      <c r="H82" s="34"/>
      <c r="I82" s="34"/>
      <c r="J82" s="34"/>
      <c r="K82" s="34"/>
      <c r="L82" s="34">
        <v>188687</v>
      </c>
      <c r="M82" s="34"/>
      <c r="N82" s="34">
        <v>0</v>
      </c>
      <c r="O82" s="34"/>
      <c r="P82" s="34">
        <v>0</v>
      </c>
      <c r="Q82" s="34"/>
      <c r="R82" s="34"/>
      <c r="S82" s="34"/>
      <c r="T82" s="34"/>
      <c r="U82" s="34"/>
      <c r="V82" s="54">
        <f>SUM(N82:R82)</f>
        <v>0</v>
      </c>
      <c r="W82" s="25"/>
      <c r="X82" s="5"/>
    </row>
    <row r="83" spans="1:24" ht="15.75" x14ac:dyDescent="0.25">
      <c r="A83" s="24"/>
      <c r="B83" s="25" t="s">
        <v>146</v>
      </c>
      <c r="C83" s="34"/>
      <c r="D83" s="34"/>
      <c r="E83" s="34"/>
      <c r="F83" s="34"/>
      <c r="G83" s="34"/>
      <c r="H83" s="34"/>
      <c r="I83" s="34"/>
      <c r="J83" s="34"/>
      <c r="K83" s="34"/>
      <c r="L83" s="34">
        <v>0</v>
      </c>
      <c r="M83" s="34"/>
      <c r="N83" s="34">
        <v>0</v>
      </c>
      <c r="O83" s="34"/>
      <c r="P83" s="34">
        <v>0</v>
      </c>
      <c r="Q83" s="34"/>
      <c r="R83" s="34"/>
      <c r="S83" s="34"/>
      <c r="T83" s="34"/>
      <c r="U83" s="34"/>
      <c r="V83" s="54">
        <f>+N83+P83</f>
        <v>0</v>
      </c>
      <c r="W83" s="25"/>
      <c r="X83" s="5"/>
    </row>
    <row r="84" spans="1:24" ht="15.75" x14ac:dyDescent="0.25">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75" x14ac:dyDescent="0.25">
      <c r="A85" s="24"/>
      <c r="B85" s="25" t="s">
        <v>26</v>
      </c>
      <c r="C85" s="34"/>
      <c r="D85" s="34"/>
      <c r="E85" s="34"/>
      <c r="F85" s="54"/>
      <c r="G85" s="34"/>
      <c r="H85" s="54"/>
      <c r="I85" s="54"/>
      <c r="J85" s="54"/>
      <c r="K85" s="54"/>
      <c r="L85" s="54">
        <f>SUM(L72:L84)</f>
        <v>1001133</v>
      </c>
      <c r="M85" s="34"/>
      <c r="N85" s="54">
        <f>SUM(N72:N84)</f>
        <v>880910</v>
      </c>
      <c r="O85" s="34"/>
      <c r="P85" s="34"/>
      <c r="Q85" s="34"/>
      <c r="R85" s="34"/>
      <c r="S85" s="34"/>
      <c r="T85" s="54"/>
      <c r="U85" s="34"/>
      <c r="V85" s="54">
        <f>SUM(V72:V84)</f>
        <v>876625</v>
      </c>
      <c r="W85" s="25"/>
      <c r="X85" s="5"/>
    </row>
    <row r="86" spans="1:24" ht="15.75" x14ac:dyDescent="0.25">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75" x14ac:dyDescent="0.25">
      <c r="A87" s="6"/>
      <c r="B87" s="8"/>
      <c r="C87" s="8"/>
      <c r="D87" s="8"/>
      <c r="E87" s="8"/>
      <c r="F87" s="8"/>
      <c r="G87" s="8"/>
      <c r="H87" s="8"/>
      <c r="I87" s="8"/>
      <c r="J87" s="8"/>
      <c r="K87" s="8"/>
      <c r="L87" s="8"/>
      <c r="M87" s="8"/>
      <c r="N87" s="8"/>
      <c r="O87" s="8"/>
      <c r="P87" s="8"/>
      <c r="Q87" s="8"/>
      <c r="R87" s="8"/>
      <c r="S87" s="8"/>
      <c r="T87" s="8"/>
      <c r="U87" s="8"/>
      <c r="V87" s="8"/>
      <c r="W87" s="8"/>
      <c r="X87" s="5"/>
    </row>
    <row r="88" spans="1:24" ht="15.75" x14ac:dyDescent="0.25">
      <c r="A88" s="6"/>
      <c r="B88" s="51" t="s">
        <v>27</v>
      </c>
      <c r="C88" s="14"/>
      <c r="D88" s="14"/>
      <c r="E88" s="14"/>
      <c r="F88" s="14"/>
      <c r="G88" s="14"/>
      <c r="H88" s="17"/>
      <c r="I88" s="17"/>
      <c r="J88" s="17"/>
      <c r="K88" s="17"/>
      <c r="L88" s="155" t="s">
        <v>95</v>
      </c>
      <c r="M88" s="17"/>
      <c r="N88" s="154">
        <f>+T201</f>
        <v>40053</v>
      </c>
      <c r="O88" s="17"/>
      <c r="P88" s="17"/>
      <c r="Q88" s="17"/>
      <c r="R88" s="17"/>
      <c r="S88" s="17"/>
      <c r="T88" s="17" t="s">
        <v>107</v>
      </c>
      <c r="U88" s="17"/>
      <c r="V88" s="17" t="s">
        <v>113</v>
      </c>
      <c r="W88" s="8"/>
      <c r="X88" s="5"/>
    </row>
    <row r="89" spans="1:24" ht="15.75" x14ac:dyDescent="0.25">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75" x14ac:dyDescent="0.25">
      <c r="A90" s="24"/>
      <c r="B90" s="25" t="s">
        <v>29</v>
      </c>
      <c r="C90" s="25"/>
      <c r="D90" s="25"/>
      <c r="E90" s="25"/>
      <c r="F90" s="25"/>
      <c r="G90" s="25"/>
      <c r="H90" s="40"/>
      <c r="I90" s="40"/>
      <c r="J90" s="40"/>
      <c r="K90" s="57"/>
      <c r="L90" s="40"/>
      <c r="M90" s="25"/>
      <c r="N90" s="127"/>
      <c r="O90" s="25"/>
      <c r="P90" s="25"/>
      <c r="Q90" s="25"/>
      <c r="R90" s="25"/>
      <c r="S90" s="25"/>
      <c r="T90" s="34">
        <f>4902-95</f>
        <v>4807</v>
      </c>
      <c r="U90" s="25"/>
      <c r="V90" s="53"/>
      <c r="W90" s="25"/>
      <c r="X90" s="5"/>
    </row>
    <row r="91" spans="1:24" ht="15.75" x14ac:dyDescent="0.25">
      <c r="A91" s="24"/>
      <c r="B91" s="25" t="s">
        <v>215</v>
      </c>
      <c r="C91" s="25"/>
      <c r="D91" s="25"/>
      <c r="E91" s="25"/>
      <c r="F91" s="25"/>
      <c r="G91" s="25"/>
      <c r="H91" s="40"/>
      <c r="I91" s="40"/>
      <c r="J91" s="40"/>
      <c r="K91" s="57"/>
      <c r="L91" s="40"/>
      <c r="M91" s="25"/>
      <c r="N91" s="127"/>
      <c r="O91" s="25"/>
      <c r="P91" s="25"/>
      <c r="Q91" s="25"/>
      <c r="R91" s="25"/>
      <c r="S91" s="25"/>
      <c r="T91" s="34"/>
      <c r="U91" s="25"/>
      <c r="V91" s="53">
        <f>4686+3881-623-407+10+15</f>
        <v>7562</v>
      </c>
      <c r="W91" s="25"/>
      <c r="X91" s="5"/>
    </row>
    <row r="92" spans="1:24" ht="15.75" x14ac:dyDescent="0.25">
      <c r="A92" s="24"/>
      <c r="B92" s="25" t="s">
        <v>210</v>
      </c>
      <c r="C92" s="25"/>
      <c r="D92" s="25"/>
      <c r="E92" s="25"/>
      <c r="F92" s="25"/>
      <c r="G92" s="25"/>
      <c r="H92" s="40"/>
      <c r="I92" s="40"/>
      <c r="J92" s="40"/>
      <c r="K92" s="57"/>
      <c r="L92" s="40"/>
      <c r="M92" s="25"/>
      <c r="N92" s="127"/>
      <c r="O92" s="25"/>
      <c r="P92" s="25"/>
      <c r="Q92" s="25"/>
      <c r="R92" s="25"/>
      <c r="S92" s="25"/>
      <c r="T92" s="34"/>
      <c r="U92" s="25"/>
      <c r="V92" s="53">
        <f>31+35</f>
        <v>66</v>
      </c>
      <c r="W92" s="25"/>
      <c r="X92" s="5"/>
    </row>
    <row r="93" spans="1:24" ht="15.75" x14ac:dyDescent="0.25">
      <c r="A93" s="24"/>
      <c r="B93" s="25" t="s">
        <v>211</v>
      </c>
      <c r="C93" s="25"/>
      <c r="D93" s="25"/>
      <c r="E93" s="25"/>
      <c r="F93" s="25"/>
      <c r="G93" s="25"/>
      <c r="H93" s="40"/>
      <c r="I93" s="40"/>
      <c r="J93" s="40"/>
      <c r="K93" s="57"/>
      <c r="L93" s="40"/>
      <c r="M93" s="25"/>
      <c r="N93" s="127"/>
      <c r="O93" s="25"/>
      <c r="P93" s="25"/>
      <c r="Q93" s="25"/>
      <c r="R93" s="25"/>
      <c r="S93" s="25"/>
      <c r="T93" s="34"/>
      <c r="U93" s="25"/>
      <c r="V93" s="53">
        <v>112</v>
      </c>
      <c r="W93" s="25"/>
      <c r="X93" s="5"/>
    </row>
    <row r="94" spans="1:24" ht="15.75" x14ac:dyDescent="0.25">
      <c r="A94" s="24"/>
      <c r="B94" s="25" t="s">
        <v>233</v>
      </c>
      <c r="C94" s="25"/>
      <c r="D94" s="25"/>
      <c r="E94" s="25"/>
      <c r="F94" s="25"/>
      <c r="G94" s="25"/>
      <c r="H94" s="40"/>
      <c r="I94" s="40"/>
      <c r="J94" s="40"/>
      <c r="K94" s="57"/>
      <c r="L94" s="40"/>
      <c r="M94" s="25"/>
      <c r="N94" s="127"/>
      <c r="O94" s="25"/>
      <c r="P94" s="25"/>
      <c r="Q94" s="25"/>
      <c r="R94" s="25"/>
      <c r="S94" s="25"/>
      <c r="T94" s="34"/>
      <c r="U94" s="25"/>
      <c r="V94" s="53">
        <v>0</v>
      </c>
      <c r="W94" s="25"/>
      <c r="X94" s="5"/>
    </row>
    <row r="95" spans="1:24" ht="15.75" x14ac:dyDescent="0.25">
      <c r="A95" s="24"/>
      <c r="B95" s="25" t="s">
        <v>235</v>
      </c>
      <c r="C95" s="25"/>
      <c r="D95" s="25"/>
      <c r="E95" s="25"/>
      <c r="F95" s="25"/>
      <c r="G95" s="25"/>
      <c r="H95" s="40"/>
      <c r="I95" s="40"/>
      <c r="J95" s="40"/>
      <c r="K95" s="57"/>
      <c r="L95" s="40"/>
      <c r="M95" s="25"/>
      <c r="N95" s="127"/>
      <c r="O95" s="25"/>
      <c r="P95" s="25"/>
      <c r="Q95" s="25"/>
      <c r="R95" s="25"/>
      <c r="S95" s="25"/>
      <c r="T95" s="34"/>
      <c r="U95" s="25"/>
      <c r="V95" s="53">
        <v>0</v>
      </c>
      <c r="W95" s="25"/>
      <c r="X95" s="5"/>
    </row>
    <row r="96" spans="1:24" ht="15.75" x14ac:dyDescent="0.25">
      <c r="A96" s="24"/>
      <c r="B96" s="25" t="s">
        <v>135</v>
      </c>
      <c r="C96" s="25"/>
      <c r="D96" s="25"/>
      <c r="E96" s="25"/>
      <c r="F96" s="25"/>
      <c r="G96" s="25"/>
      <c r="H96" s="25"/>
      <c r="I96" s="25"/>
      <c r="J96" s="25"/>
      <c r="K96" s="25"/>
      <c r="L96" s="25"/>
      <c r="M96" s="25"/>
      <c r="N96" s="25"/>
      <c r="O96" s="25"/>
      <c r="P96" s="25"/>
      <c r="Q96" s="25"/>
      <c r="R96" s="25"/>
      <c r="S96" s="25"/>
      <c r="T96" s="34"/>
      <c r="U96" s="25"/>
      <c r="V96" s="53">
        <v>0</v>
      </c>
      <c r="W96" s="25"/>
      <c r="X96" s="5"/>
    </row>
    <row r="97" spans="1:25" ht="15.75" x14ac:dyDescent="0.25">
      <c r="A97" s="24"/>
      <c r="B97" s="25" t="s">
        <v>272</v>
      </c>
      <c r="C97" s="25"/>
      <c r="D97" s="25"/>
      <c r="E97" s="25"/>
      <c r="F97" s="25"/>
      <c r="G97" s="25"/>
      <c r="H97" s="25"/>
      <c r="I97" s="25"/>
      <c r="J97" s="25"/>
      <c r="K97" s="25"/>
      <c r="L97" s="25"/>
      <c r="M97" s="25"/>
      <c r="N97" s="25"/>
      <c r="O97" s="25"/>
      <c r="P97" s="25"/>
      <c r="Q97" s="25"/>
      <c r="R97" s="25"/>
      <c r="S97" s="25"/>
      <c r="T97" s="34"/>
      <c r="U97" s="25"/>
      <c r="V97" s="53">
        <v>36</v>
      </c>
      <c r="W97" s="25"/>
      <c r="X97" s="5"/>
    </row>
    <row r="98" spans="1:25" ht="15.75" x14ac:dyDescent="0.25">
      <c r="A98" s="24"/>
      <c r="B98" s="25" t="s">
        <v>30</v>
      </c>
      <c r="C98" s="25"/>
      <c r="D98" s="25"/>
      <c r="E98" s="25"/>
      <c r="F98" s="25"/>
      <c r="G98" s="25"/>
      <c r="H98" s="25"/>
      <c r="I98" s="25"/>
      <c r="J98" s="25"/>
      <c r="K98" s="25"/>
      <c r="L98" s="25"/>
      <c r="M98" s="25"/>
      <c r="N98" s="25"/>
      <c r="O98" s="25"/>
      <c r="P98" s="25"/>
      <c r="Q98" s="25"/>
      <c r="R98" s="25"/>
      <c r="S98" s="25"/>
      <c r="T98" s="34">
        <f>SUM(T89:T97)</f>
        <v>4807</v>
      </c>
      <c r="U98" s="25"/>
      <c r="V98" s="54">
        <f>SUM(V89:V97)</f>
        <v>7776</v>
      </c>
      <c r="W98" s="25"/>
      <c r="X98" s="5"/>
    </row>
    <row r="99" spans="1:25" ht="15.75" x14ac:dyDescent="0.25">
      <c r="A99" s="24"/>
      <c r="B99" s="25" t="s">
        <v>161</v>
      </c>
      <c r="C99" s="25"/>
      <c r="D99" s="25"/>
      <c r="E99" s="25"/>
      <c r="F99" s="25"/>
      <c r="G99" s="25"/>
      <c r="H99" s="25"/>
      <c r="I99" s="25"/>
      <c r="J99" s="25"/>
      <c r="K99" s="25"/>
      <c r="L99" s="25"/>
      <c r="M99" s="25"/>
      <c r="N99" s="25"/>
      <c r="O99" s="25"/>
      <c r="P99" s="25"/>
      <c r="Q99" s="25"/>
      <c r="R99" s="25"/>
      <c r="S99" s="25"/>
      <c r="T99" s="34">
        <f>-V99</f>
        <v>-8</v>
      </c>
      <c r="U99" s="25"/>
      <c r="V99" s="54">
        <v>8</v>
      </c>
      <c r="W99" s="25"/>
      <c r="X99" s="5"/>
    </row>
    <row r="100" spans="1:25" ht="15.75" x14ac:dyDescent="0.25">
      <c r="A100" s="24"/>
      <c r="B100" s="25" t="s">
        <v>31</v>
      </c>
      <c r="C100" s="25"/>
      <c r="D100" s="25"/>
      <c r="E100" s="25"/>
      <c r="F100" s="25"/>
      <c r="G100" s="25"/>
      <c r="H100" s="25"/>
      <c r="I100" s="25"/>
      <c r="J100" s="25"/>
      <c r="K100" s="25"/>
      <c r="L100" s="25"/>
      <c r="M100" s="25"/>
      <c r="N100" s="25"/>
      <c r="O100" s="25"/>
      <c r="P100" s="25"/>
      <c r="Q100" s="25"/>
      <c r="R100" s="25"/>
      <c r="S100" s="25"/>
      <c r="T100" s="34">
        <f>-V100</f>
        <v>0</v>
      </c>
      <c r="U100" s="25"/>
      <c r="V100" s="53">
        <v>0</v>
      </c>
      <c r="W100" s="25"/>
      <c r="X100" s="5"/>
    </row>
    <row r="101" spans="1:25" ht="15.75" x14ac:dyDescent="0.25">
      <c r="A101" s="24"/>
      <c r="B101" s="25" t="s">
        <v>274</v>
      </c>
      <c r="C101" s="25"/>
      <c r="D101" s="25"/>
      <c r="E101" s="25"/>
      <c r="F101" s="25"/>
      <c r="G101" s="25"/>
      <c r="H101" s="25"/>
      <c r="I101" s="25"/>
      <c r="J101" s="25"/>
      <c r="K101" s="25"/>
      <c r="L101" s="25"/>
      <c r="M101" s="25"/>
      <c r="N101" s="25"/>
      <c r="O101" s="25"/>
      <c r="P101" s="25"/>
      <c r="Q101" s="25"/>
      <c r="R101" s="25"/>
      <c r="S101" s="25"/>
      <c r="T101" s="34"/>
      <c r="U101" s="25"/>
      <c r="V101" s="53">
        <v>-25</v>
      </c>
      <c r="W101" s="25"/>
      <c r="X101" s="5"/>
    </row>
    <row r="102" spans="1:25" ht="15.75" x14ac:dyDescent="0.25">
      <c r="A102" s="24"/>
      <c r="B102" s="25" t="s">
        <v>32</v>
      </c>
      <c r="C102" s="25"/>
      <c r="D102" s="25"/>
      <c r="E102" s="25"/>
      <c r="F102" s="25"/>
      <c r="G102" s="25"/>
      <c r="H102" s="25"/>
      <c r="I102" s="25"/>
      <c r="J102" s="25"/>
      <c r="K102" s="25"/>
      <c r="L102" s="25"/>
      <c r="M102" s="25"/>
      <c r="N102" s="25"/>
      <c r="O102" s="25"/>
      <c r="P102" s="25"/>
      <c r="Q102" s="25"/>
      <c r="R102" s="25"/>
      <c r="S102" s="25"/>
      <c r="T102" s="34">
        <f>T98+T100+T99</f>
        <v>4799</v>
      </c>
      <c r="U102" s="25"/>
      <c r="V102" s="54">
        <f>V98+V100+V99+V101</f>
        <v>7759</v>
      </c>
      <c r="W102" s="25"/>
      <c r="X102" s="5"/>
    </row>
    <row r="103" spans="1:25" ht="15.75" x14ac:dyDescent="0.25">
      <c r="A103" s="24"/>
      <c r="B103" s="118" t="s">
        <v>33</v>
      </c>
      <c r="C103" s="25"/>
      <c r="D103" s="25"/>
      <c r="E103" s="25"/>
      <c r="F103" s="25"/>
      <c r="G103" s="25"/>
      <c r="H103" s="25"/>
      <c r="I103" s="25"/>
      <c r="J103" s="25"/>
      <c r="K103" s="25"/>
      <c r="L103" s="25"/>
      <c r="M103" s="25"/>
      <c r="N103" s="25"/>
      <c r="O103" s="25"/>
      <c r="P103" s="25"/>
      <c r="Q103" s="25"/>
      <c r="R103" s="25"/>
      <c r="S103" s="25"/>
      <c r="T103" s="34"/>
      <c r="U103" s="25"/>
      <c r="V103" s="53"/>
      <c r="W103" s="25"/>
      <c r="X103" s="5"/>
    </row>
    <row r="104" spans="1:25" ht="15.75" x14ac:dyDescent="0.25">
      <c r="A104" s="24">
        <v>1</v>
      </c>
      <c r="B104" s="25" t="s">
        <v>34</v>
      </c>
      <c r="C104" s="25"/>
      <c r="D104" s="25"/>
      <c r="E104" s="25"/>
      <c r="F104" s="25"/>
      <c r="G104" s="25"/>
      <c r="H104" s="25"/>
      <c r="I104" s="25"/>
      <c r="J104" s="25"/>
      <c r="K104" s="25"/>
      <c r="L104" s="25"/>
      <c r="M104" s="25"/>
      <c r="N104" s="25"/>
      <c r="O104" s="25"/>
      <c r="P104" s="25"/>
      <c r="Q104" s="25"/>
      <c r="R104" s="25"/>
      <c r="S104" s="25"/>
      <c r="T104" s="25"/>
      <c r="U104" s="25"/>
      <c r="V104" s="53">
        <v>0</v>
      </c>
      <c r="W104" s="25"/>
      <c r="X104" s="5"/>
    </row>
    <row r="105" spans="1:25" ht="15.75" x14ac:dyDescent="0.25">
      <c r="A105" s="24">
        <f>+A104+1</f>
        <v>2</v>
      </c>
      <c r="B105" s="25" t="s">
        <v>221</v>
      </c>
      <c r="C105" s="25"/>
      <c r="D105" s="25"/>
      <c r="E105" s="25"/>
      <c r="F105" s="25"/>
      <c r="G105" s="25"/>
      <c r="H105" s="25"/>
      <c r="I105" s="25"/>
      <c r="J105" s="25"/>
      <c r="K105" s="25"/>
      <c r="L105" s="25"/>
      <c r="M105" s="25"/>
      <c r="N105" s="25"/>
      <c r="O105" s="25"/>
      <c r="P105" s="25"/>
      <c r="Q105" s="25"/>
      <c r="R105" s="25"/>
      <c r="S105" s="25"/>
      <c r="T105" s="25"/>
      <c r="U105" s="25"/>
      <c r="V105" s="53">
        <v>-2</v>
      </c>
      <c r="W105" s="25"/>
      <c r="X105" s="5"/>
    </row>
    <row r="106" spans="1:25" ht="15.75" x14ac:dyDescent="0.25">
      <c r="A106" s="24">
        <f>+A105+1</f>
        <v>3</v>
      </c>
      <c r="B106" s="25" t="s">
        <v>204</v>
      </c>
      <c r="C106" s="25"/>
      <c r="D106" s="25"/>
      <c r="E106" s="25"/>
      <c r="F106" s="25"/>
      <c r="G106" s="25"/>
      <c r="H106" s="25"/>
      <c r="I106" s="25"/>
      <c r="J106" s="25"/>
      <c r="K106" s="25"/>
      <c r="L106" s="25"/>
      <c r="M106" s="25"/>
      <c r="N106" s="25"/>
      <c r="O106" s="25"/>
      <c r="P106" s="25"/>
      <c r="Q106" s="25"/>
      <c r="R106" s="25"/>
      <c r="S106" s="25"/>
      <c r="T106" s="25"/>
      <c r="U106" s="25"/>
      <c r="V106" s="53">
        <f>-334-151-10</f>
        <v>-495</v>
      </c>
      <c r="W106" s="25"/>
      <c r="X106" s="5"/>
    </row>
    <row r="107" spans="1:25" ht="15.75" x14ac:dyDescent="0.25">
      <c r="A107" s="24" t="s">
        <v>127</v>
      </c>
      <c r="B107" s="25" t="s">
        <v>116</v>
      </c>
      <c r="C107" s="25"/>
      <c r="D107" s="25"/>
      <c r="E107" s="25"/>
      <c r="F107" s="25"/>
      <c r="G107" s="25"/>
      <c r="H107" s="25"/>
      <c r="I107" s="25"/>
      <c r="J107" s="25"/>
      <c r="K107" s="25"/>
      <c r="L107" s="25"/>
      <c r="M107" s="25"/>
      <c r="N107" s="25"/>
      <c r="O107" s="25"/>
      <c r="P107" s="25"/>
      <c r="Q107" s="25"/>
      <c r="R107" s="25"/>
      <c r="S107" s="25"/>
      <c r="T107" s="25"/>
      <c r="U107" s="25"/>
      <c r="V107" s="53">
        <v>-1392</v>
      </c>
      <c r="W107" s="25"/>
      <c r="X107" s="5"/>
    </row>
    <row r="108" spans="1:25" ht="15.75" x14ac:dyDescent="0.25">
      <c r="A108" s="24" t="s">
        <v>128</v>
      </c>
      <c r="B108" s="25" t="s">
        <v>220</v>
      </c>
      <c r="C108" s="25"/>
      <c r="D108" s="25"/>
      <c r="E108" s="25"/>
      <c r="F108" s="25"/>
      <c r="G108" s="25"/>
      <c r="H108" s="25"/>
      <c r="I108" s="25"/>
      <c r="J108" s="25"/>
      <c r="K108" s="25"/>
      <c r="L108" s="25"/>
      <c r="M108" s="25"/>
      <c r="N108" s="25"/>
      <c r="O108" s="25"/>
      <c r="P108" s="25"/>
      <c r="Q108" s="25"/>
      <c r="R108" s="25"/>
      <c r="S108" s="25"/>
      <c r="T108" s="25"/>
      <c r="U108" s="25"/>
      <c r="V108" s="53">
        <f>-2527+627</f>
        <v>-1900</v>
      </c>
      <c r="W108" s="25"/>
      <c r="X108" s="5"/>
      <c r="Y108" s="109"/>
    </row>
    <row r="109" spans="1:25" ht="15.75" x14ac:dyDescent="0.25">
      <c r="A109" s="24" t="s">
        <v>150</v>
      </c>
      <c r="B109" s="25" t="s">
        <v>184</v>
      </c>
      <c r="C109" s="25"/>
      <c r="D109" s="25"/>
      <c r="E109" s="25"/>
      <c r="F109" s="25"/>
      <c r="G109" s="25"/>
      <c r="H109" s="25"/>
      <c r="I109" s="25"/>
      <c r="J109" s="25"/>
      <c r="K109" s="25"/>
      <c r="L109" s="25"/>
      <c r="M109" s="25"/>
      <c r="N109" s="25"/>
      <c r="O109" s="25"/>
      <c r="P109" s="25"/>
      <c r="Q109" s="25"/>
      <c r="R109" s="25"/>
      <c r="S109" s="25"/>
      <c r="T109" s="25"/>
      <c r="U109" s="25"/>
      <c r="V109" s="53">
        <v>-627</v>
      </c>
      <c r="W109" s="25"/>
      <c r="X109" s="5"/>
      <c r="Y109" s="109"/>
    </row>
    <row r="110" spans="1:25" ht="15.75" x14ac:dyDescent="0.25">
      <c r="A110" s="24" t="s">
        <v>205</v>
      </c>
      <c r="B110" s="25" t="s">
        <v>185</v>
      </c>
      <c r="C110" s="25"/>
      <c r="D110" s="25"/>
      <c r="E110" s="25"/>
      <c r="F110" s="25"/>
      <c r="G110" s="25"/>
      <c r="H110" s="25"/>
      <c r="I110" s="25"/>
      <c r="J110" s="25"/>
      <c r="K110" s="25"/>
      <c r="L110" s="25"/>
      <c r="M110" s="25"/>
      <c r="N110" s="25"/>
      <c r="O110" s="25"/>
      <c r="P110" s="25"/>
      <c r="Q110" s="25"/>
      <c r="R110" s="25"/>
      <c r="S110" s="25"/>
      <c r="T110" s="25"/>
      <c r="U110" s="25"/>
      <c r="V110" s="53">
        <v>-228</v>
      </c>
      <c r="W110" s="25"/>
      <c r="X110" s="5"/>
      <c r="Y110" s="109"/>
    </row>
    <row r="111" spans="1:25" ht="15.75" x14ac:dyDescent="0.25">
      <c r="A111" s="24" t="s">
        <v>206</v>
      </c>
      <c r="B111" s="25" t="s">
        <v>186</v>
      </c>
      <c r="C111" s="25"/>
      <c r="D111" s="25"/>
      <c r="E111" s="25"/>
      <c r="F111" s="25"/>
      <c r="G111" s="25"/>
      <c r="H111" s="25"/>
      <c r="I111" s="25"/>
      <c r="J111" s="25"/>
      <c r="K111" s="25"/>
      <c r="L111" s="25"/>
      <c r="M111" s="25"/>
      <c r="N111" s="25"/>
      <c r="O111" s="25"/>
      <c r="P111" s="25"/>
      <c r="Q111" s="25"/>
      <c r="R111" s="25"/>
      <c r="S111" s="25"/>
      <c r="T111" s="25"/>
      <c r="U111" s="25"/>
      <c r="V111" s="53">
        <f>-293+228</f>
        <v>-65</v>
      </c>
      <c r="W111" s="25"/>
      <c r="X111" s="5"/>
      <c r="Y111" s="109"/>
    </row>
    <row r="112" spans="1:25" ht="15.75" x14ac:dyDescent="0.25">
      <c r="A112" s="24">
        <v>6</v>
      </c>
      <c r="B112" s="25" t="s">
        <v>196</v>
      </c>
      <c r="C112" s="25"/>
      <c r="D112" s="25"/>
      <c r="E112" s="25"/>
      <c r="F112" s="25"/>
      <c r="G112" s="25"/>
      <c r="H112" s="25"/>
      <c r="I112" s="25"/>
      <c r="J112" s="25"/>
      <c r="K112" s="25"/>
      <c r="L112" s="25"/>
      <c r="M112" s="25"/>
      <c r="N112" s="25"/>
      <c r="O112" s="25"/>
      <c r="P112" s="25"/>
      <c r="Q112" s="25"/>
      <c r="R112" s="25"/>
      <c r="S112" s="25"/>
      <c r="T112" s="25"/>
      <c r="U112" s="25"/>
      <c r="V112" s="53">
        <v>-353</v>
      </c>
      <c r="W112" s="25"/>
      <c r="X112" s="5"/>
      <c r="Y112" s="109"/>
    </row>
    <row r="113" spans="1:24" ht="15.75" x14ac:dyDescent="0.25">
      <c r="A113" s="24">
        <v>7</v>
      </c>
      <c r="B113" s="25" t="s">
        <v>35</v>
      </c>
      <c r="C113" s="25"/>
      <c r="D113" s="25"/>
      <c r="E113" s="25"/>
      <c r="F113" s="25"/>
      <c r="G113" s="25"/>
      <c r="H113" s="25"/>
      <c r="I113" s="25"/>
      <c r="J113" s="25"/>
      <c r="K113" s="25"/>
      <c r="L113" s="25"/>
      <c r="M113" s="25"/>
      <c r="N113" s="25"/>
      <c r="O113" s="25"/>
      <c r="P113" s="25"/>
      <c r="Q113" s="25"/>
      <c r="R113" s="25"/>
      <c r="S113" s="25"/>
      <c r="T113" s="25"/>
      <c r="U113" s="25"/>
      <c r="V113" s="53">
        <v>-9</v>
      </c>
      <c r="W113" s="25"/>
      <c r="X113" s="5"/>
    </row>
    <row r="114" spans="1:24" ht="15.75" x14ac:dyDescent="0.25">
      <c r="A114" s="24">
        <f t="shared" ref="A114:A119" si="0">+A113+1</f>
        <v>8</v>
      </c>
      <c r="B114" s="25" t="s">
        <v>45</v>
      </c>
      <c r="C114" s="25"/>
      <c r="D114" s="25"/>
      <c r="E114" s="25"/>
      <c r="F114" s="25"/>
      <c r="G114" s="25"/>
      <c r="H114" s="25"/>
      <c r="I114" s="25"/>
      <c r="J114" s="25"/>
      <c r="K114" s="25"/>
      <c r="L114" s="25"/>
      <c r="M114" s="25"/>
      <c r="N114" s="25"/>
      <c r="O114" s="25"/>
      <c r="P114" s="25"/>
      <c r="Q114" s="25"/>
      <c r="R114" s="25"/>
      <c r="S114" s="25"/>
      <c r="T114" s="34">
        <f>-V114</f>
        <v>95</v>
      </c>
      <c r="U114" s="25"/>
      <c r="V114" s="53">
        <v>-95</v>
      </c>
      <c r="W114" s="25"/>
      <c r="X114" s="5"/>
    </row>
    <row r="115" spans="1:24" ht="15.75" x14ac:dyDescent="0.25">
      <c r="A115" s="24">
        <f t="shared" si="0"/>
        <v>9</v>
      </c>
      <c r="B115" s="25" t="s">
        <v>125</v>
      </c>
      <c r="C115" s="25"/>
      <c r="D115" s="25"/>
      <c r="E115" s="25"/>
      <c r="F115" s="25"/>
      <c r="G115" s="25"/>
      <c r="H115" s="25"/>
      <c r="I115" s="25"/>
      <c r="J115" s="25"/>
      <c r="K115" s="25"/>
      <c r="L115" s="25"/>
      <c r="M115" s="25"/>
      <c r="N115" s="25"/>
      <c r="O115" s="25"/>
      <c r="P115" s="25"/>
      <c r="Q115" s="25"/>
      <c r="R115" s="25"/>
      <c r="S115" s="25"/>
      <c r="T115" s="25"/>
      <c r="U115" s="25"/>
      <c r="V115" s="53">
        <v>0</v>
      </c>
      <c r="W115" s="25"/>
      <c r="X115" s="5"/>
    </row>
    <row r="116" spans="1:24" ht="15.75" x14ac:dyDescent="0.25">
      <c r="A116" s="24">
        <f t="shared" si="0"/>
        <v>10</v>
      </c>
      <c r="B116" s="25" t="s">
        <v>225</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4" ht="15.75" x14ac:dyDescent="0.25">
      <c r="A117" s="24">
        <f t="shared" si="0"/>
        <v>11</v>
      </c>
      <c r="B117" s="25" t="s">
        <v>36</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4" ht="15.75" x14ac:dyDescent="0.25">
      <c r="A118" s="24">
        <f t="shared" si="0"/>
        <v>12</v>
      </c>
      <c r="B118" s="25" t="s">
        <v>149</v>
      </c>
      <c r="C118" s="25"/>
      <c r="D118" s="25"/>
      <c r="E118" s="25"/>
      <c r="F118" s="25"/>
      <c r="G118" s="25"/>
      <c r="H118" s="25"/>
      <c r="I118" s="25"/>
      <c r="J118" s="25"/>
      <c r="K118" s="25"/>
      <c r="L118" s="25"/>
      <c r="M118" s="25"/>
      <c r="N118" s="25"/>
      <c r="O118" s="25"/>
      <c r="P118" s="25"/>
      <c r="Q118" s="25"/>
      <c r="R118" s="25"/>
      <c r="S118" s="25"/>
      <c r="T118" s="25"/>
      <c r="U118" s="25"/>
      <c r="V118" s="53">
        <v>-334</v>
      </c>
      <c r="W118" s="25"/>
      <c r="X118" s="5"/>
    </row>
    <row r="119" spans="1:24" ht="15.75" x14ac:dyDescent="0.25">
      <c r="A119" s="24">
        <f t="shared" si="0"/>
        <v>13</v>
      </c>
      <c r="B119" s="25" t="s">
        <v>126</v>
      </c>
      <c r="C119" s="25"/>
      <c r="D119" s="25"/>
      <c r="E119" s="25"/>
      <c r="F119" s="25"/>
      <c r="G119" s="25"/>
      <c r="H119" s="25"/>
      <c r="I119" s="25"/>
      <c r="J119" s="25"/>
      <c r="K119" s="25"/>
      <c r="L119" s="25"/>
      <c r="M119" s="25"/>
      <c r="N119" s="25"/>
      <c r="O119" s="25"/>
      <c r="P119" s="25"/>
      <c r="Q119" s="25"/>
      <c r="R119" s="25"/>
      <c r="S119" s="25"/>
      <c r="T119" s="25"/>
      <c r="U119" s="25"/>
      <c r="V119" s="53">
        <f>-V102-SUM(V104:V118)</f>
        <v>-2259</v>
      </c>
      <c r="W119" s="25"/>
      <c r="X119" s="5"/>
    </row>
    <row r="120" spans="1:24" ht="15.75" x14ac:dyDescent="0.25">
      <c r="A120" s="24"/>
      <c r="B120" s="118" t="s">
        <v>37</v>
      </c>
      <c r="C120" s="25"/>
      <c r="D120" s="25"/>
      <c r="E120" s="25"/>
      <c r="F120" s="25"/>
      <c r="G120" s="25"/>
      <c r="H120" s="25"/>
      <c r="I120" s="25"/>
      <c r="J120" s="25"/>
      <c r="K120" s="25"/>
      <c r="L120" s="25"/>
      <c r="M120" s="25"/>
      <c r="N120" s="25"/>
      <c r="O120" s="25"/>
      <c r="P120" s="25"/>
      <c r="Q120" s="25"/>
      <c r="R120" s="25"/>
      <c r="S120" s="25"/>
      <c r="T120" s="25"/>
      <c r="U120" s="25"/>
      <c r="V120" s="59"/>
      <c r="W120" s="25"/>
      <c r="X120" s="5"/>
    </row>
    <row r="121" spans="1:24" ht="15.75" x14ac:dyDescent="0.25">
      <c r="A121" s="24"/>
      <c r="B121" s="25" t="s">
        <v>173</v>
      </c>
      <c r="C121" s="25"/>
      <c r="D121" s="25"/>
      <c r="E121" s="25"/>
      <c r="F121" s="25"/>
      <c r="G121" s="25"/>
      <c r="H121" s="25"/>
      <c r="I121" s="25"/>
      <c r="J121" s="25"/>
      <c r="K121" s="25"/>
      <c r="L121" s="25"/>
      <c r="M121" s="25"/>
      <c r="N121" s="25"/>
      <c r="O121" s="25"/>
      <c r="P121" s="25"/>
      <c r="Q121" s="25"/>
      <c r="R121" s="25"/>
      <c r="S121" s="25"/>
      <c r="T121" s="34">
        <f>-T185</f>
        <v>-63</v>
      </c>
      <c r="U121" s="34"/>
      <c r="V121" s="53"/>
      <c r="W121" s="25"/>
      <c r="X121" s="5"/>
    </row>
    <row r="122" spans="1:24" ht="15.75" x14ac:dyDescent="0.25">
      <c r="A122" s="24"/>
      <c r="B122" s="25" t="s">
        <v>174</v>
      </c>
      <c r="C122" s="25"/>
      <c r="D122" s="25"/>
      <c r="E122" s="25"/>
      <c r="F122" s="25"/>
      <c r="G122" s="25"/>
      <c r="H122" s="25"/>
      <c r="I122" s="25"/>
      <c r="J122" s="25"/>
      <c r="K122" s="25"/>
      <c r="L122" s="25"/>
      <c r="M122" s="25"/>
      <c r="N122" s="25"/>
      <c r="O122" s="25"/>
      <c r="P122" s="25"/>
      <c r="Q122" s="25"/>
      <c r="R122" s="25"/>
      <c r="S122" s="25"/>
      <c r="T122" s="34">
        <v>-10</v>
      </c>
      <c r="U122" s="34"/>
      <c r="V122" s="53"/>
      <c r="W122" s="25"/>
      <c r="X122" s="5"/>
    </row>
    <row r="123" spans="1:24" ht="15.75" x14ac:dyDescent="0.25">
      <c r="A123" s="24"/>
      <c r="B123" s="25" t="s">
        <v>38</v>
      </c>
      <c r="C123" s="25"/>
      <c r="D123" s="25"/>
      <c r="E123" s="25"/>
      <c r="F123" s="25"/>
      <c r="G123" s="25"/>
      <c r="H123" s="25"/>
      <c r="I123" s="25"/>
      <c r="J123" s="25"/>
      <c r="K123" s="25"/>
      <c r="L123" s="25"/>
      <c r="M123" s="25"/>
      <c r="N123" s="25"/>
      <c r="O123" s="25"/>
      <c r="P123" s="25"/>
      <c r="Q123" s="25"/>
      <c r="R123" s="25"/>
      <c r="S123" s="25"/>
      <c r="T123" s="34">
        <f>-S185</f>
        <v>-536</v>
      </c>
      <c r="U123" s="34"/>
      <c r="V123" s="53"/>
      <c r="W123" s="25"/>
      <c r="X123" s="5"/>
    </row>
    <row r="124" spans="1:24" ht="15.75" x14ac:dyDescent="0.25">
      <c r="A124" s="24"/>
      <c r="B124" s="25" t="s">
        <v>197</v>
      </c>
      <c r="C124" s="25"/>
      <c r="D124" s="25"/>
      <c r="E124" s="25"/>
      <c r="F124" s="25"/>
      <c r="G124" s="25"/>
      <c r="H124" s="25"/>
      <c r="I124" s="25"/>
      <c r="J124" s="25"/>
      <c r="K124" s="25"/>
      <c r="L124" s="25"/>
      <c r="M124" s="25"/>
      <c r="N124" s="25"/>
      <c r="O124" s="25"/>
      <c r="P124" s="25"/>
      <c r="Q124" s="25"/>
      <c r="R124" s="25"/>
      <c r="S124" s="25"/>
      <c r="T124" s="34">
        <v>-2482</v>
      </c>
      <c r="U124" s="34"/>
      <c r="V124" s="53"/>
      <c r="W124" s="25"/>
      <c r="X124" s="5"/>
    </row>
    <row r="125" spans="1:24" ht="15.75" x14ac:dyDescent="0.25">
      <c r="A125" s="24"/>
      <c r="B125" s="25" t="s">
        <v>195</v>
      </c>
      <c r="C125" s="25"/>
      <c r="D125" s="25"/>
      <c r="E125" s="25"/>
      <c r="F125" s="25"/>
      <c r="G125" s="25"/>
      <c r="H125" s="25"/>
      <c r="I125" s="25"/>
      <c r="J125" s="25"/>
      <c r="K125" s="25"/>
      <c r="L125" s="25"/>
      <c r="M125" s="25"/>
      <c r="N125" s="25"/>
      <c r="O125" s="25"/>
      <c r="P125" s="25"/>
      <c r="Q125" s="25"/>
      <c r="R125" s="25"/>
      <c r="S125" s="25"/>
      <c r="T125" s="34">
        <v>-1055</v>
      </c>
      <c r="U125" s="34"/>
      <c r="V125" s="53"/>
      <c r="W125" s="25"/>
      <c r="X125" s="5"/>
    </row>
    <row r="126" spans="1:24" ht="15.75" x14ac:dyDescent="0.25">
      <c r="A126" s="24"/>
      <c r="B126" s="25" t="s">
        <v>194</v>
      </c>
      <c r="C126" s="25"/>
      <c r="D126" s="25"/>
      <c r="E126" s="25"/>
      <c r="F126" s="25"/>
      <c r="G126" s="25"/>
      <c r="H126" s="25"/>
      <c r="I126" s="25"/>
      <c r="J126" s="25"/>
      <c r="K126" s="25"/>
      <c r="L126" s="25"/>
      <c r="M126" s="25"/>
      <c r="N126" s="25"/>
      <c r="O126" s="25"/>
      <c r="P126" s="25"/>
      <c r="Q126" s="25"/>
      <c r="R126" s="25"/>
      <c r="S126" s="25"/>
      <c r="T126" s="34">
        <v>-376</v>
      </c>
      <c r="U126" s="34"/>
      <c r="V126" s="53"/>
      <c r="W126" s="25"/>
      <c r="X126" s="5"/>
    </row>
    <row r="127" spans="1:24" ht="15.75" x14ac:dyDescent="0.25">
      <c r="A127" s="24"/>
      <c r="B127" s="25" t="s">
        <v>222</v>
      </c>
      <c r="C127" s="25"/>
      <c r="D127" s="25"/>
      <c r="E127" s="25"/>
      <c r="F127" s="25"/>
      <c r="G127" s="25"/>
      <c r="H127" s="25"/>
      <c r="I127" s="25"/>
      <c r="J127" s="25"/>
      <c r="K127" s="25"/>
      <c r="L127" s="25"/>
      <c r="M127" s="25"/>
      <c r="N127" s="25"/>
      <c r="O127" s="25"/>
      <c r="P127" s="25"/>
      <c r="Q127" s="25"/>
      <c r="R127" s="25"/>
      <c r="S127" s="25"/>
      <c r="T127" s="34">
        <v>-372</v>
      </c>
      <c r="U127" s="34"/>
      <c r="V127" s="53"/>
      <c r="W127" s="25"/>
      <c r="X127" s="5"/>
    </row>
    <row r="128" spans="1:24" ht="15.75" x14ac:dyDescent="0.25">
      <c r="A128" s="24"/>
      <c r="B128" s="25" t="s">
        <v>189</v>
      </c>
      <c r="C128" s="25"/>
      <c r="D128" s="25"/>
      <c r="E128" s="25"/>
      <c r="F128" s="25"/>
      <c r="G128" s="25"/>
      <c r="H128" s="25"/>
      <c r="I128" s="25"/>
      <c r="J128" s="25"/>
      <c r="K128" s="25"/>
      <c r="L128" s="25"/>
      <c r="M128" s="25"/>
      <c r="N128" s="25"/>
      <c r="O128" s="25"/>
      <c r="P128" s="25"/>
      <c r="Q128" s="25"/>
      <c r="R128" s="25"/>
      <c r="S128" s="25"/>
      <c r="T128" s="34">
        <v>0</v>
      </c>
      <c r="U128" s="34"/>
      <c r="V128" s="53"/>
      <c r="W128" s="25"/>
      <c r="X128" s="5"/>
    </row>
    <row r="129" spans="1:24" ht="15.75" x14ac:dyDescent="0.25">
      <c r="A129" s="24"/>
      <c r="B129" s="25" t="s">
        <v>188</v>
      </c>
      <c r="C129" s="25"/>
      <c r="D129" s="25"/>
      <c r="E129" s="25"/>
      <c r="F129" s="25"/>
      <c r="G129" s="25"/>
      <c r="H129" s="25"/>
      <c r="I129" s="25"/>
      <c r="J129" s="25"/>
      <c r="K129" s="25"/>
      <c r="L129" s="25"/>
      <c r="M129" s="25"/>
      <c r="N129" s="25"/>
      <c r="O129" s="25"/>
      <c r="P129" s="25"/>
      <c r="Q129" s="25"/>
      <c r="R129" s="25"/>
      <c r="S129" s="25"/>
      <c r="T129" s="34">
        <v>0</v>
      </c>
      <c r="U129" s="34"/>
      <c r="V129" s="53"/>
      <c r="W129" s="25"/>
      <c r="X129" s="5"/>
    </row>
    <row r="130" spans="1:24" ht="15.75" x14ac:dyDescent="0.25">
      <c r="A130" s="24"/>
      <c r="B130" s="25" t="s">
        <v>187</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75" x14ac:dyDescent="0.25">
      <c r="A131" s="24"/>
      <c r="B131" s="25" t="s">
        <v>39</v>
      </c>
      <c r="C131" s="25"/>
      <c r="D131" s="25"/>
      <c r="E131" s="25"/>
      <c r="F131" s="25"/>
      <c r="G131" s="25"/>
      <c r="H131" s="25"/>
      <c r="I131" s="25"/>
      <c r="J131" s="25"/>
      <c r="K131" s="25"/>
      <c r="L131" s="25"/>
      <c r="M131" s="25"/>
      <c r="N131" s="25"/>
      <c r="O131" s="25"/>
      <c r="P131" s="25"/>
      <c r="Q131" s="25"/>
      <c r="R131" s="25"/>
      <c r="S131" s="25"/>
      <c r="T131" s="34">
        <f>SUM(T121:T130)</f>
        <v>-4894</v>
      </c>
      <c r="U131" s="34"/>
      <c r="V131" s="34">
        <f>SUM(V103:V129)</f>
        <v>-7759</v>
      </c>
      <c r="W131" s="25"/>
      <c r="X131" s="5"/>
    </row>
    <row r="132" spans="1:24" ht="15.75" x14ac:dyDescent="0.25">
      <c r="A132" s="24"/>
      <c r="B132" s="25" t="s">
        <v>40</v>
      </c>
      <c r="C132" s="25"/>
      <c r="D132" s="25"/>
      <c r="E132" s="25"/>
      <c r="F132" s="25"/>
      <c r="G132" s="25"/>
      <c r="H132" s="25"/>
      <c r="I132" s="25"/>
      <c r="J132" s="25"/>
      <c r="K132" s="25"/>
      <c r="L132" s="25"/>
      <c r="M132" s="25"/>
      <c r="N132" s="25"/>
      <c r="O132" s="25"/>
      <c r="P132" s="25"/>
      <c r="Q132" s="25"/>
      <c r="R132" s="25"/>
      <c r="S132" s="25"/>
      <c r="T132" s="34">
        <f>T102+T131+T114</f>
        <v>0</v>
      </c>
      <c r="U132" s="34"/>
      <c r="V132" s="34">
        <f>V102+V131</f>
        <v>0</v>
      </c>
      <c r="W132" s="25"/>
      <c r="X132" s="5"/>
    </row>
    <row r="133" spans="1:24" ht="15.75" x14ac:dyDescent="0.25">
      <c r="A133" s="24"/>
      <c r="B133" s="25"/>
      <c r="C133" s="25"/>
      <c r="D133" s="25"/>
      <c r="E133" s="25"/>
      <c r="F133" s="25"/>
      <c r="G133" s="25"/>
      <c r="H133" s="25"/>
      <c r="I133" s="25"/>
      <c r="J133" s="25"/>
      <c r="K133" s="25"/>
      <c r="L133" s="25"/>
      <c r="M133" s="25"/>
      <c r="N133" s="25"/>
      <c r="O133" s="25"/>
      <c r="P133" s="25"/>
      <c r="Q133" s="25"/>
      <c r="R133" s="25"/>
      <c r="S133" s="25"/>
      <c r="T133" s="34"/>
      <c r="U133" s="34"/>
      <c r="V133" s="34"/>
      <c r="W133" s="25"/>
      <c r="X133" s="5"/>
    </row>
    <row r="134" spans="1:24" ht="15.75" x14ac:dyDescent="0.25">
      <c r="A134" s="6"/>
      <c r="B134" s="8"/>
      <c r="C134" s="8"/>
      <c r="D134" s="8"/>
      <c r="E134" s="8"/>
      <c r="F134" s="8"/>
      <c r="G134" s="8"/>
      <c r="H134" s="8"/>
      <c r="I134" s="8"/>
      <c r="J134" s="8"/>
      <c r="K134" s="8"/>
      <c r="L134" s="8"/>
      <c r="M134" s="8"/>
      <c r="N134" s="8"/>
      <c r="O134" s="8"/>
      <c r="P134" s="8"/>
      <c r="Q134" s="8"/>
      <c r="R134" s="8"/>
      <c r="S134" s="8"/>
      <c r="T134" s="8"/>
      <c r="U134" s="8"/>
      <c r="V134" s="52"/>
      <c r="W134" s="8"/>
      <c r="X134" s="5"/>
    </row>
    <row r="135" spans="1:24" ht="19.5" thickBot="1" x14ac:dyDescent="0.35">
      <c r="A135" s="101"/>
      <c r="B135" s="102" t="str">
        <f>B64</f>
        <v>PM15 INVESTOR REPORT QUARTER ENDING AUGUST 2009</v>
      </c>
      <c r="C135" s="103"/>
      <c r="D135" s="103"/>
      <c r="E135" s="103"/>
      <c r="F135" s="103"/>
      <c r="G135" s="103"/>
      <c r="H135" s="103"/>
      <c r="I135" s="103"/>
      <c r="J135" s="103"/>
      <c r="K135" s="103"/>
      <c r="L135" s="103"/>
      <c r="M135" s="103"/>
      <c r="N135" s="103"/>
      <c r="O135" s="103"/>
      <c r="P135" s="103"/>
      <c r="Q135" s="103"/>
      <c r="R135" s="103"/>
      <c r="S135" s="103"/>
      <c r="T135" s="103"/>
      <c r="U135" s="103"/>
      <c r="V135" s="106"/>
      <c r="W135" s="105"/>
      <c r="X135" s="5"/>
    </row>
    <row r="136" spans="1:24" ht="15.75" x14ac:dyDescent="0.25">
      <c r="A136" s="2"/>
      <c r="B136" s="60" t="s">
        <v>41</v>
      </c>
      <c r="C136" s="4"/>
      <c r="D136" s="4"/>
      <c r="E136" s="4"/>
      <c r="F136" s="4"/>
      <c r="G136" s="4"/>
      <c r="H136" s="4"/>
      <c r="I136" s="4"/>
      <c r="J136" s="4"/>
      <c r="K136" s="4"/>
      <c r="L136" s="4"/>
      <c r="M136" s="4"/>
      <c r="N136" s="4"/>
      <c r="O136" s="4"/>
      <c r="P136" s="4"/>
      <c r="Q136" s="4"/>
      <c r="R136" s="4"/>
      <c r="S136" s="4"/>
      <c r="T136" s="4"/>
      <c r="U136" s="4"/>
      <c r="V136" s="50"/>
      <c r="W136" s="4"/>
      <c r="X136" s="5"/>
    </row>
    <row r="137" spans="1:24" ht="15.75" x14ac:dyDescent="0.25">
      <c r="A137" s="6"/>
      <c r="B137" s="21"/>
      <c r="C137" s="8"/>
      <c r="D137" s="8"/>
      <c r="E137" s="8"/>
      <c r="F137" s="8"/>
      <c r="G137" s="8"/>
      <c r="H137" s="8"/>
      <c r="I137" s="8"/>
      <c r="J137" s="8"/>
      <c r="K137" s="8"/>
      <c r="L137" s="8"/>
      <c r="M137" s="8"/>
      <c r="N137" s="8"/>
      <c r="O137" s="8"/>
      <c r="P137" s="8"/>
      <c r="Q137" s="8"/>
      <c r="R137" s="8"/>
      <c r="S137" s="8"/>
      <c r="T137" s="8"/>
      <c r="U137" s="8"/>
      <c r="V137" s="52"/>
      <c r="W137" s="8"/>
      <c r="X137" s="5"/>
    </row>
    <row r="138" spans="1:24" ht="15.75" x14ac:dyDescent="0.25">
      <c r="A138" s="6"/>
      <c r="B138" s="119" t="s">
        <v>42</v>
      </c>
      <c r="C138" s="8"/>
      <c r="D138" s="8"/>
      <c r="E138" s="8"/>
      <c r="F138" s="8"/>
      <c r="G138" s="8"/>
      <c r="H138" s="8"/>
      <c r="I138" s="8"/>
      <c r="J138" s="8"/>
      <c r="K138" s="8"/>
      <c r="L138" s="8"/>
      <c r="M138" s="8"/>
      <c r="N138" s="8"/>
      <c r="O138" s="8"/>
      <c r="P138" s="8"/>
      <c r="Q138" s="8"/>
      <c r="R138" s="8"/>
      <c r="S138" s="8"/>
      <c r="T138" s="8"/>
      <c r="U138" s="8"/>
      <c r="V138" s="52"/>
      <c r="W138" s="8"/>
      <c r="X138" s="5"/>
    </row>
    <row r="139" spans="1:24" ht="15.75" x14ac:dyDescent="0.25">
      <c r="A139" s="24"/>
      <c r="B139" s="25" t="s">
        <v>43</v>
      </c>
      <c r="C139" s="25"/>
      <c r="D139" s="25"/>
      <c r="E139" s="25"/>
      <c r="F139" s="25"/>
      <c r="G139" s="25"/>
      <c r="H139" s="25"/>
      <c r="I139" s="25"/>
      <c r="J139" s="25"/>
      <c r="K139" s="25"/>
      <c r="L139" s="25"/>
      <c r="M139" s="25"/>
      <c r="N139" s="25"/>
      <c r="O139" s="25"/>
      <c r="P139" s="25"/>
      <c r="Q139" s="25"/>
      <c r="R139" s="25"/>
      <c r="S139" s="25"/>
      <c r="T139" s="25"/>
      <c r="U139" s="25"/>
      <c r="V139" s="53">
        <f>+V34*0.019</f>
        <v>19021.526999999998</v>
      </c>
      <c r="W139" s="25"/>
      <c r="X139" s="5"/>
    </row>
    <row r="140" spans="1:24" ht="15.75" x14ac:dyDescent="0.25">
      <c r="A140" s="24"/>
      <c r="B140" s="25" t="s">
        <v>44</v>
      </c>
      <c r="C140" s="25"/>
      <c r="D140" s="25"/>
      <c r="E140" s="25"/>
      <c r="F140" s="25"/>
      <c r="G140" s="25"/>
      <c r="H140" s="25"/>
      <c r="I140" s="25"/>
      <c r="J140" s="25"/>
      <c r="K140" s="25"/>
      <c r="L140" s="25"/>
      <c r="M140" s="25"/>
      <c r="N140" s="25"/>
      <c r="O140" s="25"/>
      <c r="P140" s="25"/>
      <c r="Q140" s="25"/>
      <c r="R140" s="25"/>
      <c r="S140" s="25"/>
      <c r="T140" s="25"/>
      <c r="U140" s="25"/>
      <c r="V140" s="53">
        <v>19022</v>
      </c>
      <c r="W140" s="25"/>
      <c r="X140" s="5"/>
    </row>
    <row r="141" spans="1:24" ht="15.75" x14ac:dyDescent="0.25">
      <c r="A141" s="24"/>
      <c r="B141" s="25" t="s">
        <v>136</v>
      </c>
      <c r="C141" s="25"/>
      <c r="D141" s="25"/>
      <c r="E141" s="25"/>
      <c r="F141" s="25"/>
      <c r="G141" s="25"/>
      <c r="H141" s="25"/>
      <c r="I141" s="25"/>
      <c r="J141" s="25"/>
      <c r="K141" s="25"/>
      <c r="L141" s="25"/>
      <c r="M141" s="25"/>
      <c r="N141" s="25"/>
      <c r="O141" s="25"/>
      <c r="P141" s="25"/>
      <c r="Q141" s="25"/>
      <c r="R141" s="25"/>
      <c r="S141" s="25"/>
      <c r="T141" s="25"/>
      <c r="U141" s="25"/>
      <c r="V141" s="53"/>
      <c r="W141" s="25"/>
      <c r="X141" s="5"/>
    </row>
    <row r="142" spans="1:24" ht="15.75" x14ac:dyDescent="0.25">
      <c r="A142" s="24"/>
      <c r="B142" s="25" t="s">
        <v>123</v>
      </c>
      <c r="C142" s="25"/>
      <c r="D142" s="25"/>
      <c r="E142" s="25"/>
      <c r="F142" s="25"/>
      <c r="G142" s="25"/>
      <c r="H142" s="25"/>
      <c r="I142" s="25"/>
      <c r="J142" s="25"/>
      <c r="K142" s="25"/>
      <c r="L142" s="25"/>
      <c r="M142" s="25"/>
      <c r="N142" s="25"/>
      <c r="O142" s="25"/>
      <c r="P142" s="25"/>
      <c r="Q142" s="25"/>
      <c r="R142" s="25"/>
      <c r="S142" s="25"/>
      <c r="T142" s="25"/>
      <c r="U142" s="25"/>
      <c r="V142" s="53">
        <v>0</v>
      </c>
      <c r="W142" s="25"/>
      <c r="X142" s="5"/>
    </row>
    <row r="143" spans="1:24" ht="15.75" x14ac:dyDescent="0.25">
      <c r="A143" s="24"/>
      <c r="B143" s="25" t="s">
        <v>124</v>
      </c>
      <c r="C143" s="25"/>
      <c r="D143" s="25"/>
      <c r="E143" s="25"/>
      <c r="F143" s="25"/>
      <c r="G143" s="25"/>
      <c r="H143" s="25"/>
      <c r="I143" s="25"/>
      <c r="J143" s="25"/>
      <c r="K143" s="25"/>
      <c r="L143" s="25"/>
      <c r="M143" s="25"/>
      <c r="N143" s="25"/>
      <c r="O143" s="25"/>
      <c r="P143" s="25"/>
      <c r="Q143" s="25"/>
      <c r="R143" s="25"/>
      <c r="S143" s="25"/>
      <c r="T143" s="25"/>
      <c r="U143" s="25"/>
      <c r="V143" s="53">
        <v>0</v>
      </c>
      <c r="W143" s="25"/>
      <c r="X143" s="5"/>
    </row>
    <row r="144" spans="1:24" ht="15.75" x14ac:dyDescent="0.25">
      <c r="A144" s="24"/>
      <c r="B144" s="25" t="s">
        <v>175</v>
      </c>
      <c r="C144" s="25"/>
      <c r="D144" s="25"/>
      <c r="E144" s="25"/>
      <c r="F144" s="25"/>
      <c r="G144" s="25"/>
      <c r="H144" s="25"/>
      <c r="I144" s="25"/>
      <c r="J144" s="25"/>
      <c r="K144" s="25"/>
      <c r="L144" s="25"/>
      <c r="M144" s="25"/>
      <c r="N144" s="25"/>
      <c r="O144" s="25"/>
      <c r="P144" s="25"/>
      <c r="Q144" s="25"/>
      <c r="R144" s="25"/>
      <c r="S144" s="25"/>
      <c r="T144" s="25"/>
      <c r="U144" s="25"/>
      <c r="V144" s="53">
        <v>0</v>
      </c>
      <c r="W144" s="25"/>
      <c r="X144" s="5"/>
    </row>
    <row r="145" spans="1:25" ht="15.75" x14ac:dyDescent="0.25">
      <c r="A145" s="24"/>
      <c r="B145" s="25" t="s">
        <v>45</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75" x14ac:dyDescent="0.25">
      <c r="A146" s="24"/>
      <c r="B146" s="25" t="s">
        <v>129</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75" x14ac:dyDescent="0.25">
      <c r="A147" s="24"/>
      <c r="B147" s="25" t="s">
        <v>241</v>
      </c>
      <c r="C147" s="25"/>
      <c r="D147" s="25"/>
      <c r="E147" s="25"/>
      <c r="F147" s="25"/>
      <c r="G147" s="25"/>
      <c r="H147" s="25"/>
      <c r="I147" s="25"/>
      <c r="J147" s="25"/>
      <c r="K147" s="25"/>
      <c r="L147" s="25"/>
      <c r="M147" s="25"/>
      <c r="N147" s="25"/>
      <c r="O147" s="25"/>
      <c r="P147" s="25"/>
      <c r="Q147" s="25"/>
      <c r="R147" s="25"/>
      <c r="S147" s="25"/>
      <c r="T147" s="25"/>
      <c r="U147" s="25"/>
      <c r="V147" s="53">
        <v>0</v>
      </c>
      <c r="W147" s="25"/>
      <c r="X147" s="5"/>
      <c r="Y147" s="109"/>
    </row>
    <row r="148" spans="1:25" ht="15.75" x14ac:dyDescent="0.25">
      <c r="A148" s="24"/>
      <c r="B148" s="25" t="s">
        <v>46</v>
      </c>
      <c r="C148" s="25"/>
      <c r="D148" s="25"/>
      <c r="E148" s="25"/>
      <c r="F148" s="25"/>
      <c r="G148" s="25"/>
      <c r="H148" s="25"/>
      <c r="I148" s="25"/>
      <c r="J148" s="25"/>
      <c r="K148" s="25"/>
      <c r="L148" s="25"/>
      <c r="M148" s="25"/>
      <c r="N148" s="25"/>
      <c r="O148" s="25"/>
      <c r="P148" s="25"/>
      <c r="Q148" s="25"/>
      <c r="R148" s="25"/>
      <c r="S148" s="25"/>
      <c r="T148" s="25"/>
      <c r="U148" s="25"/>
      <c r="V148" s="53">
        <f>SUM(V140:V147)</f>
        <v>19022</v>
      </c>
      <c r="W148" s="25"/>
      <c r="X148" s="5"/>
    </row>
    <row r="149" spans="1:25" ht="15.75" x14ac:dyDescent="0.25">
      <c r="A149" s="24"/>
      <c r="B149" s="25"/>
      <c r="C149" s="25"/>
      <c r="D149" s="25"/>
      <c r="E149" s="25"/>
      <c r="F149" s="25"/>
      <c r="G149" s="25"/>
      <c r="H149" s="25"/>
      <c r="I149" s="25"/>
      <c r="J149" s="25"/>
      <c r="K149" s="25"/>
      <c r="L149" s="25"/>
      <c r="M149" s="25"/>
      <c r="N149" s="25"/>
      <c r="O149" s="25"/>
      <c r="P149" s="25"/>
      <c r="Q149" s="25"/>
      <c r="R149" s="25"/>
      <c r="S149" s="25"/>
      <c r="T149" s="25"/>
      <c r="U149" s="25"/>
      <c r="V149" s="53"/>
      <c r="W149" s="25"/>
      <c r="X149" s="5"/>
    </row>
    <row r="150" spans="1:25" ht="15.75" x14ac:dyDescent="0.25">
      <c r="A150" s="24"/>
      <c r="B150" s="135" t="s">
        <v>269</v>
      </c>
      <c r="C150" s="25"/>
      <c r="D150" s="25"/>
      <c r="E150" s="25"/>
      <c r="F150" s="25"/>
      <c r="G150" s="25"/>
      <c r="H150" s="25"/>
      <c r="I150" s="25"/>
      <c r="J150" s="25"/>
      <c r="K150" s="25"/>
      <c r="L150" s="25"/>
      <c r="M150" s="25"/>
      <c r="N150" s="25"/>
      <c r="O150" s="25"/>
      <c r="P150" s="25"/>
      <c r="Q150" s="25"/>
      <c r="R150" s="25"/>
      <c r="S150" s="25"/>
      <c r="T150" s="25"/>
      <c r="U150" s="25"/>
      <c r="V150" s="53"/>
      <c r="W150" s="25"/>
      <c r="X150" s="5"/>
    </row>
    <row r="151" spans="1:25" ht="15.75" x14ac:dyDescent="0.25">
      <c r="A151" s="24"/>
      <c r="B151" s="25" t="s">
        <v>155</v>
      </c>
      <c r="C151" s="25"/>
      <c r="D151" s="25"/>
      <c r="E151" s="25"/>
      <c r="F151" s="25"/>
      <c r="G151" s="25"/>
      <c r="H151" s="25"/>
      <c r="I151" s="25"/>
      <c r="J151" s="25"/>
      <c r="K151" s="25"/>
      <c r="L151" s="25"/>
      <c r="M151" s="25"/>
      <c r="N151" s="25"/>
      <c r="O151" s="25"/>
      <c r="P151" s="25"/>
      <c r="Q151" s="25"/>
      <c r="R151" s="25"/>
      <c r="S151" s="25"/>
      <c r="T151" s="25"/>
      <c r="U151" s="25"/>
      <c r="V151" s="53">
        <v>0</v>
      </c>
      <c r="W151" s="25"/>
      <c r="X151" s="5"/>
    </row>
    <row r="152" spans="1:25" ht="15.75" x14ac:dyDescent="0.25">
      <c r="A152" s="24"/>
      <c r="B152" s="25" t="s">
        <v>172</v>
      </c>
      <c r="C152" s="25"/>
      <c r="D152" s="25"/>
      <c r="E152" s="25"/>
      <c r="F152" s="25"/>
      <c r="G152" s="25"/>
      <c r="H152" s="25"/>
      <c r="I152" s="25"/>
      <c r="J152" s="25"/>
      <c r="K152" s="25"/>
      <c r="L152" s="25"/>
      <c r="M152" s="25"/>
      <c r="N152" s="25"/>
      <c r="O152" s="25"/>
      <c r="P152" s="25"/>
      <c r="Q152" s="25"/>
      <c r="R152" s="25"/>
      <c r="S152" s="25"/>
      <c r="T152" s="25"/>
      <c r="U152" s="25"/>
      <c r="V152" s="53">
        <v>0</v>
      </c>
      <c r="W152" s="25"/>
      <c r="X152" s="5"/>
    </row>
    <row r="153" spans="1:25" ht="15.75" x14ac:dyDescent="0.25">
      <c r="A153" s="24"/>
      <c r="B153" s="25" t="s">
        <v>226</v>
      </c>
      <c r="C153" s="25"/>
      <c r="D153" s="25"/>
      <c r="E153" s="25"/>
      <c r="F153" s="25"/>
      <c r="G153" s="25"/>
      <c r="H153" s="25"/>
      <c r="I153" s="25"/>
      <c r="J153" s="25"/>
      <c r="K153" s="25"/>
      <c r="L153" s="25"/>
      <c r="M153" s="25"/>
      <c r="N153" s="25"/>
      <c r="O153" s="25"/>
      <c r="P153" s="25"/>
      <c r="Q153" s="25"/>
      <c r="R153" s="25"/>
      <c r="S153" s="25"/>
      <c r="T153" s="25"/>
      <c r="U153" s="25"/>
      <c r="V153" s="53">
        <v>0</v>
      </c>
      <c r="W153" s="25"/>
      <c r="X153" s="5"/>
    </row>
    <row r="154" spans="1:25" ht="15.75" x14ac:dyDescent="0.25">
      <c r="A154" s="24"/>
      <c r="B154" s="25"/>
      <c r="C154" s="25"/>
      <c r="D154" s="25"/>
      <c r="E154" s="25"/>
      <c r="F154" s="25"/>
      <c r="G154" s="25"/>
      <c r="H154" s="25"/>
      <c r="I154" s="25"/>
      <c r="J154" s="25"/>
      <c r="K154" s="25"/>
      <c r="L154" s="25"/>
      <c r="M154" s="25"/>
      <c r="N154" s="25"/>
      <c r="O154" s="25"/>
      <c r="P154" s="25"/>
      <c r="Q154" s="25"/>
      <c r="R154" s="25"/>
      <c r="S154" s="25"/>
      <c r="T154" s="25"/>
      <c r="U154" s="25"/>
      <c r="V154" s="53"/>
      <c r="W154" s="25"/>
      <c r="X154" s="5"/>
    </row>
    <row r="155" spans="1:25" ht="15.75" x14ac:dyDescent="0.25">
      <c r="A155" s="24"/>
      <c r="B155" s="25"/>
      <c r="C155" s="25"/>
      <c r="D155" s="25"/>
      <c r="E155" s="25"/>
      <c r="F155" s="25"/>
      <c r="G155" s="25"/>
      <c r="H155" s="25"/>
      <c r="I155" s="25"/>
      <c r="J155" s="25"/>
      <c r="K155" s="25"/>
      <c r="L155" s="25"/>
      <c r="M155" s="25"/>
      <c r="N155" s="25"/>
      <c r="O155" s="25"/>
      <c r="P155" s="25"/>
      <c r="Q155" s="25"/>
      <c r="R155" s="25"/>
      <c r="S155" s="25"/>
      <c r="T155" s="25"/>
      <c r="U155" s="25"/>
      <c r="V155" s="61"/>
      <c r="W155" s="25"/>
      <c r="X155" s="5"/>
    </row>
    <row r="156" spans="1:25" ht="15.75" x14ac:dyDescent="0.25">
      <c r="A156" s="6"/>
      <c r="B156" s="119" t="s">
        <v>24</v>
      </c>
      <c r="C156" s="8"/>
      <c r="D156" s="8"/>
      <c r="E156" s="8"/>
      <c r="F156" s="8"/>
      <c r="G156" s="8"/>
      <c r="H156" s="8"/>
      <c r="I156" s="8"/>
      <c r="J156" s="8"/>
      <c r="K156" s="8"/>
      <c r="L156" s="8"/>
      <c r="M156" s="8"/>
      <c r="N156" s="8"/>
      <c r="O156" s="8"/>
      <c r="P156" s="8"/>
      <c r="Q156" s="8"/>
      <c r="R156" s="8"/>
      <c r="S156" s="8"/>
      <c r="T156" s="8"/>
      <c r="U156" s="8"/>
      <c r="V156" s="52"/>
      <c r="W156" s="8"/>
      <c r="X156" s="5"/>
    </row>
    <row r="157" spans="1:25" ht="15.75" x14ac:dyDescent="0.25">
      <c r="A157" s="24"/>
      <c r="B157" s="25" t="s">
        <v>47</v>
      </c>
      <c r="C157" s="25"/>
      <c r="D157" s="25"/>
      <c r="E157" s="25"/>
      <c r="F157" s="25"/>
      <c r="G157" s="25"/>
      <c r="H157" s="25"/>
      <c r="I157" s="25"/>
      <c r="J157" s="25"/>
      <c r="K157" s="25"/>
      <c r="L157" s="25"/>
      <c r="M157" s="25"/>
      <c r="N157" s="25"/>
      <c r="O157" s="25"/>
      <c r="P157" s="25"/>
      <c r="Q157" s="25"/>
      <c r="R157" s="25"/>
      <c r="S157" s="25"/>
      <c r="T157" s="25"/>
      <c r="U157" s="25"/>
      <c r="V157" s="59" t="s">
        <v>118</v>
      </c>
      <c r="W157" s="25"/>
      <c r="X157" s="5"/>
    </row>
    <row r="158" spans="1:25" ht="15.75" x14ac:dyDescent="0.25">
      <c r="A158" s="24"/>
      <c r="B158" s="25" t="s">
        <v>48</v>
      </c>
      <c r="C158" s="174"/>
      <c r="D158" s="174"/>
      <c r="E158" s="174"/>
      <c r="F158" s="174"/>
      <c r="G158" s="174"/>
      <c r="H158" s="174"/>
      <c r="I158" s="174"/>
      <c r="J158" s="174"/>
      <c r="K158" s="174"/>
      <c r="L158" s="174"/>
      <c r="M158" s="174"/>
      <c r="N158" s="174"/>
      <c r="O158" s="174"/>
      <c r="P158" s="174"/>
      <c r="Q158" s="174"/>
      <c r="R158" s="174"/>
      <c r="S158" s="174"/>
      <c r="T158" s="174"/>
      <c r="U158" s="174"/>
      <c r="V158" s="59" t="s">
        <v>118</v>
      </c>
      <c r="W158" s="25"/>
      <c r="X158" s="5"/>
    </row>
    <row r="159" spans="1:25" ht="15.75" x14ac:dyDescent="0.25">
      <c r="A159" s="24"/>
      <c r="B159" s="25" t="s">
        <v>49</v>
      </c>
      <c r="C159" s="25"/>
      <c r="D159" s="25"/>
      <c r="E159" s="25"/>
      <c r="F159" s="25"/>
      <c r="G159" s="25"/>
      <c r="H159" s="25"/>
      <c r="I159" s="25"/>
      <c r="J159" s="25"/>
      <c r="K159" s="25"/>
      <c r="L159" s="25"/>
      <c r="M159" s="25"/>
      <c r="N159" s="25"/>
      <c r="O159" s="25"/>
      <c r="P159" s="25"/>
      <c r="Q159" s="25"/>
      <c r="R159" s="25"/>
      <c r="S159" s="25"/>
      <c r="T159" s="25"/>
      <c r="U159" s="25"/>
      <c r="V159" s="59" t="s">
        <v>118</v>
      </c>
      <c r="W159" s="25"/>
      <c r="X159" s="5"/>
    </row>
    <row r="160" spans="1:25" ht="15.75" x14ac:dyDescent="0.25">
      <c r="A160" s="24"/>
      <c r="B160" s="25" t="s">
        <v>50</v>
      </c>
      <c r="C160" s="25"/>
      <c r="D160" s="25"/>
      <c r="E160" s="25"/>
      <c r="F160" s="25"/>
      <c r="G160" s="25"/>
      <c r="H160" s="25"/>
      <c r="I160" s="25"/>
      <c r="J160" s="25"/>
      <c r="K160" s="25"/>
      <c r="L160" s="25"/>
      <c r="M160" s="25"/>
      <c r="N160" s="25"/>
      <c r="O160" s="25"/>
      <c r="P160" s="25"/>
      <c r="Q160" s="25"/>
      <c r="R160" s="25"/>
      <c r="S160" s="25"/>
      <c r="T160" s="25"/>
      <c r="U160" s="25"/>
      <c r="V160" s="59" t="s">
        <v>118</v>
      </c>
      <c r="W160" s="25"/>
      <c r="X160" s="5"/>
    </row>
    <row r="161" spans="1:256" ht="15.75" x14ac:dyDescent="0.25">
      <c r="A161" s="24"/>
      <c r="B161" s="25"/>
      <c r="C161" s="25"/>
      <c r="D161" s="25"/>
      <c r="E161" s="25"/>
      <c r="F161" s="25"/>
      <c r="G161" s="25"/>
      <c r="H161" s="25"/>
      <c r="I161" s="25"/>
      <c r="J161" s="25"/>
      <c r="K161" s="25"/>
      <c r="L161" s="25"/>
      <c r="M161" s="25"/>
      <c r="N161" s="25"/>
      <c r="O161" s="25"/>
      <c r="P161" s="25"/>
      <c r="Q161" s="25"/>
      <c r="R161" s="25"/>
      <c r="S161" s="25"/>
      <c r="T161" s="25"/>
      <c r="U161" s="25"/>
      <c r="V161" s="61"/>
      <c r="W161" s="25"/>
      <c r="X161" s="5"/>
    </row>
    <row r="162" spans="1:256" ht="15.75" x14ac:dyDescent="0.25">
      <c r="A162" s="6"/>
      <c r="B162" s="119" t="s">
        <v>51</v>
      </c>
      <c r="C162" s="8"/>
      <c r="D162" s="8"/>
      <c r="E162" s="8"/>
      <c r="F162" s="8"/>
      <c r="G162" s="8"/>
      <c r="H162" s="8"/>
      <c r="I162" s="8"/>
      <c r="J162" s="8"/>
      <c r="K162" s="8"/>
      <c r="L162" s="8"/>
      <c r="M162" s="8"/>
      <c r="N162" s="8"/>
      <c r="O162" s="8"/>
      <c r="P162" s="8"/>
      <c r="Q162" s="8"/>
      <c r="R162" s="8"/>
      <c r="S162" s="8"/>
      <c r="T162" s="8"/>
      <c r="U162" s="8"/>
      <c r="V162" s="63"/>
      <c r="W162" s="8"/>
      <c r="X162" s="5"/>
    </row>
    <row r="163" spans="1:256" ht="15.75" x14ac:dyDescent="0.25">
      <c r="A163" s="24"/>
      <c r="B163" s="25" t="s">
        <v>52</v>
      </c>
      <c r="C163" s="25"/>
      <c r="D163" s="25"/>
      <c r="E163" s="25"/>
      <c r="F163" s="25"/>
      <c r="G163" s="25"/>
      <c r="H163" s="25"/>
      <c r="I163" s="25"/>
      <c r="J163" s="25"/>
      <c r="K163" s="25"/>
      <c r="L163" s="25"/>
      <c r="M163" s="25"/>
      <c r="N163" s="25"/>
      <c r="O163" s="25"/>
      <c r="P163" s="25"/>
      <c r="Q163" s="25"/>
      <c r="R163" s="25"/>
      <c r="S163" s="25"/>
      <c r="T163" s="25"/>
      <c r="U163" s="25"/>
      <c r="V163" s="53">
        <v>0</v>
      </c>
      <c r="W163" s="25"/>
      <c r="X163" s="5"/>
    </row>
    <row r="164" spans="1:256" ht="15.75" x14ac:dyDescent="0.25">
      <c r="A164" s="24"/>
      <c r="B164" s="25" t="s">
        <v>53</v>
      </c>
      <c r="C164" s="25"/>
      <c r="D164" s="25"/>
      <c r="E164" s="25"/>
      <c r="F164" s="25"/>
      <c r="G164" s="25"/>
      <c r="H164" s="25"/>
      <c r="I164" s="25"/>
      <c r="J164" s="25"/>
      <c r="K164" s="25"/>
      <c r="L164" s="25"/>
      <c r="M164" s="25"/>
      <c r="N164" s="25"/>
      <c r="O164" s="25"/>
      <c r="P164" s="25"/>
      <c r="Q164" s="25"/>
      <c r="R164" s="25"/>
      <c r="S164" s="25"/>
      <c r="T164" s="25"/>
      <c r="U164" s="25"/>
      <c r="V164" s="53">
        <v>95</v>
      </c>
      <c r="W164" s="25"/>
      <c r="X164" s="5"/>
    </row>
    <row r="165" spans="1:256" ht="15.75" x14ac:dyDescent="0.25">
      <c r="A165" s="24"/>
      <c r="B165" s="25" t="s">
        <v>54</v>
      </c>
      <c r="C165" s="25"/>
      <c r="D165" s="25"/>
      <c r="E165" s="25"/>
      <c r="F165" s="25"/>
      <c r="G165" s="25"/>
      <c r="H165" s="25"/>
      <c r="I165" s="25"/>
      <c r="J165" s="25"/>
      <c r="K165" s="25"/>
      <c r="L165" s="25"/>
      <c r="M165" s="25"/>
      <c r="N165" s="25"/>
      <c r="O165" s="25"/>
      <c r="P165" s="25"/>
      <c r="Q165" s="25"/>
      <c r="R165" s="25"/>
      <c r="S165" s="25"/>
      <c r="T165" s="25"/>
      <c r="U165" s="25"/>
      <c r="V165" s="53">
        <f>V164+V163</f>
        <v>95</v>
      </c>
      <c r="W165" s="25"/>
      <c r="X165" s="5"/>
    </row>
    <row r="166" spans="1:256" ht="15.75" x14ac:dyDescent="0.25">
      <c r="A166" s="24"/>
      <c r="B166" s="25" t="s">
        <v>303</v>
      </c>
      <c r="C166" s="25"/>
      <c r="D166" s="25"/>
      <c r="E166" s="25"/>
      <c r="F166" s="25"/>
      <c r="G166" s="25"/>
      <c r="H166" s="25"/>
      <c r="I166" s="25"/>
      <c r="J166" s="25"/>
      <c r="K166" s="25"/>
      <c r="L166" s="25"/>
      <c r="M166" s="25"/>
      <c r="N166" s="25"/>
      <c r="O166" s="25"/>
      <c r="P166" s="25"/>
      <c r="Q166" s="25"/>
      <c r="R166" s="25"/>
      <c r="S166" s="25"/>
      <c r="T166" s="25"/>
      <c r="U166" s="25"/>
      <c r="V166" s="53">
        <f>V114</f>
        <v>-95</v>
      </c>
      <c r="W166" s="25"/>
      <c r="X166" s="5"/>
    </row>
    <row r="167" spans="1:256" ht="15.75" x14ac:dyDescent="0.25">
      <c r="A167" s="24"/>
      <c r="B167" s="25" t="s">
        <v>55</v>
      </c>
      <c r="C167" s="25"/>
      <c r="D167" s="25"/>
      <c r="E167" s="25"/>
      <c r="F167" s="25"/>
      <c r="G167" s="25"/>
      <c r="H167" s="25"/>
      <c r="I167" s="25"/>
      <c r="J167" s="25"/>
      <c r="K167" s="25"/>
      <c r="L167" s="25"/>
      <c r="M167" s="25"/>
      <c r="N167" s="25"/>
      <c r="O167" s="25"/>
      <c r="P167" s="25"/>
      <c r="Q167" s="25"/>
      <c r="R167" s="25"/>
      <c r="S167" s="25"/>
      <c r="T167" s="25"/>
      <c r="U167" s="25"/>
      <c r="V167" s="53">
        <f>V165+V166</f>
        <v>0</v>
      </c>
      <c r="W167" s="25"/>
      <c r="X167" s="5"/>
    </row>
    <row r="168" spans="1:256" ht="16.5" thickBot="1" x14ac:dyDescent="0.3">
      <c r="A168" s="24"/>
      <c r="B168" s="25"/>
      <c r="C168" s="25"/>
      <c r="D168" s="25"/>
      <c r="E168" s="25"/>
      <c r="F168" s="25"/>
      <c r="G168" s="25"/>
      <c r="H168" s="25"/>
      <c r="I168" s="25"/>
      <c r="J168" s="25"/>
      <c r="K168" s="25"/>
      <c r="L168" s="25"/>
      <c r="M168" s="25"/>
      <c r="N168" s="25"/>
      <c r="O168" s="25"/>
      <c r="P168" s="25"/>
      <c r="Q168" s="25"/>
      <c r="R168" s="25"/>
      <c r="S168" s="25"/>
      <c r="T168" s="25"/>
      <c r="U168" s="25"/>
      <c r="V168" s="61"/>
      <c r="W168" s="25"/>
      <c r="X168" s="5"/>
    </row>
    <row r="169" spans="1:256" ht="15.75" x14ac:dyDescent="0.25">
      <c r="A169" s="2"/>
      <c r="B169" s="4"/>
      <c r="C169" s="4"/>
      <c r="D169" s="4"/>
      <c r="E169" s="4"/>
      <c r="F169" s="4"/>
      <c r="G169" s="4"/>
      <c r="H169" s="4"/>
      <c r="I169" s="4"/>
      <c r="J169" s="4"/>
      <c r="K169" s="4"/>
      <c r="L169" s="4"/>
      <c r="M169" s="4"/>
      <c r="N169" s="4"/>
      <c r="O169" s="4"/>
      <c r="P169" s="4"/>
      <c r="Q169" s="4"/>
      <c r="R169" s="4"/>
      <c r="S169" s="4"/>
      <c r="T169" s="4"/>
      <c r="U169" s="4"/>
      <c r="V169" s="50"/>
      <c r="W169" s="4"/>
      <c r="X169" s="5"/>
    </row>
    <row r="170" spans="1:256" s="158" customFormat="1" ht="15.75" x14ac:dyDescent="0.25">
      <c r="A170" s="6"/>
      <c r="B170" s="119" t="s">
        <v>230</v>
      </c>
      <c r="C170" s="157"/>
      <c r="D170" s="157"/>
      <c r="E170" s="157"/>
      <c r="F170" s="157"/>
      <c r="G170" s="157"/>
      <c r="H170" s="157"/>
      <c r="I170" s="157"/>
      <c r="J170" s="157"/>
      <c r="K170" s="157"/>
      <c r="L170" s="157"/>
      <c r="M170" s="157"/>
      <c r="N170" s="157"/>
      <c r="O170" s="157"/>
      <c r="P170" s="157"/>
      <c r="Q170" s="157"/>
      <c r="R170" s="157"/>
      <c r="S170" s="157"/>
      <c r="T170" s="157"/>
      <c r="U170" s="157"/>
      <c r="V170" s="165"/>
      <c r="W170" s="157"/>
      <c r="X170" s="5"/>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s="160" customFormat="1" ht="15.75" x14ac:dyDescent="0.25">
      <c r="A171" s="24"/>
      <c r="B171" s="159" t="s">
        <v>231</v>
      </c>
      <c r="C171" s="159"/>
      <c r="D171" s="159"/>
      <c r="E171" s="159"/>
      <c r="F171" s="159"/>
      <c r="G171" s="159"/>
      <c r="H171" s="159"/>
      <c r="I171" s="159"/>
      <c r="J171" s="159"/>
      <c r="K171" s="159"/>
      <c r="L171" s="159"/>
      <c r="M171" s="159"/>
      <c r="N171" s="159"/>
      <c r="O171" s="159"/>
      <c r="P171" s="159"/>
      <c r="Q171" s="159"/>
      <c r="R171" s="159"/>
      <c r="S171" s="159"/>
      <c r="T171" s="159"/>
      <c r="U171" s="159"/>
      <c r="V171" s="166">
        <f>+'Aug 08'!V173</f>
        <v>0</v>
      </c>
      <c r="W171" s="159"/>
      <c r="X171" s="5"/>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s="160" customFormat="1" ht="15.75" x14ac:dyDescent="0.25">
      <c r="A172" s="24"/>
      <c r="B172" s="159" t="s">
        <v>234</v>
      </c>
      <c r="C172" s="159"/>
      <c r="D172" s="159"/>
      <c r="E172" s="159"/>
      <c r="F172" s="159"/>
      <c r="G172" s="159"/>
      <c r="H172" s="159"/>
      <c r="I172" s="159"/>
      <c r="J172" s="159"/>
      <c r="K172" s="159"/>
      <c r="L172" s="159"/>
      <c r="M172" s="159"/>
      <c r="N172" s="159"/>
      <c r="O172" s="159"/>
      <c r="P172" s="159"/>
      <c r="Q172" s="159"/>
      <c r="R172" s="159"/>
      <c r="S172" s="159"/>
      <c r="T172" s="159"/>
      <c r="U172" s="159"/>
      <c r="V172" s="166">
        <f>+V95</f>
        <v>0</v>
      </c>
      <c r="W172" s="159"/>
      <c r="X172" s="5"/>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s="160" customFormat="1" ht="15.75" x14ac:dyDescent="0.25">
      <c r="A173" s="24"/>
      <c r="B173" s="159" t="s">
        <v>232</v>
      </c>
      <c r="C173" s="159"/>
      <c r="D173" s="159"/>
      <c r="E173" s="159"/>
      <c r="F173" s="159"/>
      <c r="G173" s="159"/>
      <c r="H173" s="159"/>
      <c r="I173" s="159"/>
      <c r="J173" s="159"/>
      <c r="K173" s="159"/>
      <c r="L173" s="159"/>
      <c r="M173" s="159"/>
      <c r="N173" s="159"/>
      <c r="O173" s="159"/>
      <c r="P173" s="159"/>
      <c r="Q173" s="159"/>
      <c r="R173" s="159"/>
      <c r="S173" s="159"/>
      <c r="T173" s="159"/>
      <c r="U173" s="159"/>
      <c r="V173" s="166">
        <f>+V171-V172</f>
        <v>0</v>
      </c>
      <c r="W173" s="159"/>
      <c r="X173" s="5"/>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s="163" customFormat="1" ht="16.5" thickBot="1" x14ac:dyDescent="0.3">
      <c r="A174" s="167"/>
      <c r="B174" s="161"/>
      <c r="C174" s="161"/>
      <c r="D174" s="161"/>
      <c r="E174" s="161"/>
      <c r="F174" s="161"/>
      <c r="G174" s="161"/>
      <c r="H174" s="161"/>
      <c r="I174" s="161"/>
      <c r="J174" s="161"/>
      <c r="K174" s="161"/>
      <c r="L174" s="161"/>
      <c r="M174" s="161"/>
      <c r="N174" s="161"/>
      <c r="O174" s="161"/>
      <c r="P174" s="161"/>
      <c r="Q174" s="161"/>
      <c r="R174" s="161"/>
      <c r="S174" s="161"/>
      <c r="T174" s="161"/>
      <c r="U174" s="161"/>
      <c r="V174" s="162"/>
      <c r="W174" s="161"/>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4" customFormat="1" ht="15.75" x14ac:dyDescent="0.25">
      <c r="A175" s="2"/>
      <c r="B175" s="4"/>
      <c r="C175" s="4"/>
      <c r="D175" s="4"/>
      <c r="E175" s="4"/>
      <c r="F175" s="4"/>
      <c r="G175" s="4"/>
      <c r="H175" s="4"/>
      <c r="I175" s="4"/>
      <c r="J175" s="4"/>
      <c r="K175" s="4"/>
      <c r="L175" s="4"/>
      <c r="M175" s="4"/>
      <c r="N175" s="4"/>
      <c r="O175" s="4"/>
      <c r="P175" s="4"/>
      <c r="Q175" s="4"/>
      <c r="R175" s="4"/>
      <c r="S175" s="4"/>
      <c r="T175" s="4"/>
      <c r="U175" s="4"/>
      <c r="V175" s="50"/>
      <c r="W175" s="4"/>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ht="15.75" x14ac:dyDescent="0.25">
      <c r="A176" s="6"/>
      <c r="B176" s="119" t="s">
        <v>56</v>
      </c>
      <c r="C176" s="8"/>
      <c r="D176" s="8"/>
      <c r="E176" s="8"/>
      <c r="F176" s="8"/>
      <c r="G176" s="8"/>
      <c r="H176" s="8"/>
      <c r="I176" s="8"/>
      <c r="J176" s="8"/>
      <c r="K176" s="8"/>
      <c r="L176" s="8"/>
      <c r="M176" s="8"/>
      <c r="N176" s="8"/>
      <c r="O176" s="8"/>
      <c r="P176" s="8"/>
      <c r="Q176" s="8"/>
      <c r="R176" s="8"/>
      <c r="S176" s="8"/>
      <c r="T176" s="8"/>
      <c r="U176" s="8"/>
      <c r="V176" s="52"/>
      <c r="W176" s="8"/>
      <c r="X176" s="5"/>
    </row>
    <row r="177" spans="1:24" ht="15.75" x14ac:dyDescent="0.25">
      <c r="A177" s="6"/>
      <c r="B177" s="21"/>
      <c r="C177" s="8"/>
      <c r="D177" s="8"/>
      <c r="E177" s="8"/>
      <c r="F177" s="8"/>
      <c r="G177" s="8"/>
      <c r="H177" s="8"/>
      <c r="I177" s="8"/>
      <c r="J177" s="8"/>
      <c r="K177" s="8"/>
      <c r="L177" s="8"/>
      <c r="M177" s="8"/>
      <c r="N177" s="8"/>
      <c r="O177" s="8"/>
      <c r="P177" s="8"/>
      <c r="Q177" s="8"/>
      <c r="R177" s="8"/>
      <c r="S177" s="8"/>
      <c r="T177" s="8"/>
      <c r="U177" s="8"/>
      <c r="V177" s="52"/>
      <c r="W177" s="8"/>
      <c r="X177" s="5"/>
    </row>
    <row r="178" spans="1:24" ht="15.75" x14ac:dyDescent="0.25">
      <c r="A178" s="24"/>
      <c r="B178" s="25" t="s">
        <v>57</v>
      </c>
      <c r="C178" s="25"/>
      <c r="D178" s="25"/>
      <c r="E178" s="25"/>
      <c r="F178" s="25"/>
      <c r="G178" s="25"/>
      <c r="H178" s="25"/>
      <c r="I178" s="25"/>
      <c r="J178" s="25"/>
      <c r="K178" s="25"/>
      <c r="L178" s="25"/>
      <c r="M178" s="25"/>
      <c r="N178" s="25"/>
      <c r="O178" s="25"/>
      <c r="P178" s="25"/>
      <c r="Q178" s="25"/>
      <c r="R178" s="25"/>
      <c r="S178" s="25"/>
      <c r="T178" s="25"/>
      <c r="U178" s="25"/>
      <c r="V178" s="53">
        <f>V72</f>
        <v>876625</v>
      </c>
      <c r="W178" s="25"/>
      <c r="X178" s="5"/>
    </row>
    <row r="179" spans="1:24" ht="15.75" x14ac:dyDescent="0.25">
      <c r="A179" s="24"/>
      <c r="B179" s="25" t="s">
        <v>58</v>
      </c>
      <c r="C179" s="25"/>
      <c r="D179" s="25"/>
      <c r="E179" s="25"/>
      <c r="F179" s="25"/>
      <c r="G179" s="25"/>
      <c r="H179" s="25"/>
      <c r="I179" s="25"/>
      <c r="J179" s="25"/>
      <c r="K179" s="25"/>
      <c r="L179" s="25"/>
      <c r="M179" s="25"/>
      <c r="N179" s="25"/>
      <c r="O179" s="25"/>
      <c r="P179" s="25"/>
      <c r="Q179" s="25"/>
      <c r="R179" s="25"/>
      <c r="S179" s="25"/>
      <c r="T179" s="25"/>
      <c r="U179" s="25"/>
      <c r="V179" s="53">
        <f>V85</f>
        <v>876625</v>
      </c>
      <c r="W179" s="25"/>
      <c r="X179" s="5"/>
    </row>
    <row r="180" spans="1:24" ht="16.5" thickBot="1" x14ac:dyDescent="0.3">
      <c r="A180" s="24"/>
      <c r="B180" s="25"/>
      <c r="C180" s="25"/>
      <c r="D180" s="25"/>
      <c r="E180" s="25"/>
      <c r="F180" s="25"/>
      <c r="G180" s="25"/>
      <c r="H180" s="25"/>
      <c r="I180" s="25"/>
      <c r="J180" s="25"/>
      <c r="K180" s="25"/>
      <c r="L180" s="25"/>
      <c r="M180" s="25"/>
      <c r="N180" s="25"/>
      <c r="O180" s="25"/>
      <c r="P180" s="25"/>
      <c r="Q180" s="25"/>
      <c r="R180" s="25"/>
      <c r="S180" s="25"/>
      <c r="T180" s="25"/>
      <c r="U180" s="25"/>
      <c r="V180" s="61"/>
      <c r="W180" s="25"/>
      <c r="X180" s="5"/>
    </row>
    <row r="181" spans="1:24" ht="15.75" x14ac:dyDescent="0.25">
      <c r="A181" s="2"/>
      <c r="B181" s="4"/>
      <c r="C181" s="4"/>
      <c r="D181" s="4"/>
      <c r="E181" s="4"/>
      <c r="F181" s="4"/>
      <c r="G181" s="4"/>
      <c r="H181" s="4"/>
      <c r="I181" s="4"/>
      <c r="J181" s="4"/>
      <c r="K181" s="4"/>
      <c r="L181" s="4"/>
      <c r="M181" s="4"/>
      <c r="N181" s="4"/>
      <c r="O181" s="4"/>
      <c r="P181" s="4"/>
      <c r="Q181" s="4"/>
      <c r="R181" s="4"/>
      <c r="S181" s="4"/>
      <c r="T181" s="4"/>
      <c r="U181" s="4"/>
      <c r="V181" s="50"/>
      <c r="W181" s="4"/>
      <c r="X181" s="5"/>
    </row>
    <row r="182" spans="1:24" ht="15.75" x14ac:dyDescent="0.25">
      <c r="A182" s="6"/>
      <c r="B182" s="119" t="s">
        <v>59</v>
      </c>
      <c r="C182" s="117"/>
      <c r="D182" s="117"/>
      <c r="E182" s="117"/>
      <c r="F182" s="117"/>
      <c r="G182" s="117"/>
      <c r="H182" s="120"/>
      <c r="I182" s="120"/>
      <c r="J182" s="120"/>
      <c r="K182" s="120"/>
      <c r="L182" s="120"/>
      <c r="M182" s="120"/>
      <c r="N182" s="120"/>
      <c r="O182" s="120"/>
      <c r="P182" s="120"/>
      <c r="Q182" s="120"/>
      <c r="R182" s="120"/>
      <c r="S182" s="120" t="s">
        <v>101</v>
      </c>
      <c r="T182" s="120" t="s">
        <v>176</v>
      </c>
      <c r="U182" s="111"/>
      <c r="V182" s="121" t="s">
        <v>114</v>
      </c>
      <c r="W182" s="10"/>
      <c r="X182" s="5"/>
    </row>
    <row r="183" spans="1:24" ht="15.75" x14ac:dyDescent="0.25">
      <c r="A183" s="24"/>
      <c r="B183" s="25" t="s">
        <v>60</v>
      </c>
      <c r="C183" s="25"/>
      <c r="D183" s="25"/>
      <c r="E183" s="25"/>
      <c r="F183" s="25"/>
      <c r="G183" s="25"/>
      <c r="H183" s="25"/>
      <c r="I183" s="25"/>
      <c r="J183" s="25"/>
      <c r="K183" s="25"/>
      <c r="L183" s="25"/>
      <c r="M183" s="25"/>
      <c r="N183" s="25"/>
      <c r="O183" s="25"/>
      <c r="P183" s="25"/>
      <c r="Q183" s="25"/>
      <c r="R183" s="25"/>
      <c r="S183" s="53">
        <f>+V34*0.16</f>
        <v>160181.28</v>
      </c>
      <c r="T183" s="40"/>
      <c r="U183" s="25"/>
      <c r="V183" s="53"/>
      <c r="W183" s="25"/>
      <c r="X183" s="5"/>
    </row>
    <row r="184" spans="1:24" ht="15.75" x14ac:dyDescent="0.25">
      <c r="A184" s="24"/>
      <c r="B184" s="25" t="s">
        <v>61</v>
      </c>
      <c r="C184" s="25"/>
      <c r="D184" s="25"/>
      <c r="E184" s="25"/>
      <c r="F184" s="25"/>
      <c r="G184" s="25"/>
      <c r="H184" s="25"/>
      <c r="I184" s="25"/>
      <c r="J184" s="25"/>
      <c r="K184" s="25"/>
      <c r="L184" s="25"/>
      <c r="M184" s="25"/>
      <c r="N184" s="25"/>
      <c r="O184" s="25"/>
      <c r="P184" s="25"/>
      <c r="Q184" s="25"/>
      <c r="R184" s="25"/>
      <c r="S184" s="53">
        <f>+'May 09'!S186</f>
        <v>8856</v>
      </c>
      <c r="T184" s="53">
        <f>+'May 09'!T186</f>
        <v>6004</v>
      </c>
      <c r="U184" s="25"/>
      <c r="V184" s="53">
        <f>S184+T184</f>
        <v>14860</v>
      </c>
      <c r="W184" s="25"/>
      <c r="X184" s="5"/>
    </row>
    <row r="185" spans="1:24" ht="15.75" x14ac:dyDescent="0.25">
      <c r="A185" s="24"/>
      <c r="B185" s="25" t="s">
        <v>62</v>
      </c>
      <c r="C185" s="25"/>
      <c r="D185" s="25"/>
      <c r="E185" s="25"/>
      <c r="F185" s="25"/>
      <c r="G185" s="25"/>
      <c r="H185" s="25"/>
      <c r="I185" s="25"/>
      <c r="J185" s="25"/>
      <c r="K185" s="25"/>
      <c r="L185" s="25"/>
      <c r="M185" s="25"/>
      <c r="N185" s="25"/>
      <c r="O185" s="25"/>
      <c r="P185" s="25"/>
      <c r="Q185" s="25"/>
      <c r="R185" s="25"/>
      <c r="S185" s="34">
        <f>397+139</f>
        <v>536</v>
      </c>
      <c r="T185" s="34">
        <v>63</v>
      </c>
      <c r="U185" s="25"/>
      <c r="V185" s="53">
        <f>S185+T185</f>
        <v>599</v>
      </c>
      <c r="W185" s="25"/>
      <c r="X185" s="5"/>
    </row>
    <row r="186" spans="1:24" ht="15.75" x14ac:dyDescent="0.25">
      <c r="A186" s="24"/>
      <c r="B186" s="25" t="s">
        <v>63</v>
      </c>
      <c r="C186" s="25"/>
      <c r="D186" s="25"/>
      <c r="E186" s="25"/>
      <c r="F186" s="25"/>
      <c r="G186" s="25"/>
      <c r="H186" s="25"/>
      <c r="I186" s="25"/>
      <c r="J186" s="25"/>
      <c r="K186" s="25"/>
      <c r="L186" s="25"/>
      <c r="M186" s="25"/>
      <c r="N186" s="25"/>
      <c r="O186" s="25"/>
      <c r="P186" s="25"/>
      <c r="Q186" s="25"/>
      <c r="R186" s="25"/>
      <c r="S186" s="53">
        <f>S184+S185</f>
        <v>9392</v>
      </c>
      <c r="T186" s="53">
        <f>T185+T184</f>
        <v>6067</v>
      </c>
      <c r="U186" s="25"/>
      <c r="V186" s="53">
        <f>S186+T186</f>
        <v>15459</v>
      </c>
      <c r="W186" s="25"/>
      <c r="X186" s="5"/>
    </row>
    <row r="187" spans="1:24" ht="15.75" x14ac:dyDescent="0.25">
      <c r="A187" s="24"/>
      <c r="B187" s="25" t="s">
        <v>64</v>
      </c>
      <c r="C187" s="25"/>
      <c r="D187" s="25"/>
      <c r="E187" s="25"/>
      <c r="F187" s="25"/>
      <c r="G187" s="25"/>
      <c r="H187" s="25"/>
      <c r="I187" s="25"/>
      <c r="J187" s="25"/>
      <c r="K187" s="25"/>
      <c r="L187" s="25"/>
      <c r="M187" s="25"/>
      <c r="N187" s="25"/>
      <c r="O187" s="25"/>
      <c r="P187" s="25"/>
      <c r="Q187" s="25"/>
      <c r="R187" s="25"/>
      <c r="S187" s="53">
        <f>S183-S186-T186</f>
        <v>144722.28</v>
      </c>
      <c r="T187" s="40"/>
      <c r="U187" s="25"/>
      <c r="V187" s="53"/>
      <c r="W187" s="25"/>
      <c r="X187" s="5"/>
    </row>
    <row r="188" spans="1:24" ht="16.5" thickBot="1" x14ac:dyDescent="0.3">
      <c r="A188" s="24"/>
      <c r="B188" s="25"/>
      <c r="C188" s="25"/>
      <c r="D188" s="25"/>
      <c r="E188" s="25"/>
      <c r="F188" s="25"/>
      <c r="G188" s="25"/>
      <c r="H188" s="25"/>
      <c r="I188" s="25"/>
      <c r="J188" s="25"/>
      <c r="K188" s="25"/>
      <c r="L188" s="25"/>
      <c r="M188" s="25"/>
      <c r="N188" s="25"/>
      <c r="O188" s="25"/>
      <c r="P188" s="25"/>
      <c r="Q188" s="25"/>
      <c r="R188" s="25"/>
      <c r="S188" s="25"/>
      <c r="T188" s="25"/>
      <c r="U188" s="25"/>
      <c r="V188" s="61"/>
      <c r="W188" s="25"/>
      <c r="X188" s="5"/>
    </row>
    <row r="189" spans="1:24" ht="15.75" x14ac:dyDescent="0.25">
      <c r="A189" s="2"/>
      <c r="B189" s="4"/>
      <c r="C189" s="4"/>
      <c r="D189" s="4"/>
      <c r="E189" s="4"/>
      <c r="F189" s="4"/>
      <c r="G189" s="4"/>
      <c r="H189" s="4"/>
      <c r="I189" s="4"/>
      <c r="J189" s="4"/>
      <c r="K189" s="4"/>
      <c r="L189" s="4"/>
      <c r="M189" s="4"/>
      <c r="N189" s="4"/>
      <c r="O189" s="4"/>
      <c r="P189" s="4"/>
      <c r="Q189" s="4"/>
      <c r="R189" s="4"/>
      <c r="S189" s="4"/>
      <c r="T189" s="4"/>
      <c r="U189" s="4"/>
      <c r="V189" s="50"/>
      <c r="W189" s="4"/>
      <c r="X189" s="5"/>
    </row>
    <row r="190" spans="1:24" ht="15.75" x14ac:dyDescent="0.25">
      <c r="A190" s="6"/>
      <c r="B190" s="119" t="s">
        <v>65</v>
      </c>
      <c r="C190" s="8"/>
      <c r="D190" s="8"/>
      <c r="E190" s="8"/>
      <c r="F190" s="8"/>
      <c r="G190" s="8"/>
      <c r="H190" s="8"/>
      <c r="I190" s="8"/>
      <c r="J190" s="8"/>
      <c r="K190" s="8"/>
      <c r="L190" s="8"/>
      <c r="M190" s="8"/>
      <c r="N190" s="8"/>
      <c r="O190" s="8"/>
      <c r="P190" s="8"/>
      <c r="Q190" s="8"/>
      <c r="R190" s="8"/>
      <c r="S190" s="8"/>
      <c r="T190" s="8"/>
      <c r="U190" s="8"/>
      <c r="V190" s="65"/>
      <c r="W190" s="8"/>
      <c r="X190" s="5"/>
    </row>
    <row r="191" spans="1:24" ht="15.75" x14ac:dyDescent="0.25">
      <c r="A191" s="24"/>
      <c r="B191" s="25" t="s">
        <v>66</v>
      </c>
      <c r="C191" s="25"/>
      <c r="D191" s="25"/>
      <c r="E191" s="25"/>
      <c r="F191" s="25"/>
      <c r="G191" s="25"/>
      <c r="H191" s="25"/>
      <c r="I191" s="25"/>
      <c r="J191" s="25"/>
      <c r="K191" s="25"/>
      <c r="L191" s="25"/>
      <c r="M191" s="25"/>
      <c r="N191" s="25"/>
      <c r="O191" s="25"/>
      <c r="P191" s="25"/>
      <c r="Q191" s="25"/>
      <c r="R191" s="25"/>
      <c r="S191" s="25"/>
      <c r="T191" s="25"/>
      <c r="U191" s="25"/>
      <c r="V191" s="59">
        <f>(V102+V104+V105+V106+V107)/-(V108+V109)</f>
        <v>2.3229125445191929</v>
      </c>
      <c r="W191" s="25" t="s">
        <v>115</v>
      </c>
      <c r="X191" s="5"/>
    </row>
    <row r="192" spans="1:24" ht="15.75" x14ac:dyDescent="0.25">
      <c r="A192" s="24"/>
      <c r="B192" s="25" t="s">
        <v>67</v>
      </c>
      <c r="C192" s="25"/>
      <c r="D192" s="25"/>
      <c r="E192" s="25"/>
      <c r="F192" s="25"/>
      <c r="G192" s="25"/>
      <c r="H192" s="25"/>
      <c r="I192" s="25"/>
      <c r="J192" s="25"/>
      <c r="K192" s="25"/>
      <c r="L192" s="25"/>
      <c r="M192" s="25"/>
      <c r="N192" s="25"/>
      <c r="O192" s="25"/>
      <c r="P192" s="25"/>
      <c r="Q192" s="25"/>
      <c r="R192" s="25"/>
      <c r="S192" s="25"/>
      <c r="T192" s="25"/>
      <c r="U192" s="25"/>
      <c r="V192" s="66">
        <v>1.42</v>
      </c>
      <c r="W192" s="25" t="s">
        <v>115</v>
      </c>
      <c r="X192" s="5"/>
    </row>
    <row r="193" spans="1:24" ht="15.75" x14ac:dyDescent="0.25">
      <c r="A193" s="24"/>
      <c r="B193" s="25" t="s">
        <v>68</v>
      </c>
      <c r="C193" s="25"/>
      <c r="D193" s="25"/>
      <c r="E193" s="25"/>
      <c r="F193" s="25"/>
      <c r="G193" s="25"/>
      <c r="H193" s="25"/>
      <c r="I193" s="25"/>
      <c r="J193" s="25"/>
      <c r="K193" s="25"/>
      <c r="L193" s="25"/>
      <c r="M193" s="25"/>
      <c r="N193" s="25"/>
      <c r="O193" s="25"/>
      <c r="P193" s="25"/>
      <c r="Q193" s="25"/>
      <c r="R193" s="25"/>
      <c r="S193" s="25"/>
      <c r="T193" s="25"/>
      <c r="U193" s="25"/>
      <c r="V193" s="59">
        <f>(V102+V104+V105+V106+V107+V108+V109)/-(V110+V111)</f>
        <v>11.409556313993175</v>
      </c>
      <c r="W193" s="25" t="s">
        <v>115</v>
      </c>
      <c r="X193" s="5"/>
    </row>
    <row r="194" spans="1:24" ht="15.75" x14ac:dyDescent="0.25">
      <c r="A194" s="24"/>
      <c r="B194" s="25" t="s">
        <v>69</v>
      </c>
      <c r="C194" s="25"/>
      <c r="D194" s="25"/>
      <c r="E194" s="25"/>
      <c r="F194" s="25"/>
      <c r="G194" s="25"/>
      <c r="H194" s="25"/>
      <c r="I194" s="25"/>
      <c r="J194" s="25"/>
      <c r="K194" s="25"/>
      <c r="L194" s="25"/>
      <c r="M194" s="25"/>
      <c r="N194" s="25"/>
      <c r="O194" s="25"/>
      <c r="P194" s="25"/>
      <c r="Q194" s="25"/>
      <c r="R194" s="25"/>
      <c r="S194" s="25"/>
      <c r="T194" s="25"/>
      <c r="U194" s="25"/>
      <c r="V194" s="66">
        <v>4.43</v>
      </c>
      <c r="W194" s="25" t="s">
        <v>115</v>
      </c>
      <c r="X194" s="5"/>
    </row>
    <row r="195" spans="1:24" ht="15.75" x14ac:dyDescent="0.25">
      <c r="A195" s="24"/>
      <c r="B195" s="25" t="s">
        <v>198</v>
      </c>
      <c r="C195" s="25"/>
      <c r="D195" s="25"/>
      <c r="E195" s="25"/>
      <c r="F195" s="25"/>
      <c r="G195" s="25"/>
      <c r="H195" s="25"/>
      <c r="I195" s="25"/>
      <c r="J195" s="25"/>
      <c r="K195" s="25"/>
      <c r="L195" s="25"/>
      <c r="M195" s="25"/>
      <c r="N195" s="25"/>
      <c r="O195" s="25"/>
      <c r="P195" s="25"/>
      <c r="Q195" s="25"/>
      <c r="R195" s="25"/>
      <c r="S195" s="25"/>
      <c r="T195" s="25"/>
      <c r="U195" s="25"/>
      <c r="V195" s="59">
        <f>(V102+V104+V105+V106+V107+V108+V109+V110+V111)/-(V112)</f>
        <v>8.640226628895185</v>
      </c>
      <c r="W195" s="25" t="s">
        <v>115</v>
      </c>
      <c r="X195" s="5"/>
    </row>
    <row r="196" spans="1:24" ht="15.75" x14ac:dyDescent="0.25">
      <c r="A196" s="24"/>
      <c r="B196" s="25" t="s">
        <v>199</v>
      </c>
      <c r="C196" s="25"/>
      <c r="D196" s="25"/>
      <c r="E196" s="25"/>
      <c r="F196" s="25"/>
      <c r="G196" s="25"/>
      <c r="H196" s="25"/>
      <c r="I196" s="25"/>
      <c r="J196" s="25"/>
      <c r="K196" s="25"/>
      <c r="L196" s="25"/>
      <c r="M196" s="25"/>
      <c r="N196" s="25"/>
      <c r="O196" s="25"/>
      <c r="P196" s="25"/>
      <c r="Q196" s="25"/>
      <c r="R196" s="25"/>
      <c r="S196" s="25"/>
      <c r="T196" s="25"/>
      <c r="U196" s="25"/>
      <c r="V196" s="66">
        <v>3.22</v>
      </c>
      <c r="W196" s="25" t="s">
        <v>115</v>
      </c>
      <c r="X196" s="5"/>
    </row>
    <row r="197" spans="1:24" ht="15.75" x14ac:dyDescent="0.25">
      <c r="A197" s="24"/>
      <c r="B197" s="25"/>
      <c r="C197" s="25"/>
      <c r="D197" s="25"/>
      <c r="E197" s="25"/>
      <c r="F197" s="25"/>
      <c r="G197" s="25"/>
      <c r="H197" s="25"/>
      <c r="I197" s="25"/>
      <c r="J197" s="25"/>
      <c r="K197" s="25"/>
      <c r="L197" s="25"/>
      <c r="M197" s="25"/>
      <c r="N197" s="25"/>
      <c r="O197" s="25"/>
      <c r="P197" s="25"/>
      <c r="Q197" s="25"/>
      <c r="R197" s="25"/>
      <c r="S197" s="25"/>
      <c r="T197" s="25"/>
      <c r="U197" s="25"/>
      <c r="V197" s="25"/>
      <c r="W197" s="25"/>
      <c r="X197" s="5"/>
    </row>
    <row r="198" spans="1:24" ht="15.75" x14ac:dyDescent="0.25">
      <c r="A198" s="24"/>
      <c r="B198" s="25"/>
      <c r="C198" s="25"/>
      <c r="D198" s="25"/>
      <c r="E198" s="25"/>
      <c r="F198" s="25"/>
      <c r="G198" s="25"/>
      <c r="H198" s="25"/>
      <c r="I198" s="25"/>
      <c r="J198" s="25"/>
      <c r="K198" s="25"/>
      <c r="L198" s="25"/>
      <c r="M198" s="25"/>
      <c r="N198" s="25"/>
      <c r="O198" s="25"/>
      <c r="P198" s="25"/>
      <c r="Q198" s="25"/>
      <c r="R198" s="25"/>
      <c r="S198" s="25"/>
      <c r="T198" s="25"/>
      <c r="U198" s="25"/>
      <c r="V198" s="25"/>
      <c r="W198" s="25"/>
      <c r="X198" s="5"/>
    </row>
    <row r="199" spans="1:24" ht="15.75" x14ac:dyDescent="0.25">
      <c r="A199" s="6"/>
      <c r="B199" s="8"/>
      <c r="C199" s="8"/>
      <c r="D199" s="8"/>
      <c r="E199" s="8"/>
      <c r="F199" s="8"/>
      <c r="G199" s="8"/>
      <c r="H199" s="8"/>
      <c r="I199" s="8"/>
      <c r="J199" s="8"/>
      <c r="K199" s="8"/>
      <c r="L199" s="8"/>
      <c r="M199" s="8"/>
      <c r="N199" s="8"/>
      <c r="O199" s="8"/>
      <c r="P199" s="8"/>
      <c r="Q199" s="8"/>
      <c r="R199" s="8"/>
      <c r="S199" s="8"/>
      <c r="T199" s="8"/>
      <c r="U199" s="8"/>
      <c r="V199" s="8"/>
      <c r="W199" s="8"/>
      <c r="X199" s="5"/>
    </row>
    <row r="200" spans="1:24" ht="19.5" thickBot="1" x14ac:dyDescent="0.35">
      <c r="A200" s="101"/>
      <c r="B200" s="102" t="str">
        <f>B135</f>
        <v>PM15 INVESTOR REPORT QUARTER ENDING AUGUST 2009</v>
      </c>
      <c r="C200" s="176"/>
      <c r="D200" s="176"/>
      <c r="E200" s="176"/>
      <c r="F200" s="176"/>
      <c r="G200" s="176"/>
      <c r="H200" s="176"/>
      <c r="I200" s="176"/>
      <c r="J200" s="176"/>
      <c r="K200" s="176"/>
      <c r="L200" s="176"/>
      <c r="M200" s="176"/>
      <c r="N200" s="176"/>
      <c r="O200" s="176"/>
      <c r="P200" s="176"/>
      <c r="Q200" s="176"/>
      <c r="R200" s="176"/>
      <c r="S200" s="176"/>
      <c r="T200" s="176"/>
      <c r="U200" s="176"/>
      <c r="V200" s="176"/>
      <c r="W200" s="177"/>
      <c r="X200" s="5"/>
    </row>
    <row r="201" spans="1:24" ht="15.75" x14ac:dyDescent="0.25">
      <c r="A201" s="67"/>
      <c r="B201" s="60" t="s">
        <v>70</v>
      </c>
      <c r="C201" s="68"/>
      <c r="D201" s="68"/>
      <c r="E201" s="68"/>
      <c r="F201" s="68"/>
      <c r="G201" s="69"/>
      <c r="H201" s="69"/>
      <c r="I201" s="69"/>
      <c r="J201" s="69"/>
      <c r="K201" s="69"/>
      <c r="L201" s="69"/>
      <c r="M201" s="69"/>
      <c r="N201" s="69"/>
      <c r="O201" s="69"/>
      <c r="P201" s="69"/>
      <c r="Q201" s="69"/>
      <c r="R201" s="69"/>
      <c r="S201" s="69"/>
      <c r="T201" s="70">
        <v>40053</v>
      </c>
      <c r="U201" s="4"/>
      <c r="V201" s="4"/>
      <c r="W201" s="4"/>
      <c r="X201" s="5"/>
    </row>
    <row r="202" spans="1:24" ht="15.75" x14ac:dyDescent="0.25">
      <c r="A202" s="71"/>
      <c r="B202" s="72"/>
      <c r="C202" s="73"/>
      <c r="D202" s="73"/>
      <c r="E202" s="73"/>
      <c r="F202" s="73"/>
      <c r="G202" s="74"/>
      <c r="H202" s="74"/>
      <c r="I202" s="74"/>
      <c r="J202" s="74"/>
      <c r="K202" s="74"/>
      <c r="L202" s="74"/>
      <c r="M202" s="74"/>
      <c r="N202" s="74"/>
      <c r="O202" s="74"/>
      <c r="P202" s="74"/>
      <c r="Q202" s="74"/>
      <c r="R202" s="74"/>
      <c r="S202" s="74"/>
      <c r="T202" s="74"/>
      <c r="U202" s="8"/>
      <c r="V202" s="8"/>
      <c r="W202" s="8"/>
      <c r="X202" s="5"/>
    </row>
    <row r="203" spans="1:24" ht="15.75" x14ac:dyDescent="0.25">
      <c r="A203" s="75"/>
      <c r="B203" s="76" t="s">
        <v>71</v>
      </c>
      <c r="C203" s="77"/>
      <c r="D203" s="77"/>
      <c r="E203" s="77"/>
      <c r="F203" s="77"/>
      <c r="G203" s="64"/>
      <c r="H203" s="64"/>
      <c r="I203" s="64"/>
      <c r="J203" s="64"/>
      <c r="K203" s="64"/>
      <c r="L203" s="64"/>
      <c r="M203" s="64"/>
      <c r="N203" s="64"/>
      <c r="O203" s="64"/>
      <c r="P203" s="64"/>
      <c r="Q203" s="64"/>
      <c r="R203" s="64"/>
      <c r="S203" s="64"/>
      <c r="T203" s="78">
        <v>5.3830000000000003E-2</v>
      </c>
      <c r="U203" s="25"/>
      <c r="V203" s="25"/>
      <c r="W203" s="25"/>
      <c r="X203" s="5"/>
    </row>
    <row r="204" spans="1:24" ht="15.75" x14ac:dyDescent="0.25">
      <c r="A204" s="75"/>
      <c r="B204" s="76" t="s">
        <v>151</v>
      </c>
      <c r="C204" s="77"/>
      <c r="D204" s="77"/>
      <c r="E204" s="77"/>
      <c r="F204" s="77"/>
      <c r="G204" s="64"/>
      <c r="H204" s="64"/>
      <c r="I204" s="64"/>
      <c r="J204" s="64"/>
      <c r="K204" s="64"/>
      <c r="L204" s="64"/>
      <c r="M204" s="64"/>
      <c r="N204" s="64"/>
      <c r="O204" s="64"/>
      <c r="P204" s="64"/>
      <c r="Q204" s="64"/>
      <c r="R204" s="64"/>
      <c r="S204" s="64"/>
      <c r="T204" s="39">
        <v>6.25E-2</v>
      </c>
      <c r="U204" s="25"/>
      <c r="V204" s="25"/>
      <c r="W204" s="25"/>
      <c r="X204" s="5"/>
    </row>
    <row r="205" spans="1:24" ht="15.75" x14ac:dyDescent="0.25">
      <c r="A205" s="75"/>
      <c r="B205" s="76" t="s">
        <v>72</v>
      </c>
      <c r="C205" s="77"/>
      <c r="D205" s="77"/>
      <c r="E205" s="77"/>
      <c r="F205" s="77"/>
      <c r="G205" s="64"/>
      <c r="H205" s="64"/>
      <c r="I205" s="64"/>
      <c r="J205" s="64"/>
      <c r="K205" s="64"/>
      <c r="L205" s="64"/>
      <c r="M205" s="64"/>
      <c r="N205" s="64"/>
      <c r="O205" s="64"/>
      <c r="P205" s="64"/>
      <c r="Q205" s="64"/>
      <c r="R205" s="64"/>
      <c r="S205" s="64"/>
      <c r="T205" s="78">
        <f>T203-T204</f>
        <v>-8.6699999999999972E-3</v>
      </c>
      <c r="U205" s="25"/>
      <c r="V205" s="25"/>
      <c r="W205" s="25"/>
      <c r="X205" s="5"/>
    </row>
    <row r="206" spans="1:24" ht="15.75" x14ac:dyDescent="0.25">
      <c r="A206" s="75"/>
      <c r="B206" s="76" t="s">
        <v>73</v>
      </c>
      <c r="C206" s="77"/>
      <c r="D206" s="77"/>
      <c r="E206" s="77"/>
      <c r="F206" s="77"/>
      <c r="G206" s="64"/>
      <c r="H206" s="64"/>
      <c r="I206" s="64"/>
      <c r="J206" s="64"/>
      <c r="K206" s="64"/>
      <c r="L206" s="64"/>
      <c r="M206" s="64"/>
      <c r="N206" s="64"/>
      <c r="O206" s="64"/>
      <c r="P206" s="64"/>
      <c r="Q206" s="64"/>
      <c r="R206" s="64"/>
      <c r="S206" s="64"/>
      <c r="T206" s="78">
        <v>3.3509999999999998E-2</v>
      </c>
      <c r="U206" s="25"/>
      <c r="V206" s="25"/>
      <c r="W206" s="25"/>
      <c r="X206" s="5"/>
    </row>
    <row r="207" spans="1:24" ht="15.75" x14ac:dyDescent="0.25">
      <c r="A207" s="75"/>
      <c r="B207" s="76" t="s">
        <v>218</v>
      </c>
      <c r="C207" s="77"/>
      <c r="D207" s="77"/>
      <c r="E207" s="77"/>
      <c r="F207" s="77"/>
      <c r="G207" s="64"/>
      <c r="H207" s="64"/>
      <c r="I207" s="64"/>
      <c r="J207" s="64"/>
      <c r="K207" s="64"/>
      <c r="L207" s="64"/>
      <c r="M207" s="64"/>
      <c r="N207" s="64"/>
      <c r="O207" s="64"/>
      <c r="P207" s="64"/>
      <c r="Q207" s="64"/>
      <c r="R207" s="64"/>
      <c r="S207" s="64"/>
      <c r="T207" s="78">
        <f>V43</f>
        <v>1.4286982241934896E-2</v>
      </c>
      <c r="U207" s="25"/>
      <c r="V207" s="25"/>
      <c r="W207" s="25"/>
      <c r="X207" s="5"/>
    </row>
    <row r="208" spans="1:24" ht="15.75" x14ac:dyDescent="0.25">
      <c r="A208" s="75"/>
      <c r="B208" s="76" t="s">
        <v>74</v>
      </c>
      <c r="C208" s="77"/>
      <c r="D208" s="77"/>
      <c r="E208" s="77"/>
      <c r="F208" s="77"/>
      <c r="G208" s="64"/>
      <c r="H208" s="64"/>
      <c r="I208" s="64"/>
      <c r="J208" s="64"/>
      <c r="K208" s="64"/>
      <c r="L208" s="64"/>
      <c r="M208" s="64"/>
      <c r="N208" s="64"/>
      <c r="O208" s="64"/>
      <c r="P208" s="64"/>
      <c r="Q208" s="64"/>
      <c r="R208" s="64"/>
      <c r="S208" s="64"/>
      <c r="T208" s="78">
        <f>T206-T207</f>
        <v>1.9223017758065102E-2</v>
      </c>
      <c r="U208" s="25"/>
      <c r="V208" s="25"/>
      <c r="W208" s="25"/>
      <c r="X208" s="5"/>
    </row>
    <row r="209" spans="1:24" ht="15.75" x14ac:dyDescent="0.25">
      <c r="A209" s="75"/>
      <c r="B209" s="76" t="s">
        <v>227</v>
      </c>
      <c r="C209" s="77"/>
      <c r="D209" s="77"/>
      <c r="E209" s="77"/>
      <c r="F209" s="77"/>
      <c r="G209" s="64"/>
      <c r="H209" s="64"/>
      <c r="I209" s="64"/>
      <c r="J209" s="64"/>
      <c r="K209" s="64"/>
      <c r="L209" s="64"/>
      <c r="M209" s="64"/>
      <c r="N209" s="64"/>
      <c r="O209" s="64"/>
      <c r="P209" s="64"/>
      <c r="Q209" s="64"/>
      <c r="R209" s="64"/>
      <c r="S209" s="64"/>
      <c r="T209" s="78">
        <f>V102/N72</f>
        <v>8.8079372467107873E-3</v>
      </c>
      <c r="U209" s="25"/>
      <c r="V209" s="25"/>
      <c r="W209" s="25"/>
      <c r="X209" s="5"/>
    </row>
    <row r="210" spans="1:24" ht="15.75" x14ac:dyDescent="0.25">
      <c r="A210" s="75"/>
      <c r="B210" s="76" t="s">
        <v>207</v>
      </c>
      <c r="C210" s="77"/>
      <c r="D210" s="77"/>
      <c r="E210" s="77"/>
      <c r="F210" s="77"/>
      <c r="G210" s="64"/>
      <c r="H210" s="64"/>
      <c r="I210" s="64"/>
      <c r="J210" s="64"/>
      <c r="K210" s="64"/>
      <c r="L210" s="64"/>
      <c r="M210" s="64"/>
      <c r="N210" s="64"/>
      <c r="O210" s="64"/>
      <c r="P210" s="64"/>
      <c r="Q210" s="64"/>
      <c r="R210" s="64"/>
      <c r="S210" s="64"/>
      <c r="T210" s="172">
        <v>51105</v>
      </c>
      <c r="U210" s="25"/>
      <c r="V210" s="25"/>
      <c r="W210" s="25"/>
      <c r="X210" s="5"/>
    </row>
    <row r="211" spans="1:24" ht="15.75" x14ac:dyDescent="0.25">
      <c r="A211" s="75"/>
      <c r="B211" s="76" t="s">
        <v>208</v>
      </c>
      <c r="C211" s="77"/>
      <c r="D211" s="77"/>
      <c r="E211" s="77"/>
      <c r="F211" s="77"/>
      <c r="G211" s="64"/>
      <c r="H211" s="64"/>
      <c r="I211" s="64"/>
      <c r="J211" s="64"/>
      <c r="K211" s="64"/>
      <c r="L211" s="64"/>
      <c r="M211" s="64"/>
      <c r="N211" s="64"/>
      <c r="O211" s="64"/>
      <c r="P211" s="64"/>
      <c r="Q211" s="64"/>
      <c r="R211" s="64"/>
      <c r="S211" s="64"/>
      <c r="T211" s="172">
        <v>51105</v>
      </c>
      <c r="U211" s="25"/>
      <c r="V211" s="25"/>
      <c r="W211" s="25"/>
      <c r="X211" s="5"/>
    </row>
    <row r="212" spans="1:24" ht="15.75" x14ac:dyDescent="0.25">
      <c r="A212" s="75"/>
      <c r="B212" s="76" t="s">
        <v>209</v>
      </c>
      <c r="C212" s="77"/>
      <c r="D212" s="77"/>
      <c r="E212" s="77"/>
      <c r="F212" s="77"/>
      <c r="G212" s="64"/>
      <c r="H212" s="64"/>
      <c r="I212" s="64"/>
      <c r="J212" s="64"/>
      <c r="K212" s="64"/>
      <c r="L212" s="64"/>
      <c r="M212" s="64"/>
      <c r="N212" s="64"/>
      <c r="O212" s="64"/>
      <c r="P212" s="64"/>
      <c r="Q212" s="64"/>
      <c r="R212" s="64"/>
      <c r="S212" s="64"/>
      <c r="T212" s="172">
        <v>51105</v>
      </c>
      <c r="U212" s="25"/>
      <c r="V212" s="25"/>
      <c r="W212" s="25"/>
      <c r="X212" s="5"/>
    </row>
    <row r="213" spans="1:24" ht="15.75" x14ac:dyDescent="0.25">
      <c r="A213" s="75"/>
      <c r="B213" s="76" t="s">
        <v>75</v>
      </c>
      <c r="C213" s="77"/>
      <c r="D213" s="77"/>
      <c r="E213" s="77"/>
      <c r="F213" s="77"/>
      <c r="G213" s="64"/>
      <c r="H213" s="64"/>
      <c r="I213" s="64"/>
      <c r="J213" s="64"/>
      <c r="K213" s="64"/>
      <c r="L213" s="64"/>
      <c r="M213" s="64"/>
      <c r="N213" s="64"/>
      <c r="O213" s="64"/>
      <c r="P213" s="64"/>
      <c r="Q213" s="64"/>
      <c r="R213" s="64"/>
      <c r="S213" s="64"/>
      <c r="T213" s="132">
        <v>21.06</v>
      </c>
      <c r="U213" s="25" t="s">
        <v>110</v>
      </c>
      <c r="V213" s="25"/>
      <c r="W213" s="25"/>
      <c r="X213" s="5"/>
    </row>
    <row r="214" spans="1:24" ht="15.75" x14ac:dyDescent="0.25">
      <c r="A214" s="75"/>
      <c r="B214" s="76" t="s">
        <v>76</v>
      </c>
      <c r="C214" s="77"/>
      <c r="D214" s="77"/>
      <c r="E214" s="77"/>
      <c r="F214" s="77"/>
      <c r="G214" s="64"/>
      <c r="H214" s="64"/>
      <c r="I214" s="64"/>
      <c r="J214" s="64"/>
      <c r="K214" s="64"/>
      <c r="L214" s="64"/>
      <c r="M214" s="64"/>
      <c r="N214" s="64"/>
      <c r="O214" s="64"/>
      <c r="P214" s="64"/>
      <c r="Q214" s="64"/>
      <c r="R214" s="64"/>
      <c r="S214" s="64"/>
      <c r="T214" s="132">
        <v>19.07</v>
      </c>
      <c r="U214" s="25" t="s">
        <v>110</v>
      </c>
      <c r="V214" s="25"/>
      <c r="W214" s="25"/>
      <c r="X214" s="5"/>
    </row>
    <row r="215" spans="1:24" ht="15.75" x14ac:dyDescent="0.25">
      <c r="A215" s="75"/>
      <c r="B215" s="76" t="s">
        <v>77</v>
      </c>
      <c r="C215" s="77"/>
      <c r="D215" s="77"/>
      <c r="E215" s="77"/>
      <c r="F215" s="77"/>
      <c r="G215" s="64"/>
      <c r="H215" s="64"/>
      <c r="I215" s="64"/>
      <c r="J215" s="64"/>
      <c r="K215" s="64"/>
      <c r="L215" s="64"/>
      <c r="M215" s="64"/>
      <c r="N215" s="64"/>
      <c r="O215" s="64"/>
      <c r="P215" s="64"/>
      <c r="Q215" s="64"/>
      <c r="R215" s="64"/>
      <c r="S215" s="64"/>
      <c r="T215" s="78">
        <f>+P69/N69</f>
        <v>5.564700139628339E-3</v>
      </c>
      <c r="U215" s="25"/>
      <c r="V215" s="25"/>
      <c r="W215" s="25"/>
      <c r="X215" s="5"/>
    </row>
    <row r="216" spans="1:24" ht="15.75" x14ac:dyDescent="0.25">
      <c r="A216" s="75"/>
      <c r="B216" s="76" t="s">
        <v>78</v>
      </c>
      <c r="C216" s="77"/>
      <c r="D216" s="77"/>
      <c r="E216" s="77"/>
      <c r="F216" s="77"/>
      <c r="G216" s="64"/>
      <c r="H216" s="64"/>
      <c r="I216" s="64"/>
      <c r="J216" s="64"/>
      <c r="K216" s="64"/>
      <c r="L216" s="64"/>
      <c r="M216" s="64"/>
      <c r="N216" s="64"/>
      <c r="O216" s="64"/>
      <c r="P216" s="64"/>
      <c r="Q216" s="64"/>
      <c r="R216" s="64"/>
      <c r="S216" s="64"/>
      <c r="T216" s="78">
        <v>6.5699999999999995E-2</v>
      </c>
      <c r="U216" s="25"/>
      <c r="V216" s="25"/>
      <c r="W216" s="25"/>
      <c r="X216" s="5"/>
    </row>
    <row r="217" spans="1:24" ht="15.75" x14ac:dyDescent="0.25">
      <c r="A217" s="75"/>
      <c r="B217" s="76"/>
      <c r="C217" s="76"/>
      <c r="D217" s="76"/>
      <c r="E217" s="76"/>
      <c r="F217" s="76"/>
      <c r="G217" s="25"/>
      <c r="H217" s="25"/>
      <c r="I217" s="25"/>
      <c r="J217" s="25"/>
      <c r="K217" s="25"/>
      <c r="L217" s="25"/>
      <c r="M217" s="25"/>
      <c r="N217" s="25"/>
      <c r="O217" s="25"/>
      <c r="P217" s="25"/>
      <c r="Q217" s="25"/>
      <c r="R217" s="25"/>
      <c r="S217" s="25"/>
      <c r="T217" s="61"/>
      <c r="U217" s="25"/>
      <c r="V217" s="79"/>
      <c r="W217" s="25"/>
      <c r="X217" s="5"/>
    </row>
    <row r="218" spans="1:24" ht="15.75" x14ac:dyDescent="0.25">
      <c r="A218" s="80"/>
      <c r="B218" s="14" t="s">
        <v>79</v>
      </c>
      <c r="C218" s="81"/>
      <c r="D218" s="81"/>
      <c r="E218" s="81"/>
      <c r="F218" s="82"/>
      <c r="G218" s="81"/>
      <c r="H218" s="17"/>
      <c r="I218" s="17"/>
      <c r="J218" s="17"/>
      <c r="K218" s="17"/>
      <c r="L218" s="17"/>
      <c r="M218" s="17"/>
      <c r="N218" s="17"/>
      <c r="O218" s="17"/>
      <c r="P218" s="17"/>
      <c r="Q218" s="17"/>
      <c r="R218" s="17"/>
      <c r="S218" s="17" t="s">
        <v>102</v>
      </c>
      <c r="T218" s="83" t="s">
        <v>108</v>
      </c>
      <c r="U218" s="8"/>
      <c r="V218" s="8"/>
      <c r="W218" s="8"/>
      <c r="X218" s="5"/>
    </row>
    <row r="219" spans="1:24" ht="15.75" x14ac:dyDescent="0.25">
      <c r="A219" s="84"/>
      <c r="B219" s="76" t="s">
        <v>80</v>
      </c>
      <c r="C219" s="54"/>
      <c r="D219" s="54"/>
      <c r="E219" s="54"/>
      <c r="F219" s="25"/>
      <c r="G219" s="25"/>
      <c r="H219" s="30"/>
      <c r="I219" s="30"/>
      <c r="J219" s="30"/>
      <c r="K219" s="30"/>
      <c r="L219" s="30"/>
      <c r="M219" s="30"/>
      <c r="N219" s="30"/>
      <c r="O219" s="30"/>
      <c r="P219" s="30"/>
      <c r="Q219" s="30"/>
      <c r="R219" s="30"/>
      <c r="S219" s="30">
        <v>0</v>
      </c>
      <c r="T219" s="85">
        <v>0</v>
      </c>
      <c r="U219" s="25"/>
      <c r="V219" s="79"/>
      <c r="W219" s="86"/>
      <c r="X219" s="5"/>
    </row>
    <row r="220" spans="1:24" ht="15.75" x14ac:dyDescent="0.25">
      <c r="A220" s="84"/>
      <c r="B220" s="76" t="s">
        <v>145</v>
      </c>
      <c r="C220" s="54"/>
      <c r="D220" s="54"/>
      <c r="E220" s="54"/>
      <c r="F220" s="25"/>
      <c r="G220" s="25"/>
      <c r="H220" s="30"/>
      <c r="I220" s="30"/>
      <c r="J220" s="30"/>
      <c r="K220" s="30"/>
      <c r="L220" s="30"/>
      <c r="M220" s="30"/>
      <c r="N220" s="30"/>
      <c r="O220" s="30"/>
      <c r="P220" s="30"/>
      <c r="Q220" s="30"/>
      <c r="R220" s="30"/>
      <c r="S220" s="148">
        <f>+R260</f>
        <v>172</v>
      </c>
      <c r="T220" s="85">
        <f>+T260</f>
        <v>25473</v>
      </c>
      <c r="U220" s="25"/>
      <c r="V220" s="79"/>
      <c r="W220" s="86"/>
      <c r="X220" s="5"/>
    </row>
    <row r="221" spans="1:24" ht="15.75" x14ac:dyDescent="0.25">
      <c r="A221" s="84"/>
      <c r="B221" s="76" t="s">
        <v>81</v>
      </c>
      <c r="C221" s="54"/>
      <c r="D221" s="54"/>
      <c r="E221" s="54"/>
      <c r="F221" s="25"/>
      <c r="G221" s="25"/>
      <c r="H221" s="30"/>
      <c r="I221" s="30"/>
      <c r="J221" s="30"/>
      <c r="K221" s="30"/>
      <c r="L221" s="30"/>
      <c r="M221" s="30"/>
      <c r="N221" s="30"/>
      <c r="O221" s="30"/>
      <c r="P221" s="30"/>
      <c r="Q221" s="30"/>
      <c r="R221" s="30"/>
      <c r="S221" s="148">
        <v>0</v>
      </c>
      <c r="T221" s="85">
        <v>0</v>
      </c>
      <c r="U221" s="25"/>
      <c r="V221" s="79"/>
      <c r="W221" s="86"/>
      <c r="X221" s="5"/>
    </row>
    <row r="222" spans="1:24" ht="15.75" x14ac:dyDescent="0.25">
      <c r="A222" s="84"/>
      <c r="B222" s="122" t="s">
        <v>82</v>
      </c>
      <c r="C222" s="54"/>
      <c r="D222" s="54"/>
      <c r="E222" s="54"/>
      <c r="F222" s="25"/>
      <c r="G222" s="25"/>
      <c r="H222" s="25"/>
      <c r="I222" s="25"/>
      <c r="J222" s="25"/>
      <c r="K222" s="25"/>
      <c r="L222" s="25"/>
      <c r="M222" s="25"/>
      <c r="N222" s="25"/>
      <c r="O222" s="25"/>
      <c r="P222" s="25"/>
      <c r="Q222" s="25"/>
      <c r="R222" s="25"/>
      <c r="S222" s="25"/>
      <c r="T222" s="85">
        <v>0</v>
      </c>
      <c r="U222" s="25"/>
      <c r="V222" s="79"/>
      <c r="W222" s="86"/>
      <c r="X222" s="5"/>
    </row>
    <row r="223" spans="1:24" ht="15.75" x14ac:dyDescent="0.25">
      <c r="A223" s="84"/>
      <c r="B223" s="122" t="s">
        <v>228</v>
      </c>
      <c r="C223" s="54"/>
      <c r="D223" s="54"/>
      <c r="E223" s="54"/>
      <c r="F223" s="25"/>
      <c r="G223" s="25"/>
      <c r="H223" s="25"/>
      <c r="I223" s="25"/>
      <c r="J223" s="25"/>
      <c r="K223" s="25"/>
      <c r="L223" s="25"/>
      <c r="M223" s="25"/>
      <c r="N223" s="25"/>
      <c r="O223" s="25"/>
      <c r="P223" s="25"/>
      <c r="Q223" s="25"/>
      <c r="R223" s="25"/>
      <c r="S223" s="25"/>
      <c r="T223" s="85">
        <f>+N82</f>
        <v>0</v>
      </c>
      <c r="U223" s="25"/>
      <c r="V223" s="79"/>
      <c r="W223" s="86"/>
      <c r="X223" s="5"/>
    </row>
    <row r="224" spans="1:24" ht="15.75" x14ac:dyDescent="0.25">
      <c r="A224" s="87"/>
      <c r="B224" s="122" t="s">
        <v>83</v>
      </c>
      <c r="C224" s="76"/>
      <c r="D224" s="76"/>
      <c r="E224" s="76"/>
      <c r="F224" s="76"/>
      <c r="G224" s="25"/>
      <c r="H224" s="25"/>
      <c r="I224" s="25"/>
      <c r="J224" s="25"/>
      <c r="K224" s="25"/>
      <c r="L224" s="25"/>
      <c r="M224" s="25"/>
      <c r="N224" s="25"/>
      <c r="O224" s="25"/>
      <c r="P224" s="25"/>
      <c r="Q224" s="25"/>
      <c r="R224" s="25"/>
      <c r="S224" s="25"/>
      <c r="T224" s="85"/>
      <c r="U224" s="25"/>
      <c r="V224" s="79"/>
      <c r="W224" s="88"/>
      <c r="X224" s="5"/>
    </row>
    <row r="225" spans="1:25" ht="15.75" x14ac:dyDescent="0.25">
      <c r="A225" s="87"/>
      <c r="B225" s="130" t="s">
        <v>84</v>
      </c>
      <c r="C225" s="76"/>
      <c r="D225" s="76"/>
      <c r="E225" s="76"/>
      <c r="F225" s="76"/>
      <c r="G225" s="25"/>
      <c r="H225" s="25"/>
      <c r="I225" s="25"/>
      <c r="J225" s="25"/>
      <c r="K225" s="25"/>
      <c r="L225" s="25"/>
      <c r="M225" s="25"/>
      <c r="N225" s="25"/>
      <c r="O225" s="25"/>
      <c r="P225" s="25"/>
      <c r="Q225" s="25"/>
      <c r="R225" s="25"/>
      <c r="S225" s="30"/>
      <c r="T225" s="85">
        <f>V164</f>
        <v>95</v>
      </c>
      <c r="U225" s="25"/>
      <c r="V225" s="79"/>
      <c r="W225" s="88"/>
      <c r="X225" s="5"/>
    </row>
    <row r="226" spans="1:25" ht="15.75" x14ac:dyDescent="0.25">
      <c r="A226" s="84"/>
      <c r="B226" s="76" t="s">
        <v>85</v>
      </c>
      <c r="C226" s="54"/>
      <c r="D226" s="54"/>
      <c r="E226" s="54"/>
      <c r="F226" s="54"/>
      <c r="G226" s="25"/>
      <c r="H226" s="25"/>
      <c r="I226" s="25"/>
      <c r="J226" s="25"/>
      <c r="K226" s="25"/>
      <c r="L226" s="25"/>
      <c r="M226" s="25"/>
      <c r="N226" s="25"/>
      <c r="O226" s="25"/>
      <c r="P226" s="25"/>
      <c r="Q226" s="25"/>
      <c r="R226" s="25"/>
      <c r="S226" s="30"/>
      <c r="T226" s="85">
        <f>'May 09'!T226+T225</f>
        <v>350</v>
      </c>
      <c r="U226" s="25"/>
      <c r="V226" s="79"/>
      <c r="W226" s="88"/>
      <c r="X226" s="5"/>
    </row>
    <row r="227" spans="1:25" ht="15.75" x14ac:dyDescent="0.25">
      <c r="A227" s="87"/>
      <c r="B227" s="122" t="s">
        <v>285</v>
      </c>
      <c r="C227" s="76"/>
      <c r="D227" s="76"/>
      <c r="E227" s="76"/>
      <c r="F227" s="76"/>
      <c r="G227" s="25"/>
      <c r="H227" s="25"/>
      <c r="I227" s="25"/>
      <c r="J227" s="25"/>
      <c r="K227" s="25"/>
      <c r="L227" s="25"/>
      <c r="M227" s="25"/>
      <c r="N227" s="25"/>
      <c r="O227" s="25"/>
      <c r="P227" s="25"/>
      <c r="Q227" s="25"/>
      <c r="R227" s="25"/>
      <c r="S227" s="30"/>
      <c r="T227" s="85"/>
      <c r="U227" s="25"/>
      <c r="V227" s="79"/>
      <c r="W227" s="88"/>
      <c r="X227" s="5"/>
    </row>
    <row r="228" spans="1:25" ht="15.75" x14ac:dyDescent="0.25">
      <c r="A228" s="87"/>
      <c r="B228" s="76" t="s">
        <v>282</v>
      </c>
      <c r="C228" s="76"/>
      <c r="D228" s="76"/>
      <c r="E228" s="76"/>
      <c r="F228" s="76"/>
      <c r="G228" s="25"/>
      <c r="H228" s="25"/>
      <c r="I228" s="25"/>
      <c r="J228" s="25"/>
      <c r="K228" s="25"/>
      <c r="L228" s="25"/>
      <c r="M228" s="25"/>
      <c r="N228" s="25"/>
      <c r="O228" s="25"/>
      <c r="P228" s="25"/>
      <c r="Q228" s="25"/>
      <c r="R228" s="25"/>
      <c r="S228" s="30">
        <v>1</v>
      </c>
      <c r="T228" s="85">
        <v>117</v>
      </c>
      <c r="U228" s="25"/>
      <c r="V228" s="79"/>
      <c r="W228" s="88"/>
      <c r="X228" s="5"/>
    </row>
    <row r="229" spans="1:25" ht="15.75" x14ac:dyDescent="0.25">
      <c r="A229" s="84"/>
      <c r="B229" s="76" t="s">
        <v>86</v>
      </c>
      <c r="C229" s="89"/>
      <c r="D229" s="89"/>
      <c r="E229" s="89"/>
      <c r="F229" s="90"/>
      <c r="G229" s="25"/>
      <c r="H229" s="25"/>
      <c r="I229" s="25"/>
      <c r="J229" s="25"/>
      <c r="K229" s="25"/>
      <c r="L229" s="25"/>
      <c r="M229" s="25"/>
      <c r="N229" s="25"/>
      <c r="O229" s="25"/>
      <c r="P229" s="25"/>
      <c r="Q229" s="25"/>
      <c r="R229" s="25"/>
      <c r="S229" s="25"/>
      <c r="T229" s="62">
        <v>19.52</v>
      </c>
      <c r="U229" s="25"/>
      <c r="V229" s="79"/>
      <c r="W229" s="88"/>
      <c r="X229" s="5"/>
    </row>
    <row r="230" spans="1:25" ht="15.75" x14ac:dyDescent="0.25">
      <c r="A230" s="84"/>
      <c r="B230" s="76" t="s">
        <v>87</v>
      </c>
      <c r="C230" s="89"/>
      <c r="D230" s="89"/>
      <c r="E230" s="89"/>
      <c r="F230" s="90"/>
      <c r="G230" s="25"/>
      <c r="H230" s="25"/>
      <c r="I230" s="25"/>
      <c r="J230" s="25"/>
      <c r="K230" s="25"/>
      <c r="L230" s="25"/>
      <c r="M230" s="25"/>
      <c r="N230" s="25"/>
      <c r="O230" s="25"/>
      <c r="P230" s="25"/>
      <c r="Q230" s="25"/>
      <c r="R230" s="25"/>
      <c r="S230" s="25"/>
      <c r="T230" s="62">
        <v>3.91</v>
      </c>
      <c r="U230" s="25"/>
      <c r="V230" s="79"/>
      <c r="W230" s="88"/>
      <c r="X230" s="5"/>
    </row>
    <row r="231" spans="1:25" ht="15.75" x14ac:dyDescent="0.25">
      <c r="A231" s="84"/>
      <c r="B231" s="122" t="s">
        <v>216</v>
      </c>
      <c r="C231" s="89"/>
      <c r="D231" s="89"/>
      <c r="E231" s="89"/>
      <c r="F231" s="90"/>
      <c r="G231" s="25"/>
      <c r="H231" s="25"/>
      <c r="I231" s="25"/>
      <c r="J231" s="25"/>
      <c r="K231" s="25"/>
      <c r="L231" s="25"/>
      <c r="M231" s="25"/>
      <c r="N231" s="25"/>
      <c r="O231" s="25"/>
      <c r="P231" s="25"/>
      <c r="Q231" s="25"/>
      <c r="R231" s="25"/>
      <c r="S231" s="25"/>
      <c r="T231" s="91"/>
      <c r="U231" s="25"/>
      <c r="V231" s="79"/>
      <c r="W231" s="88"/>
      <c r="X231" s="5"/>
    </row>
    <row r="232" spans="1:25" ht="15.75" x14ac:dyDescent="0.25">
      <c r="A232" s="84"/>
      <c r="B232" s="76" t="s">
        <v>282</v>
      </c>
      <c r="C232" s="89"/>
      <c r="D232" s="89"/>
      <c r="E232" s="89"/>
      <c r="F232" s="90"/>
      <c r="G232" s="25"/>
      <c r="H232" s="25"/>
      <c r="I232" s="25"/>
      <c r="J232" s="25"/>
      <c r="K232" s="25"/>
      <c r="L232" s="25"/>
      <c r="M232" s="25"/>
      <c r="N232" s="25"/>
      <c r="O232" s="25"/>
      <c r="P232" s="25"/>
      <c r="Q232" s="25"/>
      <c r="R232" s="25"/>
      <c r="S232" s="30">
        <v>2</v>
      </c>
      <c r="T232" s="85">
        <v>307</v>
      </c>
      <c r="U232" s="25"/>
      <c r="V232" s="79"/>
      <c r="W232" s="88"/>
      <c r="X232" s="5"/>
    </row>
    <row r="233" spans="1:25" ht="15.75" x14ac:dyDescent="0.25">
      <c r="A233" s="84"/>
      <c r="B233" s="76" t="s">
        <v>217</v>
      </c>
      <c r="C233" s="89"/>
      <c r="D233" s="89"/>
      <c r="E233" s="89"/>
      <c r="F233" s="90"/>
      <c r="G233" s="25"/>
      <c r="H233" s="25"/>
      <c r="I233" s="25"/>
      <c r="J233" s="25"/>
      <c r="K233" s="25"/>
      <c r="L233" s="25"/>
      <c r="M233" s="25"/>
      <c r="N233" s="25"/>
      <c r="O233" s="25"/>
      <c r="P233" s="25"/>
      <c r="Q233" s="25"/>
      <c r="R233" s="25"/>
      <c r="S233" s="25"/>
      <c r="T233" s="62">
        <v>16.32</v>
      </c>
      <c r="U233" s="25"/>
      <c r="V233" s="79"/>
      <c r="W233" s="88"/>
      <c r="X233" s="5"/>
    </row>
    <row r="234" spans="1:25" ht="15.75" x14ac:dyDescent="0.25">
      <c r="A234" s="84"/>
      <c r="B234" s="76"/>
      <c r="C234" s="89"/>
      <c r="D234" s="89"/>
      <c r="E234" s="89"/>
      <c r="F234" s="90"/>
      <c r="G234" s="25"/>
      <c r="H234" s="25"/>
      <c r="I234" s="25"/>
      <c r="J234" s="25"/>
      <c r="K234" s="25"/>
      <c r="L234" s="25"/>
      <c r="M234" s="25"/>
      <c r="N234" s="25"/>
      <c r="O234" s="25"/>
      <c r="P234" s="25"/>
      <c r="Q234" s="25"/>
      <c r="R234" s="25"/>
      <c r="S234" s="25"/>
      <c r="T234" s="91"/>
      <c r="U234" s="25"/>
      <c r="V234" s="79"/>
      <c r="W234" s="88"/>
      <c r="X234" s="5"/>
    </row>
    <row r="235" spans="1:25" ht="15.75" x14ac:dyDescent="0.25">
      <c r="A235" s="84"/>
      <c r="B235" s="76"/>
      <c r="C235" s="89"/>
      <c r="D235" s="89"/>
      <c r="E235" s="89"/>
      <c r="F235" s="90"/>
      <c r="G235" s="25"/>
      <c r="H235" s="25"/>
      <c r="I235" s="25"/>
      <c r="J235" s="25"/>
      <c r="K235" s="25"/>
      <c r="L235" s="25"/>
      <c r="M235" s="25"/>
      <c r="N235" s="25"/>
      <c r="O235" s="25"/>
      <c r="P235" s="25"/>
      <c r="Q235" s="25"/>
      <c r="R235" s="25"/>
      <c r="S235" s="25"/>
      <c r="T235" s="91"/>
      <c r="U235" s="25"/>
      <c r="V235" s="79"/>
      <c r="W235" s="88"/>
      <c r="X235" s="5"/>
    </row>
    <row r="236" spans="1:25" ht="18.75" x14ac:dyDescent="0.3">
      <c r="A236" s="84"/>
      <c r="B236" s="146" t="s">
        <v>168</v>
      </c>
      <c r="C236" s="89"/>
      <c r="D236" s="89"/>
      <c r="E236" s="89"/>
      <c r="F236" s="90"/>
      <c r="G236" s="25"/>
      <c r="H236" s="25"/>
      <c r="I236" s="25"/>
      <c r="J236" s="25"/>
      <c r="K236" s="25"/>
      <c r="L236" s="25"/>
      <c r="M236" s="25"/>
      <c r="N236" s="25"/>
      <c r="O236" s="25"/>
      <c r="P236" s="147" t="s">
        <v>167</v>
      </c>
      <c r="Q236" s="25"/>
      <c r="R236" s="25"/>
      <c r="S236" s="25"/>
      <c r="T236" s="91"/>
      <c r="U236" s="25"/>
      <c r="V236" s="79"/>
      <c r="W236" s="88"/>
      <c r="X236" s="5"/>
    </row>
    <row r="237" spans="1:25" ht="15.75" x14ac:dyDescent="0.25">
      <c r="A237" s="84"/>
      <c r="B237" s="76"/>
      <c r="C237" s="89"/>
      <c r="D237" s="89"/>
      <c r="E237" s="89"/>
      <c r="F237" s="90"/>
      <c r="G237" s="25"/>
      <c r="H237" s="25"/>
      <c r="I237" s="25"/>
      <c r="J237" s="25"/>
      <c r="K237" s="25"/>
      <c r="L237" s="25"/>
      <c r="M237" s="25"/>
      <c r="N237" s="25"/>
      <c r="O237" s="25"/>
      <c r="P237" s="25"/>
      <c r="Q237" s="25"/>
      <c r="R237" s="25"/>
      <c r="S237" s="25"/>
      <c r="T237" s="91"/>
      <c r="U237" s="25"/>
      <c r="V237" s="79"/>
      <c r="W237" s="88"/>
      <c r="X237" s="5"/>
    </row>
    <row r="238" spans="1:25" ht="15.75" x14ac:dyDescent="0.25">
      <c r="A238" s="6"/>
      <c r="B238" s="14" t="s">
        <v>162</v>
      </c>
      <c r="C238" s="81"/>
      <c r="D238" s="81"/>
      <c r="E238" s="81"/>
      <c r="F238" s="82"/>
      <c r="G238" s="81"/>
      <c r="H238" s="17"/>
      <c r="I238" s="17"/>
      <c r="J238" s="17"/>
      <c r="K238" s="17"/>
      <c r="L238" s="17"/>
      <c r="M238" s="17"/>
      <c r="N238" s="17"/>
      <c r="O238" s="17"/>
      <c r="P238" s="17"/>
      <c r="Q238" s="17"/>
      <c r="R238" s="83" t="s">
        <v>102</v>
      </c>
      <c r="S238" s="17" t="s">
        <v>103</v>
      </c>
      <c r="T238" s="83" t="s">
        <v>109</v>
      </c>
      <c r="U238" s="17" t="s">
        <v>103</v>
      </c>
      <c r="V238" s="8"/>
      <c r="W238" s="92"/>
      <c r="X238" s="5"/>
    </row>
    <row r="239" spans="1:25" ht="15.75" x14ac:dyDescent="0.25">
      <c r="A239" s="24"/>
      <c r="B239" s="54" t="s">
        <v>88</v>
      </c>
      <c r="C239" s="93"/>
      <c r="D239" s="93"/>
      <c r="E239" s="93"/>
      <c r="F239" s="25"/>
      <c r="G239" s="93"/>
      <c r="H239" s="93"/>
      <c r="I239" s="93"/>
      <c r="J239" s="93"/>
      <c r="K239" s="93"/>
      <c r="L239" s="93"/>
      <c r="M239" s="93"/>
      <c r="N239" s="93"/>
      <c r="O239" s="93"/>
      <c r="P239" s="93"/>
      <c r="Q239" s="93"/>
      <c r="R239" s="54">
        <v>5798</v>
      </c>
      <c r="S239" s="94">
        <f t="shared" ref="S239:S246" si="1">R239/$R$248</f>
        <v>0.98555158932517428</v>
      </c>
      <c r="T239" s="53">
        <v>835721</v>
      </c>
      <c r="U239" s="131">
        <f t="shared" ref="U239:U246" si="2">T239/$T$248</f>
        <v>0.98187045322104627</v>
      </c>
      <c r="V239" s="79"/>
      <c r="W239" s="88"/>
      <c r="X239" s="5"/>
    </row>
    <row r="240" spans="1:25" ht="15.75" x14ac:dyDescent="0.25">
      <c r="A240" s="24"/>
      <c r="B240" s="54" t="s">
        <v>89</v>
      </c>
      <c r="C240" s="93"/>
      <c r="D240" s="93"/>
      <c r="E240" s="93"/>
      <c r="F240" s="25"/>
      <c r="G240" s="94"/>
      <c r="H240" s="93"/>
      <c r="I240" s="93"/>
      <c r="J240" s="93"/>
      <c r="K240" s="93"/>
      <c r="L240" s="93"/>
      <c r="M240" s="93"/>
      <c r="N240" s="93"/>
      <c r="O240" s="93"/>
      <c r="P240" s="93"/>
      <c r="Q240" s="93"/>
      <c r="R240" s="54">
        <v>62</v>
      </c>
      <c r="S240" s="94">
        <f t="shared" si="1"/>
        <v>1.0538840727519972E-2</v>
      </c>
      <c r="T240" s="53">
        <v>10602</v>
      </c>
      <c r="U240" s="131">
        <f t="shared" si="2"/>
        <v>1.2456059552230388E-2</v>
      </c>
      <c r="V240" s="79"/>
      <c r="W240" s="88"/>
      <c r="X240" s="5"/>
      <c r="Y240" s="109"/>
    </row>
    <row r="241" spans="1:25" ht="15.75" x14ac:dyDescent="0.25">
      <c r="A241" s="24"/>
      <c r="B241" s="54" t="s">
        <v>90</v>
      </c>
      <c r="C241" s="93"/>
      <c r="D241" s="93"/>
      <c r="E241" s="93"/>
      <c r="F241" s="25"/>
      <c r="G241" s="94"/>
      <c r="H241" s="93"/>
      <c r="I241" s="93"/>
      <c r="J241" s="93"/>
      <c r="K241" s="93"/>
      <c r="L241" s="93"/>
      <c r="M241" s="93"/>
      <c r="N241" s="93"/>
      <c r="O241" s="93"/>
      <c r="P241" s="93"/>
      <c r="Q241" s="93"/>
      <c r="R241" s="54">
        <v>12</v>
      </c>
      <c r="S241" s="94">
        <f t="shared" si="1"/>
        <v>2.0397756246812852E-3</v>
      </c>
      <c r="T241" s="53">
        <v>2347</v>
      </c>
      <c r="U241" s="131">
        <f t="shared" si="2"/>
        <v>2.757439329285486E-3</v>
      </c>
      <c r="V241" s="79"/>
      <c r="W241" s="88"/>
      <c r="X241" s="5"/>
    </row>
    <row r="242" spans="1:25" ht="15.75" x14ac:dyDescent="0.25">
      <c r="A242" s="24"/>
      <c r="B242" s="54" t="s">
        <v>156</v>
      </c>
      <c r="C242" s="93"/>
      <c r="D242" s="93"/>
      <c r="E242" s="93"/>
      <c r="F242" s="25"/>
      <c r="G242" s="94"/>
      <c r="H242" s="93"/>
      <c r="I242" s="93"/>
      <c r="J242" s="93"/>
      <c r="K242" s="93"/>
      <c r="L242" s="93"/>
      <c r="M242" s="93"/>
      <c r="N242" s="93"/>
      <c r="O242" s="93"/>
      <c r="P242" s="93"/>
      <c r="Q242" s="93"/>
      <c r="R242" s="54">
        <v>4</v>
      </c>
      <c r="S242" s="94">
        <f t="shared" si="1"/>
        <v>6.7992520822709502E-4</v>
      </c>
      <c r="T242" s="53">
        <v>671</v>
      </c>
      <c r="U242" s="131">
        <f t="shared" si="2"/>
        <v>7.8834332763125735E-4</v>
      </c>
      <c r="V242" s="79"/>
      <c r="W242" s="88"/>
      <c r="X242" s="5"/>
      <c r="Y242" s="109"/>
    </row>
    <row r="243" spans="1:25" ht="15.75" x14ac:dyDescent="0.25">
      <c r="A243" s="24"/>
      <c r="B243" s="54" t="s">
        <v>157</v>
      </c>
      <c r="C243" s="93"/>
      <c r="D243" s="93"/>
      <c r="E243" s="93"/>
      <c r="F243" s="25"/>
      <c r="G243" s="94"/>
      <c r="H243" s="93"/>
      <c r="I243" s="93"/>
      <c r="J243" s="93"/>
      <c r="K243" s="93"/>
      <c r="L243" s="93"/>
      <c r="M243" s="93"/>
      <c r="N243" s="93"/>
      <c r="O243" s="93"/>
      <c r="P243" s="93"/>
      <c r="Q243" s="93"/>
      <c r="R243" s="54">
        <v>4</v>
      </c>
      <c r="S243" s="94">
        <f t="shared" si="1"/>
        <v>6.7992520822709502E-4</v>
      </c>
      <c r="T243" s="53">
        <v>1376</v>
      </c>
      <c r="U243" s="131">
        <f t="shared" si="2"/>
        <v>1.6166325168712522E-3</v>
      </c>
      <c r="V243" s="79"/>
      <c r="W243" s="88"/>
      <c r="X243" s="5"/>
    </row>
    <row r="244" spans="1:25" ht="15.75" x14ac:dyDescent="0.25">
      <c r="A244" s="24"/>
      <c r="B244" s="54" t="s">
        <v>158</v>
      </c>
      <c r="C244" s="93"/>
      <c r="D244" s="93"/>
      <c r="E244" s="93"/>
      <c r="F244" s="25"/>
      <c r="G244" s="94"/>
      <c r="H244" s="93"/>
      <c r="I244" s="93"/>
      <c r="J244" s="93"/>
      <c r="K244" s="93"/>
      <c r="L244" s="93"/>
      <c r="M244" s="93"/>
      <c r="N244" s="93"/>
      <c r="O244" s="93"/>
      <c r="P244" s="93"/>
      <c r="Q244" s="93"/>
      <c r="R244" s="54">
        <v>1</v>
      </c>
      <c r="S244" s="94">
        <f t="shared" si="1"/>
        <v>1.6998130205677376E-4</v>
      </c>
      <c r="T244" s="53">
        <v>58</v>
      </c>
      <c r="U244" s="131">
        <f t="shared" si="2"/>
        <v>6.814294039137546E-5</v>
      </c>
      <c r="V244" s="79"/>
      <c r="W244" s="88"/>
      <c r="X244" s="5"/>
      <c r="Y244" s="109"/>
    </row>
    <row r="245" spans="1:25" ht="15.75" x14ac:dyDescent="0.25">
      <c r="A245" s="24"/>
      <c r="B245" s="54" t="s">
        <v>159</v>
      </c>
      <c r="C245" s="93"/>
      <c r="D245" s="93"/>
      <c r="E245" s="93"/>
      <c r="F245" s="25"/>
      <c r="G245" s="94"/>
      <c r="H245" s="93"/>
      <c r="I245" s="93"/>
      <c r="J245" s="93"/>
      <c r="K245" s="93"/>
      <c r="L245" s="93"/>
      <c r="M245" s="93"/>
      <c r="N245" s="93"/>
      <c r="O245" s="93"/>
      <c r="P245" s="93"/>
      <c r="Q245" s="93"/>
      <c r="R245" s="54">
        <v>2</v>
      </c>
      <c r="S245" s="94">
        <f t="shared" si="1"/>
        <v>3.3996260411354751E-4</v>
      </c>
      <c r="T245" s="53">
        <v>377</v>
      </c>
      <c r="U245" s="131">
        <f t="shared" si="2"/>
        <v>4.4292911254394042E-4</v>
      </c>
      <c r="V245" s="79"/>
      <c r="W245" s="88"/>
      <c r="X245" s="5"/>
    </row>
    <row r="246" spans="1:25" ht="15.75" x14ac:dyDescent="0.25">
      <c r="A246" s="24"/>
      <c r="B246" s="54" t="s">
        <v>160</v>
      </c>
      <c r="C246" s="93"/>
      <c r="D246" s="93"/>
      <c r="E246" s="93"/>
      <c r="F246" s="25"/>
      <c r="G246" s="94"/>
      <c r="H246" s="93"/>
      <c r="I246" s="93"/>
      <c r="J246" s="93"/>
      <c r="K246" s="93"/>
      <c r="L246" s="93"/>
      <c r="M246" s="93"/>
      <c r="N246" s="93"/>
      <c r="O246" s="93"/>
      <c r="P246" s="93"/>
      <c r="Q246" s="93"/>
      <c r="R246" s="54">
        <v>0</v>
      </c>
      <c r="S246" s="94">
        <f t="shared" si="1"/>
        <v>0</v>
      </c>
      <c r="T246" s="53">
        <v>0</v>
      </c>
      <c r="U246" s="131">
        <f t="shared" si="2"/>
        <v>0</v>
      </c>
      <c r="V246" s="79"/>
      <c r="W246" s="88"/>
      <c r="X246" s="5"/>
      <c r="Y246" s="109"/>
    </row>
    <row r="247" spans="1:25" ht="15.75" x14ac:dyDescent="0.25">
      <c r="A247" s="24"/>
      <c r="B247" s="54"/>
      <c r="C247" s="93"/>
      <c r="D247" s="93"/>
      <c r="E247" s="93"/>
      <c r="F247" s="25"/>
      <c r="G247" s="94"/>
      <c r="H247" s="93"/>
      <c r="I247" s="93"/>
      <c r="J247" s="93"/>
      <c r="K247" s="93"/>
      <c r="L247" s="93"/>
      <c r="M247" s="93"/>
      <c r="N247" s="93"/>
      <c r="O247" s="93"/>
      <c r="P247" s="93"/>
      <c r="Q247" s="93"/>
      <c r="R247" s="54"/>
      <c r="S247" s="94"/>
      <c r="T247" s="53"/>
      <c r="U247" s="131"/>
      <c r="V247" s="79"/>
      <c r="W247" s="88"/>
      <c r="X247" s="5"/>
    </row>
    <row r="248" spans="1:25" ht="15.75" x14ac:dyDescent="0.25">
      <c r="A248" s="24"/>
      <c r="B248" s="25"/>
      <c r="C248" s="25"/>
      <c r="D248" s="25"/>
      <c r="E248" s="25"/>
      <c r="F248" s="25"/>
      <c r="G248" s="25"/>
      <c r="H248" s="95"/>
      <c r="I248" s="95"/>
      <c r="J248" s="95"/>
      <c r="K248" s="95"/>
      <c r="L248" s="95"/>
      <c r="M248" s="95"/>
      <c r="N248" s="95"/>
      <c r="O248" s="95"/>
      <c r="P248" s="95"/>
      <c r="Q248" s="95"/>
      <c r="R248" s="34">
        <f>SUM(R239:R247)</f>
        <v>5883</v>
      </c>
      <c r="S248" s="131">
        <f>SUM(S239:S247)</f>
        <v>1.0000000000000002</v>
      </c>
      <c r="T248" s="53">
        <f>SUM(T239:T247)</f>
        <v>851152</v>
      </c>
      <c r="U248" s="131">
        <f>SUM(U239:U247)</f>
        <v>1</v>
      </c>
      <c r="V248" s="25"/>
      <c r="W248" s="25"/>
      <c r="X248" s="5"/>
    </row>
    <row r="249" spans="1:25" ht="15.75" x14ac:dyDescent="0.25">
      <c r="A249" s="24"/>
      <c r="B249" s="25"/>
      <c r="C249" s="25"/>
      <c r="D249" s="25"/>
      <c r="E249" s="25"/>
      <c r="F249" s="25"/>
      <c r="G249" s="25"/>
      <c r="H249" s="95"/>
      <c r="I249" s="95"/>
      <c r="J249" s="95"/>
      <c r="K249" s="95"/>
      <c r="L249" s="95"/>
      <c r="M249" s="95"/>
      <c r="N249" s="95"/>
      <c r="O249" s="95"/>
      <c r="P249" s="95"/>
      <c r="Q249" s="95"/>
      <c r="R249" s="34"/>
      <c r="S249" s="131"/>
      <c r="T249" s="53"/>
      <c r="U249" s="131"/>
      <c r="V249" s="25"/>
      <c r="W249" s="25"/>
      <c r="X249" s="5"/>
    </row>
    <row r="250" spans="1:25" ht="15.75" x14ac:dyDescent="0.25">
      <c r="A250" s="138"/>
      <c r="B250" s="14" t="s">
        <v>236</v>
      </c>
      <c r="C250" s="81"/>
      <c r="D250" s="81"/>
      <c r="E250" s="81"/>
      <c r="F250" s="82"/>
      <c r="G250" s="81"/>
      <c r="H250" s="17"/>
      <c r="I250" s="17"/>
      <c r="J250" s="17"/>
      <c r="K250" s="17"/>
      <c r="L250" s="17"/>
      <c r="M250" s="17"/>
      <c r="N250" s="17"/>
      <c r="O250" s="17"/>
      <c r="P250" s="17"/>
      <c r="Q250" s="17"/>
      <c r="R250" s="83" t="s">
        <v>102</v>
      </c>
      <c r="S250" s="17" t="s">
        <v>103</v>
      </c>
      <c r="T250" s="83" t="s">
        <v>109</v>
      </c>
      <c r="U250" s="17" t="s">
        <v>103</v>
      </c>
      <c r="V250" s="136"/>
      <c r="W250" s="137"/>
      <c r="X250" s="5"/>
    </row>
    <row r="251" spans="1:25" ht="15.75" x14ac:dyDescent="0.25">
      <c r="A251" s="24"/>
      <c r="B251" s="54" t="s">
        <v>88</v>
      </c>
      <c r="C251" s="93"/>
      <c r="D251" s="93"/>
      <c r="E251" s="93"/>
      <c r="F251" s="25"/>
      <c r="G251" s="93"/>
      <c r="H251" s="93"/>
      <c r="I251" s="93"/>
      <c r="J251" s="93"/>
      <c r="K251" s="93"/>
      <c r="L251" s="93"/>
      <c r="M251" s="93"/>
      <c r="N251" s="93"/>
      <c r="O251" s="93"/>
      <c r="P251" s="93"/>
      <c r="Q251" s="93"/>
      <c r="R251" s="54">
        <v>25</v>
      </c>
      <c r="S251" s="94">
        <f t="shared" ref="S251:S258" si="3">R251/$R$260</f>
        <v>0.14534883720930233</v>
      </c>
      <c r="T251" s="53">
        <v>2945</v>
      </c>
      <c r="U251" s="131">
        <f t="shared" ref="U251:U258" si="4">T251/$T$260</f>
        <v>0.11561260942959212</v>
      </c>
      <c r="V251" s="25"/>
      <c r="W251" s="25"/>
      <c r="X251" s="5"/>
    </row>
    <row r="252" spans="1:25" ht="15.75" x14ac:dyDescent="0.25">
      <c r="A252" s="24"/>
      <c r="B252" s="54" t="s">
        <v>89</v>
      </c>
      <c r="C252" s="93"/>
      <c r="D252" s="93"/>
      <c r="E252" s="93"/>
      <c r="F252" s="25"/>
      <c r="G252" s="94"/>
      <c r="H252" s="93"/>
      <c r="I252" s="93"/>
      <c r="J252" s="93"/>
      <c r="K252" s="93"/>
      <c r="L252" s="93"/>
      <c r="M252" s="93"/>
      <c r="N252" s="93"/>
      <c r="O252" s="93"/>
      <c r="P252" s="93"/>
      <c r="Q252" s="93"/>
      <c r="R252" s="54">
        <v>45</v>
      </c>
      <c r="S252" s="94">
        <f t="shared" si="3"/>
        <v>0.26162790697674421</v>
      </c>
      <c r="T252" s="53">
        <v>6288</v>
      </c>
      <c r="U252" s="131">
        <f t="shared" si="4"/>
        <v>0.24684960546460957</v>
      </c>
      <c r="V252" s="25"/>
      <c r="W252" s="25"/>
      <c r="X252" s="5"/>
    </row>
    <row r="253" spans="1:25" ht="15.75" x14ac:dyDescent="0.25">
      <c r="A253" s="24"/>
      <c r="B253" s="54" t="s">
        <v>90</v>
      </c>
      <c r="C253" s="93"/>
      <c r="D253" s="93"/>
      <c r="E253" s="93"/>
      <c r="F253" s="25"/>
      <c r="G253" s="94"/>
      <c r="H253" s="93"/>
      <c r="I253" s="93"/>
      <c r="J253" s="93"/>
      <c r="K253" s="93"/>
      <c r="L253" s="93"/>
      <c r="M253" s="93"/>
      <c r="N253" s="93"/>
      <c r="O253" s="93"/>
      <c r="P253" s="93"/>
      <c r="Q253" s="93"/>
      <c r="R253" s="54">
        <v>14</v>
      </c>
      <c r="S253" s="94">
        <f t="shared" si="3"/>
        <v>8.1395348837209308E-2</v>
      </c>
      <c r="T253" s="53">
        <v>1759</v>
      </c>
      <c r="U253" s="131">
        <f t="shared" si="4"/>
        <v>6.9053507635535666E-2</v>
      </c>
      <c r="V253" s="25"/>
      <c r="W253" s="25"/>
      <c r="X253" s="5"/>
    </row>
    <row r="254" spans="1:25" ht="15.75" x14ac:dyDescent="0.25">
      <c r="A254" s="24"/>
      <c r="B254" s="54" t="s">
        <v>156</v>
      </c>
      <c r="C254" s="93"/>
      <c r="D254" s="93"/>
      <c r="E254" s="93"/>
      <c r="F254" s="25"/>
      <c r="G254" s="94"/>
      <c r="H254" s="93"/>
      <c r="I254" s="93"/>
      <c r="J254" s="93"/>
      <c r="K254" s="93"/>
      <c r="L254" s="93"/>
      <c r="M254" s="93"/>
      <c r="N254" s="93"/>
      <c r="O254" s="93"/>
      <c r="P254" s="93"/>
      <c r="Q254" s="93"/>
      <c r="R254" s="54">
        <v>8</v>
      </c>
      <c r="S254" s="94">
        <f t="shared" si="3"/>
        <v>4.6511627906976744E-2</v>
      </c>
      <c r="T254" s="53">
        <v>1172</v>
      </c>
      <c r="U254" s="131">
        <f t="shared" si="4"/>
        <v>4.6009500255172142E-2</v>
      </c>
      <c r="V254" s="25"/>
      <c r="W254" s="25"/>
      <c r="X254" s="5"/>
    </row>
    <row r="255" spans="1:25" ht="15.75" x14ac:dyDescent="0.25">
      <c r="A255" s="24"/>
      <c r="B255" s="54" t="s">
        <v>157</v>
      </c>
      <c r="C255" s="93"/>
      <c r="D255" s="93"/>
      <c r="E255" s="93"/>
      <c r="F255" s="25"/>
      <c r="G255" s="94"/>
      <c r="H255" s="93"/>
      <c r="I255" s="93"/>
      <c r="J255" s="93"/>
      <c r="K255" s="93"/>
      <c r="L255" s="93"/>
      <c r="M255" s="93"/>
      <c r="N255" s="93"/>
      <c r="O255" s="93"/>
      <c r="P255" s="93"/>
      <c r="Q255" s="93"/>
      <c r="R255" s="54">
        <v>4</v>
      </c>
      <c r="S255" s="94">
        <f t="shared" si="3"/>
        <v>2.3255813953488372E-2</v>
      </c>
      <c r="T255" s="53">
        <v>794</v>
      </c>
      <c r="U255" s="131">
        <f t="shared" si="4"/>
        <v>3.1170258705295804E-2</v>
      </c>
      <c r="V255" s="25"/>
      <c r="W255" s="25"/>
      <c r="X255" s="5"/>
    </row>
    <row r="256" spans="1:25" ht="15.75" x14ac:dyDescent="0.25">
      <c r="A256" s="24"/>
      <c r="B256" s="54" t="s">
        <v>158</v>
      </c>
      <c r="C256" s="93"/>
      <c r="D256" s="93"/>
      <c r="E256" s="93"/>
      <c r="F256" s="25"/>
      <c r="G256" s="94"/>
      <c r="H256" s="93"/>
      <c r="I256" s="93"/>
      <c r="J256" s="93"/>
      <c r="K256" s="93"/>
      <c r="L256" s="93"/>
      <c r="M256" s="93"/>
      <c r="N256" s="93"/>
      <c r="O256" s="93"/>
      <c r="P256" s="93"/>
      <c r="Q256" s="93"/>
      <c r="R256" s="54">
        <v>8</v>
      </c>
      <c r="S256" s="94">
        <f t="shared" si="3"/>
        <v>4.6511627906976744E-2</v>
      </c>
      <c r="T256" s="53">
        <v>1550</v>
      </c>
      <c r="U256" s="131">
        <f t="shared" si="4"/>
        <v>6.0848741805048484E-2</v>
      </c>
      <c r="V256" s="25"/>
      <c r="W256" s="25"/>
      <c r="X256" s="5"/>
    </row>
    <row r="257" spans="1:24" ht="15.75" x14ac:dyDescent="0.25">
      <c r="A257" s="24"/>
      <c r="B257" s="54" t="s">
        <v>159</v>
      </c>
      <c r="C257" s="93"/>
      <c r="D257" s="93"/>
      <c r="E257" s="93"/>
      <c r="F257" s="25"/>
      <c r="G257" s="94"/>
      <c r="H257" s="93"/>
      <c r="I257" s="93"/>
      <c r="J257" s="93"/>
      <c r="K257" s="93"/>
      <c r="L257" s="93"/>
      <c r="M257" s="93"/>
      <c r="N257" s="93"/>
      <c r="O257" s="93"/>
      <c r="P257" s="93"/>
      <c r="Q257" s="93"/>
      <c r="R257" s="54">
        <v>33</v>
      </c>
      <c r="S257" s="94">
        <f t="shared" si="3"/>
        <v>0.19186046511627908</v>
      </c>
      <c r="T257" s="53">
        <v>5501</v>
      </c>
      <c r="U257" s="131">
        <f t="shared" si="4"/>
        <v>0.21595414752875594</v>
      </c>
      <c r="V257" s="25"/>
      <c r="W257" s="25"/>
      <c r="X257" s="5"/>
    </row>
    <row r="258" spans="1:24" ht="15.75" x14ac:dyDescent="0.25">
      <c r="A258" s="24"/>
      <c r="B258" s="54" t="s">
        <v>160</v>
      </c>
      <c r="C258" s="93"/>
      <c r="D258" s="93"/>
      <c r="E258" s="93"/>
      <c r="F258" s="25"/>
      <c r="G258" s="94"/>
      <c r="H258" s="93"/>
      <c r="I258" s="93"/>
      <c r="J258" s="93"/>
      <c r="K258" s="93"/>
      <c r="L258" s="93"/>
      <c r="M258" s="93"/>
      <c r="N258" s="93"/>
      <c r="O258" s="93"/>
      <c r="P258" s="93"/>
      <c r="Q258" s="93"/>
      <c r="R258" s="54">
        <v>35</v>
      </c>
      <c r="S258" s="94">
        <f t="shared" si="3"/>
        <v>0.20348837209302326</v>
      </c>
      <c r="T258" s="53">
        <v>5464</v>
      </c>
      <c r="U258" s="131">
        <f t="shared" si="4"/>
        <v>0.21450162917599028</v>
      </c>
      <c r="V258" s="25"/>
      <c r="W258" s="25"/>
      <c r="X258" s="5"/>
    </row>
    <row r="259" spans="1:24" ht="15.75" x14ac:dyDescent="0.25">
      <c r="A259" s="24"/>
      <c r="B259" s="54"/>
      <c r="C259" s="93"/>
      <c r="D259" s="93"/>
      <c r="E259" s="93"/>
      <c r="F259" s="25"/>
      <c r="G259" s="94"/>
      <c r="H259" s="93"/>
      <c r="I259" s="93"/>
      <c r="J259" s="93"/>
      <c r="K259" s="93"/>
      <c r="L259" s="93"/>
      <c r="M259" s="93"/>
      <c r="N259" s="93"/>
      <c r="O259" s="93"/>
      <c r="P259" s="93"/>
      <c r="Q259" s="93"/>
      <c r="R259" s="54"/>
      <c r="S259" s="94"/>
      <c r="T259" s="53"/>
      <c r="U259" s="131"/>
      <c r="V259" s="25"/>
      <c r="W259" s="25"/>
      <c r="X259" s="5"/>
    </row>
    <row r="260" spans="1:24" ht="15.75" x14ac:dyDescent="0.25">
      <c r="A260" s="24"/>
      <c r="B260" s="25"/>
      <c r="C260" s="25"/>
      <c r="D260" s="25"/>
      <c r="E260" s="25"/>
      <c r="F260" s="25"/>
      <c r="G260" s="25"/>
      <c r="H260" s="95"/>
      <c r="I260" s="95"/>
      <c r="J260" s="95"/>
      <c r="K260" s="95"/>
      <c r="L260" s="95"/>
      <c r="M260" s="95"/>
      <c r="N260" s="95"/>
      <c r="O260" s="95"/>
      <c r="P260" s="95"/>
      <c r="Q260" s="95"/>
      <c r="R260" s="34">
        <f>SUM(R251:R259)</f>
        <v>172</v>
      </c>
      <c r="S260" s="131">
        <f>SUM(S251:S259)</f>
        <v>1</v>
      </c>
      <c r="T260" s="53">
        <f>SUM(T251:T259)</f>
        <v>25473</v>
      </c>
      <c r="U260" s="131">
        <f>SUM(U251:U259)</f>
        <v>1</v>
      </c>
      <c r="V260" s="25"/>
      <c r="W260" s="25"/>
      <c r="X260" s="5"/>
    </row>
    <row r="261" spans="1:24" ht="15.75" x14ac:dyDescent="0.25">
      <c r="A261" s="24"/>
      <c r="B261" s="25"/>
      <c r="C261" s="25"/>
      <c r="D261" s="25"/>
      <c r="E261" s="25"/>
      <c r="F261" s="25"/>
      <c r="G261" s="25"/>
      <c r="H261" s="95"/>
      <c r="I261" s="95"/>
      <c r="J261" s="95"/>
      <c r="K261" s="95"/>
      <c r="L261" s="95"/>
      <c r="M261" s="95"/>
      <c r="N261" s="95"/>
      <c r="O261" s="95"/>
      <c r="P261" s="95"/>
      <c r="Q261" s="95"/>
      <c r="R261" s="34"/>
      <c r="S261" s="131"/>
      <c r="T261" s="53"/>
      <c r="U261" s="131"/>
      <c r="V261" s="25"/>
      <c r="W261" s="25"/>
      <c r="X261" s="5"/>
    </row>
    <row r="262" spans="1:24" ht="15.75" x14ac:dyDescent="0.25">
      <c r="A262" s="138"/>
      <c r="B262" s="14" t="s">
        <v>163</v>
      </c>
      <c r="C262" s="136"/>
      <c r="D262" s="136"/>
      <c r="E262" s="136"/>
      <c r="F262" s="136"/>
      <c r="G262" s="136"/>
      <c r="H262" s="142"/>
      <c r="I262" s="142"/>
      <c r="J262" s="142"/>
      <c r="K262" s="142"/>
      <c r="L262" s="142"/>
      <c r="M262" s="142"/>
      <c r="N262" s="142"/>
      <c r="O262" s="142"/>
      <c r="P262" s="142"/>
      <c r="Q262" s="142"/>
      <c r="R262" s="83" t="s">
        <v>102</v>
      </c>
      <c r="S262" s="17" t="s">
        <v>103</v>
      </c>
      <c r="T262" s="83" t="s">
        <v>109</v>
      </c>
      <c r="U262" s="17" t="s">
        <v>103</v>
      </c>
      <c r="V262" s="136"/>
      <c r="W262" s="137"/>
      <c r="X262" s="5"/>
    </row>
    <row r="263" spans="1:24" ht="15.75" x14ac:dyDescent="0.25">
      <c r="A263" s="24"/>
      <c r="B263" s="54" t="s">
        <v>88</v>
      </c>
      <c r="C263" s="25"/>
      <c r="D263" s="25"/>
      <c r="E263" s="25"/>
      <c r="F263" s="25"/>
      <c r="G263" s="25"/>
      <c r="H263" s="95"/>
      <c r="I263" s="95"/>
      <c r="J263" s="95"/>
      <c r="K263" s="95"/>
      <c r="L263" s="95"/>
      <c r="M263" s="95"/>
      <c r="N263" s="95"/>
      <c r="O263" s="95"/>
      <c r="P263" s="95"/>
      <c r="Q263" s="95"/>
      <c r="R263" s="54">
        <v>0</v>
      </c>
      <c r="S263" s="94">
        <v>0</v>
      </c>
      <c r="T263" s="53">
        <v>0</v>
      </c>
      <c r="U263" s="131">
        <v>0</v>
      </c>
      <c r="V263" s="25"/>
      <c r="W263" s="25"/>
      <c r="X263" s="5"/>
    </row>
    <row r="264" spans="1:24" ht="15.75" x14ac:dyDescent="0.25">
      <c r="A264" s="24"/>
      <c r="B264" s="54" t="s">
        <v>89</v>
      </c>
      <c r="C264" s="25"/>
      <c r="D264" s="25"/>
      <c r="E264" s="25"/>
      <c r="F264" s="25"/>
      <c r="G264" s="25"/>
      <c r="H264" s="95"/>
      <c r="I264" s="95"/>
      <c r="J264" s="95"/>
      <c r="K264" s="95"/>
      <c r="L264" s="95"/>
      <c r="M264" s="95"/>
      <c r="N264" s="95"/>
      <c r="O264" s="95"/>
      <c r="P264" s="95"/>
      <c r="Q264" s="95"/>
      <c r="R264" s="54">
        <v>0</v>
      </c>
      <c r="S264" s="94">
        <v>0</v>
      </c>
      <c r="T264" s="53">
        <v>0</v>
      </c>
      <c r="U264" s="131">
        <v>0</v>
      </c>
      <c r="V264" s="25"/>
      <c r="W264" s="25"/>
      <c r="X264" s="5"/>
    </row>
    <row r="265" spans="1:24" ht="15.75" x14ac:dyDescent="0.25">
      <c r="A265" s="24"/>
      <c r="B265" s="54" t="s">
        <v>90</v>
      </c>
      <c r="C265" s="25"/>
      <c r="D265" s="25"/>
      <c r="E265" s="25"/>
      <c r="F265" s="25"/>
      <c r="G265" s="25"/>
      <c r="H265" s="95"/>
      <c r="I265" s="95"/>
      <c r="J265" s="95"/>
      <c r="K265" s="95"/>
      <c r="L265" s="95"/>
      <c r="M265" s="95"/>
      <c r="N265" s="95"/>
      <c r="O265" s="95"/>
      <c r="P265" s="95"/>
      <c r="Q265" s="95"/>
      <c r="R265" s="54">
        <v>0</v>
      </c>
      <c r="S265" s="94">
        <v>0</v>
      </c>
      <c r="T265" s="53">
        <v>0</v>
      </c>
      <c r="U265" s="131">
        <v>0</v>
      </c>
      <c r="V265" s="25"/>
      <c r="W265" s="25"/>
      <c r="X265" s="5"/>
    </row>
    <row r="266" spans="1:24" ht="15.75" x14ac:dyDescent="0.25">
      <c r="A266" s="24"/>
      <c r="B266" s="54" t="s">
        <v>156</v>
      </c>
      <c r="C266" s="25"/>
      <c r="D266" s="25"/>
      <c r="E266" s="25"/>
      <c r="F266" s="25"/>
      <c r="G266" s="25"/>
      <c r="H266" s="95"/>
      <c r="I266" s="95"/>
      <c r="J266" s="95"/>
      <c r="K266" s="95"/>
      <c r="L266" s="95"/>
      <c r="M266" s="95"/>
      <c r="N266" s="95"/>
      <c r="O266" s="95"/>
      <c r="P266" s="95"/>
      <c r="Q266" s="95"/>
      <c r="R266" s="54">
        <v>0</v>
      </c>
      <c r="S266" s="94">
        <v>0</v>
      </c>
      <c r="T266" s="53">
        <v>0</v>
      </c>
      <c r="U266" s="131">
        <v>0</v>
      </c>
      <c r="V266" s="25"/>
      <c r="W266" s="25"/>
      <c r="X266" s="5"/>
    </row>
    <row r="267" spans="1:24" ht="15.75" x14ac:dyDescent="0.25">
      <c r="A267" s="24"/>
      <c r="B267" s="54" t="s">
        <v>157</v>
      </c>
      <c r="C267" s="25"/>
      <c r="D267" s="25"/>
      <c r="E267" s="25"/>
      <c r="F267" s="25"/>
      <c r="G267" s="25"/>
      <c r="H267" s="95"/>
      <c r="I267" s="95"/>
      <c r="J267" s="95"/>
      <c r="K267" s="95"/>
      <c r="L267" s="95"/>
      <c r="M267" s="95"/>
      <c r="N267" s="95"/>
      <c r="O267" s="95"/>
      <c r="P267" s="95"/>
      <c r="Q267" s="95"/>
      <c r="R267" s="54">
        <v>0</v>
      </c>
      <c r="S267" s="94">
        <v>0</v>
      </c>
      <c r="T267" s="53">
        <v>0</v>
      </c>
      <c r="U267" s="131">
        <v>0</v>
      </c>
      <c r="V267" s="25"/>
      <c r="W267" s="25"/>
      <c r="X267" s="5"/>
    </row>
    <row r="268" spans="1:24" ht="15.75" x14ac:dyDescent="0.25">
      <c r="A268" s="24"/>
      <c r="B268" s="54" t="s">
        <v>158</v>
      </c>
      <c r="C268" s="25"/>
      <c r="D268" s="25"/>
      <c r="E268" s="25"/>
      <c r="F268" s="25"/>
      <c r="G268" s="25"/>
      <c r="H268" s="95"/>
      <c r="I268" s="95"/>
      <c r="J268" s="95"/>
      <c r="K268" s="95"/>
      <c r="L268" s="95"/>
      <c r="M268" s="95"/>
      <c r="N268" s="95"/>
      <c r="O268" s="95"/>
      <c r="P268" s="95"/>
      <c r="Q268" s="95"/>
      <c r="R268" s="54">
        <v>0</v>
      </c>
      <c r="S268" s="94">
        <v>0</v>
      </c>
      <c r="T268" s="53">
        <v>0</v>
      </c>
      <c r="U268" s="131">
        <v>0</v>
      </c>
      <c r="V268" s="25"/>
      <c r="W268" s="25"/>
      <c r="X268" s="5"/>
    </row>
    <row r="269" spans="1:24" ht="15.75" x14ac:dyDescent="0.25">
      <c r="A269" s="24"/>
      <c r="B269" s="54" t="s">
        <v>159</v>
      </c>
      <c r="C269" s="25"/>
      <c r="D269" s="25"/>
      <c r="E269" s="25"/>
      <c r="F269" s="25"/>
      <c r="G269" s="25"/>
      <c r="H269" s="95"/>
      <c r="I269" s="95"/>
      <c r="J269" s="95"/>
      <c r="K269" s="95"/>
      <c r="L269" s="95"/>
      <c r="M269" s="95"/>
      <c r="N269" s="95"/>
      <c r="O269" s="95"/>
      <c r="P269" s="95"/>
      <c r="Q269" s="95"/>
      <c r="R269" s="54">
        <v>0</v>
      </c>
      <c r="S269" s="94">
        <v>0</v>
      </c>
      <c r="T269" s="53">
        <v>0</v>
      </c>
      <c r="U269" s="131">
        <v>0</v>
      </c>
      <c r="V269" s="25"/>
      <c r="W269" s="25"/>
      <c r="X269" s="5"/>
    </row>
    <row r="270" spans="1:24" ht="15.75" x14ac:dyDescent="0.25">
      <c r="A270" s="24"/>
      <c r="B270" s="54" t="s">
        <v>160</v>
      </c>
      <c r="C270" s="25"/>
      <c r="D270" s="25"/>
      <c r="E270" s="25"/>
      <c r="F270" s="25"/>
      <c r="G270" s="25"/>
      <c r="H270" s="95"/>
      <c r="I270" s="95"/>
      <c r="J270" s="95"/>
      <c r="K270" s="95"/>
      <c r="L270" s="95"/>
      <c r="M270" s="95"/>
      <c r="N270" s="95"/>
      <c r="O270" s="95"/>
      <c r="P270" s="95"/>
      <c r="Q270" s="95"/>
      <c r="R270" s="54">
        <v>0</v>
      </c>
      <c r="S270" s="94">
        <v>0</v>
      </c>
      <c r="T270" s="53">
        <v>0</v>
      </c>
      <c r="U270" s="131">
        <v>0</v>
      </c>
      <c r="V270" s="25"/>
      <c r="W270" s="25"/>
      <c r="X270" s="5"/>
    </row>
    <row r="271" spans="1:24" ht="15.75" x14ac:dyDescent="0.25">
      <c r="A271" s="24"/>
      <c r="B271" s="54"/>
      <c r="C271" s="25"/>
      <c r="D271" s="25"/>
      <c r="E271" s="25"/>
      <c r="F271" s="25"/>
      <c r="G271" s="25"/>
      <c r="H271" s="95"/>
      <c r="I271" s="95"/>
      <c r="J271" s="95"/>
      <c r="K271" s="95"/>
      <c r="L271" s="95"/>
      <c r="M271" s="95"/>
      <c r="N271" s="95"/>
      <c r="O271" s="95"/>
      <c r="P271" s="95"/>
      <c r="Q271" s="95"/>
      <c r="R271" s="54"/>
      <c r="S271" s="94"/>
      <c r="T271" s="53"/>
      <c r="U271" s="131"/>
      <c r="V271" s="25"/>
      <c r="W271" s="25"/>
      <c r="X271" s="5"/>
    </row>
    <row r="272" spans="1:24" ht="15.75" x14ac:dyDescent="0.25">
      <c r="A272" s="24"/>
      <c r="B272" s="25" t="s">
        <v>114</v>
      </c>
      <c r="C272" s="25"/>
      <c r="D272" s="25"/>
      <c r="E272" s="25"/>
      <c r="F272" s="25"/>
      <c r="G272" s="25"/>
      <c r="H272" s="95"/>
      <c r="I272" s="95"/>
      <c r="J272" s="95"/>
      <c r="K272" s="95"/>
      <c r="L272" s="95"/>
      <c r="M272" s="95"/>
      <c r="N272" s="95"/>
      <c r="O272" s="95"/>
      <c r="P272" s="95"/>
      <c r="Q272" s="95"/>
      <c r="R272" s="34">
        <f>SUM(R263:R270)</f>
        <v>0</v>
      </c>
      <c r="S272" s="94">
        <f>SUM(S263:S270)</f>
        <v>0</v>
      </c>
      <c r="T272" s="53">
        <f>SUM(T263:T270)</f>
        <v>0</v>
      </c>
      <c r="U272" s="131">
        <f>SUM(U263:U270)</f>
        <v>0</v>
      </c>
      <c r="V272" s="25"/>
      <c r="W272" s="25"/>
      <c r="X272" s="5"/>
    </row>
    <row r="273" spans="1:24" ht="15.75" x14ac:dyDescent="0.25">
      <c r="A273" s="24"/>
      <c r="B273" s="25"/>
      <c r="C273" s="25"/>
      <c r="D273" s="25"/>
      <c r="E273" s="25"/>
      <c r="F273" s="25"/>
      <c r="G273" s="25"/>
      <c r="H273" s="95"/>
      <c r="I273" s="95"/>
      <c r="J273" s="95"/>
      <c r="K273" s="95"/>
      <c r="L273" s="95"/>
      <c r="M273" s="95"/>
      <c r="N273" s="95"/>
      <c r="O273" s="95"/>
      <c r="P273" s="95"/>
      <c r="Q273" s="95"/>
      <c r="R273" s="34"/>
      <c r="S273" s="131"/>
      <c r="T273" s="53"/>
      <c r="U273" s="131"/>
      <c r="V273" s="25"/>
      <c r="W273" s="25"/>
      <c r="X273" s="5"/>
    </row>
    <row r="274" spans="1:24" ht="15.75" x14ac:dyDescent="0.25">
      <c r="A274" s="24"/>
      <c r="B274" s="139" t="s">
        <v>164</v>
      </c>
      <c r="C274" s="25"/>
      <c r="D274" s="25"/>
      <c r="E274" s="25"/>
      <c r="F274" s="25"/>
      <c r="G274" s="25"/>
      <c r="H274" s="95"/>
      <c r="I274" s="95"/>
      <c r="J274" s="95"/>
      <c r="K274" s="95"/>
      <c r="L274" s="95"/>
      <c r="M274" s="95"/>
      <c r="N274" s="95"/>
      <c r="O274" s="95"/>
      <c r="P274" s="95"/>
      <c r="Q274" s="95"/>
      <c r="R274" s="156">
        <f>R272+R260+R248</f>
        <v>6055</v>
      </c>
      <c r="S274" s="140"/>
      <c r="T274" s="141">
        <f>+T272+T260+T248</f>
        <v>876625</v>
      </c>
      <c r="U274" s="140"/>
      <c r="V274" s="25"/>
      <c r="W274" s="25"/>
      <c r="X274" s="5"/>
    </row>
    <row r="275" spans="1:24" ht="15.75" x14ac:dyDescent="0.25">
      <c r="A275" s="24"/>
      <c r="B275" s="25"/>
      <c r="C275" s="25"/>
      <c r="D275" s="25"/>
      <c r="E275" s="25"/>
      <c r="F275" s="25"/>
      <c r="G275" s="25"/>
      <c r="H275" s="95"/>
      <c r="I275" s="95"/>
      <c r="J275" s="95"/>
      <c r="K275" s="95"/>
      <c r="L275" s="95"/>
      <c r="M275" s="95"/>
      <c r="N275" s="95"/>
      <c r="O275" s="95"/>
      <c r="P275" s="95"/>
      <c r="Q275" s="95"/>
      <c r="R275" s="95"/>
      <c r="S275" s="95"/>
      <c r="T275" s="53"/>
      <c r="U275" s="95"/>
      <c r="V275" s="25"/>
      <c r="W275" s="25"/>
      <c r="X275" s="5"/>
    </row>
    <row r="276" spans="1:24" ht="15.75" x14ac:dyDescent="0.25">
      <c r="A276" s="6"/>
      <c r="B276" s="8"/>
      <c r="C276" s="8"/>
      <c r="D276" s="8"/>
      <c r="E276" s="8"/>
      <c r="F276" s="8"/>
      <c r="G276" s="8"/>
      <c r="H276" s="96"/>
      <c r="I276" s="96"/>
      <c r="J276" s="96"/>
      <c r="K276" s="96"/>
      <c r="L276" s="96"/>
      <c r="M276" s="96"/>
      <c r="N276" s="96"/>
      <c r="O276" s="96"/>
      <c r="P276" s="96"/>
      <c r="Q276" s="96"/>
      <c r="R276" s="96"/>
      <c r="S276" s="96"/>
      <c r="T276" s="97"/>
      <c r="U276" s="96"/>
      <c r="V276" s="8"/>
      <c r="W276" s="8"/>
      <c r="X276" s="5"/>
    </row>
    <row r="277" spans="1:24" ht="15.75" x14ac:dyDescent="0.25">
      <c r="A277" s="178"/>
      <c r="B277" s="14" t="s">
        <v>91</v>
      </c>
      <c r="C277" s="15"/>
      <c r="D277" s="15"/>
      <c r="E277" s="15"/>
      <c r="F277" s="17" t="s">
        <v>97</v>
      </c>
      <c r="G277" s="15"/>
      <c r="H277" s="14" t="s">
        <v>99</v>
      </c>
      <c r="I277" s="14"/>
      <c r="J277" s="14"/>
      <c r="K277" s="173"/>
      <c r="L277" s="173"/>
      <c r="M277" s="173"/>
      <c r="N277" s="173"/>
      <c r="O277" s="173"/>
      <c r="P277" s="173"/>
      <c r="Q277" s="173"/>
      <c r="R277" s="173"/>
      <c r="S277" s="173"/>
      <c r="T277" s="173"/>
      <c r="U277" s="173"/>
      <c r="V277" s="173"/>
      <c r="W277" s="173"/>
      <c r="X277" s="5"/>
    </row>
    <row r="278" spans="1:24" ht="15.75" x14ac:dyDescent="0.25">
      <c r="A278" s="178"/>
      <c r="B278" s="173"/>
      <c r="C278" s="8"/>
      <c r="D278" s="8"/>
      <c r="E278" s="8"/>
      <c r="F278" s="8"/>
      <c r="G278" s="8"/>
      <c r="H278" s="8"/>
      <c r="I278" s="8"/>
      <c r="J278" s="8"/>
      <c r="K278" s="173"/>
      <c r="L278" s="173"/>
      <c r="M278" s="173"/>
      <c r="N278" s="173"/>
      <c r="O278" s="173"/>
      <c r="P278" s="173"/>
      <c r="Q278" s="173"/>
      <c r="R278" s="173"/>
      <c r="S278" s="173"/>
      <c r="T278" s="173"/>
      <c r="U278" s="173"/>
      <c r="V278" s="173"/>
      <c r="W278" s="173"/>
      <c r="X278" s="5"/>
    </row>
    <row r="279" spans="1:24" ht="15.75" x14ac:dyDescent="0.25">
      <c r="A279" s="178"/>
      <c r="B279" s="13" t="s">
        <v>92</v>
      </c>
      <c r="C279" s="13"/>
      <c r="D279" s="13"/>
      <c r="E279" s="13"/>
      <c r="F279" s="129" t="s">
        <v>148</v>
      </c>
      <c r="G279" s="13"/>
      <c r="H279" s="13" t="s">
        <v>152</v>
      </c>
      <c r="I279" s="13"/>
      <c r="J279" s="13"/>
      <c r="K279" s="173"/>
      <c r="L279" s="173"/>
      <c r="M279" s="173"/>
      <c r="N279" s="173"/>
      <c r="O279" s="173"/>
      <c r="P279" s="173"/>
      <c r="Q279" s="173"/>
      <c r="R279" s="173"/>
      <c r="S279" s="173"/>
      <c r="T279" s="173"/>
      <c r="U279" s="173"/>
      <c r="V279" s="173"/>
      <c r="W279" s="173"/>
      <c r="X279" s="5"/>
    </row>
    <row r="280" spans="1:24" ht="15.75" x14ac:dyDescent="0.25">
      <c r="A280" s="178"/>
      <c r="B280" s="13" t="s">
        <v>265</v>
      </c>
      <c r="C280" s="13"/>
      <c r="D280" s="13"/>
      <c r="E280" s="13"/>
      <c r="F280" s="129" t="s">
        <v>266</v>
      </c>
      <c r="G280" s="13"/>
      <c r="H280" s="13" t="s">
        <v>267</v>
      </c>
      <c r="I280" s="13"/>
      <c r="J280" s="13"/>
      <c r="K280" s="173"/>
      <c r="L280" s="173"/>
      <c r="M280" s="173"/>
      <c r="N280" s="173"/>
      <c r="O280" s="173"/>
      <c r="P280" s="173"/>
      <c r="Q280" s="173"/>
      <c r="R280" s="173"/>
      <c r="S280" s="173"/>
      <c r="T280" s="173"/>
      <c r="U280" s="173"/>
      <c r="V280" s="173"/>
      <c r="W280" s="173"/>
      <c r="X280" s="5"/>
    </row>
    <row r="281" spans="1:24" ht="15.75" x14ac:dyDescent="0.25">
      <c r="A281" s="178"/>
      <c r="B281" s="13" t="s">
        <v>93</v>
      </c>
      <c r="C281" s="13"/>
      <c r="D281" s="13"/>
      <c r="E281" s="13"/>
      <c r="F281" s="129" t="s">
        <v>147</v>
      </c>
      <c r="G281" s="13"/>
      <c r="H281" s="13" t="s">
        <v>153</v>
      </c>
      <c r="I281" s="13"/>
      <c r="J281" s="13"/>
      <c r="K281" s="173"/>
      <c r="L281" s="173"/>
      <c r="M281" s="173"/>
      <c r="N281" s="173"/>
      <c r="O281" s="173"/>
      <c r="P281" s="173"/>
      <c r="Q281" s="173"/>
      <c r="R281" s="173"/>
      <c r="S281" s="173"/>
      <c r="T281" s="173"/>
      <c r="U281" s="173"/>
      <c r="V281" s="173"/>
      <c r="W281" s="173"/>
      <c r="X281" s="5"/>
    </row>
    <row r="282" spans="1:24" ht="15.75" x14ac:dyDescent="0.25">
      <c r="A282" s="178"/>
      <c r="B282" s="13"/>
      <c r="C282" s="13"/>
      <c r="D282" s="13"/>
      <c r="E282" s="13"/>
      <c r="F282" s="13"/>
      <c r="G282" s="99"/>
      <c r="H282" s="173"/>
      <c r="I282" s="173"/>
      <c r="J282" s="173"/>
      <c r="K282" s="173"/>
      <c r="L282" s="173"/>
      <c r="M282" s="173"/>
      <c r="N282" s="173"/>
      <c r="O282" s="173"/>
      <c r="P282" s="173"/>
      <c r="Q282" s="173"/>
      <c r="R282" s="173"/>
      <c r="S282" s="173"/>
      <c r="T282" s="173"/>
      <c r="U282" s="173"/>
      <c r="V282" s="173"/>
      <c r="W282" s="173"/>
      <c r="X282" s="5"/>
    </row>
    <row r="283" spans="1:24" ht="15.75" x14ac:dyDescent="0.25">
      <c r="A283" s="178"/>
      <c r="B283" s="13"/>
      <c r="C283" s="13"/>
      <c r="D283" s="13"/>
      <c r="E283" s="13"/>
      <c r="F283" s="13"/>
      <c r="G283" s="99"/>
      <c r="H283" s="173"/>
      <c r="I283" s="173"/>
      <c r="J283" s="173"/>
      <c r="K283" s="173"/>
      <c r="L283" s="173"/>
      <c r="M283" s="173"/>
      <c r="N283" s="173"/>
      <c r="O283" s="173"/>
      <c r="P283" s="173"/>
      <c r="Q283" s="173"/>
      <c r="R283" s="173"/>
      <c r="S283" s="173"/>
      <c r="T283" s="173"/>
      <c r="U283" s="173"/>
      <c r="V283" s="173"/>
      <c r="W283" s="173"/>
      <c r="X283" s="5"/>
    </row>
    <row r="284" spans="1:24" ht="19.5" thickBot="1" x14ac:dyDescent="0.35">
      <c r="A284" s="178"/>
      <c r="B284" s="49" t="str">
        <f>B200</f>
        <v>PM15 INVESTOR REPORT QUARTER ENDING AUGUST 2009</v>
      </c>
      <c r="C284" s="13"/>
      <c r="D284" s="13"/>
      <c r="E284" s="13"/>
      <c r="F284" s="13"/>
      <c r="G284" s="99"/>
      <c r="H284" s="173"/>
      <c r="I284" s="173"/>
      <c r="J284" s="173"/>
      <c r="K284" s="173"/>
      <c r="L284" s="173"/>
      <c r="M284" s="173"/>
      <c r="N284" s="173"/>
      <c r="O284" s="173"/>
      <c r="P284" s="173"/>
      <c r="Q284" s="173"/>
      <c r="R284" s="173"/>
      <c r="S284" s="173"/>
      <c r="T284" s="173"/>
      <c r="U284" s="173"/>
      <c r="V284" s="173"/>
      <c r="W284" s="173"/>
      <c r="X284" s="5"/>
    </row>
    <row r="285" spans="1:24" x14ac:dyDescent="0.2">
      <c r="A285" s="100"/>
      <c r="B285" s="100"/>
      <c r="C285" s="100"/>
      <c r="D285" s="100"/>
      <c r="E285" s="100"/>
      <c r="F285" s="100"/>
      <c r="G285" s="100"/>
      <c r="H285" s="100"/>
      <c r="I285" s="100"/>
      <c r="J285" s="100"/>
      <c r="K285" s="100"/>
      <c r="L285" s="100"/>
      <c r="M285" s="100"/>
      <c r="N285" s="100"/>
      <c r="O285" s="100"/>
      <c r="P285" s="100"/>
      <c r="Q285" s="100"/>
      <c r="R285" s="100"/>
      <c r="S285" s="100"/>
      <c r="T285" s="100"/>
      <c r="U285" s="100"/>
      <c r="V285" s="100"/>
      <c r="W285" s="100"/>
    </row>
  </sheetData>
  <phoneticPr fontId="0" type="noConversion"/>
  <hyperlinks>
    <hyperlink ref="P236" r:id="rId1" xr:uid="{00000000-0004-0000-0700-000000000000}"/>
    <hyperlink ref="I9" r:id="rId2" xr:uid="{00000000-0004-0000-07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5" max="14" man="1"/>
    <brk id="200" max="14" man="1"/>
  </rowBreak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IV286"/>
  <sheetViews>
    <sheetView showGridLines="0" showOutlineSymbols="0" zoomScale="70" zoomScaleNormal="70" workbookViewId="0"/>
  </sheetViews>
  <sheetFormatPr defaultColWidth="9.6640625" defaultRowHeight="15" x14ac:dyDescent="0.2"/>
  <cols>
    <col min="1" max="1" width="4" style="1" customWidth="1"/>
    <col min="2" max="2" width="71.21875" style="1" customWidth="1"/>
    <col min="3" max="3" width="2.21875" style="1" customWidth="1"/>
    <col min="4" max="4" width="19.33203125" style="1" customWidth="1"/>
    <col min="5" max="5" width="2.21875" style="1" customWidth="1"/>
    <col min="6" max="6" width="25.109375" style="1" customWidth="1"/>
    <col min="7" max="7" width="2.21875" style="1" customWidth="1"/>
    <col min="8" max="8" width="16.21875" style="1" customWidth="1"/>
    <col min="9" max="9" width="2.88671875" style="1" customWidth="1"/>
    <col min="10" max="10" width="16.21875" style="1" customWidth="1"/>
    <col min="11" max="11" width="2.21875" style="1" customWidth="1"/>
    <col min="12" max="12" width="17.88671875" style="1" customWidth="1"/>
    <col min="13" max="13" width="2.33203125" style="1" customWidth="1"/>
    <col min="14" max="14" width="14.88671875" style="1" customWidth="1"/>
    <col min="15" max="15" width="2.33203125" style="1" customWidth="1"/>
    <col min="16" max="16" width="15.5546875" style="1" customWidth="1"/>
    <col min="17" max="17" width="2.21875" style="1" customWidth="1"/>
    <col min="18" max="18" width="15.5546875" style="1" customWidth="1"/>
    <col min="19" max="20" width="12.6640625" style="1" customWidth="1"/>
    <col min="21" max="21" width="7.77734375" style="1" customWidth="1"/>
    <col min="22" max="22" width="14.6640625" style="1" customWidth="1"/>
    <col min="23" max="23" width="11.77734375" style="1" customWidth="1"/>
    <col min="24" max="16384" width="9.6640625" style="1"/>
  </cols>
  <sheetData>
    <row r="1" spans="1:24" ht="20.25" x14ac:dyDescent="0.3">
      <c r="A1" s="2"/>
      <c r="B1" s="3" t="s">
        <v>237</v>
      </c>
      <c r="C1" s="4"/>
      <c r="D1" s="4"/>
      <c r="E1" s="4"/>
      <c r="F1" s="4"/>
      <c r="G1" s="4"/>
      <c r="H1" s="4"/>
      <c r="I1" s="4"/>
      <c r="J1" s="4"/>
      <c r="K1" s="4"/>
      <c r="L1" s="4"/>
      <c r="M1" s="4"/>
      <c r="N1" s="4"/>
      <c r="O1" s="4"/>
      <c r="P1" s="4"/>
      <c r="Q1" s="4"/>
      <c r="R1" s="4"/>
      <c r="S1" s="4"/>
      <c r="T1" s="4"/>
      <c r="U1" s="4"/>
      <c r="V1" s="4"/>
      <c r="W1" s="4"/>
      <c r="X1" s="5"/>
    </row>
    <row r="2" spans="1:24" ht="15.75" x14ac:dyDescent="0.25">
      <c r="A2" s="6"/>
      <c r="B2" s="7"/>
      <c r="C2" s="8"/>
      <c r="D2" s="8"/>
      <c r="E2" s="8"/>
      <c r="F2" s="8"/>
      <c r="G2" s="8"/>
      <c r="H2" s="8"/>
      <c r="I2" s="8"/>
      <c r="J2" s="8"/>
      <c r="K2" s="8"/>
      <c r="L2" s="8"/>
      <c r="M2" s="8"/>
      <c r="N2" s="8"/>
      <c r="O2" s="8"/>
      <c r="P2" s="8"/>
      <c r="Q2" s="8"/>
      <c r="R2" s="8"/>
      <c r="S2" s="8"/>
      <c r="T2" s="8"/>
      <c r="U2" s="8"/>
      <c r="V2" s="8"/>
      <c r="W2" s="8"/>
      <c r="X2" s="5"/>
    </row>
    <row r="3" spans="1:24" ht="15.75" x14ac:dyDescent="0.25">
      <c r="A3" s="9"/>
      <c r="B3" s="111" t="s">
        <v>238</v>
      </c>
      <c r="C3" s="8"/>
      <c r="D3" s="8"/>
      <c r="E3" s="8"/>
      <c r="F3" s="8"/>
      <c r="G3" s="8"/>
      <c r="H3" s="8"/>
      <c r="I3" s="8"/>
      <c r="J3" s="8"/>
      <c r="K3" s="8"/>
      <c r="L3" s="8"/>
      <c r="M3" s="8"/>
      <c r="N3" s="8"/>
      <c r="O3" s="8"/>
      <c r="P3" s="8"/>
      <c r="Q3" s="8"/>
      <c r="R3" s="8"/>
      <c r="S3" s="8"/>
      <c r="T3" s="8"/>
      <c r="U3" s="8"/>
      <c r="V3" s="8"/>
      <c r="W3" s="8"/>
      <c r="X3" s="5"/>
    </row>
    <row r="4" spans="1:24" ht="15.75" x14ac:dyDescent="0.25">
      <c r="A4" s="6"/>
      <c r="B4" s="7"/>
      <c r="C4" s="8"/>
      <c r="D4" s="8"/>
      <c r="E4" s="8"/>
      <c r="F4" s="8"/>
      <c r="G4" s="8"/>
      <c r="H4" s="8"/>
      <c r="I4" s="8"/>
      <c r="J4" s="8"/>
      <c r="K4" s="8"/>
      <c r="L4" s="8"/>
      <c r="M4" s="8"/>
      <c r="N4" s="8"/>
      <c r="O4" s="8"/>
      <c r="P4" s="8"/>
      <c r="Q4" s="8"/>
      <c r="R4" s="8"/>
      <c r="S4" s="8"/>
      <c r="T4" s="8"/>
      <c r="U4" s="8"/>
      <c r="V4" s="8"/>
      <c r="W4" s="8"/>
      <c r="X4" s="5"/>
    </row>
    <row r="5" spans="1:24" ht="15.75" x14ac:dyDescent="0.25">
      <c r="A5" s="6"/>
      <c r="B5" s="11" t="s">
        <v>137</v>
      </c>
      <c r="C5" s="8"/>
      <c r="D5" s="8"/>
      <c r="E5" s="8"/>
      <c r="F5" s="8"/>
      <c r="G5" s="8"/>
      <c r="H5" s="8"/>
      <c r="I5" s="8"/>
      <c r="J5" s="8"/>
      <c r="K5" s="8"/>
      <c r="L5" s="8"/>
      <c r="M5" s="8"/>
      <c r="N5" s="8"/>
      <c r="O5" s="8"/>
      <c r="P5" s="8"/>
      <c r="Q5" s="8"/>
      <c r="R5" s="8"/>
      <c r="S5" s="8"/>
      <c r="T5" s="8"/>
      <c r="U5" s="8"/>
      <c r="V5" s="8"/>
      <c r="W5" s="8"/>
      <c r="X5" s="5"/>
    </row>
    <row r="6" spans="1:24" ht="15.75" x14ac:dyDescent="0.25">
      <c r="A6" s="6"/>
      <c r="B6" s="11" t="s">
        <v>139</v>
      </c>
      <c r="C6" s="8"/>
      <c r="D6" s="8"/>
      <c r="E6" s="8"/>
      <c r="F6" s="8"/>
      <c r="G6" s="8"/>
      <c r="H6" s="8"/>
      <c r="I6" s="8"/>
      <c r="J6" s="8"/>
      <c r="K6" s="8"/>
      <c r="L6" s="8"/>
      <c r="M6" s="8"/>
      <c r="N6" s="8"/>
      <c r="O6" s="8"/>
      <c r="P6" s="8"/>
      <c r="Q6" s="8"/>
      <c r="R6" s="8"/>
      <c r="S6" s="8"/>
      <c r="T6" s="8"/>
      <c r="U6" s="8"/>
      <c r="V6" s="8"/>
      <c r="W6" s="8"/>
      <c r="X6" s="5"/>
    </row>
    <row r="7" spans="1:24" ht="15.75" x14ac:dyDescent="0.25">
      <c r="A7" s="6"/>
      <c r="B7" s="11" t="s">
        <v>138</v>
      </c>
      <c r="C7" s="8"/>
      <c r="D7" s="8"/>
      <c r="E7" s="8"/>
      <c r="F7" s="8"/>
      <c r="G7" s="8"/>
      <c r="H7" s="8"/>
      <c r="I7" s="8"/>
      <c r="J7" s="8"/>
      <c r="K7" s="8"/>
      <c r="L7" s="8"/>
      <c r="M7" s="8"/>
      <c r="N7" s="8"/>
      <c r="O7" s="8"/>
      <c r="P7" s="8"/>
      <c r="Q7" s="8"/>
      <c r="R7" s="8"/>
      <c r="S7" s="8"/>
      <c r="T7" s="8"/>
      <c r="U7" s="8"/>
      <c r="V7" s="8"/>
      <c r="W7" s="8"/>
      <c r="X7" s="5"/>
    </row>
    <row r="8" spans="1:24" ht="15.75" x14ac:dyDescent="0.25">
      <c r="A8" s="6"/>
      <c r="B8" s="11"/>
      <c r="C8" s="8"/>
      <c r="D8" s="8"/>
      <c r="E8" s="8"/>
      <c r="F8" s="8"/>
      <c r="G8" s="8"/>
      <c r="H8" s="8"/>
      <c r="I8" s="8"/>
      <c r="J8" s="8"/>
      <c r="K8" s="8"/>
      <c r="L8" s="8"/>
      <c r="M8" s="8"/>
      <c r="N8" s="8"/>
      <c r="O8" s="8"/>
      <c r="P8" s="8"/>
      <c r="Q8" s="8"/>
      <c r="R8" s="8"/>
      <c r="S8" s="8"/>
      <c r="T8" s="8"/>
      <c r="U8" s="8"/>
      <c r="V8" s="8"/>
      <c r="W8" s="8"/>
      <c r="X8" s="5"/>
    </row>
    <row r="9" spans="1:24" ht="18.75" x14ac:dyDescent="0.3">
      <c r="A9" s="6"/>
      <c r="B9" s="144" t="s">
        <v>166</v>
      </c>
      <c r="C9" s="8"/>
      <c r="D9" s="8"/>
      <c r="E9" s="8"/>
      <c r="F9" s="8"/>
      <c r="G9" s="8"/>
      <c r="H9" s="8"/>
      <c r="I9" s="145" t="s">
        <v>167</v>
      </c>
      <c r="J9" s="8"/>
      <c r="K9" s="8"/>
      <c r="L9" s="145"/>
      <c r="M9" s="8"/>
      <c r="N9" s="145"/>
      <c r="O9" s="8"/>
      <c r="P9" s="8"/>
      <c r="Q9" s="8"/>
      <c r="R9" s="8"/>
      <c r="S9" s="8"/>
      <c r="T9" s="8"/>
      <c r="U9" s="8"/>
      <c r="V9" s="8"/>
      <c r="W9" s="8"/>
      <c r="X9" s="5"/>
    </row>
    <row r="10" spans="1:24" ht="15.75" x14ac:dyDescent="0.25">
      <c r="A10" s="6"/>
      <c r="B10" s="11"/>
      <c r="C10" s="13"/>
      <c r="D10" s="13"/>
      <c r="E10" s="13"/>
      <c r="F10" s="8"/>
      <c r="G10" s="8"/>
      <c r="H10" s="8"/>
      <c r="I10" s="8"/>
      <c r="J10" s="8"/>
      <c r="K10" s="8"/>
      <c r="L10" s="8"/>
      <c r="M10" s="8"/>
      <c r="N10" s="8"/>
      <c r="O10" s="8"/>
      <c r="P10" s="8"/>
      <c r="Q10" s="8"/>
      <c r="R10" s="8"/>
      <c r="S10" s="8"/>
      <c r="T10" s="8"/>
      <c r="U10" s="8"/>
      <c r="V10" s="8"/>
      <c r="W10" s="8"/>
      <c r="X10" s="5"/>
    </row>
    <row r="11" spans="1:24" ht="15.75" x14ac:dyDescent="0.25">
      <c r="A11" s="6"/>
      <c r="B11" s="14" t="s">
        <v>0</v>
      </c>
      <c r="C11" s="8"/>
      <c r="D11" s="8"/>
      <c r="E11" s="8"/>
      <c r="F11" s="8"/>
      <c r="G11" s="8"/>
      <c r="H11" s="8"/>
      <c r="I11" s="8"/>
      <c r="J11" s="8"/>
      <c r="K11" s="8"/>
      <c r="L11" s="8"/>
      <c r="M11" s="8"/>
      <c r="N11" s="8"/>
      <c r="O11" s="8"/>
      <c r="P11" s="8"/>
      <c r="Q11" s="8"/>
      <c r="R11" s="8"/>
      <c r="S11" s="8"/>
      <c r="T11" s="8"/>
      <c r="U11" s="8"/>
      <c r="V11" s="8"/>
      <c r="W11" s="8"/>
      <c r="X11" s="5"/>
    </row>
    <row r="12" spans="1:24" ht="16.5" thickBot="1" x14ac:dyDescent="0.3">
      <c r="A12" s="6"/>
      <c r="B12" s="13"/>
      <c r="C12" s="8"/>
      <c r="D12" s="8"/>
      <c r="E12" s="8"/>
      <c r="F12" s="8"/>
      <c r="G12" s="8"/>
      <c r="H12" s="8"/>
      <c r="I12" s="8"/>
      <c r="J12" s="8"/>
      <c r="K12" s="8"/>
      <c r="L12" s="8"/>
      <c r="M12" s="8"/>
      <c r="N12" s="8"/>
      <c r="O12" s="8"/>
      <c r="P12" s="8"/>
      <c r="Q12" s="8"/>
      <c r="R12" s="8"/>
      <c r="S12" s="8"/>
      <c r="T12" s="8"/>
      <c r="U12" s="8"/>
      <c r="V12" s="8"/>
      <c r="W12" s="8"/>
      <c r="X12" s="5"/>
    </row>
    <row r="13" spans="1:24" ht="15.75" x14ac:dyDescent="0.25">
      <c r="A13" s="2"/>
      <c r="B13" s="4"/>
      <c r="C13" s="4"/>
      <c r="D13" s="4"/>
      <c r="E13" s="4"/>
      <c r="F13" s="4"/>
      <c r="G13" s="4"/>
      <c r="H13" s="4"/>
      <c r="I13" s="4"/>
      <c r="J13" s="4"/>
      <c r="K13" s="4"/>
      <c r="L13" s="4"/>
      <c r="M13" s="4"/>
      <c r="N13" s="4"/>
      <c r="O13" s="4"/>
      <c r="P13" s="4"/>
      <c r="Q13" s="4"/>
      <c r="R13" s="4"/>
      <c r="S13" s="4"/>
      <c r="T13" s="4"/>
      <c r="U13" s="4"/>
      <c r="V13" s="4"/>
      <c r="W13" s="4"/>
      <c r="X13" s="5"/>
    </row>
    <row r="14" spans="1:24" ht="15.75" x14ac:dyDescent="0.25">
      <c r="A14" s="6"/>
      <c r="B14" s="14" t="s">
        <v>1</v>
      </c>
      <c r="C14" s="15"/>
      <c r="D14" s="15"/>
      <c r="E14" s="15"/>
      <c r="F14" s="15"/>
      <c r="G14" s="15"/>
      <c r="H14" s="15"/>
      <c r="I14" s="15"/>
      <c r="J14" s="15"/>
      <c r="K14" s="15"/>
      <c r="L14" s="15"/>
      <c r="M14" s="15"/>
      <c r="N14" s="15"/>
      <c r="O14" s="15"/>
      <c r="P14" s="15"/>
      <c r="Q14" s="15"/>
      <c r="R14" s="15"/>
      <c r="S14" s="15"/>
      <c r="T14" s="15"/>
      <c r="U14" s="15"/>
      <c r="V14" s="16" t="s">
        <v>239</v>
      </c>
      <c r="W14" s="15"/>
      <c r="X14" s="5"/>
    </row>
    <row r="15" spans="1:24" ht="15.75" x14ac:dyDescent="0.25">
      <c r="A15" s="6"/>
      <c r="B15" s="14" t="s">
        <v>2</v>
      </c>
      <c r="C15" s="15"/>
      <c r="D15" s="15"/>
      <c r="E15" s="15"/>
      <c r="F15" s="15"/>
      <c r="G15" s="15"/>
      <c r="H15" s="18"/>
      <c r="I15" s="18"/>
      <c r="J15" s="18"/>
      <c r="K15" s="18"/>
      <c r="L15" s="18"/>
      <c r="M15" s="18"/>
      <c r="N15" s="18"/>
      <c r="O15" s="18"/>
      <c r="P15" s="18"/>
      <c r="Q15" s="18"/>
      <c r="R15" s="18" t="s">
        <v>104</v>
      </c>
      <c r="S15" s="134">
        <v>0.47189999999999999</v>
      </c>
      <c r="T15" s="17" t="s">
        <v>140</v>
      </c>
      <c r="U15" s="134">
        <v>0.52810000000000001</v>
      </c>
      <c r="V15" s="16"/>
      <c r="W15" s="15"/>
      <c r="X15" s="5"/>
    </row>
    <row r="16" spans="1:24" ht="15.75" x14ac:dyDescent="0.25">
      <c r="A16" s="6"/>
      <c r="B16" s="14" t="s">
        <v>3</v>
      </c>
      <c r="C16" s="15"/>
      <c r="D16" s="15"/>
      <c r="E16" s="15"/>
      <c r="F16" s="15"/>
      <c r="G16" s="15"/>
      <c r="H16" s="18"/>
      <c r="I16" s="18"/>
      <c r="J16" s="18"/>
      <c r="K16" s="18"/>
      <c r="L16" s="18"/>
      <c r="M16" s="18"/>
      <c r="N16" s="18"/>
      <c r="O16" s="18"/>
      <c r="P16" s="18"/>
      <c r="Q16" s="18"/>
      <c r="R16" s="18" t="s">
        <v>104</v>
      </c>
      <c r="S16" s="134">
        <v>0.53469999999999995</v>
      </c>
      <c r="T16" s="17" t="s">
        <v>140</v>
      </c>
      <c r="U16" s="134">
        <v>0.46529999999999999</v>
      </c>
      <c r="V16" s="16"/>
      <c r="W16" s="15"/>
      <c r="X16" s="5"/>
    </row>
    <row r="17" spans="1:24" ht="15.75" x14ac:dyDescent="0.25">
      <c r="A17" s="6"/>
      <c r="B17" s="14" t="s">
        <v>4</v>
      </c>
      <c r="C17" s="15"/>
      <c r="D17" s="15"/>
      <c r="E17" s="15"/>
      <c r="F17" s="15"/>
      <c r="G17" s="15"/>
      <c r="H17" s="15"/>
      <c r="I17" s="15"/>
      <c r="J17" s="15"/>
      <c r="K17" s="15"/>
      <c r="L17" s="15"/>
      <c r="M17" s="15"/>
      <c r="N17" s="15"/>
      <c r="O17" s="15"/>
      <c r="P17" s="15"/>
      <c r="Q17" s="15"/>
      <c r="R17" s="15"/>
      <c r="S17" s="15"/>
      <c r="T17" s="15"/>
      <c r="U17" s="15"/>
      <c r="V17" s="19">
        <v>39282</v>
      </c>
      <c r="W17" s="15"/>
      <c r="X17" s="5"/>
    </row>
    <row r="18" spans="1:24" ht="15.75" x14ac:dyDescent="0.25">
      <c r="A18" s="6"/>
      <c r="B18" s="14" t="s">
        <v>5</v>
      </c>
      <c r="C18" s="15"/>
      <c r="D18" s="15"/>
      <c r="E18" s="15"/>
      <c r="F18" s="15"/>
      <c r="G18" s="15"/>
      <c r="H18" s="15"/>
      <c r="I18" s="15"/>
      <c r="J18" s="15"/>
      <c r="K18" s="15"/>
      <c r="L18" s="15"/>
      <c r="M18" s="15"/>
      <c r="N18" s="15"/>
      <c r="O18" s="15"/>
      <c r="P18" s="15"/>
      <c r="Q18" s="15"/>
      <c r="R18" s="15"/>
      <c r="S18" s="15"/>
      <c r="T18" s="15"/>
      <c r="U18" s="15"/>
      <c r="V18" s="19">
        <v>40164</v>
      </c>
      <c r="W18" s="15"/>
      <c r="X18" s="5"/>
    </row>
    <row r="19" spans="1:24" ht="15.75" x14ac:dyDescent="0.25">
      <c r="A19" s="6"/>
      <c r="B19" s="8"/>
      <c r="C19" s="8"/>
      <c r="D19" s="8"/>
      <c r="E19" s="8"/>
      <c r="F19" s="8"/>
      <c r="G19" s="8"/>
      <c r="H19" s="8"/>
      <c r="I19" s="8"/>
      <c r="J19" s="8"/>
      <c r="K19" s="8"/>
      <c r="L19" s="8"/>
      <c r="M19" s="8"/>
      <c r="N19" s="8"/>
      <c r="O19" s="8"/>
      <c r="P19" s="8"/>
      <c r="Q19" s="8"/>
      <c r="R19" s="8"/>
      <c r="S19" s="8"/>
      <c r="T19" s="8"/>
      <c r="U19" s="8"/>
      <c r="V19" s="20"/>
      <c r="W19" s="8"/>
      <c r="X19" s="5"/>
    </row>
    <row r="20" spans="1:24" ht="15.75" x14ac:dyDescent="0.25">
      <c r="A20" s="6"/>
      <c r="B20" s="21" t="s">
        <v>6</v>
      </c>
      <c r="C20" s="8"/>
      <c r="D20" s="8"/>
      <c r="E20" s="8"/>
      <c r="F20" s="8"/>
      <c r="G20" s="8"/>
      <c r="H20" s="8"/>
      <c r="I20" s="8"/>
      <c r="J20" s="8"/>
      <c r="K20" s="8"/>
      <c r="L20" s="8"/>
      <c r="M20" s="8"/>
      <c r="N20" s="8"/>
      <c r="O20" s="8"/>
      <c r="P20" s="8"/>
      <c r="Q20" s="8"/>
      <c r="R20" s="8"/>
      <c r="S20" s="8"/>
      <c r="T20" s="20" t="s">
        <v>105</v>
      </c>
      <c r="U20" s="8"/>
      <c r="V20" s="173"/>
      <c r="W20" s="8"/>
      <c r="X20" s="5"/>
    </row>
    <row r="21" spans="1:24" ht="15.75" x14ac:dyDescent="0.25">
      <c r="A21" s="6"/>
      <c r="B21" s="8"/>
      <c r="C21" s="8"/>
      <c r="D21" s="8"/>
      <c r="E21" s="8"/>
      <c r="F21" s="8"/>
      <c r="G21" s="8"/>
      <c r="H21" s="8"/>
      <c r="I21" s="8"/>
      <c r="J21" s="8"/>
      <c r="K21" s="8"/>
      <c r="L21" s="8"/>
      <c r="M21" s="8"/>
      <c r="N21" s="8"/>
      <c r="O21" s="8"/>
      <c r="P21" s="8"/>
      <c r="Q21" s="8"/>
      <c r="R21" s="8"/>
      <c r="S21" s="8"/>
      <c r="T21" s="8"/>
      <c r="U21" s="8"/>
      <c r="V21" s="22"/>
      <c r="W21" s="8"/>
      <c r="X21" s="5"/>
    </row>
    <row r="22" spans="1:24" ht="15.75" x14ac:dyDescent="0.25">
      <c r="A22" s="6"/>
      <c r="B22" s="8"/>
      <c r="C22" s="112"/>
      <c r="D22" s="112" t="s">
        <v>177</v>
      </c>
      <c r="E22" s="112"/>
      <c r="F22" s="112" t="s">
        <v>178</v>
      </c>
      <c r="G22" s="112"/>
      <c r="H22" s="112" t="s">
        <v>179</v>
      </c>
      <c r="I22" s="112"/>
      <c r="J22" s="112" t="s">
        <v>219</v>
      </c>
      <c r="K22" s="112"/>
      <c r="L22" s="112" t="s">
        <v>180</v>
      </c>
      <c r="M22" s="112"/>
      <c r="N22" s="112" t="s">
        <v>181</v>
      </c>
      <c r="O22" s="112"/>
      <c r="P22" s="112" t="s">
        <v>182</v>
      </c>
      <c r="Q22" s="112"/>
      <c r="R22" s="112"/>
      <c r="S22" s="113"/>
      <c r="T22" s="23"/>
      <c r="U22" s="173"/>
      <c r="V22" s="173"/>
      <c r="W22" s="8"/>
      <c r="X22" s="5"/>
    </row>
    <row r="23" spans="1:24" ht="15.75" x14ac:dyDescent="0.25">
      <c r="A23" s="24"/>
      <c r="B23" s="25" t="s">
        <v>7</v>
      </c>
      <c r="C23" s="26"/>
      <c r="D23" s="26" t="s">
        <v>212</v>
      </c>
      <c r="E23" s="26"/>
      <c r="F23" s="26" t="s">
        <v>141</v>
      </c>
      <c r="G23" s="26"/>
      <c r="H23" s="26" t="s">
        <v>141</v>
      </c>
      <c r="I23" s="26"/>
      <c r="J23" s="26" t="s">
        <v>141</v>
      </c>
      <c r="K23" s="26"/>
      <c r="L23" s="26" t="s">
        <v>183</v>
      </c>
      <c r="M23" s="26"/>
      <c r="N23" s="26" t="s">
        <v>183</v>
      </c>
      <c r="O23" s="26"/>
      <c r="P23" s="26" t="s">
        <v>142</v>
      </c>
      <c r="Q23" s="26"/>
      <c r="R23" s="26"/>
      <c r="S23" s="26"/>
      <c r="T23" s="26"/>
      <c r="U23" s="174"/>
      <c r="V23" s="174"/>
      <c r="W23" s="25"/>
      <c r="X23" s="5"/>
    </row>
    <row r="24" spans="1:24" ht="15.75" x14ac:dyDescent="0.25">
      <c r="A24" s="24"/>
      <c r="B24" s="25" t="s">
        <v>8</v>
      </c>
      <c r="C24" s="26"/>
      <c r="D24" s="26" t="s">
        <v>213</v>
      </c>
      <c r="E24" s="26"/>
      <c r="F24" s="26" t="s">
        <v>143</v>
      </c>
      <c r="G24" s="26"/>
      <c r="H24" s="26" t="s">
        <v>143</v>
      </c>
      <c r="I24" s="26"/>
      <c r="J24" s="26" t="s">
        <v>143</v>
      </c>
      <c r="K24" s="26"/>
      <c r="L24" s="26" t="s">
        <v>165</v>
      </c>
      <c r="M24" s="26"/>
      <c r="N24" s="26" t="s">
        <v>165</v>
      </c>
      <c r="O24" s="26"/>
      <c r="P24" s="26" t="s">
        <v>144</v>
      </c>
      <c r="Q24" s="26"/>
      <c r="R24" s="26"/>
      <c r="S24" s="26"/>
      <c r="T24" s="26"/>
      <c r="U24" s="174"/>
      <c r="V24" s="174"/>
      <c r="W24" s="25"/>
      <c r="X24" s="5"/>
    </row>
    <row r="25" spans="1:24" ht="15.75" x14ac:dyDescent="0.25">
      <c r="A25" s="28"/>
      <c r="B25" s="130" t="s">
        <v>190</v>
      </c>
      <c r="C25" s="123"/>
      <c r="D25" s="26" t="s">
        <v>214</v>
      </c>
      <c r="E25" s="26"/>
      <c r="F25" s="26" t="s">
        <v>143</v>
      </c>
      <c r="G25" s="26"/>
      <c r="H25" s="26" t="s">
        <v>143</v>
      </c>
      <c r="I25" s="26"/>
      <c r="J25" s="26" t="s">
        <v>143</v>
      </c>
      <c r="K25" s="26"/>
      <c r="L25" s="26" t="s">
        <v>165</v>
      </c>
      <c r="M25" s="26"/>
      <c r="N25" s="26" t="s">
        <v>165</v>
      </c>
      <c r="O25" s="26"/>
      <c r="P25" s="26" t="s">
        <v>144</v>
      </c>
      <c r="Q25" s="26"/>
      <c r="R25" s="26"/>
      <c r="S25" s="123"/>
      <c r="T25" s="26"/>
      <c r="U25" s="174"/>
      <c r="V25" s="174"/>
      <c r="W25" s="25"/>
      <c r="X25" s="5"/>
    </row>
    <row r="26" spans="1:24" ht="15.75" x14ac:dyDescent="0.25">
      <c r="A26" s="28"/>
      <c r="B26" s="29" t="s">
        <v>9</v>
      </c>
      <c r="C26" s="123"/>
      <c r="D26" s="123" t="s">
        <v>141</v>
      </c>
      <c r="E26" s="123"/>
      <c r="F26" s="123" t="s">
        <v>141</v>
      </c>
      <c r="G26" s="123"/>
      <c r="H26" s="123" t="s">
        <v>141</v>
      </c>
      <c r="I26" s="123"/>
      <c r="J26" s="123" t="s">
        <v>141</v>
      </c>
      <c r="K26" s="123"/>
      <c r="L26" s="123" t="s">
        <v>183</v>
      </c>
      <c r="M26" s="123"/>
      <c r="N26" s="123" t="s">
        <v>183</v>
      </c>
      <c r="O26" s="123"/>
      <c r="P26" s="123" t="s">
        <v>142</v>
      </c>
      <c r="Q26" s="123"/>
      <c r="R26" s="123"/>
      <c r="S26" s="123"/>
      <c r="T26" s="26"/>
      <c r="U26" s="174"/>
      <c r="V26" s="174"/>
      <c r="W26" s="25"/>
      <c r="X26" s="5"/>
    </row>
    <row r="27" spans="1:24" ht="15.75" x14ac:dyDescent="0.25">
      <c r="A27" s="24"/>
      <c r="B27" s="29" t="s">
        <v>191</v>
      </c>
      <c r="C27" s="26"/>
      <c r="D27" s="123" t="s">
        <v>143</v>
      </c>
      <c r="E27" s="123"/>
      <c r="F27" s="123" t="s">
        <v>143</v>
      </c>
      <c r="G27" s="123"/>
      <c r="H27" s="123" t="s">
        <v>143</v>
      </c>
      <c r="I27" s="123"/>
      <c r="J27" s="123" t="s">
        <v>143</v>
      </c>
      <c r="K27" s="123"/>
      <c r="L27" s="123" t="s">
        <v>165</v>
      </c>
      <c r="M27" s="123"/>
      <c r="N27" s="123" t="s">
        <v>165</v>
      </c>
      <c r="O27" s="123"/>
      <c r="P27" s="123" t="s">
        <v>144</v>
      </c>
      <c r="Q27" s="123"/>
      <c r="R27" s="123"/>
      <c r="S27" s="26"/>
      <c r="T27" s="30"/>
      <c r="U27" s="174"/>
      <c r="V27" s="174"/>
      <c r="W27" s="25"/>
      <c r="X27" s="5"/>
    </row>
    <row r="28" spans="1:24" ht="15.75" x14ac:dyDescent="0.25">
      <c r="A28" s="24"/>
      <c r="B28" s="149" t="s">
        <v>192</v>
      </c>
      <c r="C28" s="26"/>
      <c r="D28" s="123" t="s">
        <v>143</v>
      </c>
      <c r="E28" s="123"/>
      <c r="F28" s="123" t="s">
        <v>143</v>
      </c>
      <c r="G28" s="123"/>
      <c r="H28" s="123" t="s">
        <v>143</v>
      </c>
      <c r="I28" s="123"/>
      <c r="J28" s="123" t="s">
        <v>143</v>
      </c>
      <c r="K28" s="123"/>
      <c r="L28" s="123" t="s">
        <v>165</v>
      </c>
      <c r="M28" s="123"/>
      <c r="N28" s="123" t="s">
        <v>165</v>
      </c>
      <c r="O28" s="123"/>
      <c r="P28" s="123" t="s">
        <v>144</v>
      </c>
      <c r="Q28" s="123"/>
      <c r="R28" s="123"/>
      <c r="S28" s="26"/>
      <c r="T28" s="30"/>
      <c r="U28" s="174"/>
      <c r="V28" s="174"/>
      <c r="W28" s="25"/>
      <c r="X28" s="5"/>
    </row>
    <row r="29" spans="1:24" ht="15.75" x14ac:dyDescent="0.25">
      <c r="A29" s="24"/>
      <c r="B29" s="25" t="s">
        <v>10</v>
      </c>
      <c r="C29" s="32"/>
      <c r="D29" s="26" t="s">
        <v>242</v>
      </c>
      <c r="E29" s="26"/>
      <c r="F29" s="30" t="s">
        <v>244</v>
      </c>
      <c r="G29" s="26"/>
      <c r="H29" s="26" t="s">
        <v>245</v>
      </c>
      <c r="I29" s="26"/>
      <c r="J29" s="26" t="s">
        <v>247</v>
      </c>
      <c r="K29" s="26"/>
      <c r="L29" s="26" t="s">
        <v>248</v>
      </c>
      <c r="M29" s="26"/>
      <c r="N29" s="26" t="s">
        <v>249</v>
      </c>
      <c r="O29" s="26"/>
      <c r="P29" s="26" t="s">
        <v>250</v>
      </c>
      <c r="Q29" s="26"/>
      <c r="R29" s="26"/>
      <c r="S29" s="31"/>
      <c r="T29" s="31"/>
      <c r="U29" s="175"/>
      <c r="V29" s="31"/>
      <c r="W29" s="34"/>
      <c r="X29" s="5"/>
    </row>
    <row r="30" spans="1:24" ht="15.75" x14ac:dyDescent="0.25">
      <c r="A30" s="24"/>
      <c r="B30" s="25" t="s">
        <v>10</v>
      </c>
      <c r="C30" s="32"/>
      <c r="D30" s="26" t="s">
        <v>243</v>
      </c>
      <c r="E30" s="26"/>
      <c r="F30" s="30" t="s">
        <v>118</v>
      </c>
      <c r="G30" s="26"/>
      <c r="H30" s="26" t="s">
        <v>118</v>
      </c>
      <c r="I30" s="26"/>
      <c r="J30" s="26" t="s">
        <v>246</v>
      </c>
      <c r="K30" s="26"/>
      <c r="L30" s="26" t="s">
        <v>118</v>
      </c>
      <c r="M30" s="26"/>
      <c r="N30" s="26" t="s">
        <v>118</v>
      </c>
      <c r="O30" s="26"/>
      <c r="P30" s="26" t="s">
        <v>118</v>
      </c>
      <c r="Q30" s="26"/>
      <c r="R30" s="26"/>
      <c r="S30" s="31"/>
      <c r="T30" s="31"/>
      <c r="U30" s="175"/>
      <c r="V30" s="31"/>
      <c r="W30" s="34"/>
      <c r="X30" s="5"/>
    </row>
    <row r="31" spans="1:24" ht="15.75" x14ac:dyDescent="0.25">
      <c r="A31" s="28"/>
      <c r="B31" s="25" t="s">
        <v>133</v>
      </c>
      <c r="C31" s="36"/>
      <c r="D31" s="143">
        <v>1000000</v>
      </c>
      <c r="E31" s="32"/>
      <c r="F31" s="31">
        <v>209500</v>
      </c>
      <c r="G31" s="31"/>
      <c r="H31" s="124">
        <v>110000</v>
      </c>
      <c r="I31" s="124"/>
      <c r="J31" s="143">
        <v>150000</v>
      </c>
      <c r="K31" s="31"/>
      <c r="L31" s="31">
        <v>17000</v>
      </c>
      <c r="M31" s="31"/>
      <c r="N31" s="124">
        <v>85500</v>
      </c>
      <c r="O31" s="31"/>
      <c r="P31" s="124">
        <v>110500</v>
      </c>
      <c r="Q31" s="31"/>
      <c r="R31" s="124"/>
      <c r="S31" s="35"/>
      <c r="T31" s="35"/>
      <c r="U31" s="37"/>
      <c r="V31" s="35"/>
      <c r="W31" s="34"/>
      <c r="X31" s="5"/>
    </row>
    <row r="32" spans="1:24" ht="15.75" x14ac:dyDescent="0.25">
      <c r="A32" s="24"/>
      <c r="B32" s="25" t="s">
        <v>132</v>
      </c>
      <c r="C32" s="32"/>
      <c r="D32" s="143">
        <f>D31*D38</f>
        <v>853704.7</v>
      </c>
      <c r="E32" s="32"/>
      <c r="F32" s="31">
        <f>F31*F38</f>
        <v>178851.19750000001</v>
      </c>
      <c r="G32" s="31"/>
      <c r="H32" s="124">
        <f>H31*H38</f>
        <v>93907.88</v>
      </c>
      <c r="I32" s="124"/>
      <c r="J32" s="143">
        <f>J31*J38</f>
        <v>128055.705</v>
      </c>
      <c r="K32" s="31"/>
      <c r="L32" s="31">
        <f>L31*L38</f>
        <v>17000</v>
      </c>
      <c r="M32" s="31"/>
      <c r="N32" s="124">
        <f>N31*N38</f>
        <v>85500</v>
      </c>
      <c r="O32" s="31"/>
      <c r="P32" s="124">
        <f>P31*P38</f>
        <v>110500</v>
      </c>
      <c r="Q32" s="31"/>
      <c r="R32" s="124"/>
      <c r="S32" s="31"/>
      <c r="T32" s="31"/>
      <c r="U32" s="175"/>
      <c r="V32" s="31"/>
      <c r="W32" s="34"/>
      <c r="X32" s="5"/>
    </row>
    <row r="33" spans="1:27" ht="15.75" x14ac:dyDescent="0.25">
      <c r="A33" s="24"/>
      <c r="B33" s="29" t="s">
        <v>134</v>
      </c>
      <c r="C33" s="32"/>
      <c r="D33" s="170">
        <f>D37*D31</f>
        <v>847513.59999999998</v>
      </c>
      <c r="E33" s="36"/>
      <c r="F33" s="35">
        <f>F37*F31</f>
        <v>177554.18299999999</v>
      </c>
      <c r="G33" s="35"/>
      <c r="H33" s="125">
        <f>H31*H37</f>
        <v>93226.891999999993</v>
      </c>
      <c r="I33" s="125"/>
      <c r="J33" s="170">
        <f>J37*J31</f>
        <v>127127.03999999999</v>
      </c>
      <c r="K33" s="35"/>
      <c r="L33" s="35">
        <f>L31*L37</f>
        <v>17000</v>
      </c>
      <c r="M33" s="35"/>
      <c r="N33" s="125">
        <f>N31*N37</f>
        <v>85500</v>
      </c>
      <c r="O33" s="35"/>
      <c r="P33" s="125">
        <f>P31*P37</f>
        <v>110500</v>
      </c>
      <c r="Q33" s="35"/>
      <c r="R33" s="125"/>
      <c r="S33" s="31"/>
      <c r="T33" s="31"/>
      <c r="U33" s="175"/>
      <c r="V33" s="31"/>
      <c r="W33" s="34"/>
      <c r="X33" s="5"/>
    </row>
    <row r="34" spans="1:27" ht="15.75" x14ac:dyDescent="0.25">
      <c r="A34" s="28"/>
      <c r="B34" s="25" t="s">
        <v>286</v>
      </c>
      <c r="C34" s="36"/>
      <c r="D34" s="31">
        <v>492951</v>
      </c>
      <c r="E34" s="32"/>
      <c r="F34" s="31">
        <v>209500</v>
      </c>
      <c r="G34" s="31"/>
      <c r="H34" s="31">
        <v>74677</v>
      </c>
      <c r="I34" s="31"/>
      <c r="J34" s="31">
        <v>73943</v>
      </c>
      <c r="K34" s="31"/>
      <c r="L34" s="31">
        <v>17000</v>
      </c>
      <c r="M34" s="31"/>
      <c r="N34" s="31">
        <v>58045</v>
      </c>
      <c r="O34" s="31"/>
      <c r="P34" s="31">
        <v>75017</v>
      </c>
      <c r="Q34" s="31"/>
      <c r="R34" s="31"/>
      <c r="S34" s="35"/>
      <c r="T34" s="35"/>
      <c r="U34" s="37"/>
      <c r="V34" s="150">
        <f>SUM(C34:R34)</f>
        <v>1001133</v>
      </c>
      <c r="W34" s="34"/>
      <c r="X34" s="5"/>
    </row>
    <row r="35" spans="1:27" ht="15.75" x14ac:dyDescent="0.25">
      <c r="A35" s="28"/>
      <c r="B35" s="25" t="s">
        <v>287</v>
      </c>
      <c r="C35" s="126"/>
      <c r="D35" s="31">
        <f>D34*D38</f>
        <v>420834.58556969999</v>
      </c>
      <c r="E35" s="32"/>
      <c r="F35" s="31">
        <f>F34*F38</f>
        <v>178851.19750000001</v>
      </c>
      <c r="G35" s="31"/>
      <c r="H35" s="31">
        <f>H34*H38</f>
        <v>63752.352316000004</v>
      </c>
      <c r="I35" s="31"/>
      <c r="J35" s="31">
        <f>J34*J38</f>
        <v>63125.486632100001</v>
      </c>
      <c r="K35" s="31"/>
      <c r="L35" s="31">
        <f>L34*L38</f>
        <v>17000</v>
      </c>
      <c r="M35" s="31"/>
      <c r="N35" s="31">
        <f>N34*N38</f>
        <v>58045</v>
      </c>
      <c r="O35" s="31"/>
      <c r="P35" s="31">
        <f>P34*P38</f>
        <v>75017</v>
      </c>
      <c r="Q35" s="31"/>
      <c r="R35" s="31"/>
      <c r="S35" s="31"/>
      <c r="T35" s="31"/>
      <c r="U35" s="175"/>
      <c r="V35" s="150">
        <f>SUM(C35:R35)-1</f>
        <v>876624.62201779999</v>
      </c>
      <c r="W35" s="34"/>
      <c r="X35" s="5"/>
    </row>
    <row r="36" spans="1:27" ht="15.75" x14ac:dyDescent="0.25">
      <c r="A36" s="28"/>
      <c r="B36" s="29" t="s">
        <v>288</v>
      </c>
      <c r="C36" s="126"/>
      <c r="D36" s="35">
        <f>D34*D37</f>
        <v>417782.67663359997</v>
      </c>
      <c r="E36" s="36"/>
      <c r="F36" s="35">
        <f>F34*F37</f>
        <v>177554.18299999999</v>
      </c>
      <c r="G36" s="35"/>
      <c r="H36" s="35">
        <f>H34*H37</f>
        <v>63290.0419444</v>
      </c>
      <c r="I36" s="35"/>
      <c r="J36" s="35">
        <f>J34*J37</f>
        <v>62667.698124800001</v>
      </c>
      <c r="K36" s="35"/>
      <c r="L36" s="35">
        <f>L34*L37</f>
        <v>17000</v>
      </c>
      <c r="M36" s="35"/>
      <c r="N36" s="35">
        <f>N34*N37</f>
        <v>58045</v>
      </c>
      <c r="O36" s="35"/>
      <c r="P36" s="35">
        <f>P34*P37</f>
        <v>75017</v>
      </c>
      <c r="Q36" s="35"/>
      <c r="R36" s="35"/>
      <c r="S36" s="128"/>
      <c r="T36" s="128"/>
      <c r="U36" s="175"/>
      <c r="V36" s="151">
        <f>SUM(C36:R36)-1</f>
        <v>871355.59970280004</v>
      </c>
      <c r="W36" s="34"/>
      <c r="X36" s="5"/>
    </row>
    <row r="37" spans="1:27" ht="15.75" x14ac:dyDescent="0.25">
      <c r="A37" s="24"/>
      <c r="B37" s="122" t="s">
        <v>130</v>
      </c>
      <c r="C37" s="25"/>
      <c r="D37" s="168">
        <v>0.84751359999999998</v>
      </c>
      <c r="E37" s="168"/>
      <c r="F37" s="168">
        <v>0.84751399999999999</v>
      </c>
      <c r="G37" s="168"/>
      <c r="H37" s="168">
        <v>0.84751719999999997</v>
      </c>
      <c r="I37" s="168"/>
      <c r="J37" s="168">
        <v>0.84751359999999998</v>
      </c>
      <c r="K37" s="168"/>
      <c r="L37" s="168">
        <v>1</v>
      </c>
      <c r="M37" s="168"/>
      <c r="N37" s="168">
        <v>1</v>
      </c>
      <c r="O37" s="168"/>
      <c r="P37" s="168">
        <v>1</v>
      </c>
      <c r="Q37" s="168"/>
      <c r="R37" s="168"/>
      <c r="S37" s="30"/>
      <c r="T37" s="30"/>
      <c r="U37" s="174"/>
      <c r="V37" s="174"/>
      <c r="W37" s="25"/>
      <c r="X37" s="5"/>
    </row>
    <row r="38" spans="1:27" ht="15.75" x14ac:dyDescent="0.25">
      <c r="A38" s="24"/>
      <c r="B38" s="122" t="s">
        <v>131</v>
      </c>
      <c r="C38" s="25"/>
      <c r="D38" s="168">
        <v>0.85370469999999998</v>
      </c>
      <c r="E38" s="168"/>
      <c r="F38" s="168">
        <v>0.85370500000000005</v>
      </c>
      <c r="G38" s="168"/>
      <c r="H38" s="168">
        <v>0.85370800000000002</v>
      </c>
      <c r="I38" s="168"/>
      <c r="J38" s="168">
        <v>0.85370469999999998</v>
      </c>
      <c r="K38" s="168"/>
      <c r="L38" s="168">
        <v>1</v>
      </c>
      <c r="M38" s="168"/>
      <c r="N38" s="168">
        <v>1</v>
      </c>
      <c r="O38" s="168"/>
      <c r="P38" s="168">
        <v>1</v>
      </c>
      <c r="Q38" s="168"/>
      <c r="R38" s="168"/>
      <c r="S38" s="39"/>
      <c r="T38" s="38"/>
      <c r="U38" s="174"/>
      <c r="V38" s="39"/>
      <c r="W38" s="25"/>
      <c r="X38" s="5"/>
    </row>
    <row r="39" spans="1:27" ht="15.75" x14ac:dyDescent="0.25">
      <c r="A39" s="24"/>
      <c r="B39" s="25" t="s">
        <v>11</v>
      </c>
      <c r="C39" s="25"/>
      <c r="D39" s="30" t="s">
        <v>278</v>
      </c>
      <c r="E39" s="25"/>
      <c r="F39" s="30" t="s">
        <v>251</v>
      </c>
      <c r="G39" s="30"/>
      <c r="H39" s="30" t="s">
        <v>252</v>
      </c>
      <c r="I39" s="30"/>
      <c r="J39" s="30" t="s">
        <v>253</v>
      </c>
      <c r="K39" s="30"/>
      <c r="L39" s="30" t="s">
        <v>254</v>
      </c>
      <c r="M39" s="30"/>
      <c r="N39" s="30" t="s">
        <v>254</v>
      </c>
      <c r="O39" s="30"/>
      <c r="P39" s="30" t="s">
        <v>255</v>
      </c>
      <c r="Q39" s="30"/>
      <c r="R39" s="30"/>
      <c r="S39" s="39"/>
      <c r="T39" s="38"/>
      <c r="U39" s="174"/>
      <c r="V39" s="174"/>
      <c r="W39" s="25"/>
      <c r="X39" s="5"/>
    </row>
    <row r="40" spans="1:27" ht="15.75" x14ac:dyDescent="0.25">
      <c r="A40" s="24"/>
      <c r="B40" s="25" t="s">
        <v>12</v>
      </c>
      <c r="C40" s="25"/>
      <c r="D40" s="38">
        <v>3.2875000000000001E-3</v>
      </c>
      <c r="E40" s="25"/>
      <c r="F40" s="38">
        <v>7.4063000000000002E-3</v>
      </c>
      <c r="G40" s="39"/>
      <c r="H40" s="38">
        <v>8.9300000000000004E-3</v>
      </c>
      <c r="I40" s="38"/>
      <c r="J40" s="38">
        <v>4.0899999999999999E-3</v>
      </c>
      <c r="K40" s="39"/>
      <c r="L40" s="38">
        <v>8.8062999999999995E-3</v>
      </c>
      <c r="M40" s="39"/>
      <c r="N40" s="38">
        <v>1.043E-2</v>
      </c>
      <c r="O40" s="39"/>
      <c r="P40" s="38">
        <v>1.323E-2</v>
      </c>
      <c r="Q40" s="39"/>
      <c r="R40" s="38"/>
      <c r="S40" s="39"/>
      <c r="T40" s="38"/>
      <c r="U40" s="174"/>
      <c r="V40" s="30"/>
      <c r="W40" s="25"/>
      <c r="X40" s="5"/>
      <c r="AA40" s="1" t="s">
        <v>193</v>
      </c>
    </row>
    <row r="41" spans="1:27" ht="15.75" x14ac:dyDescent="0.25">
      <c r="A41" s="24"/>
      <c r="B41" s="25" t="s">
        <v>13</v>
      </c>
      <c r="C41" s="25"/>
      <c r="D41" s="38">
        <v>3.6281E-3</v>
      </c>
      <c r="E41" s="25"/>
      <c r="F41" s="38">
        <v>1.3818799999999999E-2</v>
      </c>
      <c r="G41" s="39"/>
      <c r="H41" s="38">
        <v>1.397E-2</v>
      </c>
      <c r="I41" s="38"/>
      <c r="J41" s="38">
        <v>7.3937999999999999E-3</v>
      </c>
      <c r="K41" s="39"/>
      <c r="L41" s="38">
        <v>1.5218799999999999E-2</v>
      </c>
      <c r="M41" s="39"/>
      <c r="N41" s="38">
        <v>1.5469999999999999E-2</v>
      </c>
      <c r="O41" s="39"/>
      <c r="P41" s="38">
        <v>1.8270000000000002E-2</v>
      </c>
      <c r="Q41" s="39"/>
      <c r="R41" s="38"/>
      <c r="S41" s="39"/>
      <c r="T41" s="38"/>
      <c r="U41" s="174"/>
      <c r="V41" s="39" t="s">
        <v>193</v>
      </c>
      <c r="W41" s="25"/>
      <c r="X41" s="5"/>
    </row>
    <row r="42" spans="1:27" ht="15.75" x14ac:dyDescent="0.25">
      <c r="A42" s="24"/>
      <c r="B42" s="25" t="s">
        <v>289</v>
      </c>
      <c r="C42" s="25"/>
      <c r="D42" s="30" t="s">
        <v>279</v>
      </c>
      <c r="E42" s="25"/>
      <c r="F42" s="30" t="s">
        <v>251</v>
      </c>
      <c r="G42" s="30"/>
      <c r="H42" s="30" t="s">
        <v>229</v>
      </c>
      <c r="I42" s="30"/>
      <c r="J42" s="30" t="s">
        <v>229</v>
      </c>
      <c r="K42" s="30"/>
      <c r="L42" s="30" t="s">
        <v>254</v>
      </c>
      <c r="M42" s="30"/>
      <c r="N42" s="30" t="s">
        <v>262</v>
      </c>
      <c r="O42" s="30"/>
      <c r="P42" s="30" t="s">
        <v>263</v>
      </c>
      <c r="Q42" s="30"/>
      <c r="R42" s="30"/>
      <c r="S42" s="39"/>
      <c r="T42" s="38"/>
      <c r="U42" s="174"/>
      <c r="V42" s="174"/>
      <c r="W42" s="25"/>
      <c r="X42" s="5"/>
    </row>
    <row r="43" spans="1:27" ht="15.75" x14ac:dyDescent="0.25">
      <c r="A43" s="24"/>
      <c r="B43" s="25" t="s">
        <v>290</v>
      </c>
      <c r="C43" s="110"/>
      <c r="D43" s="38">
        <v>7.1982499999999998E-3</v>
      </c>
      <c r="E43" s="38"/>
      <c r="F43" s="38">
        <f>+F40</f>
        <v>7.4063000000000002E-3</v>
      </c>
      <c r="G43" s="38"/>
      <c r="H43" s="38">
        <v>7.4812999999999998E-3</v>
      </c>
      <c r="I43" s="38"/>
      <c r="J43" s="38">
        <v>7.4963E-3</v>
      </c>
      <c r="K43" s="38"/>
      <c r="L43" s="38">
        <f>+L40</f>
        <v>8.8062999999999995E-3</v>
      </c>
      <c r="M43" s="38"/>
      <c r="N43" s="38">
        <v>9.1733000000000006E-3</v>
      </c>
      <c r="O43" s="38"/>
      <c r="P43" s="38">
        <v>1.22533E-2</v>
      </c>
      <c r="Q43" s="39"/>
      <c r="R43" s="38"/>
      <c r="S43" s="30"/>
      <c r="T43" s="30"/>
      <c r="U43" s="174"/>
      <c r="V43" s="39">
        <f>SUMPRODUCT(D43:R43,D35:R35)/V35</f>
        <v>7.8772979558210821E-3</v>
      </c>
      <c r="W43" s="25"/>
      <c r="X43" s="5"/>
    </row>
    <row r="44" spans="1:27" ht="15.75" x14ac:dyDescent="0.25">
      <c r="A44" s="24"/>
      <c r="B44" s="25" t="s">
        <v>291</v>
      </c>
      <c r="C44" s="110"/>
      <c r="D44" s="38">
        <v>1.361075E-2</v>
      </c>
      <c r="E44" s="38"/>
      <c r="F44" s="38">
        <f>+F41</f>
        <v>1.3818799999999999E-2</v>
      </c>
      <c r="G44" s="38"/>
      <c r="H44" s="38">
        <v>1.38938E-2</v>
      </c>
      <c r="I44" s="38"/>
      <c r="J44" s="38">
        <v>1.3908800000000001E-2</v>
      </c>
      <c r="K44" s="38"/>
      <c r="L44" s="38">
        <f>+L41</f>
        <v>1.5218799999999999E-2</v>
      </c>
      <c r="M44" s="38"/>
      <c r="N44" s="38">
        <v>1.55858E-2</v>
      </c>
      <c r="O44" s="38"/>
      <c r="P44" s="38">
        <v>1.86658E-2</v>
      </c>
      <c r="Q44" s="39"/>
      <c r="R44" s="38"/>
      <c r="S44" s="30"/>
      <c r="T44" s="30"/>
      <c r="U44" s="174"/>
      <c r="V44" s="174"/>
      <c r="W44" s="25"/>
      <c r="X44" s="5"/>
    </row>
    <row r="45" spans="1:27" ht="15.75" x14ac:dyDescent="0.25">
      <c r="A45" s="24"/>
      <c r="B45" s="25" t="s">
        <v>14</v>
      </c>
      <c r="C45" s="25"/>
      <c r="D45" s="110">
        <v>40709</v>
      </c>
      <c r="E45" s="110"/>
      <c r="F45" s="110">
        <v>40709</v>
      </c>
      <c r="G45" s="110"/>
      <c r="H45" s="110">
        <v>40709</v>
      </c>
      <c r="I45" s="110"/>
      <c r="J45" s="110">
        <v>40709</v>
      </c>
      <c r="K45" s="110"/>
      <c r="L45" s="110">
        <v>40709</v>
      </c>
      <c r="M45" s="110"/>
      <c r="N45" s="110">
        <v>40709</v>
      </c>
      <c r="O45" s="110"/>
      <c r="P45" s="110">
        <v>40709</v>
      </c>
      <c r="Q45" s="110"/>
      <c r="R45" s="110"/>
      <c r="S45" s="30"/>
      <c r="T45" s="30"/>
      <c r="U45" s="174"/>
      <c r="V45" s="174"/>
      <c r="W45" s="25"/>
      <c r="X45" s="5"/>
    </row>
    <row r="46" spans="1:27" ht="15.75" x14ac:dyDescent="0.25">
      <c r="A46" s="24"/>
      <c r="B46" s="25" t="s">
        <v>15</v>
      </c>
      <c r="C46" s="25"/>
      <c r="D46" s="110" t="s">
        <v>118</v>
      </c>
      <c r="E46" s="110"/>
      <c r="F46" s="110">
        <v>41075</v>
      </c>
      <c r="G46" s="110"/>
      <c r="H46" s="110">
        <v>41075</v>
      </c>
      <c r="I46" s="110"/>
      <c r="J46" s="110">
        <v>41075</v>
      </c>
      <c r="K46" s="30"/>
      <c r="L46" s="110">
        <v>41075</v>
      </c>
      <c r="M46" s="30"/>
      <c r="N46" s="110">
        <v>41075</v>
      </c>
      <c r="O46" s="30"/>
      <c r="P46" s="110">
        <v>41075</v>
      </c>
      <c r="Q46" s="30"/>
      <c r="R46" s="110"/>
      <c r="S46" s="30"/>
      <c r="T46" s="30"/>
      <c r="U46" s="174"/>
      <c r="V46" s="174"/>
      <c r="W46" s="25"/>
      <c r="X46" s="5"/>
    </row>
    <row r="47" spans="1:27" ht="15.75" x14ac:dyDescent="0.25">
      <c r="A47" s="24"/>
      <c r="B47" s="25" t="s">
        <v>119</v>
      </c>
      <c r="C47" s="25"/>
      <c r="D47" s="171" t="s">
        <v>118</v>
      </c>
      <c r="E47" s="25"/>
      <c r="F47" s="30" t="s">
        <v>256</v>
      </c>
      <c r="G47" s="30"/>
      <c r="H47" s="30" t="s">
        <v>257</v>
      </c>
      <c r="I47" s="30"/>
      <c r="J47" s="30" t="s">
        <v>258</v>
      </c>
      <c r="K47" s="30"/>
      <c r="L47" s="30" t="s">
        <v>259</v>
      </c>
      <c r="M47" s="30"/>
      <c r="N47" s="30" t="s">
        <v>259</v>
      </c>
      <c r="O47" s="30"/>
      <c r="P47" s="30" t="s">
        <v>260</v>
      </c>
      <c r="Q47" s="30"/>
      <c r="R47" s="30"/>
      <c r="S47" s="40"/>
      <c r="T47" s="40"/>
      <c r="U47" s="40"/>
      <c r="V47" s="40"/>
      <c r="W47" s="25"/>
      <c r="X47" s="5"/>
    </row>
    <row r="48" spans="1:27" ht="15.75" x14ac:dyDescent="0.25">
      <c r="A48" s="24"/>
      <c r="B48" s="25" t="s">
        <v>292</v>
      </c>
      <c r="C48" s="25"/>
      <c r="D48" s="30" t="s">
        <v>200</v>
      </c>
      <c r="E48" s="25"/>
      <c r="F48" s="30" t="s">
        <v>256</v>
      </c>
      <c r="G48" s="30"/>
      <c r="H48" s="30" t="s">
        <v>261</v>
      </c>
      <c r="I48" s="30"/>
      <c r="J48" s="30" t="s">
        <v>261</v>
      </c>
      <c r="K48" s="30"/>
      <c r="L48" s="30" t="s">
        <v>259</v>
      </c>
      <c r="M48" s="30"/>
      <c r="N48" s="30" t="s">
        <v>263</v>
      </c>
      <c r="O48" s="30"/>
      <c r="P48" s="30" t="s">
        <v>264</v>
      </c>
      <c r="Q48" s="30"/>
      <c r="R48" s="30"/>
      <c r="S48" s="25"/>
      <c r="T48" s="25"/>
      <c r="U48" s="25"/>
      <c r="V48" s="39"/>
      <c r="W48" s="25"/>
      <c r="X48" s="5"/>
    </row>
    <row r="49" spans="1:25" ht="15.75" x14ac:dyDescent="0.25">
      <c r="A49" s="24"/>
      <c r="B49" s="25"/>
      <c r="C49" s="25"/>
      <c r="D49" s="30"/>
      <c r="E49" s="25"/>
      <c r="F49" s="30"/>
      <c r="G49" s="30"/>
      <c r="H49" s="30"/>
      <c r="I49" s="30"/>
      <c r="J49" s="30"/>
      <c r="K49" s="30"/>
      <c r="L49" s="30"/>
      <c r="M49" s="30"/>
      <c r="N49" s="30"/>
      <c r="O49" s="30"/>
      <c r="P49" s="30"/>
      <c r="Q49" s="30"/>
      <c r="R49" s="30"/>
      <c r="S49" s="25"/>
      <c r="T49" s="25"/>
      <c r="U49" s="25"/>
      <c r="V49" s="39" t="s">
        <v>193</v>
      </c>
      <c r="W49" s="25"/>
      <c r="X49" s="5"/>
    </row>
    <row r="50" spans="1:25" ht="15.75" x14ac:dyDescent="0.25">
      <c r="A50" s="24"/>
      <c r="B50" s="25" t="s">
        <v>169</v>
      </c>
      <c r="C50" s="25"/>
      <c r="D50" s="30"/>
      <c r="E50" s="25"/>
      <c r="F50" s="30"/>
      <c r="G50" s="30"/>
      <c r="H50" s="30"/>
      <c r="I50" s="30"/>
      <c r="J50" s="30"/>
      <c r="K50" s="30"/>
      <c r="L50" s="30"/>
      <c r="M50" s="30"/>
      <c r="N50" s="30"/>
      <c r="O50" s="30"/>
      <c r="P50" s="30"/>
      <c r="Q50" s="30"/>
      <c r="R50" s="30"/>
      <c r="S50" s="25"/>
      <c r="T50" s="25"/>
      <c r="U50" s="25"/>
      <c r="V50" s="39">
        <f>SUM(L34:R34)/SUM(D34:J34)</f>
        <v>0.17632136449250416</v>
      </c>
      <c r="W50" s="25"/>
      <c r="X50" s="5"/>
    </row>
    <row r="51" spans="1:25" ht="15.75" x14ac:dyDescent="0.25">
      <c r="A51" s="24"/>
      <c r="B51" s="25" t="s">
        <v>170</v>
      </c>
      <c r="C51" s="25"/>
      <c r="D51" s="25"/>
      <c r="E51" s="25"/>
      <c r="F51" s="41"/>
      <c r="G51" s="25"/>
      <c r="H51" s="25"/>
      <c r="I51" s="25"/>
      <c r="J51" s="25"/>
      <c r="K51" s="25"/>
      <c r="L51" s="25"/>
      <c r="M51" s="25"/>
      <c r="N51" s="25"/>
      <c r="O51" s="25"/>
      <c r="P51" s="25"/>
      <c r="Q51" s="25"/>
      <c r="R51" s="25"/>
      <c r="S51" s="25"/>
      <c r="T51" s="25"/>
      <c r="U51" s="25"/>
      <c r="V51" s="39">
        <f>SUM(L36:R36)/SUM(D36:J36)</f>
        <v>0.2080453674016568</v>
      </c>
      <c r="W51" s="25"/>
      <c r="X51" s="5"/>
    </row>
    <row r="52" spans="1:25" ht="15.75" x14ac:dyDescent="0.25">
      <c r="A52" s="24"/>
      <c r="B52" s="25" t="s">
        <v>171</v>
      </c>
      <c r="C52" s="25"/>
      <c r="D52" s="25"/>
      <c r="E52" s="25"/>
      <c r="F52" s="25"/>
      <c r="G52" s="25"/>
      <c r="H52" s="25"/>
      <c r="I52" s="25"/>
      <c r="J52" s="25"/>
      <c r="K52" s="25"/>
      <c r="L52" s="25"/>
      <c r="M52" s="25"/>
      <c r="N52" s="25"/>
      <c r="O52" s="25"/>
      <c r="P52" s="25"/>
      <c r="Q52" s="25"/>
      <c r="R52" s="25"/>
      <c r="S52" s="25"/>
      <c r="T52" s="30"/>
      <c r="U52" s="30"/>
      <c r="V52" s="31" t="s">
        <v>268</v>
      </c>
      <c r="W52" s="25"/>
      <c r="X52" s="5"/>
    </row>
    <row r="53" spans="1:25" ht="15.75" x14ac:dyDescent="0.25">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75" x14ac:dyDescent="0.25">
      <c r="A54" s="24"/>
      <c r="B54" s="25" t="s">
        <v>202</v>
      </c>
      <c r="C54" s="25"/>
      <c r="D54" s="25"/>
      <c r="E54" s="25"/>
      <c r="F54" s="25"/>
      <c r="G54" s="25"/>
      <c r="H54" s="25"/>
      <c r="I54" s="25"/>
      <c r="J54" s="25"/>
      <c r="K54" s="25"/>
      <c r="L54" s="25"/>
      <c r="M54" s="25"/>
      <c r="N54" s="25"/>
      <c r="O54" s="25"/>
      <c r="P54" s="25"/>
      <c r="Q54" s="25"/>
      <c r="R54" s="25"/>
      <c r="S54" s="25"/>
      <c r="T54" s="25"/>
      <c r="U54" s="25"/>
      <c r="V54" s="152" t="s">
        <v>203</v>
      </c>
      <c r="W54" s="25"/>
      <c r="X54" s="5"/>
    </row>
    <row r="55" spans="1:25" ht="15.75" x14ac:dyDescent="0.25">
      <c r="A55" s="24"/>
      <c r="B55" s="25" t="s">
        <v>270</v>
      </c>
      <c r="C55" s="25"/>
      <c r="D55" s="25"/>
      <c r="E55" s="25"/>
      <c r="F55" s="25"/>
      <c r="G55" s="25"/>
      <c r="H55" s="25"/>
      <c r="I55" s="25"/>
      <c r="J55" s="25"/>
      <c r="K55" s="25"/>
      <c r="L55" s="25"/>
      <c r="M55" s="25"/>
      <c r="N55" s="25"/>
      <c r="O55" s="25"/>
      <c r="P55" s="25"/>
      <c r="Q55" s="25"/>
      <c r="R55" s="25"/>
      <c r="S55" s="25"/>
      <c r="T55" s="30"/>
      <c r="U55" s="30"/>
      <c r="V55" s="153" t="s">
        <v>111</v>
      </c>
      <c r="W55" s="25"/>
      <c r="X55" s="5"/>
    </row>
    <row r="56" spans="1:25" ht="15.75" x14ac:dyDescent="0.25">
      <c r="A56" s="24"/>
      <c r="B56" s="29" t="s">
        <v>201</v>
      </c>
      <c r="C56" s="29"/>
      <c r="D56" s="29"/>
      <c r="E56" s="29"/>
      <c r="F56" s="29"/>
      <c r="G56" s="29"/>
      <c r="H56" s="29"/>
      <c r="I56" s="29"/>
      <c r="J56" s="29"/>
      <c r="K56" s="29"/>
      <c r="L56" s="29"/>
      <c r="M56" s="29"/>
      <c r="N56" s="29"/>
      <c r="O56" s="29"/>
      <c r="P56" s="29"/>
      <c r="Q56" s="29"/>
      <c r="R56" s="29"/>
      <c r="S56" s="29"/>
      <c r="T56" s="43"/>
      <c r="U56" s="43"/>
      <c r="V56" s="44">
        <v>40162</v>
      </c>
      <c r="W56" s="25"/>
      <c r="X56" s="5"/>
    </row>
    <row r="57" spans="1:25" ht="15.75" x14ac:dyDescent="0.25">
      <c r="A57" s="24"/>
      <c r="B57" s="25" t="s">
        <v>121</v>
      </c>
      <c r="C57" s="25"/>
      <c r="D57" s="25"/>
      <c r="E57" s="25"/>
      <c r="F57" s="25"/>
      <c r="G57" s="25"/>
      <c r="H57" s="58"/>
      <c r="I57" s="58"/>
      <c r="J57" s="58"/>
      <c r="K57" s="58"/>
      <c r="L57" s="58"/>
      <c r="M57" s="58"/>
      <c r="N57" s="58"/>
      <c r="O57" s="58"/>
      <c r="P57" s="58"/>
      <c r="Q57" s="58"/>
      <c r="R57" s="25">
        <f>+V57-T57+1</f>
        <v>92</v>
      </c>
      <c r="S57" s="58"/>
      <c r="T57" s="45">
        <v>39979</v>
      </c>
      <c r="U57" s="46"/>
      <c r="V57" s="45">
        <v>40070</v>
      </c>
      <c r="W57" s="25"/>
      <c r="X57" s="5"/>
    </row>
    <row r="58" spans="1:25" ht="15.75" x14ac:dyDescent="0.25">
      <c r="A58" s="24"/>
      <c r="B58" s="25" t="s">
        <v>122</v>
      </c>
      <c r="C58" s="25"/>
      <c r="D58" s="25"/>
      <c r="E58" s="25"/>
      <c r="F58" s="25"/>
      <c r="G58" s="25"/>
      <c r="H58" s="25"/>
      <c r="I58" s="25"/>
      <c r="J58" s="25"/>
      <c r="K58" s="25"/>
      <c r="L58" s="25"/>
      <c r="M58" s="25"/>
      <c r="N58" s="25"/>
      <c r="O58" s="25"/>
      <c r="P58" s="25"/>
      <c r="Q58" s="25"/>
      <c r="R58" s="25">
        <f>+V58-T58+1</f>
        <v>91</v>
      </c>
      <c r="S58" s="25"/>
      <c r="T58" s="45">
        <v>40071</v>
      </c>
      <c r="U58" s="46"/>
      <c r="V58" s="45">
        <v>40161</v>
      </c>
      <c r="W58" s="25"/>
      <c r="X58" s="5"/>
    </row>
    <row r="59" spans="1:25" ht="15.75" x14ac:dyDescent="0.25">
      <c r="A59" s="24"/>
      <c r="B59" s="25" t="s">
        <v>223</v>
      </c>
      <c r="C59" s="25"/>
      <c r="D59" s="25"/>
      <c r="E59" s="25"/>
      <c r="F59" s="25"/>
      <c r="G59" s="25"/>
      <c r="H59" s="25"/>
      <c r="I59" s="25"/>
      <c r="J59" s="25"/>
      <c r="K59" s="25"/>
      <c r="L59" s="25"/>
      <c r="M59" s="25"/>
      <c r="N59" s="25"/>
      <c r="O59" s="25"/>
      <c r="P59" s="25"/>
      <c r="Q59" s="25"/>
      <c r="R59" s="25"/>
      <c r="S59" s="25"/>
      <c r="T59" s="45"/>
      <c r="U59" s="46"/>
      <c r="V59" s="45" t="s">
        <v>120</v>
      </c>
      <c r="W59" s="25"/>
      <c r="X59" s="5"/>
    </row>
    <row r="60" spans="1:25" ht="15.75" x14ac:dyDescent="0.25">
      <c r="A60" s="24"/>
      <c r="B60" s="25" t="s">
        <v>271</v>
      </c>
      <c r="C60" s="25"/>
      <c r="D60" s="25"/>
      <c r="E60" s="25"/>
      <c r="F60" s="25"/>
      <c r="G60" s="25"/>
      <c r="H60" s="25"/>
      <c r="I60" s="25"/>
      <c r="J60" s="25"/>
      <c r="K60" s="25"/>
      <c r="L60" s="25"/>
      <c r="M60" s="25"/>
      <c r="N60" s="25"/>
      <c r="O60" s="25"/>
      <c r="P60" s="25"/>
      <c r="Q60" s="25"/>
      <c r="R60" s="25"/>
      <c r="S60" s="25"/>
      <c r="T60" s="45"/>
      <c r="U60" s="46"/>
      <c r="V60" s="45" t="s">
        <v>154</v>
      </c>
      <c r="W60" s="25"/>
      <c r="X60" s="5"/>
      <c r="Y60" s="133"/>
    </row>
    <row r="61" spans="1:25" ht="15.75" x14ac:dyDescent="0.25">
      <c r="A61" s="24"/>
      <c r="B61" s="25" t="s">
        <v>16</v>
      </c>
      <c r="C61" s="25"/>
      <c r="D61" s="25"/>
      <c r="E61" s="25"/>
      <c r="F61" s="25"/>
      <c r="G61" s="25"/>
      <c r="H61" s="25"/>
      <c r="I61" s="25"/>
      <c r="J61" s="25"/>
      <c r="K61" s="25"/>
      <c r="L61" s="25"/>
      <c r="M61" s="25"/>
      <c r="N61" s="25"/>
      <c r="O61" s="25"/>
      <c r="P61" s="25"/>
      <c r="Q61" s="25"/>
      <c r="R61" s="25"/>
      <c r="S61" s="25"/>
      <c r="T61" s="45"/>
      <c r="U61" s="46"/>
      <c r="V61" s="45">
        <v>40148</v>
      </c>
      <c r="W61" s="25"/>
      <c r="X61" s="5"/>
    </row>
    <row r="62" spans="1:25" ht="15.75" x14ac:dyDescent="0.25">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75" x14ac:dyDescent="0.25">
      <c r="A63" s="6"/>
      <c r="B63" s="8"/>
      <c r="C63" s="8"/>
      <c r="D63" s="8"/>
      <c r="E63" s="8"/>
      <c r="F63" s="8"/>
      <c r="G63" s="8"/>
      <c r="H63" s="8"/>
      <c r="I63" s="8"/>
      <c r="J63" s="8"/>
      <c r="K63" s="8"/>
      <c r="L63" s="8"/>
      <c r="M63" s="8"/>
      <c r="N63" s="8"/>
      <c r="O63" s="8"/>
      <c r="P63" s="8"/>
      <c r="Q63" s="8"/>
      <c r="R63" s="8"/>
      <c r="S63" s="8"/>
      <c r="T63" s="47"/>
      <c r="U63" s="48"/>
      <c r="V63" s="47"/>
      <c r="W63" s="8"/>
      <c r="X63" s="5"/>
    </row>
    <row r="64" spans="1:25" ht="19.5" thickBot="1" x14ac:dyDescent="0.35">
      <c r="A64" s="101"/>
      <c r="B64" s="102" t="s">
        <v>293</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75" x14ac:dyDescent="0.25">
      <c r="A65" s="2"/>
      <c r="B65" s="4"/>
      <c r="C65" s="4"/>
      <c r="D65" s="4"/>
      <c r="E65" s="4"/>
      <c r="F65" s="4"/>
      <c r="G65" s="4"/>
      <c r="H65" s="4"/>
      <c r="I65" s="4"/>
      <c r="J65" s="4"/>
      <c r="K65" s="4"/>
      <c r="L65" s="4"/>
      <c r="M65" s="4"/>
      <c r="N65" s="4"/>
      <c r="O65" s="4"/>
      <c r="P65" s="4"/>
      <c r="Q65" s="4"/>
      <c r="R65" s="4"/>
      <c r="S65" s="4"/>
      <c r="T65" s="4"/>
      <c r="U65" s="4"/>
      <c r="V65" s="50"/>
      <c r="W65" s="4"/>
      <c r="X65" s="5"/>
    </row>
    <row r="66" spans="1:24" ht="15.75" x14ac:dyDescent="0.25">
      <c r="A66" s="6"/>
      <c r="B66" s="51" t="s">
        <v>17</v>
      </c>
      <c r="C66" s="8"/>
      <c r="D66" s="8"/>
      <c r="E66" s="8"/>
      <c r="F66" s="8"/>
      <c r="G66" s="8"/>
      <c r="H66" s="8"/>
      <c r="I66" s="8"/>
      <c r="J66" s="8"/>
      <c r="K66" s="8"/>
      <c r="L66" s="8"/>
      <c r="M66" s="8"/>
      <c r="N66" s="8"/>
      <c r="O66" s="8"/>
      <c r="P66" s="8"/>
      <c r="Q66" s="8"/>
      <c r="R66" s="8"/>
      <c r="S66" s="8"/>
      <c r="T66" s="8"/>
      <c r="U66" s="8"/>
      <c r="V66" s="52"/>
      <c r="W66" s="8"/>
      <c r="X66" s="5"/>
    </row>
    <row r="67" spans="1:24" ht="15.75" x14ac:dyDescent="0.25">
      <c r="A67" s="6"/>
      <c r="B67" s="13"/>
      <c r="C67" s="8"/>
      <c r="D67" s="8"/>
      <c r="E67" s="8"/>
      <c r="F67" s="8"/>
      <c r="G67" s="8"/>
      <c r="H67" s="8"/>
      <c r="I67" s="8"/>
      <c r="J67" s="8"/>
      <c r="K67" s="8"/>
      <c r="L67" s="8"/>
      <c r="M67" s="8"/>
      <c r="N67" s="8"/>
      <c r="O67" s="8"/>
      <c r="P67" s="8"/>
      <c r="Q67" s="8"/>
      <c r="R67" s="8"/>
      <c r="S67" s="8"/>
      <c r="T67" s="8"/>
      <c r="U67" s="8"/>
      <c r="V67" s="52"/>
      <c r="W67" s="8"/>
      <c r="X67" s="5"/>
    </row>
    <row r="68" spans="1:24" ht="47.25" x14ac:dyDescent="0.25">
      <c r="A68" s="6"/>
      <c r="B68" s="114" t="s">
        <v>18</v>
      </c>
      <c r="C68" s="115"/>
      <c r="D68" s="115"/>
      <c r="E68" s="115"/>
      <c r="F68" s="115"/>
      <c r="G68" s="115"/>
      <c r="H68" s="115"/>
      <c r="I68" s="115"/>
      <c r="J68" s="115"/>
      <c r="K68" s="115"/>
      <c r="L68" s="115" t="s">
        <v>94</v>
      </c>
      <c r="M68" s="115"/>
      <c r="N68" s="115" t="s">
        <v>96</v>
      </c>
      <c r="O68" s="115"/>
      <c r="P68" s="115" t="s">
        <v>98</v>
      </c>
      <c r="Q68" s="115"/>
      <c r="R68" s="115" t="s">
        <v>100</v>
      </c>
      <c r="S68" s="115"/>
      <c r="T68" s="115" t="s">
        <v>106</v>
      </c>
      <c r="U68" s="115"/>
      <c r="V68" s="116" t="s">
        <v>112</v>
      </c>
      <c r="W68" s="117"/>
      <c r="X68" s="5"/>
    </row>
    <row r="69" spans="1:24" ht="15.75" x14ac:dyDescent="0.25">
      <c r="A69" s="24"/>
      <c r="B69" s="25" t="s">
        <v>19</v>
      </c>
      <c r="C69" s="34"/>
      <c r="D69" s="34"/>
      <c r="E69" s="34"/>
      <c r="F69" s="34"/>
      <c r="G69" s="34"/>
      <c r="H69" s="34"/>
      <c r="I69" s="34"/>
      <c r="J69" s="34"/>
      <c r="K69" s="34"/>
      <c r="L69" s="34">
        <v>812446</v>
      </c>
      <c r="M69" s="34"/>
      <c r="N69" s="53">
        <v>876625</v>
      </c>
      <c r="O69" s="34"/>
      <c r="P69" s="34">
        <f>5269+253+6</f>
        <v>5528</v>
      </c>
      <c r="Q69" s="34"/>
      <c r="R69" s="34">
        <f>253+6</f>
        <v>259</v>
      </c>
      <c r="S69" s="34"/>
      <c r="T69" s="34">
        <v>0</v>
      </c>
      <c r="U69" s="34"/>
      <c r="V69" s="53">
        <f>+N69-P69+R69-T69</f>
        <v>871356</v>
      </c>
      <c r="W69" s="25"/>
      <c r="X69" s="5"/>
    </row>
    <row r="70" spans="1:24" ht="15.75" x14ac:dyDescent="0.25">
      <c r="A70" s="24"/>
      <c r="B70" s="25" t="s">
        <v>20</v>
      </c>
      <c r="C70" s="34"/>
      <c r="D70" s="34"/>
      <c r="E70" s="34"/>
      <c r="F70" s="34"/>
      <c r="G70" s="34"/>
      <c r="H70" s="34"/>
      <c r="I70" s="34"/>
      <c r="J70" s="34"/>
      <c r="K70" s="34"/>
      <c r="L70" s="34">
        <v>0</v>
      </c>
      <c r="M70" s="34"/>
      <c r="N70" s="53">
        <v>0</v>
      </c>
      <c r="O70" s="34"/>
      <c r="P70" s="34">
        <v>0</v>
      </c>
      <c r="Q70" s="34"/>
      <c r="R70" s="34">
        <v>0</v>
      </c>
      <c r="S70" s="34"/>
      <c r="T70" s="34">
        <v>0</v>
      </c>
      <c r="U70" s="34"/>
      <c r="V70" s="53">
        <f>+L70-P70</f>
        <v>0</v>
      </c>
      <c r="W70" s="25"/>
      <c r="X70" s="5"/>
    </row>
    <row r="71" spans="1:24" ht="15.75" x14ac:dyDescent="0.25">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75" x14ac:dyDescent="0.25">
      <c r="A72" s="24"/>
      <c r="B72" s="25" t="s">
        <v>21</v>
      </c>
      <c r="C72" s="34"/>
      <c r="D72" s="34"/>
      <c r="E72" s="34"/>
      <c r="F72" s="34"/>
      <c r="G72" s="34"/>
      <c r="H72" s="34"/>
      <c r="I72" s="34"/>
      <c r="J72" s="34"/>
      <c r="K72" s="34"/>
      <c r="L72" s="34">
        <f>SUM(L69:L71)</f>
        <v>812446</v>
      </c>
      <c r="M72" s="34"/>
      <c r="N72" s="54">
        <f>N69+N70</f>
        <v>876625</v>
      </c>
      <c r="O72" s="34"/>
      <c r="P72" s="34">
        <f>SUM(P69:P71)</f>
        <v>5528</v>
      </c>
      <c r="Q72" s="34"/>
      <c r="R72" s="34">
        <f>SUM(R69:R71)</f>
        <v>259</v>
      </c>
      <c r="S72" s="34"/>
      <c r="T72" s="34">
        <f>SUM(T69:T71)</f>
        <v>0</v>
      </c>
      <c r="U72" s="34"/>
      <c r="V72" s="54">
        <f>SUM(V69:V71)</f>
        <v>871356</v>
      </c>
      <c r="W72" s="25"/>
      <c r="X72" s="5"/>
    </row>
    <row r="73" spans="1:24" ht="15.75" x14ac:dyDescent="0.25">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75" x14ac:dyDescent="0.25">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75" x14ac:dyDescent="0.25">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75" x14ac:dyDescent="0.25">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75" x14ac:dyDescent="0.25">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75" x14ac:dyDescent="0.25">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75" x14ac:dyDescent="0.25">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75" x14ac:dyDescent="0.25">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75" x14ac:dyDescent="0.25">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75" x14ac:dyDescent="0.25">
      <c r="A82" s="24"/>
      <c r="B82" s="25" t="s">
        <v>117</v>
      </c>
      <c r="C82" s="34"/>
      <c r="D82" s="34"/>
      <c r="E82" s="34"/>
      <c r="F82" s="34"/>
      <c r="G82" s="34"/>
      <c r="H82" s="34"/>
      <c r="I82" s="34"/>
      <c r="J82" s="34"/>
      <c r="K82" s="34"/>
      <c r="L82" s="34">
        <v>188687</v>
      </c>
      <c r="M82" s="34"/>
      <c r="N82" s="34">
        <v>0</v>
      </c>
      <c r="O82" s="34"/>
      <c r="P82" s="34">
        <v>0</v>
      </c>
      <c r="Q82" s="34"/>
      <c r="R82" s="34"/>
      <c r="S82" s="34"/>
      <c r="T82" s="34"/>
      <c r="U82" s="34"/>
      <c r="V82" s="54">
        <f>SUM(N82:R82)</f>
        <v>0</v>
      </c>
      <c r="W82" s="25"/>
      <c r="X82" s="5"/>
    </row>
    <row r="83" spans="1:24" ht="15.75" x14ac:dyDescent="0.25">
      <c r="A83" s="24"/>
      <c r="B83" s="25" t="s">
        <v>146</v>
      </c>
      <c r="C83" s="34"/>
      <c r="D83" s="34"/>
      <c r="E83" s="34"/>
      <c r="F83" s="34"/>
      <c r="G83" s="34"/>
      <c r="H83" s="34"/>
      <c r="I83" s="34"/>
      <c r="J83" s="34"/>
      <c r="K83" s="34"/>
      <c r="L83" s="34">
        <v>0</v>
      </c>
      <c r="M83" s="34"/>
      <c r="N83" s="34">
        <v>0</v>
      </c>
      <c r="O83" s="34"/>
      <c r="P83" s="34">
        <v>0</v>
      </c>
      <c r="Q83" s="34"/>
      <c r="R83" s="34"/>
      <c r="S83" s="34"/>
      <c r="T83" s="34"/>
      <c r="U83" s="34"/>
      <c r="V83" s="54">
        <f>+N83+P83</f>
        <v>0</v>
      </c>
      <c r="W83" s="25"/>
      <c r="X83" s="5"/>
    </row>
    <row r="84" spans="1:24" ht="15.75" x14ac:dyDescent="0.25">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75" x14ac:dyDescent="0.25">
      <c r="A85" s="24"/>
      <c r="B85" s="25" t="s">
        <v>26</v>
      </c>
      <c r="C85" s="34"/>
      <c r="D85" s="34"/>
      <c r="E85" s="34"/>
      <c r="F85" s="54"/>
      <c r="G85" s="34"/>
      <c r="H85" s="54"/>
      <c r="I85" s="54"/>
      <c r="J85" s="54"/>
      <c r="K85" s="54"/>
      <c r="L85" s="54">
        <f>SUM(L72:L84)</f>
        <v>1001133</v>
      </c>
      <c r="M85" s="34"/>
      <c r="N85" s="54">
        <f>SUM(N72:N84)</f>
        <v>876625</v>
      </c>
      <c r="O85" s="34"/>
      <c r="P85" s="34"/>
      <c r="Q85" s="34"/>
      <c r="R85" s="34"/>
      <c r="S85" s="34"/>
      <c r="T85" s="54"/>
      <c r="U85" s="34"/>
      <c r="V85" s="54">
        <f>SUM(V72:V84)</f>
        <v>871356</v>
      </c>
      <c r="W85" s="25"/>
      <c r="X85" s="5"/>
    </row>
    <row r="86" spans="1:24" ht="15.75" x14ac:dyDescent="0.25">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75" x14ac:dyDescent="0.25">
      <c r="A87" s="6"/>
      <c r="B87" s="8"/>
      <c r="C87" s="8"/>
      <c r="D87" s="8"/>
      <c r="E87" s="8"/>
      <c r="F87" s="8"/>
      <c r="G87" s="8"/>
      <c r="H87" s="8"/>
      <c r="I87" s="8"/>
      <c r="J87" s="8"/>
      <c r="K87" s="8"/>
      <c r="L87" s="8"/>
      <c r="M87" s="8"/>
      <c r="N87" s="8"/>
      <c r="O87" s="8"/>
      <c r="P87" s="8"/>
      <c r="Q87" s="8"/>
      <c r="R87" s="8"/>
      <c r="S87" s="8"/>
      <c r="T87" s="8"/>
      <c r="U87" s="8"/>
      <c r="V87" s="8"/>
      <c r="W87" s="8"/>
      <c r="X87" s="5"/>
    </row>
    <row r="88" spans="1:24" ht="15.75" x14ac:dyDescent="0.25">
      <c r="A88" s="6"/>
      <c r="B88" s="51" t="s">
        <v>27</v>
      </c>
      <c r="C88" s="14"/>
      <c r="D88" s="14"/>
      <c r="E88" s="14"/>
      <c r="F88" s="14"/>
      <c r="G88" s="14"/>
      <c r="H88" s="17"/>
      <c r="I88" s="17"/>
      <c r="J88" s="17"/>
      <c r="K88" s="17"/>
      <c r="L88" s="155" t="s">
        <v>95</v>
      </c>
      <c r="M88" s="17"/>
      <c r="N88" s="154">
        <f>+T202</f>
        <v>40147</v>
      </c>
      <c r="O88" s="17"/>
      <c r="P88" s="17"/>
      <c r="Q88" s="17"/>
      <c r="R88" s="17"/>
      <c r="S88" s="17"/>
      <c r="T88" s="17" t="s">
        <v>107</v>
      </c>
      <c r="U88" s="17"/>
      <c r="V88" s="17" t="s">
        <v>113</v>
      </c>
      <c r="W88" s="8"/>
      <c r="X88" s="5"/>
    </row>
    <row r="89" spans="1:24" ht="15.75" x14ac:dyDescent="0.25">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75" x14ac:dyDescent="0.25">
      <c r="A90" s="24"/>
      <c r="B90" s="25" t="s">
        <v>29</v>
      </c>
      <c r="C90" s="25"/>
      <c r="D90" s="25"/>
      <c r="E90" s="25"/>
      <c r="F90" s="25"/>
      <c r="G90" s="25"/>
      <c r="H90" s="40"/>
      <c r="I90" s="40"/>
      <c r="J90" s="40"/>
      <c r="K90" s="57"/>
      <c r="L90" s="40"/>
      <c r="M90" s="25"/>
      <c r="N90" s="127"/>
      <c r="O90" s="25"/>
      <c r="P90" s="25"/>
      <c r="Q90" s="25"/>
      <c r="R90" s="25"/>
      <c r="S90" s="25"/>
      <c r="T90" s="34">
        <f>5528-144</f>
        <v>5384</v>
      </c>
      <c r="U90" s="25"/>
      <c r="V90" s="53"/>
      <c r="W90" s="25"/>
      <c r="X90" s="5"/>
    </row>
    <row r="91" spans="1:24" ht="15.75" x14ac:dyDescent="0.25">
      <c r="A91" s="24"/>
      <c r="B91" s="25" t="s">
        <v>215</v>
      </c>
      <c r="C91" s="25"/>
      <c r="D91" s="25"/>
      <c r="E91" s="25"/>
      <c r="F91" s="25"/>
      <c r="G91" s="25"/>
      <c r="H91" s="40"/>
      <c r="I91" s="40"/>
      <c r="J91" s="40"/>
      <c r="K91" s="57"/>
      <c r="L91" s="40"/>
      <c r="M91" s="25"/>
      <c r="N91" s="127"/>
      <c r="O91" s="25"/>
      <c r="P91" s="25"/>
      <c r="Q91" s="25"/>
      <c r="R91" s="25"/>
      <c r="S91" s="25"/>
      <c r="T91" s="34"/>
      <c r="U91" s="25"/>
      <c r="V91" s="53">
        <f>3855+3131+6-351-255</f>
        <v>6386</v>
      </c>
      <c r="W91" s="25"/>
      <c r="X91" s="5"/>
    </row>
    <row r="92" spans="1:24" ht="15.75" x14ac:dyDescent="0.25">
      <c r="A92" s="24"/>
      <c r="B92" s="25" t="s">
        <v>210</v>
      </c>
      <c r="C92" s="25"/>
      <c r="D92" s="25"/>
      <c r="E92" s="25"/>
      <c r="F92" s="25"/>
      <c r="G92" s="25"/>
      <c r="H92" s="40"/>
      <c r="I92" s="40"/>
      <c r="J92" s="40"/>
      <c r="K92" s="57"/>
      <c r="L92" s="40"/>
      <c r="M92" s="25"/>
      <c r="N92" s="127"/>
      <c r="O92" s="25"/>
      <c r="P92" s="25"/>
      <c r="Q92" s="25"/>
      <c r="R92" s="25"/>
      <c r="S92" s="25"/>
      <c r="T92" s="34"/>
      <c r="U92" s="25"/>
      <c r="V92" s="53">
        <f>31+39</f>
        <v>70</v>
      </c>
      <c r="W92" s="25"/>
      <c r="X92" s="5"/>
    </row>
    <row r="93" spans="1:24" ht="15.75" x14ac:dyDescent="0.25">
      <c r="A93" s="24"/>
      <c r="B93" s="25" t="s">
        <v>211</v>
      </c>
      <c r="C93" s="25"/>
      <c r="D93" s="25"/>
      <c r="E93" s="25"/>
      <c r="F93" s="25"/>
      <c r="G93" s="25"/>
      <c r="H93" s="40"/>
      <c r="I93" s="40"/>
      <c r="J93" s="40"/>
      <c r="K93" s="57"/>
      <c r="L93" s="40"/>
      <c r="M93" s="25"/>
      <c r="N93" s="127"/>
      <c r="O93" s="25"/>
      <c r="P93" s="25"/>
      <c r="Q93" s="25"/>
      <c r="R93" s="25"/>
      <c r="S93" s="25"/>
      <c r="T93" s="34"/>
      <c r="U93" s="25"/>
      <c r="V93" s="53">
        <v>66</v>
      </c>
      <c r="W93" s="25"/>
      <c r="X93" s="5"/>
    </row>
    <row r="94" spans="1:24" ht="15.75" x14ac:dyDescent="0.25">
      <c r="A94" s="24"/>
      <c r="B94" s="25" t="s">
        <v>233</v>
      </c>
      <c r="C94" s="25"/>
      <c r="D94" s="25"/>
      <c r="E94" s="25"/>
      <c r="F94" s="25"/>
      <c r="G94" s="25"/>
      <c r="H94" s="40"/>
      <c r="I94" s="40"/>
      <c r="J94" s="40"/>
      <c r="K94" s="57"/>
      <c r="L94" s="40"/>
      <c r="M94" s="25"/>
      <c r="N94" s="127"/>
      <c r="O94" s="25"/>
      <c r="P94" s="25"/>
      <c r="Q94" s="25"/>
      <c r="R94" s="25"/>
      <c r="S94" s="25"/>
      <c r="T94" s="34"/>
      <c r="U94" s="25"/>
      <c r="V94" s="53">
        <v>0</v>
      </c>
      <c r="W94" s="25"/>
      <c r="X94" s="5"/>
    </row>
    <row r="95" spans="1:24" ht="15.75" x14ac:dyDescent="0.25">
      <c r="A95" s="24"/>
      <c r="B95" s="25" t="s">
        <v>235</v>
      </c>
      <c r="C95" s="25"/>
      <c r="D95" s="25"/>
      <c r="E95" s="25"/>
      <c r="F95" s="25"/>
      <c r="G95" s="25"/>
      <c r="H95" s="40"/>
      <c r="I95" s="40"/>
      <c r="J95" s="40"/>
      <c r="K95" s="57"/>
      <c r="L95" s="40"/>
      <c r="M95" s="25"/>
      <c r="N95" s="127"/>
      <c r="O95" s="25"/>
      <c r="P95" s="25"/>
      <c r="Q95" s="25"/>
      <c r="R95" s="25"/>
      <c r="S95" s="25"/>
      <c r="T95" s="34"/>
      <c r="U95" s="25"/>
      <c r="V95" s="53">
        <v>0</v>
      </c>
      <c r="W95" s="25"/>
      <c r="X95" s="5"/>
    </row>
    <row r="96" spans="1:24" ht="15.75" x14ac:dyDescent="0.25">
      <c r="A96" s="24"/>
      <c r="B96" s="25" t="s">
        <v>135</v>
      </c>
      <c r="C96" s="25"/>
      <c r="D96" s="25"/>
      <c r="E96" s="25"/>
      <c r="F96" s="25"/>
      <c r="G96" s="25"/>
      <c r="H96" s="25"/>
      <c r="I96" s="25"/>
      <c r="J96" s="25"/>
      <c r="K96" s="25"/>
      <c r="L96" s="25"/>
      <c r="M96" s="25"/>
      <c r="N96" s="25"/>
      <c r="O96" s="25"/>
      <c r="P96" s="25"/>
      <c r="Q96" s="25"/>
      <c r="R96" s="25"/>
      <c r="S96" s="25"/>
      <c r="T96" s="34"/>
      <c r="U96" s="25"/>
      <c r="V96" s="53">
        <v>0</v>
      </c>
      <c r="W96" s="25"/>
      <c r="X96" s="5"/>
    </row>
    <row r="97" spans="1:25" ht="15.75" x14ac:dyDescent="0.25">
      <c r="A97" s="24"/>
      <c r="B97" s="25" t="s">
        <v>272</v>
      </c>
      <c r="C97" s="25"/>
      <c r="D97" s="25"/>
      <c r="E97" s="25"/>
      <c r="F97" s="25"/>
      <c r="G97" s="25"/>
      <c r="H97" s="25"/>
      <c r="I97" s="25"/>
      <c r="J97" s="25"/>
      <c r="K97" s="25"/>
      <c r="L97" s="25"/>
      <c r="M97" s="25"/>
      <c r="N97" s="25"/>
      <c r="O97" s="25"/>
      <c r="P97" s="25"/>
      <c r="Q97" s="25"/>
      <c r="R97" s="25"/>
      <c r="S97" s="25"/>
      <c r="T97" s="34"/>
      <c r="U97" s="25"/>
      <c r="V97" s="53">
        <v>0</v>
      </c>
      <c r="W97" s="25"/>
      <c r="X97" s="5"/>
    </row>
    <row r="98" spans="1:25" ht="15.75" x14ac:dyDescent="0.25">
      <c r="A98" s="24"/>
      <c r="B98" s="25" t="s">
        <v>30</v>
      </c>
      <c r="C98" s="25"/>
      <c r="D98" s="25"/>
      <c r="E98" s="25"/>
      <c r="F98" s="25"/>
      <c r="G98" s="25"/>
      <c r="H98" s="25"/>
      <c r="I98" s="25"/>
      <c r="J98" s="25"/>
      <c r="K98" s="25"/>
      <c r="L98" s="25"/>
      <c r="M98" s="25"/>
      <c r="N98" s="25"/>
      <c r="O98" s="25"/>
      <c r="P98" s="25"/>
      <c r="Q98" s="25"/>
      <c r="R98" s="25"/>
      <c r="S98" s="25"/>
      <c r="T98" s="34">
        <f>SUM(T89:T97)</f>
        <v>5384</v>
      </c>
      <c r="U98" s="25"/>
      <c r="V98" s="54">
        <f>SUM(V89:V97)</f>
        <v>6522</v>
      </c>
      <c r="W98" s="25"/>
      <c r="X98" s="5"/>
    </row>
    <row r="99" spans="1:25" ht="15.75" x14ac:dyDescent="0.25">
      <c r="A99" s="24"/>
      <c r="B99" s="25" t="s">
        <v>161</v>
      </c>
      <c r="C99" s="25"/>
      <c r="D99" s="25"/>
      <c r="E99" s="25"/>
      <c r="F99" s="25"/>
      <c r="G99" s="25"/>
      <c r="H99" s="25"/>
      <c r="I99" s="25"/>
      <c r="J99" s="25"/>
      <c r="K99" s="25"/>
      <c r="L99" s="25"/>
      <c r="M99" s="25"/>
      <c r="N99" s="25"/>
      <c r="O99" s="25"/>
      <c r="P99" s="25"/>
      <c r="Q99" s="25"/>
      <c r="R99" s="25"/>
      <c r="S99" s="25"/>
      <c r="T99" s="34">
        <f>-V99</f>
        <v>-6</v>
      </c>
      <c r="U99" s="25"/>
      <c r="V99" s="54">
        <v>6</v>
      </c>
      <c r="W99" s="25"/>
      <c r="X99" s="5"/>
    </row>
    <row r="100" spans="1:25" ht="15.75" x14ac:dyDescent="0.25">
      <c r="A100" s="24"/>
      <c r="B100" s="25" t="s">
        <v>31</v>
      </c>
      <c r="C100" s="25"/>
      <c r="D100" s="25"/>
      <c r="E100" s="25"/>
      <c r="F100" s="25"/>
      <c r="G100" s="25"/>
      <c r="H100" s="25"/>
      <c r="I100" s="25"/>
      <c r="J100" s="25"/>
      <c r="K100" s="25"/>
      <c r="L100" s="25"/>
      <c r="M100" s="25"/>
      <c r="N100" s="25"/>
      <c r="O100" s="25"/>
      <c r="P100" s="25"/>
      <c r="Q100" s="25"/>
      <c r="R100" s="25"/>
      <c r="S100" s="25"/>
      <c r="T100" s="34">
        <f>-V100</f>
        <v>0</v>
      </c>
      <c r="U100" s="25"/>
      <c r="V100" s="53">
        <v>0</v>
      </c>
      <c r="W100" s="25"/>
      <c r="X100" s="5"/>
    </row>
    <row r="101" spans="1:25" ht="15.75" x14ac:dyDescent="0.25">
      <c r="A101" s="24"/>
      <c r="B101" s="25" t="s">
        <v>274</v>
      </c>
      <c r="C101" s="25"/>
      <c r="D101" s="25"/>
      <c r="E101" s="25"/>
      <c r="F101" s="25"/>
      <c r="G101" s="25"/>
      <c r="H101" s="25"/>
      <c r="I101" s="25"/>
      <c r="J101" s="25"/>
      <c r="K101" s="25"/>
      <c r="L101" s="25"/>
      <c r="M101" s="25"/>
      <c r="N101" s="25"/>
      <c r="O101" s="25"/>
      <c r="P101" s="25"/>
      <c r="Q101" s="25"/>
      <c r="R101" s="25"/>
      <c r="S101" s="25"/>
      <c r="T101" s="34"/>
      <c r="U101" s="25"/>
      <c r="V101" s="53">
        <v>-147</v>
      </c>
      <c r="W101" s="25"/>
      <c r="X101" s="5"/>
    </row>
    <row r="102" spans="1:25" ht="15.75" x14ac:dyDescent="0.25">
      <c r="A102" s="24"/>
      <c r="B102" s="25" t="s">
        <v>32</v>
      </c>
      <c r="C102" s="25"/>
      <c r="D102" s="25"/>
      <c r="E102" s="25"/>
      <c r="F102" s="25"/>
      <c r="G102" s="25"/>
      <c r="H102" s="25"/>
      <c r="I102" s="25"/>
      <c r="J102" s="25"/>
      <c r="K102" s="25"/>
      <c r="L102" s="25"/>
      <c r="M102" s="25"/>
      <c r="N102" s="25"/>
      <c r="O102" s="25"/>
      <c r="P102" s="25"/>
      <c r="Q102" s="25"/>
      <c r="R102" s="25"/>
      <c r="S102" s="25"/>
      <c r="T102" s="34">
        <f>T98+T100+T99</f>
        <v>5378</v>
      </c>
      <c r="U102" s="25"/>
      <c r="V102" s="54">
        <f>V98+V100+V99+V101</f>
        <v>6381</v>
      </c>
      <c r="W102" s="25"/>
      <c r="X102" s="5"/>
    </row>
    <row r="103" spans="1:25" ht="15.75" x14ac:dyDescent="0.25">
      <c r="A103" s="24"/>
      <c r="B103" s="118" t="s">
        <v>33</v>
      </c>
      <c r="C103" s="25"/>
      <c r="D103" s="25"/>
      <c r="E103" s="25"/>
      <c r="F103" s="25"/>
      <c r="G103" s="25"/>
      <c r="H103" s="25"/>
      <c r="I103" s="25"/>
      <c r="J103" s="25"/>
      <c r="K103" s="25"/>
      <c r="L103" s="25"/>
      <c r="M103" s="25"/>
      <c r="N103" s="25"/>
      <c r="O103" s="25"/>
      <c r="P103" s="25"/>
      <c r="Q103" s="25"/>
      <c r="R103" s="25"/>
      <c r="S103" s="25"/>
      <c r="T103" s="34"/>
      <c r="U103" s="25"/>
      <c r="V103" s="53"/>
      <c r="W103" s="25"/>
      <c r="X103" s="5"/>
    </row>
    <row r="104" spans="1:25" ht="15.75" x14ac:dyDescent="0.25">
      <c r="A104" s="24">
        <v>1</v>
      </c>
      <c r="B104" s="25" t="s">
        <v>34</v>
      </c>
      <c r="C104" s="25"/>
      <c r="D104" s="25"/>
      <c r="E104" s="25"/>
      <c r="F104" s="25"/>
      <c r="G104" s="25"/>
      <c r="H104" s="25"/>
      <c r="I104" s="25"/>
      <c r="J104" s="25"/>
      <c r="K104" s="25"/>
      <c r="L104" s="25"/>
      <c r="M104" s="25"/>
      <c r="N104" s="25"/>
      <c r="O104" s="25"/>
      <c r="P104" s="25"/>
      <c r="Q104" s="25"/>
      <c r="R104" s="25"/>
      <c r="S104" s="25"/>
      <c r="T104" s="25"/>
      <c r="U104" s="25"/>
      <c r="V104" s="53">
        <v>0</v>
      </c>
      <c r="W104" s="25"/>
      <c r="X104" s="5"/>
    </row>
    <row r="105" spans="1:25" ht="15.75" x14ac:dyDescent="0.25">
      <c r="A105" s="24">
        <f>+A104+1</f>
        <v>2</v>
      </c>
      <c r="B105" s="25" t="s">
        <v>221</v>
      </c>
      <c r="C105" s="25"/>
      <c r="D105" s="25"/>
      <c r="E105" s="25"/>
      <c r="F105" s="25"/>
      <c r="G105" s="25"/>
      <c r="H105" s="25"/>
      <c r="I105" s="25"/>
      <c r="J105" s="25"/>
      <c r="K105" s="25"/>
      <c r="L105" s="25"/>
      <c r="M105" s="25"/>
      <c r="N105" s="25"/>
      <c r="O105" s="25"/>
      <c r="P105" s="25"/>
      <c r="Q105" s="25"/>
      <c r="R105" s="25"/>
      <c r="S105" s="25"/>
      <c r="T105" s="25"/>
      <c r="U105" s="25"/>
      <c r="V105" s="53">
        <v>-2</v>
      </c>
      <c r="W105" s="25"/>
      <c r="X105" s="5"/>
    </row>
    <row r="106" spans="1:25" ht="15.75" x14ac:dyDescent="0.25">
      <c r="A106" s="24">
        <f>+A105+1</f>
        <v>3</v>
      </c>
      <c r="B106" s="25" t="s">
        <v>204</v>
      </c>
      <c r="C106" s="25"/>
      <c r="D106" s="25"/>
      <c r="E106" s="25"/>
      <c r="F106" s="25"/>
      <c r="G106" s="25"/>
      <c r="H106" s="25"/>
      <c r="I106" s="25"/>
      <c r="J106" s="25"/>
      <c r="K106" s="25"/>
      <c r="L106" s="25"/>
      <c r="M106" s="25"/>
      <c r="N106" s="25"/>
      <c r="O106" s="25"/>
      <c r="P106" s="25"/>
      <c r="Q106" s="25"/>
      <c r="R106" s="25"/>
      <c r="S106" s="25"/>
      <c r="T106" s="25"/>
      <c r="U106" s="25"/>
      <c r="V106" s="53">
        <f>-329-150-10</f>
        <v>-489</v>
      </c>
      <c r="W106" s="25"/>
      <c r="X106" s="5"/>
    </row>
    <row r="107" spans="1:25" ht="15.75" x14ac:dyDescent="0.25">
      <c r="A107" s="24" t="s">
        <v>127</v>
      </c>
      <c r="B107" s="25" t="s">
        <v>116</v>
      </c>
      <c r="C107" s="25"/>
      <c r="D107" s="25"/>
      <c r="E107" s="25"/>
      <c r="F107" s="25"/>
      <c r="G107" s="25"/>
      <c r="H107" s="25"/>
      <c r="I107" s="25"/>
      <c r="J107" s="25"/>
      <c r="K107" s="25"/>
      <c r="L107" s="25"/>
      <c r="M107" s="25"/>
      <c r="N107" s="25"/>
      <c r="O107" s="25"/>
      <c r="P107" s="25"/>
      <c r="Q107" s="25"/>
      <c r="R107" s="25"/>
      <c r="S107" s="25"/>
      <c r="T107" s="25"/>
      <c r="U107" s="25"/>
      <c r="V107" s="53">
        <v>-1121</v>
      </c>
      <c r="W107" s="25"/>
      <c r="X107" s="5"/>
    </row>
    <row r="108" spans="1:25" ht="15.75" x14ac:dyDescent="0.25">
      <c r="A108" s="24" t="s">
        <v>128</v>
      </c>
      <c r="B108" s="25" t="s">
        <v>220</v>
      </c>
      <c r="C108" s="25"/>
      <c r="D108" s="25"/>
      <c r="E108" s="25"/>
      <c r="F108" s="25"/>
      <c r="G108" s="25"/>
      <c r="H108" s="25"/>
      <c r="I108" s="25"/>
      <c r="J108" s="25"/>
      <c r="K108" s="25"/>
      <c r="L108" s="25"/>
      <c r="M108" s="25"/>
      <c r="N108" s="25"/>
      <c r="O108" s="25"/>
      <c r="P108" s="25"/>
      <c r="Q108" s="25"/>
      <c r="R108" s="25"/>
      <c r="S108" s="25"/>
      <c r="T108" s="25"/>
      <c r="U108" s="25"/>
      <c r="V108" s="53">
        <f>-1322+330</f>
        <v>-992</v>
      </c>
      <c r="W108" s="25"/>
      <c r="X108" s="5"/>
      <c r="Y108" s="109"/>
    </row>
    <row r="109" spans="1:25" ht="15.75" x14ac:dyDescent="0.25">
      <c r="A109" s="24" t="s">
        <v>150</v>
      </c>
      <c r="B109" s="25" t="s">
        <v>184</v>
      </c>
      <c r="C109" s="25"/>
      <c r="D109" s="25"/>
      <c r="E109" s="25"/>
      <c r="F109" s="25"/>
      <c r="G109" s="25"/>
      <c r="H109" s="25"/>
      <c r="I109" s="25"/>
      <c r="J109" s="25"/>
      <c r="K109" s="25"/>
      <c r="L109" s="25"/>
      <c r="M109" s="25"/>
      <c r="N109" s="25"/>
      <c r="O109" s="25"/>
      <c r="P109" s="25"/>
      <c r="Q109" s="25"/>
      <c r="R109" s="25"/>
      <c r="S109" s="25"/>
      <c r="T109" s="25"/>
      <c r="U109" s="25"/>
      <c r="V109" s="53">
        <v>-330</v>
      </c>
      <c r="W109" s="25"/>
      <c r="X109" s="5"/>
      <c r="Y109" s="109"/>
    </row>
    <row r="110" spans="1:25" ht="15.75" x14ac:dyDescent="0.25">
      <c r="A110" s="24" t="s">
        <v>205</v>
      </c>
      <c r="B110" s="25" t="s">
        <v>185</v>
      </c>
      <c r="C110" s="25"/>
      <c r="D110" s="25"/>
      <c r="E110" s="25"/>
      <c r="F110" s="25"/>
      <c r="G110" s="25"/>
      <c r="H110" s="25"/>
      <c r="I110" s="25"/>
      <c r="J110" s="25"/>
      <c r="K110" s="25"/>
      <c r="L110" s="25"/>
      <c r="M110" s="25"/>
      <c r="N110" s="25"/>
      <c r="O110" s="25"/>
      <c r="P110" s="25"/>
      <c r="Q110" s="25"/>
      <c r="R110" s="25"/>
      <c r="S110" s="25"/>
      <c r="T110" s="25"/>
      <c r="U110" s="25"/>
      <c r="V110" s="53">
        <v>-132</v>
      </c>
      <c r="W110" s="25"/>
      <c r="X110" s="5"/>
      <c r="Y110" s="109"/>
    </row>
    <row r="111" spans="1:25" ht="15.75" x14ac:dyDescent="0.25">
      <c r="A111" s="24" t="s">
        <v>206</v>
      </c>
      <c r="B111" s="25" t="s">
        <v>186</v>
      </c>
      <c r="C111" s="25"/>
      <c r="D111" s="25"/>
      <c r="E111" s="25"/>
      <c r="F111" s="25"/>
      <c r="G111" s="25"/>
      <c r="H111" s="25"/>
      <c r="I111" s="25"/>
      <c r="J111" s="25"/>
      <c r="K111" s="25"/>
      <c r="L111" s="25"/>
      <c r="M111" s="25"/>
      <c r="N111" s="25"/>
      <c r="O111" s="25"/>
      <c r="P111" s="25"/>
      <c r="Q111" s="25"/>
      <c r="R111" s="25"/>
      <c r="S111" s="25"/>
      <c r="T111" s="25"/>
      <c r="U111" s="25"/>
      <c r="V111" s="53">
        <v>-38</v>
      </c>
      <c r="W111" s="25"/>
      <c r="X111" s="5"/>
      <c r="Y111" s="109"/>
    </row>
    <row r="112" spans="1:25" ht="15.75" x14ac:dyDescent="0.25">
      <c r="A112" s="24">
        <v>6</v>
      </c>
      <c r="B112" s="25" t="s">
        <v>196</v>
      </c>
      <c r="C112" s="25"/>
      <c r="D112" s="25"/>
      <c r="E112" s="25"/>
      <c r="F112" s="25"/>
      <c r="G112" s="25"/>
      <c r="H112" s="25"/>
      <c r="I112" s="25"/>
      <c r="J112" s="25"/>
      <c r="K112" s="25"/>
      <c r="L112" s="25"/>
      <c r="M112" s="25"/>
      <c r="N112" s="25"/>
      <c r="O112" s="25"/>
      <c r="P112" s="25"/>
      <c r="Q112" s="25"/>
      <c r="R112" s="25"/>
      <c r="S112" s="25"/>
      <c r="T112" s="25"/>
      <c r="U112" s="25"/>
      <c r="V112" s="53">
        <v>-229</v>
      </c>
      <c r="W112" s="25"/>
      <c r="X112" s="5"/>
      <c r="Y112" s="109"/>
    </row>
    <row r="113" spans="1:24" ht="15.75" x14ac:dyDescent="0.25">
      <c r="A113" s="24">
        <v>7</v>
      </c>
      <c r="B113" s="25" t="s">
        <v>35</v>
      </c>
      <c r="C113" s="25"/>
      <c r="D113" s="25"/>
      <c r="E113" s="25"/>
      <c r="F113" s="25"/>
      <c r="G113" s="25"/>
      <c r="H113" s="25"/>
      <c r="I113" s="25"/>
      <c r="J113" s="25"/>
      <c r="K113" s="25"/>
      <c r="L113" s="25"/>
      <c r="M113" s="25"/>
      <c r="N113" s="25"/>
      <c r="O113" s="25"/>
      <c r="P113" s="25"/>
      <c r="Q113" s="25"/>
      <c r="R113" s="25"/>
      <c r="S113" s="25"/>
      <c r="T113" s="25"/>
      <c r="U113" s="25"/>
      <c r="V113" s="53">
        <v>-9</v>
      </c>
      <c r="W113" s="25"/>
      <c r="X113" s="5"/>
    </row>
    <row r="114" spans="1:24" ht="15.75" x14ac:dyDescent="0.25">
      <c r="A114" s="24">
        <f t="shared" ref="A114:A119" si="0">+A113+1</f>
        <v>8</v>
      </c>
      <c r="B114" s="25" t="s">
        <v>45</v>
      </c>
      <c r="C114" s="25"/>
      <c r="D114" s="25"/>
      <c r="E114" s="25"/>
      <c r="F114" s="25"/>
      <c r="G114" s="25"/>
      <c r="H114" s="25"/>
      <c r="I114" s="25"/>
      <c r="J114" s="25"/>
      <c r="K114" s="25"/>
      <c r="L114" s="25"/>
      <c r="M114" s="25"/>
      <c r="N114" s="25"/>
      <c r="O114" s="25"/>
      <c r="P114" s="25"/>
      <c r="Q114" s="25"/>
      <c r="R114" s="25"/>
      <c r="S114" s="25"/>
      <c r="T114" s="34">
        <f>-V114</f>
        <v>144</v>
      </c>
      <c r="U114" s="25"/>
      <c r="V114" s="53">
        <v>-144</v>
      </c>
      <c r="W114" s="25"/>
      <c r="X114" s="5"/>
    </row>
    <row r="115" spans="1:24" ht="15.75" x14ac:dyDescent="0.25">
      <c r="A115" s="24">
        <f t="shared" si="0"/>
        <v>9</v>
      </c>
      <c r="B115" s="25" t="s">
        <v>125</v>
      </c>
      <c r="C115" s="25"/>
      <c r="D115" s="25"/>
      <c r="E115" s="25"/>
      <c r="F115" s="25"/>
      <c r="G115" s="25"/>
      <c r="H115" s="25"/>
      <c r="I115" s="25"/>
      <c r="J115" s="25"/>
      <c r="K115" s="25"/>
      <c r="L115" s="25"/>
      <c r="M115" s="25"/>
      <c r="N115" s="25"/>
      <c r="O115" s="25"/>
      <c r="P115" s="25"/>
      <c r="Q115" s="25"/>
      <c r="R115" s="25"/>
      <c r="S115" s="25"/>
      <c r="T115" s="25"/>
      <c r="U115" s="25"/>
      <c r="V115" s="53">
        <v>0</v>
      </c>
      <c r="W115" s="25"/>
      <c r="X115" s="5"/>
    </row>
    <row r="116" spans="1:24" ht="15.75" x14ac:dyDescent="0.25">
      <c r="A116" s="24">
        <f t="shared" si="0"/>
        <v>10</v>
      </c>
      <c r="B116" s="25" t="s">
        <v>225</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4" ht="15.75" x14ac:dyDescent="0.25">
      <c r="A117" s="24">
        <f t="shared" si="0"/>
        <v>11</v>
      </c>
      <c r="B117" s="25" t="s">
        <v>36</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4" ht="15.75" x14ac:dyDescent="0.25">
      <c r="A118" s="24">
        <f t="shared" si="0"/>
        <v>12</v>
      </c>
      <c r="B118" s="25" t="s">
        <v>149</v>
      </c>
      <c r="C118" s="25"/>
      <c r="D118" s="25"/>
      <c r="E118" s="25"/>
      <c r="F118" s="25"/>
      <c r="G118" s="25"/>
      <c r="H118" s="25"/>
      <c r="I118" s="25"/>
      <c r="J118" s="25"/>
      <c r="K118" s="25"/>
      <c r="L118" s="25"/>
      <c r="M118" s="25"/>
      <c r="N118" s="25"/>
      <c r="O118" s="25"/>
      <c r="P118" s="25"/>
      <c r="Q118" s="25"/>
      <c r="R118" s="25"/>
      <c r="S118" s="25"/>
      <c r="T118" s="25"/>
      <c r="U118" s="25"/>
      <c r="V118" s="53">
        <v>-328</v>
      </c>
      <c r="W118" s="25"/>
      <c r="X118" s="5"/>
    </row>
    <row r="119" spans="1:24" ht="15.75" x14ac:dyDescent="0.25">
      <c r="A119" s="24">
        <f t="shared" si="0"/>
        <v>13</v>
      </c>
      <c r="B119" s="25" t="s">
        <v>126</v>
      </c>
      <c r="C119" s="25"/>
      <c r="D119" s="25"/>
      <c r="E119" s="25"/>
      <c r="F119" s="25"/>
      <c r="G119" s="25"/>
      <c r="H119" s="25"/>
      <c r="I119" s="25"/>
      <c r="J119" s="25"/>
      <c r="K119" s="25"/>
      <c r="L119" s="25"/>
      <c r="M119" s="25"/>
      <c r="N119" s="25"/>
      <c r="O119" s="25"/>
      <c r="P119" s="25"/>
      <c r="Q119" s="25"/>
      <c r="R119" s="25"/>
      <c r="S119" s="25"/>
      <c r="T119" s="25"/>
      <c r="U119" s="25"/>
      <c r="V119" s="53">
        <f>-V102-SUM(V104:V118)</f>
        <v>-2567</v>
      </c>
      <c r="W119" s="25"/>
      <c r="X119" s="5"/>
    </row>
    <row r="120" spans="1:24" ht="15.75" x14ac:dyDescent="0.25">
      <c r="A120" s="24"/>
      <c r="B120" s="118" t="s">
        <v>37</v>
      </c>
      <c r="C120" s="25"/>
      <c r="D120" s="25"/>
      <c r="E120" s="25"/>
      <c r="F120" s="25"/>
      <c r="G120" s="25"/>
      <c r="H120" s="25"/>
      <c r="I120" s="25"/>
      <c r="J120" s="25"/>
      <c r="K120" s="25"/>
      <c r="L120" s="25"/>
      <c r="M120" s="25"/>
      <c r="N120" s="25"/>
      <c r="O120" s="25"/>
      <c r="P120" s="25"/>
      <c r="Q120" s="25"/>
      <c r="R120" s="25"/>
      <c r="S120" s="25"/>
      <c r="T120" s="25"/>
      <c r="U120" s="25"/>
      <c r="V120" s="59"/>
      <c r="W120" s="25"/>
      <c r="X120" s="5"/>
    </row>
    <row r="121" spans="1:24" ht="15.75" x14ac:dyDescent="0.25">
      <c r="A121" s="24"/>
      <c r="B121" s="25" t="s">
        <v>173</v>
      </c>
      <c r="C121" s="25"/>
      <c r="D121" s="25"/>
      <c r="E121" s="25"/>
      <c r="F121" s="25"/>
      <c r="G121" s="25"/>
      <c r="H121" s="25"/>
      <c r="I121" s="25"/>
      <c r="J121" s="25"/>
      <c r="K121" s="25"/>
      <c r="L121" s="25"/>
      <c r="M121" s="25"/>
      <c r="N121" s="25"/>
      <c r="O121" s="25"/>
      <c r="P121" s="25"/>
      <c r="Q121" s="25"/>
      <c r="R121" s="25"/>
      <c r="S121" s="25"/>
      <c r="T121" s="34">
        <f>-T186</f>
        <v>-12</v>
      </c>
      <c r="U121" s="34"/>
      <c r="V121" s="53"/>
      <c r="W121" s="25"/>
      <c r="X121" s="5"/>
    </row>
    <row r="122" spans="1:24" ht="15.75" x14ac:dyDescent="0.25">
      <c r="A122" s="24"/>
      <c r="B122" s="25" t="s">
        <v>174</v>
      </c>
      <c r="C122" s="25"/>
      <c r="D122" s="25"/>
      <c r="E122" s="25"/>
      <c r="F122" s="25"/>
      <c r="G122" s="25"/>
      <c r="H122" s="25"/>
      <c r="I122" s="25"/>
      <c r="J122" s="25"/>
      <c r="K122" s="25"/>
      <c r="L122" s="25"/>
      <c r="M122" s="25"/>
      <c r="N122" s="25"/>
      <c r="O122" s="25"/>
      <c r="P122" s="25"/>
      <c r="Q122" s="25"/>
      <c r="R122" s="25"/>
      <c r="S122" s="25"/>
      <c r="T122" s="34">
        <v>0</v>
      </c>
      <c r="U122" s="34"/>
      <c r="V122" s="53"/>
      <c r="W122" s="25"/>
      <c r="X122" s="5"/>
    </row>
    <row r="123" spans="1:24" ht="15.75" x14ac:dyDescent="0.25">
      <c r="A123" s="24"/>
      <c r="B123" s="25" t="s">
        <v>38</v>
      </c>
      <c r="C123" s="25"/>
      <c r="D123" s="25"/>
      <c r="E123" s="25"/>
      <c r="F123" s="25"/>
      <c r="G123" s="25"/>
      <c r="H123" s="25"/>
      <c r="I123" s="25"/>
      <c r="J123" s="25"/>
      <c r="K123" s="25"/>
      <c r="L123" s="25"/>
      <c r="M123" s="25"/>
      <c r="N123" s="25"/>
      <c r="O123" s="25"/>
      <c r="P123" s="25"/>
      <c r="Q123" s="25"/>
      <c r="R123" s="25"/>
      <c r="S123" s="25"/>
      <c r="T123" s="34">
        <f>-S186</f>
        <v>-241</v>
      </c>
      <c r="U123" s="34"/>
      <c r="V123" s="53"/>
      <c r="W123" s="25"/>
      <c r="X123" s="5"/>
    </row>
    <row r="124" spans="1:24" ht="15.75" x14ac:dyDescent="0.25">
      <c r="A124" s="24"/>
      <c r="B124" s="25" t="s">
        <v>197</v>
      </c>
      <c r="C124" s="25"/>
      <c r="D124" s="25"/>
      <c r="E124" s="25"/>
      <c r="F124" s="25"/>
      <c r="G124" s="25"/>
      <c r="H124" s="25"/>
      <c r="I124" s="25"/>
      <c r="J124" s="25"/>
      <c r="K124" s="25"/>
      <c r="L124" s="25"/>
      <c r="M124" s="25"/>
      <c r="N124" s="25"/>
      <c r="O124" s="25"/>
      <c r="P124" s="25"/>
      <c r="Q124" s="25"/>
      <c r="R124" s="25"/>
      <c r="S124" s="25"/>
      <c r="T124" s="34">
        <v>-3052</v>
      </c>
      <c r="U124" s="34"/>
      <c r="V124" s="53"/>
      <c r="W124" s="25"/>
      <c r="X124" s="5"/>
    </row>
    <row r="125" spans="1:24" ht="15.75" x14ac:dyDescent="0.25">
      <c r="A125" s="24"/>
      <c r="B125" s="25" t="s">
        <v>195</v>
      </c>
      <c r="C125" s="25"/>
      <c r="D125" s="25"/>
      <c r="E125" s="25"/>
      <c r="F125" s="25"/>
      <c r="G125" s="25"/>
      <c r="H125" s="25"/>
      <c r="I125" s="25"/>
      <c r="J125" s="25"/>
      <c r="K125" s="25"/>
      <c r="L125" s="25"/>
      <c r="M125" s="25"/>
      <c r="N125" s="25"/>
      <c r="O125" s="25"/>
      <c r="P125" s="25"/>
      <c r="Q125" s="25"/>
      <c r="R125" s="25"/>
      <c r="S125" s="25"/>
      <c r="T125" s="34">
        <v>-1297</v>
      </c>
      <c r="U125" s="34"/>
      <c r="V125" s="53"/>
      <c r="W125" s="25"/>
      <c r="X125" s="5"/>
    </row>
    <row r="126" spans="1:24" ht="15.75" x14ac:dyDescent="0.25">
      <c r="A126" s="24"/>
      <c r="B126" s="25" t="s">
        <v>194</v>
      </c>
      <c r="C126" s="25"/>
      <c r="D126" s="25"/>
      <c r="E126" s="25"/>
      <c r="F126" s="25"/>
      <c r="G126" s="25"/>
      <c r="H126" s="25"/>
      <c r="I126" s="25"/>
      <c r="J126" s="25"/>
      <c r="K126" s="25"/>
      <c r="L126" s="25"/>
      <c r="M126" s="25"/>
      <c r="N126" s="25"/>
      <c r="O126" s="25"/>
      <c r="P126" s="25"/>
      <c r="Q126" s="25"/>
      <c r="R126" s="25"/>
      <c r="S126" s="25"/>
      <c r="T126" s="34">
        <v>-462</v>
      </c>
      <c r="U126" s="34"/>
      <c r="V126" s="53"/>
      <c r="W126" s="25"/>
      <c r="X126" s="5"/>
    </row>
    <row r="127" spans="1:24" ht="15.75" x14ac:dyDescent="0.25">
      <c r="A127" s="24"/>
      <c r="B127" s="25" t="s">
        <v>222</v>
      </c>
      <c r="C127" s="25"/>
      <c r="D127" s="25"/>
      <c r="E127" s="25"/>
      <c r="F127" s="25"/>
      <c r="G127" s="25"/>
      <c r="H127" s="25"/>
      <c r="I127" s="25"/>
      <c r="J127" s="25"/>
      <c r="K127" s="25"/>
      <c r="L127" s="25"/>
      <c r="M127" s="25"/>
      <c r="N127" s="25"/>
      <c r="O127" s="25"/>
      <c r="P127" s="25"/>
      <c r="Q127" s="25"/>
      <c r="R127" s="25"/>
      <c r="S127" s="25"/>
      <c r="T127" s="34">
        <v>-458</v>
      </c>
      <c r="U127" s="34"/>
      <c r="V127" s="53"/>
      <c r="W127" s="25"/>
      <c r="X127" s="5"/>
    </row>
    <row r="128" spans="1:24" ht="15.75" x14ac:dyDescent="0.25">
      <c r="A128" s="24"/>
      <c r="B128" s="25" t="s">
        <v>189</v>
      </c>
      <c r="C128" s="25"/>
      <c r="D128" s="25"/>
      <c r="E128" s="25"/>
      <c r="F128" s="25"/>
      <c r="G128" s="25"/>
      <c r="H128" s="25"/>
      <c r="I128" s="25"/>
      <c r="J128" s="25"/>
      <c r="K128" s="25"/>
      <c r="L128" s="25"/>
      <c r="M128" s="25"/>
      <c r="N128" s="25"/>
      <c r="O128" s="25"/>
      <c r="P128" s="25"/>
      <c r="Q128" s="25"/>
      <c r="R128" s="25"/>
      <c r="S128" s="25"/>
      <c r="T128" s="34">
        <v>0</v>
      </c>
      <c r="U128" s="34"/>
      <c r="V128" s="53"/>
      <c r="W128" s="25"/>
      <c r="X128" s="5"/>
    </row>
    <row r="129" spans="1:24" ht="15.75" x14ac:dyDescent="0.25">
      <c r="A129" s="24"/>
      <c r="B129" s="25" t="s">
        <v>188</v>
      </c>
      <c r="C129" s="25"/>
      <c r="D129" s="25"/>
      <c r="E129" s="25"/>
      <c r="F129" s="25"/>
      <c r="G129" s="25"/>
      <c r="H129" s="25"/>
      <c r="I129" s="25"/>
      <c r="J129" s="25"/>
      <c r="K129" s="25"/>
      <c r="L129" s="25"/>
      <c r="M129" s="25"/>
      <c r="N129" s="25"/>
      <c r="O129" s="25"/>
      <c r="P129" s="25"/>
      <c r="Q129" s="25"/>
      <c r="R129" s="25"/>
      <c r="S129" s="25"/>
      <c r="T129" s="34">
        <v>0</v>
      </c>
      <c r="U129" s="34"/>
      <c r="V129" s="53"/>
      <c r="W129" s="25"/>
      <c r="X129" s="5"/>
    </row>
    <row r="130" spans="1:24" ht="15.75" x14ac:dyDescent="0.25">
      <c r="A130" s="24"/>
      <c r="B130" s="25" t="s">
        <v>187</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75" x14ac:dyDescent="0.25">
      <c r="A131" s="24"/>
      <c r="B131" s="25" t="s">
        <v>39</v>
      </c>
      <c r="C131" s="25"/>
      <c r="D131" s="25"/>
      <c r="E131" s="25"/>
      <c r="F131" s="25"/>
      <c r="G131" s="25"/>
      <c r="H131" s="25"/>
      <c r="I131" s="25"/>
      <c r="J131" s="25"/>
      <c r="K131" s="25"/>
      <c r="L131" s="25"/>
      <c r="M131" s="25"/>
      <c r="N131" s="25"/>
      <c r="O131" s="25"/>
      <c r="P131" s="25"/>
      <c r="Q131" s="25"/>
      <c r="R131" s="25"/>
      <c r="S131" s="25"/>
      <c r="T131" s="34">
        <f>SUM(T121:T130)</f>
        <v>-5522</v>
      </c>
      <c r="U131" s="34"/>
      <c r="V131" s="34">
        <f>SUM(V103:V129)</f>
        <v>-6381</v>
      </c>
      <c r="W131" s="25"/>
      <c r="X131" s="5"/>
    </row>
    <row r="132" spans="1:24" ht="15.75" x14ac:dyDescent="0.25">
      <c r="A132" s="24"/>
      <c r="B132" s="25" t="s">
        <v>40</v>
      </c>
      <c r="C132" s="25"/>
      <c r="D132" s="25"/>
      <c r="E132" s="25"/>
      <c r="F132" s="25"/>
      <c r="G132" s="25"/>
      <c r="H132" s="25"/>
      <c r="I132" s="25"/>
      <c r="J132" s="25"/>
      <c r="K132" s="25"/>
      <c r="L132" s="25"/>
      <c r="M132" s="25"/>
      <c r="N132" s="25"/>
      <c r="O132" s="25"/>
      <c r="P132" s="25"/>
      <c r="Q132" s="25"/>
      <c r="R132" s="25"/>
      <c r="S132" s="25"/>
      <c r="T132" s="34">
        <f>T102+T131+T114</f>
        <v>0</v>
      </c>
      <c r="U132" s="34"/>
      <c r="V132" s="34">
        <f>V102+V131</f>
        <v>0</v>
      </c>
      <c r="W132" s="25"/>
      <c r="X132" s="5"/>
    </row>
    <row r="133" spans="1:24" ht="15.75" x14ac:dyDescent="0.25">
      <c r="A133" s="24"/>
      <c r="B133" s="25"/>
      <c r="C133" s="25"/>
      <c r="D133" s="25"/>
      <c r="E133" s="25"/>
      <c r="F133" s="25"/>
      <c r="G133" s="25"/>
      <c r="H133" s="25"/>
      <c r="I133" s="25"/>
      <c r="J133" s="25"/>
      <c r="K133" s="25"/>
      <c r="L133" s="25"/>
      <c r="M133" s="25"/>
      <c r="N133" s="25"/>
      <c r="O133" s="25"/>
      <c r="P133" s="25"/>
      <c r="Q133" s="25"/>
      <c r="R133" s="25"/>
      <c r="S133" s="25"/>
      <c r="T133" s="34"/>
      <c r="U133" s="34"/>
      <c r="V133" s="34"/>
      <c r="W133" s="25"/>
      <c r="X133" s="5"/>
    </row>
    <row r="134" spans="1:24" ht="15.75" x14ac:dyDescent="0.25">
      <c r="A134" s="6"/>
      <c r="B134" s="8"/>
      <c r="C134" s="8"/>
      <c r="D134" s="8"/>
      <c r="E134" s="8"/>
      <c r="F134" s="8"/>
      <c r="G134" s="8"/>
      <c r="H134" s="8"/>
      <c r="I134" s="8"/>
      <c r="J134" s="8"/>
      <c r="K134" s="8"/>
      <c r="L134" s="8"/>
      <c r="M134" s="8"/>
      <c r="N134" s="8"/>
      <c r="O134" s="8"/>
      <c r="P134" s="8"/>
      <c r="Q134" s="8"/>
      <c r="R134" s="8"/>
      <c r="S134" s="8"/>
      <c r="T134" s="8"/>
      <c r="U134" s="8"/>
      <c r="V134" s="52"/>
      <c r="W134" s="8"/>
      <c r="X134" s="5"/>
    </row>
    <row r="135" spans="1:24" ht="19.5" thickBot="1" x14ac:dyDescent="0.35">
      <c r="A135" s="101"/>
      <c r="B135" s="102" t="str">
        <f>B64</f>
        <v>PM15 INVESTOR REPORT QUARTER ENDING NOVEMBER 2009</v>
      </c>
      <c r="C135" s="103"/>
      <c r="D135" s="103"/>
      <c r="E135" s="103"/>
      <c r="F135" s="103"/>
      <c r="G135" s="103"/>
      <c r="H135" s="103"/>
      <c r="I135" s="103"/>
      <c r="J135" s="103"/>
      <c r="K135" s="103"/>
      <c r="L135" s="103"/>
      <c r="M135" s="103"/>
      <c r="N135" s="103"/>
      <c r="O135" s="103"/>
      <c r="P135" s="103"/>
      <c r="Q135" s="103"/>
      <c r="R135" s="103"/>
      <c r="S135" s="103"/>
      <c r="T135" s="103"/>
      <c r="U135" s="103"/>
      <c r="V135" s="106"/>
      <c r="W135" s="105"/>
      <c r="X135" s="5"/>
    </row>
    <row r="136" spans="1:24" ht="15.75" x14ac:dyDescent="0.25">
      <c r="A136" s="2"/>
      <c r="B136" s="60" t="s">
        <v>41</v>
      </c>
      <c r="C136" s="4"/>
      <c r="D136" s="4"/>
      <c r="E136" s="4"/>
      <c r="F136" s="4"/>
      <c r="G136" s="4"/>
      <c r="H136" s="4"/>
      <c r="I136" s="4"/>
      <c r="J136" s="4"/>
      <c r="K136" s="4"/>
      <c r="L136" s="4"/>
      <c r="M136" s="4"/>
      <c r="N136" s="4"/>
      <c r="O136" s="4"/>
      <c r="P136" s="4"/>
      <c r="Q136" s="4"/>
      <c r="R136" s="4"/>
      <c r="S136" s="4"/>
      <c r="T136" s="4"/>
      <c r="U136" s="4"/>
      <c r="V136" s="50"/>
      <c r="W136" s="4"/>
      <c r="X136" s="5"/>
    </row>
    <row r="137" spans="1:24" ht="15.75" x14ac:dyDescent="0.25">
      <c r="A137" s="6"/>
      <c r="B137" s="21"/>
      <c r="C137" s="8"/>
      <c r="D137" s="8"/>
      <c r="E137" s="8"/>
      <c r="F137" s="8"/>
      <c r="G137" s="8"/>
      <c r="H137" s="8"/>
      <c r="I137" s="8"/>
      <c r="J137" s="8"/>
      <c r="K137" s="8"/>
      <c r="L137" s="8"/>
      <c r="M137" s="8"/>
      <c r="N137" s="8"/>
      <c r="O137" s="8"/>
      <c r="P137" s="8"/>
      <c r="Q137" s="8"/>
      <c r="R137" s="8"/>
      <c r="S137" s="8"/>
      <c r="T137" s="8"/>
      <c r="U137" s="8"/>
      <c r="V137" s="52"/>
      <c r="W137" s="8"/>
      <c r="X137" s="5"/>
    </row>
    <row r="138" spans="1:24" ht="15.75" x14ac:dyDescent="0.25">
      <c r="A138" s="6"/>
      <c r="B138" s="119" t="s">
        <v>42</v>
      </c>
      <c r="C138" s="8"/>
      <c r="D138" s="8"/>
      <c r="E138" s="8"/>
      <c r="F138" s="8"/>
      <c r="G138" s="8"/>
      <c r="H138" s="8"/>
      <c r="I138" s="8"/>
      <c r="J138" s="8"/>
      <c r="K138" s="8"/>
      <c r="L138" s="8"/>
      <c r="M138" s="8"/>
      <c r="N138" s="8"/>
      <c r="O138" s="8"/>
      <c r="P138" s="8"/>
      <c r="Q138" s="8"/>
      <c r="R138" s="8"/>
      <c r="S138" s="8"/>
      <c r="T138" s="8"/>
      <c r="U138" s="8"/>
      <c r="V138" s="52"/>
      <c r="W138" s="8"/>
      <c r="X138" s="5"/>
    </row>
    <row r="139" spans="1:24" ht="15.75" x14ac:dyDescent="0.25">
      <c r="A139" s="24"/>
      <c r="B139" s="25" t="s">
        <v>43</v>
      </c>
      <c r="C139" s="25"/>
      <c r="D139" s="25"/>
      <c r="E139" s="25"/>
      <c r="F139" s="25"/>
      <c r="G139" s="25"/>
      <c r="H139" s="25"/>
      <c r="I139" s="25"/>
      <c r="J139" s="25"/>
      <c r="K139" s="25"/>
      <c r="L139" s="25"/>
      <c r="M139" s="25"/>
      <c r="N139" s="25"/>
      <c r="O139" s="25"/>
      <c r="P139" s="25"/>
      <c r="Q139" s="25"/>
      <c r="R139" s="25"/>
      <c r="S139" s="25"/>
      <c r="T139" s="25"/>
      <c r="U139" s="25"/>
      <c r="V139" s="53">
        <f>+V34*0.019</f>
        <v>19021.526999999998</v>
      </c>
      <c r="W139" s="25"/>
      <c r="X139" s="5"/>
    </row>
    <row r="140" spans="1:24" ht="15.75" x14ac:dyDescent="0.25">
      <c r="A140" s="24"/>
      <c r="B140" s="25" t="s">
        <v>44</v>
      </c>
      <c r="C140" s="25"/>
      <c r="D140" s="25"/>
      <c r="E140" s="25"/>
      <c r="F140" s="25"/>
      <c r="G140" s="25"/>
      <c r="H140" s="25"/>
      <c r="I140" s="25"/>
      <c r="J140" s="25"/>
      <c r="K140" s="25"/>
      <c r="L140" s="25"/>
      <c r="M140" s="25"/>
      <c r="N140" s="25"/>
      <c r="O140" s="25"/>
      <c r="P140" s="25"/>
      <c r="Q140" s="25"/>
      <c r="R140" s="25"/>
      <c r="S140" s="25"/>
      <c r="T140" s="25"/>
      <c r="U140" s="25"/>
      <c r="V140" s="53">
        <v>19022</v>
      </c>
      <c r="W140" s="25"/>
      <c r="X140" s="5"/>
    </row>
    <row r="141" spans="1:24" ht="15.75" x14ac:dyDescent="0.25">
      <c r="A141" s="24"/>
      <c r="B141" s="25" t="s">
        <v>136</v>
      </c>
      <c r="C141" s="25"/>
      <c r="D141" s="25"/>
      <c r="E141" s="25"/>
      <c r="F141" s="25"/>
      <c r="G141" s="25"/>
      <c r="H141" s="25"/>
      <c r="I141" s="25"/>
      <c r="J141" s="25"/>
      <c r="K141" s="25"/>
      <c r="L141" s="25"/>
      <c r="M141" s="25"/>
      <c r="N141" s="25"/>
      <c r="O141" s="25"/>
      <c r="P141" s="25"/>
      <c r="Q141" s="25"/>
      <c r="R141" s="25"/>
      <c r="S141" s="25"/>
      <c r="T141" s="25"/>
      <c r="U141" s="25"/>
      <c r="V141" s="53"/>
      <c r="W141" s="25"/>
      <c r="X141" s="5"/>
    </row>
    <row r="142" spans="1:24" ht="15.75" x14ac:dyDescent="0.25">
      <c r="A142" s="24"/>
      <c r="B142" s="25" t="s">
        <v>123</v>
      </c>
      <c r="C142" s="25"/>
      <c r="D142" s="25"/>
      <c r="E142" s="25"/>
      <c r="F142" s="25"/>
      <c r="G142" s="25"/>
      <c r="H142" s="25"/>
      <c r="I142" s="25"/>
      <c r="J142" s="25"/>
      <c r="K142" s="25"/>
      <c r="L142" s="25"/>
      <c r="M142" s="25"/>
      <c r="N142" s="25"/>
      <c r="O142" s="25"/>
      <c r="P142" s="25"/>
      <c r="Q142" s="25"/>
      <c r="R142" s="25"/>
      <c r="S142" s="25"/>
      <c r="T142" s="25"/>
      <c r="U142" s="25"/>
      <c r="V142" s="53">
        <v>0</v>
      </c>
      <c r="W142" s="25"/>
      <c r="X142" s="5"/>
    </row>
    <row r="143" spans="1:24" ht="15.75" x14ac:dyDescent="0.25">
      <c r="A143" s="24"/>
      <c r="B143" s="25" t="s">
        <v>124</v>
      </c>
      <c r="C143" s="25"/>
      <c r="D143" s="25"/>
      <c r="E143" s="25"/>
      <c r="F143" s="25"/>
      <c r="G143" s="25"/>
      <c r="H143" s="25"/>
      <c r="I143" s="25"/>
      <c r="J143" s="25"/>
      <c r="K143" s="25"/>
      <c r="L143" s="25"/>
      <c r="M143" s="25"/>
      <c r="N143" s="25"/>
      <c r="O143" s="25"/>
      <c r="P143" s="25"/>
      <c r="Q143" s="25"/>
      <c r="R143" s="25"/>
      <c r="S143" s="25"/>
      <c r="T143" s="25"/>
      <c r="U143" s="25"/>
      <c r="V143" s="53">
        <v>0</v>
      </c>
      <c r="W143" s="25"/>
      <c r="X143" s="5"/>
    </row>
    <row r="144" spans="1:24" ht="15.75" x14ac:dyDescent="0.25">
      <c r="A144" s="24"/>
      <c r="B144" s="25" t="s">
        <v>175</v>
      </c>
      <c r="C144" s="25"/>
      <c r="D144" s="25"/>
      <c r="E144" s="25"/>
      <c r="F144" s="25"/>
      <c r="G144" s="25"/>
      <c r="H144" s="25"/>
      <c r="I144" s="25"/>
      <c r="J144" s="25"/>
      <c r="K144" s="25"/>
      <c r="L144" s="25"/>
      <c r="M144" s="25"/>
      <c r="N144" s="25"/>
      <c r="O144" s="25"/>
      <c r="P144" s="25"/>
      <c r="Q144" s="25"/>
      <c r="R144" s="25"/>
      <c r="S144" s="25"/>
      <c r="T144" s="25"/>
      <c r="U144" s="25"/>
      <c r="V144" s="53">
        <v>0</v>
      </c>
      <c r="W144" s="25"/>
      <c r="X144" s="5"/>
    </row>
    <row r="145" spans="1:25" ht="15.75" x14ac:dyDescent="0.25">
      <c r="A145" s="24"/>
      <c r="B145" s="25" t="s">
        <v>45</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75" x14ac:dyDescent="0.25">
      <c r="A146" s="24"/>
      <c r="B146" s="25" t="s">
        <v>129</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75" x14ac:dyDescent="0.25">
      <c r="A147" s="24"/>
      <c r="B147" s="25" t="s">
        <v>241</v>
      </c>
      <c r="C147" s="25"/>
      <c r="D147" s="25"/>
      <c r="E147" s="25"/>
      <c r="F147" s="25"/>
      <c r="G147" s="25"/>
      <c r="H147" s="25"/>
      <c r="I147" s="25"/>
      <c r="J147" s="25"/>
      <c r="K147" s="25"/>
      <c r="L147" s="25"/>
      <c r="M147" s="25"/>
      <c r="N147" s="25"/>
      <c r="O147" s="25"/>
      <c r="P147" s="25"/>
      <c r="Q147" s="25"/>
      <c r="R147" s="25"/>
      <c r="S147" s="25"/>
      <c r="T147" s="25"/>
      <c r="U147" s="25"/>
      <c r="V147" s="53">
        <v>0</v>
      </c>
      <c r="W147" s="25"/>
      <c r="X147" s="5"/>
      <c r="Y147" s="109"/>
    </row>
    <row r="148" spans="1:25" ht="15.75" x14ac:dyDescent="0.25">
      <c r="A148" s="24"/>
      <c r="B148" s="25" t="s">
        <v>46</v>
      </c>
      <c r="C148" s="25"/>
      <c r="D148" s="25"/>
      <c r="E148" s="25"/>
      <c r="F148" s="25"/>
      <c r="G148" s="25"/>
      <c r="H148" s="25"/>
      <c r="I148" s="25"/>
      <c r="J148" s="25"/>
      <c r="K148" s="25"/>
      <c r="L148" s="25"/>
      <c r="M148" s="25"/>
      <c r="N148" s="25"/>
      <c r="O148" s="25"/>
      <c r="P148" s="25"/>
      <c r="Q148" s="25"/>
      <c r="R148" s="25"/>
      <c r="S148" s="25"/>
      <c r="T148" s="25"/>
      <c r="U148" s="25"/>
      <c r="V148" s="53">
        <f>SUM(V140:V147)</f>
        <v>19022</v>
      </c>
      <c r="W148" s="25"/>
      <c r="X148" s="5"/>
    </row>
    <row r="149" spans="1:25" ht="15.75" x14ac:dyDescent="0.25">
      <c r="A149" s="24"/>
      <c r="B149" s="25"/>
      <c r="C149" s="25"/>
      <c r="D149" s="25"/>
      <c r="E149" s="25"/>
      <c r="F149" s="25"/>
      <c r="G149" s="25"/>
      <c r="H149" s="25"/>
      <c r="I149" s="25"/>
      <c r="J149" s="25"/>
      <c r="K149" s="25"/>
      <c r="L149" s="25"/>
      <c r="M149" s="25"/>
      <c r="N149" s="25"/>
      <c r="O149" s="25"/>
      <c r="P149" s="25"/>
      <c r="Q149" s="25"/>
      <c r="R149" s="25"/>
      <c r="S149" s="25"/>
      <c r="T149" s="25"/>
      <c r="U149" s="25"/>
      <c r="V149" s="53"/>
      <c r="W149" s="25"/>
      <c r="X149" s="5"/>
    </row>
    <row r="150" spans="1:25" ht="15.75" x14ac:dyDescent="0.25">
      <c r="A150" s="24"/>
      <c r="B150" s="135" t="s">
        <v>269</v>
      </c>
      <c r="C150" s="25"/>
      <c r="D150" s="25"/>
      <c r="E150" s="25"/>
      <c r="F150" s="25"/>
      <c r="G150" s="25"/>
      <c r="H150" s="25"/>
      <c r="I150" s="25"/>
      <c r="J150" s="25"/>
      <c r="K150" s="25"/>
      <c r="L150" s="25"/>
      <c r="M150" s="25"/>
      <c r="N150" s="25"/>
      <c r="O150" s="25"/>
      <c r="P150" s="25"/>
      <c r="Q150" s="25"/>
      <c r="R150" s="25"/>
      <c r="S150" s="25"/>
      <c r="T150" s="25"/>
      <c r="U150" s="25"/>
      <c r="V150" s="53"/>
      <c r="W150" s="25"/>
      <c r="X150" s="5"/>
    </row>
    <row r="151" spans="1:25" ht="15.75" x14ac:dyDescent="0.25">
      <c r="A151" s="24"/>
      <c r="B151" s="25" t="s">
        <v>155</v>
      </c>
      <c r="C151" s="25"/>
      <c r="D151" s="25"/>
      <c r="E151" s="25"/>
      <c r="F151" s="25"/>
      <c r="G151" s="25"/>
      <c r="H151" s="25"/>
      <c r="I151" s="25"/>
      <c r="J151" s="25"/>
      <c r="K151" s="25"/>
      <c r="L151" s="25"/>
      <c r="M151" s="25"/>
      <c r="N151" s="25"/>
      <c r="O151" s="25"/>
      <c r="P151" s="25"/>
      <c r="Q151" s="25"/>
      <c r="R151" s="25"/>
      <c r="S151" s="25"/>
      <c r="T151" s="25"/>
      <c r="U151" s="25"/>
      <c r="V151" s="53">
        <v>0</v>
      </c>
      <c r="W151" s="25"/>
      <c r="X151" s="5"/>
    </row>
    <row r="152" spans="1:25" ht="15.75" x14ac:dyDescent="0.25">
      <c r="A152" s="24"/>
      <c r="B152" s="25" t="s">
        <v>172</v>
      </c>
      <c r="C152" s="25"/>
      <c r="D152" s="25"/>
      <c r="E152" s="25"/>
      <c r="F152" s="25"/>
      <c r="G152" s="25"/>
      <c r="H152" s="25"/>
      <c r="I152" s="25"/>
      <c r="J152" s="25"/>
      <c r="K152" s="25"/>
      <c r="L152" s="25"/>
      <c r="M152" s="25"/>
      <c r="N152" s="25"/>
      <c r="O152" s="25"/>
      <c r="P152" s="25"/>
      <c r="Q152" s="25"/>
      <c r="R152" s="25"/>
      <c r="S152" s="25"/>
      <c r="T152" s="25"/>
      <c r="U152" s="25"/>
      <c r="V152" s="53">
        <v>0</v>
      </c>
      <c r="W152" s="25"/>
      <c r="X152" s="5"/>
    </row>
    <row r="153" spans="1:25" ht="15.75" x14ac:dyDescent="0.25">
      <c r="A153" s="24"/>
      <c r="B153" s="25" t="s">
        <v>226</v>
      </c>
      <c r="C153" s="25"/>
      <c r="D153" s="25"/>
      <c r="E153" s="25"/>
      <c r="F153" s="25"/>
      <c r="G153" s="25"/>
      <c r="H153" s="25"/>
      <c r="I153" s="25"/>
      <c r="J153" s="25"/>
      <c r="K153" s="25"/>
      <c r="L153" s="25"/>
      <c r="M153" s="25"/>
      <c r="N153" s="25"/>
      <c r="O153" s="25"/>
      <c r="P153" s="25"/>
      <c r="Q153" s="25"/>
      <c r="R153" s="25"/>
      <c r="S153" s="25"/>
      <c r="T153" s="25"/>
      <c r="U153" s="25"/>
      <c r="V153" s="53">
        <v>0</v>
      </c>
      <c r="W153" s="25"/>
      <c r="X153" s="5"/>
    </row>
    <row r="154" spans="1:25" ht="15.75" x14ac:dyDescent="0.25">
      <c r="A154" s="24"/>
      <c r="B154" s="25"/>
      <c r="C154" s="25"/>
      <c r="D154" s="25"/>
      <c r="E154" s="25"/>
      <c r="F154" s="25"/>
      <c r="G154" s="25"/>
      <c r="H154" s="25"/>
      <c r="I154" s="25"/>
      <c r="J154" s="25"/>
      <c r="K154" s="25"/>
      <c r="L154" s="25"/>
      <c r="M154" s="25"/>
      <c r="N154" s="25"/>
      <c r="O154" s="25"/>
      <c r="P154" s="25"/>
      <c r="Q154" s="25"/>
      <c r="R154" s="25"/>
      <c r="S154" s="25"/>
      <c r="T154" s="25"/>
      <c r="U154" s="25"/>
      <c r="V154" s="53"/>
      <c r="W154" s="25"/>
      <c r="X154" s="5"/>
    </row>
    <row r="155" spans="1:25" ht="15.75" x14ac:dyDescent="0.25">
      <c r="A155" s="24"/>
      <c r="B155" s="25"/>
      <c r="C155" s="25"/>
      <c r="D155" s="25"/>
      <c r="E155" s="25"/>
      <c r="F155" s="25"/>
      <c r="G155" s="25"/>
      <c r="H155" s="25"/>
      <c r="I155" s="25"/>
      <c r="J155" s="25"/>
      <c r="K155" s="25"/>
      <c r="L155" s="25"/>
      <c r="M155" s="25"/>
      <c r="N155" s="25"/>
      <c r="O155" s="25"/>
      <c r="P155" s="25"/>
      <c r="Q155" s="25"/>
      <c r="R155" s="25"/>
      <c r="S155" s="25"/>
      <c r="T155" s="25"/>
      <c r="U155" s="25"/>
      <c r="V155" s="61"/>
      <c r="W155" s="25"/>
      <c r="X155" s="5"/>
    </row>
    <row r="156" spans="1:25" ht="15.75" x14ac:dyDescent="0.25">
      <c r="A156" s="6"/>
      <c r="B156" s="119" t="s">
        <v>24</v>
      </c>
      <c r="C156" s="8"/>
      <c r="D156" s="8"/>
      <c r="E156" s="8"/>
      <c r="F156" s="8"/>
      <c r="G156" s="8"/>
      <c r="H156" s="8"/>
      <c r="I156" s="8"/>
      <c r="J156" s="8"/>
      <c r="K156" s="8"/>
      <c r="L156" s="8"/>
      <c r="M156" s="8"/>
      <c r="N156" s="8"/>
      <c r="O156" s="8"/>
      <c r="P156" s="8"/>
      <c r="Q156" s="8"/>
      <c r="R156" s="8"/>
      <c r="S156" s="8"/>
      <c r="T156" s="8"/>
      <c r="U156" s="8"/>
      <c r="V156" s="52"/>
      <c r="W156" s="8"/>
      <c r="X156" s="5"/>
    </row>
    <row r="157" spans="1:25" ht="15.75" x14ac:dyDescent="0.25">
      <c r="A157" s="24"/>
      <c r="B157" s="25" t="s">
        <v>47</v>
      </c>
      <c r="C157" s="25"/>
      <c r="D157" s="25"/>
      <c r="E157" s="25"/>
      <c r="F157" s="25"/>
      <c r="G157" s="25"/>
      <c r="H157" s="25"/>
      <c r="I157" s="25"/>
      <c r="J157" s="25"/>
      <c r="K157" s="25"/>
      <c r="L157" s="25"/>
      <c r="M157" s="25"/>
      <c r="N157" s="25"/>
      <c r="O157" s="25"/>
      <c r="P157" s="25"/>
      <c r="Q157" s="25"/>
      <c r="R157" s="25"/>
      <c r="S157" s="25"/>
      <c r="T157" s="25"/>
      <c r="U157" s="25"/>
      <c r="V157" s="59" t="s">
        <v>118</v>
      </c>
      <c r="W157" s="25"/>
      <c r="X157" s="5"/>
    </row>
    <row r="158" spans="1:25" ht="15.75" x14ac:dyDescent="0.25">
      <c r="A158" s="24"/>
      <c r="B158" s="25" t="s">
        <v>48</v>
      </c>
      <c r="C158" s="174"/>
      <c r="D158" s="174"/>
      <c r="E158" s="174"/>
      <c r="F158" s="174"/>
      <c r="G158" s="174"/>
      <c r="H158" s="174"/>
      <c r="I158" s="174"/>
      <c r="J158" s="174"/>
      <c r="K158" s="174"/>
      <c r="L158" s="174"/>
      <c r="M158" s="174"/>
      <c r="N158" s="174"/>
      <c r="O158" s="174"/>
      <c r="P158" s="174"/>
      <c r="Q158" s="174"/>
      <c r="R158" s="174"/>
      <c r="S158" s="174"/>
      <c r="T158" s="174"/>
      <c r="U158" s="174"/>
      <c r="V158" s="59" t="s">
        <v>118</v>
      </c>
      <c r="W158" s="25"/>
      <c r="X158" s="5"/>
    </row>
    <row r="159" spans="1:25" ht="15.75" x14ac:dyDescent="0.25">
      <c r="A159" s="24"/>
      <c r="B159" s="25" t="s">
        <v>49</v>
      </c>
      <c r="C159" s="25"/>
      <c r="D159" s="25"/>
      <c r="E159" s="25"/>
      <c r="F159" s="25"/>
      <c r="G159" s="25"/>
      <c r="H159" s="25"/>
      <c r="I159" s="25"/>
      <c r="J159" s="25"/>
      <c r="K159" s="25"/>
      <c r="L159" s="25"/>
      <c r="M159" s="25"/>
      <c r="N159" s="25"/>
      <c r="O159" s="25"/>
      <c r="P159" s="25"/>
      <c r="Q159" s="25"/>
      <c r="R159" s="25"/>
      <c r="S159" s="25"/>
      <c r="T159" s="25"/>
      <c r="U159" s="25"/>
      <c r="V159" s="59" t="s">
        <v>118</v>
      </c>
      <c r="W159" s="25"/>
      <c r="X159" s="5"/>
    </row>
    <row r="160" spans="1:25" ht="15.75" x14ac:dyDescent="0.25">
      <c r="A160" s="24"/>
      <c r="B160" s="25" t="s">
        <v>50</v>
      </c>
      <c r="C160" s="25"/>
      <c r="D160" s="25"/>
      <c r="E160" s="25"/>
      <c r="F160" s="25"/>
      <c r="G160" s="25"/>
      <c r="H160" s="25"/>
      <c r="I160" s="25"/>
      <c r="J160" s="25"/>
      <c r="K160" s="25"/>
      <c r="L160" s="25"/>
      <c r="M160" s="25"/>
      <c r="N160" s="25"/>
      <c r="O160" s="25"/>
      <c r="P160" s="25"/>
      <c r="Q160" s="25"/>
      <c r="R160" s="25"/>
      <c r="S160" s="25"/>
      <c r="T160" s="25"/>
      <c r="U160" s="25"/>
      <c r="V160" s="59" t="s">
        <v>118</v>
      </c>
      <c r="W160" s="25"/>
      <c r="X160" s="5"/>
    </row>
    <row r="161" spans="1:256" ht="15.75" x14ac:dyDescent="0.25">
      <c r="A161" s="24"/>
      <c r="B161" s="25"/>
      <c r="C161" s="25"/>
      <c r="D161" s="25"/>
      <c r="E161" s="25"/>
      <c r="F161" s="25"/>
      <c r="G161" s="25"/>
      <c r="H161" s="25"/>
      <c r="I161" s="25"/>
      <c r="J161" s="25"/>
      <c r="K161" s="25"/>
      <c r="L161" s="25"/>
      <c r="M161" s="25"/>
      <c r="N161" s="25"/>
      <c r="O161" s="25"/>
      <c r="P161" s="25"/>
      <c r="Q161" s="25"/>
      <c r="R161" s="25"/>
      <c r="S161" s="25"/>
      <c r="T161" s="25"/>
      <c r="U161" s="25"/>
      <c r="V161" s="61"/>
      <c r="W161" s="25"/>
      <c r="X161" s="5"/>
    </row>
    <row r="162" spans="1:256" ht="15.75" x14ac:dyDescent="0.25">
      <c r="A162" s="6"/>
      <c r="B162" s="119" t="s">
        <v>51</v>
      </c>
      <c r="C162" s="8"/>
      <c r="D162" s="8"/>
      <c r="E162" s="8"/>
      <c r="F162" s="8"/>
      <c r="G162" s="8"/>
      <c r="H162" s="8"/>
      <c r="I162" s="8"/>
      <c r="J162" s="8"/>
      <c r="K162" s="8"/>
      <c r="L162" s="8"/>
      <c r="M162" s="8"/>
      <c r="N162" s="8"/>
      <c r="O162" s="8"/>
      <c r="P162" s="8"/>
      <c r="Q162" s="8"/>
      <c r="R162" s="8"/>
      <c r="S162" s="8"/>
      <c r="T162" s="8"/>
      <c r="U162" s="8"/>
      <c r="V162" s="63"/>
      <c r="W162" s="8"/>
      <c r="X162" s="5"/>
    </row>
    <row r="163" spans="1:256" ht="15.75" x14ac:dyDescent="0.25">
      <c r="A163" s="24"/>
      <c r="B163" s="25" t="s">
        <v>52</v>
      </c>
      <c r="C163" s="25"/>
      <c r="D163" s="25"/>
      <c r="E163" s="25"/>
      <c r="F163" s="25"/>
      <c r="G163" s="25"/>
      <c r="H163" s="25"/>
      <c r="I163" s="25"/>
      <c r="J163" s="25"/>
      <c r="K163" s="25"/>
      <c r="L163" s="25"/>
      <c r="M163" s="25"/>
      <c r="N163" s="25"/>
      <c r="O163" s="25"/>
      <c r="P163" s="25"/>
      <c r="Q163" s="25"/>
      <c r="R163" s="25"/>
      <c r="S163" s="25"/>
      <c r="T163" s="25"/>
      <c r="U163" s="25"/>
      <c r="V163" s="53">
        <v>0</v>
      </c>
      <c r="W163" s="25"/>
      <c r="X163" s="5"/>
    </row>
    <row r="164" spans="1:256" ht="15.75" x14ac:dyDescent="0.25">
      <c r="A164" s="24"/>
      <c r="B164" s="25" t="s">
        <v>53</v>
      </c>
      <c r="C164" s="25"/>
      <c r="D164" s="25"/>
      <c r="E164" s="25"/>
      <c r="F164" s="25"/>
      <c r="G164" s="25"/>
      <c r="H164" s="25"/>
      <c r="I164" s="25"/>
      <c r="J164" s="25"/>
      <c r="K164" s="25"/>
      <c r="L164" s="25"/>
      <c r="M164" s="25"/>
      <c r="N164" s="25"/>
      <c r="O164" s="25"/>
      <c r="P164" s="25"/>
      <c r="Q164" s="25"/>
      <c r="R164" s="25"/>
      <c r="S164" s="25"/>
      <c r="T164" s="25"/>
      <c r="U164" s="25"/>
      <c r="V164" s="53">
        <v>144</v>
      </c>
      <c r="W164" s="25"/>
      <c r="X164" s="5"/>
    </row>
    <row r="165" spans="1:256" ht="15.75" x14ac:dyDescent="0.25">
      <c r="A165" s="24"/>
      <c r="B165" s="25" t="s">
        <v>54</v>
      </c>
      <c r="C165" s="25"/>
      <c r="D165" s="25"/>
      <c r="E165" s="25"/>
      <c r="F165" s="25"/>
      <c r="G165" s="25"/>
      <c r="H165" s="25"/>
      <c r="I165" s="25"/>
      <c r="J165" s="25"/>
      <c r="K165" s="25"/>
      <c r="L165" s="25"/>
      <c r="M165" s="25"/>
      <c r="N165" s="25"/>
      <c r="O165" s="25"/>
      <c r="P165" s="25"/>
      <c r="Q165" s="25"/>
      <c r="R165" s="25"/>
      <c r="S165" s="25"/>
      <c r="T165" s="25"/>
      <c r="U165" s="25"/>
      <c r="V165" s="53">
        <f>V164+V163</f>
        <v>144</v>
      </c>
      <c r="W165" s="25"/>
      <c r="X165" s="5"/>
    </row>
    <row r="166" spans="1:256" ht="15.75" x14ac:dyDescent="0.25">
      <c r="A166" s="24"/>
      <c r="B166" s="25" t="s">
        <v>303</v>
      </c>
      <c r="C166" s="25"/>
      <c r="D166" s="25"/>
      <c r="E166" s="25"/>
      <c r="F166" s="25"/>
      <c r="G166" s="25"/>
      <c r="H166" s="25"/>
      <c r="I166" s="25"/>
      <c r="J166" s="25"/>
      <c r="K166" s="25"/>
      <c r="L166" s="25"/>
      <c r="M166" s="25"/>
      <c r="N166" s="25"/>
      <c r="O166" s="25"/>
      <c r="P166" s="25"/>
      <c r="Q166" s="25"/>
      <c r="R166" s="25"/>
      <c r="S166" s="25"/>
      <c r="T166" s="25"/>
      <c r="U166" s="25"/>
      <c r="V166" s="53">
        <f>V114</f>
        <v>-144</v>
      </c>
      <c r="W166" s="25"/>
      <c r="X166" s="5"/>
    </row>
    <row r="167" spans="1:256" ht="15.75" x14ac:dyDescent="0.25">
      <c r="A167" s="24"/>
      <c r="B167" s="25" t="s">
        <v>55</v>
      </c>
      <c r="C167" s="25"/>
      <c r="D167" s="25"/>
      <c r="E167" s="25"/>
      <c r="F167" s="25"/>
      <c r="G167" s="25"/>
      <c r="H167" s="25"/>
      <c r="I167" s="25"/>
      <c r="J167" s="25"/>
      <c r="K167" s="25"/>
      <c r="L167" s="25"/>
      <c r="M167" s="25"/>
      <c r="N167" s="25"/>
      <c r="O167" s="25"/>
      <c r="P167" s="25"/>
      <c r="Q167" s="25"/>
      <c r="R167" s="25"/>
      <c r="S167" s="25"/>
      <c r="T167" s="25"/>
      <c r="U167" s="25"/>
      <c r="V167" s="53">
        <f>V165+V166</f>
        <v>0</v>
      </c>
      <c r="W167" s="25"/>
      <c r="X167" s="5"/>
    </row>
    <row r="168" spans="1:256" ht="15.75" x14ac:dyDescent="0.25">
      <c r="A168" s="24"/>
      <c r="B168" s="25" t="s">
        <v>274</v>
      </c>
      <c r="C168" s="25"/>
      <c r="D168" s="25"/>
      <c r="E168" s="25"/>
      <c r="F168" s="25"/>
      <c r="G168" s="25"/>
      <c r="H168" s="25"/>
      <c r="I168" s="25"/>
      <c r="J168" s="25"/>
      <c r="K168" s="25"/>
      <c r="L168" s="25"/>
      <c r="M168" s="25"/>
      <c r="N168" s="25"/>
      <c r="O168" s="25"/>
      <c r="P168" s="25"/>
      <c r="Q168" s="25"/>
      <c r="R168" s="25"/>
      <c r="S168" s="25"/>
      <c r="T168" s="25"/>
      <c r="U168" s="25"/>
      <c r="V168" s="53">
        <f>-V101</f>
        <v>147</v>
      </c>
      <c r="W168" s="25"/>
      <c r="X168" s="5"/>
    </row>
    <row r="169" spans="1:256" ht="16.5" thickBot="1" x14ac:dyDescent="0.3">
      <c r="A169" s="24"/>
      <c r="B169" s="25"/>
      <c r="C169" s="25"/>
      <c r="D169" s="25"/>
      <c r="E169" s="25"/>
      <c r="F169" s="25"/>
      <c r="G169" s="25"/>
      <c r="H169" s="25"/>
      <c r="I169" s="25"/>
      <c r="J169" s="25"/>
      <c r="K169" s="25"/>
      <c r="L169" s="25"/>
      <c r="M169" s="25"/>
      <c r="N169" s="25"/>
      <c r="O169" s="25"/>
      <c r="P169" s="25"/>
      <c r="Q169" s="25"/>
      <c r="R169" s="25"/>
      <c r="S169" s="25"/>
      <c r="T169" s="25"/>
      <c r="U169" s="25"/>
      <c r="V169" s="61"/>
      <c r="W169" s="25"/>
      <c r="X169" s="5"/>
    </row>
    <row r="170" spans="1:256" ht="15.75" x14ac:dyDescent="0.25">
      <c r="A170" s="2"/>
      <c r="B170" s="4"/>
      <c r="C170" s="4"/>
      <c r="D170" s="4"/>
      <c r="E170" s="4"/>
      <c r="F170" s="4"/>
      <c r="G170" s="4"/>
      <c r="H170" s="4"/>
      <c r="I170" s="4"/>
      <c r="J170" s="4"/>
      <c r="K170" s="4"/>
      <c r="L170" s="4"/>
      <c r="M170" s="4"/>
      <c r="N170" s="4"/>
      <c r="O170" s="4"/>
      <c r="P170" s="4"/>
      <c r="Q170" s="4"/>
      <c r="R170" s="4"/>
      <c r="S170" s="4"/>
      <c r="T170" s="4"/>
      <c r="U170" s="4"/>
      <c r="V170" s="50"/>
      <c r="W170" s="4"/>
      <c r="X170" s="5"/>
    </row>
    <row r="171" spans="1:256" s="158" customFormat="1" ht="15.75" x14ac:dyDescent="0.25">
      <c r="A171" s="6"/>
      <c r="B171" s="119" t="s">
        <v>230</v>
      </c>
      <c r="C171" s="157"/>
      <c r="D171" s="157"/>
      <c r="E171" s="157"/>
      <c r="F171" s="157"/>
      <c r="G171" s="157"/>
      <c r="H171" s="157"/>
      <c r="I171" s="157"/>
      <c r="J171" s="157"/>
      <c r="K171" s="157"/>
      <c r="L171" s="157"/>
      <c r="M171" s="157"/>
      <c r="N171" s="157"/>
      <c r="O171" s="157"/>
      <c r="P171" s="157"/>
      <c r="Q171" s="157"/>
      <c r="R171" s="157"/>
      <c r="S171" s="157"/>
      <c r="T171" s="157"/>
      <c r="U171" s="157"/>
      <c r="V171" s="165"/>
      <c r="W171" s="157"/>
      <c r="X171" s="5"/>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s="160" customFormat="1" ht="15.75" x14ac:dyDescent="0.25">
      <c r="A172" s="24"/>
      <c r="B172" s="159" t="s">
        <v>231</v>
      </c>
      <c r="C172" s="159"/>
      <c r="D172" s="159"/>
      <c r="E172" s="159"/>
      <c r="F172" s="159"/>
      <c r="G172" s="159"/>
      <c r="H172" s="159"/>
      <c r="I172" s="159"/>
      <c r="J172" s="159"/>
      <c r="K172" s="159"/>
      <c r="L172" s="159"/>
      <c r="M172" s="159"/>
      <c r="N172" s="159"/>
      <c r="O172" s="159"/>
      <c r="P172" s="159"/>
      <c r="Q172" s="159"/>
      <c r="R172" s="159"/>
      <c r="S172" s="159"/>
      <c r="T172" s="159"/>
      <c r="U172" s="159"/>
      <c r="V172" s="166">
        <f>+'Aug 08'!V173</f>
        <v>0</v>
      </c>
      <c r="W172" s="159"/>
      <c r="X172" s="5"/>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s="160" customFormat="1" ht="15.75" x14ac:dyDescent="0.25">
      <c r="A173" s="24"/>
      <c r="B173" s="159" t="s">
        <v>234</v>
      </c>
      <c r="C173" s="159"/>
      <c r="D173" s="159"/>
      <c r="E173" s="159"/>
      <c r="F173" s="159"/>
      <c r="G173" s="159"/>
      <c r="H173" s="159"/>
      <c r="I173" s="159"/>
      <c r="J173" s="159"/>
      <c r="K173" s="159"/>
      <c r="L173" s="159"/>
      <c r="M173" s="159"/>
      <c r="N173" s="159"/>
      <c r="O173" s="159"/>
      <c r="P173" s="159"/>
      <c r="Q173" s="159"/>
      <c r="R173" s="159"/>
      <c r="S173" s="159"/>
      <c r="T173" s="159"/>
      <c r="U173" s="159"/>
      <c r="V173" s="166">
        <f>+V95</f>
        <v>0</v>
      </c>
      <c r="W173" s="159"/>
      <c r="X173" s="5"/>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s="160" customFormat="1" ht="15.75" x14ac:dyDescent="0.25">
      <c r="A174" s="24"/>
      <c r="B174" s="159" t="s">
        <v>232</v>
      </c>
      <c r="C174" s="159"/>
      <c r="D174" s="159"/>
      <c r="E174" s="159"/>
      <c r="F174" s="159"/>
      <c r="G174" s="159"/>
      <c r="H174" s="159"/>
      <c r="I174" s="159"/>
      <c r="J174" s="159"/>
      <c r="K174" s="159"/>
      <c r="L174" s="159"/>
      <c r="M174" s="159"/>
      <c r="N174" s="159"/>
      <c r="O174" s="159"/>
      <c r="P174" s="159"/>
      <c r="Q174" s="159"/>
      <c r="R174" s="159"/>
      <c r="S174" s="159"/>
      <c r="T174" s="159"/>
      <c r="U174" s="159"/>
      <c r="V174" s="166">
        <f>+V172-V173</f>
        <v>0</v>
      </c>
      <c r="W174" s="159"/>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6.5" thickBot="1" x14ac:dyDescent="0.3">
      <c r="A175" s="167"/>
      <c r="B175" s="161"/>
      <c r="C175" s="161"/>
      <c r="D175" s="161"/>
      <c r="E175" s="161"/>
      <c r="F175" s="161"/>
      <c r="G175" s="161"/>
      <c r="H175" s="161"/>
      <c r="I175" s="161"/>
      <c r="J175" s="161"/>
      <c r="K175" s="161"/>
      <c r="L175" s="161"/>
      <c r="M175" s="161"/>
      <c r="N175" s="161"/>
      <c r="O175" s="161"/>
      <c r="P175" s="161"/>
      <c r="Q175" s="161"/>
      <c r="R175" s="161"/>
      <c r="S175" s="161"/>
      <c r="T175" s="161"/>
      <c r="U175" s="161"/>
      <c r="V175" s="162"/>
      <c r="W175" s="161"/>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4" customFormat="1" ht="15.75" x14ac:dyDescent="0.25">
      <c r="A176" s="2"/>
      <c r="B176" s="4"/>
      <c r="C176" s="4"/>
      <c r="D176" s="4"/>
      <c r="E176" s="4"/>
      <c r="F176" s="4"/>
      <c r="G176" s="4"/>
      <c r="H176" s="4"/>
      <c r="I176" s="4"/>
      <c r="J176" s="4"/>
      <c r="K176" s="4"/>
      <c r="L176" s="4"/>
      <c r="M176" s="4"/>
      <c r="N176" s="4"/>
      <c r="O176" s="4"/>
      <c r="P176" s="4"/>
      <c r="Q176" s="4"/>
      <c r="R176" s="4"/>
      <c r="S176" s="4"/>
      <c r="T176" s="4"/>
      <c r="U176" s="4"/>
      <c r="V176" s="50"/>
      <c r="W176" s="4"/>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4" ht="15.75" x14ac:dyDescent="0.25">
      <c r="A177" s="6"/>
      <c r="B177" s="119" t="s">
        <v>56</v>
      </c>
      <c r="C177" s="8"/>
      <c r="D177" s="8"/>
      <c r="E177" s="8"/>
      <c r="F177" s="8"/>
      <c r="G177" s="8"/>
      <c r="H177" s="8"/>
      <c r="I177" s="8"/>
      <c r="J177" s="8"/>
      <c r="K177" s="8"/>
      <c r="L177" s="8"/>
      <c r="M177" s="8"/>
      <c r="N177" s="8"/>
      <c r="O177" s="8"/>
      <c r="P177" s="8"/>
      <c r="Q177" s="8"/>
      <c r="R177" s="8"/>
      <c r="S177" s="8"/>
      <c r="T177" s="8"/>
      <c r="U177" s="8"/>
      <c r="V177" s="52"/>
      <c r="W177" s="8"/>
      <c r="X177" s="5"/>
    </row>
    <row r="178" spans="1:24" ht="15.75" x14ac:dyDescent="0.25">
      <c r="A178" s="6"/>
      <c r="B178" s="21"/>
      <c r="C178" s="8"/>
      <c r="D178" s="8"/>
      <c r="E178" s="8"/>
      <c r="F178" s="8"/>
      <c r="G178" s="8"/>
      <c r="H178" s="8"/>
      <c r="I178" s="8"/>
      <c r="J178" s="8"/>
      <c r="K178" s="8"/>
      <c r="L178" s="8"/>
      <c r="M178" s="8"/>
      <c r="N178" s="8"/>
      <c r="O178" s="8"/>
      <c r="P178" s="8"/>
      <c r="Q178" s="8"/>
      <c r="R178" s="8"/>
      <c r="S178" s="8"/>
      <c r="T178" s="8"/>
      <c r="U178" s="8"/>
      <c r="V178" s="52"/>
      <c r="W178" s="8"/>
      <c r="X178" s="5"/>
    </row>
    <row r="179" spans="1:24" ht="15.75" x14ac:dyDescent="0.25">
      <c r="A179" s="24"/>
      <c r="B179" s="25" t="s">
        <v>57</v>
      </c>
      <c r="C179" s="25"/>
      <c r="D179" s="25"/>
      <c r="E179" s="25"/>
      <c r="F179" s="25"/>
      <c r="G179" s="25"/>
      <c r="H179" s="25"/>
      <c r="I179" s="25"/>
      <c r="J179" s="25"/>
      <c r="K179" s="25"/>
      <c r="L179" s="25"/>
      <c r="M179" s="25"/>
      <c r="N179" s="25"/>
      <c r="O179" s="25"/>
      <c r="P179" s="25"/>
      <c r="Q179" s="25"/>
      <c r="R179" s="25"/>
      <c r="S179" s="25"/>
      <c r="T179" s="25"/>
      <c r="U179" s="25"/>
      <c r="V179" s="53">
        <f>V72</f>
        <v>871356</v>
      </c>
      <c r="W179" s="25"/>
      <c r="X179" s="5"/>
    </row>
    <row r="180" spans="1:24" ht="15.75" x14ac:dyDescent="0.25">
      <c r="A180" s="24"/>
      <c r="B180" s="25" t="s">
        <v>58</v>
      </c>
      <c r="C180" s="25"/>
      <c r="D180" s="25"/>
      <c r="E180" s="25"/>
      <c r="F180" s="25"/>
      <c r="G180" s="25"/>
      <c r="H180" s="25"/>
      <c r="I180" s="25"/>
      <c r="J180" s="25"/>
      <c r="K180" s="25"/>
      <c r="L180" s="25"/>
      <c r="M180" s="25"/>
      <c r="N180" s="25"/>
      <c r="O180" s="25"/>
      <c r="P180" s="25"/>
      <c r="Q180" s="25"/>
      <c r="R180" s="25"/>
      <c r="S180" s="25"/>
      <c r="T180" s="25"/>
      <c r="U180" s="25"/>
      <c r="V180" s="53">
        <f>V85</f>
        <v>871356</v>
      </c>
      <c r="W180" s="25"/>
      <c r="X180" s="5"/>
    </row>
    <row r="181" spans="1:24" ht="16.5" thickBot="1" x14ac:dyDescent="0.3">
      <c r="A181" s="24"/>
      <c r="B181" s="25"/>
      <c r="C181" s="25"/>
      <c r="D181" s="25"/>
      <c r="E181" s="25"/>
      <c r="F181" s="25"/>
      <c r="G181" s="25"/>
      <c r="H181" s="25"/>
      <c r="I181" s="25"/>
      <c r="J181" s="25"/>
      <c r="K181" s="25"/>
      <c r="L181" s="25"/>
      <c r="M181" s="25"/>
      <c r="N181" s="25"/>
      <c r="O181" s="25"/>
      <c r="P181" s="25"/>
      <c r="Q181" s="25"/>
      <c r="R181" s="25"/>
      <c r="S181" s="25"/>
      <c r="T181" s="25"/>
      <c r="U181" s="25"/>
      <c r="V181" s="61"/>
      <c r="W181" s="25"/>
      <c r="X181" s="5"/>
    </row>
    <row r="182" spans="1:24" ht="15.75" x14ac:dyDescent="0.25">
      <c r="A182" s="2"/>
      <c r="B182" s="4"/>
      <c r="C182" s="4"/>
      <c r="D182" s="4"/>
      <c r="E182" s="4"/>
      <c r="F182" s="4"/>
      <c r="G182" s="4"/>
      <c r="H182" s="4"/>
      <c r="I182" s="4"/>
      <c r="J182" s="4"/>
      <c r="K182" s="4"/>
      <c r="L182" s="4"/>
      <c r="M182" s="4"/>
      <c r="N182" s="4"/>
      <c r="O182" s="4"/>
      <c r="P182" s="4"/>
      <c r="Q182" s="4"/>
      <c r="R182" s="4"/>
      <c r="S182" s="4"/>
      <c r="T182" s="4"/>
      <c r="U182" s="4"/>
      <c r="V182" s="50"/>
      <c r="W182" s="4"/>
      <c r="X182" s="5"/>
    </row>
    <row r="183" spans="1:24" ht="15.75" x14ac:dyDescent="0.25">
      <c r="A183" s="6"/>
      <c r="B183" s="119" t="s">
        <v>59</v>
      </c>
      <c r="C183" s="117"/>
      <c r="D183" s="117"/>
      <c r="E183" s="117"/>
      <c r="F183" s="117"/>
      <c r="G183" s="117"/>
      <c r="H183" s="120"/>
      <c r="I183" s="120"/>
      <c r="J183" s="120"/>
      <c r="K183" s="120"/>
      <c r="L183" s="120"/>
      <c r="M183" s="120"/>
      <c r="N183" s="120"/>
      <c r="O183" s="120"/>
      <c r="P183" s="120"/>
      <c r="Q183" s="120"/>
      <c r="R183" s="120"/>
      <c r="S183" s="120" t="s">
        <v>101</v>
      </c>
      <c r="T183" s="120" t="s">
        <v>176</v>
      </c>
      <c r="U183" s="111"/>
      <c r="V183" s="121" t="s">
        <v>114</v>
      </c>
      <c r="W183" s="10"/>
      <c r="X183" s="5"/>
    </row>
    <row r="184" spans="1:24" ht="15.75" x14ac:dyDescent="0.25">
      <c r="A184" s="24"/>
      <c r="B184" s="25" t="s">
        <v>60</v>
      </c>
      <c r="C184" s="25"/>
      <c r="D184" s="25"/>
      <c r="E184" s="25"/>
      <c r="F184" s="25"/>
      <c r="G184" s="25"/>
      <c r="H184" s="25"/>
      <c r="I184" s="25"/>
      <c r="J184" s="25"/>
      <c r="K184" s="25"/>
      <c r="L184" s="25"/>
      <c r="M184" s="25"/>
      <c r="N184" s="25"/>
      <c r="O184" s="25"/>
      <c r="P184" s="25"/>
      <c r="Q184" s="25"/>
      <c r="R184" s="25"/>
      <c r="S184" s="53">
        <f>+V34*0.16</f>
        <v>160181.28</v>
      </c>
      <c r="T184" s="40"/>
      <c r="U184" s="25"/>
      <c r="V184" s="53"/>
      <c r="W184" s="25"/>
      <c r="X184" s="5"/>
    </row>
    <row r="185" spans="1:24" ht="15.75" x14ac:dyDescent="0.25">
      <c r="A185" s="24"/>
      <c r="B185" s="25" t="s">
        <v>61</v>
      </c>
      <c r="C185" s="25"/>
      <c r="D185" s="25"/>
      <c r="E185" s="25"/>
      <c r="F185" s="25"/>
      <c r="G185" s="25"/>
      <c r="H185" s="25"/>
      <c r="I185" s="25"/>
      <c r="J185" s="25"/>
      <c r="K185" s="25"/>
      <c r="L185" s="25"/>
      <c r="M185" s="25"/>
      <c r="N185" s="25"/>
      <c r="O185" s="25"/>
      <c r="P185" s="25"/>
      <c r="Q185" s="25"/>
      <c r="R185" s="25"/>
      <c r="S185" s="53">
        <f>+'Aug 09'!S186</f>
        <v>9392</v>
      </c>
      <c r="T185" s="53">
        <f>+'Aug 09'!T186</f>
        <v>6067</v>
      </c>
      <c r="U185" s="25"/>
      <c r="V185" s="53">
        <f>S185+T185</f>
        <v>15459</v>
      </c>
      <c r="W185" s="25"/>
      <c r="X185" s="5"/>
    </row>
    <row r="186" spans="1:24" ht="15.75" x14ac:dyDescent="0.25">
      <c r="A186" s="24"/>
      <c r="B186" s="25" t="s">
        <v>62</v>
      </c>
      <c r="C186" s="25"/>
      <c r="D186" s="25"/>
      <c r="E186" s="25"/>
      <c r="F186" s="25"/>
      <c r="G186" s="25"/>
      <c r="H186" s="25"/>
      <c r="I186" s="25"/>
      <c r="J186" s="25"/>
      <c r="K186" s="25"/>
      <c r="L186" s="25"/>
      <c r="M186" s="25"/>
      <c r="N186" s="25"/>
      <c r="O186" s="25"/>
      <c r="P186" s="25"/>
      <c r="Q186" s="25"/>
      <c r="R186" s="25"/>
      <c r="S186" s="34">
        <v>241</v>
      </c>
      <c r="T186" s="34">
        <v>12</v>
      </c>
      <c r="U186" s="25"/>
      <c r="V186" s="53">
        <f>S186+T186</f>
        <v>253</v>
      </c>
      <c r="W186" s="25"/>
      <c r="X186" s="5"/>
    </row>
    <row r="187" spans="1:24" ht="15.75" x14ac:dyDescent="0.25">
      <c r="A187" s="24"/>
      <c r="B187" s="25" t="s">
        <v>63</v>
      </c>
      <c r="C187" s="25"/>
      <c r="D187" s="25"/>
      <c r="E187" s="25"/>
      <c r="F187" s="25"/>
      <c r="G187" s="25"/>
      <c r="H187" s="25"/>
      <c r="I187" s="25"/>
      <c r="J187" s="25"/>
      <c r="K187" s="25"/>
      <c r="L187" s="25"/>
      <c r="M187" s="25"/>
      <c r="N187" s="25"/>
      <c r="O187" s="25"/>
      <c r="P187" s="25"/>
      <c r="Q187" s="25"/>
      <c r="R187" s="25"/>
      <c r="S187" s="53">
        <f>S185+S186</f>
        <v>9633</v>
      </c>
      <c r="T187" s="53">
        <f>T186+T185</f>
        <v>6079</v>
      </c>
      <c r="U187" s="25"/>
      <c r="V187" s="53">
        <f>S187+T187</f>
        <v>15712</v>
      </c>
      <c r="W187" s="25"/>
      <c r="X187" s="5"/>
    </row>
    <row r="188" spans="1:24" ht="15.75" x14ac:dyDescent="0.25">
      <c r="A188" s="24"/>
      <c r="B188" s="25" t="s">
        <v>64</v>
      </c>
      <c r="C188" s="25"/>
      <c r="D188" s="25"/>
      <c r="E188" s="25"/>
      <c r="F188" s="25"/>
      <c r="G188" s="25"/>
      <c r="H188" s="25"/>
      <c r="I188" s="25"/>
      <c r="J188" s="25"/>
      <c r="K188" s="25"/>
      <c r="L188" s="25"/>
      <c r="M188" s="25"/>
      <c r="N188" s="25"/>
      <c r="O188" s="25"/>
      <c r="P188" s="25"/>
      <c r="Q188" s="25"/>
      <c r="R188" s="25"/>
      <c r="S188" s="53">
        <f>S184-S187-T187</f>
        <v>144469.28</v>
      </c>
      <c r="T188" s="40"/>
      <c r="U188" s="25"/>
      <c r="V188" s="53"/>
      <c r="W188" s="25"/>
      <c r="X188" s="5"/>
    </row>
    <row r="189" spans="1:24" ht="16.5" thickBot="1" x14ac:dyDescent="0.3">
      <c r="A189" s="24"/>
      <c r="B189" s="25"/>
      <c r="C189" s="25"/>
      <c r="D189" s="25"/>
      <c r="E189" s="25"/>
      <c r="F189" s="25"/>
      <c r="G189" s="25"/>
      <c r="H189" s="25"/>
      <c r="I189" s="25"/>
      <c r="J189" s="25"/>
      <c r="K189" s="25"/>
      <c r="L189" s="25"/>
      <c r="M189" s="25"/>
      <c r="N189" s="25"/>
      <c r="O189" s="25"/>
      <c r="P189" s="25"/>
      <c r="Q189" s="25"/>
      <c r="R189" s="25"/>
      <c r="S189" s="25"/>
      <c r="T189" s="25"/>
      <c r="U189" s="25"/>
      <c r="V189" s="61"/>
      <c r="W189" s="25"/>
      <c r="X189" s="5"/>
    </row>
    <row r="190" spans="1:24" ht="15.75" x14ac:dyDescent="0.25">
      <c r="A190" s="2"/>
      <c r="B190" s="4"/>
      <c r="C190" s="4"/>
      <c r="D190" s="4"/>
      <c r="E190" s="4"/>
      <c r="F190" s="4"/>
      <c r="G190" s="4"/>
      <c r="H190" s="4"/>
      <c r="I190" s="4"/>
      <c r="J190" s="4"/>
      <c r="K190" s="4"/>
      <c r="L190" s="4"/>
      <c r="M190" s="4"/>
      <c r="N190" s="4"/>
      <c r="O190" s="4"/>
      <c r="P190" s="4"/>
      <c r="Q190" s="4"/>
      <c r="R190" s="4"/>
      <c r="S190" s="4"/>
      <c r="T190" s="4"/>
      <c r="U190" s="4"/>
      <c r="V190" s="50"/>
      <c r="W190" s="4"/>
      <c r="X190" s="5"/>
    </row>
    <row r="191" spans="1:24" ht="15.75" x14ac:dyDescent="0.25">
      <c r="A191" s="6"/>
      <c r="B191" s="119" t="s">
        <v>65</v>
      </c>
      <c r="C191" s="8"/>
      <c r="D191" s="8"/>
      <c r="E191" s="8"/>
      <c r="F191" s="8"/>
      <c r="G191" s="8"/>
      <c r="H191" s="8"/>
      <c r="I191" s="8"/>
      <c r="J191" s="8"/>
      <c r="K191" s="8"/>
      <c r="L191" s="8"/>
      <c r="M191" s="8"/>
      <c r="N191" s="8"/>
      <c r="O191" s="8"/>
      <c r="P191" s="8"/>
      <c r="Q191" s="8"/>
      <c r="R191" s="8"/>
      <c r="S191" s="8"/>
      <c r="T191" s="8"/>
      <c r="U191" s="8"/>
      <c r="V191" s="65"/>
      <c r="W191" s="8"/>
      <c r="X191" s="5"/>
    </row>
    <row r="192" spans="1:24" ht="15.75" x14ac:dyDescent="0.25">
      <c r="A192" s="24"/>
      <c r="B192" s="25" t="s">
        <v>66</v>
      </c>
      <c r="C192" s="25"/>
      <c r="D192" s="25"/>
      <c r="E192" s="25"/>
      <c r="F192" s="25"/>
      <c r="G192" s="25"/>
      <c r="H192" s="25"/>
      <c r="I192" s="25"/>
      <c r="J192" s="25"/>
      <c r="K192" s="25"/>
      <c r="L192" s="25"/>
      <c r="M192" s="25"/>
      <c r="N192" s="25"/>
      <c r="O192" s="25"/>
      <c r="P192" s="25"/>
      <c r="Q192" s="25"/>
      <c r="R192" s="25"/>
      <c r="S192" s="25"/>
      <c r="T192" s="25"/>
      <c r="U192" s="25"/>
      <c r="V192" s="59">
        <f>(V102+V104+V105+V106+V107)/-(V108+V109)</f>
        <v>3.6074130105900153</v>
      </c>
      <c r="W192" s="25" t="s">
        <v>115</v>
      </c>
      <c r="X192" s="5"/>
    </row>
    <row r="193" spans="1:24" ht="15.75" x14ac:dyDescent="0.25">
      <c r="A193" s="24"/>
      <c r="B193" s="25" t="s">
        <v>67</v>
      </c>
      <c r="C193" s="25"/>
      <c r="D193" s="25"/>
      <c r="E193" s="25"/>
      <c r="F193" s="25"/>
      <c r="G193" s="25"/>
      <c r="H193" s="25"/>
      <c r="I193" s="25"/>
      <c r="J193" s="25"/>
      <c r="K193" s="25"/>
      <c r="L193" s="25"/>
      <c r="M193" s="25"/>
      <c r="N193" s="25"/>
      <c r="O193" s="25"/>
      <c r="P193" s="25"/>
      <c r="Q193" s="25"/>
      <c r="R193" s="25"/>
      <c r="S193" s="25"/>
      <c r="T193" s="25"/>
      <c r="U193" s="25"/>
      <c r="V193" s="66">
        <v>1.46</v>
      </c>
      <c r="W193" s="25" t="s">
        <v>115</v>
      </c>
      <c r="X193" s="5"/>
    </row>
    <row r="194" spans="1:24" ht="15.75" x14ac:dyDescent="0.25">
      <c r="A194" s="24"/>
      <c r="B194" s="25" t="s">
        <v>68</v>
      </c>
      <c r="C194" s="25"/>
      <c r="D194" s="25"/>
      <c r="E194" s="25"/>
      <c r="F194" s="25"/>
      <c r="G194" s="25"/>
      <c r="H194" s="25"/>
      <c r="I194" s="25"/>
      <c r="J194" s="25"/>
      <c r="K194" s="25"/>
      <c r="L194" s="25"/>
      <c r="M194" s="25"/>
      <c r="N194" s="25"/>
      <c r="O194" s="25"/>
      <c r="P194" s="25"/>
      <c r="Q194" s="25"/>
      <c r="R194" s="25"/>
      <c r="S194" s="25"/>
      <c r="T194" s="25"/>
      <c r="U194" s="25"/>
      <c r="V194" s="59">
        <f>(V102+V104+V105+V106+V107+V108+V109)/-(V110+V111)</f>
        <v>20.276470588235295</v>
      </c>
      <c r="W194" s="25" t="s">
        <v>115</v>
      </c>
      <c r="X194" s="5"/>
    </row>
    <row r="195" spans="1:24" ht="15.75" x14ac:dyDescent="0.25">
      <c r="A195" s="24"/>
      <c r="B195" s="25" t="s">
        <v>69</v>
      </c>
      <c r="C195" s="25"/>
      <c r="D195" s="25"/>
      <c r="E195" s="25"/>
      <c r="F195" s="25"/>
      <c r="G195" s="25"/>
      <c r="H195" s="25"/>
      <c r="I195" s="25"/>
      <c r="J195" s="25"/>
      <c r="K195" s="25"/>
      <c r="L195" s="25"/>
      <c r="M195" s="25"/>
      <c r="N195" s="25"/>
      <c r="O195" s="25"/>
      <c r="P195" s="25"/>
      <c r="Q195" s="25"/>
      <c r="R195" s="25"/>
      <c r="S195" s="25"/>
      <c r="T195" s="25"/>
      <c r="U195" s="25"/>
      <c r="V195" s="66">
        <v>4.76</v>
      </c>
      <c r="W195" s="25" t="s">
        <v>115</v>
      </c>
      <c r="X195" s="5"/>
    </row>
    <row r="196" spans="1:24" ht="15.75" x14ac:dyDescent="0.25">
      <c r="A196" s="24"/>
      <c r="B196" s="25" t="s">
        <v>198</v>
      </c>
      <c r="C196" s="25"/>
      <c r="D196" s="25"/>
      <c r="E196" s="25"/>
      <c r="F196" s="25"/>
      <c r="G196" s="25"/>
      <c r="H196" s="25"/>
      <c r="I196" s="25"/>
      <c r="J196" s="25"/>
      <c r="K196" s="25"/>
      <c r="L196" s="25"/>
      <c r="M196" s="25"/>
      <c r="N196" s="25"/>
      <c r="O196" s="25"/>
      <c r="P196" s="25"/>
      <c r="Q196" s="25"/>
      <c r="R196" s="25"/>
      <c r="S196" s="25"/>
      <c r="T196" s="25"/>
      <c r="U196" s="25"/>
      <c r="V196" s="59">
        <f>(V102+V104+V105+V106+V107+V108+V109+V110+V111)/-(V112)</f>
        <v>14.310043668122271</v>
      </c>
      <c r="W196" s="25" t="s">
        <v>115</v>
      </c>
      <c r="X196" s="5"/>
    </row>
    <row r="197" spans="1:24" ht="15.75" x14ac:dyDescent="0.25">
      <c r="A197" s="24"/>
      <c r="B197" s="25" t="s">
        <v>199</v>
      </c>
      <c r="C197" s="25"/>
      <c r="D197" s="25"/>
      <c r="E197" s="25"/>
      <c r="F197" s="25"/>
      <c r="G197" s="25"/>
      <c r="H197" s="25"/>
      <c r="I197" s="25"/>
      <c r="J197" s="25"/>
      <c r="K197" s="25"/>
      <c r="L197" s="25"/>
      <c r="M197" s="25"/>
      <c r="N197" s="25"/>
      <c r="O197" s="25"/>
      <c r="P197" s="25"/>
      <c r="Q197" s="25"/>
      <c r="R197" s="25"/>
      <c r="S197" s="25"/>
      <c r="T197" s="25"/>
      <c r="U197" s="25"/>
      <c r="V197" s="66">
        <v>3.51</v>
      </c>
      <c r="W197" s="25" t="s">
        <v>115</v>
      </c>
      <c r="X197" s="5"/>
    </row>
    <row r="198" spans="1:24" ht="15.75" x14ac:dyDescent="0.25">
      <c r="A198" s="24"/>
      <c r="B198" s="25"/>
      <c r="C198" s="25"/>
      <c r="D198" s="25"/>
      <c r="E198" s="25"/>
      <c r="F198" s="25"/>
      <c r="G198" s="25"/>
      <c r="H198" s="25"/>
      <c r="I198" s="25"/>
      <c r="J198" s="25"/>
      <c r="K198" s="25"/>
      <c r="L198" s="25"/>
      <c r="M198" s="25"/>
      <c r="N198" s="25"/>
      <c r="O198" s="25"/>
      <c r="P198" s="25"/>
      <c r="Q198" s="25"/>
      <c r="R198" s="25"/>
      <c r="S198" s="25"/>
      <c r="T198" s="25"/>
      <c r="U198" s="25"/>
      <c r="V198" s="25"/>
      <c r="W198" s="25"/>
      <c r="X198" s="5"/>
    </row>
    <row r="199" spans="1:24" ht="15.75" x14ac:dyDescent="0.25">
      <c r="A199" s="24"/>
      <c r="B199" s="25"/>
      <c r="C199" s="25"/>
      <c r="D199" s="25"/>
      <c r="E199" s="25"/>
      <c r="F199" s="25"/>
      <c r="G199" s="25"/>
      <c r="H199" s="25"/>
      <c r="I199" s="25"/>
      <c r="J199" s="25"/>
      <c r="K199" s="25"/>
      <c r="L199" s="25"/>
      <c r="M199" s="25"/>
      <c r="N199" s="25"/>
      <c r="O199" s="25"/>
      <c r="P199" s="25"/>
      <c r="Q199" s="25"/>
      <c r="R199" s="25"/>
      <c r="S199" s="25"/>
      <c r="T199" s="25"/>
      <c r="U199" s="25"/>
      <c r="V199" s="25"/>
      <c r="W199" s="25"/>
      <c r="X199" s="5"/>
    </row>
    <row r="200" spans="1:24" ht="15.75" x14ac:dyDescent="0.25">
      <c r="A200" s="6"/>
      <c r="B200" s="8"/>
      <c r="C200" s="8"/>
      <c r="D200" s="8"/>
      <c r="E200" s="8"/>
      <c r="F200" s="8"/>
      <c r="G200" s="8"/>
      <c r="H200" s="8"/>
      <c r="I200" s="8"/>
      <c r="J200" s="8"/>
      <c r="K200" s="8"/>
      <c r="L200" s="8"/>
      <c r="M200" s="8"/>
      <c r="N200" s="8"/>
      <c r="O200" s="8"/>
      <c r="P200" s="8"/>
      <c r="Q200" s="8"/>
      <c r="R200" s="8"/>
      <c r="S200" s="8"/>
      <c r="T200" s="8"/>
      <c r="U200" s="8"/>
      <c r="V200" s="8"/>
      <c r="W200" s="8"/>
      <c r="X200" s="5"/>
    </row>
    <row r="201" spans="1:24" ht="19.5" thickBot="1" x14ac:dyDescent="0.35">
      <c r="A201" s="101"/>
      <c r="B201" s="102" t="str">
        <f>B135</f>
        <v>PM15 INVESTOR REPORT QUARTER ENDING NOVEMBER 2009</v>
      </c>
      <c r="C201" s="176"/>
      <c r="D201" s="176"/>
      <c r="E201" s="176"/>
      <c r="F201" s="176"/>
      <c r="G201" s="176"/>
      <c r="H201" s="176"/>
      <c r="I201" s="176"/>
      <c r="J201" s="176"/>
      <c r="K201" s="176"/>
      <c r="L201" s="176"/>
      <c r="M201" s="176"/>
      <c r="N201" s="176"/>
      <c r="O201" s="176"/>
      <c r="P201" s="176"/>
      <c r="Q201" s="176"/>
      <c r="R201" s="176"/>
      <c r="S201" s="176"/>
      <c r="T201" s="176"/>
      <c r="U201" s="176"/>
      <c r="V201" s="176"/>
      <c r="W201" s="177"/>
      <c r="X201" s="5"/>
    </row>
    <row r="202" spans="1:24" ht="15.75" x14ac:dyDescent="0.25">
      <c r="A202" s="67"/>
      <c r="B202" s="60" t="s">
        <v>70</v>
      </c>
      <c r="C202" s="68"/>
      <c r="D202" s="68"/>
      <c r="E202" s="68"/>
      <c r="F202" s="68"/>
      <c r="G202" s="69"/>
      <c r="H202" s="69"/>
      <c r="I202" s="69"/>
      <c r="J202" s="69"/>
      <c r="K202" s="69"/>
      <c r="L202" s="69"/>
      <c r="M202" s="69"/>
      <c r="N202" s="69"/>
      <c r="O202" s="69"/>
      <c r="P202" s="69"/>
      <c r="Q202" s="69"/>
      <c r="R202" s="69"/>
      <c r="S202" s="69"/>
      <c r="T202" s="70">
        <v>40147</v>
      </c>
      <c r="U202" s="4"/>
      <c r="V202" s="4"/>
      <c r="W202" s="4"/>
      <c r="X202" s="5"/>
    </row>
    <row r="203" spans="1:24" ht="15.75" x14ac:dyDescent="0.25">
      <c r="A203" s="71"/>
      <c r="B203" s="72"/>
      <c r="C203" s="73"/>
      <c r="D203" s="73"/>
      <c r="E203" s="73"/>
      <c r="F203" s="73"/>
      <c r="G203" s="74"/>
      <c r="H203" s="74"/>
      <c r="I203" s="74"/>
      <c r="J203" s="74"/>
      <c r="K203" s="74"/>
      <c r="L203" s="74"/>
      <c r="M203" s="74"/>
      <c r="N203" s="74"/>
      <c r="O203" s="74"/>
      <c r="P203" s="74"/>
      <c r="Q203" s="74"/>
      <c r="R203" s="74"/>
      <c r="S203" s="74"/>
      <c r="T203" s="74"/>
      <c r="U203" s="8"/>
      <c r="V203" s="8"/>
      <c r="W203" s="8"/>
      <c r="X203" s="5"/>
    </row>
    <row r="204" spans="1:24" ht="15.75" x14ac:dyDescent="0.25">
      <c r="A204" s="75"/>
      <c r="B204" s="76" t="s">
        <v>71</v>
      </c>
      <c r="C204" s="77"/>
      <c r="D204" s="77"/>
      <c r="E204" s="77"/>
      <c r="F204" s="77"/>
      <c r="G204" s="64"/>
      <c r="H204" s="64"/>
      <c r="I204" s="64"/>
      <c r="J204" s="64"/>
      <c r="K204" s="64"/>
      <c r="L204" s="64"/>
      <c r="M204" s="64"/>
      <c r="N204" s="64"/>
      <c r="O204" s="64"/>
      <c r="P204" s="64"/>
      <c r="Q204" s="64"/>
      <c r="R204" s="64"/>
      <c r="S204" s="64"/>
      <c r="T204" s="78">
        <v>5.3830000000000003E-2</v>
      </c>
      <c r="U204" s="25"/>
      <c r="V204" s="25"/>
      <c r="W204" s="25"/>
      <c r="X204" s="5"/>
    </row>
    <row r="205" spans="1:24" ht="15.75" x14ac:dyDescent="0.25">
      <c r="A205" s="75"/>
      <c r="B205" s="76" t="s">
        <v>151</v>
      </c>
      <c r="C205" s="77"/>
      <c r="D205" s="77"/>
      <c r="E205" s="77"/>
      <c r="F205" s="77"/>
      <c r="G205" s="64"/>
      <c r="H205" s="64"/>
      <c r="I205" s="64"/>
      <c r="J205" s="64"/>
      <c r="K205" s="64"/>
      <c r="L205" s="64"/>
      <c r="M205" s="64"/>
      <c r="N205" s="64"/>
      <c r="O205" s="64"/>
      <c r="P205" s="64"/>
      <c r="Q205" s="64"/>
      <c r="R205" s="64"/>
      <c r="S205" s="64"/>
      <c r="T205" s="39">
        <v>6.25E-2</v>
      </c>
      <c r="U205" s="25"/>
      <c r="V205" s="25"/>
      <c r="W205" s="25"/>
      <c r="X205" s="5"/>
    </row>
    <row r="206" spans="1:24" ht="15.75" x14ac:dyDescent="0.25">
      <c r="A206" s="75"/>
      <c r="B206" s="76" t="s">
        <v>72</v>
      </c>
      <c r="C206" s="77"/>
      <c r="D206" s="77"/>
      <c r="E206" s="77"/>
      <c r="F206" s="77"/>
      <c r="G206" s="64"/>
      <c r="H206" s="64"/>
      <c r="I206" s="64"/>
      <c r="J206" s="64"/>
      <c r="K206" s="64"/>
      <c r="L206" s="64"/>
      <c r="M206" s="64"/>
      <c r="N206" s="64"/>
      <c r="O206" s="64"/>
      <c r="P206" s="64"/>
      <c r="Q206" s="64"/>
      <c r="R206" s="64"/>
      <c r="S206" s="64"/>
      <c r="T206" s="78">
        <f>T204-T205</f>
        <v>-8.6699999999999972E-3</v>
      </c>
      <c r="U206" s="25"/>
      <c r="V206" s="25"/>
      <c r="W206" s="25"/>
      <c r="X206" s="5"/>
    </row>
    <row r="207" spans="1:24" ht="15.75" x14ac:dyDescent="0.25">
      <c r="A207" s="75"/>
      <c r="B207" s="76" t="s">
        <v>73</v>
      </c>
      <c r="C207" s="77"/>
      <c r="D207" s="77"/>
      <c r="E207" s="77"/>
      <c r="F207" s="77"/>
      <c r="G207" s="64"/>
      <c r="H207" s="64"/>
      <c r="I207" s="64"/>
      <c r="J207" s="64"/>
      <c r="K207" s="64"/>
      <c r="L207" s="64"/>
      <c r="M207" s="64"/>
      <c r="N207" s="64"/>
      <c r="O207" s="64"/>
      <c r="P207" s="64"/>
      <c r="Q207" s="64"/>
      <c r="R207" s="64"/>
      <c r="S207" s="64"/>
      <c r="T207" s="78">
        <v>2.8420000000000001E-2</v>
      </c>
      <c r="U207" s="25"/>
      <c r="V207" s="25"/>
      <c r="W207" s="25"/>
      <c r="X207" s="5"/>
    </row>
    <row r="208" spans="1:24" ht="15.75" x14ac:dyDescent="0.25">
      <c r="A208" s="75"/>
      <c r="B208" s="76" t="s">
        <v>218</v>
      </c>
      <c r="C208" s="77"/>
      <c r="D208" s="77"/>
      <c r="E208" s="77"/>
      <c r="F208" s="77"/>
      <c r="G208" s="64"/>
      <c r="H208" s="64"/>
      <c r="I208" s="64"/>
      <c r="J208" s="64"/>
      <c r="K208" s="64"/>
      <c r="L208" s="64"/>
      <c r="M208" s="64"/>
      <c r="N208" s="64"/>
      <c r="O208" s="64"/>
      <c r="P208" s="64"/>
      <c r="Q208" s="64"/>
      <c r="R208" s="64"/>
      <c r="S208" s="64"/>
      <c r="T208" s="78">
        <f>V43</f>
        <v>7.8772979558210821E-3</v>
      </c>
      <c r="U208" s="25"/>
      <c r="V208" s="25"/>
      <c r="W208" s="25"/>
      <c r="X208" s="5"/>
    </row>
    <row r="209" spans="1:24" ht="15.75" x14ac:dyDescent="0.25">
      <c r="A209" s="75"/>
      <c r="B209" s="76" t="s">
        <v>74</v>
      </c>
      <c r="C209" s="77"/>
      <c r="D209" s="77"/>
      <c r="E209" s="77"/>
      <c r="F209" s="77"/>
      <c r="G209" s="64"/>
      <c r="H209" s="64"/>
      <c r="I209" s="64"/>
      <c r="J209" s="64"/>
      <c r="K209" s="64"/>
      <c r="L209" s="64"/>
      <c r="M209" s="64"/>
      <c r="N209" s="64"/>
      <c r="O209" s="64"/>
      <c r="P209" s="64"/>
      <c r="Q209" s="64"/>
      <c r="R209" s="64"/>
      <c r="S209" s="64"/>
      <c r="T209" s="78">
        <f>T207-T208</f>
        <v>2.054270204417892E-2</v>
      </c>
      <c r="U209" s="25"/>
      <c r="V209" s="25"/>
      <c r="W209" s="25"/>
      <c r="X209" s="5"/>
    </row>
    <row r="210" spans="1:24" ht="15.75" x14ac:dyDescent="0.25">
      <c r="A210" s="75"/>
      <c r="B210" s="76" t="s">
        <v>227</v>
      </c>
      <c r="C210" s="77"/>
      <c r="D210" s="77"/>
      <c r="E210" s="77"/>
      <c r="F210" s="77"/>
      <c r="G210" s="64"/>
      <c r="H210" s="64"/>
      <c r="I210" s="64"/>
      <c r="J210" s="64"/>
      <c r="K210" s="64"/>
      <c r="L210" s="64"/>
      <c r="M210" s="64"/>
      <c r="N210" s="64"/>
      <c r="O210" s="64"/>
      <c r="P210" s="64"/>
      <c r="Q210" s="64"/>
      <c r="R210" s="64"/>
      <c r="S210" s="64"/>
      <c r="T210" s="78">
        <f>V102/N72</f>
        <v>7.2790531869385425E-3</v>
      </c>
      <c r="U210" s="25"/>
      <c r="V210" s="25"/>
      <c r="W210" s="25"/>
      <c r="X210" s="5"/>
    </row>
    <row r="211" spans="1:24" ht="15.75" x14ac:dyDescent="0.25">
      <c r="A211" s="75"/>
      <c r="B211" s="76" t="s">
        <v>207</v>
      </c>
      <c r="C211" s="77"/>
      <c r="D211" s="77"/>
      <c r="E211" s="77"/>
      <c r="F211" s="77"/>
      <c r="G211" s="64"/>
      <c r="H211" s="64"/>
      <c r="I211" s="64"/>
      <c r="J211" s="64"/>
      <c r="K211" s="64"/>
      <c r="L211" s="64"/>
      <c r="M211" s="64"/>
      <c r="N211" s="64"/>
      <c r="O211" s="64"/>
      <c r="P211" s="64"/>
      <c r="Q211" s="64"/>
      <c r="R211" s="64"/>
      <c r="S211" s="64"/>
      <c r="T211" s="172">
        <v>51105</v>
      </c>
      <c r="U211" s="25"/>
      <c r="V211" s="25"/>
      <c r="W211" s="25"/>
      <c r="X211" s="5"/>
    </row>
    <row r="212" spans="1:24" ht="15.75" x14ac:dyDescent="0.25">
      <c r="A212" s="75"/>
      <c r="B212" s="76" t="s">
        <v>208</v>
      </c>
      <c r="C212" s="77"/>
      <c r="D212" s="77"/>
      <c r="E212" s="77"/>
      <c r="F212" s="77"/>
      <c r="G212" s="64"/>
      <c r="H212" s="64"/>
      <c r="I212" s="64"/>
      <c r="J212" s="64"/>
      <c r="K212" s="64"/>
      <c r="L212" s="64"/>
      <c r="M212" s="64"/>
      <c r="N212" s="64"/>
      <c r="O212" s="64"/>
      <c r="P212" s="64"/>
      <c r="Q212" s="64"/>
      <c r="R212" s="64"/>
      <c r="S212" s="64"/>
      <c r="T212" s="172">
        <v>51105</v>
      </c>
      <c r="U212" s="25"/>
      <c r="V212" s="25"/>
      <c r="W212" s="25"/>
      <c r="X212" s="5"/>
    </row>
    <row r="213" spans="1:24" ht="15.75" x14ac:dyDescent="0.25">
      <c r="A213" s="75"/>
      <c r="B213" s="76" t="s">
        <v>209</v>
      </c>
      <c r="C213" s="77"/>
      <c r="D213" s="77"/>
      <c r="E213" s="77"/>
      <c r="F213" s="77"/>
      <c r="G213" s="64"/>
      <c r="H213" s="64"/>
      <c r="I213" s="64"/>
      <c r="J213" s="64"/>
      <c r="K213" s="64"/>
      <c r="L213" s="64"/>
      <c r="M213" s="64"/>
      <c r="N213" s="64"/>
      <c r="O213" s="64"/>
      <c r="P213" s="64"/>
      <c r="Q213" s="64"/>
      <c r="R213" s="64"/>
      <c r="S213" s="64"/>
      <c r="T213" s="172">
        <v>51105</v>
      </c>
      <c r="U213" s="25"/>
      <c r="V213" s="25"/>
      <c r="W213" s="25"/>
      <c r="X213" s="5"/>
    </row>
    <row r="214" spans="1:24" ht="15.75" x14ac:dyDescent="0.25">
      <c r="A214" s="75"/>
      <c r="B214" s="76" t="s">
        <v>75</v>
      </c>
      <c r="C214" s="77"/>
      <c r="D214" s="77"/>
      <c r="E214" s="77"/>
      <c r="F214" s="77"/>
      <c r="G214" s="64"/>
      <c r="H214" s="64"/>
      <c r="I214" s="64"/>
      <c r="J214" s="64"/>
      <c r="K214" s="64"/>
      <c r="L214" s="64"/>
      <c r="M214" s="64"/>
      <c r="N214" s="64"/>
      <c r="O214" s="64"/>
      <c r="P214" s="64"/>
      <c r="Q214" s="64"/>
      <c r="R214" s="64"/>
      <c r="S214" s="64"/>
      <c r="T214" s="132">
        <v>21.06</v>
      </c>
      <c r="U214" s="25" t="s">
        <v>110</v>
      </c>
      <c r="V214" s="25"/>
      <c r="W214" s="25"/>
      <c r="X214" s="5"/>
    </row>
    <row r="215" spans="1:24" ht="15.75" x14ac:dyDescent="0.25">
      <c r="A215" s="75"/>
      <c r="B215" s="76" t="s">
        <v>76</v>
      </c>
      <c r="C215" s="77"/>
      <c r="D215" s="77"/>
      <c r="E215" s="77"/>
      <c r="F215" s="77"/>
      <c r="G215" s="64"/>
      <c r="H215" s="64"/>
      <c r="I215" s="64"/>
      <c r="J215" s="64"/>
      <c r="K215" s="64"/>
      <c r="L215" s="64"/>
      <c r="M215" s="64"/>
      <c r="N215" s="64"/>
      <c r="O215" s="64"/>
      <c r="P215" s="64"/>
      <c r="Q215" s="64"/>
      <c r="R215" s="64"/>
      <c r="S215" s="64"/>
      <c r="T215" s="132">
        <v>18.809999999999999</v>
      </c>
      <c r="U215" s="25" t="s">
        <v>110</v>
      </c>
      <c r="V215" s="25"/>
      <c r="W215" s="25"/>
      <c r="X215" s="5"/>
    </row>
    <row r="216" spans="1:24" ht="15.75" x14ac:dyDescent="0.25">
      <c r="A216" s="75"/>
      <c r="B216" s="76" t="s">
        <v>77</v>
      </c>
      <c r="C216" s="77"/>
      <c r="D216" s="77"/>
      <c r="E216" s="77"/>
      <c r="F216" s="77"/>
      <c r="G216" s="64"/>
      <c r="H216" s="64"/>
      <c r="I216" s="64"/>
      <c r="J216" s="64"/>
      <c r="K216" s="64"/>
      <c r="L216" s="64"/>
      <c r="M216" s="64"/>
      <c r="N216" s="64"/>
      <c r="O216" s="64"/>
      <c r="P216" s="64"/>
      <c r="Q216" s="64"/>
      <c r="R216" s="64"/>
      <c r="S216" s="64"/>
      <c r="T216" s="78">
        <f>+P69/N69</f>
        <v>6.3060031370312276E-3</v>
      </c>
      <c r="U216" s="25"/>
      <c r="V216" s="25"/>
      <c r="W216" s="25"/>
      <c r="X216" s="5"/>
    </row>
    <row r="217" spans="1:24" ht="15.75" x14ac:dyDescent="0.25">
      <c r="A217" s="75"/>
      <c r="B217" s="76" t="s">
        <v>78</v>
      </c>
      <c r="C217" s="77"/>
      <c r="D217" s="77"/>
      <c r="E217" s="77"/>
      <c r="F217" s="77"/>
      <c r="G217" s="64"/>
      <c r="H217" s="64"/>
      <c r="I217" s="64"/>
      <c r="J217" s="64"/>
      <c r="K217" s="64"/>
      <c r="L217" s="64"/>
      <c r="M217" s="64"/>
      <c r="N217" s="64"/>
      <c r="O217" s="64"/>
      <c r="P217" s="64"/>
      <c r="Q217" s="64"/>
      <c r="R217" s="64"/>
      <c r="S217" s="64"/>
      <c r="T217" s="78">
        <v>6.1499999999999999E-2</v>
      </c>
      <c r="U217" s="25"/>
      <c r="V217" s="25"/>
      <c r="W217" s="25"/>
      <c r="X217" s="5"/>
    </row>
    <row r="218" spans="1:24" ht="15.75" x14ac:dyDescent="0.25">
      <c r="A218" s="75"/>
      <c r="B218" s="76"/>
      <c r="C218" s="76"/>
      <c r="D218" s="76"/>
      <c r="E218" s="76"/>
      <c r="F218" s="76"/>
      <c r="G218" s="25"/>
      <c r="H218" s="25"/>
      <c r="I218" s="25"/>
      <c r="J218" s="25"/>
      <c r="K218" s="25"/>
      <c r="L218" s="25"/>
      <c r="M218" s="25"/>
      <c r="N218" s="25"/>
      <c r="O218" s="25"/>
      <c r="P218" s="25"/>
      <c r="Q218" s="25"/>
      <c r="R218" s="25"/>
      <c r="S218" s="25"/>
      <c r="T218" s="61"/>
      <c r="U218" s="25"/>
      <c r="V218" s="79"/>
      <c r="W218" s="25"/>
      <c r="X218" s="5"/>
    </row>
    <row r="219" spans="1:24" ht="15.75" x14ac:dyDescent="0.25">
      <c r="A219" s="80"/>
      <c r="B219" s="14" t="s">
        <v>79</v>
      </c>
      <c r="C219" s="81"/>
      <c r="D219" s="81"/>
      <c r="E219" s="81"/>
      <c r="F219" s="82"/>
      <c r="G219" s="81"/>
      <c r="H219" s="17"/>
      <c r="I219" s="17"/>
      <c r="J219" s="17"/>
      <c r="K219" s="17"/>
      <c r="L219" s="17"/>
      <c r="M219" s="17"/>
      <c r="N219" s="17"/>
      <c r="O219" s="17"/>
      <c r="P219" s="17"/>
      <c r="Q219" s="17"/>
      <c r="R219" s="17"/>
      <c r="S219" s="17" t="s">
        <v>102</v>
      </c>
      <c r="T219" s="83" t="s">
        <v>108</v>
      </c>
      <c r="U219" s="8"/>
      <c r="V219" s="8"/>
      <c r="W219" s="8"/>
      <c r="X219" s="5"/>
    </row>
    <row r="220" spans="1:24" ht="15.75" x14ac:dyDescent="0.25">
      <c r="A220" s="84"/>
      <c r="B220" s="76" t="s">
        <v>80</v>
      </c>
      <c r="C220" s="54"/>
      <c r="D220" s="54"/>
      <c r="E220" s="54"/>
      <c r="F220" s="25"/>
      <c r="G220" s="25"/>
      <c r="H220" s="30"/>
      <c r="I220" s="30"/>
      <c r="J220" s="30"/>
      <c r="K220" s="30"/>
      <c r="L220" s="30"/>
      <c r="M220" s="30"/>
      <c r="N220" s="30"/>
      <c r="O220" s="30"/>
      <c r="P220" s="30"/>
      <c r="Q220" s="30"/>
      <c r="R220" s="30"/>
      <c r="S220" s="30">
        <v>0</v>
      </c>
      <c r="T220" s="85">
        <v>0</v>
      </c>
      <c r="U220" s="25"/>
      <c r="V220" s="79"/>
      <c r="W220" s="86"/>
      <c r="X220" s="5"/>
    </row>
    <row r="221" spans="1:24" ht="15.75" x14ac:dyDescent="0.25">
      <c r="A221" s="84"/>
      <c r="B221" s="76" t="s">
        <v>145</v>
      </c>
      <c r="C221" s="54"/>
      <c r="D221" s="54"/>
      <c r="E221" s="54"/>
      <c r="F221" s="25"/>
      <c r="G221" s="25"/>
      <c r="H221" s="30"/>
      <c r="I221" s="30"/>
      <c r="J221" s="30"/>
      <c r="K221" s="30"/>
      <c r="L221" s="30"/>
      <c r="M221" s="30"/>
      <c r="N221" s="30"/>
      <c r="O221" s="30"/>
      <c r="P221" s="30"/>
      <c r="Q221" s="30"/>
      <c r="R221" s="30"/>
      <c r="S221" s="148">
        <f>+R261</f>
        <v>171</v>
      </c>
      <c r="T221" s="85">
        <f>+T261</f>
        <v>25955</v>
      </c>
      <c r="U221" s="25"/>
      <c r="V221" s="79"/>
      <c r="W221" s="86"/>
      <c r="X221" s="5"/>
    </row>
    <row r="222" spans="1:24" ht="15.75" x14ac:dyDescent="0.25">
      <c r="A222" s="84"/>
      <c r="B222" s="76" t="s">
        <v>81</v>
      </c>
      <c r="C222" s="54"/>
      <c r="D222" s="54"/>
      <c r="E222" s="54"/>
      <c r="F222" s="25"/>
      <c r="G222" s="25"/>
      <c r="H222" s="30"/>
      <c r="I222" s="30"/>
      <c r="J222" s="30"/>
      <c r="K222" s="30"/>
      <c r="L222" s="30"/>
      <c r="M222" s="30"/>
      <c r="N222" s="30"/>
      <c r="O222" s="30"/>
      <c r="P222" s="30"/>
      <c r="Q222" s="30"/>
      <c r="R222" s="30"/>
      <c r="S222" s="148">
        <v>0</v>
      </c>
      <c r="T222" s="85">
        <v>0</v>
      </c>
      <c r="U222" s="25"/>
      <c r="V222" s="79"/>
      <c r="W222" s="86"/>
      <c r="X222" s="5"/>
    </row>
    <row r="223" spans="1:24" ht="15.75" x14ac:dyDescent="0.25">
      <c r="A223" s="84"/>
      <c r="B223" s="122" t="s">
        <v>82</v>
      </c>
      <c r="C223" s="54"/>
      <c r="D223" s="54"/>
      <c r="E223" s="54"/>
      <c r="F223" s="25"/>
      <c r="G223" s="25"/>
      <c r="H223" s="25"/>
      <c r="I223" s="25"/>
      <c r="J223" s="25"/>
      <c r="K223" s="25"/>
      <c r="L223" s="25"/>
      <c r="M223" s="25"/>
      <c r="N223" s="25"/>
      <c r="O223" s="25"/>
      <c r="P223" s="25"/>
      <c r="Q223" s="25"/>
      <c r="R223" s="25"/>
      <c r="S223" s="25"/>
      <c r="T223" s="85">
        <v>0</v>
      </c>
      <c r="U223" s="25"/>
      <c r="V223" s="79"/>
      <c r="W223" s="86"/>
      <c r="X223" s="5"/>
    </row>
    <row r="224" spans="1:24" ht="15.75" x14ac:dyDescent="0.25">
      <c r="A224" s="84"/>
      <c r="B224" s="122" t="s">
        <v>228</v>
      </c>
      <c r="C224" s="54"/>
      <c r="D224" s="54"/>
      <c r="E224" s="54"/>
      <c r="F224" s="25"/>
      <c r="G224" s="25"/>
      <c r="H224" s="25"/>
      <c r="I224" s="25"/>
      <c r="J224" s="25"/>
      <c r="K224" s="25"/>
      <c r="L224" s="25"/>
      <c r="M224" s="25"/>
      <c r="N224" s="25"/>
      <c r="O224" s="25"/>
      <c r="P224" s="25"/>
      <c r="Q224" s="25"/>
      <c r="R224" s="25"/>
      <c r="S224" s="25"/>
      <c r="T224" s="85">
        <f>+N82</f>
        <v>0</v>
      </c>
      <c r="U224" s="25"/>
      <c r="V224" s="79"/>
      <c r="W224" s="86"/>
      <c r="X224" s="5"/>
    </row>
    <row r="225" spans="1:24" ht="15.75" x14ac:dyDescent="0.25">
      <c r="A225" s="87"/>
      <c r="B225" s="122" t="s">
        <v>83</v>
      </c>
      <c r="C225" s="76"/>
      <c r="D225" s="76"/>
      <c r="E225" s="76"/>
      <c r="F225" s="76"/>
      <c r="G225" s="25"/>
      <c r="H225" s="25"/>
      <c r="I225" s="25"/>
      <c r="J225" s="25"/>
      <c r="K225" s="25"/>
      <c r="L225" s="25"/>
      <c r="M225" s="25"/>
      <c r="N225" s="25"/>
      <c r="O225" s="25"/>
      <c r="P225" s="25"/>
      <c r="Q225" s="25"/>
      <c r="R225" s="25"/>
      <c r="S225" s="25"/>
      <c r="T225" s="85"/>
      <c r="U225" s="25"/>
      <c r="V225" s="79"/>
      <c r="W225" s="88"/>
      <c r="X225" s="5"/>
    </row>
    <row r="226" spans="1:24" ht="15.75" x14ac:dyDescent="0.25">
      <c r="A226" s="87"/>
      <c r="B226" s="130" t="s">
        <v>84</v>
      </c>
      <c r="C226" s="76"/>
      <c r="D226" s="76"/>
      <c r="E226" s="76"/>
      <c r="F226" s="76"/>
      <c r="G226" s="25"/>
      <c r="H226" s="25"/>
      <c r="I226" s="25"/>
      <c r="J226" s="25"/>
      <c r="K226" s="25"/>
      <c r="L226" s="25"/>
      <c r="M226" s="25"/>
      <c r="N226" s="25"/>
      <c r="O226" s="25"/>
      <c r="P226" s="25"/>
      <c r="Q226" s="25"/>
      <c r="R226" s="25"/>
      <c r="S226" s="30"/>
      <c r="T226" s="85">
        <f>V164</f>
        <v>144</v>
      </c>
      <c r="U226" s="25"/>
      <c r="V226" s="79"/>
      <c r="W226" s="88"/>
      <c r="X226" s="5"/>
    </row>
    <row r="227" spans="1:24" ht="15.75" x14ac:dyDescent="0.25">
      <c r="A227" s="84"/>
      <c r="B227" s="76" t="s">
        <v>85</v>
      </c>
      <c r="C227" s="54"/>
      <c r="D227" s="54"/>
      <c r="E227" s="54"/>
      <c r="F227" s="54"/>
      <c r="G227" s="25"/>
      <c r="H227" s="25"/>
      <c r="I227" s="25"/>
      <c r="J227" s="25"/>
      <c r="K227" s="25"/>
      <c r="L227" s="25"/>
      <c r="M227" s="25"/>
      <c r="N227" s="25"/>
      <c r="O227" s="25"/>
      <c r="P227" s="25"/>
      <c r="Q227" s="25"/>
      <c r="R227" s="25"/>
      <c r="S227" s="30"/>
      <c r="T227" s="85">
        <f>'Aug 09'!T226+T226</f>
        <v>494</v>
      </c>
      <c r="U227" s="25"/>
      <c r="V227" s="79"/>
      <c r="W227" s="88"/>
      <c r="X227" s="5"/>
    </row>
    <row r="228" spans="1:24" ht="15.75" x14ac:dyDescent="0.25">
      <c r="A228" s="87"/>
      <c r="B228" s="122" t="s">
        <v>285</v>
      </c>
      <c r="C228" s="76"/>
      <c r="D228" s="76"/>
      <c r="E228" s="76"/>
      <c r="F228" s="76"/>
      <c r="G228" s="25"/>
      <c r="H228" s="25"/>
      <c r="I228" s="25"/>
      <c r="J228" s="25"/>
      <c r="K228" s="25"/>
      <c r="L228" s="25"/>
      <c r="M228" s="25"/>
      <c r="N228" s="25"/>
      <c r="O228" s="25"/>
      <c r="P228" s="25"/>
      <c r="Q228" s="25"/>
      <c r="R228" s="25"/>
      <c r="S228" s="30"/>
      <c r="T228" s="85"/>
      <c r="U228" s="25"/>
      <c r="V228" s="79"/>
      <c r="W228" s="88"/>
      <c r="X228" s="5"/>
    </row>
    <row r="229" spans="1:24" ht="15.75" x14ac:dyDescent="0.25">
      <c r="A229" s="87"/>
      <c r="B229" s="76" t="s">
        <v>282</v>
      </c>
      <c r="C229" s="76"/>
      <c r="D229" s="76"/>
      <c r="E229" s="76"/>
      <c r="F229" s="76"/>
      <c r="G229" s="25"/>
      <c r="H229" s="25"/>
      <c r="I229" s="25"/>
      <c r="J229" s="25"/>
      <c r="K229" s="25"/>
      <c r="L229" s="25"/>
      <c r="M229" s="25"/>
      <c r="N229" s="25"/>
      <c r="O229" s="25"/>
      <c r="P229" s="25"/>
      <c r="Q229" s="25"/>
      <c r="R229" s="25"/>
      <c r="S229" s="30">
        <v>0</v>
      </c>
      <c r="T229" s="85">
        <v>0</v>
      </c>
      <c r="U229" s="25"/>
      <c r="V229" s="79"/>
      <c r="W229" s="88"/>
      <c r="X229" s="5"/>
    </row>
    <row r="230" spans="1:24" ht="15.75" x14ac:dyDescent="0.25">
      <c r="A230" s="84"/>
      <c r="B230" s="76" t="s">
        <v>86</v>
      </c>
      <c r="C230" s="89"/>
      <c r="D230" s="89"/>
      <c r="E230" s="89"/>
      <c r="F230" s="90"/>
      <c r="G230" s="25"/>
      <c r="H230" s="25"/>
      <c r="I230" s="25"/>
      <c r="J230" s="25"/>
      <c r="K230" s="25"/>
      <c r="L230" s="25"/>
      <c r="M230" s="25"/>
      <c r="N230" s="25"/>
      <c r="O230" s="25"/>
      <c r="P230" s="25"/>
      <c r="Q230" s="25"/>
      <c r="R230" s="25"/>
      <c r="S230" s="25"/>
      <c r="T230" s="62">
        <v>0</v>
      </c>
      <c r="U230" s="25"/>
      <c r="V230" s="79"/>
      <c r="W230" s="88"/>
      <c r="X230" s="5"/>
    </row>
    <row r="231" spans="1:24" ht="15.75" x14ac:dyDescent="0.25">
      <c r="A231" s="84"/>
      <c r="B231" s="76" t="s">
        <v>87</v>
      </c>
      <c r="C231" s="89"/>
      <c r="D231" s="89"/>
      <c r="E231" s="89"/>
      <c r="F231" s="90"/>
      <c r="G231" s="25"/>
      <c r="H231" s="25"/>
      <c r="I231" s="25"/>
      <c r="J231" s="25"/>
      <c r="K231" s="25"/>
      <c r="L231" s="25"/>
      <c r="M231" s="25"/>
      <c r="N231" s="25"/>
      <c r="O231" s="25"/>
      <c r="P231" s="25"/>
      <c r="Q231" s="25"/>
      <c r="R231" s="25"/>
      <c r="S231" s="25"/>
      <c r="T231" s="62">
        <v>0</v>
      </c>
      <c r="U231" s="25"/>
      <c r="V231" s="79"/>
      <c r="W231" s="88"/>
      <c r="X231" s="5"/>
    </row>
    <row r="232" spans="1:24" ht="15.75" x14ac:dyDescent="0.25">
      <c r="A232" s="84"/>
      <c r="B232" s="122" t="s">
        <v>216</v>
      </c>
      <c r="C232" s="89"/>
      <c r="D232" s="89"/>
      <c r="E232" s="89"/>
      <c r="F232" s="90"/>
      <c r="G232" s="25"/>
      <c r="H232" s="25"/>
      <c r="I232" s="25"/>
      <c r="J232" s="25"/>
      <c r="K232" s="25"/>
      <c r="L232" s="25"/>
      <c r="M232" s="25"/>
      <c r="N232" s="25"/>
      <c r="O232" s="25"/>
      <c r="P232" s="25"/>
      <c r="Q232" s="25"/>
      <c r="R232" s="25"/>
      <c r="S232" s="25"/>
      <c r="T232" s="91"/>
      <c r="U232" s="25"/>
      <c r="V232" s="79"/>
      <c r="W232" s="88"/>
      <c r="X232" s="5"/>
    </row>
    <row r="233" spans="1:24" ht="15.75" x14ac:dyDescent="0.25">
      <c r="A233" s="84"/>
      <c r="B233" s="76" t="s">
        <v>282</v>
      </c>
      <c r="C233" s="89"/>
      <c r="D233" s="89"/>
      <c r="E233" s="89"/>
      <c r="F233" s="90"/>
      <c r="G233" s="25"/>
      <c r="H233" s="25"/>
      <c r="I233" s="25"/>
      <c r="J233" s="25"/>
      <c r="K233" s="25"/>
      <c r="L233" s="25"/>
      <c r="M233" s="25"/>
      <c r="N233" s="25"/>
      <c r="O233" s="25"/>
      <c r="P233" s="25"/>
      <c r="Q233" s="25"/>
      <c r="R233" s="25"/>
      <c r="S233" s="30">
        <v>4</v>
      </c>
      <c r="T233" s="85">
        <v>364</v>
      </c>
      <c r="U233" s="25"/>
      <c r="V233" s="79"/>
      <c r="W233" s="88"/>
      <c r="X233" s="5"/>
    </row>
    <row r="234" spans="1:24" ht="15.75" x14ac:dyDescent="0.25">
      <c r="A234" s="84"/>
      <c r="B234" s="76" t="s">
        <v>217</v>
      </c>
      <c r="C234" s="89"/>
      <c r="D234" s="89"/>
      <c r="E234" s="89"/>
      <c r="F234" s="90"/>
      <c r="G234" s="25"/>
      <c r="H234" s="25"/>
      <c r="I234" s="25"/>
      <c r="J234" s="25"/>
      <c r="K234" s="25"/>
      <c r="L234" s="25"/>
      <c r="M234" s="25"/>
      <c r="N234" s="25"/>
      <c r="O234" s="25"/>
      <c r="P234" s="25"/>
      <c r="Q234" s="25"/>
      <c r="R234" s="25"/>
      <c r="S234" s="25"/>
      <c r="T234" s="62">
        <v>16.64</v>
      </c>
      <c r="U234" s="25"/>
      <c r="V234" s="79"/>
      <c r="W234" s="88"/>
      <c r="X234" s="5"/>
    </row>
    <row r="235" spans="1:24" ht="15.75" x14ac:dyDescent="0.25">
      <c r="A235" s="84"/>
      <c r="B235" s="76"/>
      <c r="C235" s="89"/>
      <c r="D235" s="89"/>
      <c r="E235" s="89"/>
      <c r="F235" s="90"/>
      <c r="G235" s="25"/>
      <c r="H235" s="25"/>
      <c r="I235" s="25"/>
      <c r="J235" s="25"/>
      <c r="K235" s="25"/>
      <c r="L235" s="25"/>
      <c r="M235" s="25"/>
      <c r="N235" s="25"/>
      <c r="O235" s="25"/>
      <c r="P235" s="25"/>
      <c r="Q235" s="25"/>
      <c r="R235" s="25"/>
      <c r="S235" s="25"/>
      <c r="T235" s="91"/>
      <c r="U235" s="25"/>
      <c r="V235" s="79"/>
      <c r="W235" s="88"/>
      <c r="X235" s="5"/>
    </row>
    <row r="236" spans="1:24" ht="15.75" x14ac:dyDescent="0.25">
      <c r="A236" s="84"/>
      <c r="B236" s="76"/>
      <c r="C236" s="89"/>
      <c r="D236" s="89"/>
      <c r="E236" s="89"/>
      <c r="F236" s="90"/>
      <c r="G236" s="25"/>
      <c r="H236" s="25"/>
      <c r="I236" s="25"/>
      <c r="J236" s="25"/>
      <c r="K236" s="25"/>
      <c r="L236" s="25"/>
      <c r="M236" s="25"/>
      <c r="N236" s="25"/>
      <c r="O236" s="25"/>
      <c r="P236" s="25"/>
      <c r="Q236" s="25"/>
      <c r="R236" s="25"/>
      <c r="S236" s="25"/>
      <c r="T236" s="91"/>
      <c r="U236" s="25"/>
      <c r="V236" s="79"/>
      <c r="W236" s="88"/>
      <c r="X236" s="5"/>
    </row>
    <row r="237" spans="1:24" ht="18.75" x14ac:dyDescent="0.3">
      <c r="A237" s="84"/>
      <c r="B237" s="146" t="s">
        <v>168</v>
      </c>
      <c r="C237" s="89"/>
      <c r="D237" s="89"/>
      <c r="E237" s="89"/>
      <c r="F237" s="90"/>
      <c r="G237" s="25"/>
      <c r="H237" s="25"/>
      <c r="I237" s="25"/>
      <c r="J237" s="25"/>
      <c r="K237" s="25"/>
      <c r="L237" s="25"/>
      <c r="M237" s="25"/>
      <c r="N237" s="25"/>
      <c r="O237" s="25"/>
      <c r="P237" s="147" t="s">
        <v>167</v>
      </c>
      <c r="Q237" s="25"/>
      <c r="R237" s="25"/>
      <c r="S237" s="25"/>
      <c r="T237" s="91"/>
      <c r="U237" s="25"/>
      <c r="V237" s="79"/>
      <c r="W237" s="88"/>
      <c r="X237" s="5"/>
    </row>
    <row r="238" spans="1:24" ht="15.75" x14ac:dyDescent="0.25">
      <c r="A238" s="84"/>
      <c r="B238" s="76"/>
      <c r="C238" s="89"/>
      <c r="D238" s="89"/>
      <c r="E238" s="89"/>
      <c r="F238" s="90"/>
      <c r="G238" s="25"/>
      <c r="H238" s="25"/>
      <c r="I238" s="25"/>
      <c r="J238" s="25"/>
      <c r="K238" s="25"/>
      <c r="L238" s="25"/>
      <c r="M238" s="25"/>
      <c r="N238" s="25"/>
      <c r="O238" s="25"/>
      <c r="P238" s="25"/>
      <c r="Q238" s="25"/>
      <c r="R238" s="25"/>
      <c r="S238" s="25"/>
      <c r="T238" s="91"/>
      <c r="U238" s="25"/>
      <c r="V238" s="79"/>
      <c r="W238" s="88"/>
      <c r="X238" s="5"/>
    </row>
    <row r="239" spans="1:24" ht="15.75" x14ac:dyDescent="0.25">
      <c r="A239" s="6"/>
      <c r="B239" s="14" t="s">
        <v>162</v>
      </c>
      <c r="C239" s="81"/>
      <c r="D239" s="81"/>
      <c r="E239" s="81"/>
      <c r="F239" s="82"/>
      <c r="G239" s="81"/>
      <c r="H239" s="17"/>
      <c r="I239" s="17"/>
      <c r="J239" s="17"/>
      <c r="K239" s="17"/>
      <c r="L239" s="17"/>
      <c r="M239" s="17"/>
      <c r="N239" s="17"/>
      <c r="O239" s="17"/>
      <c r="P239" s="17"/>
      <c r="Q239" s="17"/>
      <c r="R239" s="83" t="s">
        <v>102</v>
      </c>
      <c r="S239" s="17" t="s">
        <v>103</v>
      </c>
      <c r="T239" s="83" t="s">
        <v>109</v>
      </c>
      <c r="U239" s="17" t="s">
        <v>103</v>
      </c>
      <c r="V239" s="8"/>
      <c r="W239" s="92"/>
      <c r="X239" s="5"/>
    </row>
    <row r="240" spans="1:24" ht="15.75" x14ac:dyDescent="0.25">
      <c r="A240" s="24"/>
      <c r="B240" s="54" t="s">
        <v>88</v>
      </c>
      <c r="C240" s="93"/>
      <c r="D240" s="93"/>
      <c r="E240" s="93"/>
      <c r="F240" s="25"/>
      <c r="G240" s="93"/>
      <c r="H240" s="93"/>
      <c r="I240" s="93"/>
      <c r="J240" s="93"/>
      <c r="K240" s="93"/>
      <c r="L240" s="93"/>
      <c r="M240" s="93"/>
      <c r="N240" s="93"/>
      <c r="O240" s="93"/>
      <c r="P240" s="93"/>
      <c r="Q240" s="93"/>
      <c r="R240" s="54">
        <v>5801</v>
      </c>
      <c r="S240" s="94">
        <f t="shared" ref="S240:S247" si="1">R240/$R$249</f>
        <v>0.99162393162393159</v>
      </c>
      <c r="T240" s="53">
        <v>835511</v>
      </c>
      <c r="U240" s="131">
        <f t="shared" ref="U240:U247" si="2">T240/$T$249</f>
        <v>0.98830140962691082</v>
      </c>
      <c r="V240" s="79"/>
      <c r="W240" s="88"/>
      <c r="X240" s="5"/>
    </row>
    <row r="241" spans="1:25" ht="15.75" x14ac:dyDescent="0.25">
      <c r="A241" s="24"/>
      <c r="B241" s="54" t="s">
        <v>89</v>
      </c>
      <c r="C241" s="93"/>
      <c r="D241" s="93"/>
      <c r="E241" s="93"/>
      <c r="F241" s="25"/>
      <c r="G241" s="94"/>
      <c r="H241" s="93"/>
      <c r="I241" s="93"/>
      <c r="J241" s="93"/>
      <c r="K241" s="93"/>
      <c r="L241" s="93"/>
      <c r="M241" s="93"/>
      <c r="N241" s="93"/>
      <c r="O241" s="93"/>
      <c r="P241" s="93"/>
      <c r="Q241" s="93"/>
      <c r="R241" s="54">
        <v>34</v>
      </c>
      <c r="S241" s="94">
        <f t="shared" si="1"/>
        <v>5.811965811965812E-3</v>
      </c>
      <c r="T241" s="53">
        <v>6599</v>
      </c>
      <c r="U241" s="131">
        <f t="shared" si="2"/>
        <v>7.805763182205841E-3</v>
      </c>
      <c r="V241" s="79"/>
      <c r="W241" s="88"/>
      <c r="X241" s="5"/>
      <c r="Y241" s="109"/>
    </row>
    <row r="242" spans="1:25" ht="15.75" x14ac:dyDescent="0.25">
      <c r="A242" s="24"/>
      <c r="B242" s="54" t="s">
        <v>90</v>
      </c>
      <c r="C242" s="93"/>
      <c r="D242" s="93"/>
      <c r="E242" s="93"/>
      <c r="F242" s="25"/>
      <c r="G242" s="94"/>
      <c r="H242" s="93"/>
      <c r="I242" s="93"/>
      <c r="J242" s="93"/>
      <c r="K242" s="93"/>
      <c r="L242" s="93"/>
      <c r="M242" s="93"/>
      <c r="N242" s="93"/>
      <c r="O242" s="93"/>
      <c r="P242" s="93"/>
      <c r="Q242" s="93"/>
      <c r="R242" s="54">
        <v>6</v>
      </c>
      <c r="S242" s="94">
        <f t="shared" si="1"/>
        <v>1.0256410256410256E-3</v>
      </c>
      <c r="T242" s="53">
        <v>1616</v>
      </c>
      <c r="U242" s="131">
        <f t="shared" si="2"/>
        <v>1.9115189123268129E-3</v>
      </c>
      <c r="V242" s="79"/>
      <c r="W242" s="88"/>
      <c r="X242" s="5"/>
    </row>
    <row r="243" spans="1:25" ht="15.75" x14ac:dyDescent="0.25">
      <c r="A243" s="24"/>
      <c r="B243" s="54" t="s">
        <v>156</v>
      </c>
      <c r="C243" s="93"/>
      <c r="D243" s="93"/>
      <c r="E243" s="93"/>
      <c r="F243" s="25"/>
      <c r="G243" s="94"/>
      <c r="H243" s="93"/>
      <c r="I243" s="93"/>
      <c r="J243" s="93"/>
      <c r="K243" s="93"/>
      <c r="L243" s="93"/>
      <c r="M243" s="93"/>
      <c r="N243" s="93"/>
      <c r="O243" s="93"/>
      <c r="P243" s="93"/>
      <c r="Q243" s="93"/>
      <c r="R243" s="54">
        <v>4</v>
      </c>
      <c r="S243" s="94">
        <f t="shared" si="1"/>
        <v>6.8376068376068376E-4</v>
      </c>
      <c r="T243" s="53">
        <v>886</v>
      </c>
      <c r="U243" s="131">
        <f t="shared" si="2"/>
        <v>1.048023364060369E-3</v>
      </c>
      <c r="V243" s="79"/>
      <c r="W243" s="88"/>
      <c r="X243" s="5"/>
      <c r="Y243" s="109"/>
    </row>
    <row r="244" spans="1:25" ht="15.75" x14ac:dyDescent="0.25">
      <c r="A244" s="24"/>
      <c r="B244" s="54" t="s">
        <v>157</v>
      </c>
      <c r="C244" s="93"/>
      <c r="D244" s="93"/>
      <c r="E244" s="93"/>
      <c r="F244" s="25"/>
      <c r="G244" s="94"/>
      <c r="H244" s="93"/>
      <c r="I244" s="93"/>
      <c r="J244" s="93"/>
      <c r="K244" s="93"/>
      <c r="L244" s="93"/>
      <c r="M244" s="93"/>
      <c r="N244" s="93"/>
      <c r="O244" s="93"/>
      <c r="P244" s="93"/>
      <c r="Q244" s="93"/>
      <c r="R244" s="54">
        <v>3</v>
      </c>
      <c r="S244" s="94">
        <f t="shared" si="1"/>
        <v>5.1282051282051282E-4</v>
      </c>
      <c r="T244" s="53">
        <v>412</v>
      </c>
      <c r="U244" s="131">
        <f t="shared" si="2"/>
        <v>4.8734269299421224E-4</v>
      </c>
      <c r="V244" s="79"/>
      <c r="W244" s="88"/>
      <c r="X244" s="5"/>
    </row>
    <row r="245" spans="1:25" ht="15.75" x14ac:dyDescent="0.25">
      <c r="A245" s="24"/>
      <c r="B245" s="54" t="s">
        <v>158</v>
      </c>
      <c r="C245" s="93"/>
      <c r="D245" s="93"/>
      <c r="E245" s="93"/>
      <c r="F245" s="25"/>
      <c r="G245" s="94"/>
      <c r="H245" s="93"/>
      <c r="I245" s="93"/>
      <c r="J245" s="93"/>
      <c r="K245" s="93"/>
      <c r="L245" s="93"/>
      <c r="M245" s="93"/>
      <c r="N245" s="93"/>
      <c r="O245" s="93"/>
      <c r="P245" s="93"/>
      <c r="Q245" s="93"/>
      <c r="R245" s="54">
        <v>0</v>
      </c>
      <c r="S245" s="94">
        <f t="shared" si="1"/>
        <v>0</v>
      </c>
      <c r="T245" s="53">
        <v>0</v>
      </c>
      <c r="U245" s="131">
        <f t="shared" si="2"/>
        <v>0</v>
      </c>
      <c r="V245" s="79"/>
      <c r="W245" s="88"/>
      <c r="X245" s="5"/>
      <c r="Y245" s="109"/>
    </row>
    <row r="246" spans="1:25" ht="15.75" x14ac:dyDescent="0.25">
      <c r="A246" s="24"/>
      <c r="B246" s="54" t="s">
        <v>159</v>
      </c>
      <c r="C246" s="93"/>
      <c r="D246" s="93"/>
      <c r="E246" s="93"/>
      <c r="F246" s="25"/>
      <c r="G246" s="94"/>
      <c r="H246" s="93"/>
      <c r="I246" s="93"/>
      <c r="J246" s="93"/>
      <c r="K246" s="93"/>
      <c r="L246" s="93"/>
      <c r="M246" s="93"/>
      <c r="N246" s="93"/>
      <c r="O246" s="93"/>
      <c r="P246" s="93"/>
      <c r="Q246" s="93"/>
      <c r="R246" s="54">
        <v>1</v>
      </c>
      <c r="S246" s="94">
        <f t="shared" si="1"/>
        <v>1.7094017094017094E-4</v>
      </c>
      <c r="T246" s="53">
        <v>242</v>
      </c>
      <c r="U246" s="131">
        <f t="shared" si="2"/>
        <v>2.8625468860339647E-4</v>
      </c>
      <c r="V246" s="79"/>
      <c r="W246" s="88"/>
      <c r="X246" s="5"/>
    </row>
    <row r="247" spans="1:25" ht="15.75" x14ac:dyDescent="0.25">
      <c r="A247" s="24"/>
      <c r="B247" s="54" t="s">
        <v>160</v>
      </c>
      <c r="C247" s="93"/>
      <c r="D247" s="93"/>
      <c r="E247" s="93"/>
      <c r="F247" s="25"/>
      <c r="G247" s="94"/>
      <c r="H247" s="93"/>
      <c r="I247" s="93"/>
      <c r="J247" s="93"/>
      <c r="K247" s="93"/>
      <c r="L247" s="93"/>
      <c r="M247" s="93"/>
      <c r="N247" s="93"/>
      <c r="O247" s="93"/>
      <c r="P247" s="93"/>
      <c r="Q247" s="93"/>
      <c r="R247" s="54">
        <v>1</v>
      </c>
      <c r="S247" s="94">
        <f t="shared" si="1"/>
        <v>1.7094017094017094E-4</v>
      </c>
      <c r="T247" s="53">
        <v>135</v>
      </c>
      <c r="U247" s="131">
        <f t="shared" si="2"/>
        <v>1.5968753289858896E-4</v>
      </c>
      <c r="V247" s="79"/>
      <c r="W247" s="88"/>
      <c r="X247" s="5"/>
      <c r="Y247" s="109"/>
    </row>
    <row r="248" spans="1:25" ht="15.75" x14ac:dyDescent="0.25">
      <c r="A248" s="24"/>
      <c r="B248" s="54"/>
      <c r="C248" s="93"/>
      <c r="D248" s="93"/>
      <c r="E248" s="93"/>
      <c r="F248" s="25"/>
      <c r="G248" s="94"/>
      <c r="H248" s="93"/>
      <c r="I248" s="93"/>
      <c r="J248" s="93"/>
      <c r="K248" s="93"/>
      <c r="L248" s="93"/>
      <c r="M248" s="93"/>
      <c r="N248" s="93"/>
      <c r="O248" s="93"/>
      <c r="P248" s="93"/>
      <c r="Q248" s="93"/>
      <c r="R248" s="54"/>
      <c r="S248" s="94"/>
      <c r="T248" s="53"/>
      <c r="U248" s="131"/>
      <c r="V248" s="79"/>
      <c r="W248" s="88"/>
      <c r="X248" s="5"/>
    </row>
    <row r="249" spans="1:25" ht="15.75" x14ac:dyDescent="0.25">
      <c r="A249" s="24"/>
      <c r="B249" s="25"/>
      <c r="C249" s="25"/>
      <c r="D249" s="25"/>
      <c r="E249" s="25"/>
      <c r="F249" s="25"/>
      <c r="G249" s="25"/>
      <c r="H249" s="95"/>
      <c r="I249" s="95"/>
      <c r="J249" s="95"/>
      <c r="K249" s="95"/>
      <c r="L249" s="95"/>
      <c r="M249" s="95"/>
      <c r="N249" s="95"/>
      <c r="O249" s="95"/>
      <c r="P249" s="95"/>
      <c r="Q249" s="95"/>
      <c r="R249" s="34">
        <f>SUM(R240:R248)</f>
        <v>5850</v>
      </c>
      <c r="S249" s="131">
        <f>SUM(S240:S248)</f>
        <v>1</v>
      </c>
      <c r="T249" s="53">
        <f>SUM(T240:T248)</f>
        <v>845401</v>
      </c>
      <c r="U249" s="131">
        <f>SUM(U240:U248)</f>
        <v>1</v>
      </c>
      <c r="V249" s="25"/>
      <c r="W249" s="25"/>
      <c r="X249" s="5"/>
    </row>
    <row r="250" spans="1:25" ht="15.75" x14ac:dyDescent="0.25">
      <c r="A250" s="24"/>
      <c r="B250" s="25"/>
      <c r="C250" s="25"/>
      <c r="D250" s="25"/>
      <c r="E250" s="25"/>
      <c r="F250" s="25"/>
      <c r="G250" s="25"/>
      <c r="H250" s="95"/>
      <c r="I250" s="95"/>
      <c r="J250" s="95"/>
      <c r="K250" s="95"/>
      <c r="L250" s="95"/>
      <c r="M250" s="95"/>
      <c r="N250" s="95"/>
      <c r="O250" s="95"/>
      <c r="P250" s="95"/>
      <c r="Q250" s="95"/>
      <c r="R250" s="34"/>
      <c r="S250" s="131"/>
      <c r="T250" s="53"/>
      <c r="U250" s="131"/>
      <c r="V250" s="25"/>
      <c r="W250" s="25"/>
      <c r="X250" s="5"/>
    </row>
    <row r="251" spans="1:25" ht="15.75" x14ac:dyDescent="0.25">
      <c r="A251" s="138"/>
      <c r="B251" s="14" t="s">
        <v>236</v>
      </c>
      <c r="C251" s="81"/>
      <c r="D251" s="81"/>
      <c r="E251" s="81"/>
      <c r="F251" s="82"/>
      <c r="G251" s="81"/>
      <c r="H251" s="17"/>
      <c r="I251" s="17"/>
      <c r="J251" s="17"/>
      <c r="K251" s="17"/>
      <c r="L251" s="17"/>
      <c r="M251" s="17"/>
      <c r="N251" s="17"/>
      <c r="O251" s="17"/>
      <c r="P251" s="17"/>
      <c r="Q251" s="17"/>
      <c r="R251" s="83" t="s">
        <v>102</v>
      </c>
      <c r="S251" s="17" t="s">
        <v>103</v>
      </c>
      <c r="T251" s="83" t="s">
        <v>109</v>
      </c>
      <c r="U251" s="17" t="s">
        <v>103</v>
      </c>
      <c r="V251" s="136"/>
      <c r="W251" s="137"/>
      <c r="X251" s="5"/>
    </row>
    <row r="252" spans="1:25" ht="15.75" x14ac:dyDescent="0.25">
      <c r="A252" s="24"/>
      <c r="B252" s="54" t="s">
        <v>88</v>
      </c>
      <c r="C252" s="93"/>
      <c r="D252" s="93"/>
      <c r="E252" s="93"/>
      <c r="F252" s="25"/>
      <c r="G252" s="93"/>
      <c r="H252" s="93"/>
      <c r="I252" s="93"/>
      <c r="J252" s="93"/>
      <c r="K252" s="93"/>
      <c r="L252" s="93"/>
      <c r="M252" s="93"/>
      <c r="N252" s="93"/>
      <c r="O252" s="93"/>
      <c r="P252" s="93"/>
      <c r="Q252" s="93"/>
      <c r="R252" s="54">
        <v>20</v>
      </c>
      <c r="S252" s="94">
        <f t="shared" ref="S252:S259" si="3">R252/$R$261</f>
        <v>0.11695906432748537</v>
      </c>
      <c r="T252" s="53">
        <v>2342</v>
      </c>
      <c r="U252" s="131">
        <f t="shared" ref="U252:U259" si="4">T252/$T$261</f>
        <v>9.0233095742631483E-2</v>
      </c>
      <c r="V252" s="25"/>
      <c r="W252" s="25"/>
      <c r="X252" s="5"/>
    </row>
    <row r="253" spans="1:25" ht="15.75" x14ac:dyDescent="0.25">
      <c r="A253" s="24"/>
      <c r="B253" s="54" t="s">
        <v>89</v>
      </c>
      <c r="C253" s="93"/>
      <c r="D253" s="93"/>
      <c r="E253" s="93"/>
      <c r="F253" s="25"/>
      <c r="G253" s="94"/>
      <c r="H253" s="93"/>
      <c r="I253" s="93"/>
      <c r="J253" s="93"/>
      <c r="K253" s="93"/>
      <c r="L253" s="93"/>
      <c r="M253" s="93"/>
      <c r="N253" s="93"/>
      <c r="O253" s="93"/>
      <c r="P253" s="93"/>
      <c r="Q253" s="93"/>
      <c r="R253" s="54">
        <v>22</v>
      </c>
      <c r="S253" s="94">
        <f t="shared" si="3"/>
        <v>0.12865497076023391</v>
      </c>
      <c r="T253" s="53">
        <v>3203</v>
      </c>
      <c r="U253" s="131">
        <f t="shared" si="4"/>
        <v>0.12340589481795415</v>
      </c>
      <c r="V253" s="25"/>
      <c r="W253" s="25"/>
      <c r="X253" s="5"/>
    </row>
    <row r="254" spans="1:25" ht="15.75" x14ac:dyDescent="0.25">
      <c r="A254" s="24"/>
      <c r="B254" s="54" t="s">
        <v>90</v>
      </c>
      <c r="C254" s="93"/>
      <c r="D254" s="93"/>
      <c r="E254" s="93"/>
      <c r="F254" s="25"/>
      <c r="G254" s="94"/>
      <c r="H254" s="93"/>
      <c r="I254" s="93"/>
      <c r="J254" s="93"/>
      <c r="K254" s="93"/>
      <c r="L254" s="93"/>
      <c r="M254" s="93"/>
      <c r="N254" s="93"/>
      <c r="O254" s="93"/>
      <c r="P254" s="93"/>
      <c r="Q254" s="93"/>
      <c r="R254" s="54">
        <v>37</v>
      </c>
      <c r="S254" s="94">
        <f t="shared" si="3"/>
        <v>0.21637426900584794</v>
      </c>
      <c r="T254" s="53">
        <v>5572</v>
      </c>
      <c r="U254" s="131">
        <f t="shared" si="4"/>
        <v>0.2146792525524947</v>
      </c>
      <c r="V254" s="25"/>
      <c r="W254" s="25"/>
      <c r="X254" s="5"/>
    </row>
    <row r="255" spans="1:25" ht="15.75" x14ac:dyDescent="0.25">
      <c r="A255" s="24"/>
      <c r="B255" s="54" t="s">
        <v>156</v>
      </c>
      <c r="C255" s="93"/>
      <c r="D255" s="93"/>
      <c r="E255" s="93"/>
      <c r="F255" s="25"/>
      <c r="G255" s="94"/>
      <c r="H255" s="93"/>
      <c r="I255" s="93"/>
      <c r="J255" s="93"/>
      <c r="K255" s="93"/>
      <c r="L255" s="93"/>
      <c r="M255" s="93"/>
      <c r="N255" s="93"/>
      <c r="O255" s="93"/>
      <c r="P255" s="93"/>
      <c r="Q255" s="93"/>
      <c r="R255" s="54">
        <v>10</v>
      </c>
      <c r="S255" s="94">
        <f t="shared" si="3"/>
        <v>5.8479532163742687E-2</v>
      </c>
      <c r="T255" s="53">
        <v>1418</v>
      </c>
      <c r="U255" s="131">
        <f t="shared" si="4"/>
        <v>5.4633018686187633E-2</v>
      </c>
      <c r="V255" s="25"/>
      <c r="W255" s="25"/>
      <c r="X255" s="5"/>
    </row>
    <row r="256" spans="1:25" ht="15.75" x14ac:dyDescent="0.25">
      <c r="A256" s="24"/>
      <c r="B256" s="54" t="s">
        <v>157</v>
      </c>
      <c r="C256" s="93"/>
      <c r="D256" s="93"/>
      <c r="E256" s="93"/>
      <c r="F256" s="25"/>
      <c r="G256" s="94"/>
      <c r="H256" s="93"/>
      <c r="I256" s="93"/>
      <c r="J256" s="93"/>
      <c r="K256" s="93"/>
      <c r="L256" s="93"/>
      <c r="M256" s="93"/>
      <c r="N256" s="93"/>
      <c r="O256" s="93"/>
      <c r="P256" s="93"/>
      <c r="Q256" s="93"/>
      <c r="R256" s="54">
        <v>8</v>
      </c>
      <c r="S256" s="94">
        <f t="shared" si="3"/>
        <v>4.6783625730994149E-2</v>
      </c>
      <c r="T256" s="53">
        <v>1692</v>
      </c>
      <c r="U256" s="131">
        <f t="shared" si="4"/>
        <v>6.5189751492968601E-2</v>
      </c>
      <c r="V256" s="25"/>
      <c r="W256" s="25"/>
      <c r="X256" s="5"/>
    </row>
    <row r="257" spans="1:24" ht="15.75" x14ac:dyDescent="0.25">
      <c r="A257" s="24"/>
      <c r="B257" s="54" t="s">
        <v>158</v>
      </c>
      <c r="C257" s="93"/>
      <c r="D257" s="93"/>
      <c r="E257" s="93"/>
      <c r="F257" s="25"/>
      <c r="G257" s="94"/>
      <c r="H257" s="93"/>
      <c r="I257" s="93"/>
      <c r="J257" s="93"/>
      <c r="K257" s="93"/>
      <c r="L257" s="93"/>
      <c r="M257" s="93"/>
      <c r="N257" s="93"/>
      <c r="O257" s="93"/>
      <c r="P257" s="93"/>
      <c r="Q257" s="93"/>
      <c r="R257" s="54">
        <v>3</v>
      </c>
      <c r="S257" s="94">
        <f t="shared" si="3"/>
        <v>1.7543859649122806E-2</v>
      </c>
      <c r="T257" s="53">
        <v>325</v>
      </c>
      <c r="U257" s="131">
        <f t="shared" si="4"/>
        <v>1.252167212483144E-2</v>
      </c>
      <c r="V257" s="25"/>
      <c r="W257" s="25"/>
      <c r="X257" s="5"/>
    </row>
    <row r="258" spans="1:24" ht="15.75" x14ac:dyDescent="0.25">
      <c r="A258" s="24"/>
      <c r="B258" s="54" t="s">
        <v>159</v>
      </c>
      <c r="C258" s="93"/>
      <c r="D258" s="93"/>
      <c r="E258" s="93"/>
      <c r="F258" s="25"/>
      <c r="G258" s="94"/>
      <c r="H258" s="93"/>
      <c r="I258" s="93"/>
      <c r="J258" s="93"/>
      <c r="K258" s="93"/>
      <c r="L258" s="93"/>
      <c r="M258" s="93"/>
      <c r="N258" s="93"/>
      <c r="O258" s="93"/>
      <c r="P258" s="93"/>
      <c r="Q258" s="93"/>
      <c r="R258" s="54">
        <v>28</v>
      </c>
      <c r="S258" s="94">
        <f t="shared" si="3"/>
        <v>0.16374269005847952</v>
      </c>
      <c r="T258" s="53">
        <v>4100</v>
      </c>
      <c r="U258" s="131">
        <f t="shared" si="4"/>
        <v>0.15796570988248892</v>
      </c>
      <c r="V258" s="25"/>
      <c r="W258" s="25"/>
      <c r="X258" s="5"/>
    </row>
    <row r="259" spans="1:24" ht="15.75" x14ac:dyDescent="0.25">
      <c r="A259" s="24"/>
      <c r="B259" s="54" t="s">
        <v>160</v>
      </c>
      <c r="C259" s="93"/>
      <c r="D259" s="93"/>
      <c r="E259" s="93"/>
      <c r="F259" s="25"/>
      <c r="G259" s="94"/>
      <c r="H259" s="93"/>
      <c r="I259" s="93"/>
      <c r="J259" s="93"/>
      <c r="K259" s="93"/>
      <c r="L259" s="93"/>
      <c r="M259" s="93"/>
      <c r="N259" s="93"/>
      <c r="O259" s="93"/>
      <c r="P259" s="93"/>
      <c r="Q259" s="93"/>
      <c r="R259" s="54">
        <v>43</v>
      </c>
      <c r="S259" s="94">
        <f t="shared" si="3"/>
        <v>0.25146198830409355</v>
      </c>
      <c r="T259" s="53">
        <v>7303</v>
      </c>
      <c r="U259" s="131">
        <f t="shared" si="4"/>
        <v>0.28137160470044309</v>
      </c>
      <c r="V259" s="25"/>
      <c r="W259" s="25"/>
      <c r="X259" s="5"/>
    </row>
    <row r="260" spans="1:24" ht="15.75" x14ac:dyDescent="0.25">
      <c r="A260" s="24"/>
      <c r="B260" s="54"/>
      <c r="C260" s="93"/>
      <c r="D260" s="93"/>
      <c r="E260" s="93"/>
      <c r="F260" s="25"/>
      <c r="G260" s="94"/>
      <c r="H260" s="93"/>
      <c r="I260" s="93"/>
      <c r="J260" s="93"/>
      <c r="K260" s="93"/>
      <c r="L260" s="93"/>
      <c r="M260" s="93"/>
      <c r="N260" s="93"/>
      <c r="O260" s="93"/>
      <c r="P260" s="93"/>
      <c r="Q260" s="93"/>
      <c r="R260" s="54"/>
      <c r="S260" s="94"/>
      <c r="T260" s="53"/>
      <c r="U260" s="131"/>
      <c r="V260" s="25"/>
      <c r="W260" s="25"/>
      <c r="X260" s="5"/>
    </row>
    <row r="261" spans="1:24" ht="15.75" x14ac:dyDescent="0.25">
      <c r="A261" s="24"/>
      <c r="B261" s="25"/>
      <c r="C261" s="25"/>
      <c r="D261" s="25"/>
      <c r="E261" s="25"/>
      <c r="F261" s="25"/>
      <c r="G261" s="25"/>
      <c r="H261" s="95"/>
      <c r="I261" s="95"/>
      <c r="J261" s="95"/>
      <c r="K261" s="95"/>
      <c r="L261" s="95"/>
      <c r="M261" s="95"/>
      <c r="N261" s="95"/>
      <c r="O261" s="95"/>
      <c r="P261" s="95"/>
      <c r="Q261" s="95"/>
      <c r="R261" s="34">
        <f>SUM(R252:R260)</f>
        <v>171</v>
      </c>
      <c r="S261" s="131">
        <f>SUM(S252:S260)</f>
        <v>1</v>
      </c>
      <c r="T261" s="53">
        <f>SUM(T252:T260)</f>
        <v>25955</v>
      </c>
      <c r="U261" s="131">
        <f>SUM(U252:U260)</f>
        <v>1</v>
      </c>
      <c r="V261" s="25"/>
      <c r="W261" s="25"/>
      <c r="X261" s="5"/>
    </row>
    <row r="262" spans="1:24" ht="15.75" x14ac:dyDescent="0.25">
      <c r="A262" s="24"/>
      <c r="B262" s="25"/>
      <c r="C262" s="25"/>
      <c r="D262" s="25"/>
      <c r="E262" s="25"/>
      <c r="F262" s="25"/>
      <c r="G262" s="25"/>
      <c r="H262" s="95"/>
      <c r="I262" s="95"/>
      <c r="J262" s="95"/>
      <c r="K262" s="95"/>
      <c r="L262" s="95"/>
      <c r="M262" s="95"/>
      <c r="N262" s="95"/>
      <c r="O262" s="95"/>
      <c r="P262" s="95"/>
      <c r="Q262" s="95"/>
      <c r="R262" s="34"/>
      <c r="S262" s="131"/>
      <c r="T262" s="53"/>
      <c r="U262" s="131"/>
      <c r="V262" s="25"/>
      <c r="W262" s="25"/>
      <c r="X262" s="5"/>
    </row>
    <row r="263" spans="1:24" ht="15.75" x14ac:dyDescent="0.25">
      <c r="A263" s="138"/>
      <c r="B263" s="14" t="s">
        <v>163</v>
      </c>
      <c r="C263" s="136"/>
      <c r="D263" s="136"/>
      <c r="E263" s="136"/>
      <c r="F263" s="136"/>
      <c r="G263" s="136"/>
      <c r="H263" s="142"/>
      <c r="I263" s="142"/>
      <c r="J263" s="142"/>
      <c r="K263" s="142"/>
      <c r="L263" s="142"/>
      <c r="M263" s="142"/>
      <c r="N263" s="142"/>
      <c r="O263" s="142"/>
      <c r="P263" s="142"/>
      <c r="Q263" s="142"/>
      <c r="R263" s="83" t="s">
        <v>102</v>
      </c>
      <c r="S263" s="17" t="s">
        <v>103</v>
      </c>
      <c r="T263" s="83" t="s">
        <v>109</v>
      </c>
      <c r="U263" s="17" t="s">
        <v>103</v>
      </c>
      <c r="V263" s="136"/>
      <c r="W263" s="137"/>
      <c r="X263" s="5"/>
    </row>
    <row r="264" spans="1:24" ht="15.75" x14ac:dyDescent="0.25">
      <c r="A264" s="24"/>
      <c r="B264" s="54" t="s">
        <v>88</v>
      </c>
      <c r="C264" s="25"/>
      <c r="D264" s="25"/>
      <c r="E264" s="25"/>
      <c r="F264" s="25"/>
      <c r="G264" s="25"/>
      <c r="H264" s="95"/>
      <c r="I264" s="95"/>
      <c r="J264" s="95"/>
      <c r="K264" s="95"/>
      <c r="L264" s="95"/>
      <c r="M264" s="95"/>
      <c r="N264" s="95"/>
      <c r="O264" s="95"/>
      <c r="P264" s="95"/>
      <c r="Q264" s="95"/>
      <c r="R264" s="54">
        <v>0</v>
      </c>
      <c r="S264" s="94">
        <v>0</v>
      </c>
      <c r="T264" s="53">
        <v>0</v>
      </c>
      <c r="U264" s="131">
        <v>0</v>
      </c>
      <c r="V264" s="25"/>
      <c r="W264" s="25"/>
      <c r="X264" s="5"/>
    </row>
    <row r="265" spans="1:24" ht="15.75" x14ac:dyDescent="0.25">
      <c r="A265" s="24"/>
      <c r="B265" s="54" t="s">
        <v>89</v>
      </c>
      <c r="C265" s="25"/>
      <c r="D265" s="25"/>
      <c r="E265" s="25"/>
      <c r="F265" s="25"/>
      <c r="G265" s="25"/>
      <c r="H265" s="95"/>
      <c r="I265" s="95"/>
      <c r="J265" s="95"/>
      <c r="K265" s="95"/>
      <c r="L265" s="95"/>
      <c r="M265" s="95"/>
      <c r="N265" s="95"/>
      <c r="O265" s="95"/>
      <c r="P265" s="95"/>
      <c r="Q265" s="95"/>
      <c r="R265" s="54">
        <v>0</v>
      </c>
      <c r="S265" s="94">
        <v>0</v>
      </c>
      <c r="T265" s="53">
        <v>0</v>
      </c>
      <c r="U265" s="131">
        <v>0</v>
      </c>
      <c r="V265" s="25"/>
      <c r="W265" s="25"/>
      <c r="X265" s="5"/>
    </row>
    <row r="266" spans="1:24" ht="15.75" x14ac:dyDescent="0.25">
      <c r="A266" s="24"/>
      <c r="B266" s="54" t="s">
        <v>90</v>
      </c>
      <c r="C266" s="25"/>
      <c r="D266" s="25"/>
      <c r="E266" s="25"/>
      <c r="F266" s="25"/>
      <c r="G266" s="25"/>
      <c r="H266" s="95"/>
      <c r="I266" s="95"/>
      <c r="J266" s="95"/>
      <c r="K266" s="95"/>
      <c r="L266" s="95"/>
      <c r="M266" s="95"/>
      <c r="N266" s="95"/>
      <c r="O266" s="95"/>
      <c r="P266" s="95"/>
      <c r="Q266" s="95"/>
      <c r="R266" s="54">
        <v>0</v>
      </c>
      <c r="S266" s="94">
        <v>0</v>
      </c>
      <c r="T266" s="53">
        <v>0</v>
      </c>
      <c r="U266" s="131">
        <v>0</v>
      </c>
      <c r="V266" s="25"/>
      <c r="W266" s="25"/>
      <c r="X266" s="5"/>
    </row>
    <row r="267" spans="1:24" ht="15.75" x14ac:dyDescent="0.25">
      <c r="A267" s="24"/>
      <c r="B267" s="54" t="s">
        <v>156</v>
      </c>
      <c r="C267" s="25"/>
      <c r="D267" s="25"/>
      <c r="E267" s="25"/>
      <c r="F267" s="25"/>
      <c r="G267" s="25"/>
      <c r="H267" s="95"/>
      <c r="I267" s="95"/>
      <c r="J267" s="95"/>
      <c r="K267" s="95"/>
      <c r="L267" s="95"/>
      <c r="M267" s="95"/>
      <c r="N267" s="95"/>
      <c r="O267" s="95"/>
      <c r="P267" s="95"/>
      <c r="Q267" s="95"/>
      <c r="R267" s="54">
        <v>0</v>
      </c>
      <c r="S267" s="94">
        <v>0</v>
      </c>
      <c r="T267" s="53">
        <v>0</v>
      </c>
      <c r="U267" s="131">
        <v>0</v>
      </c>
      <c r="V267" s="25"/>
      <c r="W267" s="25"/>
      <c r="X267" s="5"/>
    </row>
    <row r="268" spans="1:24" ht="15.75" x14ac:dyDescent="0.25">
      <c r="A268" s="24"/>
      <c r="B268" s="54" t="s">
        <v>157</v>
      </c>
      <c r="C268" s="25"/>
      <c r="D268" s="25"/>
      <c r="E268" s="25"/>
      <c r="F268" s="25"/>
      <c r="G268" s="25"/>
      <c r="H268" s="95"/>
      <c r="I268" s="95"/>
      <c r="J268" s="95"/>
      <c r="K268" s="95"/>
      <c r="L268" s="95"/>
      <c r="M268" s="95"/>
      <c r="N268" s="95"/>
      <c r="O268" s="95"/>
      <c r="P268" s="95"/>
      <c r="Q268" s="95"/>
      <c r="R268" s="54">
        <v>0</v>
      </c>
      <c r="S268" s="94">
        <v>0</v>
      </c>
      <c r="T268" s="53">
        <v>0</v>
      </c>
      <c r="U268" s="131">
        <v>0</v>
      </c>
      <c r="V268" s="25"/>
      <c r="W268" s="25"/>
      <c r="X268" s="5"/>
    </row>
    <row r="269" spans="1:24" ht="15.75" x14ac:dyDescent="0.25">
      <c r="A269" s="24"/>
      <c r="B269" s="54" t="s">
        <v>158</v>
      </c>
      <c r="C269" s="25"/>
      <c r="D269" s="25"/>
      <c r="E269" s="25"/>
      <c r="F269" s="25"/>
      <c r="G269" s="25"/>
      <c r="H269" s="95"/>
      <c r="I269" s="95"/>
      <c r="J269" s="95"/>
      <c r="K269" s="95"/>
      <c r="L269" s="95"/>
      <c r="M269" s="95"/>
      <c r="N269" s="95"/>
      <c r="O269" s="95"/>
      <c r="P269" s="95"/>
      <c r="Q269" s="95"/>
      <c r="R269" s="54">
        <v>0</v>
      </c>
      <c r="S269" s="94">
        <v>0</v>
      </c>
      <c r="T269" s="53">
        <v>0</v>
      </c>
      <c r="U269" s="131">
        <v>0</v>
      </c>
      <c r="V269" s="25"/>
      <c r="W269" s="25"/>
      <c r="X269" s="5"/>
    </row>
    <row r="270" spans="1:24" ht="15.75" x14ac:dyDescent="0.25">
      <c r="A270" s="24"/>
      <c r="B270" s="54" t="s">
        <v>159</v>
      </c>
      <c r="C270" s="25"/>
      <c r="D270" s="25"/>
      <c r="E270" s="25"/>
      <c r="F270" s="25"/>
      <c r="G270" s="25"/>
      <c r="H270" s="95"/>
      <c r="I270" s="95"/>
      <c r="J270" s="95"/>
      <c r="K270" s="95"/>
      <c r="L270" s="95"/>
      <c r="M270" s="95"/>
      <c r="N270" s="95"/>
      <c r="O270" s="95"/>
      <c r="P270" s="95"/>
      <c r="Q270" s="95"/>
      <c r="R270" s="54">
        <v>0</v>
      </c>
      <c r="S270" s="94">
        <v>0</v>
      </c>
      <c r="T270" s="53">
        <v>0</v>
      </c>
      <c r="U270" s="131">
        <v>0</v>
      </c>
      <c r="V270" s="25"/>
      <c r="W270" s="25"/>
      <c r="X270" s="5"/>
    </row>
    <row r="271" spans="1:24" ht="15.75" x14ac:dyDescent="0.25">
      <c r="A271" s="24"/>
      <c r="B271" s="54" t="s">
        <v>160</v>
      </c>
      <c r="C271" s="25"/>
      <c r="D271" s="25"/>
      <c r="E271" s="25"/>
      <c r="F271" s="25"/>
      <c r="G271" s="25"/>
      <c r="H271" s="95"/>
      <c r="I271" s="95"/>
      <c r="J271" s="95"/>
      <c r="K271" s="95"/>
      <c r="L271" s="95"/>
      <c r="M271" s="95"/>
      <c r="N271" s="95"/>
      <c r="O271" s="95"/>
      <c r="P271" s="95"/>
      <c r="Q271" s="95"/>
      <c r="R271" s="54">
        <v>0</v>
      </c>
      <c r="S271" s="94">
        <v>0</v>
      </c>
      <c r="T271" s="53">
        <v>0</v>
      </c>
      <c r="U271" s="131">
        <v>0</v>
      </c>
      <c r="V271" s="25"/>
      <c r="W271" s="25"/>
      <c r="X271" s="5"/>
    </row>
    <row r="272" spans="1:24" ht="15.75" x14ac:dyDescent="0.25">
      <c r="A272" s="24"/>
      <c r="B272" s="54"/>
      <c r="C272" s="25"/>
      <c r="D272" s="25"/>
      <c r="E272" s="25"/>
      <c r="F272" s="25"/>
      <c r="G272" s="25"/>
      <c r="H272" s="95"/>
      <c r="I272" s="95"/>
      <c r="J272" s="95"/>
      <c r="K272" s="95"/>
      <c r="L272" s="95"/>
      <c r="M272" s="95"/>
      <c r="N272" s="95"/>
      <c r="O272" s="95"/>
      <c r="P272" s="95"/>
      <c r="Q272" s="95"/>
      <c r="R272" s="54"/>
      <c r="S272" s="94"/>
      <c r="T272" s="53"/>
      <c r="U272" s="131"/>
      <c r="V272" s="25"/>
      <c r="W272" s="25"/>
      <c r="X272" s="5"/>
    </row>
    <row r="273" spans="1:24" ht="15.75" x14ac:dyDescent="0.25">
      <c r="A273" s="24"/>
      <c r="B273" s="25" t="s">
        <v>114</v>
      </c>
      <c r="C273" s="25"/>
      <c r="D273" s="25"/>
      <c r="E273" s="25"/>
      <c r="F273" s="25"/>
      <c r="G273" s="25"/>
      <c r="H273" s="95"/>
      <c r="I273" s="95"/>
      <c r="J273" s="95"/>
      <c r="K273" s="95"/>
      <c r="L273" s="95"/>
      <c r="M273" s="95"/>
      <c r="N273" s="95"/>
      <c r="O273" s="95"/>
      <c r="P273" s="95"/>
      <c r="Q273" s="95"/>
      <c r="R273" s="34">
        <f>SUM(R264:R271)</f>
        <v>0</v>
      </c>
      <c r="S273" s="94">
        <f>SUM(S264:S271)</f>
        <v>0</v>
      </c>
      <c r="T273" s="53">
        <f>SUM(T264:T271)</f>
        <v>0</v>
      </c>
      <c r="U273" s="131">
        <f>SUM(U264:U271)</f>
        <v>0</v>
      </c>
      <c r="V273" s="25"/>
      <c r="W273" s="25"/>
      <c r="X273" s="5"/>
    </row>
    <row r="274" spans="1:24" ht="15.75" x14ac:dyDescent="0.25">
      <c r="A274" s="24"/>
      <c r="B274" s="25"/>
      <c r="C274" s="25"/>
      <c r="D274" s="25"/>
      <c r="E274" s="25"/>
      <c r="F274" s="25"/>
      <c r="G274" s="25"/>
      <c r="H274" s="95"/>
      <c r="I274" s="95"/>
      <c r="J274" s="95"/>
      <c r="K274" s="95"/>
      <c r="L274" s="95"/>
      <c r="M274" s="95"/>
      <c r="N274" s="95"/>
      <c r="O274" s="95"/>
      <c r="P274" s="95"/>
      <c r="Q274" s="95"/>
      <c r="R274" s="34"/>
      <c r="S274" s="131"/>
      <c r="T274" s="53"/>
      <c r="U274" s="131"/>
      <c r="V274" s="25"/>
      <c r="W274" s="25"/>
      <c r="X274" s="5"/>
    </row>
    <row r="275" spans="1:24" ht="15.75" x14ac:dyDescent="0.25">
      <c r="A275" s="24"/>
      <c r="B275" s="139" t="s">
        <v>164</v>
      </c>
      <c r="C275" s="25"/>
      <c r="D275" s="25"/>
      <c r="E275" s="25"/>
      <c r="F275" s="25"/>
      <c r="G275" s="25"/>
      <c r="H275" s="95"/>
      <c r="I275" s="95"/>
      <c r="J275" s="95"/>
      <c r="K275" s="95"/>
      <c r="L275" s="95"/>
      <c r="M275" s="95"/>
      <c r="N275" s="95"/>
      <c r="O275" s="95"/>
      <c r="P275" s="95"/>
      <c r="Q275" s="95"/>
      <c r="R275" s="156">
        <f>R273+R261+R249</f>
        <v>6021</v>
      </c>
      <c r="S275" s="140"/>
      <c r="T275" s="141">
        <f>+T273+T261+T249</f>
        <v>871356</v>
      </c>
      <c r="U275" s="140"/>
      <c r="V275" s="25"/>
      <c r="W275" s="25"/>
      <c r="X275" s="5"/>
    </row>
    <row r="276" spans="1:24" ht="15.75" x14ac:dyDescent="0.25">
      <c r="A276" s="24"/>
      <c r="B276" s="25"/>
      <c r="C276" s="25"/>
      <c r="D276" s="25"/>
      <c r="E276" s="25"/>
      <c r="F276" s="25"/>
      <c r="G276" s="25"/>
      <c r="H276" s="95"/>
      <c r="I276" s="95"/>
      <c r="J276" s="95"/>
      <c r="K276" s="95"/>
      <c r="L276" s="95"/>
      <c r="M276" s="95"/>
      <c r="N276" s="95"/>
      <c r="O276" s="95"/>
      <c r="P276" s="95"/>
      <c r="Q276" s="95"/>
      <c r="R276" s="95"/>
      <c r="S276" s="95"/>
      <c r="T276" s="53"/>
      <c r="U276" s="95"/>
      <c r="V276" s="25"/>
      <c r="W276" s="25"/>
      <c r="X276" s="5"/>
    </row>
    <row r="277" spans="1:24" ht="15.75" x14ac:dyDescent="0.25">
      <c r="A277" s="6"/>
      <c r="B277" s="8"/>
      <c r="C277" s="8"/>
      <c r="D277" s="8"/>
      <c r="E277" s="8"/>
      <c r="F277" s="8"/>
      <c r="G277" s="8"/>
      <c r="H277" s="96"/>
      <c r="I277" s="96"/>
      <c r="J277" s="96"/>
      <c r="K277" s="96"/>
      <c r="L277" s="96"/>
      <c r="M277" s="96"/>
      <c r="N277" s="96"/>
      <c r="O277" s="96"/>
      <c r="P277" s="96"/>
      <c r="Q277" s="96"/>
      <c r="R277" s="96"/>
      <c r="S277" s="96"/>
      <c r="T277" s="97"/>
      <c r="U277" s="96"/>
      <c r="V277" s="8"/>
      <c r="W277" s="8"/>
      <c r="X277" s="5"/>
    </row>
    <row r="278" spans="1:24" ht="15.75" x14ac:dyDescent="0.25">
      <c r="A278" s="178"/>
      <c r="B278" s="14" t="s">
        <v>91</v>
      </c>
      <c r="C278" s="15"/>
      <c r="D278" s="15"/>
      <c r="E278" s="15"/>
      <c r="F278" s="17" t="s">
        <v>97</v>
      </c>
      <c r="G278" s="15"/>
      <c r="H278" s="14" t="s">
        <v>99</v>
      </c>
      <c r="I278" s="14"/>
      <c r="J278" s="14"/>
      <c r="K278" s="173"/>
      <c r="L278" s="173"/>
      <c r="M278" s="173"/>
      <c r="N278" s="173"/>
      <c r="O278" s="173"/>
      <c r="P278" s="173"/>
      <c r="Q278" s="173"/>
      <c r="R278" s="173"/>
      <c r="S278" s="173"/>
      <c r="T278" s="173"/>
      <c r="U278" s="173"/>
      <c r="V278" s="173"/>
      <c r="W278" s="173"/>
      <c r="X278" s="5"/>
    </row>
    <row r="279" spans="1:24" ht="15.75" x14ac:dyDescent="0.25">
      <c r="A279" s="178"/>
      <c r="B279" s="173"/>
      <c r="C279" s="8"/>
      <c r="D279" s="8"/>
      <c r="E279" s="8"/>
      <c r="F279" s="8"/>
      <c r="G279" s="8"/>
      <c r="H279" s="8"/>
      <c r="I279" s="8"/>
      <c r="J279" s="8"/>
      <c r="K279" s="173"/>
      <c r="L279" s="173"/>
      <c r="M279" s="173"/>
      <c r="N279" s="173"/>
      <c r="O279" s="173"/>
      <c r="P279" s="173"/>
      <c r="Q279" s="173"/>
      <c r="R279" s="173"/>
      <c r="S279" s="173"/>
      <c r="T279" s="173"/>
      <c r="U279" s="173"/>
      <c r="V279" s="173"/>
      <c r="W279" s="173"/>
      <c r="X279" s="5"/>
    </row>
    <row r="280" spans="1:24" ht="15.75" x14ac:dyDescent="0.25">
      <c r="A280" s="178"/>
      <c r="B280" s="13" t="s">
        <v>92</v>
      </c>
      <c r="C280" s="13"/>
      <c r="D280" s="13"/>
      <c r="E280" s="13"/>
      <c r="F280" s="129" t="s">
        <v>148</v>
      </c>
      <c r="G280" s="13"/>
      <c r="H280" s="13" t="s">
        <v>152</v>
      </c>
      <c r="I280" s="13"/>
      <c r="J280" s="13"/>
      <c r="K280" s="173"/>
      <c r="L280" s="173"/>
      <c r="M280" s="173"/>
      <c r="N280" s="173"/>
      <c r="O280" s="173"/>
      <c r="P280" s="173"/>
      <c r="Q280" s="173"/>
      <c r="R280" s="173"/>
      <c r="S280" s="173"/>
      <c r="T280" s="173"/>
      <c r="U280" s="173"/>
      <c r="V280" s="173"/>
      <c r="W280" s="173"/>
      <c r="X280" s="5"/>
    </row>
    <row r="281" spans="1:24" ht="15.75" x14ac:dyDescent="0.25">
      <c r="A281" s="178"/>
      <c r="B281" s="13" t="s">
        <v>265</v>
      </c>
      <c r="C281" s="13"/>
      <c r="D281" s="13"/>
      <c r="E281" s="13"/>
      <c r="F281" s="129" t="s">
        <v>266</v>
      </c>
      <c r="G281" s="13"/>
      <c r="H281" s="13" t="s">
        <v>267</v>
      </c>
      <c r="I281" s="13"/>
      <c r="J281" s="13"/>
      <c r="K281" s="173"/>
      <c r="L281" s="173"/>
      <c r="M281" s="173"/>
      <c r="N281" s="173"/>
      <c r="O281" s="173"/>
      <c r="P281" s="173"/>
      <c r="Q281" s="173"/>
      <c r="R281" s="173"/>
      <c r="S281" s="173"/>
      <c r="T281" s="173"/>
      <c r="U281" s="173"/>
      <c r="V281" s="173"/>
      <c r="W281" s="173"/>
      <c r="X281" s="5"/>
    </row>
    <row r="282" spans="1:24" ht="15.75" x14ac:dyDescent="0.25">
      <c r="A282" s="178"/>
      <c r="B282" s="13" t="s">
        <v>93</v>
      </c>
      <c r="C282" s="13"/>
      <c r="D282" s="13"/>
      <c r="E282" s="13"/>
      <c r="F282" s="129" t="s">
        <v>147</v>
      </c>
      <c r="G282" s="13"/>
      <c r="H282" s="13" t="s">
        <v>153</v>
      </c>
      <c r="I282" s="13"/>
      <c r="J282" s="13"/>
      <c r="K282" s="173"/>
      <c r="L282" s="173"/>
      <c r="M282" s="173"/>
      <c r="N282" s="173"/>
      <c r="O282" s="173"/>
      <c r="P282" s="173"/>
      <c r="Q282" s="173"/>
      <c r="R282" s="173"/>
      <c r="S282" s="173"/>
      <c r="T282" s="173"/>
      <c r="U282" s="173"/>
      <c r="V282" s="173"/>
      <c r="W282" s="173"/>
      <c r="X282" s="5"/>
    </row>
    <row r="283" spans="1:24" ht="15.75" x14ac:dyDescent="0.25">
      <c r="A283" s="178"/>
      <c r="B283" s="13"/>
      <c r="C283" s="13"/>
      <c r="D283" s="13"/>
      <c r="E283" s="13"/>
      <c r="F283" s="13"/>
      <c r="G283" s="99"/>
      <c r="H283" s="173"/>
      <c r="I283" s="173"/>
      <c r="J283" s="173"/>
      <c r="K283" s="173"/>
      <c r="L283" s="173"/>
      <c r="M283" s="173"/>
      <c r="N283" s="173"/>
      <c r="O283" s="173"/>
      <c r="P283" s="173"/>
      <c r="Q283" s="173"/>
      <c r="R283" s="173"/>
      <c r="S283" s="173"/>
      <c r="T283" s="173"/>
      <c r="U283" s="173"/>
      <c r="V283" s="173"/>
      <c r="W283" s="173"/>
      <c r="X283" s="5"/>
    </row>
    <row r="284" spans="1:24" ht="15.75" x14ac:dyDescent="0.25">
      <c r="A284" s="178"/>
      <c r="B284" s="13"/>
      <c r="C284" s="13"/>
      <c r="D284" s="13"/>
      <c r="E284" s="13"/>
      <c r="F284" s="13"/>
      <c r="G284" s="99"/>
      <c r="H284" s="173"/>
      <c r="I284" s="173"/>
      <c r="J284" s="173"/>
      <c r="K284" s="173"/>
      <c r="L284" s="173"/>
      <c r="M284" s="173"/>
      <c r="N284" s="173"/>
      <c r="O284" s="173"/>
      <c r="P284" s="173"/>
      <c r="Q284" s="173"/>
      <c r="R284" s="173"/>
      <c r="S284" s="173"/>
      <c r="T284" s="173"/>
      <c r="U284" s="173"/>
      <c r="V284" s="173"/>
      <c r="W284" s="173"/>
      <c r="X284" s="5"/>
    </row>
    <row r="285" spans="1:24" ht="19.5" thickBot="1" x14ac:dyDescent="0.35">
      <c r="A285" s="178"/>
      <c r="B285" s="49" t="str">
        <f>B201</f>
        <v>PM15 INVESTOR REPORT QUARTER ENDING NOVEMBER 2009</v>
      </c>
      <c r="C285" s="13"/>
      <c r="D285" s="13"/>
      <c r="E285" s="13"/>
      <c r="F285" s="13"/>
      <c r="G285" s="99"/>
      <c r="H285" s="173"/>
      <c r="I285" s="173"/>
      <c r="J285" s="173"/>
      <c r="K285" s="173"/>
      <c r="L285" s="173"/>
      <c r="M285" s="173"/>
      <c r="N285" s="173"/>
      <c r="O285" s="173"/>
      <c r="P285" s="173"/>
      <c r="Q285" s="173"/>
      <c r="R285" s="173"/>
      <c r="S285" s="173"/>
      <c r="T285" s="173"/>
      <c r="U285" s="173"/>
      <c r="V285" s="173"/>
      <c r="W285" s="173"/>
      <c r="X285" s="5"/>
    </row>
    <row r="286" spans="1:24" x14ac:dyDescent="0.2">
      <c r="A286" s="100"/>
      <c r="B286" s="100"/>
      <c r="C286" s="100"/>
      <c r="D286" s="100"/>
      <c r="E286" s="100"/>
      <c r="F286" s="100"/>
      <c r="G286" s="100"/>
      <c r="H286" s="100"/>
      <c r="I286" s="100"/>
      <c r="J286" s="100"/>
      <c r="K286" s="100"/>
      <c r="L286" s="100"/>
      <c r="M286" s="100"/>
      <c r="N286" s="100"/>
      <c r="O286" s="100"/>
      <c r="P286" s="100"/>
      <c r="Q286" s="100"/>
      <c r="R286" s="100"/>
      <c r="S286" s="100"/>
      <c r="T286" s="100"/>
      <c r="U286" s="100"/>
      <c r="V286" s="100"/>
      <c r="W286" s="100"/>
    </row>
  </sheetData>
  <phoneticPr fontId="0" type="noConversion"/>
  <hyperlinks>
    <hyperlink ref="P237" r:id="rId1" xr:uid="{00000000-0004-0000-0800-000000000000}"/>
    <hyperlink ref="I9" r:id="rId2" xr:uid="{00000000-0004-0000-08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5" max="14" man="1"/>
    <brk id="201" max="14"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53</vt:i4>
      </vt:variant>
      <vt:variant>
        <vt:lpstr>Named Ranges</vt:lpstr>
      </vt:variant>
      <vt:variant>
        <vt:i4>266</vt:i4>
      </vt:variant>
    </vt:vector>
  </HeadingPairs>
  <TitlesOfParts>
    <vt:vector size="319" baseType="lpstr">
      <vt:lpstr>Nov 07</vt:lpstr>
      <vt:lpstr>Feb 08</vt:lpstr>
      <vt:lpstr>May 08</vt:lpstr>
      <vt:lpstr>Aug 08</vt:lpstr>
      <vt:lpstr>Nov 08</vt:lpstr>
      <vt:lpstr>Feb 09</vt:lpstr>
      <vt:lpstr>May 09</vt:lpstr>
      <vt:lpstr>Aug 09</vt:lpstr>
      <vt:lpstr>Nov 09</vt:lpstr>
      <vt:lpstr>Feb 10</vt:lpstr>
      <vt:lpstr>May 10</vt:lpstr>
      <vt:lpstr>Aug 10</vt:lpstr>
      <vt:lpstr>Nov 10</vt:lpstr>
      <vt:lpstr>Feb 11</vt:lpstr>
      <vt:lpstr>May 11</vt:lpstr>
      <vt:lpstr>Aug 11</vt:lpstr>
      <vt:lpstr>Nov 11</vt:lpstr>
      <vt:lpstr>Feb 12</vt:lpstr>
      <vt:lpstr>May 12</vt:lpstr>
      <vt:lpstr>Aug 12</vt:lpstr>
      <vt:lpstr>Nov 12</vt:lpstr>
      <vt:lpstr>Feb 13</vt:lpstr>
      <vt:lpstr>May 13</vt:lpstr>
      <vt:lpstr>Aug 13</vt:lpstr>
      <vt:lpstr>Nov 13</vt:lpstr>
      <vt:lpstr>Feb 14</vt:lpstr>
      <vt:lpstr>May 14</vt:lpstr>
      <vt:lpstr>Aug 14</vt:lpstr>
      <vt:lpstr>Nov 14</vt:lpstr>
      <vt:lpstr>Feb 15</vt:lpstr>
      <vt:lpstr>May 15</vt:lpstr>
      <vt:lpstr>Aug 15</vt:lpstr>
      <vt:lpstr>Nov 15</vt:lpstr>
      <vt:lpstr>Feb 16</vt:lpstr>
      <vt:lpstr>May 16</vt:lpstr>
      <vt:lpstr>Aug 16</vt:lpstr>
      <vt:lpstr>Nov 16</vt:lpstr>
      <vt:lpstr>Feb 17</vt:lpstr>
      <vt:lpstr>May 17</vt:lpstr>
      <vt:lpstr>Aug 17</vt:lpstr>
      <vt:lpstr>Nov 17</vt:lpstr>
      <vt:lpstr>Feb 18</vt:lpstr>
      <vt:lpstr>May 18</vt:lpstr>
      <vt:lpstr>Aug 18</vt:lpstr>
      <vt:lpstr>Nov 18</vt:lpstr>
      <vt:lpstr>Feb 19</vt:lpstr>
      <vt:lpstr>May 19</vt:lpstr>
      <vt:lpstr>Aug 19</vt:lpstr>
      <vt:lpstr>Nov 19</vt:lpstr>
      <vt:lpstr>Feb 20</vt:lpstr>
      <vt:lpstr>May 20</vt:lpstr>
      <vt:lpstr>Aug 20</vt:lpstr>
      <vt:lpstr>Nov 20</vt:lpstr>
      <vt:lpstr>_100PAGE_4</vt:lpstr>
      <vt:lpstr>'Feb 11'!_10PAGE_1</vt:lpstr>
      <vt:lpstr>'Feb 12'!_11PAGE_1</vt:lpstr>
      <vt:lpstr>'Feb 13'!_12PAGE_1</vt:lpstr>
      <vt:lpstr>'May 08'!_13PAGE_1</vt:lpstr>
      <vt:lpstr>'May 09'!_14PAGE_1</vt:lpstr>
      <vt:lpstr>'May 10'!_15PAGE_1</vt:lpstr>
      <vt:lpstr>'May 11'!_16PAGE_1</vt:lpstr>
      <vt:lpstr>'May 12'!_17PAGE_1</vt:lpstr>
      <vt:lpstr>'May 13'!_18PAGE_1</vt:lpstr>
      <vt:lpstr>'Nov 08'!_19PAGE_1</vt:lpstr>
      <vt:lpstr>'Aug 08'!_1PAGE_1</vt:lpstr>
      <vt:lpstr>'Nov 09'!_20PAGE_1</vt:lpstr>
      <vt:lpstr>'Nov 10'!_21PAGE_1</vt:lpstr>
      <vt:lpstr>'Nov 11'!_22PAGE_1</vt:lpstr>
      <vt:lpstr>'Nov 12'!_23PAGE_1</vt:lpstr>
      <vt:lpstr>'Aug 14'!_24PAGE_1</vt:lpstr>
      <vt:lpstr>'Aug 15'!_24PAGE_1</vt:lpstr>
      <vt:lpstr>'Aug 16'!_24PAGE_1</vt:lpstr>
      <vt:lpstr>'Aug 17'!_24PAGE_1</vt:lpstr>
      <vt:lpstr>'Aug 18'!_24PAGE_1</vt:lpstr>
      <vt:lpstr>'Aug 19'!_24PAGE_1</vt:lpstr>
      <vt:lpstr>'Aug 20'!_24PAGE_1</vt:lpstr>
      <vt:lpstr>'Feb 14'!_24PAGE_1</vt:lpstr>
      <vt:lpstr>'Feb 15'!_24PAGE_1</vt:lpstr>
      <vt:lpstr>'Feb 16'!_24PAGE_1</vt:lpstr>
      <vt:lpstr>'Feb 17'!_24PAGE_1</vt:lpstr>
      <vt:lpstr>'Feb 18'!_24PAGE_1</vt:lpstr>
      <vt:lpstr>'Feb 19'!_24PAGE_1</vt:lpstr>
      <vt:lpstr>'Feb 20'!_24PAGE_1</vt:lpstr>
      <vt:lpstr>'May 14'!_24PAGE_1</vt:lpstr>
      <vt:lpstr>'May 15'!_24PAGE_1</vt:lpstr>
      <vt:lpstr>'May 16'!_24PAGE_1</vt:lpstr>
      <vt:lpstr>'May 17'!_24PAGE_1</vt:lpstr>
      <vt:lpstr>'May 18'!_24PAGE_1</vt:lpstr>
      <vt:lpstr>'May 19'!_24PAGE_1</vt:lpstr>
      <vt:lpstr>'May 20'!_24PAGE_1</vt:lpstr>
      <vt:lpstr>'Nov 13'!_24PAGE_1</vt:lpstr>
      <vt:lpstr>'Nov 14'!_24PAGE_1</vt:lpstr>
      <vt:lpstr>'Nov 15'!_24PAGE_1</vt:lpstr>
      <vt:lpstr>'Nov 16'!_24PAGE_1</vt:lpstr>
      <vt:lpstr>'Nov 17'!_24PAGE_1</vt:lpstr>
      <vt:lpstr>'Nov 18'!_24PAGE_1</vt:lpstr>
      <vt:lpstr>'Nov 19'!_24PAGE_1</vt:lpstr>
      <vt:lpstr>'Nov 20'!_24PAGE_1</vt:lpstr>
      <vt:lpstr>_25PAGE_1</vt:lpstr>
      <vt:lpstr>'Aug 08'!_26PAGE_2</vt:lpstr>
      <vt:lpstr>'Aug 09'!_27PAGE_2</vt:lpstr>
      <vt:lpstr>'Aug 10'!_28PAGE_2</vt:lpstr>
      <vt:lpstr>'Aug 11'!_29PAGE_2</vt:lpstr>
      <vt:lpstr>'Aug 09'!_2PAGE_1</vt:lpstr>
      <vt:lpstr>'Aug 12'!_30PAGE_2</vt:lpstr>
      <vt:lpstr>'Aug 13'!_31PAGE_2</vt:lpstr>
      <vt:lpstr>'Feb 08'!_32PAGE_2</vt:lpstr>
      <vt:lpstr>'Feb 09'!_33PAGE_2</vt:lpstr>
      <vt:lpstr>'Feb 10'!_34PAGE_2</vt:lpstr>
      <vt:lpstr>'Feb 11'!_35PAGE_2</vt:lpstr>
      <vt:lpstr>'Feb 12'!_36PAGE_2</vt:lpstr>
      <vt:lpstr>'Feb 13'!_37PAGE_2</vt:lpstr>
      <vt:lpstr>'May 08'!_38PAGE_2</vt:lpstr>
      <vt:lpstr>'May 09'!_39PAGE_2</vt:lpstr>
      <vt:lpstr>'Aug 10'!_3PAGE_1</vt:lpstr>
      <vt:lpstr>'May 10'!_40PAGE_2</vt:lpstr>
      <vt:lpstr>'May 11'!_41PAGE_2</vt:lpstr>
      <vt:lpstr>'May 12'!_42PAGE_2</vt:lpstr>
      <vt:lpstr>'May 13'!_43PAGE_2</vt:lpstr>
      <vt:lpstr>'Nov 08'!_44PAGE_2</vt:lpstr>
      <vt:lpstr>'Nov 09'!_45PAGE_2</vt:lpstr>
      <vt:lpstr>'Nov 10'!_46PAGE_2</vt:lpstr>
      <vt:lpstr>'Nov 11'!_47PAGE_2</vt:lpstr>
      <vt:lpstr>'Nov 12'!_48PAGE_2</vt:lpstr>
      <vt:lpstr>'Aug 14'!_49PAGE_2</vt:lpstr>
      <vt:lpstr>'Aug 15'!_49PAGE_2</vt:lpstr>
      <vt:lpstr>'Aug 16'!_49PAGE_2</vt:lpstr>
      <vt:lpstr>'Aug 17'!_49PAGE_2</vt:lpstr>
      <vt:lpstr>'Aug 18'!_49PAGE_2</vt:lpstr>
      <vt:lpstr>'Aug 19'!_49PAGE_2</vt:lpstr>
      <vt:lpstr>'Aug 20'!_49PAGE_2</vt:lpstr>
      <vt:lpstr>'Feb 14'!_49PAGE_2</vt:lpstr>
      <vt:lpstr>'Feb 15'!_49PAGE_2</vt:lpstr>
      <vt:lpstr>'Feb 16'!_49PAGE_2</vt:lpstr>
      <vt:lpstr>'Feb 17'!_49PAGE_2</vt:lpstr>
      <vt:lpstr>'Feb 18'!_49PAGE_2</vt:lpstr>
      <vt:lpstr>'Feb 19'!_49PAGE_2</vt:lpstr>
      <vt:lpstr>'Feb 20'!_49PAGE_2</vt:lpstr>
      <vt:lpstr>'May 14'!_49PAGE_2</vt:lpstr>
      <vt:lpstr>'May 15'!_49PAGE_2</vt:lpstr>
      <vt:lpstr>'May 16'!_49PAGE_2</vt:lpstr>
      <vt:lpstr>'May 17'!_49PAGE_2</vt:lpstr>
      <vt:lpstr>'May 18'!_49PAGE_2</vt:lpstr>
      <vt:lpstr>'May 19'!_49PAGE_2</vt:lpstr>
      <vt:lpstr>'May 20'!_49PAGE_2</vt:lpstr>
      <vt:lpstr>'Nov 13'!_49PAGE_2</vt:lpstr>
      <vt:lpstr>'Nov 14'!_49PAGE_2</vt:lpstr>
      <vt:lpstr>'Nov 15'!_49PAGE_2</vt:lpstr>
      <vt:lpstr>'Nov 16'!_49PAGE_2</vt:lpstr>
      <vt:lpstr>'Nov 17'!_49PAGE_2</vt:lpstr>
      <vt:lpstr>'Nov 18'!_49PAGE_2</vt:lpstr>
      <vt:lpstr>'Nov 19'!_49PAGE_2</vt:lpstr>
      <vt:lpstr>'Nov 20'!_49PAGE_2</vt:lpstr>
      <vt:lpstr>'Aug 11'!_4PAGE_1</vt:lpstr>
      <vt:lpstr>_50PAGE_2</vt:lpstr>
      <vt:lpstr>'Aug 08'!_51PAGE_3</vt:lpstr>
      <vt:lpstr>'Aug 09'!_52PAGE_3</vt:lpstr>
      <vt:lpstr>'Aug 10'!_53PAGE_3</vt:lpstr>
      <vt:lpstr>'Aug 11'!_54PAGE_3</vt:lpstr>
      <vt:lpstr>'Aug 12'!_55PAGE_3</vt:lpstr>
      <vt:lpstr>'Aug 13'!_56PAGE_3</vt:lpstr>
      <vt:lpstr>'Feb 08'!_57PAGE_3</vt:lpstr>
      <vt:lpstr>'Feb 09'!_58PAGE_3</vt:lpstr>
      <vt:lpstr>'Feb 10'!_59PAGE_3</vt:lpstr>
      <vt:lpstr>'Aug 12'!_5PAGE_1</vt:lpstr>
      <vt:lpstr>'Feb 11'!_60PAGE_3</vt:lpstr>
      <vt:lpstr>'Feb 12'!_61PAGE_3</vt:lpstr>
      <vt:lpstr>'Feb 13'!_62PAGE_3</vt:lpstr>
      <vt:lpstr>'May 08'!_63PAGE_3</vt:lpstr>
      <vt:lpstr>'May 09'!_64PAGE_3</vt:lpstr>
      <vt:lpstr>'May 10'!_65PAGE_3</vt:lpstr>
      <vt:lpstr>'May 11'!_66PAGE_3</vt:lpstr>
      <vt:lpstr>'May 12'!_67PAGE_3</vt:lpstr>
      <vt:lpstr>'May 13'!_68PAGE_3</vt:lpstr>
      <vt:lpstr>'Nov 08'!_69PAGE_3</vt:lpstr>
      <vt:lpstr>'Aug 13'!_6PAGE_1</vt:lpstr>
      <vt:lpstr>'Nov 09'!_70PAGE_3</vt:lpstr>
      <vt:lpstr>'Nov 10'!_71PAGE_3</vt:lpstr>
      <vt:lpstr>'Nov 11'!_72PAGE_3</vt:lpstr>
      <vt:lpstr>'Nov 12'!_73PAGE_3</vt:lpstr>
      <vt:lpstr>'Aug 14'!_74PAGE_3</vt:lpstr>
      <vt:lpstr>'Aug 15'!_74PAGE_3</vt:lpstr>
      <vt:lpstr>'Aug 16'!_74PAGE_3</vt:lpstr>
      <vt:lpstr>'Aug 17'!_74PAGE_3</vt:lpstr>
      <vt:lpstr>'Aug 18'!_74PAGE_3</vt:lpstr>
      <vt:lpstr>'Aug 19'!_74PAGE_3</vt:lpstr>
      <vt:lpstr>'Aug 20'!_74PAGE_3</vt:lpstr>
      <vt:lpstr>'Feb 14'!_74PAGE_3</vt:lpstr>
      <vt:lpstr>'Feb 15'!_74PAGE_3</vt:lpstr>
      <vt:lpstr>'Feb 16'!_74PAGE_3</vt:lpstr>
      <vt:lpstr>'Feb 17'!_74PAGE_3</vt:lpstr>
      <vt:lpstr>'Feb 18'!_74PAGE_3</vt:lpstr>
      <vt:lpstr>'Feb 19'!_74PAGE_3</vt:lpstr>
      <vt:lpstr>'Feb 20'!_74PAGE_3</vt:lpstr>
      <vt:lpstr>'May 14'!_74PAGE_3</vt:lpstr>
      <vt:lpstr>'May 15'!_74PAGE_3</vt:lpstr>
      <vt:lpstr>'May 16'!_74PAGE_3</vt:lpstr>
      <vt:lpstr>'May 17'!_74PAGE_3</vt:lpstr>
      <vt:lpstr>'May 18'!_74PAGE_3</vt:lpstr>
      <vt:lpstr>'May 19'!_74PAGE_3</vt:lpstr>
      <vt:lpstr>'May 20'!_74PAGE_3</vt:lpstr>
      <vt:lpstr>'Nov 13'!_74PAGE_3</vt:lpstr>
      <vt:lpstr>'Nov 14'!_74PAGE_3</vt:lpstr>
      <vt:lpstr>'Nov 15'!_74PAGE_3</vt:lpstr>
      <vt:lpstr>'Nov 16'!_74PAGE_3</vt:lpstr>
      <vt:lpstr>'Nov 17'!_74PAGE_3</vt:lpstr>
      <vt:lpstr>'Nov 18'!_74PAGE_3</vt:lpstr>
      <vt:lpstr>'Nov 19'!_74PAGE_3</vt:lpstr>
      <vt:lpstr>'Nov 20'!_74PAGE_3</vt:lpstr>
      <vt:lpstr>_75PAGE_3</vt:lpstr>
      <vt:lpstr>'Aug 08'!_76PAGE_4</vt:lpstr>
      <vt:lpstr>'Aug 09'!_77PAGE_4</vt:lpstr>
      <vt:lpstr>'Aug 10'!_78PAGE_4</vt:lpstr>
      <vt:lpstr>'Aug 11'!_79PAGE_4</vt:lpstr>
      <vt:lpstr>'Feb 08'!_7PAGE_1</vt:lpstr>
      <vt:lpstr>'Aug 12'!_80PAGE_4</vt:lpstr>
      <vt:lpstr>'Aug 13'!_81PAGE_4</vt:lpstr>
      <vt:lpstr>'Feb 08'!_82PAGE_4</vt:lpstr>
      <vt:lpstr>'Feb 09'!_83PAGE_4</vt:lpstr>
      <vt:lpstr>'Feb 10'!_84PAGE_4</vt:lpstr>
      <vt:lpstr>'Feb 11'!_85PAGE_4</vt:lpstr>
      <vt:lpstr>'Feb 12'!_86PAGE_4</vt:lpstr>
      <vt:lpstr>'Feb 13'!_87PAGE_4</vt:lpstr>
      <vt:lpstr>'May 08'!_88PAGE_4</vt:lpstr>
      <vt:lpstr>'May 09'!_89PAGE_4</vt:lpstr>
      <vt:lpstr>'Feb 09'!_8PAGE_1</vt:lpstr>
      <vt:lpstr>'May 10'!_90PAGE_4</vt:lpstr>
      <vt:lpstr>'May 11'!_91PAGE_4</vt:lpstr>
      <vt:lpstr>'May 12'!_92PAGE_4</vt:lpstr>
      <vt:lpstr>'May 13'!_93PAGE_4</vt:lpstr>
      <vt:lpstr>'Nov 08'!_94PAGE_4</vt:lpstr>
      <vt:lpstr>'Nov 09'!_95PAGE_4</vt:lpstr>
      <vt:lpstr>'Nov 10'!_96PAGE_4</vt:lpstr>
      <vt:lpstr>'Nov 11'!_97PAGE_4</vt:lpstr>
      <vt:lpstr>'Nov 12'!_98PAGE_4</vt:lpstr>
      <vt:lpstr>'Aug 14'!_99PAGE_4</vt:lpstr>
      <vt:lpstr>'Aug 15'!_99PAGE_4</vt:lpstr>
      <vt:lpstr>'Aug 16'!_99PAGE_4</vt:lpstr>
      <vt:lpstr>'Aug 17'!_99PAGE_4</vt:lpstr>
      <vt:lpstr>'Aug 18'!_99PAGE_4</vt:lpstr>
      <vt:lpstr>'Aug 19'!_99PAGE_4</vt:lpstr>
      <vt:lpstr>'Aug 20'!_99PAGE_4</vt:lpstr>
      <vt:lpstr>'Feb 14'!_99PAGE_4</vt:lpstr>
      <vt:lpstr>'Feb 15'!_99PAGE_4</vt:lpstr>
      <vt:lpstr>'Feb 16'!_99PAGE_4</vt:lpstr>
      <vt:lpstr>'Feb 17'!_99PAGE_4</vt:lpstr>
      <vt:lpstr>'Feb 18'!_99PAGE_4</vt:lpstr>
      <vt:lpstr>'Feb 19'!_99PAGE_4</vt:lpstr>
      <vt:lpstr>'Feb 20'!_99PAGE_4</vt:lpstr>
      <vt:lpstr>'May 14'!_99PAGE_4</vt:lpstr>
      <vt:lpstr>'May 15'!_99PAGE_4</vt:lpstr>
      <vt:lpstr>'May 16'!_99PAGE_4</vt:lpstr>
      <vt:lpstr>'May 17'!_99PAGE_4</vt:lpstr>
      <vt:lpstr>'May 18'!_99PAGE_4</vt:lpstr>
      <vt:lpstr>'May 19'!_99PAGE_4</vt:lpstr>
      <vt:lpstr>'May 20'!_99PAGE_4</vt:lpstr>
      <vt:lpstr>'Nov 13'!_99PAGE_4</vt:lpstr>
      <vt:lpstr>'Nov 14'!_99PAGE_4</vt:lpstr>
      <vt:lpstr>'Nov 15'!_99PAGE_4</vt:lpstr>
      <vt:lpstr>'Nov 16'!_99PAGE_4</vt:lpstr>
      <vt:lpstr>'Nov 17'!_99PAGE_4</vt:lpstr>
      <vt:lpstr>'Nov 18'!_99PAGE_4</vt:lpstr>
      <vt:lpstr>'Nov 19'!_99PAGE_4</vt:lpstr>
      <vt:lpstr>'Nov 20'!_99PAGE_4</vt:lpstr>
      <vt:lpstr>'Feb 10'!_9PAGE_1</vt:lpstr>
      <vt:lpstr>'Aug 08'!Print_Area</vt:lpstr>
      <vt:lpstr>'Aug 09'!Print_Area</vt:lpstr>
      <vt:lpstr>'Aug 10'!Print_Area</vt:lpstr>
      <vt:lpstr>'Aug 11'!Print_Area</vt:lpstr>
      <vt:lpstr>'Aug 12'!Print_Area</vt:lpstr>
      <vt:lpstr>'Aug 13'!Print_Area</vt:lpstr>
      <vt:lpstr>'Aug 14'!Print_Area</vt:lpstr>
      <vt:lpstr>'Aug 15'!Print_Area</vt:lpstr>
      <vt:lpstr>'Aug 16'!Print_Area</vt:lpstr>
      <vt:lpstr>'Aug 17'!Print_Area</vt:lpstr>
      <vt:lpstr>'Aug 18'!Print_Area</vt:lpstr>
      <vt:lpstr>'Aug 19'!Print_Area</vt:lpstr>
      <vt:lpstr>'Aug 20'!Print_Area</vt:lpstr>
      <vt:lpstr>'Feb 08'!Print_Area</vt:lpstr>
      <vt:lpstr>'Feb 09'!Print_Area</vt:lpstr>
      <vt:lpstr>'Feb 10'!Print_Area</vt:lpstr>
      <vt:lpstr>'Feb 11'!Print_Area</vt:lpstr>
      <vt:lpstr>'Feb 12'!Print_Area</vt:lpstr>
      <vt:lpstr>'Feb 13'!Print_Area</vt:lpstr>
      <vt:lpstr>'Feb 14'!Print_Area</vt:lpstr>
      <vt:lpstr>'Feb 15'!Print_Area</vt:lpstr>
      <vt:lpstr>'Feb 16'!Print_Area</vt:lpstr>
      <vt:lpstr>'Feb 17'!Print_Area</vt:lpstr>
      <vt:lpstr>'Feb 18'!Print_Area</vt:lpstr>
      <vt:lpstr>'Feb 19'!Print_Area</vt:lpstr>
      <vt:lpstr>'Feb 20'!Print_Area</vt:lpstr>
      <vt:lpstr>'May 08'!Print_Area</vt:lpstr>
      <vt:lpstr>'May 09'!Print_Area</vt:lpstr>
      <vt:lpstr>'May 10'!Print_Area</vt:lpstr>
      <vt:lpstr>'May 11'!Print_Area</vt:lpstr>
      <vt:lpstr>'May 12'!Print_Area</vt:lpstr>
      <vt:lpstr>'May 13'!Print_Area</vt:lpstr>
      <vt:lpstr>'May 14'!Print_Area</vt:lpstr>
      <vt:lpstr>'May 15'!Print_Area</vt:lpstr>
      <vt:lpstr>'May 16'!Print_Area</vt:lpstr>
      <vt:lpstr>'May 17'!Print_Area</vt:lpstr>
      <vt:lpstr>'May 18'!Print_Area</vt:lpstr>
      <vt:lpstr>'May 19'!Print_Area</vt:lpstr>
      <vt:lpstr>'May 20'!Print_Area</vt:lpstr>
      <vt:lpstr>'Nov 07'!Print_Area</vt:lpstr>
      <vt:lpstr>'Nov 08'!Print_Area</vt:lpstr>
      <vt:lpstr>'Nov 09'!Print_Area</vt:lpstr>
      <vt:lpstr>'Nov 10'!Print_Area</vt:lpstr>
      <vt:lpstr>'Nov 11'!Print_Area</vt:lpstr>
      <vt:lpstr>'Nov 12'!Print_Area</vt:lpstr>
      <vt:lpstr>'Nov 13'!Print_Area</vt:lpstr>
      <vt:lpstr>'Nov 14'!Print_Area</vt:lpstr>
      <vt:lpstr>'Nov 15'!Print_Area</vt:lpstr>
      <vt:lpstr>'Nov 16'!Print_Area</vt:lpstr>
      <vt:lpstr>'Nov 17'!Print_Area</vt:lpstr>
      <vt:lpstr>'Nov 18'!Print_Area</vt:lpstr>
      <vt:lpstr>'Nov 19'!Print_Area</vt:lpstr>
      <vt:lpstr>'Nov 20'!Print_Area</vt:lpstr>
      <vt:lpst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 Dowler</dc:creator>
  <cp:lastModifiedBy>Andrew Kitching</cp:lastModifiedBy>
  <cp:lastPrinted>2019-12-16T10:11:48Z</cp:lastPrinted>
  <dcterms:created xsi:type="dcterms:W3CDTF">2003-11-18T07:58:35Z</dcterms:created>
  <dcterms:modified xsi:type="dcterms:W3CDTF">2020-12-15T12:11:30Z</dcterms:modified>
</cp:coreProperties>
</file>